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showInkAnnotation="0" saveExternalLinkValues="0" codeName="DieseArbeitsmappe" hidePivotFieldList="1" autoCompressPictures="0"/>
  <mc:AlternateContent xmlns:mc="http://schemas.openxmlformats.org/markup-compatibility/2006">
    <mc:Choice Requires="x15">
      <x15ac:absPath xmlns:x15ac="http://schemas.microsoft.com/office/spreadsheetml/2010/11/ac" url="O:\A_PFL\BWSB\BWSB-Persönlich\Simon\DÜNGERRECHNER\LK DR 2023\LK Düngerrechner Versionen ab 2023\Version Feldgemüsebau\"/>
    </mc:Choice>
  </mc:AlternateContent>
  <xr:revisionPtr revIDLastSave="0" documentId="13_ncr:2001_{A4EB246C-B401-4214-A129-3487AC8DA6EE}" xr6:coauthVersionLast="47" xr6:coauthVersionMax="47" xr10:uidLastSave="{00000000-0000-0000-0000-000000000000}"/>
  <bookViews>
    <workbookView xWindow="1080" yWindow="-120" windowWidth="27840" windowHeight="16440" tabRatio="871" activeTab="1" xr2:uid="{00000000-000D-0000-FFFF-FFFF00000000}"/>
  </bookViews>
  <sheets>
    <sheet name="Info" sheetId="2" r:id="rId1"/>
    <sheet name="Betrieb" sheetId="3" r:id="rId2"/>
    <sheet name="N_Bedarf" sheetId="9" r:id="rId3"/>
    <sheet name="Tiere" sheetId="4" r:id="rId4"/>
    <sheet name="Hofdung" sheetId="6" r:id="rId5"/>
    <sheet name="Tabelle1" sheetId="1" state="hidden" r:id="rId6"/>
    <sheet name="Organ__Dü" sheetId="5" r:id="rId7"/>
    <sheet name="Mineral" sheetId="7" r:id="rId8"/>
    <sheet name="Beregnung" sheetId="38" r:id="rId9"/>
    <sheet name="Ertragsdokumentation" sheetId="36" r:id="rId10"/>
    <sheet name="Ertragsschätzung m3" sheetId="26" r:id="rId11"/>
    <sheet name="Ergebnis" sheetId="10" r:id="rId12"/>
    <sheet name="WD-Vertrag" sheetId="25" r:id="rId13"/>
    <sheet name="System Immergrün" sheetId="37" r:id="rId14"/>
    <sheet name="Schw_Geflügel" sheetId="15" r:id="rId15"/>
    <sheet name="Weideblatt" sheetId="24" r:id="rId16"/>
    <sheet name="Bodennah" sheetId="22" r:id="rId17"/>
    <sheet name="Separierung" sheetId="41" r:id="rId18"/>
    <sheet name="N_Berechnung" sheetId="8" r:id="rId19"/>
    <sheet name="Düngeplanung" sheetId="18" r:id="rId20"/>
    <sheet name="Tierzahlen" sheetId="16" r:id="rId21"/>
  </sheets>
  <externalReferences>
    <externalReference r:id="rId22"/>
    <externalReference r:id="rId23"/>
  </externalReferences>
  <definedNames>
    <definedName name="__xlnm.Print_Area" localSheetId="1">Betrieb!$A$1:$D$20</definedName>
    <definedName name="__xlnm.Print_Area" localSheetId="11">Ergebnis!$A$1:$F$56</definedName>
    <definedName name="__xlnm.Print_Area" localSheetId="4">Hofdung!$A$1:$P$34</definedName>
    <definedName name="__xlnm.Print_Area" localSheetId="0">Info!$A$1:$C$37</definedName>
    <definedName name="__xlnm.Print_Area" localSheetId="7">Mineral!$A$1:$L$28</definedName>
    <definedName name="__xlnm.Print_Area" localSheetId="2">N_Bedarf!$C$1:$S$72</definedName>
    <definedName name="__xlnm.Print_Area" localSheetId="6">Organ__Dü!$B$1:$N$27</definedName>
    <definedName name="__xlnm.Print_Area" localSheetId="14">Schw_Geflügel!$A$1:$D$103</definedName>
    <definedName name="__xlnm.Print_Area" localSheetId="13">'System Immergrün'!$A$1:$U$22</definedName>
    <definedName name="__xlnm.Print_Area" localSheetId="3">Tiere!$B$1:$X$35</definedName>
    <definedName name="__xlnm.Print_Area">Betrieb!$A$1:$D$19</definedName>
    <definedName name="__xlnm.Print_Area_3">Ergebnis!$B$1:$F$88</definedName>
    <definedName name="__xlnm.Print_Area_5">Hofdung!$A$1:$P$34</definedName>
    <definedName name="__xlnm.Print_Area_6">Info!$A$1:$C$37</definedName>
    <definedName name="__xlnm.Print_Area_8">Mineral!$A$1:$L$28</definedName>
    <definedName name="__xlnm.Print_Area_9">N_Bedarf!$C$1:$S$416</definedName>
    <definedName name="_xlnm._FilterDatabase" localSheetId="7" hidden="1">Mineral!$BZ$2:$CB$324</definedName>
    <definedName name="Auswahl_Kulturen">'Ertragsschätzung m3'!$AK$3:$AK$35</definedName>
    <definedName name="Beregnung_Kulturauswahl" localSheetId="8">INDEX(N_Bedarf!$AE$2:INDIRECT("AE"&amp;COUNTA(N_Bedarf!$AE$2:$AE$22)-COUNTBLANK(N_Bedarf!$AE$2:$AE$22)+2),0,1)</definedName>
    <definedName name="Betriebskulturen">N_Bedarf!$B$5:$B$25</definedName>
    <definedName name="Brache_Acker" localSheetId="17">Tabelle4[Brache Acker]</definedName>
    <definedName name="Brache_Acker">Tabelle4[Brache Acker]</definedName>
    <definedName name="_xlnm.Print_Area" localSheetId="8">Beregnung!$A$1:$I$109</definedName>
    <definedName name="_xlnm.Print_Area" localSheetId="1">Betrieb!$A$1:$D$20</definedName>
    <definedName name="_xlnm.Print_Area" localSheetId="16">Bodennah!$A$2:$K$62</definedName>
    <definedName name="_xlnm.Print_Area" localSheetId="19">Düngeplanung!$A$1:$AJ$28</definedName>
    <definedName name="_xlnm.Print_Area" localSheetId="11">Ergebnis!$B$1:$G$93</definedName>
    <definedName name="_xlnm.Print_Area" localSheetId="9">Ertragsdokumentation!$A$6:$E$60</definedName>
    <definedName name="_xlnm.Print_Area" localSheetId="10">'Ertragsschätzung m3'!$A$1:$H$51</definedName>
    <definedName name="_xlnm.Print_Area" localSheetId="4">Hofdung!$A$1:$P$34</definedName>
    <definedName name="_xlnm.Print_Area" localSheetId="0">Info!$A$1:$C$37</definedName>
    <definedName name="_xlnm.Print_Area" localSheetId="7">Mineral!$A$1:$L$28</definedName>
    <definedName name="_xlnm.Print_Area" localSheetId="2">N_Bedarf!$C$3:$M$67</definedName>
    <definedName name="_xlnm.Print_Area" localSheetId="6">Organ__Dü!$B$1:$N$27</definedName>
    <definedName name="_xlnm.Print_Area" localSheetId="14">Schw_Geflügel!$A$1:$D$103</definedName>
    <definedName name="_xlnm.Print_Area" localSheetId="17">Separierung!$A$2:$D$46</definedName>
    <definedName name="_xlnm.Print_Area" localSheetId="13">'System Immergrün'!$A$1:$Z$98</definedName>
    <definedName name="_xlnm.Print_Area" localSheetId="3">Tiere!$A$1:$X$29</definedName>
    <definedName name="_xlnm.Print_Area" localSheetId="20">Tierzahlen!$A$1:$G$60</definedName>
    <definedName name="_xlnm.Print_Area" localSheetId="12">'WD-Vertrag'!$A$1:$L$42</definedName>
    <definedName name="_xlnm.Print_Area" localSheetId="15">Weideblatt!$B$1:$L$31</definedName>
    <definedName name="Ertrag_A10" localSheetId="9">Ertragsdokumentation!$P$12:$Q$12</definedName>
    <definedName name="Ertrag_A11" localSheetId="9">Ertragsdokumentation!$P$13:$Q$13</definedName>
    <definedName name="Ertrag_A12" localSheetId="9">Ertragsdokumentation!$P$14:$Q$14</definedName>
    <definedName name="Ertrag_A13" localSheetId="9">Ertragsdokumentation!$P$15:$Q$15</definedName>
    <definedName name="Ertrag_A14" localSheetId="9">Ertragsdokumentation!$P$16:$Q$16</definedName>
    <definedName name="Ertrag_A15" localSheetId="9">Ertragsdokumentation!$P$17:$Q$17</definedName>
    <definedName name="Ertrag_A16" localSheetId="9">Ertragsdokumentation!$P$18:$Q$18</definedName>
    <definedName name="Ertrag_A17" localSheetId="9">Ertragsdokumentation!$P$19:$Q$19</definedName>
    <definedName name="Ertrag_A18" localSheetId="9">Ertragsdokumentation!$P$20:$Q$20</definedName>
    <definedName name="Ertrag_A19" localSheetId="9">Ertragsdokumentation!$P$21:$Q$21</definedName>
    <definedName name="Ertrag_A20" localSheetId="9">Ertragsdokumentation!$P$22:$Q$22</definedName>
    <definedName name="Ertrag_A21" localSheetId="9">Ertragsdokumentation!$P$60:$Q$60</definedName>
    <definedName name="Ertrag_A8" localSheetId="9">Ertragsdokumentation!$P$10:$Q$10</definedName>
    <definedName name="Ertrag_A9" localSheetId="10">Ertragsdokumentation!$P$11:$Q$11</definedName>
    <definedName name="ErtragA22_ErsatzA9" localSheetId="9">Ertragsdokumentation!$P$11:$Q$11</definedName>
    <definedName name="Kultur10">[1]N_max_Kulturen_DropDowns!$GI$2:$GI$240</definedName>
    <definedName name="Kultur100">[1]N_max_Kulturen_DropDowns!$JU$2:$JU$240</definedName>
    <definedName name="Kultur101">[1]N_max_Kulturen_DropDowns!$JV$2:$JV$240</definedName>
    <definedName name="Kultur102">[1]N_max_Kulturen_DropDowns!$JW$2:$JW$240</definedName>
    <definedName name="Kultur103">[1]N_max_Kulturen_DropDowns!$JX$2:$JX$240</definedName>
    <definedName name="Kultur104">[1]N_max_Kulturen_DropDowns!$JY$2:$JY$240</definedName>
    <definedName name="Kultur105">[1]N_max_Kulturen_DropDowns!$JZ$2:$JZ$240</definedName>
    <definedName name="Kultur106">[1]N_max_Kulturen_DropDowns!$KA$2:$KA$240</definedName>
    <definedName name="Kultur107">[1]N_max_Kulturen_DropDowns!$KB$2:$KB$240</definedName>
    <definedName name="Kultur108">[1]N_max_Kulturen_DropDowns!$KC$2:$KC$240</definedName>
    <definedName name="Kultur109">[1]N_max_Kulturen_DropDowns!$KD$2:$KD$240</definedName>
    <definedName name="Kultur11">[1]N_max_Kulturen_DropDowns!$GJ$2:$GJ$240</definedName>
    <definedName name="Kultur110">[1]N_max_Kulturen_DropDowns!$KE$2:$KE$240</definedName>
    <definedName name="Kultur111">[1]N_max_Kulturen_DropDowns!$KF$2:$KF$240</definedName>
    <definedName name="Kultur112">[1]N_max_Kulturen_DropDowns!$KG$2:$KG$240</definedName>
    <definedName name="Kultur113">[1]N_max_Kulturen_DropDowns!$KH$2:$KH$240</definedName>
    <definedName name="Kultur114">[1]N_max_Kulturen_DropDowns!$KI$2:$KI$240</definedName>
    <definedName name="Kultur115">[1]N_max_Kulturen_DropDowns!$KJ$2:$KJ$240</definedName>
    <definedName name="Kultur116">[1]N_max_Kulturen_DropDowns!$KK$2:$KK$240</definedName>
    <definedName name="Kultur117">[1]N_max_Kulturen_DropDowns!$KL$2:$KL$240</definedName>
    <definedName name="Kultur118">[1]N_max_Kulturen_DropDowns!$KM$2:$KM$240</definedName>
    <definedName name="Kultur119">[1]N_max_Kulturen_DropDowns!$KN$2:$KN$240</definedName>
    <definedName name="Kultur12">[1]N_max_Kulturen_DropDowns!$GK$2:$GK$240</definedName>
    <definedName name="Kultur120">[1]N_max_Kulturen_DropDowns!$KO$2:$KO$240</definedName>
    <definedName name="Kultur121">[1]N_max_Kulturen_DropDowns!$KP$2:$KP$240</definedName>
    <definedName name="Kultur122">[1]N_max_Kulturen_DropDowns!$KQ$2:$KQ$240</definedName>
    <definedName name="Kultur123">[1]N_max_Kulturen_DropDowns!$KR$2:$KR$240</definedName>
    <definedName name="Kultur124">[1]N_max_Kulturen_DropDowns!$KS$2:$KS$240</definedName>
    <definedName name="Kultur125">[1]N_max_Kulturen_DropDowns!$KT$2:$KT$240</definedName>
    <definedName name="Kultur126">[1]N_max_Kulturen_DropDowns!$KU$2:$KU$240</definedName>
    <definedName name="Kultur127">[1]N_max_Kulturen_DropDowns!$KV$2:$KV$240</definedName>
    <definedName name="Kultur128">[1]N_max_Kulturen_DropDowns!$KW$2:$KW$240</definedName>
    <definedName name="Kultur129">[1]N_max_Kulturen_DropDowns!$KX$2:$KX$240</definedName>
    <definedName name="Kultur13">[1]N_max_Kulturen_DropDowns!$GL$2:$GL$240</definedName>
    <definedName name="Kultur130">[1]N_max_Kulturen_DropDowns!$KY$2:$KY$240</definedName>
    <definedName name="Kultur131">[1]N_max_Kulturen_DropDowns!$KZ$2:$KZ$240</definedName>
    <definedName name="Kultur132">[1]N_max_Kulturen_DropDowns!$LA$2:$LA$240</definedName>
    <definedName name="Kultur133">[1]N_max_Kulturen_DropDowns!$LB$2:$LB$240</definedName>
    <definedName name="Kultur134">[1]N_max_Kulturen_DropDowns!$LC$2:$LC$240</definedName>
    <definedName name="Kultur135">[1]N_max_Kulturen_DropDowns!$LD$2:$LD$240</definedName>
    <definedName name="Kultur136">[1]N_max_Kulturen_DropDowns!$LE$2:$LE$240</definedName>
    <definedName name="Kultur137">[1]N_max_Kulturen_DropDowns!$LF$2:$LF$240</definedName>
    <definedName name="Kultur138">[1]N_max_Kulturen_DropDowns!$LG$2:$LG$240</definedName>
    <definedName name="Kultur139">[1]N_max_Kulturen_DropDowns!$LH$2:$LH$240</definedName>
    <definedName name="Kultur14">[1]N_max_Kulturen_DropDowns!$GM$2:$GM$240</definedName>
    <definedName name="Kultur140">[1]N_max_Kulturen_DropDowns!$LI$2:$LI$240</definedName>
    <definedName name="Kultur141">[1]N_max_Kulturen_DropDowns!$LJ$2:$LJ$240</definedName>
    <definedName name="Kultur142">[1]N_max_Kulturen_DropDowns!$LK$2:$LK$240</definedName>
    <definedName name="Kultur143">[1]N_max_Kulturen_DropDowns!$LL$2:$LL$240</definedName>
    <definedName name="Kultur144">[1]N_max_Kulturen_DropDowns!$LM$2:$LM$240</definedName>
    <definedName name="Kultur145">[1]N_max_Kulturen_DropDowns!$LN$2:$LN$240</definedName>
    <definedName name="Kultur146">[1]N_max_Kulturen_DropDowns!$LO$2:$LO$240</definedName>
    <definedName name="Kultur147">[1]N_max_Kulturen_DropDowns!$LP$2:$LP$240</definedName>
    <definedName name="Kultur148">[1]N_max_Kulturen_DropDowns!$LQ$2:$LQ$240</definedName>
    <definedName name="Kultur149">[1]N_max_Kulturen_DropDowns!$LR$2:$LR$240</definedName>
    <definedName name="Kultur15">[1]N_max_Kulturen_DropDowns!$GN$2:$GN$240</definedName>
    <definedName name="Kultur150">[1]N_max_Kulturen_DropDowns!$LS$2:$LS$240</definedName>
    <definedName name="Kultur151">[1]N_max_Kulturen_DropDowns!$LT$2:$LT$240</definedName>
    <definedName name="Kultur152">[1]N_max_Kulturen_DropDowns!$LU$2:$LU$240</definedName>
    <definedName name="Kultur153">[1]N_max_Kulturen_DropDowns!$LV$2:$LV$240</definedName>
    <definedName name="Kultur16">[1]N_max_Kulturen_DropDowns!$GO$2:$GO$240</definedName>
    <definedName name="Kultur17">[1]N_max_Kulturen_DropDowns!$GP$2:$GP$240</definedName>
    <definedName name="Kultur18">[1]N_max_Kulturen_DropDowns!$GQ$2:$GQ$240</definedName>
    <definedName name="Kultur19">[1]N_max_Kulturen_DropDowns!$GR$2:$GR$240</definedName>
    <definedName name="Kultur20">[1]N_max_Kulturen_DropDowns!$GS$2:$GS$240</definedName>
    <definedName name="Kultur21">[1]N_max_Kulturen_DropDowns!$GT$2:$GT$240</definedName>
    <definedName name="Kultur22">[1]N_max_Kulturen_DropDowns!$GU$2:$GU$240</definedName>
    <definedName name="Kultur23">[1]N_max_Kulturen_DropDowns!$GV$2:$GV$240</definedName>
    <definedName name="Kultur24">[1]N_max_Kulturen_DropDowns!$GW$2:$GW$240</definedName>
    <definedName name="Kultur25">[1]N_max_Kulturen_DropDowns!$GX$2:$GX$240</definedName>
    <definedName name="Kultur26">[1]N_max_Kulturen_DropDowns!$GY$2:$GY$240</definedName>
    <definedName name="Kultur27">[1]N_max_Kulturen_DropDowns!$GZ$2:$GZ$240</definedName>
    <definedName name="Kultur28">[1]N_max_Kulturen_DropDowns!$HA$2:$HA$240</definedName>
    <definedName name="Kultur29">[1]N_max_Kulturen_DropDowns!$HB$2:$HB$240</definedName>
    <definedName name="Kultur30">[1]N_max_Kulturen_DropDowns!$HC$2:$HC$240</definedName>
    <definedName name="Kultur31">[1]N_max_Kulturen_DropDowns!$HD$2:$HD$240</definedName>
    <definedName name="Kultur32">[1]N_max_Kulturen_DropDowns!$HE$2:$HE$240</definedName>
    <definedName name="Kultur33">[1]N_max_Kulturen_DropDowns!$HF$2:$HF$240</definedName>
    <definedName name="Kultur34">[1]N_max_Kulturen_DropDowns!$HG$2:$HG$240</definedName>
    <definedName name="Kultur35">[1]N_max_Kulturen_DropDowns!$HH$2:$HH$240</definedName>
    <definedName name="Kultur36">[1]N_max_Kulturen_DropDowns!$HI$2:$HI$240</definedName>
    <definedName name="Kultur37">[1]N_max_Kulturen_DropDowns!$HJ$2:$HJ$240</definedName>
    <definedName name="Kultur38">[1]N_max_Kulturen_DropDowns!$HK$2:$HK$240</definedName>
    <definedName name="Kultur39">[1]N_max_Kulturen_DropDowns!$HL$2:$HL$240</definedName>
    <definedName name="Kultur4">[1]N_max_Kulturen_DropDowns!$GC$2:$GC$240</definedName>
    <definedName name="Kultur40">[1]N_max_Kulturen_DropDowns!$HM$2:$HM$240</definedName>
    <definedName name="Kultur41">[1]N_max_Kulturen_DropDowns!$HN$2:$HN$240</definedName>
    <definedName name="Kultur42">[1]N_max_Kulturen_DropDowns!$HO$2:$HO$240</definedName>
    <definedName name="Kultur43">[1]N_max_Kulturen_DropDowns!$HP$2:$HP$240</definedName>
    <definedName name="Kultur44">[1]N_max_Kulturen_DropDowns!$HQ$2:$HQ$240</definedName>
    <definedName name="Kultur45">[1]N_max_Kulturen_DropDowns!$HR$2:$HR$240</definedName>
    <definedName name="Kultur46">[1]N_max_Kulturen_DropDowns!$HS$2:$HS$240</definedName>
    <definedName name="Kultur47">[1]N_max_Kulturen_DropDowns!$HT$2:$HT$240</definedName>
    <definedName name="Kultur48">[1]N_max_Kulturen_DropDowns!$HU$2:$HU$240</definedName>
    <definedName name="Kultur49">[1]N_max_Kulturen_DropDowns!$HV$2:$HV$240</definedName>
    <definedName name="Kultur5">[1]N_max_Kulturen_DropDowns!$GD$2:$GD$240</definedName>
    <definedName name="Kultur50">[1]N_max_Kulturen_DropDowns!$HW$2:$HW$240</definedName>
    <definedName name="Kultur51">[1]N_max_Kulturen_DropDowns!$HX$2:$HX$240</definedName>
    <definedName name="Kultur52">[1]N_max_Kulturen_DropDowns!$HY$2:$HY$240</definedName>
    <definedName name="Kultur53">[1]N_max_Kulturen_DropDowns!$HZ$2:$HZ$240</definedName>
    <definedName name="Kultur54">[1]N_max_Kulturen_DropDowns!$IA$2:$IA$240</definedName>
    <definedName name="Kultur55">[1]N_max_Kulturen_DropDowns!$IB$2:$IB$240</definedName>
    <definedName name="Kultur56">[1]N_max_Kulturen_DropDowns!$IC$2:$IC$240</definedName>
    <definedName name="Kultur57">[1]N_max_Kulturen_DropDowns!$ID$2:$ID$240</definedName>
    <definedName name="Kultur58">[1]N_max_Kulturen_DropDowns!$IE$2:$IE$240</definedName>
    <definedName name="Kultur59">[1]N_max_Kulturen_DropDowns!$IF$2:$IF$240</definedName>
    <definedName name="Kultur6">[1]N_max_Kulturen_DropDowns!$GE$2:$GE$240</definedName>
    <definedName name="Kultur60">[1]N_max_Kulturen_DropDowns!$IG$2:$IG$240</definedName>
    <definedName name="Kultur61">[1]N_max_Kulturen_DropDowns!$IH$2:$IH$240</definedName>
    <definedName name="Kultur62">[1]N_max_Kulturen_DropDowns!$II$2:$II$240</definedName>
    <definedName name="Kultur63">[1]N_max_Kulturen_DropDowns!$IJ$2:$IJ$240</definedName>
    <definedName name="Kultur64">[1]N_max_Kulturen_DropDowns!$IK$2:$IK$240</definedName>
    <definedName name="Kultur65">[1]N_max_Kulturen_DropDowns!$IL$2:$IL$240</definedName>
    <definedName name="Kultur66">[1]N_max_Kulturen_DropDowns!$IM$2:$IM$240</definedName>
    <definedName name="Kultur67">[1]N_max_Kulturen_DropDowns!$IN$2:$IN$240</definedName>
    <definedName name="Kultur68">[1]N_max_Kulturen_DropDowns!$IO$2:$IO$240</definedName>
    <definedName name="Kultur69">[1]N_max_Kulturen_DropDowns!$IP$2:$IP$240</definedName>
    <definedName name="Kultur7">[1]N_max_Kulturen_DropDowns!$GF$2:$GF$240</definedName>
    <definedName name="Kultur70">[1]N_max_Kulturen_DropDowns!$IQ$2:$IQ$240</definedName>
    <definedName name="Kultur71">[1]N_max_Kulturen_DropDowns!$IR$2:$IR$240</definedName>
    <definedName name="Kultur72">[1]N_max_Kulturen_DropDowns!$IS$2:$IS$240</definedName>
    <definedName name="Kultur73">[1]N_max_Kulturen_DropDowns!$IT$2:$IT$240</definedName>
    <definedName name="Kultur74">[1]N_max_Kulturen_DropDowns!$IU$2:$IU$240</definedName>
    <definedName name="Kultur75">[1]N_max_Kulturen_DropDowns!$IV$2:$IV$240</definedName>
    <definedName name="Kultur76">[1]N_max_Kulturen_DropDowns!$IW$2:$IW$240</definedName>
    <definedName name="Kultur77">[1]N_max_Kulturen_DropDowns!$IX$2:$IX$240</definedName>
    <definedName name="Kultur78">[1]N_max_Kulturen_DropDowns!$IY$2:$IY$240</definedName>
    <definedName name="Kultur79">[1]N_max_Kulturen_DropDowns!$IZ$2:$IZ$240</definedName>
    <definedName name="Kultur8">[1]N_max_Kulturen_DropDowns!$GG$2:$GG$240</definedName>
    <definedName name="Kultur80">[1]N_max_Kulturen_DropDowns!$JA$2:$JA$240</definedName>
    <definedName name="Kultur81">[1]N_max_Kulturen_DropDowns!$JB$2:$JB$240</definedName>
    <definedName name="Kultur82">[1]N_max_Kulturen_DropDowns!$JC$2:$JC$240</definedName>
    <definedName name="Kultur83">[1]N_max_Kulturen_DropDowns!$JD$2:$JD$240</definedName>
    <definedName name="Kultur84">[1]N_max_Kulturen_DropDowns!$JE$2:$JE$240</definedName>
    <definedName name="Kultur85">[1]N_max_Kulturen_DropDowns!$JF$2:$JF$240</definedName>
    <definedName name="Kultur86">[1]N_max_Kulturen_DropDowns!$JG$2:$JG$240</definedName>
    <definedName name="Kultur87">[1]N_max_Kulturen_DropDowns!$JH$2:$JH$240</definedName>
    <definedName name="Kultur88">[1]N_max_Kulturen_DropDowns!$JI$2:$JI$240</definedName>
    <definedName name="Kultur89">[1]N_max_Kulturen_DropDowns!$JJ$2:$JJ$240</definedName>
    <definedName name="Kultur9">[1]N_max_Kulturen_DropDowns!$GH$2:$GH$240</definedName>
    <definedName name="Kultur90">[1]N_max_Kulturen_DropDowns!$JK$2:$JK$240</definedName>
    <definedName name="Kultur91">[1]N_max_Kulturen_DropDowns!$JL$2:$JL$240</definedName>
    <definedName name="Kultur92">[1]N_max_Kulturen_DropDowns!$JM$2:$JM$240</definedName>
    <definedName name="Kultur93">[1]N_max_Kulturen_DropDowns!$JN$2:$JN$240</definedName>
    <definedName name="Kultur94">[1]N_max_Kulturen_DropDowns!$JO$2:$JO$240</definedName>
    <definedName name="Kultur95">[1]N_max_Kulturen_DropDowns!$JP$2:$JP$240</definedName>
    <definedName name="Kultur96">[1]N_max_Kulturen_DropDowns!$JQ$2:$JQ$240</definedName>
    <definedName name="Kultur97">[1]N_max_Kulturen_DropDowns!$JR$2:$JR$240</definedName>
    <definedName name="Kultur98">[1]N_max_Kulturen_DropDowns!$JS$2:$JS$240</definedName>
    <definedName name="Kultur99">[1]N_max_Kulturen_DropDowns!$JT$2:$JT$240</definedName>
    <definedName name="Liste_BIO_WD_Auswahl">INDEX(#REF!:INDIRECT("T"&amp;COUNTA(#REF!)-COUNTBLANK(#REF!)+3),0,1)</definedName>
    <definedName name="Liste_Ertrag">N_Bedarf!$AU$66:$AU$70</definedName>
    <definedName name="Liste_Ertrag_A5">N_Bedarf!$AV$66:$AV$75</definedName>
    <definedName name="Liste_Ertrag_Grünland">N_Bedarf!$AW$66:$AW$69</definedName>
    <definedName name="Liste_GL_Kulturen">N_Bedarf!$AX$160:$AX$177</definedName>
    <definedName name="Liste_Grünland">[2]N_Bedarf!$AN$29:$AN$31</definedName>
    <definedName name="Liste_Handelsdünger_A10">INDEX(Mineral!$AY$2:INDIRECT("AY"&amp;COUNTA(Liste_Handelsünger[A10])-COUNTBLANK(Liste_Handelsünger[A10])+2),0,1)</definedName>
    <definedName name="Liste_Handelsdünger_A11">INDEX(Mineral!$BA$2:INDIRECT("BA"&amp;COUNTA(Liste_Handelsünger[A11])-COUNTBLANK(Liste_Handelsünger[A11])+2),0,1)</definedName>
    <definedName name="Liste_Handelsdünger_A12">INDEX(Mineral!$BC$2:INDIRECT("BC"&amp;COUNTA(Liste_Handelsünger[A12])-COUNTBLANK(Liste_Handelsünger[A12])+2),0,1)</definedName>
    <definedName name="Liste_Handelsdünger_A13">INDEX(Mineral!$BE$2:INDIRECT("BE"&amp;COUNTA(Liste_Handelsünger[A13])-COUNTBLANK(Liste_Handelsünger[A13])+2),0,1)</definedName>
    <definedName name="Liste_Handelsdünger_A14">INDEX(Mineral!$BG$2:INDIRECT("BG"&amp;COUNTA(Liste_Handelsünger[A14])-COUNTBLANK(Liste_Handelsünger[A14])+2),0,1)</definedName>
    <definedName name="Liste_Handelsdünger_A15">INDEX(Mineral!$BI$2:INDIRECT("BI"&amp;COUNTA(Liste_Handelsünger[A15])-COUNTBLANK(Liste_Handelsünger[A15])+2),0,1)</definedName>
    <definedName name="Liste_Handelsdünger_A16">INDEX(Mineral!$BK$2:INDIRECT("BK"&amp;COUNTA(Liste_Handelsünger[A16])-COUNTBLANK(Liste_Handelsünger[A16])+2),0,1)</definedName>
    <definedName name="Liste_Handelsdünger_A17">INDEX(Mineral!$BM$2:INDIRECT("BM"&amp;COUNTA(Liste_Handelsünger[A17])-COUNTBLANK(Liste_Handelsünger[A17])+2),0,1)</definedName>
    <definedName name="Liste_Handelsdünger_A3">INDEX(Mineral!$AK$2:INDIRECT("AK"&amp;COUNTA(Liste_Handelsünger[A3])-COUNTBLANK(Liste_Handelsünger[A3])+2),0,1)</definedName>
    <definedName name="Liste_Handelsdünger_A4">INDEX(Mineral!$AM$2:INDIRECT("AM"&amp;COUNTA(Liste_Handelsünger[A4])-COUNTBLANK(Liste_Handelsünger[A4])+2),0,1)</definedName>
    <definedName name="Liste_Handelsdünger_A5">INDEX(Mineral!$AO$2:INDIRECT("AO"&amp;COUNTA(Liste_Handelsünger[A5])-COUNTBLANK(Liste_Handelsünger[A5])+2),0,1)</definedName>
    <definedName name="Liste_Handelsdünger_A6">INDEX(Mineral!$AQ$2:INDIRECT("AQ"&amp;COUNTA(Liste_Handelsünger[A6])-COUNTBLANK(Liste_Handelsünger[A6])+2),0,1)</definedName>
    <definedName name="Liste_Handelsdünger_A7">INDEX(Mineral!$AS$2:INDIRECT("AS"&amp;COUNTA(Liste_Handelsünger[A7])-COUNTBLANK(Liste_Handelsünger[A7])+2),0,1)</definedName>
    <definedName name="Liste_Handelsdünger_A8">INDEX(Mineral!$AU$2:INDIRECT("AU"&amp;COUNTA(Liste_Handelsünger[A7])-COUNTBLANK(Liste_Handelsünger[A7])+2),0,1)</definedName>
    <definedName name="Liste_Handelsdünger_A9">INDEX(Mineral!$AW$2:INDIRECT("AW"&amp;COUNTA(Liste_Handelsünger[A9])-COUNTBLANK(Liste_Handelsünger[A9])+2),0,1)</definedName>
    <definedName name="Liste_ja">Tabelle1!$AN$5:$AN$6</definedName>
    <definedName name="Liste_K_Bedarf">N_Bedarf!$BV$5:$CA$326</definedName>
    <definedName name="Liste_Kulturen">N_Bedarf!$AX$4:$AX$303</definedName>
    <definedName name="Liste_MD">INDEX(Düngeplanung!$AP$2:INDIRECT("AP"&amp;COUNTA(Düngeplanung!$AP$2:$AP$26)-COUNTBLANK(Düngeplanung!$AP$2:$AP$26)+1),0,1)</definedName>
    <definedName name="Liste_N_Bedarf">N_Bedarf!$AX$5:$BO$246</definedName>
    <definedName name="Liste_N_GL">N_Bedarf!$AX$158:$BEM$177</definedName>
    <definedName name="Liste_OD">Tabelle1!$C$174:$C$187</definedName>
    <definedName name="Liste_P_Bedarf">N_Bedarf!$BQ$3:$BT$178</definedName>
    <definedName name="Liste_Tiere_BIO">INDEX(#REF!:INDIRECT("U"&amp;COUNTA(#REF!)-COUNTBLANK(#REF!)+1),0,1)</definedName>
    <definedName name="Liste_WD">Tabelle1!$C$168:$C$173</definedName>
    <definedName name="N_Bedarf_C10">INDEX(N_Bedarf!$CP$2:INDIRECT("CP"&amp;COUNTA(N_Bedarf!$CP$2:$CP$143)-COUNTBLANK(N_Bedarf!$CP$2:$CP$143)+2),0,1)</definedName>
    <definedName name="N_Bedarf_C11">INDEX(N_Bedarf!$CR$2:INDIRECT("CR"&amp;COUNTA(N_Bedarf!$CR$2:$CR$143)-COUNTBLANK(N_Bedarf!$CR$2:$CR$143)+2),0,1)</definedName>
    <definedName name="N_Bedarf_C12">INDEX(N_Bedarf!$CT$2:INDIRECT("CT"&amp;COUNTA(N_Bedarf!$CT$2:$CT$143)-COUNTBLANK(N_Bedarf!$CT$2:$CT$143)+2),0,1)</definedName>
    <definedName name="N_Bedarf_C13">INDEX(N_Bedarf!$CV$2:INDIRECT("CV"&amp;COUNTA(N_Bedarf!$CV$2:$CV$143)-COUNTBLANK(N_Bedarf!$CV$2:$CV$143)+2),0,1)</definedName>
    <definedName name="N_Bedarf_C14">INDEX(N_Bedarf!$CX$2:INDIRECT("CX"&amp;COUNTA(N_Bedarf!$CX$2:$CX$143)-COUNTBLANK(N_Bedarf!$CX$2:$CX$143)+2),0,1)</definedName>
    <definedName name="N_Bedarf_C15">INDEX(N_Bedarf!$CZ$2:INDIRECT("CZ"&amp;COUNTA(N_Bedarf!$CZ$2:$CZ$143)-COUNTBLANK(N_Bedarf!$CZ$2:$CZ$143)+2),0,1)</definedName>
    <definedName name="N_Bedarf_C16">INDEX(N_Bedarf!$DB$2:INDIRECT("DB"&amp;COUNTA(N_Bedarf!$DB$2:$DB$143)-COUNTBLANK(N_Bedarf!$DB$2:$DB$143)+2),0,1)</definedName>
    <definedName name="N_Bedarf_C17">INDEX(N_Bedarf!$DD$2:INDIRECT("DD"&amp;COUNTA(N_Bedarf!$DD$2:$DD$143)-COUNTBLANK(N_Bedarf!$DD$2:$DD$143)+2),0,1)</definedName>
    <definedName name="N_Bedarf_C18">INDEX(N_Bedarf!$DF$2:INDIRECT("DF"&amp;COUNTA(N_Bedarf!$DF$2:$DF$143)-COUNTBLANK(N_Bedarf!$DF$2:$DF$143)+2),0,1)</definedName>
    <definedName name="N_Bedarf_C19">INDEX(N_Bedarf!$DH$2:INDIRECT("DH"&amp;COUNTA(N_Bedarf!$DH$2:$DH$143)-COUNTBLANK(N_Bedarf!$DH$2:$DH$143)+2),0,1)</definedName>
    <definedName name="N_Bedarf_C20">INDEX(N_Bedarf!$DJ$2:INDIRECT("DJ"&amp;COUNTA(N_Bedarf!$DJ$2:$DJ$143)-COUNTBLANK(N_Bedarf!$DJ$2:$DJ$143)+2),0,1)</definedName>
    <definedName name="N_Bedarf_C21">INDEX(N_Bedarf!$DL$2:INDIRECT("DL"&amp;COUNTA(N_Bedarf!$DL$2:$DL$143)-COUNTBLANK(N_Bedarf!$DL$2:$DL$143)+2),0,1)</definedName>
    <definedName name="N_Bedarf_C22">INDEX(N_Bedarf!$DN$2:INDIRECT("DN"&amp;COUNTA(N_Bedarf!$DN$2:$DN$143)-COUNTBLANK(N_Bedarf!$DN$2:$DN$143)+2),0,1)</definedName>
    <definedName name="N_Bedarf_C23">INDEX(N_Bedarf!$DP$2:INDIRECT("DP"&amp;COUNTA(N_Bedarf!$DP$2:$DP$143)-COUNTBLANK(N_Bedarf!$DP$2:$DP$143)+2),0,1)</definedName>
    <definedName name="N_Bedarf_C24">INDEX(N_Bedarf!$DR$2:INDIRECT("DR"&amp;COUNTA(N_Bedarf!$DR$2:$DR$143)-COUNTBLANK(N_Bedarf!$DR$2:$DR$143)+2),0,1)</definedName>
    <definedName name="N_Bedarf_C25">INDEX(N_Bedarf!$DT$2:INDIRECT("DT"&amp;COUNTA(N_Bedarf!$DT$2:$DT$143)-COUNTBLANK(N_Bedarf!$DT$2:$DT$143)+2),0,1)</definedName>
    <definedName name="N_Bedarf_C26">INDEX(N_Bedarf!$DV$2:INDIRECT("DV"&amp;COUNTA(N_Bedarf!$DV$2:$DV$143)-COUNTBLANK(N_Bedarf!$DV$2:$DV$143)+2),0,1)</definedName>
    <definedName name="N_Bedarf_C27">INDEX(N_Bedarf!$DX$2:INDIRECT("DX"&amp;COUNTA(N_Bedarf!$DX$2:$DX$143)-COUNTBLANK(N_Bedarf!$DX$2:$DX$143)+2),0,1)</definedName>
    <definedName name="N_Bedarf_C28">INDEX(N_Bedarf!$DZ$2:INDIRECT("DZ"&amp;COUNTA(N_Bedarf!$DZ$2:$DZ$143)-COUNTBLANK(N_Bedarf!$DZ$2:$DZ$143)+2),0,1)</definedName>
    <definedName name="N_Bedarf_C29">INDEX(N_Bedarf!$EB$2:INDIRECT("EB"&amp;COUNTA(N_Bedarf!$EB$2:$EB$143)-COUNTBLANK(N_Bedarf!$EB$2:$EB$143)+2),0,1)</definedName>
    <definedName name="N_Bedarf_C30">N_Bedarf!$C$57</definedName>
    <definedName name="N_Bedarf_C31">N_Bedarf!$C$57</definedName>
    <definedName name="N_Bedarf_C32">N_Bedarf!$C$57</definedName>
    <definedName name="N_Bedarf_C33">N_Bedarf!$C$57</definedName>
    <definedName name="N_Bedarf_C34">N_Bedarf!$C$57</definedName>
    <definedName name="N_Bedarf_C35">N_Bedarf!$C$57</definedName>
    <definedName name="N_Bedarf_C36">N_Bedarf!$C$57</definedName>
    <definedName name="N_Bedarf_C37">N_Bedarf!$C$57</definedName>
    <definedName name="N_Bedarf_C38">N_Bedarf!$C$57</definedName>
    <definedName name="N_Bedarf_C39">N_Bedarf!$C$57</definedName>
    <definedName name="N_Bedarf_C40">N_Bedarf!$C$57</definedName>
    <definedName name="N_Bedarf_C41">N_Bedarf!$C$57</definedName>
    <definedName name="N_Bedarf_C42">N_Bedarf!$C$57</definedName>
    <definedName name="N_Bedarf_C43">N_Bedarf!$C$57</definedName>
    <definedName name="N_Bedarf_C44">N_Bedarf!$C$57</definedName>
    <definedName name="N_Bedarf_C45">N_Bedarf!$C$57</definedName>
    <definedName name="N_Bedarf_C46">N_Bedarf!$C$57</definedName>
    <definedName name="N_Bedarf_C47">N_Bedarf!$C$57</definedName>
    <definedName name="N_Bedarf_C48">N_Bedarf!$C$57</definedName>
    <definedName name="N_Bedarf_C49">N_Bedarf!$C$57</definedName>
    <definedName name="N_Bedarf_C5">INDEX(N_Bedarf!$CF$2:INDIRECT("CF"&amp;COUNTA(N_Bedarf!$CF$2:$CF$143)-COUNTBLANK(N_Bedarf!$CF$2:$CF$143)+2),0,1)</definedName>
    <definedName name="N_Bedarf_C50">N_Bedarf!$C$57</definedName>
    <definedName name="N_Bedarf_C51">N_Bedarf!$C$57</definedName>
    <definedName name="N_Bedarf_C52">N_Bedarf!$C$57</definedName>
    <definedName name="N_Bedarf_C53">N_Bedarf!$C$57</definedName>
    <definedName name="N_Bedarf_C54">N_Bedarf!$C$57</definedName>
    <definedName name="N_Bedarf_C55">N_Bedarf!$C$57</definedName>
    <definedName name="N_Bedarf_C57">INDEX(N_Bedarf!$EG$2:INDIRECT("EG"&amp;COUNTA(Liste_Grünland_DropDown[C32])-COUNTBLANK(Liste_Grünland_DropDown[C32])+2),0,1)</definedName>
    <definedName name="N_Bedarf_C58">INDEX(N_Bedarf!$EI$2:INDIRECT("EI"&amp;COUNTA(Liste_Grünland_DropDown[C33])-COUNTBLANK(Liste_Grünland_DropDown[C33])+2),0,1)</definedName>
    <definedName name="N_Bedarf_C59">INDEX(N_Bedarf!$EK$2:INDIRECT("EK"&amp;COUNTA(Liste_Grünland_DropDown[C34])-COUNTBLANK(Liste_Grünland_DropDown[C34])+2),0,1)</definedName>
    <definedName name="N_Bedarf_C6">INDEX(N_Bedarf!$CH$2:INDIRECT("CH"&amp;COUNTA(N_Bedarf!$CH$2:$CH$143)-COUNTBLANK(N_Bedarf!$CH$2:$CH$143)+2),0,1)</definedName>
    <definedName name="N_Bedarf_C60">INDEX(N_Bedarf!$EM$2:INDIRECT("EM"&amp;COUNTA(Liste_Grünland_DropDown[C35])-COUNTBLANK(Liste_Grünland_DropDown[C35])+2),0,1)</definedName>
    <definedName name="N_Bedarf_C61">INDEX(N_Bedarf!$EO$2:INDIRECT("EO"&amp;COUNTA(Liste_Grünland_DropDown[C36])-COUNTBLANK(Liste_Grünland_DropDown[C36])+2),0,1)</definedName>
    <definedName name="N_Bedarf_C62">INDEX(N_Bedarf!$EQ$2:INDIRECT("EQ"&amp;COUNTA(Liste_Grünland_DropDown[C37])-COUNTBLANK(Liste_Grünland_DropDown[C37])+2),0,1)</definedName>
    <definedName name="N_Bedarf_C7">INDEX(N_Bedarf!$CJ$2:INDIRECT("CJ"&amp;COUNTA(N_Bedarf!$CJ$2:$CJ$143)-COUNTBLANK(N_Bedarf!$CJ$2:$CJ$143)+2),0,1)</definedName>
    <definedName name="N_Bedarf_C8">INDEX(N_Bedarf!$CL$2:INDIRECT("CL"&amp;COUNTA(N_Bedarf!$CL$2:$CL$143)-COUNTBLANK(N_Bedarf!$CL$2:$CL$143)+2),0,1)</definedName>
    <definedName name="N_Bedarf_C9">INDEX(N_Bedarf!$CN$2:INDIRECT("CN"&amp;COUNTA(N_Bedarf!$CN$2:$CN$143)-COUNTBLANK(N_Bedarf!$CN$2:$CN$143)+2),0,1)</definedName>
    <definedName name="TableName">"Dummy"</definedName>
    <definedName name="TiereB10">INDEX(Tiere!$AT$2:INDIRECT("AT"&amp;COUNTA(TiereDropDown[B10])-COUNTBLANK(TiereDropDown[B10])+2),0,1)</definedName>
    <definedName name="TiereB11">INDEX(Tiere!$AV$2:INDIRECT("AV"&amp;COUNTA(TiereDropDown[B11])-COUNTBLANK(TiereDropDown[B11])+2),0,1)</definedName>
    <definedName name="TiereB12">INDEX(Tiere!$AX$2:INDIRECT("AX"&amp;COUNTA(TiereDropDown[B12])-COUNTBLANK(TiereDropDown[B12])+2),0,1)</definedName>
    <definedName name="TiereB13">INDEX(Tiere!$AZ$2:INDIRECT("AZ"&amp;COUNTA(TiereDropDown[B13])-COUNTBLANK(TiereDropDown[B13])+2),0,1)</definedName>
    <definedName name="TiereB14">INDEX(Tiere!$BB$2:INDIRECT("BB"&amp;COUNTA(TiereDropDown[B14])-COUNTBLANK(TiereDropDown[B14])+2),0,1)</definedName>
    <definedName name="TiereB15">INDEX(Tiere!$BD$2:INDIRECT("BD"&amp;COUNTA(TiereDropDown[B15])-COUNTBLANK(TiereDropDown[B15])+2),0,1)</definedName>
    <definedName name="TiereB16">INDEX(Tiere!$BF$2:INDIRECT("BF"&amp;COUNTA(TiereDropDown[B16])-COUNTBLANK(TiereDropDown[B16])+2),0,1)</definedName>
    <definedName name="TiereB17">INDEX(Tiere!$BH$2:INDIRECT("BH"&amp;COUNTA(TiereDropDown[B17])-COUNTBLANK(TiereDropDown[B17])+2),0,1)</definedName>
    <definedName name="TiereB18">INDEX(Tiere!$BJ$2:INDIRECT("BJ"&amp;COUNTA(TiereDropDown[B18])-COUNTBLANK(TiereDropDown[B18])+2),0,1)</definedName>
    <definedName name="TiereB19">INDEX(Tiere!$BL$2:INDIRECT("BL"&amp;COUNTA(TiereDropDown[B19])-COUNTBLANK(TiereDropDown[B19])+2),0,1)</definedName>
    <definedName name="TiereB5">INDEX(Tiere!$AJ$2:INDIRECT("AJ"&amp;COUNTA(TiereDropDown[B5])-COUNTBLANK(TiereDropDown[B5])+2),0,1)</definedName>
    <definedName name="TiereB6">INDEX(Tiere!$AL$2:INDIRECT("AL"&amp;COUNTA(TiereDropDown[B6])-COUNTBLANK(TiereDropDown[B6])+2),0,1)</definedName>
    <definedName name="TiereB7">INDEX(Tiere!$AN$2:INDIRECT("AN"&amp;COUNTA(TiereDropDown[B7])-COUNTBLANK(TiereDropDown[B7])+2),0,1)</definedName>
    <definedName name="TiereB8">INDEX(Tiere!$AP$2:INDIRECT("AP"&amp;COUNTA(TiereDropDown[B8])-COUNTBLANK(TiereDropDown[B8])+2),0,1)</definedName>
    <definedName name="TiereB9">INDEX(Tiere!$AR$2:INDIRECT("AR"&amp;COUNTA(TiereDropDown[B9])-COUNTBLANK(TiereDropDown[B9])+2),0,1)</definedName>
    <definedName name="Tierliste_neu">Tabelle1!$B$5:$B$162</definedName>
    <definedName name="Vorfrucht10">[1]N_max_Kulturen_DropDowns!$RY$2:$RY$240</definedName>
    <definedName name="Vorfrucht100">[1]N_max_Kulturen_DropDowns!$VK$2:$VK$240</definedName>
    <definedName name="Vorfrucht101">[1]N_max_Kulturen_DropDowns!$VL$2:$VL$240</definedName>
    <definedName name="Vorfrucht102">[1]N_max_Kulturen_DropDowns!$VM$2:$VM$240</definedName>
    <definedName name="Vorfrucht103">[1]N_max_Kulturen_DropDowns!$VN$2:$VN$240</definedName>
    <definedName name="Vorfrucht104">[1]N_max_Kulturen_DropDowns!$VO$2:$VO$240</definedName>
    <definedName name="Vorfrucht105">[1]N_max_Kulturen_DropDowns!$VP$2:$VP$240</definedName>
    <definedName name="Vorfrucht106">[1]N_max_Kulturen_DropDowns!$VQ$2:$VQ$240</definedName>
    <definedName name="Vorfrucht107">[1]N_max_Kulturen_DropDowns!$VR$2:$VR$240</definedName>
    <definedName name="Vorfrucht108">[1]N_max_Kulturen_DropDowns!$VS$2:$VS$240</definedName>
    <definedName name="Vorfrucht109">[1]N_max_Kulturen_DropDowns!$VT$2:$VT$240</definedName>
    <definedName name="Vorfrucht11">[1]N_max_Kulturen_DropDowns!$RZ$2:$RZ$240</definedName>
    <definedName name="Vorfrucht110">[1]N_max_Kulturen_DropDowns!$VU$2:$VU$240</definedName>
    <definedName name="Vorfrucht111">[1]N_max_Kulturen_DropDowns!$VV$2:$VV$240</definedName>
    <definedName name="Vorfrucht112">[1]N_max_Kulturen_DropDowns!$VW$2:$VW$240</definedName>
    <definedName name="Vorfrucht113">[1]N_max_Kulturen_DropDowns!$VX$2:$VX$240</definedName>
    <definedName name="Vorfrucht114">[1]N_max_Kulturen_DropDowns!$VY$2:$VY$240</definedName>
    <definedName name="Vorfrucht115">[1]N_max_Kulturen_DropDowns!$VZ$2:$VZ$240</definedName>
    <definedName name="Vorfrucht116">[1]N_max_Kulturen_DropDowns!$WA$2:$WA$240</definedName>
    <definedName name="Vorfrucht117">[1]N_max_Kulturen_DropDowns!$WB$2:$WB$240</definedName>
    <definedName name="Vorfrucht118">[1]N_max_Kulturen_DropDowns!$WC$2:$WC$240</definedName>
    <definedName name="Vorfrucht119">[1]N_max_Kulturen_DropDowns!$WD$2:$WD$240</definedName>
    <definedName name="Vorfrucht12">[1]N_max_Kulturen_DropDowns!$SA$2:$SA$240</definedName>
    <definedName name="Vorfrucht120">[1]N_max_Kulturen_DropDowns!$WE$2:$WE$240</definedName>
    <definedName name="Vorfrucht121">[1]N_max_Kulturen_DropDowns!$WF$2:$WF$240</definedName>
    <definedName name="Vorfrucht122">[1]N_max_Kulturen_DropDowns!$WG$2:$WG$240</definedName>
    <definedName name="Vorfrucht123">[1]N_max_Kulturen_DropDowns!$WH$2:$WH$240</definedName>
    <definedName name="Vorfrucht124">[1]N_max_Kulturen_DropDowns!$WI$2:$WI$240</definedName>
    <definedName name="Vorfrucht125">[1]N_max_Kulturen_DropDowns!$WJ$2:$WJ$240</definedName>
    <definedName name="Vorfrucht126">[1]N_max_Kulturen_DropDowns!$WK$2:$WK$240</definedName>
    <definedName name="Vorfrucht127">[1]N_max_Kulturen_DropDowns!$WL$2:$WL$240</definedName>
    <definedName name="Vorfrucht128">[1]N_max_Kulturen_DropDowns!$WM$2:$WM$240</definedName>
    <definedName name="Vorfrucht129">[1]N_max_Kulturen_DropDowns!$WN$2:$WN$240</definedName>
    <definedName name="Vorfrucht13">[1]N_max_Kulturen_DropDowns!$SB$2:$SB$240</definedName>
    <definedName name="Vorfrucht130">[1]N_max_Kulturen_DropDowns!$WO$2:$WO$240</definedName>
    <definedName name="Vorfrucht131">[1]N_max_Kulturen_DropDowns!$WP$2:$WP$240</definedName>
    <definedName name="Vorfrucht132">[1]N_max_Kulturen_DropDowns!$WQ$2:$WQ$240</definedName>
    <definedName name="Vorfrucht133">[1]N_max_Kulturen_DropDowns!$WR$2:$WR$240</definedName>
    <definedName name="Vorfrucht134">[1]N_max_Kulturen_DropDowns!$WS$2:$WS$240</definedName>
    <definedName name="Vorfrucht135">[1]N_max_Kulturen_DropDowns!$WT$2:$WT$240</definedName>
    <definedName name="Vorfrucht136">[1]N_max_Kulturen_DropDowns!$WU$2:$WU$240</definedName>
    <definedName name="Vorfrucht137">[1]N_max_Kulturen_DropDowns!$WV$2:$WV$240</definedName>
    <definedName name="Vorfrucht138">[1]N_max_Kulturen_DropDowns!$WW$2:$WW$240</definedName>
    <definedName name="Vorfrucht139">[1]N_max_Kulturen_DropDowns!$WX$2:$WX$240</definedName>
    <definedName name="Vorfrucht14">[1]N_max_Kulturen_DropDowns!$SC$2:$SC$240</definedName>
    <definedName name="Vorfrucht140">[1]N_max_Kulturen_DropDowns!$WY$2:$WY$240</definedName>
    <definedName name="Vorfrucht141">[1]N_max_Kulturen_DropDowns!$WZ$2:$WZ$240</definedName>
    <definedName name="Vorfrucht142">[1]N_max_Kulturen_DropDowns!$XA$2:$XA$240</definedName>
    <definedName name="Vorfrucht143">[1]N_max_Kulturen_DropDowns!$XB$2:$XB$240</definedName>
    <definedName name="Vorfrucht144">[1]N_max_Kulturen_DropDowns!$XC$2:$XC$240</definedName>
    <definedName name="Vorfrucht145">[1]N_max_Kulturen_DropDowns!$XD$2:$XD$240</definedName>
    <definedName name="Vorfrucht146">[1]N_max_Kulturen_DropDowns!$XE$2:$XE$240</definedName>
    <definedName name="Vorfrucht147">[1]N_max_Kulturen_DropDowns!$XF$2:$XF$240</definedName>
    <definedName name="Vorfrucht148">[1]N_max_Kulturen_DropDowns!$XG$2:$XG$240</definedName>
    <definedName name="Vorfrucht149">[1]N_max_Kulturen_DropDowns!$XH$2:$XH$240</definedName>
    <definedName name="Vorfrucht15">[1]N_max_Kulturen_DropDowns!$SD$2:$SD$240</definedName>
    <definedName name="Vorfrucht150">[1]N_max_Kulturen_DropDowns!$XI$2:$XI$240</definedName>
    <definedName name="Vorfrucht151">[1]N_max_Kulturen_DropDowns!$XJ$2:$XJ$240</definedName>
    <definedName name="Vorfrucht152">[1]N_max_Kulturen_DropDowns!$XK$2:$XK$240</definedName>
    <definedName name="Vorfrucht153">[1]N_max_Kulturen_DropDowns!$XL$2:$XL$240</definedName>
    <definedName name="Vorfrucht16">[1]N_max_Kulturen_DropDowns!$SE$2:$SE$240</definedName>
    <definedName name="Vorfrucht17">[1]N_max_Kulturen_DropDowns!$SF$2:$SF$240</definedName>
    <definedName name="Vorfrucht18">[1]N_max_Kulturen_DropDowns!$SG$2:$SG$240</definedName>
    <definedName name="Vorfrucht19">[1]N_max_Kulturen_DropDowns!$SH$2:$SH$240</definedName>
    <definedName name="Vorfrucht20">[1]N_max_Kulturen_DropDowns!$SI$2:$SI$240</definedName>
    <definedName name="Vorfrucht21">[1]N_max_Kulturen_DropDowns!$SJ$2:$SJ$240</definedName>
    <definedName name="Vorfrucht22">[1]N_max_Kulturen_DropDowns!$SK$2:$SK$240</definedName>
    <definedName name="Vorfrucht23">[1]N_max_Kulturen_DropDowns!$SL$2:$SL$240</definedName>
    <definedName name="Vorfrucht24">[1]N_max_Kulturen_DropDowns!$SM$2:$SM$240</definedName>
    <definedName name="Vorfrucht25">[1]N_max_Kulturen_DropDowns!$SN$2:$SN$240</definedName>
    <definedName name="Vorfrucht26">[1]N_max_Kulturen_DropDowns!$SO$2:$SO$240</definedName>
    <definedName name="Vorfrucht27">[1]N_max_Kulturen_DropDowns!$SP$2:$SP$240</definedName>
    <definedName name="Vorfrucht28">[1]N_max_Kulturen_DropDowns!$SQ$2:$SQ$240</definedName>
    <definedName name="Vorfrucht29">[1]N_max_Kulturen_DropDowns!$SR$2:$SR$240</definedName>
    <definedName name="Vorfrucht3">[1]N_max_Kulturen_DropDowns!$RR$2:$RR$240</definedName>
    <definedName name="Vorfrucht30">[1]N_max_Kulturen_DropDowns!$SS$2:$SS$240</definedName>
    <definedName name="Vorfrucht31">[1]N_max_Kulturen_DropDowns!$ST$2:$ST$240</definedName>
    <definedName name="Vorfrucht32">[1]N_max_Kulturen_DropDowns!$SU$2:$SU$240</definedName>
    <definedName name="Vorfrucht33">[1]N_max_Kulturen_DropDowns!$SV$2:$SV$240</definedName>
    <definedName name="Vorfrucht34">[1]N_max_Kulturen_DropDowns!$SW$2:$SW$240</definedName>
    <definedName name="Vorfrucht35">[1]N_max_Kulturen_DropDowns!$SX$2:$SX$240</definedName>
    <definedName name="Vorfrucht36">[1]N_max_Kulturen_DropDowns!$SY$2:$SY$240</definedName>
    <definedName name="Vorfrucht37">[1]N_max_Kulturen_DropDowns!$SZ$2:$SZ$240</definedName>
    <definedName name="Vorfrucht38">[1]N_max_Kulturen_DropDowns!$TA$2:$TA$240</definedName>
    <definedName name="Vorfrucht39">[1]N_max_Kulturen_DropDowns!$TB$2:$TB$240</definedName>
    <definedName name="Vorfrucht40">[1]N_max_Kulturen_DropDowns!$TC$2:$TC$240</definedName>
    <definedName name="Vorfrucht41">[1]N_max_Kulturen_DropDowns!$TD$2:$TD$240</definedName>
    <definedName name="Vorfrucht42">[1]N_max_Kulturen_DropDowns!$TE$2:$TE$240</definedName>
    <definedName name="Vorfrucht43">[1]N_max_Kulturen_DropDowns!$TF$2:$TF$240</definedName>
    <definedName name="Vorfrucht44">[1]N_max_Kulturen_DropDowns!$TG$2:$TG$240</definedName>
    <definedName name="Vorfrucht45">[1]N_max_Kulturen_DropDowns!$TH$2:$TH$240</definedName>
    <definedName name="Vorfrucht46">[1]N_max_Kulturen_DropDowns!$TI$2:$TI$240</definedName>
    <definedName name="Vorfrucht47">[1]N_max_Kulturen_DropDowns!$TJ$2:$TJ$240</definedName>
    <definedName name="Vorfrucht48">[1]N_max_Kulturen_DropDowns!$TK$2:$TK$240</definedName>
    <definedName name="Vorfrucht49">[1]N_max_Kulturen_DropDowns!$TL$2:$TL$240</definedName>
    <definedName name="Vorfrucht50">[1]N_max_Kulturen_DropDowns!$TM$2:$TM$240</definedName>
    <definedName name="Vorfrucht51">[1]N_max_Kulturen_DropDowns!$TN$2:$TN$240</definedName>
    <definedName name="Vorfrucht52">[1]N_max_Kulturen_DropDowns!$TO$2:$TO$240</definedName>
    <definedName name="Vorfrucht53">[1]N_max_Kulturen_DropDowns!$TP$2:$TP$240</definedName>
    <definedName name="Vorfrucht54">[1]N_max_Kulturen_DropDowns!$TQ$2:$TQ$240</definedName>
    <definedName name="Vorfrucht55">[1]N_max_Kulturen_DropDowns!$TR$2:$TR$240</definedName>
    <definedName name="Vorfrucht56">[1]N_max_Kulturen_DropDowns!$TS$2:$TS$240</definedName>
    <definedName name="Vorfrucht57">[1]N_max_Kulturen_DropDowns!$TT$2:$TT$240</definedName>
    <definedName name="Vorfrucht58">[1]N_max_Kulturen_DropDowns!$TU$2:$TU$240</definedName>
    <definedName name="Vorfrucht59">[1]N_max_Kulturen_DropDowns!$TV$2:$TV$240</definedName>
    <definedName name="Vorfrucht60">[1]N_max_Kulturen_DropDowns!$TW$2:$TW$240</definedName>
    <definedName name="Vorfrucht61">[1]N_max_Kulturen_DropDowns!$TX$2:$TX$240</definedName>
    <definedName name="Vorfrucht62">[1]N_max_Kulturen_DropDowns!$TY$2:$TY$240</definedName>
    <definedName name="Vorfrucht63">[1]N_max_Kulturen_DropDowns!$TZ$2:$TZ$240</definedName>
    <definedName name="Vorfrucht64">[1]N_max_Kulturen_DropDowns!$UA$2:$UA$240</definedName>
    <definedName name="Vorfrucht65">[1]N_max_Kulturen_DropDowns!$UB$2:$UB$240</definedName>
    <definedName name="Vorfrucht66">[1]N_max_Kulturen_DropDowns!$UC$2:$UC$240</definedName>
    <definedName name="Vorfrucht67">[1]N_max_Kulturen_DropDowns!$UD$2:$UD$240</definedName>
    <definedName name="Vorfrucht68">[1]N_max_Kulturen_DropDowns!$UE$2:$UE$240</definedName>
    <definedName name="Vorfrucht69">[1]N_max_Kulturen_DropDowns!$UF$2:$UF$240</definedName>
    <definedName name="Vorfrucht70">[1]N_max_Kulturen_DropDowns!$UG$2:$UG$240</definedName>
    <definedName name="Vorfrucht71">[1]N_max_Kulturen_DropDowns!$UH$2:$UH$240</definedName>
    <definedName name="Vorfrucht72">[1]N_max_Kulturen_DropDowns!$UI$2:$UI$240</definedName>
    <definedName name="Vorfrucht73">[1]N_max_Kulturen_DropDowns!$UJ$2:$UJ$240</definedName>
    <definedName name="Vorfrucht74">[1]N_max_Kulturen_DropDowns!$UK$2:$UK$240</definedName>
    <definedName name="Vorfrucht75">[1]N_max_Kulturen_DropDowns!$UL$2:$UL$240</definedName>
    <definedName name="Vorfrucht76">[1]N_max_Kulturen_DropDowns!$UM$2:$UM$240</definedName>
    <definedName name="Vorfrucht77">[1]N_max_Kulturen_DropDowns!$UN$2:$UN$240</definedName>
    <definedName name="Vorfrucht78">[1]N_max_Kulturen_DropDowns!$UO$2:$UO$240</definedName>
    <definedName name="Vorfrucht79">[1]N_max_Kulturen_DropDowns!$UP$2:$UP$240</definedName>
    <definedName name="Vorfrucht8">[1]N_max_Kulturen_DropDowns!$RW$2:$RW$240</definedName>
    <definedName name="Vorfrucht80">[1]N_max_Kulturen_DropDowns!$UQ$2:$UQ$240</definedName>
    <definedName name="Vorfrucht81">[1]N_max_Kulturen_DropDowns!$UR$2:$UR$240</definedName>
    <definedName name="Vorfrucht82">[1]N_max_Kulturen_DropDowns!$US$2:$US$240</definedName>
    <definedName name="Vorfrucht83">[1]N_max_Kulturen_DropDowns!$UT$2:$UT$240</definedName>
    <definedName name="Vorfrucht84">[1]N_max_Kulturen_DropDowns!$UU$2:$UU$240</definedName>
    <definedName name="Vorfrucht85">[1]N_max_Kulturen_DropDowns!$UV$2:$UV$240</definedName>
    <definedName name="Vorfrucht86">[1]N_max_Kulturen_DropDowns!$UW$2:$UW$240</definedName>
    <definedName name="Vorfrucht87">[1]N_max_Kulturen_DropDowns!$UX$2:$UX$240</definedName>
    <definedName name="Vorfrucht88">[1]N_max_Kulturen_DropDowns!$UY$2:$UY$240</definedName>
    <definedName name="Vorfrucht89">[1]N_max_Kulturen_DropDowns!$UZ$2:$UZ$240</definedName>
    <definedName name="Vorfrucht9">[1]N_max_Kulturen_DropDowns!$RX$2:$RX$240</definedName>
    <definedName name="Vorfrucht90">[1]N_max_Kulturen_DropDowns!$VA$2:$VA$240</definedName>
    <definedName name="Vorfrucht91">[1]N_max_Kulturen_DropDowns!$VB$2:$VB$240</definedName>
    <definedName name="Vorfrucht92">[1]N_max_Kulturen_DropDowns!$VC$2:$VC$240</definedName>
    <definedName name="Vorfrucht93">[1]N_max_Kulturen_DropDowns!$VD$2:$VD$240</definedName>
    <definedName name="Vorfrucht94">[1]N_max_Kulturen_DropDowns!$VE$2:$VE$240</definedName>
    <definedName name="Vorfrucht95">[1]N_max_Kulturen_DropDowns!$VF$2:$VF$240</definedName>
    <definedName name="Vorfrucht96">[1]N_max_Kulturen_DropDowns!$VG$2:$VG$240</definedName>
    <definedName name="Vorfrucht97">[1]N_max_Kulturen_DropDowns!$VH$2:$VH$240</definedName>
    <definedName name="Vorfrucht98">[1]N_max_Kulturen_DropDowns!$VI$2:$VI$240</definedName>
    <definedName name="Vorfrucht99">[1]N_max_Kulturen_DropDowns!$VJ$2:$VJ$240</definedName>
    <definedName name="ZEILE_17">INDEX(#REF!:INDIRECT("W"&amp;COUNTA(#REF!)-COUNTBLANK(#REF!)+3),0,1)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1" i="36" l="1"/>
  <c r="AN12" i="36"/>
  <c r="AN13" i="36"/>
  <c r="AN14" i="36"/>
  <c r="AN15" i="36"/>
  <c r="AN16" i="36"/>
  <c r="AN17" i="36"/>
  <c r="AN18"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N47" i="36"/>
  <c r="AN48" i="36"/>
  <c r="AN49" i="36"/>
  <c r="AN50" i="36"/>
  <c r="AN51" i="36"/>
  <c r="AN52" i="36"/>
  <c r="AN53" i="36"/>
  <c r="AN54" i="36"/>
  <c r="AN55" i="36"/>
  <c r="AN56" i="36"/>
  <c r="AN57" i="36"/>
  <c r="AN58" i="36"/>
  <c r="AN59" i="36"/>
  <c r="AN60" i="36"/>
  <c r="AN10" i="36"/>
  <c r="U223" i="36" l="1"/>
  <c r="U224" i="36"/>
  <c r="U225" i="36"/>
  <c r="U226" i="36"/>
  <c r="U227" i="36"/>
  <c r="U228" i="36"/>
  <c r="U229" i="36"/>
  <c r="U230" i="36"/>
  <c r="U231" i="36"/>
  <c r="U232" i="36"/>
  <c r="U233" i="36"/>
  <c r="U234" i="36"/>
  <c r="U235" i="36"/>
  <c r="U236" i="36"/>
  <c r="U237" i="36"/>
  <c r="U238" i="36"/>
  <c r="U239" i="36"/>
  <c r="U240" i="36"/>
  <c r="U241" i="36"/>
  <c r="U242" i="36"/>
  <c r="U243" i="36"/>
  <c r="U244" i="36"/>
  <c r="U245" i="36"/>
  <c r="U246" i="36"/>
  <c r="U247" i="36"/>
  <c r="U248" i="36"/>
  <c r="U249" i="36"/>
  <c r="U250" i="36"/>
  <c r="U251" i="36"/>
  <c r="U252" i="36"/>
  <c r="U253" i="36"/>
  <c r="U254" i="36"/>
  <c r="U255" i="36"/>
  <c r="U256" i="36"/>
  <c r="U257" i="36"/>
  <c r="U258" i="36"/>
  <c r="U259" i="36"/>
  <c r="U260" i="36"/>
  <c r="U261" i="36"/>
  <c r="U262" i="36"/>
  <c r="U263" i="36"/>
  <c r="U264" i="36"/>
  <c r="U265" i="36"/>
  <c r="U266" i="36"/>
  <c r="U267" i="36"/>
  <c r="U268" i="36"/>
  <c r="U269" i="36"/>
  <c r="U270" i="36"/>
  <c r="U271" i="36"/>
  <c r="U272" i="36"/>
  <c r="U273" i="36"/>
  <c r="U274" i="36"/>
  <c r="U275" i="36"/>
  <c r="U276" i="36"/>
  <c r="U277" i="36"/>
  <c r="U278" i="36"/>
  <c r="U279" i="36"/>
  <c r="U280" i="36"/>
  <c r="U281" i="36"/>
  <c r="U282" i="36"/>
  <c r="U283" i="36"/>
  <c r="U284" i="36"/>
  <c r="U285" i="36"/>
  <c r="U286" i="36"/>
  <c r="U287" i="36"/>
  <c r="U288" i="36"/>
  <c r="U289" i="36"/>
  <c r="U290" i="36"/>
  <c r="U291" i="36"/>
  <c r="U292" i="36"/>
  <c r="U293" i="36"/>
  <c r="U294" i="36"/>
  <c r="U295" i="36"/>
  <c r="U296" i="36"/>
  <c r="U297" i="36"/>
  <c r="U298" i="36"/>
  <c r="U299" i="36"/>
  <c r="U300" i="36"/>
  <c r="U301" i="36"/>
  <c r="U302" i="36"/>
  <c r="U303" i="36"/>
  <c r="U304" i="36"/>
  <c r="U305" i="36"/>
  <c r="U306" i="36"/>
  <c r="U307" i="36"/>
  <c r="U308" i="36"/>
  <c r="U309" i="36"/>
  <c r="U310" i="36"/>
  <c r="U12" i="36"/>
  <c r="U13" i="36"/>
  <c r="U14" i="36"/>
  <c r="U15" i="36"/>
  <c r="U16" i="36"/>
  <c r="U17" i="36"/>
  <c r="U18" i="36"/>
  <c r="U19" i="36"/>
  <c r="U20" i="36"/>
  <c r="U21" i="36"/>
  <c r="U22" i="36"/>
  <c r="U23" i="36"/>
  <c r="U24" i="36"/>
  <c r="U25" i="36"/>
  <c r="U26" i="36"/>
  <c r="U27" i="36"/>
  <c r="U28" i="36"/>
  <c r="U29" i="36"/>
  <c r="U30" i="36"/>
  <c r="U31" i="36"/>
  <c r="U32" i="36"/>
  <c r="U33" i="36"/>
  <c r="U34" i="36"/>
  <c r="U35" i="36"/>
  <c r="U36" i="36"/>
  <c r="U37" i="36"/>
  <c r="U38" i="36"/>
  <c r="U39" i="36"/>
  <c r="U40" i="36"/>
  <c r="U41" i="36"/>
  <c r="U42" i="36"/>
  <c r="U43" i="36"/>
  <c r="U44" i="36"/>
  <c r="U45" i="36"/>
  <c r="U46" i="36"/>
  <c r="U47" i="36"/>
  <c r="U48" i="36"/>
  <c r="U49" i="36"/>
  <c r="U50" i="36"/>
  <c r="U51" i="36"/>
  <c r="U52" i="36"/>
  <c r="U53" i="36"/>
  <c r="U54" i="36"/>
  <c r="U55" i="36"/>
  <c r="U56" i="36"/>
  <c r="U57" i="36"/>
  <c r="U58" i="36"/>
  <c r="U59" i="36"/>
  <c r="U60" i="36"/>
  <c r="U61" i="36"/>
  <c r="U62" i="36"/>
  <c r="U63" i="36"/>
  <c r="U64" i="36"/>
  <c r="U65" i="36"/>
  <c r="U66" i="36"/>
  <c r="U67" i="36"/>
  <c r="U68" i="36"/>
  <c r="U69" i="36"/>
  <c r="U70" i="36"/>
  <c r="U71" i="36"/>
  <c r="U72" i="36"/>
  <c r="U73" i="36"/>
  <c r="U74" i="36"/>
  <c r="U75" i="36"/>
  <c r="U76" i="36"/>
  <c r="U77" i="36"/>
  <c r="U78" i="36"/>
  <c r="U79" i="36"/>
  <c r="U80" i="36"/>
  <c r="U81" i="36"/>
  <c r="U82" i="36"/>
  <c r="U83" i="36"/>
  <c r="U84" i="36"/>
  <c r="U85" i="36"/>
  <c r="U86" i="36"/>
  <c r="U87" i="36"/>
  <c r="U88" i="36"/>
  <c r="U89" i="36"/>
  <c r="U90" i="36"/>
  <c r="U91" i="36"/>
  <c r="U92" i="36"/>
  <c r="U93" i="36"/>
  <c r="U94" i="36"/>
  <c r="U95" i="36"/>
  <c r="U96" i="36"/>
  <c r="U97" i="36"/>
  <c r="U98" i="36"/>
  <c r="U99" i="36"/>
  <c r="U100" i="36"/>
  <c r="U101" i="36"/>
  <c r="U102" i="36"/>
  <c r="U103" i="36"/>
  <c r="U104" i="36"/>
  <c r="U105" i="36"/>
  <c r="U106" i="36"/>
  <c r="U107" i="36"/>
  <c r="U108" i="36"/>
  <c r="U109" i="36"/>
  <c r="U110" i="36"/>
  <c r="U111" i="36"/>
  <c r="U112" i="36"/>
  <c r="U113" i="36"/>
  <c r="U114" i="36"/>
  <c r="U115" i="36"/>
  <c r="U116" i="36"/>
  <c r="U117" i="36"/>
  <c r="U118" i="36"/>
  <c r="U119" i="36"/>
  <c r="U120" i="36"/>
  <c r="U121" i="36"/>
  <c r="U122" i="36"/>
  <c r="U123" i="36"/>
  <c r="U124" i="36"/>
  <c r="U125" i="36"/>
  <c r="U126" i="36"/>
  <c r="U127" i="36"/>
  <c r="U128" i="36"/>
  <c r="U129" i="36"/>
  <c r="U130" i="36"/>
  <c r="U131" i="36"/>
  <c r="U132" i="36"/>
  <c r="U133" i="36"/>
  <c r="U134" i="36"/>
  <c r="U135" i="36"/>
  <c r="U136" i="36"/>
  <c r="U137" i="36"/>
  <c r="U138" i="36"/>
  <c r="U139" i="36"/>
  <c r="U140" i="36"/>
  <c r="U141" i="36"/>
  <c r="U142" i="36"/>
  <c r="U143" i="36"/>
  <c r="U144" i="36"/>
  <c r="U145" i="36"/>
  <c r="U146" i="36"/>
  <c r="U147" i="36"/>
  <c r="U148" i="36"/>
  <c r="U149" i="36"/>
  <c r="U150" i="36"/>
  <c r="U151" i="36"/>
  <c r="U152" i="36"/>
  <c r="U153" i="36"/>
  <c r="U154" i="36"/>
  <c r="U155" i="36"/>
  <c r="U156" i="36"/>
  <c r="U157" i="36"/>
  <c r="U158" i="36"/>
  <c r="U159" i="36"/>
  <c r="U160" i="36"/>
  <c r="U161" i="36"/>
  <c r="U162" i="36"/>
  <c r="U163" i="36"/>
  <c r="U164" i="36"/>
  <c r="U165" i="36"/>
  <c r="U166" i="36"/>
  <c r="U167" i="36"/>
  <c r="U168" i="36"/>
  <c r="U169" i="36"/>
  <c r="U170" i="36"/>
  <c r="U171" i="36"/>
  <c r="U172" i="36"/>
  <c r="U173" i="36"/>
  <c r="U174" i="36"/>
  <c r="U175" i="36"/>
  <c r="U176" i="36"/>
  <c r="U177" i="36"/>
  <c r="U178" i="36"/>
  <c r="U179" i="36"/>
  <c r="U180" i="36"/>
  <c r="U181" i="36"/>
  <c r="U182" i="36"/>
  <c r="U183" i="36"/>
  <c r="U184" i="36"/>
  <c r="U185" i="36"/>
  <c r="U186" i="36"/>
  <c r="U187" i="36"/>
  <c r="U188" i="36"/>
  <c r="U189" i="36"/>
  <c r="U190" i="36"/>
  <c r="U191" i="36"/>
  <c r="U192" i="36"/>
  <c r="U193" i="36"/>
  <c r="U194" i="36"/>
  <c r="U195" i="36"/>
  <c r="U196" i="36"/>
  <c r="U197" i="36"/>
  <c r="U198" i="36"/>
  <c r="U199" i="36"/>
  <c r="U200" i="36"/>
  <c r="U201" i="36"/>
  <c r="U202" i="36"/>
  <c r="U203" i="36"/>
  <c r="U204" i="36"/>
  <c r="U205" i="36"/>
  <c r="U206" i="36"/>
  <c r="U207" i="36"/>
  <c r="U208" i="36"/>
  <c r="U209" i="36"/>
  <c r="U210" i="36"/>
  <c r="U211" i="36"/>
  <c r="U212" i="36"/>
  <c r="U213" i="36"/>
  <c r="U214" i="36"/>
  <c r="U215" i="36"/>
  <c r="U216" i="36"/>
  <c r="U217" i="36"/>
  <c r="U218" i="36"/>
  <c r="U219" i="36"/>
  <c r="U220" i="36"/>
  <c r="U221" i="36"/>
  <c r="U222" i="36"/>
  <c r="N25" i="9" l="1"/>
  <c r="H18" i="38"/>
  <c r="F11" i="36"/>
  <c r="F12" i="36"/>
  <c r="F13" i="36"/>
  <c r="F14" i="36"/>
  <c r="F15" i="36"/>
  <c r="F16" i="36"/>
  <c r="F17" i="36"/>
  <c r="F18" i="36"/>
  <c r="F19" i="36"/>
  <c r="F20" i="36"/>
  <c r="F21" i="36"/>
  <c r="F22" i="36"/>
  <c r="F23" i="36"/>
  <c r="F24" i="36"/>
  <c r="F25" i="36"/>
  <c r="F26" i="36"/>
  <c r="F27" i="36"/>
  <c r="F28" i="36"/>
  <c r="F29" i="36"/>
  <c r="F30" i="36"/>
  <c r="F31" i="36"/>
  <c r="F32" i="36"/>
  <c r="F33" i="36"/>
  <c r="F34" i="36"/>
  <c r="F35" i="36"/>
  <c r="F36" i="36"/>
  <c r="F37" i="36"/>
  <c r="F38" i="36"/>
  <c r="F39" i="36"/>
  <c r="F40" i="36"/>
  <c r="F41" i="36"/>
  <c r="F43" i="36"/>
  <c r="F44" i="36"/>
  <c r="F45" i="36"/>
  <c r="F46" i="36"/>
  <c r="F47" i="36"/>
  <c r="F48" i="36"/>
  <c r="F49" i="36"/>
  <c r="F50" i="36"/>
  <c r="F51" i="36"/>
  <c r="F52" i="36"/>
  <c r="F53" i="36"/>
  <c r="F54" i="36"/>
  <c r="F55" i="36"/>
  <c r="F56" i="36"/>
  <c r="F57" i="36"/>
  <c r="F58" i="36"/>
  <c r="F59" i="36"/>
  <c r="F60" i="36"/>
  <c r="F10" i="36"/>
  <c r="AD54" i="38" l="1"/>
  <c r="AD55" i="38"/>
  <c r="AD56" i="38"/>
  <c r="AD57" i="38"/>
  <c r="AD58" i="38"/>
  <c r="AD53" i="38"/>
  <c r="AD51" i="38"/>
  <c r="AD52" i="38"/>
  <c r="AD47" i="38"/>
  <c r="AD48" i="38"/>
  <c r="AD49" i="38"/>
  <c r="AD50" i="38"/>
  <c r="AD41" i="38"/>
  <c r="AD42" i="38"/>
  <c r="AD43" i="38"/>
  <c r="AD44" i="38"/>
  <c r="AD45" i="38"/>
  <c r="AD46" i="38"/>
  <c r="AD15" i="38"/>
  <c r="AD16" i="38"/>
  <c r="AD17" i="38"/>
  <c r="AD18" i="38"/>
  <c r="AD19" i="38"/>
  <c r="AD20" i="38"/>
  <c r="AD21" i="38"/>
  <c r="AD22" i="38"/>
  <c r="AD23" i="38"/>
  <c r="AD24" i="38"/>
  <c r="AD25" i="38"/>
  <c r="AD26" i="38"/>
  <c r="AD27" i="38"/>
  <c r="AD28" i="38"/>
  <c r="AD29" i="38"/>
  <c r="AD30" i="38"/>
  <c r="AD31" i="38"/>
  <c r="AD32" i="38"/>
  <c r="AD33" i="38"/>
  <c r="AD34" i="38"/>
  <c r="AD35" i="38"/>
  <c r="AD36" i="38"/>
  <c r="AD37" i="38"/>
  <c r="AD38" i="38"/>
  <c r="AD39" i="38"/>
  <c r="AD40" i="38"/>
  <c r="EC2" i="9" l="1"/>
  <c r="EB142" i="9" s="1" a="1"/>
  <c r="EB142" i="9" s="1"/>
  <c r="EB35" i="9" l="1" a="1"/>
  <c r="EB35" i="9" s="1"/>
  <c r="W44" i="10" l="1"/>
  <c r="W45" i="10"/>
  <c r="W46" i="10"/>
  <c r="W47" i="10"/>
  <c r="W48" i="10"/>
  <c r="W49" i="10"/>
  <c r="W50" i="10"/>
  <c r="W51" i="10"/>
  <c r="W52" i="10"/>
  <c r="W53" i="10"/>
  <c r="W54" i="10"/>
  <c r="W55" i="10"/>
  <c r="W56" i="10"/>
  <c r="W57" i="10"/>
  <c r="W58" i="10"/>
  <c r="W59" i="10"/>
  <c r="W60" i="10"/>
  <c r="W61" i="10"/>
  <c r="W62" i="10"/>
  <c r="W63" i="10"/>
  <c r="W64" i="10"/>
  <c r="W65" i="10"/>
  <c r="W66" i="10"/>
  <c r="W67" i="10"/>
  <c r="W68" i="10"/>
  <c r="W69" i="10"/>
  <c r="W70" i="10"/>
  <c r="W71" i="10"/>
  <c r="W72" i="10"/>
  <c r="W73" i="10"/>
  <c r="W74" i="10"/>
  <c r="W75" i="10"/>
  <c r="W76" i="10"/>
  <c r="W77" i="10"/>
  <c r="W78" i="10"/>
  <c r="W79" i="10"/>
  <c r="W80" i="10"/>
  <c r="B69" i="10"/>
  <c r="P69" i="10" s="1"/>
  <c r="C69" i="10"/>
  <c r="D69" i="10"/>
  <c r="B70" i="10"/>
  <c r="P70" i="10" s="1"/>
  <c r="C70" i="10"/>
  <c r="D70" i="10"/>
  <c r="B71" i="10"/>
  <c r="P71" i="10" s="1"/>
  <c r="C71" i="10"/>
  <c r="D71" i="10"/>
  <c r="B72" i="10"/>
  <c r="P72" i="10" s="1"/>
  <c r="C72" i="10"/>
  <c r="D72" i="10"/>
  <c r="B73" i="10"/>
  <c r="P73" i="10" s="1"/>
  <c r="C73" i="10"/>
  <c r="D73" i="10"/>
  <c r="B74" i="10"/>
  <c r="P74" i="10" s="1"/>
  <c r="C74" i="10"/>
  <c r="D74" i="10"/>
  <c r="B75" i="10"/>
  <c r="P75" i="10" s="1"/>
  <c r="C75" i="10"/>
  <c r="D75" i="10"/>
  <c r="B76" i="10"/>
  <c r="P76" i="10" s="1"/>
  <c r="C76" i="10"/>
  <c r="D76" i="10"/>
  <c r="B77" i="10"/>
  <c r="P77" i="10" s="1"/>
  <c r="C77" i="10"/>
  <c r="D77" i="10"/>
  <c r="B78" i="10"/>
  <c r="P78" i="10" s="1"/>
  <c r="C78" i="10"/>
  <c r="D78" i="10"/>
  <c r="B79" i="10"/>
  <c r="P79" i="10" s="1"/>
  <c r="C79" i="10"/>
  <c r="D79" i="10"/>
  <c r="B80" i="10"/>
  <c r="P80" i="10" s="1"/>
  <c r="C80" i="10"/>
  <c r="D80" i="10"/>
  <c r="B62" i="10"/>
  <c r="C62" i="10"/>
  <c r="D62" i="10"/>
  <c r="B63" i="10"/>
  <c r="C63" i="10"/>
  <c r="D63" i="10"/>
  <c r="B64" i="10"/>
  <c r="C64" i="10"/>
  <c r="D64" i="10"/>
  <c r="B65" i="10"/>
  <c r="C65" i="10"/>
  <c r="D65" i="10"/>
  <c r="B66" i="10"/>
  <c r="P66" i="10" s="1"/>
  <c r="C66" i="10"/>
  <c r="D66" i="10"/>
  <c r="B67" i="10"/>
  <c r="P67" i="10" s="1"/>
  <c r="C67" i="10"/>
  <c r="D67" i="10"/>
  <c r="B68" i="10"/>
  <c r="C68" i="10"/>
  <c r="D68" i="10"/>
  <c r="B57" i="10"/>
  <c r="D57" i="10"/>
  <c r="B58" i="10"/>
  <c r="D58" i="10"/>
  <c r="B59" i="10"/>
  <c r="D59" i="10"/>
  <c r="B60" i="10"/>
  <c r="D60" i="10"/>
  <c r="B61" i="10"/>
  <c r="D61" i="10"/>
  <c r="B44" i="10"/>
  <c r="D44" i="10"/>
  <c r="B45" i="10"/>
  <c r="D45" i="10"/>
  <c r="B46" i="10"/>
  <c r="D46" i="10"/>
  <c r="B47" i="10"/>
  <c r="D47" i="10"/>
  <c r="B48" i="10"/>
  <c r="D48" i="10"/>
  <c r="B49" i="10"/>
  <c r="D49" i="10"/>
  <c r="B50" i="10"/>
  <c r="D50" i="10"/>
  <c r="B51" i="10"/>
  <c r="D51" i="10"/>
  <c r="B52" i="10"/>
  <c r="D52" i="10"/>
  <c r="B53" i="10"/>
  <c r="D53" i="10"/>
  <c r="B54" i="10"/>
  <c r="D54" i="10"/>
  <c r="B55" i="10"/>
  <c r="D55" i="10"/>
  <c r="B56" i="10"/>
  <c r="D56" i="10"/>
  <c r="H11" i="36"/>
  <c r="H12" i="36"/>
  <c r="H13" i="36"/>
  <c r="H14" i="36"/>
  <c r="H15" i="36"/>
  <c r="H16" i="36"/>
  <c r="AL36" i="36"/>
  <c r="AL37" i="36"/>
  <c r="AL38" i="36"/>
  <c r="AL39" i="36"/>
  <c r="AL40" i="36"/>
  <c r="AL41" i="36"/>
  <c r="AL42" i="36"/>
  <c r="AL43" i="36"/>
  <c r="AL44" i="36"/>
  <c r="AL45" i="36"/>
  <c r="AL46" i="36"/>
  <c r="AL47" i="36"/>
  <c r="AL48" i="36"/>
  <c r="AL49" i="36"/>
  <c r="AL50" i="36"/>
  <c r="AL51" i="36"/>
  <c r="AL52" i="36"/>
  <c r="AL53" i="36"/>
  <c r="AL54" i="36"/>
  <c r="AL55" i="36"/>
  <c r="AL56" i="36"/>
  <c r="AL57" i="36"/>
  <c r="AL58" i="36"/>
  <c r="AL59" i="36"/>
  <c r="AL60" i="36"/>
  <c r="AM60" i="36"/>
  <c r="AL27" i="36"/>
  <c r="AL28" i="36"/>
  <c r="AL29" i="36"/>
  <c r="AL30" i="36"/>
  <c r="AL31" i="36"/>
  <c r="AL32" i="36"/>
  <c r="AL33" i="36"/>
  <c r="AL34" i="36"/>
  <c r="AL35" i="36"/>
  <c r="AL23" i="36"/>
  <c r="AL24" i="36"/>
  <c r="AL25" i="36"/>
  <c r="AL26" i="36"/>
  <c r="A59" i="36"/>
  <c r="N59" i="36" s="1"/>
  <c r="A35" i="36"/>
  <c r="N35" i="36" s="1"/>
  <c r="A36" i="36"/>
  <c r="N36" i="36" s="1"/>
  <c r="A37" i="36"/>
  <c r="N37" i="36" s="1"/>
  <c r="A38" i="36"/>
  <c r="N38" i="36" s="1"/>
  <c r="A39" i="36"/>
  <c r="N39" i="36" s="1"/>
  <c r="A40" i="36"/>
  <c r="N40" i="36" s="1"/>
  <c r="A41" i="36"/>
  <c r="N41" i="36" s="1"/>
  <c r="A42" i="36"/>
  <c r="N42" i="36" s="1"/>
  <c r="A43" i="36"/>
  <c r="N43" i="36" s="1"/>
  <c r="A44" i="36"/>
  <c r="N44" i="36" s="1"/>
  <c r="A45" i="36"/>
  <c r="N45" i="36" s="1"/>
  <c r="A46" i="36"/>
  <c r="N46" i="36" s="1"/>
  <c r="A47" i="36"/>
  <c r="N47" i="36" s="1"/>
  <c r="A48" i="36"/>
  <c r="N48" i="36" s="1"/>
  <c r="A49" i="36"/>
  <c r="N49" i="36" s="1"/>
  <c r="A50" i="36"/>
  <c r="N50" i="36" s="1"/>
  <c r="A51" i="36"/>
  <c r="N51" i="36" s="1"/>
  <c r="A52" i="36"/>
  <c r="N52" i="36" s="1"/>
  <c r="A53" i="36"/>
  <c r="N53" i="36" s="1"/>
  <c r="A54" i="36"/>
  <c r="N54" i="36" s="1"/>
  <c r="A55" i="36"/>
  <c r="N55" i="36" s="1"/>
  <c r="A56" i="36"/>
  <c r="N56" i="36" s="1"/>
  <c r="A57" i="36"/>
  <c r="N57" i="36" s="1"/>
  <c r="A58" i="36"/>
  <c r="N58" i="36" s="1"/>
  <c r="AP36" i="9"/>
  <c r="G36" i="9" s="1"/>
  <c r="AP37" i="9"/>
  <c r="G37" i="9" s="1"/>
  <c r="AP38" i="9"/>
  <c r="G38" i="9" s="1"/>
  <c r="AP39" i="9"/>
  <c r="G39" i="9" s="1"/>
  <c r="AP40" i="9"/>
  <c r="G40" i="9" s="1"/>
  <c r="AP41" i="9"/>
  <c r="G41" i="9" s="1"/>
  <c r="AP42" i="9"/>
  <c r="G42" i="9" s="1"/>
  <c r="AP43" i="9"/>
  <c r="G43" i="9" s="1"/>
  <c r="AP44" i="9"/>
  <c r="G44" i="9" s="1"/>
  <c r="AP45" i="9"/>
  <c r="G45" i="9" s="1"/>
  <c r="AP46" i="9"/>
  <c r="G46" i="9" s="1"/>
  <c r="AP47" i="9"/>
  <c r="G47" i="9" s="1"/>
  <c r="AP48" i="9"/>
  <c r="G48" i="9" s="1"/>
  <c r="AP49" i="9"/>
  <c r="G49" i="9" s="1"/>
  <c r="AP50" i="9"/>
  <c r="G50" i="9" s="1"/>
  <c r="AP51" i="9"/>
  <c r="G51" i="9" s="1"/>
  <c r="AP52" i="9"/>
  <c r="G52" i="9" s="1"/>
  <c r="AP53" i="9"/>
  <c r="G53" i="9" s="1"/>
  <c r="AP54" i="9"/>
  <c r="G54" i="9" s="1"/>
  <c r="AP55" i="9"/>
  <c r="AW30" i="9"/>
  <c r="AW31" i="9"/>
  <c r="AW32" i="9"/>
  <c r="AW33" i="9"/>
  <c r="AW34" i="9"/>
  <c r="AW35" i="9"/>
  <c r="AW36" i="9"/>
  <c r="AW37" i="9"/>
  <c r="AW38" i="9"/>
  <c r="AW39" i="9"/>
  <c r="AW40" i="9"/>
  <c r="AW41" i="9"/>
  <c r="AW42" i="9"/>
  <c r="AW43" i="9"/>
  <c r="AW44" i="9"/>
  <c r="AW45" i="9"/>
  <c r="AW46" i="9"/>
  <c r="AW47" i="9"/>
  <c r="AW48" i="9"/>
  <c r="AW49" i="9"/>
  <c r="AW50" i="9"/>
  <c r="AW51" i="9"/>
  <c r="AW52" i="9"/>
  <c r="AW53" i="9"/>
  <c r="AW54" i="9"/>
  <c r="AW55" i="9"/>
  <c r="AV30" i="9"/>
  <c r="AV31" i="9"/>
  <c r="AV32" i="9"/>
  <c r="AV33" i="9"/>
  <c r="AV34" i="9"/>
  <c r="AV35" i="9"/>
  <c r="AV36" i="9"/>
  <c r="AV37" i="9"/>
  <c r="AV38" i="9"/>
  <c r="AV39" i="9"/>
  <c r="AV40" i="9"/>
  <c r="AV41" i="9"/>
  <c r="AV42" i="9"/>
  <c r="AV43" i="9"/>
  <c r="AV44" i="9"/>
  <c r="AV45" i="9"/>
  <c r="AV46" i="9"/>
  <c r="AV47" i="9"/>
  <c r="AV48" i="9"/>
  <c r="AV49" i="9"/>
  <c r="AV50" i="9"/>
  <c r="AV51" i="9"/>
  <c r="AV52" i="9"/>
  <c r="AV53" i="9"/>
  <c r="AV54" i="9"/>
  <c r="AV55" i="9"/>
  <c r="AU30" i="9"/>
  <c r="AU31" i="9"/>
  <c r="AU32" i="9"/>
  <c r="AU33" i="9"/>
  <c r="AU34" i="9"/>
  <c r="AU35" i="9"/>
  <c r="AU36" i="9"/>
  <c r="AU37" i="9"/>
  <c r="AU38" i="9"/>
  <c r="AU39" i="9"/>
  <c r="AU40" i="9"/>
  <c r="AU41" i="9"/>
  <c r="AU42" i="9"/>
  <c r="AU43" i="9"/>
  <c r="AU44" i="9"/>
  <c r="AU45" i="9"/>
  <c r="AU46" i="9"/>
  <c r="AU47" i="9"/>
  <c r="AU48" i="9"/>
  <c r="AU49" i="9"/>
  <c r="AU50" i="9"/>
  <c r="AU51" i="9"/>
  <c r="AU52" i="9"/>
  <c r="AU53" i="9"/>
  <c r="AU54" i="9"/>
  <c r="AU55" i="9"/>
  <c r="AT30" i="9"/>
  <c r="AT31" i="9"/>
  <c r="L31" i="9" s="1"/>
  <c r="AT32" i="9"/>
  <c r="L32" i="9" s="1"/>
  <c r="AT33" i="9"/>
  <c r="L33" i="9" s="1"/>
  <c r="AT34" i="9"/>
  <c r="L34" i="9" s="1"/>
  <c r="AT35" i="9"/>
  <c r="L35" i="9" s="1"/>
  <c r="AT36" i="9"/>
  <c r="L36" i="9" s="1"/>
  <c r="AT37" i="9"/>
  <c r="L37" i="9" s="1"/>
  <c r="AT38" i="9"/>
  <c r="L38" i="9" s="1"/>
  <c r="M38" i="9" s="1"/>
  <c r="AT39" i="9"/>
  <c r="L39" i="9" s="1"/>
  <c r="M39" i="9" s="1"/>
  <c r="AT40" i="9"/>
  <c r="L40" i="9" s="1"/>
  <c r="M40" i="9" s="1"/>
  <c r="AT41" i="9"/>
  <c r="L41" i="9" s="1"/>
  <c r="M41" i="9" s="1"/>
  <c r="AT42" i="9"/>
  <c r="L42" i="9" s="1"/>
  <c r="M42" i="9" s="1"/>
  <c r="AT43" i="9"/>
  <c r="L43" i="9" s="1"/>
  <c r="M43" i="9" s="1"/>
  <c r="AT44" i="9"/>
  <c r="L44" i="9" s="1"/>
  <c r="M44" i="9" s="1"/>
  <c r="AT45" i="9"/>
  <c r="L45" i="9" s="1"/>
  <c r="M45" i="9" s="1"/>
  <c r="AT46" i="9"/>
  <c r="L46" i="9" s="1"/>
  <c r="M46" i="9" s="1"/>
  <c r="AT47" i="9"/>
  <c r="L47" i="9" s="1"/>
  <c r="M47" i="9" s="1"/>
  <c r="AT48" i="9"/>
  <c r="L48" i="9" s="1"/>
  <c r="M48" i="9" s="1"/>
  <c r="AT49" i="9"/>
  <c r="L49" i="9" s="1"/>
  <c r="M49" i="9" s="1"/>
  <c r="AT50" i="9"/>
  <c r="L50" i="9" s="1"/>
  <c r="M50" i="9" s="1"/>
  <c r="AT51" i="9"/>
  <c r="L51" i="9" s="1"/>
  <c r="M51" i="9" s="1"/>
  <c r="AT52" i="9"/>
  <c r="L52" i="9" s="1"/>
  <c r="M52" i="9" s="1"/>
  <c r="AT53" i="9"/>
  <c r="L53" i="9" s="1"/>
  <c r="M53" i="9" s="1"/>
  <c r="AT54" i="9"/>
  <c r="L54" i="9" s="1"/>
  <c r="M54" i="9" s="1"/>
  <c r="AT55" i="9"/>
  <c r="L55" i="9" s="1"/>
  <c r="AS30" i="9"/>
  <c r="AS31" i="9"/>
  <c r="I31" i="9" s="1"/>
  <c r="E57" i="10" s="1"/>
  <c r="AS32" i="9"/>
  <c r="I32" i="9" s="1"/>
  <c r="E58" i="10" s="1"/>
  <c r="AS33" i="9"/>
  <c r="I33" i="9" s="1"/>
  <c r="E59" i="10" s="1"/>
  <c r="AS34" i="9"/>
  <c r="I34" i="9" s="1"/>
  <c r="E60" i="10" s="1"/>
  <c r="AS35" i="9"/>
  <c r="I35" i="9" s="1"/>
  <c r="E61" i="10" s="1"/>
  <c r="AS36" i="9"/>
  <c r="I36" i="9" s="1"/>
  <c r="E62" i="10" s="1"/>
  <c r="AS37" i="9"/>
  <c r="I37" i="9" s="1"/>
  <c r="E63" i="10" s="1"/>
  <c r="AS38" i="9"/>
  <c r="I38" i="9" s="1"/>
  <c r="AS39" i="9"/>
  <c r="I39" i="9" s="1"/>
  <c r="E65" i="10" s="1"/>
  <c r="AS40" i="9"/>
  <c r="I40" i="9" s="1"/>
  <c r="AS41" i="9"/>
  <c r="I41" i="9" s="1"/>
  <c r="AS42" i="9"/>
  <c r="I42" i="9" s="1"/>
  <c r="AS43" i="9"/>
  <c r="I43" i="9" s="1"/>
  <c r="AS44" i="9"/>
  <c r="I44" i="9" s="1"/>
  <c r="AS45" i="9"/>
  <c r="I45" i="9" s="1"/>
  <c r="AS46" i="9"/>
  <c r="I46" i="9" s="1"/>
  <c r="AS47" i="9"/>
  <c r="I47" i="9" s="1"/>
  <c r="AS48" i="9"/>
  <c r="I48" i="9" s="1"/>
  <c r="AS49" i="9"/>
  <c r="I49" i="9" s="1"/>
  <c r="AS50" i="9"/>
  <c r="I50" i="9" s="1"/>
  <c r="AS51" i="9"/>
  <c r="I51" i="9" s="1"/>
  <c r="AS52" i="9"/>
  <c r="I52" i="9" s="1"/>
  <c r="AS53" i="9"/>
  <c r="I53" i="9" s="1"/>
  <c r="AS54" i="9"/>
  <c r="I54" i="9" s="1"/>
  <c r="AS55" i="9"/>
  <c r="I55" i="9" s="1"/>
  <c r="AR30" i="9"/>
  <c r="AR31" i="9"/>
  <c r="AR32" i="9"/>
  <c r="AR33" i="9"/>
  <c r="AR34" i="9"/>
  <c r="AR35" i="9"/>
  <c r="AR36" i="9"/>
  <c r="AR37" i="9"/>
  <c r="AR38" i="9"/>
  <c r="AR39" i="9"/>
  <c r="AR40" i="9"/>
  <c r="AR41" i="9"/>
  <c r="AR42" i="9"/>
  <c r="AR43" i="9"/>
  <c r="AR44" i="9"/>
  <c r="AR45" i="9"/>
  <c r="AR46" i="9"/>
  <c r="AR47" i="9"/>
  <c r="AR48" i="9"/>
  <c r="AR49" i="9"/>
  <c r="AR50" i="9"/>
  <c r="AR51" i="9"/>
  <c r="AR52" i="9"/>
  <c r="AR53" i="9"/>
  <c r="AR54" i="9"/>
  <c r="AR55" i="9"/>
  <c r="A33" i="36"/>
  <c r="N33" i="36" s="1"/>
  <c r="A34" i="36"/>
  <c r="N34" i="36" s="1"/>
  <c r="A23" i="36"/>
  <c r="N23" i="36" s="1"/>
  <c r="A24" i="36"/>
  <c r="N24" i="36" s="1"/>
  <c r="A25" i="36"/>
  <c r="N25" i="36" s="1"/>
  <c r="A26" i="36"/>
  <c r="N26" i="36" s="1"/>
  <c r="A27" i="36"/>
  <c r="N27" i="36" s="1"/>
  <c r="A28" i="36"/>
  <c r="N28" i="36" s="1"/>
  <c r="A29" i="36"/>
  <c r="N29" i="36" s="1"/>
  <c r="A30" i="36"/>
  <c r="N30" i="36" s="1"/>
  <c r="A31" i="36"/>
  <c r="N31" i="36" s="1"/>
  <c r="A32" i="36"/>
  <c r="N32" i="36" s="1"/>
  <c r="B33" i="36" l="1"/>
  <c r="AJ33" i="36" s="1"/>
  <c r="AO33" i="36"/>
  <c r="B52" i="36"/>
  <c r="AJ52" i="36" s="1"/>
  <c r="AO52" i="36"/>
  <c r="B44" i="36"/>
  <c r="AJ44" i="36" s="1"/>
  <c r="AO44" i="36"/>
  <c r="B36" i="36"/>
  <c r="AJ36" i="36" s="1"/>
  <c r="AO36" i="36"/>
  <c r="B32" i="36"/>
  <c r="AJ32" i="36" s="1"/>
  <c r="AO32" i="36"/>
  <c r="B24" i="36"/>
  <c r="AJ24" i="36" s="1"/>
  <c r="AO24" i="36"/>
  <c r="P31" i="36"/>
  <c r="AO31" i="36"/>
  <c r="P34" i="36"/>
  <c r="AO34" i="36"/>
  <c r="B51" i="36"/>
  <c r="AJ51" i="36" s="1"/>
  <c r="B39" i="36"/>
  <c r="AJ39" i="36" s="1"/>
  <c r="AO39" i="36"/>
  <c r="AO54" i="36"/>
  <c r="Q57" i="36"/>
  <c r="AO57" i="36"/>
  <c r="B49" i="36"/>
  <c r="AJ49" i="36" s="1"/>
  <c r="B38" i="36"/>
  <c r="AJ38" i="36" s="1"/>
  <c r="AO38" i="36"/>
  <c r="AO25" i="36"/>
  <c r="B54" i="36"/>
  <c r="AJ54" i="36" s="1"/>
  <c r="B57" i="36"/>
  <c r="AJ57" i="36" s="1"/>
  <c r="C38" i="36"/>
  <c r="H38" i="36" s="1"/>
  <c r="C54" i="36"/>
  <c r="AK54" i="36" s="1"/>
  <c r="C57" i="36"/>
  <c r="H57" i="36" s="1"/>
  <c r="C32" i="36"/>
  <c r="H32" i="36" s="1"/>
  <c r="Q34" i="36"/>
  <c r="E80" i="10"/>
  <c r="J54" i="9"/>
  <c r="J38" i="9"/>
  <c r="E64" i="10"/>
  <c r="J50" i="9"/>
  <c r="E76" i="10"/>
  <c r="J42" i="9"/>
  <c r="E68" i="10"/>
  <c r="J49" i="9"/>
  <c r="E75" i="10"/>
  <c r="J48" i="9"/>
  <c r="E74" i="10"/>
  <c r="B50" i="36"/>
  <c r="AJ50" i="36" s="1"/>
  <c r="P50" i="36"/>
  <c r="Q50" i="36"/>
  <c r="AO50" i="36"/>
  <c r="AO46" i="36"/>
  <c r="Q46" i="36"/>
  <c r="P41" i="36"/>
  <c r="Q41" i="36"/>
  <c r="AO41" i="36"/>
  <c r="P30" i="36"/>
  <c r="AO30" i="36"/>
  <c r="Q30" i="36"/>
  <c r="P24" i="36"/>
  <c r="Q24" i="36"/>
  <c r="J47" i="9"/>
  <c r="E73" i="10"/>
  <c r="P46" i="36"/>
  <c r="J41" i="9"/>
  <c r="E67" i="10"/>
  <c r="B31" i="36"/>
  <c r="AJ31" i="36" s="1"/>
  <c r="Q31" i="36"/>
  <c r="C49" i="36"/>
  <c r="Q45" i="36"/>
  <c r="AO45" i="36"/>
  <c r="P45" i="36"/>
  <c r="AO40" i="36"/>
  <c r="Q40" i="36"/>
  <c r="P40" i="36"/>
  <c r="C36" i="36"/>
  <c r="E36" i="36" s="1"/>
  <c r="AM36" i="36" s="1"/>
  <c r="Q36" i="36"/>
  <c r="P36" i="36"/>
  <c r="C29" i="36"/>
  <c r="P29" i="36"/>
  <c r="Q29" i="36"/>
  <c r="AO29" i="36"/>
  <c r="B23" i="36"/>
  <c r="AJ23" i="36" s="1"/>
  <c r="P23" i="36"/>
  <c r="Q23" i="36"/>
  <c r="AO23" i="36"/>
  <c r="B58" i="36"/>
  <c r="AJ58" i="36" s="1"/>
  <c r="AO58" i="36"/>
  <c r="P58" i="36"/>
  <c r="Q58" i="36"/>
  <c r="Q54" i="36"/>
  <c r="P54" i="36"/>
  <c r="B35" i="36"/>
  <c r="AJ35" i="36" s="1"/>
  <c r="P35" i="36"/>
  <c r="AO35" i="36"/>
  <c r="Q35" i="36"/>
  <c r="Q53" i="36"/>
  <c r="AO53" i="36"/>
  <c r="P53" i="36"/>
  <c r="P49" i="36"/>
  <c r="AO49" i="36"/>
  <c r="C44" i="36"/>
  <c r="P44" i="36"/>
  <c r="Q44" i="36"/>
  <c r="AO48" i="36"/>
  <c r="Q48" i="36"/>
  <c r="P48" i="36"/>
  <c r="B43" i="36"/>
  <c r="AJ43" i="36" s="1"/>
  <c r="Q43" i="36"/>
  <c r="AO43" i="36"/>
  <c r="P43" i="36"/>
  <c r="C43" i="36"/>
  <c r="B26" i="36"/>
  <c r="AJ26" i="36" s="1"/>
  <c r="AO26" i="36"/>
  <c r="Q26" i="36"/>
  <c r="P26" i="36"/>
  <c r="P33" i="36"/>
  <c r="Q33" i="36"/>
  <c r="J53" i="9"/>
  <c r="E79" i="10"/>
  <c r="J45" i="9"/>
  <c r="E71" i="10"/>
  <c r="P57" i="36"/>
  <c r="P52" i="36"/>
  <c r="Q52" i="36"/>
  <c r="P47" i="36"/>
  <c r="AO47" i="36"/>
  <c r="Q47" i="36"/>
  <c r="B47" i="36"/>
  <c r="AJ47" i="36" s="1"/>
  <c r="B42" i="36"/>
  <c r="AJ42" i="36" s="1"/>
  <c r="P42" i="36"/>
  <c r="Q42" i="36"/>
  <c r="AO42" i="36"/>
  <c r="Q49" i="36"/>
  <c r="B27" i="36"/>
  <c r="AJ27" i="36" s="1"/>
  <c r="AO27" i="36"/>
  <c r="Q27" i="36"/>
  <c r="P27" i="36"/>
  <c r="Q25" i="36"/>
  <c r="P25" i="36"/>
  <c r="J52" i="9"/>
  <c r="E78" i="10"/>
  <c r="J44" i="9"/>
  <c r="E70" i="10"/>
  <c r="AO56" i="36"/>
  <c r="Q56" i="36"/>
  <c r="P56" i="36"/>
  <c r="J46" i="9"/>
  <c r="E72" i="10"/>
  <c r="J40" i="9"/>
  <c r="E66" i="10"/>
  <c r="C46" i="36"/>
  <c r="E46" i="36" s="1"/>
  <c r="AM46" i="36" s="1"/>
  <c r="Q38" i="36"/>
  <c r="P38" i="36"/>
  <c r="P32" i="36"/>
  <c r="Q32" i="36"/>
  <c r="C24" i="36"/>
  <c r="J39" i="9"/>
  <c r="J51" i="9"/>
  <c r="E77" i="10"/>
  <c r="J43" i="9"/>
  <c r="E69" i="10"/>
  <c r="AO55" i="36"/>
  <c r="P55" i="36"/>
  <c r="Q55" i="36"/>
  <c r="B55" i="36"/>
  <c r="AJ55" i="36" s="1"/>
  <c r="P51" i="36"/>
  <c r="Q51" i="36"/>
  <c r="AO51" i="36"/>
  <c r="C51" i="36"/>
  <c r="B46" i="36"/>
  <c r="AJ46" i="36" s="1"/>
  <c r="B41" i="36"/>
  <c r="AJ41" i="36" s="1"/>
  <c r="P37" i="36"/>
  <c r="AO37" i="36"/>
  <c r="Q37" i="36"/>
  <c r="B28" i="36"/>
  <c r="AJ28" i="36" s="1"/>
  <c r="AO28" i="36"/>
  <c r="Q28" i="36"/>
  <c r="P28" i="36"/>
  <c r="P39" i="36"/>
  <c r="Q39" i="36"/>
  <c r="B59" i="36"/>
  <c r="AJ59" i="36" s="1"/>
  <c r="AO59" i="36"/>
  <c r="Q59" i="36"/>
  <c r="P59" i="36"/>
  <c r="C59" i="36"/>
  <c r="C56" i="36"/>
  <c r="C40" i="36"/>
  <c r="C48" i="36"/>
  <c r="B56" i="36"/>
  <c r="AJ56" i="36" s="1"/>
  <c r="C55" i="36"/>
  <c r="B48" i="36"/>
  <c r="AJ48" i="36" s="1"/>
  <c r="C47" i="36"/>
  <c r="B40" i="36"/>
  <c r="AJ40" i="36" s="1"/>
  <c r="C39" i="36"/>
  <c r="C53" i="36"/>
  <c r="C37" i="36"/>
  <c r="C45" i="36"/>
  <c r="B53" i="36"/>
  <c r="AJ53" i="36" s="1"/>
  <c r="C52" i="36"/>
  <c r="V73" i="10" s="1"/>
  <c r="G73" i="10" s="1"/>
  <c r="B45" i="36"/>
  <c r="AJ45" i="36" s="1"/>
  <c r="B37" i="36"/>
  <c r="AJ37" i="36" s="1"/>
  <c r="C35" i="36"/>
  <c r="C50" i="36"/>
  <c r="C42" i="36"/>
  <c r="C58" i="36"/>
  <c r="B29" i="36"/>
  <c r="AJ29" i="36" s="1"/>
  <c r="C30" i="36"/>
  <c r="C34" i="36"/>
  <c r="B30" i="36"/>
  <c r="B34" i="36"/>
  <c r="AJ34" i="36" s="1"/>
  <c r="C33" i="36"/>
  <c r="V54" i="10" s="1"/>
  <c r="G54" i="10" s="1"/>
  <c r="C25" i="36"/>
  <c r="C28" i="36"/>
  <c r="B25" i="36"/>
  <c r="AJ25" i="36" s="1"/>
  <c r="C31" i="36"/>
  <c r="C27" i="36"/>
  <c r="C23" i="36"/>
  <c r="C26" i="36"/>
  <c r="EH2" i="9"/>
  <c r="EH3" i="9"/>
  <c r="EH4" i="9"/>
  <c r="EH5" i="9"/>
  <c r="EH6" i="9"/>
  <c r="EH7" i="9"/>
  <c r="EH8" i="9"/>
  <c r="EH9" i="9"/>
  <c r="EH10" i="9"/>
  <c r="EH11" i="9"/>
  <c r="EH13" i="9"/>
  <c r="EH14" i="9"/>
  <c r="EH15" i="9"/>
  <c r="EH16" i="9"/>
  <c r="EH17" i="9"/>
  <c r="EH18" i="9"/>
  <c r="EH19" i="9"/>
  <c r="EH20" i="9"/>
  <c r="EH21" i="9"/>
  <c r="AW5" i="9"/>
  <c r="V60" i="10" l="1"/>
  <c r="G60" i="10" s="1"/>
  <c r="V59" i="10"/>
  <c r="G59" i="10" s="1"/>
  <c r="F42" i="36"/>
  <c r="V70" i="10"/>
  <c r="G70" i="10" s="1"/>
  <c r="V65" i="10"/>
  <c r="G65" i="10" s="1"/>
  <c r="P57" i="10"/>
  <c r="E38" i="36"/>
  <c r="AI38" i="36" s="1"/>
  <c r="AK38" i="36"/>
  <c r="E32" i="36"/>
  <c r="AI32" i="36" s="1"/>
  <c r="E54" i="36"/>
  <c r="AM54" i="36" s="1"/>
  <c r="E57" i="36"/>
  <c r="AM57" i="36" s="1"/>
  <c r="V75" i="10"/>
  <c r="G75" i="10" s="1"/>
  <c r="AK57" i="36"/>
  <c r="H54" i="36"/>
  <c r="V52" i="10"/>
  <c r="G52" i="10" s="1"/>
  <c r="V78" i="10"/>
  <c r="G78" i="10" s="1"/>
  <c r="E44" i="36"/>
  <c r="V53" i="10"/>
  <c r="G53" i="10" s="1"/>
  <c r="E49" i="36"/>
  <c r="AM49" i="36" s="1"/>
  <c r="AK32" i="36"/>
  <c r="V63" i="10"/>
  <c r="V68" i="10"/>
  <c r="G68" i="10" s="1"/>
  <c r="V80" i="10"/>
  <c r="G80" i="10" s="1"/>
  <c r="V56" i="10"/>
  <c r="G56" i="10" s="1"/>
  <c r="V64" i="10"/>
  <c r="G64" i="10" s="1"/>
  <c r="V51" i="10"/>
  <c r="G51" i="10" s="1"/>
  <c r="V48" i="10"/>
  <c r="G48" i="10" s="1"/>
  <c r="V46" i="10"/>
  <c r="G46" i="10" s="1"/>
  <c r="E24" i="36"/>
  <c r="P45" i="10" s="1"/>
  <c r="H24" i="36"/>
  <c r="AK24" i="36"/>
  <c r="AQ52" i="9"/>
  <c r="F78" i="10"/>
  <c r="AQ45" i="9"/>
  <c r="F71" i="10"/>
  <c r="AQ41" i="9"/>
  <c r="F67" i="10"/>
  <c r="AQ42" i="9"/>
  <c r="F68" i="10"/>
  <c r="V66" i="10"/>
  <c r="G66" i="10" s="1"/>
  <c r="V58" i="10"/>
  <c r="G58" i="10" s="1"/>
  <c r="V74" i="10"/>
  <c r="G74" i="10" s="1"/>
  <c r="E51" i="36"/>
  <c r="H51" i="36"/>
  <c r="AK51" i="36"/>
  <c r="AQ46" i="9"/>
  <c r="F72" i="10"/>
  <c r="AK36" i="36"/>
  <c r="H36" i="36"/>
  <c r="H47" i="36"/>
  <c r="AK47" i="36"/>
  <c r="H28" i="36"/>
  <c r="AK28" i="36"/>
  <c r="H58" i="36"/>
  <c r="AK58" i="36"/>
  <c r="AK45" i="36"/>
  <c r="H45" i="36"/>
  <c r="V50" i="10"/>
  <c r="G50" i="10" s="1"/>
  <c r="V77" i="10"/>
  <c r="G77" i="10" s="1"/>
  <c r="V76" i="10"/>
  <c r="G76" i="10" s="1"/>
  <c r="AI36" i="36"/>
  <c r="AQ53" i="9"/>
  <c r="F79" i="10"/>
  <c r="E43" i="36"/>
  <c r="P64" i="10" s="1"/>
  <c r="H43" i="36"/>
  <c r="AK43" i="36"/>
  <c r="H49" i="36"/>
  <c r="AK49" i="36"/>
  <c r="AQ50" i="9"/>
  <c r="F76" i="10"/>
  <c r="AI46" i="36"/>
  <c r="H30" i="36"/>
  <c r="AK30" i="36"/>
  <c r="AK42" i="36"/>
  <c r="H42" i="36"/>
  <c r="V71" i="10"/>
  <c r="G71" i="10" s="1"/>
  <c r="V44" i="10"/>
  <c r="G44" i="10" s="1"/>
  <c r="AQ43" i="9"/>
  <c r="F69" i="10"/>
  <c r="H31" i="36"/>
  <c r="AK31" i="36"/>
  <c r="H56" i="36"/>
  <c r="AK56" i="36"/>
  <c r="AK33" i="36"/>
  <c r="H33" i="36"/>
  <c r="AK50" i="36"/>
  <c r="H50" i="36"/>
  <c r="AK53" i="36"/>
  <c r="H53" i="36"/>
  <c r="H55" i="36"/>
  <c r="AK55" i="36"/>
  <c r="AK26" i="36"/>
  <c r="H26" i="36"/>
  <c r="V61" i="10"/>
  <c r="G61" i="10" s="1"/>
  <c r="V47" i="10"/>
  <c r="G47" i="10" s="1"/>
  <c r="V72" i="10"/>
  <c r="G72" i="10" s="1"/>
  <c r="H46" i="36"/>
  <c r="AK46" i="36"/>
  <c r="E29" i="36"/>
  <c r="AM29" i="36" s="1"/>
  <c r="H29" i="36"/>
  <c r="AK29" i="36"/>
  <c r="AQ47" i="9"/>
  <c r="F73" i="10"/>
  <c r="AQ48" i="9"/>
  <c r="F74" i="10"/>
  <c r="AQ49" i="9"/>
  <c r="F75" i="10"/>
  <c r="AQ38" i="9"/>
  <c r="F64" i="10"/>
  <c r="H52" i="36"/>
  <c r="AK52" i="36"/>
  <c r="AK25" i="36"/>
  <c r="H25" i="36"/>
  <c r="H37" i="36"/>
  <c r="AK37" i="36"/>
  <c r="H59" i="36"/>
  <c r="AK59" i="36"/>
  <c r="H35" i="36"/>
  <c r="AK35" i="36"/>
  <c r="AK23" i="36"/>
  <c r="H23" i="36"/>
  <c r="AJ30" i="36"/>
  <c r="H39" i="36"/>
  <c r="AK39" i="36"/>
  <c r="H48" i="36"/>
  <c r="AK48" i="36"/>
  <c r="V55" i="10"/>
  <c r="G55" i="10" s="1"/>
  <c r="V79" i="10"/>
  <c r="G79" i="10" s="1"/>
  <c r="V67" i="10"/>
  <c r="G67" i="10" s="1"/>
  <c r="V45" i="10"/>
  <c r="G45" i="10" s="1"/>
  <c r="AQ51" i="9"/>
  <c r="F77" i="10"/>
  <c r="AQ44" i="9"/>
  <c r="F70" i="10"/>
  <c r="AQ54" i="9"/>
  <c r="F80" i="10"/>
  <c r="H27" i="36"/>
  <c r="AK27" i="36"/>
  <c r="AK34" i="36"/>
  <c r="H34" i="36"/>
  <c r="H40" i="36"/>
  <c r="AK40" i="36"/>
  <c r="V57" i="10"/>
  <c r="G57" i="10" s="1"/>
  <c r="V69" i="10"/>
  <c r="G69" i="10" s="1"/>
  <c r="V49" i="10"/>
  <c r="G49" i="10" s="1"/>
  <c r="AQ39" i="9"/>
  <c r="F65" i="10"/>
  <c r="AQ40" i="9"/>
  <c r="F66" i="10"/>
  <c r="AK44" i="36"/>
  <c r="H44" i="36"/>
  <c r="E59" i="36"/>
  <c r="AM59" i="36" s="1"/>
  <c r="E50" i="36"/>
  <c r="AM50" i="36" s="1"/>
  <c r="E35" i="36"/>
  <c r="AM35" i="36" s="1"/>
  <c r="E45" i="36"/>
  <c r="AM45" i="36" s="1"/>
  <c r="E48" i="36"/>
  <c r="AM48" i="36" s="1"/>
  <c r="E37" i="36"/>
  <c r="AM37" i="36" s="1"/>
  <c r="E47" i="36"/>
  <c r="AM47" i="36" s="1"/>
  <c r="E40" i="36"/>
  <c r="AM40" i="36" s="1"/>
  <c r="E56" i="36"/>
  <c r="AM56" i="36" s="1"/>
  <c r="E58" i="36"/>
  <c r="AM58" i="36" s="1"/>
  <c r="E53" i="36"/>
  <c r="AM53" i="36" s="1"/>
  <c r="E42" i="36"/>
  <c r="P63" i="10" s="1"/>
  <c r="E52" i="36"/>
  <c r="E39" i="36"/>
  <c r="P60" i="10" s="1"/>
  <c r="E55" i="36"/>
  <c r="AM55" i="36" s="1"/>
  <c r="E33" i="36"/>
  <c r="P54" i="10" s="1"/>
  <c r="E23" i="36"/>
  <c r="AM23" i="36" s="1"/>
  <c r="E25" i="36"/>
  <c r="AM25" i="36" s="1"/>
  <c r="E28" i="36"/>
  <c r="P49" i="10" s="1"/>
  <c r="E27" i="36"/>
  <c r="P48" i="10" s="1"/>
  <c r="E34" i="36"/>
  <c r="AM34" i="36" s="1"/>
  <c r="E26" i="36"/>
  <c r="AM26" i="36" s="1"/>
  <c r="E31" i="36"/>
  <c r="P52" i="10" s="1"/>
  <c r="E30" i="36"/>
  <c r="AM30" i="36" s="1"/>
  <c r="EA2" i="9"/>
  <c r="DY2" i="9"/>
  <c r="DX142" i="9" s="1" a="1"/>
  <c r="DX142" i="9" s="1"/>
  <c r="DW2" i="9"/>
  <c r="DU2" i="9"/>
  <c r="DS2" i="9"/>
  <c r="DQ2" i="9"/>
  <c r="DO2" i="9"/>
  <c r="DM2" i="9"/>
  <c r="DK2" i="9"/>
  <c r="DJ26" i="9" s="1" a="1"/>
  <c r="DJ26" i="9" s="1"/>
  <c r="DI2" i="9"/>
  <c r="DG2" i="9"/>
  <c r="AR18" i="9"/>
  <c r="AS18" i="9"/>
  <c r="I18" i="9" s="1"/>
  <c r="E44" i="10" s="1"/>
  <c r="AT18" i="9"/>
  <c r="AU18" i="9"/>
  <c r="AV18" i="9"/>
  <c r="AW18" i="9"/>
  <c r="AR19" i="9"/>
  <c r="AS19" i="9"/>
  <c r="I19" i="9" s="1"/>
  <c r="AT19" i="9"/>
  <c r="L19" i="9" s="1"/>
  <c r="AU19" i="9"/>
  <c r="AV19" i="9"/>
  <c r="AW19" i="9"/>
  <c r="AR20" i="9"/>
  <c r="AS20" i="9"/>
  <c r="I20" i="9" s="1"/>
  <c r="E46" i="10" s="1"/>
  <c r="AT20" i="9"/>
  <c r="L20" i="9" s="1"/>
  <c r="AU20" i="9"/>
  <c r="AV20" i="9"/>
  <c r="AW20" i="9"/>
  <c r="AR21" i="9"/>
  <c r="AS21" i="9"/>
  <c r="I21" i="9" s="1"/>
  <c r="E47" i="10" s="1"/>
  <c r="AT21" i="9"/>
  <c r="L21" i="9" s="1"/>
  <c r="AU21" i="9"/>
  <c r="AV21" i="9"/>
  <c r="AW21" i="9"/>
  <c r="AR22" i="9"/>
  <c r="AS22" i="9"/>
  <c r="I22" i="9" s="1"/>
  <c r="E48" i="10" s="1"/>
  <c r="AT22" i="9"/>
  <c r="L22" i="9" s="1"/>
  <c r="AU22" i="9"/>
  <c r="AV22" i="9"/>
  <c r="AW22" i="9"/>
  <c r="AR23" i="9"/>
  <c r="AS23" i="9"/>
  <c r="I23" i="9" s="1"/>
  <c r="E49" i="10" s="1"/>
  <c r="AT23" i="9"/>
  <c r="L23" i="9" s="1"/>
  <c r="AU23" i="9"/>
  <c r="AV23" i="9"/>
  <c r="AW23" i="9"/>
  <c r="AR24" i="9"/>
  <c r="AS24" i="9"/>
  <c r="I24" i="9" s="1"/>
  <c r="E50" i="10" s="1"/>
  <c r="AT24" i="9"/>
  <c r="L24" i="9" s="1"/>
  <c r="AU24" i="9"/>
  <c r="AV24" i="9"/>
  <c r="AW24" i="9"/>
  <c r="AR25" i="9"/>
  <c r="AS25" i="9"/>
  <c r="I25" i="9" s="1"/>
  <c r="E51" i="10" s="1"/>
  <c r="AT25" i="9"/>
  <c r="L25" i="9" s="1"/>
  <c r="AU25" i="9"/>
  <c r="AV25" i="9"/>
  <c r="AW25" i="9"/>
  <c r="AR26" i="9"/>
  <c r="AS26" i="9"/>
  <c r="I26" i="9" s="1"/>
  <c r="AT26" i="9"/>
  <c r="L26" i="9" s="1"/>
  <c r="AU26" i="9"/>
  <c r="AV26" i="9"/>
  <c r="AW26" i="9"/>
  <c r="AR27" i="9"/>
  <c r="AS27" i="9"/>
  <c r="I27" i="9" s="1"/>
  <c r="AT27" i="9"/>
  <c r="L27" i="9" s="1"/>
  <c r="AU27" i="9"/>
  <c r="AV27" i="9"/>
  <c r="AW27" i="9"/>
  <c r="AR28" i="9"/>
  <c r="AS28" i="9"/>
  <c r="I28" i="9" s="1"/>
  <c r="AT28" i="9"/>
  <c r="L28" i="9" s="1"/>
  <c r="AU28" i="9"/>
  <c r="AV28" i="9"/>
  <c r="AW28" i="9"/>
  <c r="AR29" i="9"/>
  <c r="AS29" i="9"/>
  <c r="I29" i="9" s="1"/>
  <c r="AT29" i="9"/>
  <c r="L29" i="9" s="1"/>
  <c r="AU29" i="9"/>
  <c r="AV29" i="9"/>
  <c r="AW29" i="9"/>
  <c r="AI54" i="36" l="1"/>
  <c r="P47" i="10"/>
  <c r="P56" i="10"/>
  <c r="AM44" i="36"/>
  <c r="P65" i="10"/>
  <c r="P61" i="10"/>
  <c r="AM38" i="36"/>
  <c r="P59" i="10"/>
  <c r="P58" i="10"/>
  <c r="P55" i="10"/>
  <c r="AM32" i="36"/>
  <c r="P53" i="10"/>
  <c r="P51" i="10"/>
  <c r="P50" i="10"/>
  <c r="P46" i="10"/>
  <c r="P44" i="10"/>
  <c r="AI44" i="36"/>
  <c r="AI57" i="36"/>
  <c r="P68" i="10"/>
  <c r="DR76" i="9" a="1"/>
  <c r="DR76" i="9" s="1"/>
  <c r="DR142" i="9" a="1"/>
  <c r="DR142" i="9" s="1"/>
  <c r="DP65" i="9" a="1"/>
  <c r="DP65" i="9" s="1"/>
  <c r="DP142" i="9" a="1"/>
  <c r="DP142" i="9" s="1"/>
  <c r="DT12" i="9" a="1"/>
  <c r="DT12" i="9" s="1"/>
  <c r="DT142" i="9" a="1"/>
  <c r="DT142" i="9" s="1"/>
  <c r="DF9" i="9" a="1"/>
  <c r="DF9" i="9" s="1"/>
  <c r="DF142" i="9" a="1"/>
  <c r="DF142" i="9" s="1"/>
  <c r="DV96" i="9" a="1"/>
  <c r="DV96" i="9" s="1"/>
  <c r="DV142" i="9" a="1"/>
  <c r="DV142" i="9" s="1"/>
  <c r="DZ95" i="9" a="1"/>
  <c r="DZ95" i="9" s="1"/>
  <c r="DZ142" i="9" a="1"/>
  <c r="DZ142" i="9" s="1"/>
  <c r="DL3" i="9" a="1"/>
  <c r="DL3" i="9" s="1"/>
  <c r="DL142" i="9" a="1"/>
  <c r="DL142" i="9" s="1"/>
  <c r="DN7" i="9" a="1"/>
  <c r="DN7" i="9" s="1"/>
  <c r="DN142" i="9" a="1"/>
  <c r="DN142" i="9" s="1"/>
  <c r="DH124" i="9" a="1"/>
  <c r="DH124" i="9" s="1"/>
  <c r="DH142" i="9" a="1"/>
  <c r="DH142" i="9" s="1"/>
  <c r="AI49" i="36"/>
  <c r="DF67" i="9" a="1"/>
  <c r="DF67" i="9" s="1"/>
  <c r="DF28" i="9" a="1"/>
  <c r="DF28" i="9" s="1"/>
  <c r="E52" i="10"/>
  <c r="DL41" i="9" a="1"/>
  <c r="DL41" i="9" s="1"/>
  <c r="AM52" i="36"/>
  <c r="AI52" i="36"/>
  <c r="AM43" i="36"/>
  <c r="AI43" i="36"/>
  <c r="AM51" i="36"/>
  <c r="AI51" i="36"/>
  <c r="AI45" i="36"/>
  <c r="AM24" i="36"/>
  <c r="AI24" i="36"/>
  <c r="DL34" i="9" a="1"/>
  <c r="DL34" i="9" s="1"/>
  <c r="AM27" i="36"/>
  <c r="AI27" i="36"/>
  <c r="AM42" i="36"/>
  <c r="AI42" i="36"/>
  <c r="AI53" i="36"/>
  <c r="AI26" i="36"/>
  <c r="E53" i="10"/>
  <c r="E45" i="10"/>
  <c r="DJ7" i="9" a="1"/>
  <c r="DJ7" i="9" s="1"/>
  <c r="DN123" i="9" a="1"/>
  <c r="DN123" i="9" s="1"/>
  <c r="AM28" i="36"/>
  <c r="AI28" i="36"/>
  <c r="DL139" i="9" a="1"/>
  <c r="DL139" i="9" s="1"/>
  <c r="DN116" i="9" a="1"/>
  <c r="DN116" i="9" s="1"/>
  <c r="AI40" i="36"/>
  <c r="AI29" i="36"/>
  <c r="DL124" i="9" a="1"/>
  <c r="DL124" i="9" s="1"/>
  <c r="DN95" i="9" a="1"/>
  <c r="DN95" i="9" s="1"/>
  <c r="AI50" i="36"/>
  <c r="AI59" i="36"/>
  <c r="AI56" i="36"/>
  <c r="AI35" i="36"/>
  <c r="AI25" i="36"/>
  <c r="E54" i="10"/>
  <c r="DL115" i="9" a="1"/>
  <c r="DL115" i="9" s="1"/>
  <c r="AM33" i="36"/>
  <c r="AI33" i="36"/>
  <c r="AI23" i="36"/>
  <c r="AI55" i="36"/>
  <c r="AI37" i="36"/>
  <c r="AI48" i="36"/>
  <c r="DL63" i="9" a="1"/>
  <c r="DL63" i="9" s="1"/>
  <c r="AM31" i="36"/>
  <c r="AI31" i="36"/>
  <c r="AI58" i="36"/>
  <c r="AI30" i="36"/>
  <c r="AI47" i="36"/>
  <c r="AI34" i="36"/>
  <c r="E55" i="10"/>
  <c r="DL57" i="9" a="1"/>
  <c r="DL57" i="9" s="1"/>
  <c r="AM39" i="36"/>
  <c r="AI39" i="36"/>
  <c r="L30" i="9"/>
  <c r="I30" i="9"/>
  <c r="DN77" i="9" a="1"/>
  <c r="DN77" i="9" s="1"/>
  <c r="DL102" i="9" a="1"/>
  <c r="DL102" i="9" s="1"/>
  <c r="DL19" i="9" a="1"/>
  <c r="DL19" i="9" s="1"/>
  <c r="DN71" i="9" a="1"/>
  <c r="DN71" i="9" s="1"/>
  <c r="DF118" i="9" a="1"/>
  <c r="DF118" i="9" s="1"/>
  <c r="DF92" i="9" a="1"/>
  <c r="DF92" i="9" s="1"/>
  <c r="DF79" i="9" a="1"/>
  <c r="DF79" i="9" s="1"/>
  <c r="DL96" i="9" a="1"/>
  <c r="DL96" i="9" s="1"/>
  <c r="DL15" i="9" a="1"/>
  <c r="DL15" i="9" s="1"/>
  <c r="DN50" i="9" a="1"/>
  <c r="DN50" i="9" s="1"/>
  <c r="DH115" i="9" a="1"/>
  <c r="DH115" i="9" s="1"/>
  <c r="DL82" i="9" a="1"/>
  <c r="DL82" i="9" s="1"/>
  <c r="DN140" i="9" a="1"/>
  <c r="DN140" i="9" s="1"/>
  <c r="DN20" i="9" a="1"/>
  <c r="DN20" i="9" s="1"/>
  <c r="DH9" i="9" a="1"/>
  <c r="DH9" i="9" s="1"/>
  <c r="DL77" i="9" a="1"/>
  <c r="DL77" i="9" s="1"/>
  <c r="DN136" i="9" a="1"/>
  <c r="DN136" i="9" s="1"/>
  <c r="DN14" i="9" a="1"/>
  <c r="DN14" i="9" s="1"/>
  <c r="DJ120" i="9" a="1"/>
  <c r="DJ120" i="9" s="1"/>
  <c r="DJ76" i="9" a="1"/>
  <c r="DJ76" i="9" s="1"/>
  <c r="DJ35" i="9" a="1"/>
  <c r="DJ35" i="9" s="1"/>
  <c r="DF17" i="9" a="1"/>
  <c r="DF17" i="9" s="1"/>
  <c r="DH114" i="9" a="1"/>
  <c r="DH114" i="9" s="1"/>
  <c r="DJ141" i="9" a="1"/>
  <c r="DJ141" i="9" s="1"/>
  <c r="DJ126" i="9" a="1"/>
  <c r="DJ126" i="9" s="1"/>
  <c r="DJ116" i="9" a="1"/>
  <c r="DJ116" i="9" s="1"/>
  <c r="DJ90" i="9" a="1"/>
  <c r="DJ90" i="9" s="1"/>
  <c r="DJ69" i="9" a="1"/>
  <c r="DJ69" i="9" s="1"/>
  <c r="DJ47" i="9" a="1"/>
  <c r="DJ47" i="9" s="1"/>
  <c r="DJ24" i="9" a="1"/>
  <c r="DJ24" i="9" s="1"/>
  <c r="DL131" i="9" a="1"/>
  <c r="DL131" i="9" s="1"/>
  <c r="DL109" i="9" a="1"/>
  <c r="DL109" i="9" s="1"/>
  <c r="DL70" i="9" a="1"/>
  <c r="DL70" i="9" s="1"/>
  <c r="DL47" i="9" a="1"/>
  <c r="DL47" i="9" s="1"/>
  <c r="DL28" i="9" a="1"/>
  <c r="DL28" i="9" s="1"/>
  <c r="DL8" i="9" a="1"/>
  <c r="DL8" i="9" s="1"/>
  <c r="DN131" i="9" a="1"/>
  <c r="DN131" i="9" s="1"/>
  <c r="DN105" i="9" a="1"/>
  <c r="DN105" i="9" s="1"/>
  <c r="DN84" i="9" a="1"/>
  <c r="DN84" i="9" s="1"/>
  <c r="DN58" i="9" a="1"/>
  <c r="DN58" i="9" s="1"/>
  <c r="DN32" i="9" a="1"/>
  <c r="DN32" i="9" s="1"/>
  <c r="DP138" i="9" a="1"/>
  <c r="DP138" i="9" s="1"/>
  <c r="DF8" i="9" a="1"/>
  <c r="DF8" i="9" s="1"/>
  <c r="DF131" i="9" a="1"/>
  <c r="DF131" i="9" s="1"/>
  <c r="DJ140" i="9" a="1"/>
  <c r="DJ140" i="9" s="1"/>
  <c r="DJ125" i="9" a="1"/>
  <c r="DJ125" i="9" s="1"/>
  <c r="DJ115" i="9" a="1"/>
  <c r="DJ115" i="9" s="1"/>
  <c r="DJ103" i="9" a="1"/>
  <c r="DJ103" i="9" s="1"/>
  <c r="DJ89" i="9" a="1"/>
  <c r="DJ89" i="9" s="1"/>
  <c r="DJ67" i="9" a="1"/>
  <c r="DJ67" i="9" s="1"/>
  <c r="DJ44" i="9" a="1"/>
  <c r="DJ44" i="9" s="1"/>
  <c r="DL128" i="9" a="1"/>
  <c r="DL128" i="9" s="1"/>
  <c r="DL108" i="9" a="1"/>
  <c r="DL108" i="9" s="1"/>
  <c r="DL89" i="9" a="1"/>
  <c r="DL89" i="9" s="1"/>
  <c r="DL66" i="9" a="1"/>
  <c r="DL66" i="9" s="1"/>
  <c r="DL45" i="9" a="1"/>
  <c r="DL45" i="9" s="1"/>
  <c r="DL5" i="9" a="1"/>
  <c r="DL5" i="9" s="1"/>
  <c r="DN128" i="9" a="1"/>
  <c r="DN128" i="9" s="1"/>
  <c r="DN102" i="9" a="1"/>
  <c r="DN102" i="9" s="1"/>
  <c r="DN83" i="9" a="1"/>
  <c r="DN83" i="9" s="1"/>
  <c r="DN57" i="9" a="1"/>
  <c r="DN57" i="9" s="1"/>
  <c r="DN29" i="9" a="1"/>
  <c r="DN29" i="9" s="1"/>
  <c r="DP88" i="9" a="1"/>
  <c r="DP88" i="9" s="1"/>
  <c r="DH105" i="9" a="1"/>
  <c r="DH105" i="9" s="1"/>
  <c r="DJ136" i="9" a="1"/>
  <c r="DJ136" i="9" s="1"/>
  <c r="DJ112" i="9" a="1"/>
  <c r="DJ112" i="9" s="1"/>
  <c r="DJ88" i="9" a="1"/>
  <c r="DJ88" i="9" s="1"/>
  <c r="DJ65" i="9" a="1"/>
  <c r="DJ65" i="9" s="1"/>
  <c r="DJ42" i="9" a="1"/>
  <c r="DJ42" i="9" s="1"/>
  <c r="DJ19" i="9" a="1"/>
  <c r="DJ19" i="9" s="1"/>
  <c r="DL127" i="9" a="1"/>
  <c r="DL127" i="9" s="1"/>
  <c r="DL105" i="9" a="1"/>
  <c r="DL105" i="9" s="1"/>
  <c r="DL83" i="9" a="1"/>
  <c r="DL83" i="9" s="1"/>
  <c r="DL64" i="9" a="1"/>
  <c r="DL64" i="9" s="1"/>
  <c r="DL44" i="9" a="1"/>
  <c r="DL44" i="9" s="1"/>
  <c r="DL25" i="9" a="1"/>
  <c r="DL25" i="9" s="1"/>
  <c r="DL4" i="9" a="1"/>
  <c r="DL4" i="9" s="1"/>
  <c r="DN126" i="9" a="1"/>
  <c r="DN126" i="9" s="1"/>
  <c r="DN100" i="9" a="1"/>
  <c r="DN100" i="9" s="1"/>
  <c r="DN80" i="9" a="1"/>
  <c r="DN80" i="9" s="1"/>
  <c r="DN51" i="9" a="1"/>
  <c r="DN51" i="9" s="1"/>
  <c r="DN28" i="9" a="1"/>
  <c r="DN28" i="9" s="1"/>
  <c r="DP23" i="9" a="1"/>
  <c r="DP23" i="9" s="1"/>
  <c r="DJ135" i="9" a="1"/>
  <c r="DJ135" i="9" s="1"/>
  <c r="DJ124" i="9" a="1"/>
  <c r="DJ124" i="9" s="1"/>
  <c r="DJ102" i="9" a="1"/>
  <c r="DJ102" i="9" s="1"/>
  <c r="DJ85" i="9" a="1"/>
  <c r="DJ85" i="9" s="1"/>
  <c r="DJ60" i="9" a="1"/>
  <c r="DJ60" i="9" s="1"/>
  <c r="DJ38" i="9" a="1"/>
  <c r="DJ38" i="9" s="1"/>
  <c r="DJ15" i="9" a="1"/>
  <c r="DJ15" i="9" s="1"/>
  <c r="DP14" i="9" a="1"/>
  <c r="DP14" i="9" s="1"/>
  <c r="DJ8" i="9" a="1"/>
  <c r="DJ8" i="9" s="1"/>
  <c r="DJ134" i="9" a="1"/>
  <c r="DJ134" i="9" s="1"/>
  <c r="DJ121" i="9" a="1"/>
  <c r="DJ121" i="9" s="1"/>
  <c r="DJ111" i="9" a="1"/>
  <c r="DJ111" i="9" s="1"/>
  <c r="DJ99" i="9" a="1"/>
  <c r="DJ99" i="9" s="1"/>
  <c r="DJ79" i="9" a="1"/>
  <c r="DJ79" i="9" s="1"/>
  <c r="DJ56" i="9" a="1"/>
  <c r="DJ56" i="9" s="1"/>
  <c r="DJ37" i="9" a="1"/>
  <c r="DJ37" i="9" s="1"/>
  <c r="DJ12" i="9" a="1"/>
  <c r="DJ12" i="9" s="1"/>
  <c r="DL121" i="9" a="1"/>
  <c r="DL121" i="9" s="1"/>
  <c r="DL98" i="9" a="1"/>
  <c r="DL98" i="9" s="1"/>
  <c r="DL79" i="9" a="1"/>
  <c r="DL79" i="9" s="1"/>
  <c r="DL60" i="9" a="1"/>
  <c r="DL60" i="9" s="1"/>
  <c r="DL38" i="9" a="1"/>
  <c r="DL38" i="9" s="1"/>
  <c r="DL18" i="9" a="1"/>
  <c r="DL18" i="9" s="1"/>
  <c r="DN121" i="9" a="1"/>
  <c r="DN121" i="9" s="1"/>
  <c r="DN94" i="9" a="1"/>
  <c r="DN94" i="9" s="1"/>
  <c r="DN72" i="9" a="1"/>
  <c r="DN72" i="9" s="1"/>
  <c r="DN46" i="9" a="1"/>
  <c r="DN46" i="9" s="1"/>
  <c r="DN19" i="9" a="1"/>
  <c r="DN19" i="9" s="1"/>
  <c r="DZ118" i="9" a="1"/>
  <c r="DZ118" i="9" s="1"/>
  <c r="DJ133" i="9" a="1"/>
  <c r="DJ133" i="9" s="1"/>
  <c r="DJ97" i="9" a="1"/>
  <c r="DJ97" i="9" s="1"/>
  <c r="DJ53" i="9" a="1"/>
  <c r="DJ53" i="9" s="1"/>
  <c r="DJ4" i="9" a="1"/>
  <c r="DJ4" i="9" s="1"/>
  <c r="DJ131" i="9" a="1"/>
  <c r="DJ131" i="9" s="1"/>
  <c r="DJ117" i="9" a="1"/>
  <c r="DJ117" i="9" s="1"/>
  <c r="DJ107" i="9" a="1"/>
  <c r="DJ107" i="9" s="1"/>
  <c r="DJ28" i="9" a="1"/>
  <c r="DJ28" i="9" s="1"/>
  <c r="DL136" i="9" a="1"/>
  <c r="DL136" i="9" s="1"/>
  <c r="DL114" i="9" a="1"/>
  <c r="DL114" i="9" s="1"/>
  <c r="DL95" i="9" a="1"/>
  <c r="DL95" i="9" s="1"/>
  <c r="DL76" i="9" a="1"/>
  <c r="DL76" i="9" s="1"/>
  <c r="DL51" i="9" a="1"/>
  <c r="DL51" i="9" s="1"/>
  <c r="DL32" i="9" a="1"/>
  <c r="DL32" i="9" s="1"/>
  <c r="DL12" i="9" a="1"/>
  <c r="DL12" i="9" s="1"/>
  <c r="DN133" i="9" a="1"/>
  <c r="DN133" i="9" s="1"/>
  <c r="DN115" i="9" a="1"/>
  <c r="DN115" i="9" s="1"/>
  <c r="DN89" i="9" a="1"/>
  <c r="DN89" i="9" s="1"/>
  <c r="DN68" i="9" a="1"/>
  <c r="DN68" i="9" s="1"/>
  <c r="DN43" i="9" a="1"/>
  <c r="DN43" i="9" s="1"/>
  <c r="DN11" i="9" a="1"/>
  <c r="DN11" i="9" s="1"/>
  <c r="EB85" i="9" a="1"/>
  <c r="EB85" i="9" s="1"/>
  <c r="DJ108" i="9" a="1"/>
  <c r="DJ108" i="9" s="1"/>
  <c r="DJ3" i="9" a="1"/>
  <c r="DJ3" i="9" s="1"/>
  <c r="DJ129" i="9" a="1"/>
  <c r="DJ129" i="9" s="1"/>
  <c r="DJ106" i="9" a="1"/>
  <c r="DJ106" i="9" s="1"/>
  <c r="DJ94" i="9" a="1"/>
  <c r="DJ94" i="9" s="1"/>
  <c r="DJ74" i="9" a="1"/>
  <c r="DJ74" i="9" s="1"/>
  <c r="DJ51" i="9" a="1"/>
  <c r="DJ51" i="9" s="1"/>
  <c r="DL135" i="9" a="1"/>
  <c r="DL135" i="9" s="1"/>
  <c r="DL111" i="9" a="1"/>
  <c r="DL111" i="9" s="1"/>
  <c r="DL92" i="9" a="1"/>
  <c r="DL92" i="9" s="1"/>
  <c r="DL73" i="9" a="1"/>
  <c r="DL73" i="9" s="1"/>
  <c r="DL50" i="9" a="1"/>
  <c r="DL50" i="9" s="1"/>
  <c r="DL31" i="9" a="1"/>
  <c r="DL31" i="9" s="1"/>
  <c r="DL11" i="9" a="1"/>
  <c r="DL11" i="9" s="1"/>
  <c r="DN110" i="9" a="1"/>
  <c r="DN110" i="9" s="1"/>
  <c r="DN86" i="9" a="1"/>
  <c r="DN86" i="9" s="1"/>
  <c r="DN61" i="9" a="1"/>
  <c r="DN61" i="9" s="1"/>
  <c r="DN39" i="9" a="1"/>
  <c r="DN39" i="9" s="1"/>
  <c r="DN5" i="9" a="1"/>
  <c r="DN5" i="9" s="1"/>
  <c r="EB58" i="9" a="1"/>
  <c r="EB58" i="9" s="1"/>
  <c r="DR132" i="9" a="1"/>
  <c r="DR132" i="9" s="1"/>
  <c r="DR86" i="9" a="1"/>
  <c r="DR86" i="9" s="1"/>
  <c r="DT87" i="9" a="1"/>
  <c r="DT87" i="9" s="1"/>
  <c r="DP131" i="9" a="1"/>
  <c r="DP131" i="9" s="1"/>
  <c r="DP101" i="9" a="1"/>
  <c r="DP101" i="9" s="1"/>
  <c r="DT79" i="9" a="1"/>
  <c r="DT79" i="9" s="1"/>
  <c r="DP10" i="9" a="1"/>
  <c r="DP10" i="9" s="1"/>
  <c r="DP15" i="9" a="1"/>
  <c r="DP15" i="9" s="1"/>
  <c r="DP24" i="9" a="1"/>
  <c r="DP24" i="9" s="1"/>
  <c r="DP19" i="9" a="1"/>
  <c r="DP19" i="9" s="1"/>
  <c r="DP29" i="9" a="1"/>
  <c r="DP29" i="9" s="1"/>
  <c r="DP38" i="9" a="1"/>
  <c r="DP38" i="9" s="1"/>
  <c r="DP43" i="9" a="1"/>
  <c r="DP43" i="9" s="1"/>
  <c r="DP52" i="9" a="1"/>
  <c r="DP52" i="9" s="1"/>
  <c r="DP3" i="9" a="1"/>
  <c r="DP3" i="9" s="1"/>
  <c r="DP9" i="9" a="1"/>
  <c r="DP9" i="9" s="1"/>
  <c r="DP21" i="9" a="1"/>
  <c r="DP21" i="9" s="1"/>
  <c r="DP27" i="9" a="1"/>
  <c r="DP27" i="9" s="1"/>
  <c r="DP32" i="9" a="1"/>
  <c r="DP32" i="9" s="1"/>
  <c r="DP37" i="9" a="1"/>
  <c r="DP37" i="9" s="1"/>
  <c r="DP42" i="9" a="1"/>
  <c r="DP42" i="9" s="1"/>
  <c r="DP48" i="9" a="1"/>
  <c r="DP48" i="9" s="1"/>
  <c r="DP53" i="9" a="1"/>
  <c r="DP53" i="9" s="1"/>
  <c r="DP58" i="9" a="1"/>
  <c r="DP58" i="9" s="1"/>
  <c r="DP63" i="9" a="1"/>
  <c r="DP63" i="9" s="1"/>
  <c r="DP72" i="9" a="1"/>
  <c r="DP72" i="9" s="1"/>
  <c r="DP81" i="9" a="1"/>
  <c r="DP81" i="9" s="1"/>
  <c r="DP90" i="9" a="1"/>
  <c r="DP90" i="9" s="1"/>
  <c r="DP95" i="9" a="1"/>
  <c r="DP95" i="9" s="1"/>
  <c r="DP104" i="9" a="1"/>
  <c r="DP104" i="9" s="1"/>
  <c r="DP113" i="9" a="1"/>
  <c r="DP113" i="9" s="1"/>
  <c r="DP122" i="9" a="1"/>
  <c r="DP122" i="9" s="1"/>
  <c r="DP127" i="9" a="1"/>
  <c r="DP127" i="9" s="1"/>
  <c r="DP136" i="9" a="1"/>
  <c r="DP136" i="9" s="1"/>
  <c r="DP4" i="9" a="1"/>
  <c r="DP4" i="9" s="1"/>
  <c r="DP16" i="9" a="1"/>
  <c r="DP16" i="9" s="1"/>
  <c r="DP59" i="9" a="1"/>
  <c r="DP59" i="9" s="1"/>
  <c r="DP68" i="9" a="1"/>
  <c r="DP68" i="9" s="1"/>
  <c r="DP77" i="9" a="1"/>
  <c r="DP77" i="9" s="1"/>
  <c r="DP86" i="9" a="1"/>
  <c r="DP86" i="9" s="1"/>
  <c r="DP91" i="9" a="1"/>
  <c r="DP91" i="9" s="1"/>
  <c r="DP100" i="9" a="1"/>
  <c r="DP100" i="9" s="1"/>
  <c r="DP109" i="9" a="1"/>
  <c r="DP109" i="9" s="1"/>
  <c r="DP118" i="9" a="1"/>
  <c r="DP118" i="9" s="1"/>
  <c r="DP123" i="9" a="1"/>
  <c r="DP123" i="9" s="1"/>
  <c r="DP132" i="9" a="1"/>
  <c r="DP132" i="9" s="1"/>
  <c r="DP11" i="9" a="1"/>
  <c r="DP11" i="9" s="1"/>
  <c r="DP22" i="9" a="1"/>
  <c r="DP22" i="9" s="1"/>
  <c r="DP28" i="9" a="1"/>
  <c r="DP28" i="9" s="1"/>
  <c r="DP33" i="9" a="1"/>
  <c r="DP33" i="9" s="1"/>
  <c r="DP39" i="9" a="1"/>
  <c r="DP39" i="9" s="1"/>
  <c r="DP44" i="9" a="1"/>
  <c r="DP44" i="9" s="1"/>
  <c r="DP49" i="9" a="1"/>
  <c r="DP49" i="9" s="1"/>
  <c r="DP54" i="9" a="1"/>
  <c r="DP54" i="9" s="1"/>
  <c r="DP64" i="9" a="1"/>
  <c r="DP64" i="9" s="1"/>
  <c r="DP73" i="9" a="1"/>
  <c r="DP73" i="9" s="1"/>
  <c r="DP82" i="9" a="1"/>
  <c r="DP82" i="9" s="1"/>
  <c r="DP87" i="9" a="1"/>
  <c r="DP87" i="9" s="1"/>
  <c r="DP96" i="9" a="1"/>
  <c r="DP96" i="9" s="1"/>
  <c r="DP105" i="9" a="1"/>
  <c r="DP105" i="9" s="1"/>
  <c r="DP114" i="9" a="1"/>
  <c r="DP114" i="9" s="1"/>
  <c r="DP119" i="9" a="1"/>
  <c r="DP119" i="9" s="1"/>
  <c r="DP128" i="9" a="1"/>
  <c r="DP128" i="9" s="1"/>
  <c r="DP137" i="9" a="1"/>
  <c r="DP137" i="9" s="1"/>
  <c r="DP7" i="9" a="1"/>
  <c r="DP7" i="9" s="1"/>
  <c r="DP18" i="9" a="1"/>
  <c r="DP18" i="9" s="1"/>
  <c r="DP25" i="9" a="1"/>
  <c r="DP25" i="9" s="1"/>
  <c r="DP30" i="9" a="1"/>
  <c r="DP30" i="9" s="1"/>
  <c r="DP51" i="9" a="1"/>
  <c r="DP51" i="9" s="1"/>
  <c r="DP56" i="9" a="1"/>
  <c r="DP56" i="9" s="1"/>
  <c r="DP61" i="9" a="1"/>
  <c r="DP61" i="9" s="1"/>
  <c r="DP70" i="9" a="1"/>
  <c r="DP70" i="9" s="1"/>
  <c r="DP75" i="9" a="1"/>
  <c r="DP75" i="9" s="1"/>
  <c r="DP84" i="9" a="1"/>
  <c r="DP84" i="9" s="1"/>
  <c r="DP93" i="9" a="1"/>
  <c r="DP93" i="9" s="1"/>
  <c r="DP102" i="9" a="1"/>
  <c r="DP102" i="9" s="1"/>
  <c r="DP107" i="9" a="1"/>
  <c r="DP107" i="9" s="1"/>
  <c r="DP116" i="9" a="1"/>
  <c r="DP116" i="9" s="1"/>
  <c r="DP125" i="9" a="1"/>
  <c r="DP125" i="9" s="1"/>
  <c r="DP134" i="9" a="1"/>
  <c r="DP134" i="9" s="1"/>
  <c r="DP140" i="9" a="1"/>
  <c r="DP140" i="9" s="1"/>
  <c r="DP13" i="9" a="1"/>
  <c r="DP13" i="9" s="1"/>
  <c r="DP20" i="9" a="1"/>
  <c r="DP20" i="9" s="1"/>
  <c r="DP31" i="9" a="1"/>
  <c r="DP31" i="9" s="1"/>
  <c r="DP36" i="9" a="1"/>
  <c r="DP36" i="9" s="1"/>
  <c r="DP41" i="9" a="1"/>
  <c r="DP41" i="9" s="1"/>
  <c r="DP46" i="9" a="1"/>
  <c r="DP46" i="9" s="1"/>
  <c r="DP57" i="9" a="1"/>
  <c r="DP57" i="9" s="1"/>
  <c r="DP66" i="9" a="1"/>
  <c r="DP66" i="9" s="1"/>
  <c r="DP71" i="9" a="1"/>
  <c r="DP71" i="9" s="1"/>
  <c r="DP80" i="9" a="1"/>
  <c r="DP80" i="9" s="1"/>
  <c r="DP89" i="9" a="1"/>
  <c r="DP89" i="9" s="1"/>
  <c r="DP98" i="9" a="1"/>
  <c r="DP98" i="9" s="1"/>
  <c r="DP103" i="9" a="1"/>
  <c r="DP103" i="9" s="1"/>
  <c r="DP112" i="9" a="1"/>
  <c r="DP112" i="9" s="1"/>
  <c r="DP121" i="9" a="1"/>
  <c r="DP121" i="9" s="1"/>
  <c r="DP130" i="9" a="1"/>
  <c r="DP130" i="9" s="1"/>
  <c r="DP135" i="9" a="1"/>
  <c r="DP135" i="9" s="1"/>
  <c r="DP141" i="9" a="1"/>
  <c r="DP141" i="9" s="1"/>
  <c r="DP17" i="9" a="1"/>
  <c r="DP17" i="9" s="1"/>
  <c r="DP45" i="9" a="1"/>
  <c r="DP45" i="9" s="1"/>
  <c r="DP60" i="9" a="1"/>
  <c r="DP60" i="9" s="1"/>
  <c r="DP108" i="9" a="1"/>
  <c r="DP108" i="9" s="1"/>
  <c r="DP120" i="9" a="1"/>
  <c r="DP120" i="9" s="1"/>
  <c r="DP133" i="9" a="1"/>
  <c r="DP133" i="9" s="1"/>
  <c r="DP2" i="9" a="1"/>
  <c r="DP2" i="9" s="1"/>
  <c r="DP34" i="9" a="1"/>
  <c r="DP34" i="9" s="1"/>
  <c r="DP47" i="9" a="1"/>
  <c r="DP47" i="9" s="1"/>
  <c r="DP85" i="9" a="1"/>
  <c r="DP85" i="9" s="1"/>
  <c r="DP97" i="9" a="1"/>
  <c r="DP97" i="9" s="1"/>
  <c r="DP110" i="9" a="1"/>
  <c r="DP110" i="9" s="1"/>
  <c r="DP5" i="9" a="1"/>
  <c r="DP5" i="9" s="1"/>
  <c r="DP35" i="9" a="1"/>
  <c r="DP35" i="9" s="1"/>
  <c r="DP62" i="9" a="1"/>
  <c r="DP62" i="9" s="1"/>
  <c r="DP74" i="9" a="1"/>
  <c r="DP74" i="9" s="1"/>
  <c r="DP99" i="9" a="1"/>
  <c r="DP99" i="9" s="1"/>
  <c r="DP111" i="9" a="1"/>
  <c r="DP111" i="9" s="1"/>
  <c r="DP124" i="9" a="1"/>
  <c r="DP124" i="9" s="1"/>
  <c r="DP26" i="9" a="1"/>
  <c r="DP26" i="9" s="1"/>
  <c r="DP40" i="9" a="1"/>
  <c r="DP40" i="9" s="1"/>
  <c r="DP55" i="9" a="1"/>
  <c r="DP55" i="9" s="1"/>
  <c r="DP67" i="9" a="1"/>
  <c r="DP67" i="9" s="1"/>
  <c r="DP79" i="9" a="1"/>
  <c r="DP79" i="9" s="1"/>
  <c r="DP92" i="9" a="1"/>
  <c r="DP92" i="9" s="1"/>
  <c r="DP12" i="9" a="1"/>
  <c r="DP12" i="9" s="1"/>
  <c r="DP69" i="9" a="1"/>
  <c r="DP69" i="9" s="1"/>
  <c r="DP117" i="9" a="1"/>
  <c r="DP117" i="9" s="1"/>
  <c r="DP129" i="9" a="1"/>
  <c r="DP129" i="9" s="1"/>
  <c r="DP126" i="9" a="1"/>
  <c r="DP126" i="9" s="1"/>
  <c r="DP94" i="9" a="1"/>
  <c r="DP94" i="9" s="1"/>
  <c r="DR120" i="9" a="1"/>
  <c r="DR120" i="9" s="1"/>
  <c r="DT61" i="9" a="1"/>
  <c r="DT61" i="9" s="1"/>
  <c r="DR2" i="9" a="1"/>
  <c r="DR2" i="9" s="1"/>
  <c r="DR7" i="9" a="1"/>
  <c r="DR7" i="9" s="1"/>
  <c r="DR16" i="9" a="1"/>
  <c r="DR16" i="9" s="1"/>
  <c r="DR25" i="9" a="1"/>
  <c r="DR25" i="9" s="1"/>
  <c r="DR34" i="9" a="1"/>
  <c r="DR34" i="9" s="1"/>
  <c r="DR39" i="9" a="1"/>
  <c r="DR39" i="9" s="1"/>
  <c r="DR48" i="9" a="1"/>
  <c r="DR48" i="9" s="1"/>
  <c r="DR57" i="9" a="1"/>
  <c r="DR57" i="9" s="1"/>
  <c r="DR66" i="9" a="1"/>
  <c r="DR66" i="9" s="1"/>
  <c r="DR71" i="9" a="1"/>
  <c r="DR71" i="9" s="1"/>
  <c r="DR80" i="9" a="1"/>
  <c r="DR80" i="9" s="1"/>
  <c r="DR89" i="9" a="1"/>
  <c r="DR89" i="9" s="1"/>
  <c r="DR98" i="9" a="1"/>
  <c r="DR98" i="9" s="1"/>
  <c r="DR103" i="9" a="1"/>
  <c r="DR103" i="9" s="1"/>
  <c r="DR112" i="9" a="1"/>
  <c r="DR112" i="9" s="1"/>
  <c r="DR121" i="9" a="1"/>
  <c r="DR121" i="9" s="1"/>
  <c r="DR130" i="9" a="1"/>
  <c r="DR130" i="9" s="1"/>
  <c r="DR135" i="9" a="1"/>
  <c r="DR135" i="9" s="1"/>
  <c r="DR140" i="9" a="1"/>
  <c r="DR140" i="9" s="1"/>
  <c r="DR11" i="9" a="1"/>
  <c r="DR11" i="9" s="1"/>
  <c r="DR27" i="9" a="1"/>
  <c r="DR27" i="9" s="1"/>
  <c r="DR32" i="9" a="1"/>
  <c r="DR32" i="9" s="1"/>
  <c r="DR37" i="9" a="1"/>
  <c r="DR37" i="9" s="1"/>
  <c r="DR42" i="9" a="1"/>
  <c r="DR42" i="9" s="1"/>
  <c r="DR53" i="9" a="1"/>
  <c r="DR53" i="9" s="1"/>
  <c r="DR58" i="9" a="1"/>
  <c r="DR58" i="9" s="1"/>
  <c r="DR79" i="9" a="1"/>
  <c r="DR79" i="9" s="1"/>
  <c r="DR84" i="9" a="1"/>
  <c r="DR84" i="9" s="1"/>
  <c r="DR95" i="9" a="1"/>
  <c r="DR95" i="9" s="1"/>
  <c r="DR100" i="9" a="1"/>
  <c r="DR100" i="9" s="1"/>
  <c r="DR105" i="9" a="1"/>
  <c r="DR105" i="9" s="1"/>
  <c r="DR110" i="9" a="1"/>
  <c r="DR110" i="9" s="1"/>
  <c r="DR126" i="9" a="1"/>
  <c r="DR126" i="9" s="1"/>
  <c r="DR23" i="9" a="1"/>
  <c r="DR23" i="9" s="1"/>
  <c r="DR28" i="9" a="1"/>
  <c r="DR28" i="9" s="1"/>
  <c r="DR33" i="9" a="1"/>
  <c r="DR33" i="9" s="1"/>
  <c r="DR38" i="9" a="1"/>
  <c r="DR38" i="9" s="1"/>
  <c r="DR15" i="9" a="1"/>
  <c r="DR15" i="9" s="1"/>
  <c r="DR20" i="9" a="1"/>
  <c r="DR20" i="9" s="1"/>
  <c r="DR31" i="9" a="1"/>
  <c r="DR31" i="9" s="1"/>
  <c r="DR36" i="9" a="1"/>
  <c r="DR36" i="9" s="1"/>
  <c r="DR41" i="9" a="1"/>
  <c r="DR41" i="9" s="1"/>
  <c r="DR46" i="9" a="1"/>
  <c r="DR46" i="9" s="1"/>
  <c r="DR62" i="9" a="1"/>
  <c r="DR62" i="9" s="1"/>
  <c r="DR83" i="9" a="1"/>
  <c r="DR83" i="9" s="1"/>
  <c r="DR88" i="9" a="1"/>
  <c r="DR88" i="9" s="1"/>
  <c r="DR93" i="9" a="1"/>
  <c r="DR93" i="9" s="1"/>
  <c r="DR99" i="9" a="1"/>
  <c r="DR99" i="9" s="1"/>
  <c r="DR104" i="9" a="1"/>
  <c r="DR104" i="9" s="1"/>
  <c r="DR109" i="9" a="1"/>
  <c r="DR109" i="9" s="1"/>
  <c r="DR17" i="9" a="1"/>
  <c r="DR17" i="9" s="1"/>
  <c r="DR49" i="9" a="1"/>
  <c r="DR49" i="9" s="1"/>
  <c r="DR63" i="9" a="1"/>
  <c r="DR63" i="9" s="1"/>
  <c r="DR91" i="9" a="1"/>
  <c r="DR91" i="9" s="1"/>
  <c r="DR97" i="9" a="1"/>
  <c r="DR97" i="9" s="1"/>
  <c r="DR129" i="9" a="1"/>
  <c r="DR129" i="9" s="1"/>
  <c r="DR9" i="9" a="1"/>
  <c r="DR9" i="9" s="1"/>
  <c r="DR18" i="9" a="1"/>
  <c r="DR18" i="9" s="1"/>
  <c r="DR26" i="9" a="1"/>
  <c r="DR26" i="9" s="1"/>
  <c r="DR35" i="9" a="1"/>
  <c r="DR35" i="9" s="1"/>
  <c r="DR43" i="9" a="1"/>
  <c r="DR43" i="9" s="1"/>
  <c r="DR56" i="9" a="1"/>
  <c r="DR56" i="9" s="1"/>
  <c r="DR64" i="9" a="1"/>
  <c r="DR64" i="9" s="1"/>
  <c r="DR70" i="9" a="1"/>
  <c r="DR70" i="9" s="1"/>
  <c r="DR77" i="9" a="1"/>
  <c r="DR77" i="9" s="1"/>
  <c r="DR85" i="9" a="1"/>
  <c r="DR85" i="9" s="1"/>
  <c r="DR118" i="9" a="1"/>
  <c r="DR118" i="9" s="1"/>
  <c r="DR124" i="9" a="1"/>
  <c r="DR124" i="9" s="1"/>
  <c r="DR136" i="9" a="1"/>
  <c r="DR136" i="9" s="1"/>
  <c r="DR3" i="9" a="1"/>
  <c r="DR3" i="9" s="1"/>
  <c r="DR10" i="9" a="1"/>
  <c r="DR10" i="9" s="1"/>
  <c r="DR19" i="9" a="1"/>
  <c r="DR19" i="9" s="1"/>
  <c r="DR44" i="9" a="1"/>
  <c r="DR44" i="9" s="1"/>
  <c r="DR50" i="9" a="1"/>
  <c r="DR50" i="9" s="1"/>
  <c r="DR78" i="9" a="1"/>
  <c r="DR78" i="9" s="1"/>
  <c r="DR92" i="9" a="1"/>
  <c r="DR92" i="9" s="1"/>
  <c r="DR106" i="9" a="1"/>
  <c r="DR106" i="9" s="1"/>
  <c r="DR113" i="9" a="1"/>
  <c r="DR113" i="9" s="1"/>
  <c r="DR119" i="9" a="1"/>
  <c r="DR119" i="9" s="1"/>
  <c r="DR131" i="9" a="1"/>
  <c r="DR131" i="9" s="1"/>
  <c r="DR137" i="9" a="1"/>
  <c r="DR137" i="9" s="1"/>
  <c r="DR5" i="9" a="1"/>
  <c r="DR5" i="9" s="1"/>
  <c r="DR22" i="9" a="1"/>
  <c r="DR22" i="9" s="1"/>
  <c r="DR30" i="9" a="1"/>
  <c r="DR30" i="9" s="1"/>
  <c r="DR60" i="9" a="1"/>
  <c r="DR60" i="9" s="1"/>
  <c r="DR67" i="9" a="1"/>
  <c r="DR67" i="9" s="1"/>
  <c r="DR74" i="9" a="1"/>
  <c r="DR74" i="9" s="1"/>
  <c r="DR81" i="9" a="1"/>
  <c r="DR81" i="9" s="1"/>
  <c r="DR115" i="9" a="1"/>
  <c r="DR115" i="9" s="1"/>
  <c r="DR133" i="9" a="1"/>
  <c r="DR133" i="9" s="1"/>
  <c r="DR6" i="9" a="1"/>
  <c r="DR6" i="9" s="1"/>
  <c r="DR14" i="9" a="1"/>
  <c r="DR14" i="9" s="1"/>
  <c r="DR40" i="9" a="1"/>
  <c r="DR40" i="9" s="1"/>
  <c r="DR47" i="9" a="1"/>
  <c r="DR47" i="9" s="1"/>
  <c r="DR54" i="9" a="1"/>
  <c r="DR54" i="9" s="1"/>
  <c r="DR68" i="9" a="1"/>
  <c r="DR68" i="9" s="1"/>
  <c r="DR75" i="9" a="1"/>
  <c r="DR75" i="9" s="1"/>
  <c r="DR96" i="9" a="1"/>
  <c r="DR96" i="9" s="1"/>
  <c r="DR102" i="9" a="1"/>
  <c r="DR102" i="9" s="1"/>
  <c r="DR116" i="9" a="1"/>
  <c r="DR116" i="9" s="1"/>
  <c r="DR122" i="9" a="1"/>
  <c r="DR122" i="9" s="1"/>
  <c r="DR128" i="9" a="1"/>
  <c r="DR128" i="9" s="1"/>
  <c r="DR141" i="9" a="1"/>
  <c r="DR141" i="9" s="1"/>
  <c r="DR8" i="9" a="1"/>
  <c r="DR8" i="9" s="1"/>
  <c r="DR29" i="9" a="1"/>
  <c r="DR29" i="9" s="1"/>
  <c r="DR51" i="9" a="1"/>
  <c r="DR51" i="9" s="1"/>
  <c r="DR69" i="9" a="1"/>
  <c r="DR69" i="9" s="1"/>
  <c r="DR87" i="9" a="1"/>
  <c r="DR87" i="9" s="1"/>
  <c r="DR107" i="9" a="1"/>
  <c r="DR107" i="9" s="1"/>
  <c r="DR123" i="9" a="1"/>
  <c r="DR123" i="9" s="1"/>
  <c r="DR139" i="9" a="1"/>
  <c r="DR139" i="9" s="1"/>
  <c r="DR12" i="9" a="1"/>
  <c r="DR12" i="9" s="1"/>
  <c r="DR52" i="9" a="1"/>
  <c r="DR52" i="9" s="1"/>
  <c r="DR72" i="9" a="1"/>
  <c r="DR72" i="9" s="1"/>
  <c r="DR90" i="9" a="1"/>
  <c r="DR90" i="9" s="1"/>
  <c r="DR108" i="9" a="1"/>
  <c r="DR108" i="9" s="1"/>
  <c r="DR125" i="9" a="1"/>
  <c r="DR125" i="9" s="1"/>
  <c r="DR13" i="9" a="1"/>
  <c r="DR13" i="9" s="1"/>
  <c r="DR55" i="9" a="1"/>
  <c r="DR55" i="9" s="1"/>
  <c r="DR73" i="9" a="1"/>
  <c r="DR73" i="9" s="1"/>
  <c r="DR111" i="9" a="1"/>
  <c r="DR111" i="9" s="1"/>
  <c r="DR127" i="9" a="1"/>
  <c r="DR127" i="9" s="1"/>
  <c r="DR21" i="9" a="1"/>
  <c r="DR21" i="9" s="1"/>
  <c r="DR61" i="9" a="1"/>
  <c r="DR61" i="9" s="1"/>
  <c r="DR117" i="9" a="1"/>
  <c r="DR117" i="9" s="1"/>
  <c r="DR24" i="9" a="1"/>
  <c r="DR24" i="9" s="1"/>
  <c r="DR45" i="9" a="1"/>
  <c r="DR45" i="9" s="1"/>
  <c r="DR65" i="9" a="1"/>
  <c r="DR65" i="9" s="1"/>
  <c r="DR82" i="9" a="1"/>
  <c r="DR82" i="9" s="1"/>
  <c r="DR101" i="9" a="1"/>
  <c r="DR101" i="9" s="1"/>
  <c r="DR134" i="9" a="1"/>
  <c r="DR134" i="9" s="1"/>
  <c r="DR4" i="9" a="1"/>
  <c r="DR4" i="9" s="1"/>
  <c r="DV11" i="9" a="1"/>
  <c r="DV11" i="9" s="1"/>
  <c r="DV4" i="9" a="1"/>
  <c r="DV4" i="9" s="1"/>
  <c r="DV9" i="9" a="1"/>
  <c r="DV9" i="9" s="1"/>
  <c r="DV2" i="9" a="1"/>
  <c r="DV2" i="9" s="1"/>
  <c r="DV16" i="9" a="1"/>
  <c r="DV16" i="9" s="1"/>
  <c r="DV21" i="9" a="1"/>
  <c r="DV21" i="9" s="1"/>
  <c r="DV26" i="9" a="1"/>
  <c r="DV26" i="9" s="1"/>
  <c r="DV32" i="9" a="1"/>
  <c r="DV32" i="9" s="1"/>
  <c r="DV37" i="9" a="1"/>
  <c r="DV37" i="9" s="1"/>
  <c r="DV42" i="9" a="1"/>
  <c r="DV42" i="9" s="1"/>
  <c r="DV48" i="9" a="1"/>
  <c r="DV48" i="9" s="1"/>
  <c r="DV53" i="9" a="1"/>
  <c r="DV53" i="9" s="1"/>
  <c r="DV58" i="9" a="1"/>
  <c r="DV58" i="9" s="1"/>
  <c r="DV64" i="9" a="1"/>
  <c r="DV64" i="9" s="1"/>
  <c r="DV69" i="9" a="1"/>
  <c r="DV69" i="9" s="1"/>
  <c r="DV74" i="9" a="1"/>
  <c r="DV74" i="9" s="1"/>
  <c r="DV80" i="9" a="1"/>
  <c r="DV80" i="9" s="1"/>
  <c r="DV91" i="9" a="1"/>
  <c r="DV91" i="9" s="1"/>
  <c r="DV107" i="9" a="1"/>
  <c r="DV107" i="9" s="1"/>
  <c r="DV123" i="9" a="1"/>
  <c r="DV123" i="9" s="1"/>
  <c r="DV139" i="9" a="1"/>
  <c r="DV139" i="9" s="1"/>
  <c r="DV3" i="9" a="1"/>
  <c r="DV3" i="9" s="1"/>
  <c r="DV10" i="9" a="1"/>
  <c r="DV10" i="9" s="1"/>
  <c r="DV27" i="9" a="1"/>
  <c r="DV27" i="9" s="1"/>
  <c r="DV43" i="9" a="1"/>
  <c r="DV43" i="9" s="1"/>
  <c r="DV59" i="9" a="1"/>
  <c r="DV59" i="9" s="1"/>
  <c r="DV75" i="9" a="1"/>
  <c r="DV75" i="9" s="1"/>
  <c r="DV86" i="9" a="1"/>
  <c r="DV86" i="9" s="1"/>
  <c r="DV92" i="9" a="1"/>
  <c r="DV92" i="9" s="1"/>
  <c r="DV97" i="9" a="1"/>
  <c r="DV97" i="9" s="1"/>
  <c r="DV102" i="9" a="1"/>
  <c r="DV102" i="9" s="1"/>
  <c r="DV108" i="9" a="1"/>
  <c r="DV108" i="9" s="1"/>
  <c r="DV113" i="9" a="1"/>
  <c r="DV113" i="9" s="1"/>
  <c r="DV118" i="9" a="1"/>
  <c r="DV118" i="9" s="1"/>
  <c r="DV124" i="9" a="1"/>
  <c r="DV124" i="9" s="1"/>
  <c r="DV129" i="9" a="1"/>
  <c r="DV129" i="9" s="1"/>
  <c r="DV134" i="9" a="1"/>
  <c r="DV134" i="9" s="1"/>
  <c r="DV140" i="9" a="1"/>
  <c r="DV140" i="9" s="1"/>
  <c r="DV12" i="9" a="1"/>
  <c r="DV12" i="9" s="1"/>
  <c r="DV17" i="9" a="1"/>
  <c r="DV17" i="9" s="1"/>
  <c r="DV22" i="9" a="1"/>
  <c r="DV22" i="9" s="1"/>
  <c r="DV28" i="9" a="1"/>
  <c r="DV28" i="9" s="1"/>
  <c r="DV33" i="9" a="1"/>
  <c r="DV33" i="9" s="1"/>
  <c r="DV38" i="9" a="1"/>
  <c r="DV38" i="9" s="1"/>
  <c r="DV44" i="9" a="1"/>
  <c r="DV44" i="9" s="1"/>
  <c r="DV49" i="9" a="1"/>
  <c r="DV49" i="9" s="1"/>
  <c r="DV54" i="9" a="1"/>
  <c r="DV54" i="9" s="1"/>
  <c r="DV60" i="9" a="1"/>
  <c r="DV60" i="9" s="1"/>
  <c r="DV65" i="9" a="1"/>
  <c r="DV65" i="9" s="1"/>
  <c r="DV70" i="9" a="1"/>
  <c r="DV70" i="9" s="1"/>
  <c r="DV76" i="9" a="1"/>
  <c r="DV76" i="9" s="1"/>
  <c r="DV81" i="9" a="1"/>
  <c r="DV81" i="9" s="1"/>
  <c r="DV87" i="9" a="1"/>
  <c r="DV87" i="9" s="1"/>
  <c r="DV103" i="9" a="1"/>
  <c r="DV103" i="9" s="1"/>
  <c r="DV119" i="9" a="1"/>
  <c r="DV119" i="9" s="1"/>
  <c r="DV135" i="9" a="1"/>
  <c r="DV135" i="9" s="1"/>
  <c r="DV7" i="9" a="1"/>
  <c r="DV7" i="9" s="1"/>
  <c r="DV19" i="9" a="1"/>
  <c r="DV19" i="9" s="1"/>
  <c r="DV35" i="9" a="1"/>
  <c r="DV35" i="9" s="1"/>
  <c r="DV51" i="9" a="1"/>
  <c r="DV51" i="9" s="1"/>
  <c r="DV67" i="9" a="1"/>
  <c r="DV67" i="9" s="1"/>
  <c r="DV83" i="9" a="1"/>
  <c r="DV83" i="9" s="1"/>
  <c r="DV89" i="9" a="1"/>
  <c r="DV89" i="9" s="1"/>
  <c r="DV94" i="9" a="1"/>
  <c r="DV94" i="9" s="1"/>
  <c r="DV100" i="9" a="1"/>
  <c r="DV100" i="9" s="1"/>
  <c r="DV105" i="9" a="1"/>
  <c r="DV105" i="9" s="1"/>
  <c r="DV110" i="9" a="1"/>
  <c r="DV110" i="9" s="1"/>
  <c r="DV116" i="9" a="1"/>
  <c r="DV116" i="9" s="1"/>
  <c r="DV121" i="9" a="1"/>
  <c r="DV121" i="9" s="1"/>
  <c r="DV126" i="9" a="1"/>
  <c r="DV126" i="9" s="1"/>
  <c r="DV132" i="9" a="1"/>
  <c r="DV132" i="9" s="1"/>
  <c r="DV137" i="9" a="1"/>
  <c r="DV137" i="9" s="1"/>
  <c r="DV15" i="9" a="1"/>
  <c r="DV15" i="9" s="1"/>
  <c r="DV47" i="9" a="1"/>
  <c r="DV47" i="9" s="1"/>
  <c r="DV79" i="9" a="1"/>
  <c r="DV79" i="9" s="1"/>
  <c r="DV90" i="9" a="1"/>
  <c r="DV90" i="9" s="1"/>
  <c r="DV101" i="9" a="1"/>
  <c r="DV101" i="9" s="1"/>
  <c r="DV112" i="9" a="1"/>
  <c r="DV112" i="9" s="1"/>
  <c r="DV122" i="9" a="1"/>
  <c r="DV122" i="9" s="1"/>
  <c r="DV133" i="9" a="1"/>
  <c r="DV133" i="9" s="1"/>
  <c r="DV5" i="9" a="1"/>
  <c r="DV5" i="9" s="1"/>
  <c r="DV39" i="9" a="1"/>
  <c r="DV39" i="9" s="1"/>
  <c r="DV71" i="9" a="1"/>
  <c r="DV71" i="9" s="1"/>
  <c r="DV93" i="9" a="1"/>
  <c r="DV93" i="9" s="1"/>
  <c r="DV104" i="9" a="1"/>
  <c r="DV104" i="9" s="1"/>
  <c r="DV114" i="9" a="1"/>
  <c r="DV114" i="9" s="1"/>
  <c r="DV125" i="9" a="1"/>
  <c r="DV125" i="9" s="1"/>
  <c r="DV136" i="9" a="1"/>
  <c r="DV136" i="9" s="1"/>
  <c r="DV6" i="9" a="1"/>
  <c r="DV6" i="9" s="1"/>
  <c r="DV18" i="9" a="1"/>
  <c r="DV18" i="9" s="1"/>
  <c r="DV29" i="9" a="1"/>
  <c r="DV29" i="9" s="1"/>
  <c r="DV40" i="9" a="1"/>
  <c r="DV40" i="9" s="1"/>
  <c r="DV50" i="9" a="1"/>
  <c r="DV50" i="9" s="1"/>
  <c r="DV61" i="9" a="1"/>
  <c r="DV61" i="9" s="1"/>
  <c r="DV72" i="9" a="1"/>
  <c r="DV72" i="9" s="1"/>
  <c r="DV82" i="9" a="1"/>
  <c r="DV82" i="9" s="1"/>
  <c r="DV115" i="9" a="1"/>
  <c r="DV115" i="9" s="1"/>
  <c r="DV13" i="9" a="1"/>
  <c r="DV13" i="9" s="1"/>
  <c r="DV24" i="9" a="1"/>
  <c r="DV24" i="9" s="1"/>
  <c r="DV34" i="9" a="1"/>
  <c r="DV34" i="9" s="1"/>
  <c r="DV45" i="9" a="1"/>
  <c r="DV45" i="9" s="1"/>
  <c r="DV56" i="9" a="1"/>
  <c r="DV56" i="9" s="1"/>
  <c r="DV66" i="9" a="1"/>
  <c r="DV66" i="9" s="1"/>
  <c r="DV77" i="9" a="1"/>
  <c r="DV77" i="9" s="1"/>
  <c r="DV99" i="9" a="1"/>
  <c r="DV99" i="9" s="1"/>
  <c r="DV131" i="9" a="1"/>
  <c r="DV131" i="9" s="1"/>
  <c r="DV55" i="9" a="1"/>
  <c r="DV55" i="9" s="1"/>
  <c r="DV98" i="9" a="1"/>
  <c r="DV98" i="9" s="1"/>
  <c r="DV120" i="9" a="1"/>
  <c r="DV120" i="9" s="1"/>
  <c r="DV141" i="9" a="1"/>
  <c r="DV141" i="9" s="1"/>
  <c r="DV14" i="9" a="1"/>
  <c r="DV14" i="9" s="1"/>
  <c r="DV36" i="9" a="1"/>
  <c r="DV36" i="9" s="1"/>
  <c r="DV57" i="9" a="1"/>
  <c r="DV57" i="9" s="1"/>
  <c r="DV78" i="9" a="1"/>
  <c r="DV78" i="9" s="1"/>
  <c r="DV20" i="9" a="1"/>
  <c r="DV20" i="9" s="1"/>
  <c r="DV41" i="9" a="1"/>
  <c r="DV41" i="9" s="1"/>
  <c r="DV62" i="9" a="1"/>
  <c r="DV62" i="9" s="1"/>
  <c r="DV84" i="9" a="1"/>
  <c r="DV84" i="9" s="1"/>
  <c r="DV127" i="9" a="1"/>
  <c r="DV127" i="9" s="1"/>
  <c r="DV25" i="9" a="1"/>
  <c r="DV25" i="9" s="1"/>
  <c r="DV46" i="9" a="1"/>
  <c r="DV46" i="9" s="1"/>
  <c r="DV68" i="9" a="1"/>
  <c r="DV68" i="9" s="1"/>
  <c r="DV111" i="9" a="1"/>
  <c r="DV111" i="9" s="1"/>
  <c r="DV8" i="9" a="1"/>
  <c r="DV8" i="9" s="1"/>
  <c r="DV30" i="9" a="1"/>
  <c r="DV30" i="9" s="1"/>
  <c r="DV52" i="9" a="1"/>
  <c r="DV52" i="9" s="1"/>
  <c r="DV73" i="9" a="1"/>
  <c r="DV73" i="9" s="1"/>
  <c r="DV95" i="9" a="1"/>
  <c r="DV95" i="9" s="1"/>
  <c r="DV106" i="9" a="1"/>
  <c r="DV106" i="9" s="1"/>
  <c r="DV109" i="9" a="1"/>
  <c r="DV109" i="9" s="1"/>
  <c r="DV63" i="9" a="1"/>
  <c r="DV63" i="9" s="1"/>
  <c r="DV117" i="9" a="1"/>
  <c r="DV117" i="9" s="1"/>
  <c r="DV23" i="9" a="1"/>
  <c r="DV23" i="9" s="1"/>
  <c r="DV85" i="9" a="1"/>
  <c r="DV85" i="9" s="1"/>
  <c r="DV138" i="9" a="1"/>
  <c r="DV138" i="9" s="1"/>
  <c r="DV31" i="9" a="1"/>
  <c r="DV31" i="9" s="1"/>
  <c r="DV88" i="9" a="1"/>
  <c r="DV88" i="9" s="1"/>
  <c r="DP115" i="9" a="1"/>
  <c r="DP115" i="9" s="1"/>
  <c r="DP83" i="9" a="1"/>
  <c r="DP83" i="9" s="1"/>
  <c r="DP50" i="9" a="1"/>
  <c r="DP50" i="9" s="1"/>
  <c r="DP8" i="9" a="1"/>
  <c r="DP8" i="9" s="1"/>
  <c r="DR59" i="9" a="1"/>
  <c r="DR59" i="9" s="1"/>
  <c r="DT129" i="9" a="1"/>
  <c r="DT129" i="9" s="1"/>
  <c r="DT5" i="9" a="1"/>
  <c r="DT5" i="9" s="1"/>
  <c r="DT10" i="9" a="1"/>
  <c r="DT10" i="9" s="1"/>
  <c r="DT16" i="9" a="1"/>
  <c r="DT16" i="9" s="1"/>
  <c r="DT21" i="9" a="1"/>
  <c r="DT21" i="9" s="1"/>
  <c r="DT26" i="9" a="1"/>
  <c r="DT26" i="9" s="1"/>
  <c r="DT32" i="9" a="1"/>
  <c r="DT32" i="9" s="1"/>
  <c r="DT37" i="9" a="1"/>
  <c r="DT37" i="9" s="1"/>
  <c r="DT42" i="9" a="1"/>
  <c r="DT42" i="9" s="1"/>
  <c r="DT48" i="9" a="1"/>
  <c r="DT48" i="9" s="1"/>
  <c r="DT53" i="9" a="1"/>
  <c r="DT53" i="9" s="1"/>
  <c r="DT58" i="9" a="1"/>
  <c r="DT58" i="9" s="1"/>
  <c r="DT64" i="9" a="1"/>
  <c r="DT64" i="9" s="1"/>
  <c r="DT69" i="9" a="1"/>
  <c r="DT69" i="9" s="1"/>
  <c r="DT74" i="9" a="1"/>
  <c r="DT74" i="9" s="1"/>
  <c r="DT80" i="9" a="1"/>
  <c r="DT80" i="9" s="1"/>
  <c r="DT85" i="9" a="1"/>
  <c r="DT85" i="9" s="1"/>
  <c r="DT90" i="9" a="1"/>
  <c r="DT90" i="9" s="1"/>
  <c r="DT96" i="9" a="1"/>
  <c r="DT96" i="9" s="1"/>
  <c r="DT101" i="9" a="1"/>
  <c r="DT101" i="9" s="1"/>
  <c r="DT106" i="9" a="1"/>
  <c r="DT106" i="9" s="1"/>
  <c r="DT112" i="9" a="1"/>
  <c r="DT112" i="9" s="1"/>
  <c r="DT117" i="9" a="1"/>
  <c r="DT117" i="9" s="1"/>
  <c r="DT11" i="9" a="1"/>
  <c r="DT11" i="9" s="1"/>
  <c r="DT27" i="9" a="1"/>
  <c r="DT27" i="9" s="1"/>
  <c r="DT43" i="9" a="1"/>
  <c r="DT43" i="9" s="1"/>
  <c r="DT59" i="9" a="1"/>
  <c r="DT59" i="9" s="1"/>
  <c r="DT75" i="9" a="1"/>
  <c r="DT75" i="9" s="1"/>
  <c r="DT91" i="9" a="1"/>
  <c r="DT91" i="9" s="1"/>
  <c r="DT107" i="9" a="1"/>
  <c r="DT107" i="9" s="1"/>
  <c r="DT123" i="9" a="1"/>
  <c r="DT123" i="9" s="1"/>
  <c r="DT134" i="9" a="1"/>
  <c r="DT134" i="9" s="1"/>
  <c r="DT6" i="9" a="1"/>
  <c r="DT6" i="9" s="1"/>
  <c r="DT3" i="9" a="1"/>
  <c r="DT3" i="9" s="1"/>
  <c r="DT19" i="9" a="1"/>
  <c r="DT19" i="9" s="1"/>
  <c r="DT35" i="9" a="1"/>
  <c r="DT35" i="9" s="1"/>
  <c r="DT51" i="9" a="1"/>
  <c r="DT51" i="9" s="1"/>
  <c r="DT67" i="9" a="1"/>
  <c r="DT67" i="9" s="1"/>
  <c r="DT83" i="9" a="1"/>
  <c r="DT83" i="9" s="1"/>
  <c r="DT99" i="9" a="1"/>
  <c r="DT99" i="9" s="1"/>
  <c r="DT115" i="9" a="1"/>
  <c r="DT115" i="9" s="1"/>
  <c r="DT14" i="9" a="1"/>
  <c r="DT14" i="9" s="1"/>
  <c r="DT23" i="9" a="1"/>
  <c r="DT23" i="9" s="1"/>
  <c r="DT31" i="9" a="1"/>
  <c r="DT31" i="9" s="1"/>
  <c r="DT40" i="9" a="1"/>
  <c r="DT40" i="9" s="1"/>
  <c r="DT49" i="9" a="1"/>
  <c r="DT49" i="9" s="1"/>
  <c r="DT57" i="9" a="1"/>
  <c r="DT57" i="9" s="1"/>
  <c r="DT82" i="9" a="1"/>
  <c r="DT82" i="9" s="1"/>
  <c r="DT92" i="9" a="1"/>
  <c r="DT92" i="9" s="1"/>
  <c r="DT100" i="9" a="1"/>
  <c r="DT100" i="9" s="1"/>
  <c r="DT131" i="9" a="1"/>
  <c r="DT131" i="9" s="1"/>
  <c r="DT139" i="9" a="1"/>
  <c r="DT139" i="9" s="1"/>
  <c r="DT7" i="9" a="1"/>
  <c r="DT7" i="9" s="1"/>
  <c r="DT15" i="9" a="1"/>
  <c r="DT15" i="9" s="1"/>
  <c r="DT24" i="9" a="1"/>
  <c r="DT24" i="9" s="1"/>
  <c r="DT33" i="9" a="1"/>
  <c r="DT33" i="9" s="1"/>
  <c r="DT41" i="9" a="1"/>
  <c r="DT41" i="9" s="1"/>
  <c r="DT66" i="9" a="1"/>
  <c r="DT66" i="9" s="1"/>
  <c r="DT76" i="9" a="1"/>
  <c r="DT76" i="9" s="1"/>
  <c r="DT84" i="9" a="1"/>
  <c r="DT84" i="9" s="1"/>
  <c r="DT109" i="9" a="1"/>
  <c r="DT109" i="9" s="1"/>
  <c r="DT118" i="9" a="1"/>
  <c r="DT118" i="9" s="1"/>
  <c r="DT125" i="9" a="1"/>
  <c r="DT125" i="9" s="1"/>
  <c r="DT132" i="9" a="1"/>
  <c r="DT132" i="9" s="1"/>
  <c r="DT140" i="9" a="1"/>
  <c r="DT140" i="9" s="1"/>
  <c r="DT8" i="9" a="1"/>
  <c r="DT8" i="9" s="1"/>
  <c r="DT17" i="9" a="1"/>
  <c r="DT17" i="9" s="1"/>
  <c r="DT25" i="9" a="1"/>
  <c r="DT25" i="9" s="1"/>
  <c r="DT50" i="9" a="1"/>
  <c r="DT50" i="9" s="1"/>
  <c r="DT60" i="9" a="1"/>
  <c r="DT60" i="9" s="1"/>
  <c r="DT68" i="9" a="1"/>
  <c r="DT68" i="9" s="1"/>
  <c r="DT93" i="9" a="1"/>
  <c r="DT93" i="9" s="1"/>
  <c r="DT102" i="9" a="1"/>
  <c r="DT102" i="9" s="1"/>
  <c r="DT110" i="9" a="1"/>
  <c r="DT110" i="9" s="1"/>
  <c r="DT119" i="9" a="1"/>
  <c r="DT119" i="9" s="1"/>
  <c r="DT126" i="9" a="1"/>
  <c r="DT126" i="9" s="1"/>
  <c r="DT133" i="9" a="1"/>
  <c r="DT133" i="9" s="1"/>
  <c r="DT141" i="9" a="1"/>
  <c r="DT141" i="9" s="1"/>
  <c r="DT2" i="9" a="1"/>
  <c r="DT2" i="9" s="1"/>
  <c r="DT29" i="9" a="1"/>
  <c r="DT29" i="9" s="1"/>
  <c r="DT38" i="9" a="1"/>
  <c r="DT38" i="9" s="1"/>
  <c r="DT46" i="9" a="1"/>
  <c r="DT46" i="9" s="1"/>
  <c r="DT55" i="9" a="1"/>
  <c r="DT55" i="9" s="1"/>
  <c r="DT63" i="9" a="1"/>
  <c r="DT63" i="9" s="1"/>
  <c r="DT72" i="9" a="1"/>
  <c r="DT72" i="9" s="1"/>
  <c r="DT81" i="9" a="1"/>
  <c r="DT81" i="9" s="1"/>
  <c r="DT89" i="9" a="1"/>
  <c r="DT89" i="9" s="1"/>
  <c r="DT114" i="9" a="1"/>
  <c r="DT114" i="9" s="1"/>
  <c r="DT122" i="9" a="1"/>
  <c r="DT122" i="9" s="1"/>
  <c r="DT137" i="9" a="1"/>
  <c r="DT137" i="9" s="1"/>
  <c r="DT20" i="9" a="1"/>
  <c r="DT20" i="9" s="1"/>
  <c r="DT54" i="9" a="1"/>
  <c r="DT54" i="9" s="1"/>
  <c r="DT71" i="9" a="1"/>
  <c r="DT71" i="9" s="1"/>
  <c r="DT88" i="9" a="1"/>
  <c r="DT88" i="9" s="1"/>
  <c r="DT105" i="9" a="1"/>
  <c r="DT105" i="9" s="1"/>
  <c r="DT136" i="9" a="1"/>
  <c r="DT136" i="9" s="1"/>
  <c r="DT4" i="9" a="1"/>
  <c r="DT4" i="9" s="1"/>
  <c r="DT22" i="9" a="1"/>
  <c r="DT22" i="9" s="1"/>
  <c r="DT39" i="9" a="1"/>
  <c r="DT39" i="9" s="1"/>
  <c r="DT56" i="9" a="1"/>
  <c r="DT56" i="9" s="1"/>
  <c r="DT73" i="9" a="1"/>
  <c r="DT73" i="9" s="1"/>
  <c r="DT108" i="9" a="1"/>
  <c r="DT108" i="9" s="1"/>
  <c r="DT124" i="9" a="1"/>
  <c r="DT124" i="9" s="1"/>
  <c r="DT138" i="9" a="1"/>
  <c r="DT138" i="9" s="1"/>
  <c r="DT9" i="9" a="1"/>
  <c r="DT9" i="9" s="1"/>
  <c r="DT44" i="9" a="1"/>
  <c r="DT44" i="9" s="1"/>
  <c r="DT77" i="9" a="1"/>
  <c r="DT77" i="9" s="1"/>
  <c r="DT94" i="9" a="1"/>
  <c r="DT94" i="9" s="1"/>
  <c r="DT111" i="9" a="1"/>
  <c r="DT111" i="9" s="1"/>
  <c r="DT127" i="9" a="1"/>
  <c r="DT127" i="9" s="1"/>
  <c r="DT13" i="9" a="1"/>
  <c r="DT13" i="9" s="1"/>
  <c r="DT30" i="9" a="1"/>
  <c r="DT30" i="9" s="1"/>
  <c r="DT47" i="9" a="1"/>
  <c r="DT47" i="9" s="1"/>
  <c r="DT65" i="9" a="1"/>
  <c r="DT65" i="9" s="1"/>
  <c r="DT98" i="9" a="1"/>
  <c r="DT98" i="9" s="1"/>
  <c r="DT116" i="9" a="1"/>
  <c r="DT116" i="9" s="1"/>
  <c r="DT130" i="9" a="1"/>
  <c r="DT130" i="9" s="1"/>
  <c r="DT34" i="9" a="1"/>
  <c r="DT34" i="9" s="1"/>
  <c r="DT52" i="9" a="1"/>
  <c r="DT52" i="9" s="1"/>
  <c r="DT86" i="9" a="1"/>
  <c r="DT86" i="9" s="1"/>
  <c r="DT103" i="9" a="1"/>
  <c r="DT103" i="9" s="1"/>
  <c r="DT120" i="9" a="1"/>
  <c r="DT120" i="9" s="1"/>
  <c r="DT18" i="9" a="1"/>
  <c r="DT18" i="9" s="1"/>
  <c r="DT62" i="9" a="1"/>
  <c r="DT62" i="9" s="1"/>
  <c r="DT113" i="9" a="1"/>
  <c r="DT113" i="9" s="1"/>
  <c r="DT28" i="9" a="1"/>
  <c r="DT28" i="9" s="1"/>
  <c r="DT70" i="9" a="1"/>
  <c r="DT70" i="9" s="1"/>
  <c r="DT78" i="9" a="1"/>
  <c r="DT78" i="9" s="1"/>
  <c r="DT121" i="9" a="1"/>
  <c r="DT121" i="9" s="1"/>
  <c r="DT45" i="9" a="1"/>
  <c r="DT45" i="9" s="1"/>
  <c r="DT95" i="9" a="1"/>
  <c r="DT95" i="9" s="1"/>
  <c r="DT135" i="9" a="1"/>
  <c r="DT135" i="9" s="1"/>
  <c r="DT97" i="9" a="1"/>
  <c r="DT97" i="9" s="1"/>
  <c r="DT36" i="9" a="1"/>
  <c r="DT36" i="9" s="1"/>
  <c r="DH60" i="9" a="1"/>
  <c r="DH60" i="9" s="1"/>
  <c r="DH133" i="9" a="1"/>
  <c r="DH133" i="9" s="1"/>
  <c r="DH69" i="9" a="1"/>
  <c r="DH69" i="9" s="1"/>
  <c r="DH78" i="9" a="1"/>
  <c r="DH78" i="9" s="1"/>
  <c r="DX4" i="9" a="1"/>
  <c r="DX4" i="9" s="1"/>
  <c r="DX11" i="9" a="1"/>
  <c r="DX11" i="9" s="1"/>
  <c r="DX17" i="9" a="1"/>
  <c r="DX17" i="9" s="1"/>
  <c r="DX30" i="9" a="1"/>
  <c r="DX30" i="9" s="1"/>
  <c r="DX36" i="9" a="1"/>
  <c r="DX36" i="9" s="1"/>
  <c r="DX5" i="9" a="1"/>
  <c r="DX5" i="9" s="1"/>
  <c r="DX18" i="9" a="1"/>
  <c r="DX18" i="9" s="1"/>
  <c r="DX24" i="9" a="1"/>
  <c r="DX24" i="9" s="1"/>
  <c r="DX31" i="9" a="1"/>
  <c r="DX31" i="9" s="1"/>
  <c r="DX37" i="9" a="1"/>
  <c r="DX37" i="9" s="1"/>
  <c r="DX50" i="9" a="1"/>
  <c r="DX50" i="9" s="1"/>
  <c r="DX56" i="9" a="1"/>
  <c r="DX56" i="9" s="1"/>
  <c r="DX63" i="9" a="1"/>
  <c r="DX63" i="9" s="1"/>
  <c r="DX69" i="9" a="1"/>
  <c r="DX69" i="9" s="1"/>
  <c r="DX82" i="9" a="1"/>
  <c r="DX82" i="9" s="1"/>
  <c r="DX88" i="9" a="1"/>
  <c r="DX88" i="9" s="1"/>
  <c r="DX95" i="9" a="1"/>
  <c r="DX95" i="9" s="1"/>
  <c r="DX101" i="9" a="1"/>
  <c r="DX101" i="9" s="1"/>
  <c r="DX114" i="9" a="1"/>
  <c r="DX114" i="9" s="1"/>
  <c r="DX120" i="9" a="1"/>
  <c r="DX120" i="9" s="1"/>
  <c r="DX127" i="9" a="1"/>
  <c r="DX127" i="9" s="1"/>
  <c r="DX133" i="9" a="1"/>
  <c r="DX133" i="9" s="1"/>
  <c r="DX6" i="9" a="1"/>
  <c r="DX6" i="9" s="1"/>
  <c r="DX12" i="9" a="1"/>
  <c r="DX12" i="9" s="1"/>
  <c r="DX19" i="9" a="1"/>
  <c r="DX19" i="9" s="1"/>
  <c r="DX25" i="9" a="1"/>
  <c r="DX25" i="9" s="1"/>
  <c r="DX38" i="9" a="1"/>
  <c r="DX38" i="9" s="1"/>
  <c r="DX44" i="9" a="1"/>
  <c r="DX44" i="9" s="1"/>
  <c r="DX51" i="9" a="1"/>
  <c r="DX51" i="9" s="1"/>
  <c r="DX57" i="9" a="1"/>
  <c r="DX57" i="9" s="1"/>
  <c r="DX70" i="9" a="1"/>
  <c r="DX70" i="9" s="1"/>
  <c r="DX76" i="9" a="1"/>
  <c r="DX76" i="9" s="1"/>
  <c r="DX83" i="9" a="1"/>
  <c r="DX83" i="9" s="1"/>
  <c r="DX2" i="9" a="1"/>
  <c r="DX2" i="9" s="1"/>
  <c r="DX8" i="9" a="1"/>
  <c r="DX8" i="9" s="1"/>
  <c r="DX15" i="9" a="1"/>
  <c r="DX15" i="9" s="1"/>
  <c r="DX21" i="9" a="1"/>
  <c r="DX21" i="9" s="1"/>
  <c r="DX34" i="9" a="1"/>
  <c r="DX34" i="9" s="1"/>
  <c r="DX40" i="9" a="1"/>
  <c r="DX40" i="9" s="1"/>
  <c r="DX3" i="9" a="1"/>
  <c r="DX3" i="9" s="1"/>
  <c r="DX9" i="9" a="1"/>
  <c r="DX9" i="9" s="1"/>
  <c r="DX22" i="9" a="1"/>
  <c r="DX22" i="9" s="1"/>
  <c r="DX28" i="9" a="1"/>
  <c r="DX28" i="9" s="1"/>
  <c r="DX35" i="9" a="1"/>
  <c r="DX35" i="9" s="1"/>
  <c r="DX41" i="9" a="1"/>
  <c r="DX41" i="9" s="1"/>
  <c r="DX54" i="9" a="1"/>
  <c r="DX54" i="9" s="1"/>
  <c r="DX60" i="9" a="1"/>
  <c r="DX60" i="9" s="1"/>
  <c r="DX67" i="9" a="1"/>
  <c r="DX67" i="9" s="1"/>
  <c r="DX73" i="9" a="1"/>
  <c r="DX73" i="9" s="1"/>
  <c r="DX86" i="9" a="1"/>
  <c r="DX86" i="9" s="1"/>
  <c r="DX92" i="9" a="1"/>
  <c r="DX92" i="9" s="1"/>
  <c r="DX99" i="9" a="1"/>
  <c r="DX99" i="9" s="1"/>
  <c r="DX105" i="9" a="1"/>
  <c r="DX105" i="9" s="1"/>
  <c r="DX118" i="9" a="1"/>
  <c r="DX118" i="9" s="1"/>
  <c r="DX124" i="9" a="1"/>
  <c r="DX124" i="9" s="1"/>
  <c r="DX131" i="9" a="1"/>
  <c r="DX131" i="9" s="1"/>
  <c r="DX137" i="9" a="1"/>
  <c r="DX137" i="9" s="1"/>
  <c r="DX7" i="9" a="1"/>
  <c r="DX7" i="9" s="1"/>
  <c r="DX23" i="9" a="1"/>
  <c r="DX23" i="9" s="1"/>
  <c r="DX61" i="9" a="1"/>
  <c r="DX61" i="9" s="1"/>
  <c r="DX81" i="9" a="1"/>
  <c r="DX81" i="9" s="1"/>
  <c r="DX91" i="9" a="1"/>
  <c r="DX91" i="9" s="1"/>
  <c r="DX108" i="9" a="1"/>
  <c r="DX108" i="9" s="1"/>
  <c r="DX116" i="9" a="1"/>
  <c r="DX116" i="9" s="1"/>
  <c r="DX125" i="9" a="1"/>
  <c r="DX125" i="9" s="1"/>
  <c r="DX134" i="9" a="1"/>
  <c r="DX134" i="9" s="1"/>
  <c r="DX26" i="9" a="1"/>
  <c r="DX26" i="9" s="1"/>
  <c r="DX42" i="9" a="1"/>
  <c r="DX42" i="9" s="1"/>
  <c r="DX52" i="9" a="1"/>
  <c r="DX52" i="9" s="1"/>
  <c r="DX62" i="9" a="1"/>
  <c r="DX62" i="9" s="1"/>
  <c r="DX72" i="9" a="1"/>
  <c r="DX72" i="9" s="1"/>
  <c r="DX100" i="9" a="1"/>
  <c r="DX100" i="9" s="1"/>
  <c r="DX109" i="9" a="1"/>
  <c r="DX109" i="9" s="1"/>
  <c r="DX117" i="9" a="1"/>
  <c r="DX117" i="9" s="1"/>
  <c r="DX126" i="9" a="1"/>
  <c r="DX126" i="9" s="1"/>
  <c r="DX135" i="9" a="1"/>
  <c r="DX135" i="9" s="1"/>
  <c r="DX10" i="9" a="1"/>
  <c r="DX10" i="9" s="1"/>
  <c r="DX27" i="9" a="1"/>
  <c r="DX27" i="9" s="1"/>
  <c r="DX43" i="9" a="1"/>
  <c r="DX43" i="9" s="1"/>
  <c r="DX53" i="9" a="1"/>
  <c r="DX53" i="9" s="1"/>
  <c r="DX64" i="9" a="1"/>
  <c r="DX64" i="9" s="1"/>
  <c r="DX74" i="9" a="1"/>
  <c r="DX74" i="9" s="1"/>
  <c r="DX84" i="9" a="1"/>
  <c r="DX84" i="9" s="1"/>
  <c r="DX93" i="9" a="1"/>
  <c r="DX93" i="9" s="1"/>
  <c r="DX102" i="9" a="1"/>
  <c r="DX102" i="9" s="1"/>
  <c r="DX110" i="9" a="1"/>
  <c r="DX110" i="9" s="1"/>
  <c r="DX119" i="9" a="1"/>
  <c r="DX119" i="9" s="1"/>
  <c r="DX16" i="9" a="1"/>
  <c r="DX16" i="9" s="1"/>
  <c r="DX33" i="9" a="1"/>
  <c r="DX33" i="9" s="1"/>
  <c r="DX47" i="9" a="1"/>
  <c r="DX47" i="9" s="1"/>
  <c r="DX58" i="9" a="1"/>
  <c r="DX58" i="9" s="1"/>
  <c r="DX78" i="9" a="1"/>
  <c r="DX78" i="9" s="1"/>
  <c r="DX96" i="9" a="1"/>
  <c r="DX96" i="9" s="1"/>
  <c r="DX104" i="9" a="1"/>
  <c r="DX104" i="9" s="1"/>
  <c r="DX113" i="9" a="1"/>
  <c r="DX113" i="9" s="1"/>
  <c r="DX122" i="9" a="1"/>
  <c r="DX122" i="9" s="1"/>
  <c r="DX130" i="9" a="1"/>
  <c r="DX130" i="9" s="1"/>
  <c r="DX139" i="9" a="1"/>
  <c r="DX139" i="9" s="1"/>
  <c r="DX20" i="9" a="1"/>
  <c r="DX20" i="9" s="1"/>
  <c r="DX49" i="9" a="1"/>
  <c r="DX49" i="9" s="1"/>
  <c r="DX71" i="9" a="1"/>
  <c r="DX71" i="9" s="1"/>
  <c r="DX90" i="9" a="1"/>
  <c r="DX90" i="9" s="1"/>
  <c r="DX107" i="9" a="1"/>
  <c r="DX107" i="9" s="1"/>
  <c r="DX141" i="9" a="1"/>
  <c r="DX141" i="9" s="1"/>
  <c r="DX29" i="9" a="1"/>
  <c r="DX29" i="9" s="1"/>
  <c r="DX55" i="9" a="1"/>
  <c r="DX55" i="9" s="1"/>
  <c r="DX75" i="9" a="1"/>
  <c r="DX75" i="9" s="1"/>
  <c r="DX94" i="9" a="1"/>
  <c r="DX94" i="9" s="1"/>
  <c r="DX111" i="9" a="1"/>
  <c r="DX111" i="9" s="1"/>
  <c r="DX128" i="9" a="1"/>
  <c r="DX128" i="9" s="1"/>
  <c r="DX32" i="9" a="1"/>
  <c r="DX32" i="9" s="1"/>
  <c r="DX77" i="9" a="1"/>
  <c r="DX77" i="9" s="1"/>
  <c r="DX112" i="9" a="1"/>
  <c r="DX112" i="9" s="1"/>
  <c r="DX129" i="9" a="1"/>
  <c r="DX129" i="9" s="1"/>
  <c r="DX14" i="9" a="1"/>
  <c r="DX14" i="9" s="1"/>
  <c r="DX46" i="9" a="1"/>
  <c r="DX46" i="9" s="1"/>
  <c r="DX66" i="9" a="1"/>
  <c r="DX66" i="9" s="1"/>
  <c r="DX87" i="9" a="1"/>
  <c r="DX87" i="9" s="1"/>
  <c r="DX121" i="9" a="1"/>
  <c r="DX121" i="9" s="1"/>
  <c r="DX138" i="9" a="1"/>
  <c r="DX138" i="9" s="1"/>
  <c r="DX45" i="9" a="1"/>
  <c r="DX45" i="9" s="1"/>
  <c r="DX85" i="9" a="1"/>
  <c r="DX85" i="9" s="1"/>
  <c r="DX48" i="9" a="1"/>
  <c r="DX48" i="9" s="1"/>
  <c r="DX89" i="9" a="1"/>
  <c r="DX89" i="9" s="1"/>
  <c r="DX123" i="9" a="1"/>
  <c r="DX123" i="9" s="1"/>
  <c r="DX59" i="9" a="1"/>
  <c r="DX59" i="9" s="1"/>
  <c r="DX97" i="9" a="1"/>
  <c r="DX97" i="9" s="1"/>
  <c r="DX68" i="9" a="1"/>
  <c r="DX68" i="9" s="1"/>
  <c r="DX106" i="9" a="1"/>
  <c r="DX106" i="9" s="1"/>
  <c r="DX140" i="9" a="1"/>
  <c r="DX140" i="9" s="1"/>
  <c r="DX79" i="9" a="1"/>
  <c r="DX79" i="9" s="1"/>
  <c r="DX115" i="9" a="1"/>
  <c r="DX115" i="9" s="1"/>
  <c r="DX13" i="9" a="1"/>
  <c r="DX13" i="9" s="1"/>
  <c r="DX132" i="9" a="1"/>
  <c r="DX132" i="9" s="1"/>
  <c r="DX39" i="9" a="1"/>
  <c r="DX39" i="9" s="1"/>
  <c r="DX136" i="9" a="1"/>
  <c r="DX136" i="9" s="1"/>
  <c r="DX80" i="9" a="1"/>
  <c r="DX80" i="9" s="1"/>
  <c r="DX98" i="9" a="1"/>
  <c r="DX98" i="9" s="1"/>
  <c r="DH51" i="9" a="1"/>
  <c r="DH51" i="9" s="1"/>
  <c r="DP78" i="9" a="1"/>
  <c r="DP78" i="9" s="1"/>
  <c r="DP6" i="9" a="1"/>
  <c r="DP6" i="9" s="1"/>
  <c r="DT128" i="9" a="1"/>
  <c r="DT128" i="9" s="1"/>
  <c r="DV130" i="9" a="1"/>
  <c r="DV130" i="9" s="1"/>
  <c r="DX103" i="9" a="1"/>
  <c r="DX103" i="9" s="1"/>
  <c r="DR114" i="9" a="1"/>
  <c r="DR114" i="9" s="1"/>
  <c r="DF54" i="9" a="1"/>
  <c r="DF54" i="9" s="1"/>
  <c r="DJ17" i="9" a="1"/>
  <c r="DJ17" i="9" s="1"/>
  <c r="DJ22" i="9" a="1"/>
  <c r="DJ22" i="9" s="1"/>
  <c r="DJ31" i="9" a="1"/>
  <c r="DJ31" i="9" s="1"/>
  <c r="DJ40" i="9" a="1"/>
  <c r="DJ40" i="9" s="1"/>
  <c r="DJ49" i="9" a="1"/>
  <c r="DJ49" i="9" s="1"/>
  <c r="DJ54" i="9" a="1"/>
  <c r="DJ54" i="9" s="1"/>
  <c r="DJ63" i="9" a="1"/>
  <c r="DJ63" i="9" s="1"/>
  <c r="DJ72" i="9" a="1"/>
  <c r="DJ72" i="9" s="1"/>
  <c r="DJ81" i="9" a="1"/>
  <c r="DJ81" i="9" s="1"/>
  <c r="DJ86" i="9" a="1"/>
  <c r="DJ86" i="9" s="1"/>
  <c r="DJ95" i="9" a="1"/>
  <c r="DJ95" i="9" s="1"/>
  <c r="DJ104" i="9" a="1"/>
  <c r="DJ104" i="9" s="1"/>
  <c r="DJ113" i="9" a="1"/>
  <c r="DJ113" i="9" s="1"/>
  <c r="DJ118" i="9" a="1"/>
  <c r="DJ118" i="9" s="1"/>
  <c r="DJ127" i="9" a="1"/>
  <c r="DJ127" i="9" s="1"/>
  <c r="DJ137" i="9" a="1"/>
  <c r="DJ137" i="9" s="1"/>
  <c r="DJ5" i="9" a="1"/>
  <c r="DJ5" i="9" s="1"/>
  <c r="DJ13" i="9" a="1"/>
  <c r="DJ13" i="9" s="1"/>
  <c r="DJ18" i="9" a="1"/>
  <c r="DJ18" i="9" s="1"/>
  <c r="DJ27" i="9" a="1"/>
  <c r="DJ27" i="9" s="1"/>
  <c r="DJ36" i="9" a="1"/>
  <c r="DJ36" i="9" s="1"/>
  <c r="DJ45" i="9" a="1"/>
  <c r="DJ45" i="9" s="1"/>
  <c r="DJ50" i="9" a="1"/>
  <c r="DJ50" i="9" s="1"/>
  <c r="DJ59" i="9" a="1"/>
  <c r="DJ59" i="9" s="1"/>
  <c r="DJ68" i="9" a="1"/>
  <c r="DJ68" i="9" s="1"/>
  <c r="DJ77" i="9" a="1"/>
  <c r="DJ77" i="9" s="1"/>
  <c r="DJ82" i="9" a="1"/>
  <c r="DJ82" i="9" s="1"/>
  <c r="DJ91" i="9" a="1"/>
  <c r="DJ91" i="9" s="1"/>
  <c r="DJ100" i="9" a="1"/>
  <c r="DJ100" i="9" s="1"/>
  <c r="DJ109" i="9" a="1"/>
  <c r="DJ109" i="9" s="1"/>
  <c r="DJ114" i="9" a="1"/>
  <c r="DJ114" i="9" s="1"/>
  <c r="DJ123" i="9" a="1"/>
  <c r="DJ123" i="9" s="1"/>
  <c r="DJ132" i="9" a="1"/>
  <c r="DJ132" i="9" s="1"/>
  <c r="DJ138" i="9" a="1"/>
  <c r="DJ138" i="9" s="1"/>
  <c r="DJ9" i="9" a="1"/>
  <c r="DJ9" i="9" s="1"/>
  <c r="DJ14" i="9" a="1"/>
  <c r="DJ14" i="9" s="1"/>
  <c r="DJ23" i="9" a="1"/>
  <c r="DJ23" i="9" s="1"/>
  <c r="DJ32" i="9" a="1"/>
  <c r="DJ32" i="9" s="1"/>
  <c r="DJ41" i="9" a="1"/>
  <c r="DJ41" i="9" s="1"/>
  <c r="DJ46" i="9" a="1"/>
  <c r="DJ46" i="9" s="1"/>
  <c r="DJ55" i="9" a="1"/>
  <c r="DJ55" i="9" s="1"/>
  <c r="DJ64" i="9" a="1"/>
  <c r="DJ64" i="9" s="1"/>
  <c r="DJ73" i="9" a="1"/>
  <c r="DJ73" i="9" s="1"/>
  <c r="DJ78" i="9" a="1"/>
  <c r="DJ78" i="9" s="1"/>
  <c r="DJ87" i="9" a="1"/>
  <c r="DJ87" i="9" s="1"/>
  <c r="DJ96" i="9" a="1"/>
  <c r="DJ96" i="9" s="1"/>
  <c r="DJ105" i="9" a="1"/>
  <c r="DJ105" i="9" s="1"/>
  <c r="DJ110" i="9" a="1"/>
  <c r="DJ110" i="9" s="1"/>
  <c r="DJ119" i="9" a="1"/>
  <c r="DJ119" i="9" s="1"/>
  <c r="DJ128" i="9" a="1"/>
  <c r="DJ128" i="9" s="1"/>
  <c r="DJ6" i="9" a="1"/>
  <c r="DJ6" i="9" s="1"/>
  <c r="DJ11" i="9" a="1"/>
  <c r="DJ11" i="9" s="1"/>
  <c r="DJ20" i="9" a="1"/>
  <c r="DJ20" i="9" s="1"/>
  <c r="DJ29" i="9" a="1"/>
  <c r="DJ29" i="9" s="1"/>
  <c r="DJ34" i="9" a="1"/>
  <c r="DJ34" i="9" s="1"/>
  <c r="DJ43" i="9" a="1"/>
  <c r="DJ43" i="9" s="1"/>
  <c r="DJ52" i="9" a="1"/>
  <c r="DJ52" i="9" s="1"/>
  <c r="DJ61" i="9" a="1"/>
  <c r="DJ61" i="9" s="1"/>
  <c r="DJ66" i="9" a="1"/>
  <c r="DJ66" i="9" s="1"/>
  <c r="DJ75" i="9" a="1"/>
  <c r="DJ75" i="9" s="1"/>
  <c r="DJ84" i="9" a="1"/>
  <c r="DJ84" i="9" s="1"/>
  <c r="DJ93" i="9" a="1"/>
  <c r="DJ93" i="9" s="1"/>
  <c r="DJ98" i="9" a="1"/>
  <c r="DJ98" i="9" s="1"/>
  <c r="DJ16" i="9" a="1"/>
  <c r="DJ16" i="9" s="1"/>
  <c r="DJ25" i="9" a="1"/>
  <c r="DJ25" i="9" s="1"/>
  <c r="DJ30" i="9" a="1"/>
  <c r="DJ30" i="9" s="1"/>
  <c r="DJ39" i="9" a="1"/>
  <c r="DJ39" i="9" s="1"/>
  <c r="DJ48" i="9" a="1"/>
  <c r="DJ48" i="9" s="1"/>
  <c r="DJ57" i="9" a="1"/>
  <c r="DJ57" i="9" s="1"/>
  <c r="DJ62" i="9" a="1"/>
  <c r="DJ62" i="9" s="1"/>
  <c r="DJ71" i="9" a="1"/>
  <c r="DJ71" i="9" s="1"/>
  <c r="DJ80" i="9" a="1"/>
  <c r="DJ80" i="9" s="1"/>
  <c r="DH22" i="9" a="1"/>
  <c r="DH22" i="9" s="1"/>
  <c r="DJ139" i="9" a="1"/>
  <c r="DJ139" i="9" s="1"/>
  <c r="DJ130" i="9" a="1"/>
  <c r="DJ130" i="9" s="1"/>
  <c r="DJ122" i="9" a="1"/>
  <c r="DJ122" i="9" s="1"/>
  <c r="DJ101" i="9" a="1"/>
  <c r="DJ101" i="9" s="1"/>
  <c r="DJ92" i="9" a="1"/>
  <c r="DJ92" i="9" s="1"/>
  <c r="DJ83" i="9" a="1"/>
  <c r="DJ83" i="9" s="1"/>
  <c r="DJ70" i="9" a="1"/>
  <c r="DJ70" i="9" s="1"/>
  <c r="DJ58" i="9" a="1"/>
  <c r="DJ58" i="9" s="1"/>
  <c r="DJ33" i="9" a="1"/>
  <c r="DJ33" i="9" s="1"/>
  <c r="DJ21" i="9" a="1"/>
  <c r="DJ21" i="9" s="1"/>
  <c r="DJ10" i="9" a="1"/>
  <c r="DJ10" i="9" s="1"/>
  <c r="DP139" i="9" a="1"/>
  <c r="DP139" i="9" s="1"/>
  <c r="DP106" i="9" a="1"/>
  <c r="DP106" i="9" s="1"/>
  <c r="DP76" i="9" a="1"/>
  <c r="DP76" i="9" s="1"/>
  <c r="DR138" i="9" a="1"/>
  <c r="DR138" i="9" s="1"/>
  <c r="DR94" i="9" a="1"/>
  <c r="DR94" i="9" s="1"/>
  <c r="DT104" i="9" a="1"/>
  <c r="DT104" i="9" s="1"/>
  <c r="DV128" i="9" a="1"/>
  <c r="DV128" i="9" s="1"/>
  <c r="DX65" i="9" a="1"/>
  <c r="DX65" i="9" s="1"/>
  <c r="DL138" i="9" a="1"/>
  <c r="DL138" i="9" s="1"/>
  <c r="DL130" i="9" a="1"/>
  <c r="DL130" i="9" s="1"/>
  <c r="DL123" i="9" a="1"/>
  <c r="DL123" i="9" s="1"/>
  <c r="DL117" i="9" a="1"/>
  <c r="DL117" i="9" s="1"/>
  <c r="DL110" i="9" a="1"/>
  <c r="DL110" i="9" s="1"/>
  <c r="DL104" i="9" a="1"/>
  <c r="DL104" i="9" s="1"/>
  <c r="DL91" i="9" a="1"/>
  <c r="DL91" i="9" s="1"/>
  <c r="DL85" i="9" a="1"/>
  <c r="DL85" i="9" s="1"/>
  <c r="DL78" i="9" a="1"/>
  <c r="DL78" i="9" s="1"/>
  <c r="DL72" i="9" a="1"/>
  <c r="DL72" i="9" s="1"/>
  <c r="DL59" i="9" a="1"/>
  <c r="DL59" i="9" s="1"/>
  <c r="DL53" i="9" a="1"/>
  <c r="DL53" i="9" s="1"/>
  <c r="DL46" i="9" a="1"/>
  <c r="DL46" i="9" s="1"/>
  <c r="DL40" i="9" a="1"/>
  <c r="DL40" i="9" s="1"/>
  <c r="DL27" i="9" a="1"/>
  <c r="DL27" i="9" s="1"/>
  <c r="DL21" i="9" a="1"/>
  <c r="DL21" i="9" s="1"/>
  <c r="DL14" i="9" a="1"/>
  <c r="DL14" i="9" s="1"/>
  <c r="DL7" i="9" a="1"/>
  <c r="DL7" i="9" s="1"/>
  <c r="DN138" i="9" a="1"/>
  <c r="DN138" i="9" s="1"/>
  <c r="DN122" i="9" a="1"/>
  <c r="DN122" i="9" s="1"/>
  <c r="DN117" i="9" a="1"/>
  <c r="DN117" i="9" s="1"/>
  <c r="DN112" i="9" a="1"/>
  <c r="DN112" i="9" s="1"/>
  <c r="DN107" i="9" a="1"/>
  <c r="DN107" i="9" s="1"/>
  <c r="DN101" i="9" a="1"/>
  <c r="DN101" i="9" s="1"/>
  <c r="DN96" i="9" a="1"/>
  <c r="DN96" i="9" s="1"/>
  <c r="DN91" i="9" a="1"/>
  <c r="DN91" i="9" s="1"/>
  <c r="DN73" i="9" a="1"/>
  <c r="DN73" i="9" s="1"/>
  <c r="DN60" i="9" a="1"/>
  <c r="DN60" i="9" s="1"/>
  <c r="DN38" i="9" a="1"/>
  <c r="DN38" i="9" s="1"/>
  <c r="DN31" i="9" a="1"/>
  <c r="DN31" i="9" s="1"/>
  <c r="DN23" i="9" a="1"/>
  <c r="DN23" i="9" s="1"/>
  <c r="DZ100" i="9" a="1"/>
  <c r="DZ100" i="9" s="1"/>
  <c r="DL137" i="9" a="1"/>
  <c r="DL137" i="9" s="1"/>
  <c r="DL129" i="9" a="1"/>
  <c r="DL129" i="9" s="1"/>
  <c r="DL122" i="9" a="1"/>
  <c r="DL122" i="9" s="1"/>
  <c r="DL116" i="9" a="1"/>
  <c r="DL116" i="9" s="1"/>
  <c r="DL103" i="9" a="1"/>
  <c r="DL103" i="9" s="1"/>
  <c r="DL97" i="9" a="1"/>
  <c r="DL97" i="9" s="1"/>
  <c r="DL90" i="9" a="1"/>
  <c r="DL90" i="9" s="1"/>
  <c r="DL84" i="9" a="1"/>
  <c r="DL84" i="9" s="1"/>
  <c r="DL71" i="9" a="1"/>
  <c r="DL71" i="9" s="1"/>
  <c r="DL65" i="9" a="1"/>
  <c r="DL65" i="9" s="1"/>
  <c r="DL58" i="9" a="1"/>
  <c r="DL58" i="9" s="1"/>
  <c r="DL52" i="9" a="1"/>
  <c r="DL52" i="9" s="1"/>
  <c r="DL39" i="9" a="1"/>
  <c r="DL39" i="9" s="1"/>
  <c r="DL33" i="9" a="1"/>
  <c r="DL33" i="9" s="1"/>
  <c r="DL26" i="9" a="1"/>
  <c r="DL26" i="9" s="1"/>
  <c r="DL20" i="9" a="1"/>
  <c r="DL20" i="9" s="1"/>
  <c r="DN137" i="9" a="1"/>
  <c r="DN137" i="9" s="1"/>
  <c r="DN132" i="9" a="1"/>
  <c r="DN132" i="9" s="1"/>
  <c r="DN127" i="9" a="1"/>
  <c r="DN127" i="9" s="1"/>
  <c r="DN90" i="9" a="1"/>
  <c r="DN90" i="9" s="1"/>
  <c r="DN78" i="9" a="1"/>
  <c r="DN78" i="9" s="1"/>
  <c r="DN66" i="9" a="1"/>
  <c r="DN66" i="9" s="1"/>
  <c r="DN52" i="9" a="1"/>
  <c r="DN52" i="9" s="1"/>
  <c r="DN37" i="9" a="1"/>
  <c r="DN37" i="9" s="1"/>
  <c r="DN2" i="9" a="1"/>
  <c r="DN2" i="9" s="1"/>
  <c r="EB90" i="9" a="1"/>
  <c r="EB90" i="9" s="1"/>
  <c r="DZ10" i="9" a="1"/>
  <c r="DZ10" i="9" s="1"/>
  <c r="DZ15" i="9" a="1"/>
  <c r="DZ15" i="9" s="1"/>
  <c r="DZ24" i="9" a="1"/>
  <c r="DZ24" i="9" s="1"/>
  <c r="DZ33" i="9" a="1"/>
  <c r="DZ33" i="9" s="1"/>
  <c r="DZ42" i="9" a="1"/>
  <c r="DZ42" i="9" s="1"/>
  <c r="DZ47" i="9" a="1"/>
  <c r="DZ47" i="9" s="1"/>
  <c r="DZ52" i="9" a="1"/>
  <c r="DZ52" i="9" s="1"/>
  <c r="DZ61" i="9" a="1"/>
  <c r="DZ61" i="9" s="1"/>
  <c r="DZ70" i="9" a="1"/>
  <c r="DZ70" i="9" s="1"/>
  <c r="DZ75" i="9" a="1"/>
  <c r="DZ75" i="9" s="1"/>
  <c r="DZ84" i="9" a="1"/>
  <c r="DZ84" i="9" s="1"/>
  <c r="DZ93" i="9" a="1"/>
  <c r="DZ93" i="9" s="1"/>
  <c r="DZ102" i="9" a="1"/>
  <c r="DZ102" i="9" s="1"/>
  <c r="DZ107" i="9" a="1"/>
  <c r="DZ107" i="9" s="1"/>
  <c r="DZ116" i="9" a="1"/>
  <c r="DZ116" i="9" s="1"/>
  <c r="DZ125" i="9" a="1"/>
  <c r="DZ125" i="9" s="1"/>
  <c r="DZ134" i="9" a="1"/>
  <c r="DZ134" i="9" s="1"/>
  <c r="DZ139" i="9" a="1"/>
  <c r="DZ139" i="9" s="1"/>
  <c r="DZ6" i="9" a="1"/>
  <c r="DZ6" i="9" s="1"/>
  <c r="DZ11" i="9" a="1"/>
  <c r="DZ11" i="9" s="1"/>
  <c r="DZ20" i="9" a="1"/>
  <c r="DZ20" i="9" s="1"/>
  <c r="DZ29" i="9" a="1"/>
  <c r="DZ29" i="9" s="1"/>
  <c r="DZ38" i="9" a="1"/>
  <c r="DZ38" i="9" s="1"/>
  <c r="DZ43" i="9" a="1"/>
  <c r="DZ43" i="9" s="1"/>
  <c r="DZ57" i="9" a="1"/>
  <c r="DZ57" i="9" s="1"/>
  <c r="DZ66" i="9" a="1"/>
  <c r="DZ66" i="9" s="1"/>
  <c r="DZ71" i="9" a="1"/>
  <c r="DZ71" i="9" s="1"/>
  <c r="DZ80" i="9" a="1"/>
  <c r="DZ80" i="9" s="1"/>
  <c r="DZ89" i="9" a="1"/>
  <c r="DZ89" i="9" s="1"/>
  <c r="DZ98" i="9" a="1"/>
  <c r="DZ98" i="9" s="1"/>
  <c r="DZ103" i="9" a="1"/>
  <c r="DZ103" i="9" s="1"/>
  <c r="DZ112" i="9" a="1"/>
  <c r="DZ112" i="9" s="1"/>
  <c r="DZ121" i="9" a="1"/>
  <c r="DZ121" i="9" s="1"/>
  <c r="DZ130" i="9" a="1"/>
  <c r="DZ130" i="9" s="1"/>
  <c r="DZ135" i="9" a="1"/>
  <c r="DZ135" i="9" s="1"/>
  <c r="DZ2" i="9" a="1"/>
  <c r="DZ2" i="9" s="1"/>
  <c r="DZ7" i="9" a="1"/>
  <c r="DZ7" i="9" s="1"/>
  <c r="DZ16" i="9" a="1"/>
  <c r="DZ16" i="9" s="1"/>
  <c r="DZ25" i="9" a="1"/>
  <c r="DZ25" i="9" s="1"/>
  <c r="DZ34" i="9" a="1"/>
  <c r="DZ34" i="9" s="1"/>
  <c r="DZ39" i="9" a="1"/>
  <c r="DZ39" i="9" s="1"/>
  <c r="DZ48" i="9" a="1"/>
  <c r="DZ48" i="9" s="1"/>
  <c r="DZ53" i="9" a="1"/>
  <c r="DZ53" i="9" s="1"/>
  <c r="DZ62" i="9" a="1"/>
  <c r="DZ62" i="9" s="1"/>
  <c r="DZ67" i="9" a="1"/>
  <c r="DZ67" i="9" s="1"/>
  <c r="DZ76" i="9" a="1"/>
  <c r="DZ76" i="9" s="1"/>
  <c r="DZ85" i="9" a="1"/>
  <c r="DZ85" i="9" s="1"/>
  <c r="DZ94" i="9" a="1"/>
  <c r="DZ94" i="9" s="1"/>
  <c r="DZ99" i="9" a="1"/>
  <c r="DZ99" i="9" s="1"/>
  <c r="DZ108" i="9" a="1"/>
  <c r="DZ108" i="9" s="1"/>
  <c r="DZ117" i="9" a="1"/>
  <c r="DZ117" i="9" s="1"/>
  <c r="DZ126" i="9" a="1"/>
  <c r="DZ126" i="9" s="1"/>
  <c r="DZ131" i="9" a="1"/>
  <c r="DZ131" i="9" s="1"/>
  <c r="DZ140" i="9" a="1"/>
  <c r="DZ140" i="9" s="1"/>
  <c r="DZ4" i="9" a="1"/>
  <c r="DZ4" i="9" s="1"/>
  <c r="DZ13" i="9" a="1"/>
  <c r="DZ13" i="9" s="1"/>
  <c r="DZ22" i="9" a="1"/>
  <c r="DZ22" i="9" s="1"/>
  <c r="DZ27" i="9" a="1"/>
  <c r="DZ27" i="9" s="1"/>
  <c r="DZ36" i="9" a="1"/>
  <c r="DZ36" i="9" s="1"/>
  <c r="DZ45" i="9" a="1"/>
  <c r="DZ45" i="9" s="1"/>
  <c r="DZ50" i="9" a="1"/>
  <c r="DZ50" i="9" s="1"/>
  <c r="DZ55" i="9" a="1"/>
  <c r="DZ55" i="9" s="1"/>
  <c r="DZ64" i="9" a="1"/>
  <c r="DZ64" i="9" s="1"/>
  <c r="DZ73" i="9" a="1"/>
  <c r="DZ73" i="9" s="1"/>
  <c r="DZ82" i="9" a="1"/>
  <c r="DZ82" i="9" s="1"/>
  <c r="DZ87" i="9" a="1"/>
  <c r="DZ87" i="9" s="1"/>
  <c r="DZ96" i="9" a="1"/>
  <c r="DZ96" i="9" s="1"/>
  <c r="DZ105" i="9" a="1"/>
  <c r="DZ105" i="9" s="1"/>
  <c r="DZ114" i="9" a="1"/>
  <c r="DZ114" i="9" s="1"/>
  <c r="DZ119" i="9" a="1"/>
  <c r="DZ119" i="9" s="1"/>
  <c r="DZ128" i="9" a="1"/>
  <c r="DZ128" i="9" s="1"/>
  <c r="DZ137" i="9" a="1"/>
  <c r="DZ137" i="9" s="1"/>
  <c r="DZ9" i="9" a="1"/>
  <c r="DZ9" i="9" s="1"/>
  <c r="DZ18" i="9" a="1"/>
  <c r="DZ18" i="9" s="1"/>
  <c r="DZ23" i="9" a="1"/>
  <c r="DZ23" i="9" s="1"/>
  <c r="DZ32" i="9" a="1"/>
  <c r="DZ32" i="9" s="1"/>
  <c r="DZ41" i="9" a="1"/>
  <c r="DZ41" i="9" s="1"/>
  <c r="DZ51" i="9" a="1"/>
  <c r="DZ51" i="9" s="1"/>
  <c r="DZ60" i="9" a="1"/>
  <c r="DZ60" i="9" s="1"/>
  <c r="DZ69" i="9" a="1"/>
  <c r="DZ69" i="9" s="1"/>
  <c r="DZ78" i="9" a="1"/>
  <c r="DZ78" i="9" s="1"/>
  <c r="DZ83" i="9" a="1"/>
  <c r="DZ83" i="9" s="1"/>
  <c r="DZ92" i="9" a="1"/>
  <c r="DZ92" i="9" s="1"/>
  <c r="DZ101" i="9" a="1"/>
  <c r="DZ101" i="9" s="1"/>
  <c r="DZ110" i="9" a="1"/>
  <c r="DZ110" i="9" s="1"/>
  <c r="DZ115" i="9" a="1"/>
  <c r="DZ115" i="9" s="1"/>
  <c r="DZ124" i="9" a="1"/>
  <c r="DZ124" i="9" s="1"/>
  <c r="DZ133" i="9" a="1"/>
  <c r="DZ133" i="9" s="1"/>
  <c r="DZ35" i="9" a="1"/>
  <c r="DZ35" i="9" s="1"/>
  <c r="DZ46" i="9" a="1"/>
  <c r="DZ46" i="9" s="1"/>
  <c r="DZ59" i="9" a="1"/>
  <c r="DZ59" i="9" s="1"/>
  <c r="DZ72" i="9" a="1"/>
  <c r="DZ72" i="9" s="1"/>
  <c r="DZ120" i="9" a="1"/>
  <c r="DZ120" i="9" s="1"/>
  <c r="DZ132" i="9" a="1"/>
  <c r="DZ132" i="9" s="1"/>
  <c r="DZ12" i="9" a="1"/>
  <c r="DZ12" i="9" s="1"/>
  <c r="DZ97" i="9" a="1"/>
  <c r="DZ97" i="9" s="1"/>
  <c r="DZ109" i="9" a="1"/>
  <c r="DZ109" i="9" s="1"/>
  <c r="DZ122" i="9" a="1"/>
  <c r="DZ122" i="9" s="1"/>
  <c r="DZ37" i="9" a="1"/>
  <c r="DZ37" i="9" s="1"/>
  <c r="DZ49" i="9" a="1"/>
  <c r="DZ49" i="9" s="1"/>
  <c r="DZ63" i="9" a="1"/>
  <c r="DZ63" i="9" s="1"/>
  <c r="DZ74" i="9" a="1"/>
  <c r="DZ74" i="9" s="1"/>
  <c r="DZ86" i="9" a="1"/>
  <c r="DZ86" i="9" s="1"/>
  <c r="DZ111" i="9" a="1"/>
  <c r="DZ111" i="9" s="1"/>
  <c r="DZ123" i="9" a="1"/>
  <c r="DZ123" i="9" s="1"/>
  <c r="DZ136" i="9" a="1"/>
  <c r="DZ136" i="9" s="1"/>
  <c r="DZ5" i="9" a="1"/>
  <c r="DZ5" i="9" s="1"/>
  <c r="DZ17" i="9" a="1"/>
  <c r="DZ17" i="9" s="1"/>
  <c r="DZ30" i="9" a="1"/>
  <c r="DZ30" i="9" s="1"/>
  <c r="DZ54" i="9" a="1"/>
  <c r="DZ54" i="9" s="1"/>
  <c r="DZ79" i="9" a="1"/>
  <c r="DZ79" i="9" s="1"/>
  <c r="DZ91" i="9" a="1"/>
  <c r="DZ91" i="9" s="1"/>
  <c r="DZ104" i="9" a="1"/>
  <c r="DZ104" i="9" s="1"/>
  <c r="DZ8" i="9" a="1"/>
  <c r="DZ8" i="9" s="1"/>
  <c r="DZ58" i="9" a="1"/>
  <c r="DZ58" i="9" s="1"/>
  <c r="DZ106" i="9" a="1"/>
  <c r="DZ106" i="9" s="1"/>
  <c r="DZ14" i="9" a="1"/>
  <c r="DZ14" i="9" s="1"/>
  <c r="DZ88" i="9" a="1"/>
  <c r="DZ88" i="9" s="1"/>
  <c r="DZ113" i="9" a="1"/>
  <c r="DZ113" i="9" s="1"/>
  <c r="DZ40" i="9" a="1"/>
  <c r="DZ40" i="9" s="1"/>
  <c r="DZ65" i="9" a="1"/>
  <c r="DZ65" i="9" s="1"/>
  <c r="DZ90" i="9" a="1"/>
  <c r="DZ90" i="9" s="1"/>
  <c r="DZ138" i="9" a="1"/>
  <c r="DZ138" i="9" s="1"/>
  <c r="DZ28" i="9" a="1"/>
  <c r="DZ28" i="9" s="1"/>
  <c r="DZ77" i="9" a="1"/>
  <c r="DZ77" i="9" s="1"/>
  <c r="DZ127" i="9" a="1"/>
  <c r="DZ127" i="9" s="1"/>
  <c r="DZ26" i="9" a="1"/>
  <c r="DZ26" i="9" s="1"/>
  <c r="DZ31" i="9" a="1"/>
  <c r="DZ31" i="9" s="1"/>
  <c r="DZ81" i="9" a="1"/>
  <c r="DZ81" i="9" s="1"/>
  <c r="DZ129" i="9" a="1"/>
  <c r="DZ129" i="9" s="1"/>
  <c r="DZ44" i="9" a="1"/>
  <c r="DZ44" i="9" s="1"/>
  <c r="DZ141" i="9" a="1"/>
  <c r="DZ141" i="9" s="1"/>
  <c r="DZ56" i="9" a="1"/>
  <c r="DZ56" i="9" s="1"/>
  <c r="DZ19" i="9" a="1"/>
  <c r="DZ19" i="9" s="1"/>
  <c r="DZ68" i="9" a="1"/>
  <c r="DZ68" i="9" s="1"/>
  <c r="DL134" i="9" a="1"/>
  <c r="DL134" i="9" s="1"/>
  <c r="DL126" i="9" a="1"/>
  <c r="DL126" i="9" s="1"/>
  <c r="DL120" i="9" a="1"/>
  <c r="DL120" i="9" s="1"/>
  <c r="DL107" i="9" a="1"/>
  <c r="DL107" i="9" s="1"/>
  <c r="DL101" i="9" a="1"/>
  <c r="DL101" i="9" s="1"/>
  <c r="DL94" i="9" a="1"/>
  <c r="DL94" i="9" s="1"/>
  <c r="DL88" i="9" a="1"/>
  <c r="DL88" i="9" s="1"/>
  <c r="DL75" i="9" a="1"/>
  <c r="DL75" i="9" s="1"/>
  <c r="DL69" i="9" a="1"/>
  <c r="DL69" i="9" s="1"/>
  <c r="DL62" i="9" a="1"/>
  <c r="DL62" i="9" s="1"/>
  <c r="DL56" i="9" a="1"/>
  <c r="DL56" i="9" s="1"/>
  <c r="DL43" i="9" a="1"/>
  <c r="DL43" i="9" s="1"/>
  <c r="DL37" i="9" a="1"/>
  <c r="DL37" i="9" s="1"/>
  <c r="DL30" i="9" a="1"/>
  <c r="DL30" i="9" s="1"/>
  <c r="DL24" i="9" a="1"/>
  <c r="DL24" i="9" s="1"/>
  <c r="DL10" i="9" a="1"/>
  <c r="DL10" i="9" s="1"/>
  <c r="DN130" i="9" a="1"/>
  <c r="DN130" i="9" s="1"/>
  <c r="DN125" i="9" a="1"/>
  <c r="DN125" i="9" s="1"/>
  <c r="DN114" i="9" a="1"/>
  <c r="DN114" i="9" s="1"/>
  <c r="DN109" i="9" a="1"/>
  <c r="DN109" i="9" s="1"/>
  <c r="DN104" i="9" a="1"/>
  <c r="DN104" i="9" s="1"/>
  <c r="DN99" i="9" a="1"/>
  <c r="DN99" i="9" s="1"/>
  <c r="DN82" i="9" a="1"/>
  <c r="DN82" i="9" s="1"/>
  <c r="DN70" i="9" a="1"/>
  <c r="DN70" i="9" s="1"/>
  <c r="DN64" i="9" a="1"/>
  <c r="DN64" i="9" s="1"/>
  <c r="DN49" i="9" a="1"/>
  <c r="DN49" i="9" s="1"/>
  <c r="DN34" i="9" a="1"/>
  <c r="DN34" i="9" s="1"/>
  <c r="DN18" i="9" a="1"/>
  <c r="DN18" i="9" s="1"/>
  <c r="DN9" i="9" a="1"/>
  <c r="DN9" i="9" s="1"/>
  <c r="DL6" i="9" a="1"/>
  <c r="DL6" i="9" s="1"/>
  <c r="DL13" i="9" a="1"/>
  <c r="DL13" i="9" s="1"/>
  <c r="EB10" i="9" a="1"/>
  <c r="EB10" i="9" s="1"/>
  <c r="EB15" i="9" a="1"/>
  <c r="EB15" i="9" s="1"/>
  <c r="EB24" i="9" a="1"/>
  <c r="EB24" i="9" s="1"/>
  <c r="EB33" i="9" a="1"/>
  <c r="EB33" i="9" s="1"/>
  <c r="EB42" i="9" a="1"/>
  <c r="EB42" i="9" s="1"/>
  <c r="EB47" i="9" a="1"/>
  <c r="EB47" i="9" s="1"/>
  <c r="EB56" i="9" a="1"/>
  <c r="EB56" i="9" s="1"/>
  <c r="EB65" i="9" a="1"/>
  <c r="EB65" i="9" s="1"/>
  <c r="EB74" i="9" a="1"/>
  <c r="EB74" i="9" s="1"/>
  <c r="EB79" i="9" a="1"/>
  <c r="EB79" i="9" s="1"/>
  <c r="EB88" i="9" a="1"/>
  <c r="EB88" i="9" s="1"/>
  <c r="EB97" i="9" a="1"/>
  <c r="EB97" i="9" s="1"/>
  <c r="EB106" i="9" a="1"/>
  <c r="EB106" i="9" s="1"/>
  <c r="EB111" i="9" a="1"/>
  <c r="EB111" i="9" s="1"/>
  <c r="EB120" i="9" a="1"/>
  <c r="EB120" i="9" s="1"/>
  <c r="EB129" i="9" a="1"/>
  <c r="EB129" i="9" s="1"/>
  <c r="EB134" i="9" a="1"/>
  <c r="EB134" i="9" s="1"/>
  <c r="EB140" i="9" a="1"/>
  <c r="EB140" i="9" s="1"/>
  <c r="EB6" i="9" a="1"/>
  <c r="EB6" i="9" s="1"/>
  <c r="EB11" i="9" a="1"/>
  <c r="EB11" i="9" s="1"/>
  <c r="EB20" i="9" a="1"/>
  <c r="EB20" i="9" s="1"/>
  <c r="EB29" i="9" a="1"/>
  <c r="EB29" i="9" s="1"/>
  <c r="EB38" i="9" a="1"/>
  <c r="EB38" i="9" s="1"/>
  <c r="EB43" i="9" a="1"/>
  <c r="EB43" i="9" s="1"/>
  <c r="EB52" i="9" a="1"/>
  <c r="EB52" i="9" s="1"/>
  <c r="EB61" i="9" a="1"/>
  <c r="EB61" i="9" s="1"/>
  <c r="EB70" i="9" a="1"/>
  <c r="EB70" i="9" s="1"/>
  <c r="EB75" i="9" a="1"/>
  <c r="EB75" i="9" s="1"/>
  <c r="EB84" i="9" a="1"/>
  <c r="EB84" i="9" s="1"/>
  <c r="EB93" i="9" a="1"/>
  <c r="EB93" i="9" s="1"/>
  <c r="EB102" i="9" a="1"/>
  <c r="EB102" i="9" s="1"/>
  <c r="EB107" i="9" a="1"/>
  <c r="EB107" i="9" s="1"/>
  <c r="EB116" i="9" a="1"/>
  <c r="EB116" i="9" s="1"/>
  <c r="EB125" i="9" a="1"/>
  <c r="EB125" i="9" s="1"/>
  <c r="EB135" i="9" a="1"/>
  <c r="EB135" i="9" s="1"/>
  <c r="EB141" i="9" a="1"/>
  <c r="EB141" i="9" s="1"/>
  <c r="EB2" i="9" a="1"/>
  <c r="EB2" i="9" s="1"/>
  <c r="EB7" i="9" a="1"/>
  <c r="EB7" i="9" s="1"/>
  <c r="EB16" i="9" a="1"/>
  <c r="EB16" i="9" s="1"/>
  <c r="EB25" i="9" a="1"/>
  <c r="EB25" i="9" s="1"/>
  <c r="EB34" i="9" a="1"/>
  <c r="EB34" i="9" s="1"/>
  <c r="EB39" i="9" a="1"/>
  <c r="EB39" i="9" s="1"/>
  <c r="EB48" i="9" a="1"/>
  <c r="EB48" i="9" s="1"/>
  <c r="EB57" i="9" a="1"/>
  <c r="EB57" i="9" s="1"/>
  <c r="EB66" i="9" a="1"/>
  <c r="EB66" i="9" s="1"/>
  <c r="EB71" i="9" a="1"/>
  <c r="EB71" i="9" s="1"/>
  <c r="EB80" i="9" a="1"/>
  <c r="EB80" i="9" s="1"/>
  <c r="EB89" i="9" a="1"/>
  <c r="EB89" i="9" s="1"/>
  <c r="EB98" i="9" a="1"/>
  <c r="EB98" i="9" s="1"/>
  <c r="EB103" i="9" a="1"/>
  <c r="EB103" i="9" s="1"/>
  <c r="EB112" i="9" a="1"/>
  <c r="EB112" i="9" s="1"/>
  <c r="EB121" i="9" a="1"/>
  <c r="EB121" i="9" s="1"/>
  <c r="EB130" i="9" a="1"/>
  <c r="EB130" i="9" s="1"/>
  <c r="EB136" i="9" a="1"/>
  <c r="EB136" i="9" s="1"/>
  <c r="EB4" i="9" a="1"/>
  <c r="EB4" i="9" s="1"/>
  <c r="EB13" i="9" a="1"/>
  <c r="EB13" i="9" s="1"/>
  <c r="EB22" i="9" a="1"/>
  <c r="EB22" i="9" s="1"/>
  <c r="EB27" i="9" a="1"/>
  <c r="EB27" i="9" s="1"/>
  <c r="EB36" i="9" a="1"/>
  <c r="EB36" i="9" s="1"/>
  <c r="EB45" i="9" a="1"/>
  <c r="EB45" i="9" s="1"/>
  <c r="EB54" i="9" a="1"/>
  <c r="EB54" i="9" s="1"/>
  <c r="EB59" i="9" a="1"/>
  <c r="EB59" i="9" s="1"/>
  <c r="EB68" i="9" a="1"/>
  <c r="EB68" i="9" s="1"/>
  <c r="EB77" i="9" a="1"/>
  <c r="EB77" i="9" s="1"/>
  <c r="EB86" i="9" a="1"/>
  <c r="EB86" i="9" s="1"/>
  <c r="EB91" i="9" a="1"/>
  <c r="EB91" i="9" s="1"/>
  <c r="EB100" i="9" a="1"/>
  <c r="EB100" i="9" s="1"/>
  <c r="EB109" i="9" a="1"/>
  <c r="EB109" i="9" s="1"/>
  <c r="EB118" i="9" a="1"/>
  <c r="EB118" i="9" s="1"/>
  <c r="EB123" i="9" a="1"/>
  <c r="EB123" i="9" s="1"/>
  <c r="EB9" i="9" a="1"/>
  <c r="EB9" i="9" s="1"/>
  <c r="EB18" i="9" a="1"/>
  <c r="EB18" i="9" s="1"/>
  <c r="EB23" i="9" a="1"/>
  <c r="EB23" i="9" s="1"/>
  <c r="EB32" i="9" a="1"/>
  <c r="EB32" i="9" s="1"/>
  <c r="EB41" i="9" a="1"/>
  <c r="EB41" i="9" s="1"/>
  <c r="EB50" i="9" a="1"/>
  <c r="EB50" i="9" s="1"/>
  <c r="EB55" i="9" a="1"/>
  <c r="EB55" i="9" s="1"/>
  <c r="EB64" i="9" a="1"/>
  <c r="EB64" i="9" s="1"/>
  <c r="EB73" i="9" a="1"/>
  <c r="EB73" i="9" s="1"/>
  <c r="EB82" i="9" a="1"/>
  <c r="EB82" i="9" s="1"/>
  <c r="EB87" i="9" a="1"/>
  <c r="EB87" i="9" s="1"/>
  <c r="EB96" i="9" a="1"/>
  <c r="EB96" i="9" s="1"/>
  <c r="EB105" i="9" a="1"/>
  <c r="EB105" i="9" s="1"/>
  <c r="EB114" i="9" a="1"/>
  <c r="EB114" i="9" s="1"/>
  <c r="EB119" i="9" a="1"/>
  <c r="EB119" i="9" s="1"/>
  <c r="EB128" i="9" a="1"/>
  <c r="EB128" i="9" s="1"/>
  <c r="EB133" i="9" a="1"/>
  <c r="EB133" i="9" s="1"/>
  <c r="EB138" i="9" a="1"/>
  <c r="EB138" i="9" s="1"/>
  <c r="EB37" i="9" a="1"/>
  <c r="EB37" i="9" s="1"/>
  <c r="EB49" i="9" a="1"/>
  <c r="EB49" i="9" s="1"/>
  <c r="EB62" i="9" a="1"/>
  <c r="EB62" i="9" s="1"/>
  <c r="EB99" i="9" a="1"/>
  <c r="EB99" i="9" s="1"/>
  <c r="EB110" i="9" a="1"/>
  <c r="EB110" i="9" s="1"/>
  <c r="EB122" i="9" a="1"/>
  <c r="EB122" i="9" s="1"/>
  <c r="EB3" i="9" a="1"/>
  <c r="EB3" i="9" s="1"/>
  <c r="EB14" i="9" a="1"/>
  <c r="EB14" i="9" s="1"/>
  <c r="EB26" i="9" a="1"/>
  <c r="EB26" i="9" s="1"/>
  <c r="EB51" i="9" a="1"/>
  <c r="EB51" i="9" s="1"/>
  <c r="EB63" i="9" a="1"/>
  <c r="EB63" i="9" s="1"/>
  <c r="EB76" i="9" a="1"/>
  <c r="EB76" i="9" s="1"/>
  <c r="EB124" i="9" a="1"/>
  <c r="EB124" i="9" s="1"/>
  <c r="EB137" i="9" a="1"/>
  <c r="EB137" i="9" s="1"/>
  <c r="EB28" i="9" a="1"/>
  <c r="EB28" i="9" s="1"/>
  <c r="EB40" i="9" a="1"/>
  <c r="EB40" i="9" s="1"/>
  <c r="EB53" i="9" a="1"/>
  <c r="EB53" i="9" s="1"/>
  <c r="EB101" i="9" a="1"/>
  <c r="EB101" i="9" s="1"/>
  <c r="EB113" i="9" a="1"/>
  <c r="EB113" i="9" s="1"/>
  <c r="EB126" i="9" a="1"/>
  <c r="EB126" i="9" s="1"/>
  <c r="EB139" i="9" a="1"/>
  <c r="EB139" i="9" s="1"/>
  <c r="EB8" i="9" a="1"/>
  <c r="EB8" i="9" s="1"/>
  <c r="EB21" i="9" a="1"/>
  <c r="EB21" i="9" s="1"/>
  <c r="EB69" i="9" a="1"/>
  <c r="EB69" i="9" s="1"/>
  <c r="EB81" i="9" a="1"/>
  <c r="EB81" i="9" s="1"/>
  <c r="EB94" i="9" a="1"/>
  <c r="EB94" i="9" s="1"/>
  <c r="EB131" i="9" a="1"/>
  <c r="EB131" i="9" s="1"/>
  <c r="EB72" i="9" a="1"/>
  <c r="EB72" i="9" s="1"/>
  <c r="EB5" i="9" a="1"/>
  <c r="EB5" i="9" s="1"/>
  <c r="EB30" i="9" a="1"/>
  <c r="EB30" i="9" s="1"/>
  <c r="EB78" i="9" a="1"/>
  <c r="EB78" i="9" s="1"/>
  <c r="EB127" i="9" a="1"/>
  <c r="EB127" i="9" s="1"/>
  <c r="EB31" i="9" a="1"/>
  <c r="EB31" i="9" s="1"/>
  <c r="EB104" i="9" a="1"/>
  <c r="EB104" i="9" s="1"/>
  <c r="EB17" i="9" a="1"/>
  <c r="EB17" i="9" s="1"/>
  <c r="EB67" i="9" a="1"/>
  <c r="EB67" i="9" s="1"/>
  <c r="EB19" i="9" a="1"/>
  <c r="EB19" i="9" s="1"/>
  <c r="EB44" i="9" a="1"/>
  <c r="EB44" i="9" s="1"/>
  <c r="EB92" i="9" a="1"/>
  <c r="EB92" i="9" s="1"/>
  <c r="EB117" i="9" a="1"/>
  <c r="EB117" i="9" s="1"/>
  <c r="EB60" i="9" a="1"/>
  <c r="EB60" i="9" s="1"/>
  <c r="EB115" i="9" a="1"/>
  <c r="EB115" i="9" s="1"/>
  <c r="EB12" i="9" a="1"/>
  <c r="EB12" i="9" s="1"/>
  <c r="EB83" i="9" a="1"/>
  <c r="EB83" i="9" s="1"/>
  <c r="EB132" i="9" a="1"/>
  <c r="EB132" i="9" s="1"/>
  <c r="EB95" i="9" a="1"/>
  <c r="EB95" i="9" s="1"/>
  <c r="EB46" i="9" a="1"/>
  <c r="EB46" i="9" s="1"/>
  <c r="EB108" i="9" a="1"/>
  <c r="EB108" i="9" s="1"/>
  <c r="DL141" i="9" a="1"/>
  <c r="DL141" i="9" s="1"/>
  <c r="DL133" i="9" a="1"/>
  <c r="DL133" i="9" s="1"/>
  <c r="DL119" i="9" a="1"/>
  <c r="DL119" i="9" s="1"/>
  <c r="DL113" i="9" a="1"/>
  <c r="DL113" i="9" s="1"/>
  <c r="DL106" i="9" a="1"/>
  <c r="DL106" i="9" s="1"/>
  <c r="DL100" i="9" a="1"/>
  <c r="DL100" i="9" s="1"/>
  <c r="DL87" i="9" a="1"/>
  <c r="DL87" i="9" s="1"/>
  <c r="DL81" i="9" a="1"/>
  <c r="DL81" i="9" s="1"/>
  <c r="DL74" i="9" a="1"/>
  <c r="DL74" i="9" s="1"/>
  <c r="DL68" i="9" a="1"/>
  <c r="DL68" i="9" s="1"/>
  <c r="DL55" i="9" a="1"/>
  <c r="DL55" i="9" s="1"/>
  <c r="DL49" i="9" a="1"/>
  <c r="DL49" i="9" s="1"/>
  <c r="DL42" i="9" a="1"/>
  <c r="DL42" i="9" s="1"/>
  <c r="DL36" i="9" a="1"/>
  <c r="DL36" i="9" s="1"/>
  <c r="DL23" i="9" a="1"/>
  <c r="DL23" i="9" s="1"/>
  <c r="DL17" i="9" a="1"/>
  <c r="DL17" i="9" s="1"/>
  <c r="DL2" i="9" a="1"/>
  <c r="DL2" i="9" s="1"/>
  <c r="DN135" i="9" a="1"/>
  <c r="DN135" i="9" s="1"/>
  <c r="DN124" i="9" a="1"/>
  <c r="DN124" i="9" s="1"/>
  <c r="DN119" i="9" a="1"/>
  <c r="DN119" i="9" s="1"/>
  <c r="DN98" i="9" a="1"/>
  <c r="DN98" i="9" s="1"/>
  <c r="DN93" i="9" a="1"/>
  <c r="DN93" i="9" s="1"/>
  <c r="DN69" i="9" a="1"/>
  <c r="DN69" i="9" s="1"/>
  <c r="DN63" i="9" a="1"/>
  <c r="DN63" i="9" s="1"/>
  <c r="DN48" i="9" a="1"/>
  <c r="DN48" i="9" s="1"/>
  <c r="DN41" i="9" a="1"/>
  <c r="DN41" i="9" s="1"/>
  <c r="DN25" i="9" a="1"/>
  <c r="DN25" i="9" s="1"/>
  <c r="DN16" i="9" a="1"/>
  <c r="DN16" i="9" s="1"/>
  <c r="DZ21" i="9" a="1"/>
  <c r="DZ21" i="9" s="1"/>
  <c r="DN3" i="9" a="1"/>
  <c r="DN3" i="9" s="1"/>
  <c r="DN12" i="9" a="1"/>
  <c r="DN12" i="9" s="1"/>
  <c r="DN21" i="9" a="1"/>
  <c r="DN21" i="9" s="1"/>
  <c r="DN30" i="9" a="1"/>
  <c r="DN30" i="9" s="1"/>
  <c r="DN35" i="9" a="1"/>
  <c r="DN35" i="9" s="1"/>
  <c r="DN44" i="9" a="1"/>
  <c r="DN44" i="9" s="1"/>
  <c r="DN53" i="9" a="1"/>
  <c r="DN53" i="9" s="1"/>
  <c r="DN62" i="9" a="1"/>
  <c r="DN62" i="9" s="1"/>
  <c r="DN67" i="9" a="1"/>
  <c r="DN67" i="9" s="1"/>
  <c r="DN76" i="9" a="1"/>
  <c r="DN76" i="9" s="1"/>
  <c r="DN85" i="9" a="1"/>
  <c r="DN85" i="9" s="1"/>
  <c r="DN8" i="9" a="1"/>
  <c r="DN8" i="9" s="1"/>
  <c r="DN17" i="9" a="1"/>
  <c r="DN17" i="9" s="1"/>
  <c r="DN26" i="9" a="1"/>
  <c r="DN26" i="9" s="1"/>
  <c r="DN4" i="9" a="1"/>
  <c r="DN4" i="9" s="1"/>
  <c r="DN13" i="9" a="1"/>
  <c r="DN13" i="9" s="1"/>
  <c r="DN22" i="9" a="1"/>
  <c r="DN22" i="9" s="1"/>
  <c r="DN27" i="9" a="1"/>
  <c r="DN27" i="9" s="1"/>
  <c r="DN36" i="9" a="1"/>
  <c r="DN36" i="9" s="1"/>
  <c r="DN45" i="9" a="1"/>
  <c r="DN45" i="9" s="1"/>
  <c r="DN54" i="9" a="1"/>
  <c r="DN54" i="9" s="1"/>
  <c r="DN59" i="9" a="1"/>
  <c r="DN59" i="9" s="1"/>
  <c r="DN10" i="9" a="1"/>
  <c r="DN10" i="9" s="1"/>
  <c r="DN15" i="9" a="1"/>
  <c r="DN15" i="9" s="1"/>
  <c r="DN24" i="9" a="1"/>
  <c r="DN24" i="9" s="1"/>
  <c r="DN33" i="9" a="1"/>
  <c r="DN33" i="9" s="1"/>
  <c r="DN42" i="9" a="1"/>
  <c r="DN42" i="9" s="1"/>
  <c r="DN47" i="9" a="1"/>
  <c r="DN47" i="9" s="1"/>
  <c r="DN56" i="9" a="1"/>
  <c r="DN56" i="9" s="1"/>
  <c r="DN65" i="9" a="1"/>
  <c r="DN65" i="9" s="1"/>
  <c r="DN74" i="9" a="1"/>
  <c r="DN74" i="9" s="1"/>
  <c r="DN79" i="9" a="1"/>
  <c r="DN79" i="9" s="1"/>
  <c r="DN88" i="9" a="1"/>
  <c r="DN88" i="9" s="1"/>
  <c r="DN97" i="9" a="1"/>
  <c r="DN97" i="9" s="1"/>
  <c r="DN106" i="9" a="1"/>
  <c r="DN106" i="9" s="1"/>
  <c r="DN111" i="9" a="1"/>
  <c r="DN111" i="9" s="1"/>
  <c r="DN120" i="9" a="1"/>
  <c r="DN120" i="9" s="1"/>
  <c r="DN129" i="9" a="1"/>
  <c r="DN129" i="9" s="1"/>
  <c r="DN139" i="9" a="1"/>
  <c r="DN139" i="9" s="1"/>
  <c r="DL140" i="9" a="1"/>
  <c r="DL140" i="9" s="1"/>
  <c r="DL132" i="9" a="1"/>
  <c r="DL132" i="9" s="1"/>
  <c r="DL125" i="9" a="1"/>
  <c r="DL125" i="9" s="1"/>
  <c r="DL118" i="9" a="1"/>
  <c r="DL118" i="9" s="1"/>
  <c r="DL112" i="9" a="1"/>
  <c r="DL112" i="9" s="1"/>
  <c r="DL99" i="9" a="1"/>
  <c r="DL99" i="9" s="1"/>
  <c r="DL93" i="9" a="1"/>
  <c r="DL93" i="9" s="1"/>
  <c r="DL86" i="9" a="1"/>
  <c r="DL86" i="9" s="1"/>
  <c r="DL80" i="9" a="1"/>
  <c r="DL80" i="9" s="1"/>
  <c r="DL67" i="9" a="1"/>
  <c r="DL67" i="9" s="1"/>
  <c r="DL61" i="9" a="1"/>
  <c r="DL61" i="9" s="1"/>
  <c r="DL54" i="9" a="1"/>
  <c r="DL54" i="9" s="1"/>
  <c r="DL48" i="9" a="1"/>
  <c r="DL48" i="9" s="1"/>
  <c r="DL35" i="9" a="1"/>
  <c r="DL35" i="9" s="1"/>
  <c r="DL29" i="9" a="1"/>
  <c r="DL29" i="9" s="1"/>
  <c r="DL22" i="9" a="1"/>
  <c r="DL22" i="9" s="1"/>
  <c r="DL16" i="9" a="1"/>
  <c r="DL16" i="9" s="1"/>
  <c r="DL9" i="9" a="1"/>
  <c r="DL9" i="9" s="1"/>
  <c r="DN141" i="9" a="1"/>
  <c r="DN141" i="9" s="1"/>
  <c r="DN134" i="9" a="1"/>
  <c r="DN134" i="9" s="1"/>
  <c r="DN118" i="9" a="1"/>
  <c r="DN118" i="9" s="1"/>
  <c r="DN113" i="9" a="1"/>
  <c r="DN113" i="9" s="1"/>
  <c r="DN108" i="9" a="1"/>
  <c r="DN108" i="9" s="1"/>
  <c r="DN103" i="9" a="1"/>
  <c r="DN103" i="9" s="1"/>
  <c r="DN92" i="9" a="1"/>
  <c r="DN92" i="9" s="1"/>
  <c r="DN87" i="9" a="1"/>
  <c r="DN87" i="9" s="1"/>
  <c r="DN81" i="9" a="1"/>
  <c r="DN81" i="9" s="1"/>
  <c r="DN75" i="9" a="1"/>
  <c r="DN75" i="9" s="1"/>
  <c r="DN55" i="9" a="1"/>
  <c r="DN55" i="9" s="1"/>
  <c r="DN40" i="9" a="1"/>
  <c r="DN40" i="9" s="1"/>
  <c r="DN6" i="9" a="1"/>
  <c r="DN6" i="9" s="1"/>
  <c r="DZ3" i="9" a="1"/>
  <c r="DZ3" i="9" s="1"/>
  <c r="DF140" i="9" a="1"/>
  <c r="DF140" i="9" s="1"/>
  <c r="DF114" i="9" a="1"/>
  <c r="DF114" i="9" s="1"/>
  <c r="DF75" i="9" a="1"/>
  <c r="DF75" i="9" s="1"/>
  <c r="DF25" i="9" a="1"/>
  <c r="DF25" i="9" s="1"/>
  <c r="DH10" i="9" a="1"/>
  <c r="DH10" i="9" s="1"/>
  <c r="DH15" i="9" a="1"/>
  <c r="DH15" i="9" s="1"/>
  <c r="DH24" i="9" a="1"/>
  <c r="DH24" i="9" s="1"/>
  <c r="DH33" i="9" a="1"/>
  <c r="DH33" i="9" s="1"/>
  <c r="DH42" i="9" a="1"/>
  <c r="DH42" i="9" s="1"/>
  <c r="DH47" i="9" a="1"/>
  <c r="DH47" i="9" s="1"/>
  <c r="DH56" i="9" a="1"/>
  <c r="DH56" i="9" s="1"/>
  <c r="DH65" i="9" a="1"/>
  <c r="DH65" i="9" s="1"/>
  <c r="DH74" i="9" a="1"/>
  <c r="DH74" i="9" s="1"/>
  <c r="DH79" i="9" a="1"/>
  <c r="DH79" i="9" s="1"/>
  <c r="DH88" i="9" a="1"/>
  <c r="DH88" i="9" s="1"/>
  <c r="DH97" i="9" a="1"/>
  <c r="DH97" i="9" s="1"/>
  <c r="DH106" i="9" a="1"/>
  <c r="DH106" i="9" s="1"/>
  <c r="DH111" i="9" a="1"/>
  <c r="DH111" i="9" s="1"/>
  <c r="DH120" i="9" a="1"/>
  <c r="DH120" i="9" s="1"/>
  <c r="DH129" i="9" a="1"/>
  <c r="DH129" i="9" s="1"/>
  <c r="DH139" i="9" a="1"/>
  <c r="DH139" i="9" s="1"/>
  <c r="DH67" i="9" a="1"/>
  <c r="DH67" i="9" s="1"/>
  <c r="DH99" i="9" a="1"/>
  <c r="DH99" i="9" s="1"/>
  <c r="DH126" i="9" a="1"/>
  <c r="DH126" i="9" s="1"/>
  <c r="DH17" i="9" a="1"/>
  <c r="DH17" i="9" s="1"/>
  <c r="DH31" i="9" a="1"/>
  <c r="DH31" i="9" s="1"/>
  <c r="DH6" i="9" a="1"/>
  <c r="DH6" i="9" s="1"/>
  <c r="DH11" i="9" a="1"/>
  <c r="DH11" i="9" s="1"/>
  <c r="DH20" i="9" a="1"/>
  <c r="DH20" i="9" s="1"/>
  <c r="DH29" i="9" a="1"/>
  <c r="DH29" i="9" s="1"/>
  <c r="DH38" i="9" a="1"/>
  <c r="DH38" i="9" s="1"/>
  <c r="DH43" i="9" a="1"/>
  <c r="DH43" i="9" s="1"/>
  <c r="DH52" i="9" a="1"/>
  <c r="DH52" i="9" s="1"/>
  <c r="DH61" i="9" a="1"/>
  <c r="DH61" i="9" s="1"/>
  <c r="DH70" i="9" a="1"/>
  <c r="DH70" i="9" s="1"/>
  <c r="DH75" i="9" a="1"/>
  <c r="DH75" i="9" s="1"/>
  <c r="DH84" i="9" a="1"/>
  <c r="DH84" i="9" s="1"/>
  <c r="DH93" i="9" a="1"/>
  <c r="DH93" i="9" s="1"/>
  <c r="DH102" i="9" a="1"/>
  <c r="DH102" i="9" s="1"/>
  <c r="DH107" i="9" a="1"/>
  <c r="DH107" i="9" s="1"/>
  <c r="DH116" i="9" a="1"/>
  <c r="DH116" i="9" s="1"/>
  <c r="DH125" i="9" a="1"/>
  <c r="DH125" i="9" s="1"/>
  <c r="DH134" i="9" a="1"/>
  <c r="DH134" i="9" s="1"/>
  <c r="DH12" i="9" a="1"/>
  <c r="DH12" i="9" s="1"/>
  <c r="DH30" i="9" a="1"/>
  <c r="DH30" i="9" s="1"/>
  <c r="DH44" i="9" a="1"/>
  <c r="DH44" i="9" s="1"/>
  <c r="DH62" i="9" a="1"/>
  <c r="DH62" i="9" s="1"/>
  <c r="DH85" i="9" a="1"/>
  <c r="DH85" i="9" s="1"/>
  <c r="DH108" i="9" a="1"/>
  <c r="DH108" i="9" s="1"/>
  <c r="DH131" i="9" a="1"/>
  <c r="DH131" i="9" s="1"/>
  <c r="DH8" i="9" a="1"/>
  <c r="DH8" i="9" s="1"/>
  <c r="DH26" i="9" a="1"/>
  <c r="DH26" i="9" s="1"/>
  <c r="DH2" i="9" a="1"/>
  <c r="DH2" i="9" s="1"/>
  <c r="DH7" i="9" a="1"/>
  <c r="DH7" i="9" s="1"/>
  <c r="DH16" i="9" a="1"/>
  <c r="DH16" i="9" s="1"/>
  <c r="DH25" i="9" a="1"/>
  <c r="DH25" i="9" s="1"/>
  <c r="DH34" i="9" a="1"/>
  <c r="DH34" i="9" s="1"/>
  <c r="DH39" i="9" a="1"/>
  <c r="DH39" i="9" s="1"/>
  <c r="DH48" i="9" a="1"/>
  <c r="DH48" i="9" s="1"/>
  <c r="DH57" i="9" a="1"/>
  <c r="DH57" i="9" s="1"/>
  <c r="DH66" i="9" a="1"/>
  <c r="DH66" i="9" s="1"/>
  <c r="DH71" i="9" a="1"/>
  <c r="DH71" i="9" s="1"/>
  <c r="DH80" i="9" a="1"/>
  <c r="DH80" i="9" s="1"/>
  <c r="DH89" i="9" a="1"/>
  <c r="DH89" i="9" s="1"/>
  <c r="DH98" i="9" a="1"/>
  <c r="DH98" i="9" s="1"/>
  <c r="DH103" i="9" a="1"/>
  <c r="DH103" i="9" s="1"/>
  <c r="DH112" i="9" a="1"/>
  <c r="DH112" i="9" s="1"/>
  <c r="DH121" i="9" a="1"/>
  <c r="DH121" i="9" s="1"/>
  <c r="DH130" i="9" a="1"/>
  <c r="DH130" i="9" s="1"/>
  <c r="DH135" i="9" a="1"/>
  <c r="DH135" i="9" s="1"/>
  <c r="DH140" i="9" a="1"/>
  <c r="DH140" i="9" s="1"/>
  <c r="DH3" i="9" a="1"/>
  <c r="DH3" i="9" s="1"/>
  <c r="DH21" i="9" a="1"/>
  <c r="DH21" i="9" s="1"/>
  <c r="DH35" i="9" a="1"/>
  <c r="DH35" i="9" s="1"/>
  <c r="DH53" i="9" a="1"/>
  <c r="DH53" i="9" s="1"/>
  <c r="DH76" i="9" a="1"/>
  <c r="DH76" i="9" s="1"/>
  <c r="DH94" i="9" a="1"/>
  <c r="DH94" i="9" s="1"/>
  <c r="DH117" i="9" a="1"/>
  <c r="DH117" i="9" s="1"/>
  <c r="DH141" i="9" a="1"/>
  <c r="DH141" i="9" s="1"/>
  <c r="DH96" i="9" a="1"/>
  <c r="DH96" i="9" s="1"/>
  <c r="DH41" i="9" a="1"/>
  <c r="DH41" i="9" s="1"/>
  <c r="DF139" i="9" a="1"/>
  <c r="DF139" i="9" s="1"/>
  <c r="DF101" i="9" a="1"/>
  <c r="DF101" i="9" s="1"/>
  <c r="DF49" i="9" a="1"/>
  <c r="DF49" i="9" s="1"/>
  <c r="DH132" i="9" a="1"/>
  <c r="DH132" i="9" s="1"/>
  <c r="DH77" i="9" a="1"/>
  <c r="DH77" i="9" s="1"/>
  <c r="DH18" i="9" a="1"/>
  <c r="DH18" i="9" s="1"/>
  <c r="DF125" i="9" a="1"/>
  <c r="DF125" i="9" s="1"/>
  <c r="DF87" i="9" a="1"/>
  <c r="DF87" i="9" s="1"/>
  <c r="DF48" i="9" a="1"/>
  <c r="DF48" i="9" s="1"/>
  <c r="DH104" i="9" a="1"/>
  <c r="DH104" i="9" s="1"/>
  <c r="DH49" i="9" a="1"/>
  <c r="DH49" i="9" s="1"/>
  <c r="DF99" i="9" a="1"/>
  <c r="DF99" i="9" s="1"/>
  <c r="DF47" i="9" a="1"/>
  <c r="DF47" i="9" s="1"/>
  <c r="DH138" i="9" a="1"/>
  <c r="DH138" i="9" s="1"/>
  <c r="DH92" i="9" a="1"/>
  <c r="DH92" i="9" s="1"/>
  <c r="DH37" i="9" a="1"/>
  <c r="DH37" i="9" s="1"/>
  <c r="DH14" i="9" a="1"/>
  <c r="DH14" i="9" s="1"/>
  <c r="DH4" i="9" a="1"/>
  <c r="DH4" i="9" s="1"/>
  <c r="DF121" i="9" a="1"/>
  <c r="DF121" i="9" s="1"/>
  <c r="DF107" i="9" a="1"/>
  <c r="DF107" i="9" s="1"/>
  <c r="DF82" i="9" a="1"/>
  <c r="DF82" i="9" s="1"/>
  <c r="DF57" i="9" a="1"/>
  <c r="DF57" i="9" s="1"/>
  <c r="DF43" i="9" a="1"/>
  <c r="DF43" i="9" s="1"/>
  <c r="DF30" i="9" a="1"/>
  <c r="DF30" i="9" s="1"/>
  <c r="DH128" i="9" a="1"/>
  <c r="DH128" i="9" s="1"/>
  <c r="DH119" i="9" a="1"/>
  <c r="DH119" i="9" s="1"/>
  <c r="DH82" i="9" a="1"/>
  <c r="DH82" i="9" s="1"/>
  <c r="DH73" i="9" a="1"/>
  <c r="DH73" i="9" s="1"/>
  <c r="DH64" i="9" a="1"/>
  <c r="DH64" i="9" s="1"/>
  <c r="DH55" i="9" a="1"/>
  <c r="DH55" i="9" s="1"/>
  <c r="DH27" i="9" a="1"/>
  <c r="DH27" i="9" s="1"/>
  <c r="DH50" i="9" a="1"/>
  <c r="DH50" i="9" s="1"/>
  <c r="DH32" i="9" a="1"/>
  <c r="DH32" i="9" s="1"/>
  <c r="DF113" i="9" a="1"/>
  <c r="DF113" i="9" s="1"/>
  <c r="DF62" i="9" a="1"/>
  <c r="DF62" i="9" s="1"/>
  <c r="DF24" i="9" a="1"/>
  <c r="DF24" i="9" s="1"/>
  <c r="DJ2" i="9" a="1"/>
  <c r="DJ2" i="9" s="1"/>
  <c r="DH123" i="9" a="1"/>
  <c r="DH123" i="9" s="1"/>
  <c r="DH68" i="9" a="1"/>
  <c r="DH68" i="9" s="1"/>
  <c r="DH5" i="9" a="1"/>
  <c r="DH5" i="9" s="1"/>
  <c r="DF112" i="9" a="1"/>
  <c r="DF112" i="9" s="1"/>
  <c r="DF74" i="9" a="1"/>
  <c r="DF74" i="9" s="1"/>
  <c r="DF36" i="9" a="1"/>
  <c r="DF36" i="9" s="1"/>
  <c r="DF13" i="9" a="1"/>
  <c r="DF13" i="9" s="1"/>
  <c r="DF4" i="9" a="1"/>
  <c r="DF4" i="9" s="1"/>
  <c r="DH113" i="9" a="1"/>
  <c r="DH113" i="9" s="1"/>
  <c r="DH58" i="9" a="1"/>
  <c r="DH58" i="9" s="1"/>
  <c r="DH28" i="9" a="1"/>
  <c r="DH28" i="9" s="1"/>
  <c r="DF124" i="9" a="1"/>
  <c r="DF124" i="9" s="1"/>
  <c r="DF86" i="9" a="1"/>
  <c r="DF86" i="9" s="1"/>
  <c r="DF35" i="9" a="1"/>
  <c r="DF35" i="9" s="1"/>
  <c r="DH110" i="9" a="1"/>
  <c r="DH110" i="9" s="1"/>
  <c r="DH46" i="9" a="1"/>
  <c r="DH46" i="9" s="1"/>
  <c r="DF133" i="9" a="1"/>
  <c r="DF133" i="9" s="1"/>
  <c r="DF120" i="9" a="1"/>
  <c r="DF120" i="9" s="1"/>
  <c r="DF94" i="9" a="1"/>
  <c r="DF94" i="9" s="1"/>
  <c r="DF81" i="9" a="1"/>
  <c r="DF81" i="9" s="1"/>
  <c r="DF69" i="9" a="1"/>
  <c r="DF69" i="9" s="1"/>
  <c r="DF56" i="9" a="1"/>
  <c r="DF56" i="9" s="1"/>
  <c r="DF19" i="9" a="1"/>
  <c r="DF19" i="9" s="1"/>
  <c r="DH137" i="9" a="1"/>
  <c r="DH137" i="9" s="1"/>
  <c r="DH118" i="9" a="1"/>
  <c r="DH118" i="9" s="1"/>
  <c r="DH109" i="9" a="1"/>
  <c r="DH109" i="9" s="1"/>
  <c r="DH100" i="9" a="1"/>
  <c r="DH100" i="9" s="1"/>
  <c r="DH91" i="9" a="1"/>
  <c r="DH91" i="9" s="1"/>
  <c r="DH54" i="9" a="1"/>
  <c r="DH54" i="9" s="1"/>
  <c r="DH45" i="9" a="1"/>
  <c r="DH45" i="9" s="1"/>
  <c r="DH36" i="9" a="1"/>
  <c r="DH36" i="9" s="1"/>
  <c r="DH13" i="9" a="1"/>
  <c r="DH13" i="9" s="1"/>
  <c r="DF10" i="9" a="1"/>
  <c r="DF10" i="9" s="1"/>
  <c r="DF15" i="9" a="1"/>
  <c r="DF15" i="9" s="1"/>
  <c r="DF20" i="9" a="1"/>
  <c r="DF20" i="9" s="1"/>
  <c r="DF26" i="9" a="1"/>
  <c r="DF26" i="9" s="1"/>
  <c r="DF31" i="9" a="1"/>
  <c r="DF31" i="9" s="1"/>
  <c r="DF38" i="9" a="1"/>
  <c r="DF38" i="9" s="1"/>
  <c r="DF44" i="9" a="1"/>
  <c r="DF44" i="9" s="1"/>
  <c r="DF51" i="9" a="1"/>
  <c r="DF51" i="9" s="1"/>
  <c r="DF63" i="9" a="1"/>
  <c r="DF63" i="9" s="1"/>
  <c r="DF70" i="9" a="1"/>
  <c r="DF70" i="9" s="1"/>
  <c r="DF76" i="9" a="1"/>
  <c r="DF76" i="9" s="1"/>
  <c r="DF83" i="9" a="1"/>
  <c r="DF83" i="9" s="1"/>
  <c r="DF95" i="9" a="1"/>
  <c r="DF95" i="9" s="1"/>
  <c r="DF102" i="9" a="1"/>
  <c r="DF102" i="9" s="1"/>
  <c r="DF108" i="9" a="1"/>
  <c r="DF108" i="9" s="1"/>
  <c r="DF115" i="9" a="1"/>
  <c r="DF115" i="9" s="1"/>
  <c r="DF128" i="9" a="1"/>
  <c r="DF128" i="9" s="1"/>
  <c r="DF134" i="9" a="1"/>
  <c r="DF134" i="9" s="1"/>
  <c r="DF141" i="9" a="1"/>
  <c r="DF141" i="9" s="1"/>
  <c r="DF3" i="9" a="1"/>
  <c r="DF3" i="9" s="1"/>
  <c r="DF22" i="9" a="1"/>
  <c r="DF22" i="9" s="1"/>
  <c r="DF41" i="9" a="1"/>
  <c r="DF41" i="9" s="1"/>
  <c r="DF66" i="9" a="1"/>
  <c r="DF66" i="9" s="1"/>
  <c r="DF91" i="9" a="1"/>
  <c r="DF91" i="9" s="1"/>
  <c r="DF105" i="9" a="1"/>
  <c r="DF105" i="9" s="1"/>
  <c r="DF130" i="9" a="1"/>
  <c r="DF130" i="9" s="1"/>
  <c r="DF6" i="9" a="1"/>
  <c r="DF6" i="9" s="1"/>
  <c r="DF11" i="9" a="1"/>
  <c r="DF11" i="9" s="1"/>
  <c r="DF32" i="9" a="1"/>
  <c r="DF32" i="9" s="1"/>
  <c r="DF39" i="9" a="1"/>
  <c r="DF39" i="9" s="1"/>
  <c r="DF45" i="9" a="1"/>
  <c r="DF45" i="9" s="1"/>
  <c r="DF52" i="9" a="1"/>
  <c r="DF52" i="9" s="1"/>
  <c r="DF58" i="9" a="1"/>
  <c r="DF58" i="9" s="1"/>
  <c r="DF64" i="9" a="1"/>
  <c r="DF64" i="9" s="1"/>
  <c r="DF71" i="9" a="1"/>
  <c r="DF71" i="9" s="1"/>
  <c r="DF77" i="9" a="1"/>
  <c r="DF77" i="9" s="1"/>
  <c r="DF84" i="9" a="1"/>
  <c r="DF84" i="9" s="1"/>
  <c r="DF90" i="9" a="1"/>
  <c r="DF90" i="9" s="1"/>
  <c r="DF96" i="9" a="1"/>
  <c r="DF96" i="9" s="1"/>
  <c r="DF103" i="9" a="1"/>
  <c r="DF103" i="9" s="1"/>
  <c r="DF109" i="9" a="1"/>
  <c r="DF109" i="9" s="1"/>
  <c r="DF116" i="9" a="1"/>
  <c r="DF116" i="9" s="1"/>
  <c r="DF122" i="9" a="1"/>
  <c r="DF122" i="9" s="1"/>
  <c r="DF129" i="9" a="1"/>
  <c r="DF129" i="9" s="1"/>
  <c r="DF135" i="9" a="1"/>
  <c r="DF135" i="9" s="1"/>
  <c r="DF2" i="9" a="1"/>
  <c r="DF2" i="9" s="1"/>
  <c r="DF12" i="9" a="1"/>
  <c r="DF12" i="9" s="1"/>
  <c r="DF34" i="9" a="1"/>
  <c r="DF34" i="9" s="1"/>
  <c r="DF59" i="9" a="1"/>
  <c r="DF59" i="9" s="1"/>
  <c r="DF73" i="9" a="1"/>
  <c r="DF73" i="9" s="1"/>
  <c r="DF98" i="9" a="1"/>
  <c r="DF98" i="9" s="1"/>
  <c r="DF123" i="9" a="1"/>
  <c r="DF123" i="9" s="1"/>
  <c r="DF137" i="9" a="1"/>
  <c r="DF137" i="9" s="1"/>
  <c r="DF7" i="9" a="1"/>
  <c r="DF7" i="9" s="1"/>
  <c r="DF16" i="9" a="1"/>
  <c r="DF16" i="9" s="1"/>
  <c r="DF21" i="9" a="1"/>
  <c r="DF21" i="9" s="1"/>
  <c r="DF27" i="9" a="1"/>
  <c r="DF27" i="9" s="1"/>
  <c r="DF33" i="9" a="1"/>
  <c r="DF33" i="9" s="1"/>
  <c r="DF40" i="9" a="1"/>
  <c r="DF40" i="9" s="1"/>
  <c r="DF46" i="9" a="1"/>
  <c r="DF46" i="9" s="1"/>
  <c r="DF53" i="9" a="1"/>
  <c r="DF53" i="9" s="1"/>
  <c r="DF65" i="9" a="1"/>
  <c r="DF65" i="9" s="1"/>
  <c r="DF72" i="9" a="1"/>
  <c r="DF72" i="9" s="1"/>
  <c r="DF78" i="9" a="1"/>
  <c r="DF78" i="9" s="1"/>
  <c r="DF85" i="9" a="1"/>
  <c r="DF85" i="9" s="1"/>
  <c r="DF97" i="9" a="1"/>
  <c r="DF97" i="9" s="1"/>
  <c r="DF104" i="9" a="1"/>
  <c r="DF104" i="9" s="1"/>
  <c r="DF110" i="9" a="1"/>
  <c r="DF110" i="9" s="1"/>
  <c r="DF117" i="9" a="1"/>
  <c r="DF117" i="9" s="1"/>
  <c r="DF136" i="9" a="1"/>
  <c r="DF136" i="9" s="1"/>
  <c r="DF127" i="9" a="1"/>
  <c r="DF127" i="9" s="1"/>
  <c r="DF89" i="9" a="1"/>
  <c r="DF89" i="9" s="1"/>
  <c r="DF50" i="9" a="1"/>
  <c r="DF50" i="9" s="1"/>
  <c r="DF14" i="9" a="1"/>
  <c r="DF14" i="9" s="1"/>
  <c r="DF5" i="9" a="1"/>
  <c r="DF5" i="9" s="1"/>
  <c r="DH87" i="9" a="1"/>
  <c r="DH87" i="9" s="1"/>
  <c r="DH19" i="9" a="1"/>
  <c r="DH19" i="9" s="1"/>
  <c r="DF126" i="9" a="1"/>
  <c r="DF126" i="9" s="1"/>
  <c r="DF88" i="9" a="1"/>
  <c r="DF88" i="9" s="1"/>
  <c r="DF37" i="9" a="1"/>
  <c r="DF37" i="9" s="1"/>
  <c r="DH86" i="9" a="1"/>
  <c r="DH86" i="9" s="1"/>
  <c r="DH59" i="9" a="1"/>
  <c r="DH59" i="9" s="1"/>
  <c r="DF138" i="9" a="1"/>
  <c r="DF138" i="9" s="1"/>
  <c r="DF100" i="9" a="1"/>
  <c r="DF100" i="9" s="1"/>
  <c r="DF61" i="9" a="1"/>
  <c r="DF61" i="9" s="1"/>
  <c r="DH122" i="9" a="1"/>
  <c r="DH122" i="9" s="1"/>
  <c r="DH95" i="9" a="1"/>
  <c r="DH95" i="9" s="1"/>
  <c r="DH40" i="9" a="1"/>
  <c r="DH40" i="9" s="1"/>
  <c r="DF111" i="9" a="1"/>
  <c r="DF111" i="9" s="1"/>
  <c r="DF60" i="9" a="1"/>
  <c r="DF60" i="9" s="1"/>
  <c r="DF23" i="9" a="1"/>
  <c r="DF23" i="9" s="1"/>
  <c r="DH101" i="9" a="1"/>
  <c r="DH101" i="9" s="1"/>
  <c r="DH83" i="9" a="1"/>
  <c r="DH83" i="9" s="1"/>
  <c r="DF132" i="9" a="1"/>
  <c r="DF132" i="9" s="1"/>
  <c r="DF119" i="9" a="1"/>
  <c r="DF119" i="9" s="1"/>
  <c r="DF106" i="9" a="1"/>
  <c r="DF106" i="9" s="1"/>
  <c r="DF93" i="9" a="1"/>
  <c r="DF93" i="9" s="1"/>
  <c r="DF80" i="9" a="1"/>
  <c r="DF80" i="9" s="1"/>
  <c r="DF68" i="9" a="1"/>
  <c r="DF68" i="9" s="1"/>
  <c r="DF55" i="9" a="1"/>
  <c r="DF55" i="9" s="1"/>
  <c r="DF42" i="9" a="1"/>
  <c r="DF42" i="9" s="1"/>
  <c r="DF29" i="9" a="1"/>
  <c r="DF29" i="9" s="1"/>
  <c r="DF18" i="9" a="1"/>
  <c r="DF18" i="9" s="1"/>
  <c r="DH136" i="9" a="1"/>
  <c r="DH136" i="9" s="1"/>
  <c r="DH127" i="9" a="1"/>
  <c r="DH127" i="9" s="1"/>
  <c r="DH90" i="9" a="1"/>
  <c r="DH90" i="9" s="1"/>
  <c r="DH81" i="9" a="1"/>
  <c r="DH81" i="9" s="1"/>
  <c r="DH72" i="9" a="1"/>
  <c r="DH72" i="9" s="1"/>
  <c r="DH63" i="9" a="1"/>
  <c r="DH63" i="9" s="1"/>
  <c r="DH23" i="9" a="1"/>
  <c r="DH23" i="9" s="1"/>
  <c r="E56" i="10" l="1"/>
  <c r="W32" i="10" l="1"/>
  <c r="N5" i="6" l="1"/>
  <c r="H5" i="6" s="1"/>
  <c r="W33" i="10" l="1"/>
  <c r="W34" i="10"/>
  <c r="W35" i="10"/>
  <c r="W36" i="10"/>
  <c r="W37" i="10"/>
  <c r="W38" i="10"/>
  <c r="W39" i="10"/>
  <c r="W40" i="10"/>
  <c r="W41" i="10"/>
  <c r="W42" i="10"/>
  <c r="W43" i="10"/>
  <c r="W31" i="10"/>
  <c r="AK11" i="36"/>
  <c r="AK10" i="36"/>
  <c r="AL11" i="36"/>
  <c r="AL12" i="36"/>
  <c r="AL13" i="36"/>
  <c r="AL14" i="36"/>
  <c r="AL15" i="36"/>
  <c r="AL16" i="36"/>
  <c r="AL17" i="36"/>
  <c r="AL18" i="36"/>
  <c r="AL19" i="36"/>
  <c r="AL20" i="36"/>
  <c r="AL21" i="36"/>
  <c r="AL22" i="36"/>
  <c r="AL10" i="36"/>
  <c r="B2" i="10" l="1"/>
  <c r="B3" i="10"/>
  <c r="M1" i="41" l="1"/>
  <c r="C41" i="36" l="1"/>
  <c r="V62" i="10" s="1"/>
  <c r="G62" i="10" s="1"/>
  <c r="H41" i="36" l="1"/>
  <c r="E41" i="36"/>
  <c r="AK41" i="36"/>
  <c r="G44" i="26"/>
  <c r="G34" i="26"/>
  <c r="G24" i="26"/>
  <c r="G14" i="26"/>
  <c r="P62" i="10" l="1"/>
  <c r="AM41" i="36"/>
  <c r="AI41" i="36"/>
  <c r="R33" i="7" a="1"/>
  <c r="R33" i="7" s="1"/>
  <c r="AP3" i="18" s="1"/>
  <c r="R34" i="7" a="1"/>
  <c r="R34" i="7" s="1"/>
  <c r="AP4" i="18" s="1"/>
  <c r="R35" i="7" a="1"/>
  <c r="R35" i="7" s="1"/>
  <c r="AP5" i="18" s="1"/>
  <c r="R36" i="7" a="1"/>
  <c r="R36" i="7" s="1"/>
  <c r="AP6" i="18" s="1"/>
  <c r="R37" i="7" a="1"/>
  <c r="R37" i="7" s="1"/>
  <c r="AP7" i="18" s="1"/>
  <c r="R38" i="7" a="1"/>
  <c r="R38" i="7" s="1"/>
  <c r="AP8" i="18" s="1"/>
  <c r="R39" i="7" a="1"/>
  <c r="R39" i="7" s="1"/>
  <c r="AP9" i="18" s="1"/>
  <c r="R40" i="7" a="1"/>
  <c r="R40" i="7" s="1"/>
  <c r="AP10" i="18" s="1"/>
  <c r="R41" i="7" a="1"/>
  <c r="R41" i="7" s="1"/>
  <c r="AP11" i="18" s="1"/>
  <c r="R42" i="7" a="1"/>
  <c r="R42" i="7" s="1"/>
  <c r="AP12" i="18" s="1"/>
  <c r="R43" i="7" a="1"/>
  <c r="R43" i="7" s="1"/>
  <c r="AP13" i="18" s="1"/>
  <c r="R44" i="7" a="1"/>
  <c r="R44" i="7" s="1"/>
  <c r="AP14" i="18" s="1"/>
  <c r="R45" i="7" a="1"/>
  <c r="R45" i="7" s="1"/>
  <c r="AP15" i="18" s="1"/>
  <c r="R46" i="7" a="1"/>
  <c r="R46" i="7" s="1"/>
  <c r="AP16" i="18" s="1"/>
  <c r="R47" i="7" a="1"/>
  <c r="R47" i="7" s="1"/>
  <c r="AP17" i="18" s="1"/>
  <c r="R48" i="7" a="1"/>
  <c r="R48" i="7" s="1"/>
  <c r="AP18" i="18" s="1"/>
  <c r="R49" i="7" a="1"/>
  <c r="R49" i="7" s="1"/>
  <c r="AP19" i="18" s="1"/>
  <c r="R50" i="7" a="1"/>
  <c r="R50" i="7" s="1"/>
  <c r="AP20" i="18" s="1"/>
  <c r="R51" i="7" a="1"/>
  <c r="R51" i="7" s="1"/>
  <c r="AP21" i="18" s="1"/>
  <c r="R52" i="7" a="1"/>
  <c r="R52" i="7" s="1"/>
  <c r="AP22" i="18" s="1"/>
  <c r="R53" i="7" a="1"/>
  <c r="R53" i="7" s="1"/>
  <c r="AP23" i="18" s="1"/>
  <c r="R54" i="7" a="1"/>
  <c r="R54" i="7" s="1"/>
  <c r="AP24" i="18" s="1"/>
  <c r="R55" i="7" a="1"/>
  <c r="R55" i="7" s="1"/>
  <c r="AP25" i="18" s="1"/>
  <c r="R56" i="7" a="1"/>
  <c r="R56" i="7" s="1"/>
  <c r="AP26" i="18" s="1"/>
  <c r="R32" i="7" a="1"/>
  <c r="R32" i="7" s="1"/>
  <c r="AP2" i="18" s="1"/>
  <c r="R88" i="7" a="1"/>
  <c r="R88" i="7" s="1"/>
  <c r="R89" i="7" a="1"/>
  <c r="R89" i="7" s="1"/>
  <c r="R90" i="7" a="1"/>
  <c r="R90" i="7" s="1"/>
  <c r="R91" i="7" a="1"/>
  <c r="R91" i="7" s="1"/>
  <c r="R92" i="7" a="1"/>
  <c r="R92" i="7" s="1"/>
  <c r="R93" i="7" a="1"/>
  <c r="R93" i="7" s="1"/>
  <c r="R94" i="7" a="1"/>
  <c r="R94" i="7" s="1"/>
  <c r="R95" i="7" a="1"/>
  <c r="R95" i="7" s="1"/>
  <c r="R96" i="7" a="1"/>
  <c r="R96" i="7" s="1"/>
  <c r="R97" i="7" a="1"/>
  <c r="R97" i="7" s="1"/>
  <c r="R98" i="7" a="1"/>
  <c r="R98" i="7" s="1"/>
  <c r="R99" i="7" a="1"/>
  <c r="R99" i="7" s="1"/>
  <c r="R100" i="7" a="1"/>
  <c r="R100" i="7" s="1"/>
  <c r="R101" i="7" a="1"/>
  <c r="R101" i="7" s="1"/>
  <c r="R102" i="7" a="1"/>
  <c r="R102" i="7" s="1"/>
  <c r="R103" i="7" a="1"/>
  <c r="R103" i="7" s="1"/>
  <c r="R104" i="7" a="1"/>
  <c r="R104" i="7" s="1"/>
  <c r="R105" i="7" a="1"/>
  <c r="R105" i="7" s="1"/>
  <c r="R106" i="7" a="1"/>
  <c r="R106" i="7" s="1"/>
  <c r="R107" i="7" a="1"/>
  <c r="R107" i="7" s="1"/>
  <c r="R108" i="7" a="1"/>
  <c r="R108" i="7" s="1"/>
  <c r="R109" i="7" a="1"/>
  <c r="R109" i="7" s="1"/>
  <c r="R110" i="7" a="1"/>
  <c r="R110" i="7" s="1"/>
  <c r="R111" i="7" a="1"/>
  <c r="R111" i="7" s="1"/>
  <c r="R112" i="7" a="1"/>
  <c r="R112" i="7" s="1"/>
  <c r="R113" i="7" a="1"/>
  <c r="R113" i="7" s="1"/>
  <c r="R114" i="7" a="1"/>
  <c r="R114" i="7" s="1"/>
  <c r="R115" i="7" a="1"/>
  <c r="R115" i="7" s="1"/>
  <c r="R116" i="7" a="1"/>
  <c r="R116" i="7" s="1"/>
  <c r="R117" i="7" a="1"/>
  <c r="R117" i="7" s="1"/>
  <c r="R118" i="7" a="1"/>
  <c r="R118" i="7" s="1"/>
  <c r="R119" i="7" a="1"/>
  <c r="R119" i="7" s="1"/>
  <c r="AJ3" i="37" l="1"/>
  <c r="I4" i="37"/>
  <c r="A5" i="41"/>
  <c r="B3" i="41"/>
  <c r="B2" i="41"/>
  <c r="A3" i="41"/>
  <c r="A2" i="41"/>
  <c r="W3" i="22" l="1"/>
  <c r="W4" i="22"/>
  <c r="W5" i="22"/>
  <c r="K9" i="22"/>
  <c r="AA2" i="22" s="1"/>
  <c r="W2" i="22" l="1"/>
  <c r="I3" i="37" l="1"/>
  <c r="AJ2" i="37" s="1"/>
  <c r="C2" i="37" l="1"/>
  <c r="F13" i="38"/>
  <c r="P18" i="38" l="1"/>
  <c r="I18" i="38" l="1"/>
  <c r="O18" i="38" s="1"/>
  <c r="M18" i="38"/>
  <c r="L18" i="38"/>
  <c r="N18" i="38"/>
  <c r="K18" i="38"/>
  <c r="H19" i="38"/>
  <c r="H20" i="38"/>
  <c r="H21" i="38"/>
  <c r="H22" i="38"/>
  <c r="H23" i="38"/>
  <c r="H24" i="38"/>
  <c r="H25" i="38"/>
  <c r="H26" i="38"/>
  <c r="H27" i="38"/>
  <c r="H28" i="38"/>
  <c r="H29" i="38"/>
  <c r="H30" i="38"/>
  <c r="H31" i="38"/>
  <c r="H32" i="38"/>
  <c r="H33" i="38"/>
  <c r="H34" i="38"/>
  <c r="H35" i="38"/>
  <c r="H36" i="38"/>
  <c r="H37" i="38"/>
  <c r="H38" i="38"/>
  <c r="H39" i="38"/>
  <c r="H40" i="38"/>
  <c r="H41" i="38"/>
  <c r="H42" i="38"/>
  <c r="H43" i="38"/>
  <c r="H44" i="38"/>
  <c r="H45" i="38"/>
  <c r="H46" i="38"/>
  <c r="H47" i="38"/>
  <c r="H48" i="38"/>
  <c r="H49" i="38"/>
  <c r="H50" i="38"/>
  <c r="H51" i="38"/>
  <c r="H52" i="38"/>
  <c r="H53" i="38"/>
  <c r="H54" i="38"/>
  <c r="H55" i="38"/>
  <c r="H56" i="38"/>
  <c r="H57" i="38"/>
  <c r="H58" i="38"/>
  <c r="H59" i="38"/>
  <c r="H60" i="38"/>
  <c r="H61" i="38"/>
  <c r="H62" i="38"/>
  <c r="H63" i="38"/>
  <c r="H64" i="38"/>
  <c r="H65" i="38"/>
  <c r="H66" i="38"/>
  <c r="H67" i="38"/>
  <c r="H68" i="38"/>
  <c r="H69" i="38"/>
  <c r="H70" i="38"/>
  <c r="H71" i="38"/>
  <c r="H72" i="38"/>
  <c r="H73" i="38"/>
  <c r="H74" i="38"/>
  <c r="H75" i="38"/>
  <c r="H76" i="38"/>
  <c r="H77" i="38"/>
  <c r="H78" i="38"/>
  <c r="H79" i="38"/>
  <c r="H80" i="38"/>
  <c r="H81" i="38"/>
  <c r="H82" i="38"/>
  <c r="H83" i="38"/>
  <c r="H84" i="38"/>
  <c r="H85" i="38"/>
  <c r="H86" i="38"/>
  <c r="H87" i="38"/>
  <c r="H88" i="38"/>
  <c r="H89" i="38"/>
  <c r="H90" i="38"/>
  <c r="H91" i="38"/>
  <c r="H92" i="38"/>
  <c r="H93" i="38"/>
  <c r="H94" i="38"/>
  <c r="H95" i="38"/>
  <c r="H96" i="38"/>
  <c r="H97" i="38"/>
  <c r="H98" i="38"/>
  <c r="H99" i="38"/>
  <c r="H100" i="38"/>
  <c r="H101" i="38"/>
  <c r="H102" i="38"/>
  <c r="H103" i="38"/>
  <c r="H104" i="38"/>
  <c r="H105" i="38"/>
  <c r="H106" i="38"/>
  <c r="H107" i="38"/>
  <c r="H108" i="38"/>
  <c r="H109" i="38"/>
  <c r="N33" i="38" l="1"/>
  <c r="K33" i="38"/>
  <c r="L33" i="38"/>
  <c r="M33" i="38"/>
  <c r="P33" i="38"/>
  <c r="O33" i="38"/>
  <c r="N64" i="38"/>
  <c r="K64" i="38"/>
  <c r="L64" i="38"/>
  <c r="P64" i="38"/>
  <c r="O64" i="38"/>
  <c r="M64" i="38"/>
  <c r="K31" i="38"/>
  <c r="N31" i="38"/>
  <c r="P31" i="38"/>
  <c r="M31" i="38"/>
  <c r="L31" i="38"/>
  <c r="K94" i="38"/>
  <c r="N94" i="38"/>
  <c r="M94" i="38"/>
  <c r="L94" i="38"/>
  <c r="P94" i="38"/>
  <c r="O94" i="38"/>
  <c r="K44" i="38"/>
  <c r="O44" i="38"/>
  <c r="L44" i="38"/>
  <c r="M44" i="38"/>
  <c r="P44" i="38"/>
  <c r="N44" i="38"/>
  <c r="L41" i="38"/>
  <c r="O41" i="38"/>
  <c r="K41" i="38"/>
  <c r="P41" i="38"/>
  <c r="N41" i="38"/>
  <c r="M41" i="38"/>
  <c r="N97" i="38"/>
  <c r="O97" i="38"/>
  <c r="P97" i="38"/>
  <c r="K97" i="38"/>
  <c r="M97" i="38"/>
  <c r="L97" i="38"/>
  <c r="N48" i="38"/>
  <c r="K48" i="38"/>
  <c r="O48" i="38"/>
  <c r="L48" i="38"/>
  <c r="P48" i="38"/>
  <c r="M48" i="38"/>
  <c r="N47" i="38"/>
  <c r="K47" i="38"/>
  <c r="P47" i="38"/>
  <c r="O47" i="38"/>
  <c r="M47" i="38"/>
  <c r="L47" i="38"/>
  <c r="N29" i="38"/>
  <c r="K29" i="38"/>
  <c r="O29" i="38"/>
  <c r="M29" i="38"/>
  <c r="P29" i="38"/>
  <c r="L29" i="38"/>
  <c r="O107" i="38"/>
  <c r="L107" i="38"/>
  <c r="K107" i="38"/>
  <c r="N107" i="38"/>
  <c r="P107" i="38"/>
  <c r="M107" i="38"/>
  <c r="O72" i="38"/>
  <c r="L72" i="38"/>
  <c r="P72" i="38"/>
  <c r="M72" i="38"/>
  <c r="K72" i="38"/>
  <c r="N72" i="38"/>
  <c r="N65" i="38"/>
  <c r="M65" i="38"/>
  <c r="K65" i="38"/>
  <c r="O65" i="38"/>
  <c r="L65" i="38"/>
  <c r="P65" i="38"/>
  <c r="K95" i="38"/>
  <c r="N95" i="38"/>
  <c r="M95" i="38"/>
  <c r="O95" i="38"/>
  <c r="L95" i="38"/>
  <c r="P95" i="38"/>
  <c r="N78" i="38"/>
  <c r="K78" i="38"/>
  <c r="P78" i="38"/>
  <c r="O78" i="38"/>
  <c r="M78" i="38"/>
  <c r="L78" i="38"/>
  <c r="N45" i="38"/>
  <c r="K45" i="38"/>
  <c r="O45" i="38"/>
  <c r="M45" i="38"/>
  <c r="L45" i="38"/>
  <c r="P45" i="38"/>
  <c r="O75" i="38"/>
  <c r="L75" i="38"/>
  <c r="K75" i="38"/>
  <c r="M75" i="38"/>
  <c r="P75" i="38"/>
  <c r="N75" i="38"/>
  <c r="O106" i="38"/>
  <c r="L106" i="38"/>
  <c r="N106" i="38"/>
  <c r="M106" i="38"/>
  <c r="P106" i="38"/>
  <c r="K106" i="38"/>
  <c r="O25" i="38"/>
  <c r="L25" i="38"/>
  <c r="P25" i="38"/>
  <c r="K25" i="38"/>
  <c r="M25" i="38"/>
  <c r="N25" i="38"/>
  <c r="L55" i="38"/>
  <c r="M55" i="38"/>
  <c r="P55" i="38"/>
  <c r="O55" i="38"/>
  <c r="K55" i="38"/>
  <c r="N55" i="38"/>
  <c r="L23" i="38"/>
  <c r="P23" i="38"/>
  <c r="M23" i="38"/>
  <c r="K23" i="38"/>
  <c r="O23" i="38"/>
  <c r="N23" i="38"/>
  <c r="N49" i="38"/>
  <c r="M49" i="38"/>
  <c r="O49" i="38"/>
  <c r="L49" i="38"/>
  <c r="P49" i="38"/>
  <c r="K49" i="38"/>
  <c r="K62" i="38"/>
  <c r="N62" i="38"/>
  <c r="P62" i="38"/>
  <c r="L62" i="38"/>
  <c r="O62" i="38"/>
  <c r="M62" i="38"/>
  <c r="N77" i="38"/>
  <c r="K77" i="38"/>
  <c r="O77" i="38"/>
  <c r="L77" i="38"/>
  <c r="M77" i="38"/>
  <c r="P77" i="38"/>
  <c r="K76" i="38"/>
  <c r="L76" i="38"/>
  <c r="O76" i="38"/>
  <c r="N76" i="38"/>
  <c r="M76" i="38"/>
  <c r="P76" i="38"/>
  <c r="L91" i="38"/>
  <c r="O91" i="38"/>
  <c r="M91" i="38"/>
  <c r="P91" i="38"/>
  <c r="K91" i="38"/>
  <c r="N91" i="38"/>
  <c r="O58" i="38"/>
  <c r="L58" i="38"/>
  <c r="P58" i="38"/>
  <c r="K58" i="38"/>
  <c r="N58" i="38"/>
  <c r="M58" i="38"/>
  <c r="O57" i="38"/>
  <c r="L57" i="38"/>
  <c r="N57" i="38"/>
  <c r="K57" i="38"/>
  <c r="M57" i="38"/>
  <c r="P57" i="38"/>
  <c r="O24" i="38"/>
  <c r="L24" i="38"/>
  <c r="P24" i="38"/>
  <c r="K24" i="38"/>
  <c r="N24" i="38"/>
  <c r="M24" i="38"/>
  <c r="P86" i="38"/>
  <c r="M86" i="38"/>
  <c r="K86" i="38"/>
  <c r="N86" i="38"/>
  <c r="L86" i="38"/>
  <c r="O86" i="38"/>
  <c r="P38" i="38"/>
  <c r="M38" i="38"/>
  <c r="N38" i="38"/>
  <c r="L38" i="38"/>
  <c r="O38" i="38"/>
  <c r="K38" i="38"/>
  <c r="M22" i="38"/>
  <c r="P22" i="38"/>
  <c r="O22" i="38"/>
  <c r="K22" i="38"/>
  <c r="N22" i="38"/>
  <c r="L22" i="38"/>
  <c r="N32" i="38"/>
  <c r="K32" i="38"/>
  <c r="L32" i="38"/>
  <c r="P32" i="38"/>
  <c r="O32" i="38"/>
  <c r="M32" i="38"/>
  <c r="K30" i="38"/>
  <c r="N30" i="38"/>
  <c r="P30" i="38"/>
  <c r="L30" i="38"/>
  <c r="M30" i="38"/>
  <c r="O30" i="38"/>
  <c r="K108" i="38"/>
  <c r="L108" i="38"/>
  <c r="O108" i="38"/>
  <c r="N108" i="38"/>
  <c r="M108" i="38"/>
  <c r="P108" i="38"/>
  <c r="O43" i="38"/>
  <c r="L43" i="38"/>
  <c r="M43" i="38"/>
  <c r="K43" i="38"/>
  <c r="P43" i="38"/>
  <c r="N43" i="38"/>
  <c r="O90" i="38"/>
  <c r="L90" i="38"/>
  <c r="K90" i="38"/>
  <c r="N90" i="38"/>
  <c r="P90" i="38"/>
  <c r="M90" i="38"/>
  <c r="O105" i="38"/>
  <c r="L105" i="38"/>
  <c r="M105" i="38"/>
  <c r="K105" i="38"/>
  <c r="P105" i="38"/>
  <c r="N105" i="38"/>
  <c r="O88" i="38"/>
  <c r="L88" i="38"/>
  <c r="P88" i="38"/>
  <c r="K88" i="38"/>
  <c r="N88" i="38"/>
  <c r="M88" i="38"/>
  <c r="L87" i="38"/>
  <c r="M87" i="38"/>
  <c r="P87" i="38"/>
  <c r="N87" i="38"/>
  <c r="K87" i="38"/>
  <c r="O87" i="38"/>
  <c r="M21" i="38"/>
  <c r="P21" i="38"/>
  <c r="O21" i="38"/>
  <c r="K21" i="38"/>
  <c r="N21" i="38"/>
  <c r="L21" i="38"/>
  <c r="N80" i="38"/>
  <c r="K80" i="38"/>
  <c r="L80" i="38"/>
  <c r="M80" i="38"/>
  <c r="O80" i="38"/>
  <c r="P80" i="38"/>
  <c r="N63" i="38"/>
  <c r="K63" i="38"/>
  <c r="O63" i="38"/>
  <c r="P63" i="38"/>
  <c r="L63" i="38"/>
  <c r="M63" i="38"/>
  <c r="N61" i="38"/>
  <c r="K61" i="38"/>
  <c r="O61" i="38"/>
  <c r="L61" i="38"/>
  <c r="M61" i="38"/>
  <c r="P61" i="38"/>
  <c r="K60" i="38"/>
  <c r="L60" i="38"/>
  <c r="O60" i="38"/>
  <c r="P60" i="38"/>
  <c r="N60" i="38"/>
  <c r="M60" i="38"/>
  <c r="O59" i="38"/>
  <c r="L59" i="38"/>
  <c r="P59" i="38"/>
  <c r="M59" i="38"/>
  <c r="N59" i="38"/>
  <c r="K59" i="38"/>
  <c r="O42" i="38"/>
  <c r="L42" i="38"/>
  <c r="K42" i="38"/>
  <c r="P42" i="38"/>
  <c r="N42" i="38"/>
  <c r="M42" i="38"/>
  <c r="L89" i="38"/>
  <c r="O89" i="38"/>
  <c r="K89" i="38"/>
  <c r="P89" i="38"/>
  <c r="N89" i="38"/>
  <c r="M89" i="38"/>
  <c r="O40" i="38"/>
  <c r="L40" i="38"/>
  <c r="P40" i="38"/>
  <c r="K40" i="38"/>
  <c r="M40" i="38"/>
  <c r="N40" i="38"/>
  <c r="L71" i="38"/>
  <c r="M71" i="38"/>
  <c r="P71" i="38"/>
  <c r="K71" i="38"/>
  <c r="O71" i="38"/>
  <c r="N71" i="38"/>
  <c r="M102" i="38"/>
  <c r="P102" i="38"/>
  <c r="L102" i="38"/>
  <c r="O102" i="38"/>
  <c r="K102" i="38"/>
  <c r="N102" i="38"/>
  <c r="M54" i="38"/>
  <c r="P54" i="38"/>
  <c r="L54" i="38"/>
  <c r="N54" i="38"/>
  <c r="K54" i="38"/>
  <c r="O54" i="38"/>
  <c r="M85" i="38"/>
  <c r="P85" i="38"/>
  <c r="N85" i="38"/>
  <c r="O85" i="38"/>
  <c r="L85" i="38"/>
  <c r="K85" i="38"/>
  <c r="M53" i="38"/>
  <c r="P53" i="38"/>
  <c r="N53" i="38"/>
  <c r="L53" i="38"/>
  <c r="K53" i="38"/>
  <c r="O53" i="38"/>
  <c r="M100" i="38"/>
  <c r="P100" i="38"/>
  <c r="O100" i="38"/>
  <c r="L100" i="38"/>
  <c r="K100" i="38"/>
  <c r="N100" i="38"/>
  <c r="P84" i="38"/>
  <c r="M84" i="38"/>
  <c r="N84" i="38"/>
  <c r="L84" i="38"/>
  <c r="O84" i="38"/>
  <c r="K84" i="38"/>
  <c r="M68" i="38"/>
  <c r="P68" i="38"/>
  <c r="K68" i="38"/>
  <c r="N68" i="38"/>
  <c r="L68" i="38"/>
  <c r="O68" i="38"/>
  <c r="M52" i="38"/>
  <c r="P52" i="38"/>
  <c r="L52" i="38"/>
  <c r="N52" i="38"/>
  <c r="O52" i="38"/>
  <c r="K52" i="38"/>
  <c r="P36" i="38"/>
  <c r="M36" i="38"/>
  <c r="K36" i="38"/>
  <c r="N36" i="38"/>
  <c r="L36" i="38"/>
  <c r="O36" i="38"/>
  <c r="M20" i="38"/>
  <c r="P20" i="38"/>
  <c r="O20" i="38"/>
  <c r="L20" i="38"/>
  <c r="K20" i="38"/>
  <c r="N20" i="38"/>
  <c r="N96" i="38"/>
  <c r="K96" i="38"/>
  <c r="M96" i="38"/>
  <c r="P96" i="38"/>
  <c r="L96" i="38"/>
  <c r="O96" i="38"/>
  <c r="N79" i="38"/>
  <c r="K79" i="38"/>
  <c r="P79" i="38"/>
  <c r="M79" i="38"/>
  <c r="O79" i="38"/>
  <c r="L79" i="38"/>
  <c r="N109" i="38"/>
  <c r="K109" i="38"/>
  <c r="O109" i="38"/>
  <c r="L109" i="38"/>
  <c r="M109" i="38"/>
  <c r="P109" i="38"/>
  <c r="K92" i="38"/>
  <c r="L92" i="38"/>
  <c r="O92" i="38"/>
  <c r="N92" i="38"/>
  <c r="P92" i="38"/>
  <c r="M92" i="38"/>
  <c r="L27" i="38"/>
  <c r="O27" i="38"/>
  <c r="P27" i="38"/>
  <c r="M27" i="38"/>
  <c r="K27" i="38"/>
  <c r="N27" i="38"/>
  <c r="O74" i="38"/>
  <c r="L74" i="38"/>
  <c r="M74" i="38"/>
  <c r="P74" i="38"/>
  <c r="K74" i="38"/>
  <c r="N74" i="38"/>
  <c r="L73" i="38"/>
  <c r="O73" i="38"/>
  <c r="P73" i="38"/>
  <c r="M73" i="38"/>
  <c r="K73" i="38"/>
  <c r="N73" i="38"/>
  <c r="O56" i="38"/>
  <c r="L56" i="38"/>
  <c r="P56" i="38"/>
  <c r="N56" i="38"/>
  <c r="K56" i="38"/>
  <c r="M56" i="38"/>
  <c r="L103" i="38"/>
  <c r="P103" i="38"/>
  <c r="M103" i="38"/>
  <c r="O103" i="38"/>
  <c r="K103" i="38"/>
  <c r="N103" i="38"/>
  <c r="L39" i="38"/>
  <c r="P39" i="38"/>
  <c r="M39" i="38"/>
  <c r="K39" i="38"/>
  <c r="O39" i="38"/>
  <c r="N39" i="38"/>
  <c r="M70" i="38"/>
  <c r="P70" i="38"/>
  <c r="N70" i="38"/>
  <c r="O70" i="38"/>
  <c r="K70" i="38"/>
  <c r="L70" i="38"/>
  <c r="M101" i="38"/>
  <c r="P101" i="38"/>
  <c r="K101" i="38"/>
  <c r="O101" i="38"/>
  <c r="N101" i="38"/>
  <c r="L101" i="38"/>
  <c r="M69" i="38"/>
  <c r="P69" i="38"/>
  <c r="O69" i="38"/>
  <c r="K69" i="38"/>
  <c r="N69" i="38"/>
  <c r="L69" i="38"/>
  <c r="M37" i="38"/>
  <c r="P37" i="38"/>
  <c r="N37" i="38"/>
  <c r="L37" i="38"/>
  <c r="O37" i="38"/>
  <c r="K37" i="38"/>
  <c r="P99" i="38"/>
  <c r="M99" i="38"/>
  <c r="O99" i="38"/>
  <c r="K99" i="38"/>
  <c r="N99" i="38"/>
  <c r="L99" i="38"/>
  <c r="P83" i="38"/>
  <c r="M83" i="38"/>
  <c r="L83" i="38"/>
  <c r="O83" i="38"/>
  <c r="K83" i="38"/>
  <c r="N83" i="38"/>
  <c r="P67" i="38"/>
  <c r="M67" i="38"/>
  <c r="K67" i="38"/>
  <c r="N67" i="38"/>
  <c r="L67" i="38"/>
  <c r="O67" i="38"/>
  <c r="P51" i="38"/>
  <c r="M51" i="38"/>
  <c r="O51" i="38"/>
  <c r="K51" i="38"/>
  <c r="N51" i="38"/>
  <c r="L51" i="38"/>
  <c r="P35" i="38"/>
  <c r="M35" i="38"/>
  <c r="N35" i="38"/>
  <c r="O35" i="38"/>
  <c r="K35" i="38"/>
  <c r="L35" i="38"/>
  <c r="P19" i="38"/>
  <c r="M19" i="38"/>
  <c r="K19" i="38"/>
  <c r="N19" i="38"/>
  <c r="L19" i="38"/>
  <c r="N81" i="38"/>
  <c r="L81" i="38"/>
  <c r="K81" i="38"/>
  <c r="O81" i="38"/>
  <c r="M81" i="38"/>
  <c r="P81" i="38"/>
  <c r="N46" i="38"/>
  <c r="K46" i="38"/>
  <c r="P46" i="38"/>
  <c r="M46" i="38"/>
  <c r="L46" i="38"/>
  <c r="O46" i="38"/>
  <c r="N93" i="38"/>
  <c r="O93" i="38"/>
  <c r="K93" i="38"/>
  <c r="M93" i="38"/>
  <c r="P93" i="38"/>
  <c r="L93" i="38"/>
  <c r="K28" i="38"/>
  <c r="L28" i="38"/>
  <c r="O28" i="38"/>
  <c r="N28" i="38"/>
  <c r="P28" i="38"/>
  <c r="M28" i="38"/>
  <c r="L26" i="38"/>
  <c r="O26" i="38"/>
  <c r="K26" i="38"/>
  <c r="P26" i="38"/>
  <c r="M26" i="38"/>
  <c r="N26" i="38"/>
  <c r="O104" i="38"/>
  <c r="L104" i="38"/>
  <c r="P104" i="38"/>
  <c r="N104" i="38"/>
  <c r="M104" i="38"/>
  <c r="K104" i="38"/>
  <c r="M98" i="38"/>
  <c r="N98" i="38"/>
  <c r="P98" i="38"/>
  <c r="O98" i="38"/>
  <c r="K98" i="38"/>
  <c r="L98" i="38"/>
  <c r="M82" i="38"/>
  <c r="N82" i="38"/>
  <c r="P82" i="38"/>
  <c r="L82" i="38"/>
  <c r="K82" i="38"/>
  <c r="O82" i="38"/>
  <c r="M66" i="38"/>
  <c r="N66" i="38"/>
  <c r="L66" i="38"/>
  <c r="K66" i="38"/>
  <c r="O66" i="38"/>
  <c r="P66" i="38"/>
  <c r="M50" i="38"/>
  <c r="N50" i="38"/>
  <c r="K50" i="38"/>
  <c r="O50" i="38"/>
  <c r="L50" i="38"/>
  <c r="P50" i="38"/>
  <c r="M34" i="38"/>
  <c r="N34" i="38"/>
  <c r="P34" i="38"/>
  <c r="L34" i="38"/>
  <c r="O34" i="38"/>
  <c r="K34" i="38"/>
  <c r="I109" i="38"/>
  <c r="I60" i="38"/>
  <c r="I82" i="38"/>
  <c r="I66" i="38"/>
  <c r="I50" i="38"/>
  <c r="I34" i="38"/>
  <c r="I77" i="38"/>
  <c r="I28" i="38"/>
  <c r="I97" i="38"/>
  <c r="I65" i="38"/>
  <c r="I80" i="38"/>
  <c r="I64" i="38"/>
  <c r="I48" i="38"/>
  <c r="I32" i="38"/>
  <c r="I93" i="38"/>
  <c r="I76" i="38"/>
  <c r="I98" i="38"/>
  <c r="I49" i="38"/>
  <c r="I95" i="38"/>
  <c r="I63" i="38"/>
  <c r="I47" i="38"/>
  <c r="I31" i="38"/>
  <c r="O31" i="38" s="1"/>
  <c r="I61" i="38"/>
  <c r="I44" i="38"/>
  <c r="I81" i="38"/>
  <c r="I33" i="38"/>
  <c r="I96" i="38"/>
  <c r="I79" i="38"/>
  <c r="I94" i="38"/>
  <c r="I78" i="38"/>
  <c r="I62" i="38"/>
  <c r="I46" i="38"/>
  <c r="I30" i="38"/>
  <c r="I29" i="38"/>
  <c r="I92" i="38"/>
  <c r="I107" i="38"/>
  <c r="I75" i="38"/>
  <c r="I59" i="38"/>
  <c r="I27" i="38"/>
  <c r="I106" i="38"/>
  <c r="I74" i="38"/>
  <c r="I26" i="38"/>
  <c r="I89" i="38"/>
  <c r="I25" i="38"/>
  <c r="I104" i="38"/>
  <c r="I56" i="38"/>
  <c r="I103" i="38"/>
  <c r="I55" i="38"/>
  <c r="I23" i="38"/>
  <c r="I86" i="38"/>
  <c r="I54" i="38"/>
  <c r="I22" i="38"/>
  <c r="I85" i="38"/>
  <c r="I69" i="38"/>
  <c r="I53" i="38"/>
  <c r="I37" i="38"/>
  <c r="I21" i="38"/>
  <c r="I73" i="38"/>
  <c r="I41" i="38"/>
  <c r="I40" i="38"/>
  <c r="I87" i="38"/>
  <c r="I68" i="38"/>
  <c r="I20" i="38"/>
  <c r="I45" i="38"/>
  <c r="I108" i="38"/>
  <c r="I91" i="38"/>
  <c r="I43" i="38"/>
  <c r="I90" i="38"/>
  <c r="I58" i="38"/>
  <c r="I42" i="38"/>
  <c r="I105" i="38"/>
  <c r="I57" i="38"/>
  <c r="I88" i="38"/>
  <c r="I72" i="38"/>
  <c r="I24" i="38"/>
  <c r="I71" i="38"/>
  <c r="I39" i="38"/>
  <c r="I102" i="38"/>
  <c r="I70" i="38"/>
  <c r="I38" i="38"/>
  <c r="I101" i="38"/>
  <c r="I100" i="38"/>
  <c r="I84" i="38"/>
  <c r="I52" i="38"/>
  <c r="I36" i="38"/>
  <c r="I99" i="38"/>
  <c r="I83" i="38"/>
  <c r="I67" i="38"/>
  <c r="I51" i="38"/>
  <c r="I35" i="38"/>
  <c r="I19" i="38"/>
  <c r="O19" i="38" s="1"/>
  <c r="AD3" i="38" l="1"/>
  <c r="AD4" i="38"/>
  <c r="AD5" i="38"/>
  <c r="AD6" i="38"/>
  <c r="AD7" i="38"/>
  <c r="AD8" i="38"/>
  <c r="AD9" i="38"/>
  <c r="AD10" i="38"/>
  <c r="AD11" i="38"/>
  <c r="AD12" i="38"/>
  <c r="AD13" i="38"/>
  <c r="AD14" i="38"/>
  <c r="AD2" i="38"/>
  <c r="L18" i="7"/>
  <c r="AE3" i="38" l="1" a="1"/>
  <c r="AE3" i="38" s="1"/>
  <c r="AE4" i="38" s="1" a="1"/>
  <c r="AE4" i="38" s="1"/>
  <c r="R2" i="37"/>
  <c r="G2" i="37"/>
  <c r="U11" i="36"/>
  <c r="AO119" i="37"/>
  <c r="AU119" i="37" s="1"/>
  <c r="AP119" i="37"/>
  <c r="AV119" i="37" s="1"/>
  <c r="AQ119" i="37"/>
  <c r="U119" i="37" s="1"/>
  <c r="AR119" i="37"/>
  <c r="BA119" i="37"/>
  <c r="BB119" i="37"/>
  <c r="BC119" i="37"/>
  <c r="BD119" i="37"/>
  <c r="AO120" i="37"/>
  <c r="AP120" i="37"/>
  <c r="AV120" i="37" s="1"/>
  <c r="AQ120" i="37"/>
  <c r="U120" i="37" s="1"/>
  <c r="AR120" i="37"/>
  <c r="Z120" i="37" s="1"/>
  <c r="BA120" i="37"/>
  <c r="BB120" i="37"/>
  <c r="BC120" i="37"/>
  <c r="BD120" i="37"/>
  <c r="AO121" i="37"/>
  <c r="AU121" i="37" s="1"/>
  <c r="AP121" i="37"/>
  <c r="P121" i="37" s="1"/>
  <c r="AQ121" i="37"/>
  <c r="AW121" i="37" s="1"/>
  <c r="AR121" i="37"/>
  <c r="BA121" i="37"/>
  <c r="BB121" i="37"/>
  <c r="BC121" i="37"/>
  <c r="BD121" i="37"/>
  <c r="AO122" i="37"/>
  <c r="AP122" i="37"/>
  <c r="AQ122" i="37"/>
  <c r="AR122" i="37"/>
  <c r="Z122" i="37" s="1"/>
  <c r="BA122" i="37"/>
  <c r="BB122" i="37"/>
  <c r="BC122" i="37"/>
  <c r="BD122" i="37"/>
  <c r="AO123" i="37"/>
  <c r="AP123" i="37"/>
  <c r="P123" i="37" s="1"/>
  <c r="AQ123" i="37"/>
  <c r="U123" i="37" s="1"/>
  <c r="AR123" i="37"/>
  <c r="BA123" i="37"/>
  <c r="BB123" i="37"/>
  <c r="BC123" i="37"/>
  <c r="BD123" i="37"/>
  <c r="AO124" i="37"/>
  <c r="AU124" i="37" s="1"/>
  <c r="AP124" i="37"/>
  <c r="AV124" i="37" s="1"/>
  <c r="AQ124" i="37"/>
  <c r="AW124" i="37" s="1"/>
  <c r="AR124" i="37"/>
  <c r="AX124" i="37" s="1"/>
  <c r="BA124" i="37"/>
  <c r="BB124" i="37"/>
  <c r="BC124" i="37"/>
  <c r="BD124" i="37"/>
  <c r="AO125" i="37"/>
  <c r="AU125" i="37" s="1"/>
  <c r="AP125" i="37"/>
  <c r="AQ125" i="37"/>
  <c r="AW125" i="37" s="1"/>
  <c r="AR125" i="37"/>
  <c r="Z125" i="37" s="1"/>
  <c r="BA125" i="37"/>
  <c r="BB125" i="37"/>
  <c r="BC125" i="37"/>
  <c r="BD125" i="37"/>
  <c r="AO126" i="37"/>
  <c r="AP126" i="37"/>
  <c r="AQ126" i="37"/>
  <c r="AW126" i="37" s="1"/>
  <c r="AR126" i="37"/>
  <c r="AX126" i="37" s="1"/>
  <c r="BA126" i="37"/>
  <c r="BB126" i="37"/>
  <c r="BC126" i="37"/>
  <c r="BD126" i="37"/>
  <c r="AO127" i="37"/>
  <c r="AP127" i="37"/>
  <c r="AQ127" i="37"/>
  <c r="U127" i="37" s="1"/>
  <c r="AR127" i="37"/>
  <c r="AX127" i="37" s="1"/>
  <c r="BA127" i="37"/>
  <c r="BB127" i="37"/>
  <c r="BC127" i="37"/>
  <c r="BD127" i="37"/>
  <c r="AO128" i="37"/>
  <c r="AP128" i="37"/>
  <c r="AV128" i="37" s="1"/>
  <c r="AQ128" i="37"/>
  <c r="AR128" i="37"/>
  <c r="BA128" i="37"/>
  <c r="BB128" i="37"/>
  <c r="BC128" i="37"/>
  <c r="BD128" i="37"/>
  <c r="AO129" i="37"/>
  <c r="K129" i="37" s="1"/>
  <c r="AP129" i="37"/>
  <c r="AQ129" i="37"/>
  <c r="AR129" i="37"/>
  <c r="BA129" i="37"/>
  <c r="BB129" i="37"/>
  <c r="BC129" i="37"/>
  <c r="BD129" i="37"/>
  <c r="AO130" i="37"/>
  <c r="AU130" i="37" s="1"/>
  <c r="AP130" i="37"/>
  <c r="AQ130" i="37"/>
  <c r="U130" i="37" s="1"/>
  <c r="AR130" i="37"/>
  <c r="Z130" i="37" s="1"/>
  <c r="BA130" i="37"/>
  <c r="BB130" i="37"/>
  <c r="BC130" i="37"/>
  <c r="BD130" i="37"/>
  <c r="AO131" i="37"/>
  <c r="AU131" i="37" s="1"/>
  <c r="AP131" i="37"/>
  <c r="AQ131" i="37"/>
  <c r="AR131" i="37"/>
  <c r="BA131" i="37"/>
  <c r="BB131" i="37"/>
  <c r="BC131" i="37"/>
  <c r="BD131" i="37"/>
  <c r="AO132" i="37"/>
  <c r="K132" i="37" s="1"/>
  <c r="AP132" i="37"/>
  <c r="AQ132" i="37"/>
  <c r="AR132" i="37"/>
  <c r="BA132" i="37"/>
  <c r="BB132" i="37"/>
  <c r="BC132" i="37"/>
  <c r="BD132" i="37"/>
  <c r="AO133" i="37"/>
  <c r="AP133" i="37"/>
  <c r="AV133" i="37" s="1"/>
  <c r="AQ133" i="37"/>
  <c r="AW133" i="37" s="1"/>
  <c r="AR133" i="37"/>
  <c r="BA133" i="37"/>
  <c r="BB133" i="37"/>
  <c r="BC133" i="37"/>
  <c r="BD133" i="37"/>
  <c r="AO134" i="37"/>
  <c r="AP134" i="37"/>
  <c r="AV134" i="37" s="1"/>
  <c r="AQ134" i="37"/>
  <c r="AR134" i="37"/>
  <c r="Z134" i="37" s="1"/>
  <c r="BA134" i="37"/>
  <c r="BB134" i="37"/>
  <c r="BC134" i="37"/>
  <c r="BD134" i="37"/>
  <c r="AO135" i="37"/>
  <c r="AP135" i="37"/>
  <c r="AQ135" i="37"/>
  <c r="AR135" i="37"/>
  <c r="BA135" i="37"/>
  <c r="BB135" i="37"/>
  <c r="BC135" i="37"/>
  <c r="BD135" i="37"/>
  <c r="AO136" i="37"/>
  <c r="AP136" i="37"/>
  <c r="AQ136" i="37"/>
  <c r="U136" i="37" s="1"/>
  <c r="AR136" i="37"/>
  <c r="Z136" i="37" s="1"/>
  <c r="BA136" i="37"/>
  <c r="BB136" i="37"/>
  <c r="BC136" i="37"/>
  <c r="BD136" i="37"/>
  <c r="AO137" i="37"/>
  <c r="AP137" i="37"/>
  <c r="AQ137" i="37"/>
  <c r="U137" i="37" s="1"/>
  <c r="AR137" i="37"/>
  <c r="AX137" i="37" s="1"/>
  <c r="BA137" i="37"/>
  <c r="BB137" i="37"/>
  <c r="BC137" i="37"/>
  <c r="BD137" i="37"/>
  <c r="AO138" i="37"/>
  <c r="AP138" i="37"/>
  <c r="AQ138" i="37"/>
  <c r="AW138" i="37" s="1"/>
  <c r="AR138" i="37"/>
  <c r="Z138" i="37" s="1"/>
  <c r="BA138" i="37"/>
  <c r="BB138" i="37"/>
  <c r="BC138" i="37"/>
  <c r="BD138" i="37"/>
  <c r="AO139" i="37"/>
  <c r="K139" i="37" s="1"/>
  <c r="AP139" i="37"/>
  <c r="AQ139" i="37"/>
  <c r="U139" i="37" s="1"/>
  <c r="AR139" i="37"/>
  <c r="BA139" i="37"/>
  <c r="BB139" i="37"/>
  <c r="BC139" i="37"/>
  <c r="BD139" i="37"/>
  <c r="AO140" i="37"/>
  <c r="AU140" i="37" s="1"/>
  <c r="AP140" i="37"/>
  <c r="AV140" i="37" s="1"/>
  <c r="AQ140" i="37"/>
  <c r="AW140" i="37" s="1"/>
  <c r="AR140" i="37"/>
  <c r="Z140" i="37" s="1"/>
  <c r="BA140" i="37"/>
  <c r="BB140" i="37"/>
  <c r="BC140" i="37"/>
  <c r="BD140" i="37"/>
  <c r="AO141" i="37"/>
  <c r="AU141" i="37" s="1"/>
  <c r="AP141" i="37"/>
  <c r="AQ141" i="37"/>
  <c r="AW141" i="37" s="1"/>
  <c r="AR141" i="37"/>
  <c r="BA141" i="37"/>
  <c r="BB141" i="37"/>
  <c r="BC141" i="37"/>
  <c r="BD141" i="37"/>
  <c r="AO142" i="37"/>
  <c r="AP142" i="37"/>
  <c r="AQ142" i="37"/>
  <c r="AW142" i="37" s="1"/>
  <c r="AR142" i="37"/>
  <c r="BA142" i="37"/>
  <c r="BB142" i="37"/>
  <c r="BC142" i="37"/>
  <c r="BD142" i="37"/>
  <c r="AO143" i="37"/>
  <c r="AP143" i="37"/>
  <c r="P143" i="37" s="1"/>
  <c r="AQ143" i="37"/>
  <c r="AR143" i="37"/>
  <c r="BA143" i="37"/>
  <c r="BB143" i="37"/>
  <c r="BC143" i="37"/>
  <c r="BD143" i="37"/>
  <c r="AO144" i="37"/>
  <c r="AP144" i="37"/>
  <c r="AQ144" i="37"/>
  <c r="U144" i="37" s="1"/>
  <c r="AR144" i="37"/>
  <c r="BA144" i="37"/>
  <c r="BB144" i="37"/>
  <c r="BC144" i="37"/>
  <c r="BD144" i="37"/>
  <c r="AO145" i="37"/>
  <c r="AP145" i="37"/>
  <c r="AQ145" i="37"/>
  <c r="AR145" i="37"/>
  <c r="AX145" i="37" s="1"/>
  <c r="BA145" i="37"/>
  <c r="BB145" i="37"/>
  <c r="BC145" i="37"/>
  <c r="BD145" i="37"/>
  <c r="AO146" i="37"/>
  <c r="AP146" i="37"/>
  <c r="P146" i="37" s="1"/>
  <c r="AQ146" i="37"/>
  <c r="U146" i="37" s="1"/>
  <c r="AR146" i="37"/>
  <c r="BA146" i="37"/>
  <c r="BB146" i="37"/>
  <c r="BC146" i="37"/>
  <c r="BD146" i="37"/>
  <c r="AO147" i="37"/>
  <c r="AP147" i="37"/>
  <c r="AQ147" i="37"/>
  <c r="U147" i="37" s="1"/>
  <c r="AR147" i="37"/>
  <c r="AX147" i="37" s="1"/>
  <c r="BA147" i="37"/>
  <c r="BB147" i="37"/>
  <c r="BC147" i="37"/>
  <c r="BD147" i="37"/>
  <c r="AO148" i="37"/>
  <c r="AU148" i="37" s="1"/>
  <c r="AP148" i="37"/>
  <c r="AV148" i="37" s="1"/>
  <c r="AQ148" i="37"/>
  <c r="AR148" i="37"/>
  <c r="AX148" i="37" s="1"/>
  <c r="BA148" i="37"/>
  <c r="BB148" i="37"/>
  <c r="BC148" i="37"/>
  <c r="BD148" i="37"/>
  <c r="AO149" i="37"/>
  <c r="AP149" i="37"/>
  <c r="AV149" i="37" s="1"/>
  <c r="AQ149" i="37"/>
  <c r="U149" i="37" s="1"/>
  <c r="AR149" i="37"/>
  <c r="BA149" i="37"/>
  <c r="BB149" i="37"/>
  <c r="BC149" i="37"/>
  <c r="BD149" i="37"/>
  <c r="AO150" i="37"/>
  <c r="AP150" i="37"/>
  <c r="AQ150" i="37"/>
  <c r="AW150" i="37" s="1"/>
  <c r="AR150" i="37"/>
  <c r="AX150" i="37" s="1"/>
  <c r="BA150" i="37"/>
  <c r="BB150" i="37"/>
  <c r="BC150" i="37"/>
  <c r="BD150" i="37"/>
  <c r="AO151" i="37"/>
  <c r="AP151" i="37"/>
  <c r="AV151" i="37" s="1"/>
  <c r="AQ151" i="37"/>
  <c r="AR151" i="37"/>
  <c r="AX151" i="37" s="1"/>
  <c r="BA151" i="37"/>
  <c r="BB151" i="37"/>
  <c r="BC151" i="37"/>
  <c r="BD151" i="37"/>
  <c r="AO152" i="37"/>
  <c r="AP152" i="37"/>
  <c r="AQ152" i="37"/>
  <c r="AR152" i="37"/>
  <c r="BA152" i="37"/>
  <c r="BB152" i="37"/>
  <c r="BC152" i="37"/>
  <c r="BD152" i="37"/>
  <c r="AO153" i="37"/>
  <c r="AU153" i="37" s="1"/>
  <c r="AP153" i="37"/>
  <c r="P153" i="37" s="1"/>
  <c r="AQ153" i="37"/>
  <c r="AW153" i="37" s="1"/>
  <c r="AR153" i="37"/>
  <c r="BA153" i="37"/>
  <c r="BB153" i="37"/>
  <c r="BC153" i="37"/>
  <c r="BD153" i="37"/>
  <c r="AO154" i="37"/>
  <c r="AP154" i="37"/>
  <c r="AQ154" i="37"/>
  <c r="AW154" i="37" s="1"/>
  <c r="AR154" i="37"/>
  <c r="Z154" i="37" s="1"/>
  <c r="BA154" i="37"/>
  <c r="BB154" i="37"/>
  <c r="BC154" i="37"/>
  <c r="BD154" i="37"/>
  <c r="AO155" i="37"/>
  <c r="AP155" i="37"/>
  <c r="AQ155" i="37"/>
  <c r="U155" i="37" s="1"/>
  <c r="AR155" i="37"/>
  <c r="BA155" i="37"/>
  <c r="BB155" i="37"/>
  <c r="BC155" i="37"/>
  <c r="BD155" i="37"/>
  <c r="AO156" i="37"/>
  <c r="AU156" i="37" s="1"/>
  <c r="AP156" i="37"/>
  <c r="AV156" i="37" s="1"/>
  <c r="AQ156" i="37"/>
  <c r="AR156" i="37"/>
  <c r="AX156" i="37" s="1"/>
  <c r="BA156" i="37"/>
  <c r="BB156" i="37"/>
  <c r="BC156" i="37"/>
  <c r="BD156" i="37"/>
  <c r="AO157" i="37"/>
  <c r="AU157" i="37" s="1"/>
  <c r="AP157" i="37"/>
  <c r="AV157" i="37" s="1"/>
  <c r="AQ157" i="37"/>
  <c r="U157" i="37" s="1"/>
  <c r="AR157" i="37"/>
  <c r="AX157" i="37" s="1"/>
  <c r="BA157" i="37"/>
  <c r="BB157" i="37"/>
  <c r="BC157" i="37"/>
  <c r="BD157" i="37"/>
  <c r="AO158" i="37"/>
  <c r="AP158" i="37"/>
  <c r="AQ158" i="37"/>
  <c r="AW158" i="37" s="1"/>
  <c r="AR158" i="37"/>
  <c r="AX158" i="37" s="1"/>
  <c r="BA158" i="37"/>
  <c r="BB158" i="37"/>
  <c r="BC158" i="37"/>
  <c r="BD158" i="37"/>
  <c r="AO159" i="37"/>
  <c r="AP159" i="37"/>
  <c r="AQ159" i="37"/>
  <c r="AR159" i="37"/>
  <c r="AX159" i="37" s="1"/>
  <c r="BA159" i="37"/>
  <c r="BB159" i="37"/>
  <c r="BC159" i="37"/>
  <c r="BD159" i="37"/>
  <c r="AO160" i="37"/>
  <c r="AP160" i="37"/>
  <c r="AQ160" i="37"/>
  <c r="AR160" i="37"/>
  <c r="Z160" i="37" s="1"/>
  <c r="BA160" i="37"/>
  <c r="BB160" i="37"/>
  <c r="BC160" i="37"/>
  <c r="BD160" i="37"/>
  <c r="AO161" i="37"/>
  <c r="K161" i="37" s="1"/>
  <c r="AP161" i="37"/>
  <c r="AQ161" i="37"/>
  <c r="AR161" i="37"/>
  <c r="BA161" i="37"/>
  <c r="BB161" i="37"/>
  <c r="BC161" i="37"/>
  <c r="BD161" i="37"/>
  <c r="AO162" i="37"/>
  <c r="AU162" i="37" s="1"/>
  <c r="AP162" i="37"/>
  <c r="AQ162" i="37"/>
  <c r="AR162" i="37"/>
  <c r="AX162" i="37" s="1"/>
  <c r="BA162" i="37"/>
  <c r="BB162" i="37"/>
  <c r="BC162" i="37"/>
  <c r="BD162" i="37"/>
  <c r="AO163" i="37"/>
  <c r="AU163" i="37" s="1"/>
  <c r="AP163" i="37"/>
  <c r="AV163" i="37" s="1"/>
  <c r="AQ163" i="37"/>
  <c r="U163" i="37" s="1"/>
  <c r="AR163" i="37"/>
  <c r="BA163" i="37"/>
  <c r="BB163" i="37"/>
  <c r="BC163" i="37"/>
  <c r="BD163" i="37"/>
  <c r="AO164" i="37"/>
  <c r="AP164" i="37"/>
  <c r="AV164" i="37" s="1"/>
  <c r="AQ164" i="37"/>
  <c r="AR164" i="37"/>
  <c r="BA164" i="37"/>
  <c r="BB164" i="37"/>
  <c r="BC164" i="37"/>
  <c r="BD164" i="37"/>
  <c r="AO165" i="37"/>
  <c r="AP165" i="37"/>
  <c r="AQ165" i="37"/>
  <c r="AR165" i="37"/>
  <c r="AX165" i="37" s="1"/>
  <c r="BA165" i="37"/>
  <c r="BB165" i="37"/>
  <c r="BC165" i="37"/>
  <c r="BD165" i="37"/>
  <c r="AO166" i="37"/>
  <c r="AP166" i="37"/>
  <c r="AV166" i="37" s="1"/>
  <c r="AQ166" i="37"/>
  <c r="AW166" i="37" s="1"/>
  <c r="AR166" i="37"/>
  <c r="AX166" i="37" s="1"/>
  <c r="BA166" i="37"/>
  <c r="BB166" i="37"/>
  <c r="BC166" i="37"/>
  <c r="BD166" i="37"/>
  <c r="AO167" i="37"/>
  <c r="AP167" i="37"/>
  <c r="AV167" i="37" s="1"/>
  <c r="AQ167" i="37"/>
  <c r="U167" i="37" s="1"/>
  <c r="AR167" i="37"/>
  <c r="BA167" i="37"/>
  <c r="BB167" i="37"/>
  <c r="BC167" i="37"/>
  <c r="BD167" i="37"/>
  <c r="AO168" i="37"/>
  <c r="AP168" i="37"/>
  <c r="AQ168" i="37"/>
  <c r="AR168" i="37"/>
  <c r="Z168" i="37" s="1"/>
  <c r="BA168" i="37"/>
  <c r="BB168" i="37"/>
  <c r="BC168" i="37"/>
  <c r="BD168" i="37"/>
  <c r="AO169" i="37"/>
  <c r="AU169" i="37" s="1"/>
  <c r="AP169" i="37"/>
  <c r="AQ169" i="37"/>
  <c r="AW169" i="37" s="1"/>
  <c r="AR169" i="37"/>
  <c r="AX169" i="37" s="1"/>
  <c r="BA169" i="37"/>
  <c r="BB169" i="37"/>
  <c r="BC169" i="37"/>
  <c r="BD169" i="37"/>
  <c r="AO170" i="37"/>
  <c r="AU170" i="37" s="1"/>
  <c r="AP170" i="37"/>
  <c r="AV170" i="37" s="1"/>
  <c r="AQ170" i="37"/>
  <c r="AR170" i="37"/>
  <c r="AX170" i="37" s="1"/>
  <c r="BA170" i="37"/>
  <c r="BB170" i="37"/>
  <c r="BC170" i="37"/>
  <c r="BD170" i="37"/>
  <c r="AO171" i="37"/>
  <c r="AP171" i="37"/>
  <c r="P171" i="37" s="1"/>
  <c r="AQ171" i="37"/>
  <c r="AR171" i="37"/>
  <c r="Z171" i="37" s="1"/>
  <c r="BA171" i="37"/>
  <c r="BB171" i="37"/>
  <c r="BC171" i="37"/>
  <c r="BD171" i="37"/>
  <c r="AO172" i="37"/>
  <c r="AU172" i="37" s="1"/>
  <c r="AP172" i="37"/>
  <c r="AQ172" i="37"/>
  <c r="U172" i="37" s="1"/>
  <c r="AR172" i="37"/>
  <c r="Z172" i="37" s="1"/>
  <c r="BA172" i="37"/>
  <c r="BB172" i="37"/>
  <c r="BC172" i="37"/>
  <c r="BD172" i="37"/>
  <c r="AO173" i="37"/>
  <c r="K173" i="37" s="1"/>
  <c r="AP173" i="37"/>
  <c r="AQ173" i="37"/>
  <c r="U173" i="37" s="1"/>
  <c r="AR173" i="37"/>
  <c r="Z173" i="37" s="1"/>
  <c r="BA173" i="37"/>
  <c r="BB173" i="37"/>
  <c r="BC173" i="37"/>
  <c r="BD173" i="37"/>
  <c r="AO174" i="37"/>
  <c r="AU174" i="37" s="1"/>
  <c r="AP174" i="37"/>
  <c r="AV174" i="37" s="1"/>
  <c r="AQ174" i="37"/>
  <c r="AW174" i="37" s="1"/>
  <c r="AR174" i="37"/>
  <c r="AX174" i="37" s="1"/>
  <c r="BA174" i="37"/>
  <c r="BB174" i="37"/>
  <c r="BC174" i="37"/>
  <c r="BD174" i="37"/>
  <c r="AO175" i="37"/>
  <c r="K175" i="37" s="1"/>
  <c r="AP175" i="37"/>
  <c r="AQ175" i="37"/>
  <c r="AR175" i="37"/>
  <c r="BA175" i="37"/>
  <c r="BB175" i="37"/>
  <c r="BC175" i="37"/>
  <c r="BD175" i="37"/>
  <c r="AO176" i="37"/>
  <c r="AP176" i="37"/>
  <c r="AQ176" i="37"/>
  <c r="U176" i="37" s="1"/>
  <c r="AR176" i="37"/>
  <c r="Z176" i="37" s="1"/>
  <c r="BA176" i="37"/>
  <c r="BB176" i="37"/>
  <c r="BC176" i="37"/>
  <c r="BD176" i="37"/>
  <c r="AO177" i="37"/>
  <c r="AU177" i="37" s="1"/>
  <c r="AP177" i="37"/>
  <c r="AV177" i="37" s="1"/>
  <c r="AQ177" i="37"/>
  <c r="U177" i="37" s="1"/>
  <c r="AR177" i="37"/>
  <c r="AX177" i="37" s="1"/>
  <c r="BA177" i="37"/>
  <c r="BB177" i="37"/>
  <c r="BC177" i="37"/>
  <c r="BD177" i="37"/>
  <c r="AO178" i="37"/>
  <c r="AP178" i="37"/>
  <c r="AV178" i="37" s="1"/>
  <c r="AQ178" i="37"/>
  <c r="AR178" i="37"/>
  <c r="Z178" i="37" s="1"/>
  <c r="BA178" i="37"/>
  <c r="BB178" i="37"/>
  <c r="BC178" i="37"/>
  <c r="BD178" i="37"/>
  <c r="AO179" i="37"/>
  <c r="AP179" i="37"/>
  <c r="AV179" i="37" s="1"/>
  <c r="AQ179" i="37"/>
  <c r="AR179" i="37"/>
  <c r="AX179" i="37" s="1"/>
  <c r="BA179" i="37"/>
  <c r="BB179" i="37"/>
  <c r="BC179" i="37"/>
  <c r="BD179" i="37"/>
  <c r="AO180" i="37"/>
  <c r="AU180" i="37" s="1"/>
  <c r="AP180" i="37"/>
  <c r="AQ180" i="37"/>
  <c r="AR180" i="37"/>
  <c r="Z180" i="37" s="1"/>
  <c r="BA180" i="37"/>
  <c r="BB180" i="37"/>
  <c r="BC180" i="37"/>
  <c r="BD180" i="37"/>
  <c r="AO181" i="37"/>
  <c r="K181" i="37" s="1"/>
  <c r="AP181" i="37"/>
  <c r="AQ181" i="37"/>
  <c r="AW181" i="37" s="1"/>
  <c r="AR181" i="37"/>
  <c r="BA181" i="37"/>
  <c r="BB181" i="37"/>
  <c r="BC181" i="37"/>
  <c r="BD181" i="37"/>
  <c r="AO182" i="37"/>
  <c r="AU182" i="37" s="1"/>
  <c r="AP182" i="37"/>
  <c r="AQ182" i="37"/>
  <c r="AR182" i="37"/>
  <c r="Z182" i="37" s="1"/>
  <c r="BA182" i="37"/>
  <c r="BB182" i="37"/>
  <c r="BC182" i="37"/>
  <c r="BD182" i="37"/>
  <c r="AO183" i="37"/>
  <c r="AP183" i="37"/>
  <c r="AQ183" i="37"/>
  <c r="AW183" i="37" s="1"/>
  <c r="AR183" i="37"/>
  <c r="AX183" i="37" s="1"/>
  <c r="BA183" i="37"/>
  <c r="BB183" i="37"/>
  <c r="BC183" i="37"/>
  <c r="BD183" i="37"/>
  <c r="AO184" i="37"/>
  <c r="AU184" i="37" s="1"/>
  <c r="AP184" i="37"/>
  <c r="P184" i="37" s="1"/>
  <c r="AQ184" i="37"/>
  <c r="U184" i="37" s="1"/>
  <c r="AR184" i="37"/>
  <c r="Z184" i="37" s="1"/>
  <c r="BA184" i="37"/>
  <c r="BB184" i="37"/>
  <c r="BC184" i="37"/>
  <c r="BD184" i="37"/>
  <c r="AO185" i="37"/>
  <c r="K185" i="37" s="1"/>
  <c r="AP185" i="37"/>
  <c r="AQ185" i="37"/>
  <c r="AW185" i="37" s="1"/>
  <c r="AR185" i="37"/>
  <c r="AX185" i="37" s="1"/>
  <c r="BA185" i="37"/>
  <c r="BB185" i="37"/>
  <c r="BC185" i="37"/>
  <c r="BD185" i="37"/>
  <c r="AO186" i="37"/>
  <c r="AP186" i="37"/>
  <c r="AQ186" i="37"/>
  <c r="U186" i="37" s="1"/>
  <c r="AR186" i="37"/>
  <c r="Z186" i="37" s="1"/>
  <c r="BA186" i="37"/>
  <c r="BB186" i="37"/>
  <c r="BC186" i="37"/>
  <c r="BD186" i="37"/>
  <c r="AO187" i="37"/>
  <c r="AU187" i="37" s="1"/>
  <c r="AP187" i="37"/>
  <c r="AQ187" i="37"/>
  <c r="U187" i="37" s="1"/>
  <c r="AR187" i="37"/>
  <c r="Z187" i="37" s="1"/>
  <c r="BA187" i="37"/>
  <c r="BB187" i="37"/>
  <c r="BC187" i="37"/>
  <c r="BD187" i="37"/>
  <c r="AO188" i="37"/>
  <c r="K188" i="37" s="1"/>
  <c r="AP188" i="37"/>
  <c r="P188" i="37" s="1"/>
  <c r="AQ188" i="37"/>
  <c r="U188" i="37" s="1"/>
  <c r="AR188" i="37"/>
  <c r="BA188" i="37"/>
  <c r="BB188" i="37"/>
  <c r="BC188" i="37"/>
  <c r="BD188" i="37"/>
  <c r="AO189" i="37"/>
  <c r="AU189" i="37" s="1"/>
  <c r="AP189" i="37"/>
  <c r="AV189" i="37" s="1"/>
  <c r="AQ189" i="37"/>
  <c r="AW189" i="37" s="1"/>
  <c r="AR189" i="37"/>
  <c r="Z189" i="37" s="1"/>
  <c r="BA189" i="37"/>
  <c r="BB189" i="37"/>
  <c r="BC189" i="37"/>
  <c r="BD189" i="37"/>
  <c r="AO190" i="37"/>
  <c r="AP190" i="37"/>
  <c r="AQ190" i="37"/>
  <c r="AR190" i="37"/>
  <c r="BA190" i="37"/>
  <c r="BB190" i="37"/>
  <c r="BC190" i="37"/>
  <c r="BD190" i="37"/>
  <c r="AO191" i="37"/>
  <c r="K191" i="37" s="1"/>
  <c r="AP191" i="37"/>
  <c r="AQ191" i="37"/>
  <c r="AR191" i="37"/>
  <c r="BA191" i="37"/>
  <c r="BB191" i="37"/>
  <c r="BC191" i="37"/>
  <c r="BD191" i="37"/>
  <c r="AO192" i="37"/>
  <c r="K192" i="37" s="1"/>
  <c r="AP192" i="37"/>
  <c r="AQ192" i="37"/>
  <c r="AR192" i="37"/>
  <c r="Z192" i="37" s="1"/>
  <c r="BA192" i="37"/>
  <c r="BB192" i="37"/>
  <c r="BC192" i="37"/>
  <c r="BD192" i="37"/>
  <c r="AO193" i="37"/>
  <c r="AU193" i="37" s="1"/>
  <c r="AP193" i="37"/>
  <c r="AQ193" i="37"/>
  <c r="AW193" i="37" s="1"/>
  <c r="AR193" i="37"/>
  <c r="AX193" i="37" s="1"/>
  <c r="BA193" i="37"/>
  <c r="BB193" i="37"/>
  <c r="BC193" i="37"/>
  <c r="BD193" i="37"/>
  <c r="AO194" i="37"/>
  <c r="AP194" i="37"/>
  <c r="AQ194" i="37"/>
  <c r="U194" i="37" s="1"/>
  <c r="AR194" i="37"/>
  <c r="AX194" i="37" s="1"/>
  <c r="BA194" i="37"/>
  <c r="BB194" i="37"/>
  <c r="BC194" i="37"/>
  <c r="BD194" i="37"/>
  <c r="AO195" i="37"/>
  <c r="AP195" i="37"/>
  <c r="AQ195" i="37"/>
  <c r="AR195" i="37"/>
  <c r="AX195" i="37" s="1"/>
  <c r="BA195" i="37"/>
  <c r="BB195" i="37"/>
  <c r="BC195" i="37"/>
  <c r="BD195" i="37"/>
  <c r="AO196" i="37"/>
  <c r="K196" i="37" s="1"/>
  <c r="AP196" i="37"/>
  <c r="P196" i="37" s="1"/>
  <c r="AQ196" i="37"/>
  <c r="AR196" i="37"/>
  <c r="BA196" i="37"/>
  <c r="BB196" i="37"/>
  <c r="BC196" i="37"/>
  <c r="BD196" i="37"/>
  <c r="AO197" i="37"/>
  <c r="K197" i="37" s="1"/>
  <c r="AP197" i="37"/>
  <c r="AQ197" i="37"/>
  <c r="U197" i="37" s="1"/>
  <c r="AR197" i="37"/>
  <c r="BA197" i="37"/>
  <c r="BB197" i="37"/>
  <c r="BC197" i="37"/>
  <c r="BD197" i="37"/>
  <c r="AO198" i="37"/>
  <c r="AU198" i="37" s="1"/>
  <c r="AP198" i="37"/>
  <c r="AV198" i="37" s="1"/>
  <c r="AQ198" i="37"/>
  <c r="AW198" i="37" s="1"/>
  <c r="AR198" i="37"/>
  <c r="BA198" i="37"/>
  <c r="BB198" i="37"/>
  <c r="BC198" i="37"/>
  <c r="BD198" i="37"/>
  <c r="AO199" i="37"/>
  <c r="AU199" i="37" s="1"/>
  <c r="AP199" i="37"/>
  <c r="P199" i="37" s="1"/>
  <c r="AQ199" i="37"/>
  <c r="U199" i="37" s="1"/>
  <c r="AR199" i="37"/>
  <c r="BA199" i="37"/>
  <c r="BB199" i="37"/>
  <c r="BC199" i="37"/>
  <c r="BD199" i="37"/>
  <c r="AO200" i="37"/>
  <c r="AP200" i="37"/>
  <c r="AV200" i="37" s="1"/>
  <c r="AQ200" i="37"/>
  <c r="AR200" i="37"/>
  <c r="BA200" i="37"/>
  <c r="BB200" i="37"/>
  <c r="BC200" i="37"/>
  <c r="BD200" i="37"/>
  <c r="AO201" i="37"/>
  <c r="AP201" i="37"/>
  <c r="P201" i="37" s="1"/>
  <c r="AQ201" i="37"/>
  <c r="U201" i="37" s="1"/>
  <c r="AR201" i="37"/>
  <c r="BA201" i="37"/>
  <c r="BB201" i="37"/>
  <c r="BC201" i="37"/>
  <c r="BD201" i="37"/>
  <c r="AO202" i="37"/>
  <c r="AP202" i="37"/>
  <c r="AQ202" i="37"/>
  <c r="U202" i="37" s="1"/>
  <c r="AR202" i="37"/>
  <c r="BA202" i="37"/>
  <c r="BB202" i="37"/>
  <c r="BC202" i="37"/>
  <c r="BD202" i="37"/>
  <c r="AO203" i="37"/>
  <c r="AP203" i="37"/>
  <c r="AV203" i="37" s="1"/>
  <c r="AQ203" i="37"/>
  <c r="AW203" i="37" s="1"/>
  <c r="AR203" i="37"/>
  <c r="BA203" i="37"/>
  <c r="BB203" i="37"/>
  <c r="BC203" i="37"/>
  <c r="BD203" i="37"/>
  <c r="AO204" i="37"/>
  <c r="AU204" i="37" s="1"/>
  <c r="AP204" i="37"/>
  <c r="AQ204" i="37"/>
  <c r="AR204" i="37"/>
  <c r="BA204" i="37"/>
  <c r="BB204" i="37"/>
  <c r="BC204" i="37"/>
  <c r="BD204" i="37"/>
  <c r="AO205" i="37"/>
  <c r="AP205" i="37"/>
  <c r="AQ205" i="37"/>
  <c r="U205" i="37" s="1"/>
  <c r="AR205" i="37"/>
  <c r="Z205" i="37" s="1"/>
  <c r="BA205" i="37"/>
  <c r="BB205" i="37"/>
  <c r="BC205" i="37"/>
  <c r="BD205" i="37"/>
  <c r="AO206" i="37"/>
  <c r="K206" i="37" s="1"/>
  <c r="AP206" i="37"/>
  <c r="AQ206" i="37"/>
  <c r="AW206" i="37" s="1"/>
  <c r="AR206" i="37"/>
  <c r="AX206" i="37" s="1"/>
  <c r="BA206" i="37"/>
  <c r="BB206" i="37"/>
  <c r="BC206" i="37"/>
  <c r="BD206" i="37"/>
  <c r="AO207" i="37"/>
  <c r="AU207" i="37" s="1"/>
  <c r="AP207" i="37"/>
  <c r="AV207" i="37" s="1"/>
  <c r="AQ207" i="37"/>
  <c r="AW207" i="37" s="1"/>
  <c r="AR207" i="37"/>
  <c r="Z207" i="37" s="1"/>
  <c r="BA207" i="37"/>
  <c r="BB207" i="37"/>
  <c r="BC207" i="37"/>
  <c r="BD207" i="37"/>
  <c r="AO208" i="37"/>
  <c r="AP208" i="37"/>
  <c r="AQ208" i="37"/>
  <c r="U208" i="37" s="1"/>
  <c r="AR208" i="37"/>
  <c r="Z208" i="37" s="1"/>
  <c r="BA208" i="37"/>
  <c r="BB208" i="37"/>
  <c r="BC208" i="37"/>
  <c r="BD208" i="37"/>
  <c r="AO209" i="37"/>
  <c r="K209" i="37" s="1"/>
  <c r="AP209" i="37"/>
  <c r="AQ209" i="37"/>
  <c r="AR209" i="37"/>
  <c r="AX209" i="37" s="1"/>
  <c r="BA209" i="37"/>
  <c r="BB209" i="37"/>
  <c r="BC209" i="37"/>
  <c r="BD209" i="37"/>
  <c r="AO210" i="37"/>
  <c r="K210" i="37" s="1"/>
  <c r="AP210" i="37"/>
  <c r="P210" i="37" s="1"/>
  <c r="AQ210" i="37"/>
  <c r="AR210" i="37"/>
  <c r="BA210" i="37"/>
  <c r="BB210" i="37"/>
  <c r="BC210" i="37"/>
  <c r="BD210" i="37"/>
  <c r="AO211" i="37"/>
  <c r="AP211" i="37"/>
  <c r="P211" i="37" s="1"/>
  <c r="AQ211" i="37"/>
  <c r="AR211" i="37"/>
  <c r="AX211" i="37" s="1"/>
  <c r="BA211" i="37"/>
  <c r="BB211" i="37"/>
  <c r="BC211" i="37"/>
  <c r="BD211" i="37"/>
  <c r="AO212" i="37"/>
  <c r="AP212" i="37"/>
  <c r="AQ212" i="37"/>
  <c r="AR212" i="37"/>
  <c r="BA212" i="37"/>
  <c r="BB212" i="37"/>
  <c r="BC212" i="37"/>
  <c r="BD212" i="37"/>
  <c r="AO213" i="37"/>
  <c r="AP213" i="37"/>
  <c r="P213" i="37" s="1"/>
  <c r="AQ213" i="37"/>
  <c r="U213" i="37" s="1"/>
  <c r="AR213" i="37"/>
  <c r="AX213" i="37" s="1"/>
  <c r="BA213" i="37"/>
  <c r="BB213" i="37"/>
  <c r="BC213" i="37"/>
  <c r="BD213" i="37"/>
  <c r="AO214" i="37"/>
  <c r="AP214" i="37"/>
  <c r="AQ214" i="37"/>
  <c r="AR214" i="37"/>
  <c r="BA214" i="37"/>
  <c r="BB214" i="37"/>
  <c r="BC214" i="37"/>
  <c r="BD214" i="37"/>
  <c r="AO215" i="37"/>
  <c r="AU215" i="37" s="1"/>
  <c r="AP215" i="37"/>
  <c r="AQ215" i="37"/>
  <c r="AR215" i="37"/>
  <c r="BA215" i="37"/>
  <c r="BB215" i="37"/>
  <c r="BC215" i="37"/>
  <c r="BD215" i="37"/>
  <c r="AO216" i="37"/>
  <c r="AU216" i="37" s="1"/>
  <c r="AP216" i="37"/>
  <c r="AQ216" i="37"/>
  <c r="AR216" i="37"/>
  <c r="AX216" i="37" s="1"/>
  <c r="BA216" i="37"/>
  <c r="BB216" i="37"/>
  <c r="BC216" i="37"/>
  <c r="BD216" i="37"/>
  <c r="AO217" i="37"/>
  <c r="AU217" i="37" s="1"/>
  <c r="AP217" i="37"/>
  <c r="AQ217" i="37"/>
  <c r="AR217" i="37"/>
  <c r="BA217" i="37"/>
  <c r="BB217" i="37"/>
  <c r="BC217" i="37"/>
  <c r="BD217" i="37"/>
  <c r="AO218" i="37"/>
  <c r="K218" i="37" s="1"/>
  <c r="AP218" i="37"/>
  <c r="P218" i="37" s="1"/>
  <c r="AQ218" i="37"/>
  <c r="U218" i="37" s="1"/>
  <c r="AR218" i="37"/>
  <c r="BA218" i="37"/>
  <c r="BB218" i="37"/>
  <c r="BC218" i="37"/>
  <c r="BD218" i="37"/>
  <c r="AO219" i="37"/>
  <c r="AU219" i="37" s="1"/>
  <c r="AP219" i="37"/>
  <c r="AV219" i="37" s="1"/>
  <c r="AQ219" i="37"/>
  <c r="AW219" i="37" s="1"/>
  <c r="AR219" i="37"/>
  <c r="AX219" i="37" s="1"/>
  <c r="BA219" i="37"/>
  <c r="BB219" i="37"/>
  <c r="BC219" i="37"/>
  <c r="BD219" i="37"/>
  <c r="K140" i="37"/>
  <c r="BD118" i="37"/>
  <c r="BC118" i="37"/>
  <c r="BB118" i="37"/>
  <c r="BA118" i="37"/>
  <c r="AR118" i="37"/>
  <c r="AQ118" i="37"/>
  <c r="U118" i="37" s="1"/>
  <c r="AP118" i="37"/>
  <c r="AO118" i="37"/>
  <c r="BD117" i="37"/>
  <c r="BC117" i="37"/>
  <c r="BB117" i="37"/>
  <c r="BA117" i="37"/>
  <c r="AR117" i="37"/>
  <c r="AQ117" i="37"/>
  <c r="AP117" i="37"/>
  <c r="P117" i="37" s="1"/>
  <c r="AO117" i="37"/>
  <c r="K117" i="37" s="1"/>
  <c r="BD116" i="37"/>
  <c r="BC116" i="37"/>
  <c r="BB116" i="37"/>
  <c r="BA116" i="37"/>
  <c r="AR116" i="37"/>
  <c r="AX116" i="37" s="1"/>
  <c r="AQ116" i="37"/>
  <c r="AP116" i="37"/>
  <c r="AO116" i="37"/>
  <c r="BD115" i="37"/>
  <c r="BC115" i="37"/>
  <c r="BB115" i="37"/>
  <c r="BA115" i="37"/>
  <c r="AR115" i="37"/>
  <c r="AX115" i="37" s="1"/>
  <c r="AQ115" i="37"/>
  <c r="AP115" i="37"/>
  <c r="P115" i="37" s="1"/>
  <c r="AO115" i="37"/>
  <c r="K115" i="37" s="1"/>
  <c r="BD114" i="37"/>
  <c r="BC114" i="37"/>
  <c r="BB114" i="37"/>
  <c r="BA114" i="37"/>
  <c r="AR114" i="37"/>
  <c r="AQ114" i="37"/>
  <c r="AW114" i="37" s="1"/>
  <c r="AP114" i="37"/>
  <c r="AV114" i="37" s="1"/>
  <c r="AO114" i="37"/>
  <c r="AU114" i="37" s="1"/>
  <c r="BD113" i="37"/>
  <c r="BC113" i="37"/>
  <c r="BB113" i="37"/>
  <c r="BA113" i="37"/>
  <c r="AR113" i="37"/>
  <c r="Z113" i="37" s="1"/>
  <c r="AQ113" i="37"/>
  <c r="AW113" i="37" s="1"/>
  <c r="AP113" i="37"/>
  <c r="AV113" i="37" s="1"/>
  <c r="AO113" i="37"/>
  <c r="AU113" i="37" s="1"/>
  <c r="BD112" i="37"/>
  <c r="BC112" i="37"/>
  <c r="BB112" i="37"/>
  <c r="BA112" i="37"/>
  <c r="AR112" i="37"/>
  <c r="AX112" i="37" s="1"/>
  <c r="AQ112" i="37"/>
  <c r="AW112" i="37" s="1"/>
  <c r="AP112" i="37"/>
  <c r="AV112" i="37" s="1"/>
  <c r="AO112" i="37"/>
  <c r="BD111" i="37"/>
  <c r="BC111" i="37"/>
  <c r="BB111" i="37"/>
  <c r="BA111" i="37"/>
  <c r="AR111" i="37"/>
  <c r="AQ111" i="37"/>
  <c r="AP111" i="37"/>
  <c r="AO111" i="37"/>
  <c r="K111" i="37" s="1"/>
  <c r="BD110" i="37"/>
  <c r="BC110" i="37"/>
  <c r="BB110" i="37"/>
  <c r="BA110" i="37"/>
  <c r="AR110" i="37"/>
  <c r="Z110" i="37" s="1"/>
  <c r="AQ110" i="37"/>
  <c r="AP110" i="37"/>
  <c r="AO110" i="37"/>
  <c r="AU110" i="37" s="1"/>
  <c r="BD109" i="37"/>
  <c r="BC109" i="37"/>
  <c r="BB109" i="37"/>
  <c r="BA109" i="37"/>
  <c r="AR109" i="37"/>
  <c r="AQ109" i="37"/>
  <c r="AP109" i="37"/>
  <c r="AO109" i="37"/>
  <c r="AU109" i="37" s="1"/>
  <c r="BD108" i="37"/>
  <c r="BC108" i="37"/>
  <c r="BB108" i="37"/>
  <c r="BA108" i="37"/>
  <c r="AR108" i="37"/>
  <c r="AX108" i="37" s="1"/>
  <c r="AQ108" i="37"/>
  <c r="AW108" i="37" s="1"/>
  <c r="AP108" i="37"/>
  <c r="AV108" i="37" s="1"/>
  <c r="AO108" i="37"/>
  <c r="AU108" i="37" s="1"/>
  <c r="BD107" i="37"/>
  <c r="BC107" i="37"/>
  <c r="BB107" i="37"/>
  <c r="BA107" i="37"/>
  <c r="AR107" i="37"/>
  <c r="AQ107" i="37"/>
  <c r="AP107" i="37"/>
  <c r="P107" i="37" s="1"/>
  <c r="AO107" i="37"/>
  <c r="BD106" i="37"/>
  <c r="BC106" i="37"/>
  <c r="BB106" i="37"/>
  <c r="BA106" i="37"/>
  <c r="AR106" i="37"/>
  <c r="AQ106" i="37"/>
  <c r="AP106" i="37"/>
  <c r="AO106" i="37"/>
  <c r="BD105" i="37"/>
  <c r="BC105" i="37"/>
  <c r="BB105" i="37"/>
  <c r="BA105" i="37"/>
  <c r="AR105" i="37"/>
  <c r="Z105" i="37" s="1"/>
  <c r="AQ105" i="37"/>
  <c r="U105" i="37" s="1"/>
  <c r="AP105" i="37"/>
  <c r="P105" i="37" s="1"/>
  <c r="AO105" i="37"/>
  <c r="BD104" i="37"/>
  <c r="BC104" i="37"/>
  <c r="BB104" i="37"/>
  <c r="BA104" i="37"/>
  <c r="AR104" i="37"/>
  <c r="Z104" i="37" s="1"/>
  <c r="AQ104" i="37"/>
  <c r="AP104" i="37"/>
  <c r="AV104" i="37" s="1"/>
  <c r="AO104" i="37"/>
  <c r="BD103" i="37"/>
  <c r="BC103" i="37"/>
  <c r="BB103" i="37"/>
  <c r="BA103" i="37"/>
  <c r="AR103" i="37"/>
  <c r="AX103" i="37" s="1"/>
  <c r="AQ103" i="37"/>
  <c r="AW103" i="37" s="1"/>
  <c r="AP103" i="37"/>
  <c r="P103" i="37" s="1"/>
  <c r="AO103" i="37"/>
  <c r="AU103" i="37" s="1"/>
  <c r="BD102" i="37"/>
  <c r="BC102" i="37"/>
  <c r="BB102" i="37"/>
  <c r="BA102" i="37"/>
  <c r="AR102" i="37"/>
  <c r="AQ102" i="37"/>
  <c r="AP102" i="37"/>
  <c r="AV102" i="37" s="1"/>
  <c r="AO102" i="37"/>
  <c r="AU102" i="37" s="1"/>
  <c r="BD101" i="37"/>
  <c r="BC101" i="37"/>
  <c r="BB101" i="37"/>
  <c r="BA101" i="37"/>
  <c r="AR101" i="37"/>
  <c r="AQ101" i="37"/>
  <c r="AW101" i="37" s="1"/>
  <c r="AP101" i="37"/>
  <c r="AV101" i="37" s="1"/>
  <c r="AO101" i="37"/>
  <c r="AU101" i="37" s="1"/>
  <c r="BD100" i="37"/>
  <c r="BC100" i="37"/>
  <c r="BB100" i="37"/>
  <c r="BA100" i="37"/>
  <c r="AR100" i="37"/>
  <c r="AX100" i="37" s="1"/>
  <c r="AQ100" i="37"/>
  <c r="AW100" i="37" s="1"/>
  <c r="AP100" i="37"/>
  <c r="AV100" i="37" s="1"/>
  <c r="AO100" i="37"/>
  <c r="BD99" i="37"/>
  <c r="BC99" i="37"/>
  <c r="BB99" i="37"/>
  <c r="BA99" i="37"/>
  <c r="AR99" i="37"/>
  <c r="AX99" i="37" s="1"/>
  <c r="AQ99" i="37"/>
  <c r="AW99" i="37" s="1"/>
  <c r="AP99" i="37"/>
  <c r="AV99" i="37" s="1"/>
  <c r="AO99" i="37"/>
  <c r="AU99" i="37" s="1"/>
  <c r="BD98" i="37"/>
  <c r="BC98" i="37"/>
  <c r="BB98" i="37"/>
  <c r="BA98" i="37"/>
  <c r="AR98" i="37"/>
  <c r="Z98" i="37" s="1"/>
  <c r="AQ98" i="37"/>
  <c r="U98" i="37" s="1"/>
  <c r="AP98" i="37"/>
  <c r="AO98" i="37"/>
  <c r="AU98" i="37" s="1"/>
  <c r="BD97" i="37"/>
  <c r="BC97" i="37"/>
  <c r="BB97" i="37"/>
  <c r="BA97" i="37"/>
  <c r="AR97" i="37"/>
  <c r="AQ97" i="37"/>
  <c r="U97" i="37" s="1"/>
  <c r="AP97" i="37"/>
  <c r="AV97" i="37" s="1"/>
  <c r="AO97" i="37"/>
  <c r="AU97" i="37" s="1"/>
  <c r="BD96" i="37"/>
  <c r="BC96" i="37"/>
  <c r="BB96" i="37"/>
  <c r="BA96" i="37"/>
  <c r="AR96" i="37"/>
  <c r="Z96" i="37" s="1"/>
  <c r="AQ96" i="37"/>
  <c r="U96" i="37" s="1"/>
  <c r="AP96" i="37"/>
  <c r="AO96" i="37"/>
  <c r="BD95" i="37"/>
  <c r="BC95" i="37"/>
  <c r="BB95" i="37"/>
  <c r="BA95" i="37"/>
  <c r="AR95" i="37"/>
  <c r="Z95" i="37" s="1"/>
  <c r="AQ95" i="37"/>
  <c r="U95" i="37" s="1"/>
  <c r="AP95" i="37"/>
  <c r="AO95" i="37"/>
  <c r="BD94" i="37"/>
  <c r="BC94" i="37"/>
  <c r="BB94" i="37"/>
  <c r="BA94" i="37"/>
  <c r="AR94" i="37"/>
  <c r="AQ94" i="37"/>
  <c r="U94" i="37" s="1"/>
  <c r="AP94" i="37"/>
  <c r="AO94" i="37"/>
  <c r="BD93" i="37"/>
  <c r="BC93" i="37"/>
  <c r="BB93" i="37"/>
  <c r="BA93" i="37"/>
  <c r="AR93" i="37"/>
  <c r="AX93" i="37" s="1"/>
  <c r="AQ93" i="37"/>
  <c r="AW93" i="37" s="1"/>
  <c r="AP93" i="37"/>
  <c r="AO93" i="37"/>
  <c r="K93" i="37" s="1"/>
  <c r="BD92" i="37"/>
  <c r="BC92" i="37"/>
  <c r="BB92" i="37"/>
  <c r="BA92" i="37"/>
  <c r="AR92" i="37"/>
  <c r="Z92" i="37" s="1"/>
  <c r="AQ92" i="37"/>
  <c r="AP92" i="37"/>
  <c r="AO92" i="37"/>
  <c r="AU92" i="37" s="1"/>
  <c r="BD91" i="37"/>
  <c r="BC91" i="37"/>
  <c r="BB91" i="37"/>
  <c r="BA91" i="37"/>
  <c r="AR91" i="37"/>
  <c r="AQ91" i="37"/>
  <c r="AP91" i="37"/>
  <c r="AO91" i="37"/>
  <c r="BD90" i="37"/>
  <c r="BC90" i="37"/>
  <c r="BB90" i="37"/>
  <c r="BA90" i="37"/>
  <c r="AR90" i="37"/>
  <c r="AQ90" i="37"/>
  <c r="AP90" i="37"/>
  <c r="AV90" i="37" s="1"/>
  <c r="AO90" i="37"/>
  <c r="BD89" i="37"/>
  <c r="BC89" i="37"/>
  <c r="BB89" i="37"/>
  <c r="BA89" i="37"/>
  <c r="AR89" i="37"/>
  <c r="AX89" i="37" s="1"/>
  <c r="AQ89" i="37"/>
  <c r="AP89" i="37"/>
  <c r="AO89" i="37"/>
  <c r="AU89" i="37" s="1"/>
  <c r="BD88" i="37"/>
  <c r="BC88" i="37"/>
  <c r="BB88" i="37"/>
  <c r="BA88" i="37"/>
  <c r="AR88" i="37"/>
  <c r="Z88" i="37" s="1"/>
  <c r="AQ88" i="37"/>
  <c r="U88" i="37" s="1"/>
  <c r="AP88" i="37"/>
  <c r="AV88" i="37" s="1"/>
  <c r="AO88" i="37"/>
  <c r="AU88" i="37" s="1"/>
  <c r="BD87" i="37"/>
  <c r="BC87" i="37"/>
  <c r="BB87" i="37"/>
  <c r="BA87" i="37"/>
  <c r="AR87" i="37"/>
  <c r="Z87" i="37" s="1"/>
  <c r="AQ87" i="37"/>
  <c r="AW87" i="37" s="1"/>
  <c r="AP87" i="37"/>
  <c r="AO87" i="37"/>
  <c r="BD86" i="37"/>
  <c r="BC86" i="37"/>
  <c r="BB86" i="37"/>
  <c r="BA86" i="37"/>
  <c r="AR86" i="37"/>
  <c r="Z86" i="37" s="1"/>
  <c r="AQ86" i="37"/>
  <c r="U86" i="37" s="1"/>
  <c r="AP86" i="37"/>
  <c r="AO86" i="37"/>
  <c r="BD85" i="37"/>
  <c r="BC85" i="37"/>
  <c r="BB85" i="37"/>
  <c r="BA85" i="37"/>
  <c r="AR85" i="37"/>
  <c r="AQ85" i="37"/>
  <c r="AP85" i="37"/>
  <c r="P85" i="37" s="1"/>
  <c r="AO85" i="37"/>
  <c r="K85" i="37" s="1"/>
  <c r="BD84" i="37"/>
  <c r="BC84" i="37"/>
  <c r="BB84" i="37"/>
  <c r="BA84" i="37"/>
  <c r="AR84" i="37"/>
  <c r="AX84" i="37" s="1"/>
  <c r="AQ84" i="37"/>
  <c r="AW84" i="37" s="1"/>
  <c r="AP84" i="37"/>
  <c r="P84" i="37" s="1"/>
  <c r="AO84" i="37"/>
  <c r="AU84" i="37" s="1"/>
  <c r="BD83" i="37"/>
  <c r="BC83" i="37"/>
  <c r="BB83" i="37"/>
  <c r="BA83" i="37"/>
  <c r="AR83" i="37"/>
  <c r="Z83" i="37" s="1"/>
  <c r="AQ83" i="37"/>
  <c r="U83" i="37" s="1"/>
  <c r="AP83" i="37"/>
  <c r="P83" i="37" s="1"/>
  <c r="AO83" i="37"/>
  <c r="AU83" i="37" s="1"/>
  <c r="BD82" i="37"/>
  <c r="BC82" i="37"/>
  <c r="BB82" i="37"/>
  <c r="BA82" i="37"/>
  <c r="AR82" i="37"/>
  <c r="AQ82" i="37"/>
  <c r="AP82" i="37"/>
  <c r="AO82" i="37"/>
  <c r="BD81" i="37"/>
  <c r="BC81" i="37"/>
  <c r="BB81" i="37"/>
  <c r="BA81" i="37"/>
  <c r="AR81" i="37"/>
  <c r="Z81" i="37" s="1"/>
  <c r="AQ81" i="37"/>
  <c r="U81" i="37" s="1"/>
  <c r="AP81" i="37"/>
  <c r="AO81" i="37"/>
  <c r="K81" i="37" s="1"/>
  <c r="BD80" i="37"/>
  <c r="BC80" i="37"/>
  <c r="BB80" i="37"/>
  <c r="BA80" i="37"/>
  <c r="AR80" i="37"/>
  <c r="AX80" i="37" s="1"/>
  <c r="AQ80" i="37"/>
  <c r="AP80" i="37"/>
  <c r="P80" i="37" s="1"/>
  <c r="AO80" i="37"/>
  <c r="K80" i="37" s="1"/>
  <c r="BD79" i="37"/>
  <c r="BC79" i="37"/>
  <c r="BB79" i="37"/>
  <c r="BA79" i="37"/>
  <c r="AR79" i="37"/>
  <c r="Z79" i="37" s="1"/>
  <c r="AQ79" i="37"/>
  <c r="U79" i="37" s="1"/>
  <c r="AP79" i="37"/>
  <c r="P79" i="37" s="1"/>
  <c r="AO79" i="37"/>
  <c r="BD78" i="37"/>
  <c r="BC78" i="37"/>
  <c r="BB78" i="37"/>
  <c r="BA78" i="37"/>
  <c r="AR78" i="37"/>
  <c r="AQ78" i="37"/>
  <c r="AP78" i="37"/>
  <c r="AO78" i="37"/>
  <c r="K78" i="37" s="1"/>
  <c r="BD77" i="37"/>
  <c r="BC77" i="37"/>
  <c r="BB77" i="37"/>
  <c r="BA77" i="37"/>
  <c r="AR77" i="37"/>
  <c r="Z77" i="37" s="1"/>
  <c r="AQ77" i="37"/>
  <c r="U77" i="37" s="1"/>
  <c r="AP77" i="37"/>
  <c r="P77" i="37" s="1"/>
  <c r="AO77" i="37"/>
  <c r="AU77" i="37" s="1"/>
  <c r="BD76" i="37"/>
  <c r="BC76" i="37"/>
  <c r="BB76" i="37"/>
  <c r="BA76" i="37"/>
  <c r="AR76" i="37"/>
  <c r="Z76" i="37" s="1"/>
  <c r="AQ76" i="37"/>
  <c r="AW76" i="37" s="1"/>
  <c r="AP76" i="37"/>
  <c r="P76" i="37" s="1"/>
  <c r="AO76" i="37"/>
  <c r="K76" i="37" s="1"/>
  <c r="BD75" i="37"/>
  <c r="BC75" i="37"/>
  <c r="BB75" i="37"/>
  <c r="BA75" i="37"/>
  <c r="AR75" i="37"/>
  <c r="AQ75" i="37"/>
  <c r="U75" i="37" s="1"/>
  <c r="AP75" i="37"/>
  <c r="P75" i="37" s="1"/>
  <c r="AO75" i="37"/>
  <c r="AU75" i="37" s="1"/>
  <c r="BD74" i="37"/>
  <c r="BC74" i="37"/>
  <c r="BB74" i="37"/>
  <c r="BA74" i="37"/>
  <c r="AR74" i="37"/>
  <c r="AQ74" i="37"/>
  <c r="U74" i="37" s="1"/>
  <c r="AP74" i="37"/>
  <c r="AV74" i="37" s="1"/>
  <c r="AO74" i="37"/>
  <c r="BD73" i="37"/>
  <c r="BC73" i="37"/>
  <c r="BB73" i="37"/>
  <c r="BA73" i="37"/>
  <c r="AR73" i="37"/>
  <c r="Z73" i="37" s="1"/>
  <c r="AQ73" i="37"/>
  <c r="U73" i="37" s="1"/>
  <c r="AP73" i="37"/>
  <c r="AV73" i="37" s="1"/>
  <c r="AO73" i="37"/>
  <c r="K73" i="37" s="1"/>
  <c r="BD72" i="37"/>
  <c r="BC72" i="37"/>
  <c r="BB72" i="37"/>
  <c r="BA72" i="37"/>
  <c r="AR72" i="37"/>
  <c r="AX72" i="37" s="1"/>
  <c r="AQ72" i="37"/>
  <c r="AW72" i="37" s="1"/>
  <c r="AP72" i="37"/>
  <c r="AO72" i="37"/>
  <c r="K72" i="37" s="1"/>
  <c r="BD71" i="37"/>
  <c r="BC71" i="37"/>
  <c r="BB71" i="37"/>
  <c r="BA71" i="37"/>
  <c r="AR71" i="37"/>
  <c r="AQ71" i="37"/>
  <c r="AW71" i="37" s="1"/>
  <c r="AP71" i="37"/>
  <c r="AV71" i="37" s="1"/>
  <c r="AO71" i="37"/>
  <c r="BD70" i="37"/>
  <c r="BC70" i="37"/>
  <c r="BB70" i="37"/>
  <c r="BA70" i="37"/>
  <c r="AR70" i="37"/>
  <c r="Z70" i="37" s="1"/>
  <c r="AQ70" i="37"/>
  <c r="U70" i="37" s="1"/>
  <c r="AP70" i="37"/>
  <c r="P70" i="37" s="1"/>
  <c r="AO70" i="37"/>
  <c r="BD69" i="37"/>
  <c r="BC69" i="37"/>
  <c r="BB69" i="37"/>
  <c r="BA69" i="37"/>
  <c r="AR69" i="37"/>
  <c r="Z69" i="37" s="1"/>
  <c r="AQ69" i="37"/>
  <c r="U69" i="37" s="1"/>
  <c r="AP69" i="37"/>
  <c r="P69" i="37" s="1"/>
  <c r="AO69" i="37"/>
  <c r="K69" i="37" s="1"/>
  <c r="BD68" i="37"/>
  <c r="BC68" i="37"/>
  <c r="BB68" i="37"/>
  <c r="BA68" i="37"/>
  <c r="AR68" i="37"/>
  <c r="Z68" i="37" s="1"/>
  <c r="AQ68" i="37"/>
  <c r="U68" i="37" s="1"/>
  <c r="AP68" i="37"/>
  <c r="AV68" i="37" s="1"/>
  <c r="AO68" i="37"/>
  <c r="K68" i="37" s="1"/>
  <c r="BD67" i="37"/>
  <c r="BC67" i="37"/>
  <c r="BB67" i="37"/>
  <c r="BA67" i="37"/>
  <c r="AR67" i="37"/>
  <c r="AX67" i="37" s="1"/>
  <c r="AQ67" i="37"/>
  <c r="AP67" i="37"/>
  <c r="AV67" i="37" s="1"/>
  <c r="AO67" i="37"/>
  <c r="AU67" i="37" s="1"/>
  <c r="BD66" i="37"/>
  <c r="BC66" i="37"/>
  <c r="BB66" i="37"/>
  <c r="BA66" i="37"/>
  <c r="AR66" i="37"/>
  <c r="AQ66" i="37"/>
  <c r="AP66" i="37"/>
  <c r="AV66" i="37" s="1"/>
  <c r="AO66" i="37"/>
  <c r="AU66" i="37" s="1"/>
  <c r="BD65" i="37"/>
  <c r="BC65" i="37"/>
  <c r="BB65" i="37"/>
  <c r="BA65" i="37"/>
  <c r="AR65" i="37"/>
  <c r="Z65" i="37" s="1"/>
  <c r="AQ65" i="37"/>
  <c r="U65" i="37" s="1"/>
  <c r="AP65" i="37"/>
  <c r="AO65" i="37"/>
  <c r="K65" i="37" s="1"/>
  <c r="BD64" i="37"/>
  <c r="BC64" i="37"/>
  <c r="BB64" i="37"/>
  <c r="BA64" i="37"/>
  <c r="AR64" i="37"/>
  <c r="AQ64" i="37"/>
  <c r="AW64" i="37" s="1"/>
  <c r="AP64" i="37"/>
  <c r="AV64" i="37" s="1"/>
  <c r="AO64" i="37"/>
  <c r="BD63" i="37"/>
  <c r="BC63" i="37"/>
  <c r="BB63" i="37"/>
  <c r="BA63" i="37"/>
  <c r="AR63" i="37"/>
  <c r="Z63" i="37" s="1"/>
  <c r="AQ63" i="37"/>
  <c r="AP63" i="37"/>
  <c r="AV63" i="37" s="1"/>
  <c r="AO63" i="37"/>
  <c r="AU63" i="37" s="1"/>
  <c r="BD62" i="37"/>
  <c r="BC62" i="37"/>
  <c r="BB62" i="37"/>
  <c r="BA62" i="37"/>
  <c r="AR62" i="37"/>
  <c r="Z62" i="37" s="1"/>
  <c r="AQ62" i="37"/>
  <c r="U62" i="37" s="1"/>
  <c r="AP62" i="37"/>
  <c r="P62" i="37" s="1"/>
  <c r="AO62" i="37"/>
  <c r="AU62" i="37" s="1"/>
  <c r="BD61" i="37"/>
  <c r="BC61" i="37"/>
  <c r="BB61" i="37"/>
  <c r="BA61" i="37"/>
  <c r="AR61" i="37"/>
  <c r="Z61" i="37" s="1"/>
  <c r="AQ61" i="37"/>
  <c r="U61" i="37" s="1"/>
  <c r="AP61" i="37"/>
  <c r="P61" i="37" s="1"/>
  <c r="AO61" i="37"/>
  <c r="K61" i="37" s="1"/>
  <c r="BD60" i="37"/>
  <c r="BC60" i="37"/>
  <c r="BB60" i="37"/>
  <c r="BA60" i="37"/>
  <c r="AR60" i="37"/>
  <c r="Z60" i="37" s="1"/>
  <c r="AQ60" i="37"/>
  <c r="AP60" i="37"/>
  <c r="P60" i="37" s="1"/>
  <c r="AO60" i="37"/>
  <c r="K60" i="37" s="1"/>
  <c r="BD59" i="37"/>
  <c r="BC59" i="37"/>
  <c r="BB59" i="37"/>
  <c r="BA59" i="37"/>
  <c r="AR59" i="37"/>
  <c r="Z59" i="37" s="1"/>
  <c r="AQ59" i="37"/>
  <c r="U59" i="37" s="1"/>
  <c r="AP59" i="37"/>
  <c r="AO59" i="37"/>
  <c r="AU59" i="37" s="1"/>
  <c r="BD58" i="37"/>
  <c r="BC58" i="37"/>
  <c r="BB58" i="37"/>
  <c r="BA58" i="37"/>
  <c r="AR58" i="37"/>
  <c r="AQ58" i="37"/>
  <c r="AW58" i="37" s="1"/>
  <c r="AP58" i="37"/>
  <c r="P58" i="37" s="1"/>
  <c r="AO58" i="37"/>
  <c r="K58" i="37" s="1"/>
  <c r="AN58" i="37"/>
  <c r="AT58" i="37" s="1"/>
  <c r="BD57" i="37"/>
  <c r="BC57" i="37"/>
  <c r="BB57" i="37"/>
  <c r="BA57" i="37"/>
  <c r="AR57" i="37"/>
  <c r="Z57" i="37" s="1"/>
  <c r="AQ57" i="37"/>
  <c r="U57" i="37" s="1"/>
  <c r="AP57" i="37"/>
  <c r="AO57" i="37"/>
  <c r="BD56" i="37"/>
  <c r="BC56" i="37"/>
  <c r="BB56" i="37"/>
  <c r="BA56" i="37"/>
  <c r="AR56" i="37"/>
  <c r="AQ56" i="37"/>
  <c r="U56" i="37" s="1"/>
  <c r="AP56" i="37"/>
  <c r="P56" i="37" s="1"/>
  <c r="AO56" i="37"/>
  <c r="K56" i="37" s="1"/>
  <c r="BD55" i="37"/>
  <c r="BC55" i="37"/>
  <c r="BB55" i="37"/>
  <c r="BA55" i="37"/>
  <c r="AR55" i="37"/>
  <c r="AX55" i="37" s="1"/>
  <c r="AQ55" i="37"/>
  <c r="AP55" i="37"/>
  <c r="P55" i="37" s="1"/>
  <c r="AO55" i="37"/>
  <c r="AU55" i="37" s="1"/>
  <c r="BD54" i="37"/>
  <c r="BC54" i="37"/>
  <c r="BB54" i="37"/>
  <c r="BA54" i="37"/>
  <c r="AR54" i="37"/>
  <c r="AX54" i="37" s="1"/>
  <c r="AQ54" i="37"/>
  <c r="AW54" i="37" s="1"/>
  <c r="AP54" i="37"/>
  <c r="P54" i="37" s="1"/>
  <c r="AO54" i="37"/>
  <c r="AU54" i="37" s="1"/>
  <c r="BD53" i="37"/>
  <c r="BC53" i="37"/>
  <c r="BB53" i="37"/>
  <c r="BA53" i="37"/>
  <c r="AR53" i="37"/>
  <c r="AQ53" i="37"/>
  <c r="AW53" i="37" s="1"/>
  <c r="AP53" i="37"/>
  <c r="AV53" i="37" s="1"/>
  <c r="AO53" i="37"/>
  <c r="K53" i="37" s="1"/>
  <c r="BD52" i="37"/>
  <c r="BC52" i="37"/>
  <c r="BB52" i="37"/>
  <c r="BA52" i="37"/>
  <c r="AR52" i="37"/>
  <c r="Z52" i="37" s="1"/>
  <c r="AQ52" i="37"/>
  <c r="U52" i="37" s="1"/>
  <c r="AP52" i="37"/>
  <c r="P52" i="37" s="1"/>
  <c r="AO52" i="37"/>
  <c r="AU52" i="37" s="1"/>
  <c r="BD51" i="37"/>
  <c r="BC51" i="37"/>
  <c r="BB51" i="37"/>
  <c r="BA51" i="37"/>
  <c r="AR51" i="37"/>
  <c r="Z51" i="37" s="1"/>
  <c r="AQ51" i="37"/>
  <c r="AW51" i="37" s="1"/>
  <c r="AP51" i="37"/>
  <c r="AO51" i="37"/>
  <c r="AU51" i="37" s="1"/>
  <c r="BD50" i="37"/>
  <c r="BC50" i="37"/>
  <c r="BB50" i="37"/>
  <c r="BA50" i="37"/>
  <c r="AR50" i="37"/>
  <c r="AQ50" i="37"/>
  <c r="AW50" i="37" s="1"/>
  <c r="AP50" i="37"/>
  <c r="P50" i="37" s="1"/>
  <c r="AO50" i="37"/>
  <c r="K50" i="37" s="1"/>
  <c r="BD49" i="37"/>
  <c r="BC49" i="37"/>
  <c r="BB49" i="37"/>
  <c r="BA49" i="37"/>
  <c r="AR49" i="37"/>
  <c r="AQ49" i="37"/>
  <c r="AW49" i="37" s="1"/>
  <c r="AP49" i="37"/>
  <c r="AV49" i="37" s="1"/>
  <c r="AO49" i="37"/>
  <c r="BD48" i="37"/>
  <c r="BC48" i="37"/>
  <c r="BB48" i="37"/>
  <c r="BA48" i="37"/>
  <c r="AR48" i="37"/>
  <c r="AQ48" i="37"/>
  <c r="AP48" i="37"/>
  <c r="AV48" i="37" s="1"/>
  <c r="AO48" i="37"/>
  <c r="AU48" i="37" s="1"/>
  <c r="BD47" i="37"/>
  <c r="BC47" i="37"/>
  <c r="BB47" i="37"/>
  <c r="BA47" i="37"/>
  <c r="AR47" i="37"/>
  <c r="AQ47" i="37"/>
  <c r="U47" i="37" s="1"/>
  <c r="AP47" i="37"/>
  <c r="P47" i="37" s="1"/>
  <c r="AO47" i="37"/>
  <c r="K47" i="37" s="1"/>
  <c r="BD46" i="37"/>
  <c r="BC46" i="37"/>
  <c r="BB46" i="37"/>
  <c r="BA46" i="37"/>
  <c r="AR46" i="37"/>
  <c r="Z46" i="37" s="1"/>
  <c r="AQ46" i="37"/>
  <c r="AW46" i="37" s="1"/>
  <c r="AP46" i="37"/>
  <c r="P46" i="37" s="1"/>
  <c r="AO46" i="37"/>
  <c r="AU46" i="37" s="1"/>
  <c r="BD45" i="37"/>
  <c r="BC45" i="37"/>
  <c r="BB45" i="37"/>
  <c r="BA45" i="37"/>
  <c r="AR45" i="37"/>
  <c r="AQ45" i="37"/>
  <c r="U45" i="37" s="1"/>
  <c r="AP45" i="37"/>
  <c r="P45" i="37" s="1"/>
  <c r="AO45" i="37"/>
  <c r="K45" i="37" s="1"/>
  <c r="BD44" i="37"/>
  <c r="BC44" i="37"/>
  <c r="BB44" i="37"/>
  <c r="BA44" i="37"/>
  <c r="AR44" i="37"/>
  <c r="AQ44" i="37"/>
  <c r="AW44" i="37" s="1"/>
  <c r="AP44" i="37"/>
  <c r="AV44" i="37" s="1"/>
  <c r="AO44" i="37"/>
  <c r="K44" i="37" s="1"/>
  <c r="BD43" i="37"/>
  <c r="BC43" i="37"/>
  <c r="BB43" i="37"/>
  <c r="BA43" i="37"/>
  <c r="AR43" i="37"/>
  <c r="Z43" i="37" s="1"/>
  <c r="AQ43" i="37"/>
  <c r="U43" i="37" s="1"/>
  <c r="AP43" i="37"/>
  <c r="P43" i="37" s="1"/>
  <c r="AO43" i="37"/>
  <c r="AU43" i="37" s="1"/>
  <c r="BD42" i="37"/>
  <c r="BC42" i="37"/>
  <c r="BB42" i="37"/>
  <c r="BA42" i="37"/>
  <c r="AR42" i="37"/>
  <c r="Z42" i="37" s="1"/>
  <c r="AQ42" i="37"/>
  <c r="U42" i="37" s="1"/>
  <c r="AP42" i="37"/>
  <c r="P42" i="37" s="1"/>
  <c r="AO42" i="37"/>
  <c r="K42" i="37" s="1"/>
  <c r="BD41" i="37"/>
  <c r="BC41" i="37"/>
  <c r="BB41" i="37"/>
  <c r="BA41" i="37"/>
  <c r="AR41" i="37"/>
  <c r="Z41" i="37" s="1"/>
  <c r="AQ41" i="37"/>
  <c r="U41" i="37" s="1"/>
  <c r="AP41" i="37"/>
  <c r="AV41" i="37" s="1"/>
  <c r="AO41" i="37"/>
  <c r="AU41" i="37" s="1"/>
  <c r="BD40" i="37"/>
  <c r="BC40" i="37"/>
  <c r="BB40" i="37"/>
  <c r="BA40" i="37"/>
  <c r="AR40" i="37"/>
  <c r="AQ40" i="37"/>
  <c r="AP40" i="37"/>
  <c r="AV40" i="37" s="1"/>
  <c r="AO40" i="37"/>
  <c r="K40" i="37" s="1"/>
  <c r="BD39" i="37"/>
  <c r="BC39" i="37"/>
  <c r="BB39" i="37"/>
  <c r="BA39" i="37"/>
  <c r="AR39" i="37"/>
  <c r="AX39" i="37" s="1"/>
  <c r="AQ39" i="37"/>
  <c r="AW39" i="37" s="1"/>
  <c r="AP39" i="37"/>
  <c r="AV39" i="37" s="1"/>
  <c r="AO39" i="37"/>
  <c r="AU39" i="37" s="1"/>
  <c r="BD38" i="37"/>
  <c r="BC38" i="37"/>
  <c r="BB38" i="37"/>
  <c r="BA38" i="37"/>
  <c r="AR38" i="37"/>
  <c r="AX38" i="37" s="1"/>
  <c r="AQ38" i="37"/>
  <c r="AP38" i="37"/>
  <c r="P38" i="37" s="1"/>
  <c r="AO38" i="37"/>
  <c r="K38" i="37" s="1"/>
  <c r="BD37" i="37"/>
  <c r="BC37" i="37"/>
  <c r="BB37" i="37"/>
  <c r="BA37" i="37"/>
  <c r="AR37" i="37"/>
  <c r="Z37" i="37" s="1"/>
  <c r="AQ37" i="37"/>
  <c r="U37" i="37" s="1"/>
  <c r="AP37" i="37"/>
  <c r="P37" i="37" s="1"/>
  <c r="AO37" i="37"/>
  <c r="BD36" i="37"/>
  <c r="BC36" i="37"/>
  <c r="BB36" i="37"/>
  <c r="BA36" i="37"/>
  <c r="AR36" i="37"/>
  <c r="Z36" i="37" s="1"/>
  <c r="AQ36" i="37"/>
  <c r="U36" i="37" s="1"/>
  <c r="AP36" i="37"/>
  <c r="AV36" i="37" s="1"/>
  <c r="AO36" i="37"/>
  <c r="AU36" i="37" s="1"/>
  <c r="BD35" i="37"/>
  <c r="BC35" i="37"/>
  <c r="BB35" i="37"/>
  <c r="BA35" i="37"/>
  <c r="AR35" i="37"/>
  <c r="Z35" i="37" s="1"/>
  <c r="AQ35" i="37"/>
  <c r="U35" i="37" s="1"/>
  <c r="AP35" i="37"/>
  <c r="AV35" i="37" s="1"/>
  <c r="AO35" i="37"/>
  <c r="AU35" i="37" s="1"/>
  <c r="BD34" i="37"/>
  <c r="BC34" i="37"/>
  <c r="BB34" i="37"/>
  <c r="BA34" i="37"/>
  <c r="AR34" i="37"/>
  <c r="Z34" i="37" s="1"/>
  <c r="AQ34" i="37"/>
  <c r="AP34" i="37"/>
  <c r="AO34" i="37"/>
  <c r="K34" i="37" s="1"/>
  <c r="BD33" i="37"/>
  <c r="BC33" i="37"/>
  <c r="BB33" i="37"/>
  <c r="BA33" i="37"/>
  <c r="AR33" i="37"/>
  <c r="Z33" i="37" s="1"/>
  <c r="AQ33" i="37"/>
  <c r="AW33" i="37" s="1"/>
  <c r="AP33" i="37"/>
  <c r="AV33" i="37" s="1"/>
  <c r="AO33" i="37"/>
  <c r="AU33" i="37" s="1"/>
  <c r="BD32" i="37"/>
  <c r="BC32" i="37"/>
  <c r="BB32" i="37"/>
  <c r="BA32" i="37"/>
  <c r="AR32" i="37"/>
  <c r="AX32" i="37" s="1"/>
  <c r="AQ32" i="37"/>
  <c r="AW32" i="37" s="1"/>
  <c r="AP32" i="37"/>
  <c r="AV32" i="37" s="1"/>
  <c r="AO32" i="37"/>
  <c r="AU32" i="37" s="1"/>
  <c r="BD31" i="37"/>
  <c r="BC31" i="37"/>
  <c r="BB31" i="37"/>
  <c r="BA31" i="37"/>
  <c r="AR31" i="37"/>
  <c r="AX31" i="37" s="1"/>
  <c r="AQ31" i="37"/>
  <c r="AW31" i="37" s="1"/>
  <c r="AP31" i="37"/>
  <c r="P31" i="37" s="1"/>
  <c r="AO31" i="37"/>
  <c r="K31" i="37" s="1"/>
  <c r="BD30" i="37"/>
  <c r="BC30" i="37"/>
  <c r="BB30" i="37"/>
  <c r="BA30" i="37"/>
  <c r="AR30" i="37"/>
  <c r="AX30" i="37" s="1"/>
  <c r="AQ30" i="37"/>
  <c r="U30" i="37" s="1"/>
  <c r="AP30" i="37"/>
  <c r="P30" i="37" s="1"/>
  <c r="AO30" i="37"/>
  <c r="K30" i="37" s="1"/>
  <c r="BD29" i="37"/>
  <c r="BC29" i="37"/>
  <c r="BB29" i="37"/>
  <c r="BA29" i="37"/>
  <c r="AR29" i="37"/>
  <c r="Z29" i="37" s="1"/>
  <c r="AQ29" i="37"/>
  <c r="AW29" i="37" s="1"/>
  <c r="AP29" i="37"/>
  <c r="AV29" i="37" s="1"/>
  <c r="AO29" i="37"/>
  <c r="AU29" i="37" s="1"/>
  <c r="BD28" i="37"/>
  <c r="BC28" i="37"/>
  <c r="BB28" i="37"/>
  <c r="BA28" i="37"/>
  <c r="AR28" i="37"/>
  <c r="Z28" i="37" s="1"/>
  <c r="AQ28" i="37"/>
  <c r="U28" i="37" s="1"/>
  <c r="AP28" i="37"/>
  <c r="AV28" i="37" s="1"/>
  <c r="AO28" i="37"/>
  <c r="AU28" i="37" s="1"/>
  <c r="BD27" i="37"/>
  <c r="BC27" i="37"/>
  <c r="BB27" i="37"/>
  <c r="BA27" i="37"/>
  <c r="AR27" i="37"/>
  <c r="Z27" i="37" s="1"/>
  <c r="AQ27" i="37"/>
  <c r="U27" i="37" s="1"/>
  <c r="AP27" i="37"/>
  <c r="AV27" i="37" s="1"/>
  <c r="AO27" i="37"/>
  <c r="AU27" i="37" s="1"/>
  <c r="AN27" i="37"/>
  <c r="AT27" i="37" s="1"/>
  <c r="BD26" i="37"/>
  <c r="BC26" i="37"/>
  <c r="BB26" i="37"/>
  <c r="BA26" i="37"/>
  <c r="AR26" i="37"/>
  <c r="Z26" i="37" s="1"/>
  <c r="AQ26" i="37"/>
  <c r="U26" i="37" s="1"/>
  <c r="AP26" i="37"/>
  <c r="AO26" i="37"/>
  <c r="AU26" i="37" s="1"/>
  <c r="BD25" i="37"/>
  <c r="BC25" i="37"/>
  <c r="BB25" i="37"/>
  <c r="BA25" i="37"/>
  <c r="AR25" i="37"/>
  <c r="AQ25" i="37"/>
  <c r="AW25" i="37" s="1"/>
  <c r="AP25" i="37"/>
  <c r="AV25" i="37" s="1"/>
  <c r="AO25" i="37"/>
  <c r="AU25" i="37" s="1"/>
  <c r="BD24" i="37"/>
  <c r="BC24" i="37"/>
  <c r="BB24" i="37"/>
  <c r="BA24" i="37"/>
  <c r="AR24" i="37"/>
  <c r="AX24" i="37" s="1"/>
  <c r="AQ24" i="37"/>
  <c r="AW24" i="37" s="1"/>
  <c r="AP24" i="37"/>
  <c r="AV24" i="37" s="1"/>
  <c r="AO24" i="37"/>
  <c r="AU24" i="37" s="1"/>
  <c r="BD23" i="37"/>
  <c r="BC23" i="37"/>
  <c r="BB23" i="37"/>
  <c r="BA23" i="37"/>
  <c r="AR23" i="37"/>
  <c r="Z23" i="37" s="1"/>
  <c r="AQ23" i="37"/>
  <c r="U23" i="37" s="1"/>
  <c r="AP23" i="37"/>
  <c r="P23" i="37" s="1"/>
  <c r="AO23" i="37"/>
  <c r="K23" i="37" s="1"/>
  <c r="BD22" i="37"/>
  <c r="BC22" i="37"/>
  <c r="BB22" i="37"/>
  <c r="BA22" i="37"/>
  <c r="AR22" i="37"/>
  <c r="AQ22" i="37"/>
  <c r="U22" i="37" s="1"/>
  <c r="AP22" i="37"/>
  <c r="AV22" i="37" s="1"/>
  <c r="AO22" i="37"/>
  <c r="AU22" i="37" s="1"/>
  <c r="BD21" i="37"/>
  <c r="BC21" i="37"/>
  <c r="BB21" i="37"/>
  <c r="BA21" i="37"/>
  <c r="AR21" i="37"/>
  <c r="Z21" i="37" s="1"/>
  <c r="AQ21" i="37"/>
  <c r="AW21" i="37" s="1"/>
  <c r="AP21" i="37"/>
  <c r="P21" i="37" s="1"/>
  <c r="AO21" i="37"/>
  <c r="AU21" i="37" s="1"/>
  <c r="BD20" i="37"/>
  <c r="BC20" i="37"/>
  <c r="BB20" i="37"/>
  <c r="BA20" i="37"/>
  <c r="AR20" i="37"/>
  <c r="Z20" i="37" s="1"/>
  <c r="AQ20" i="37"/>
  <c r="U20" i="37" s="1"/>
  <c r="AP20" i="37"/>
  <c r="AV20" i="37" s="1"/>
  <c r="AO20" i="37"/>
  <c r="AU20" i="37" s="1"/>
  <c r="BD19" i="37"/>
  <c r="BC19" i="37"/>
  <c r="BB19" i="37"/>
  <c r="BA19" i="37"/>
  <c r="AR19" i="37"/>
  <c r="Z19" i="37" s="1"/>
  <c r="AQ19" i="37"/>
  <c r="U19" i="37" s="1"/>
  <c r="AP19" i="37"/>
  <c r="P19" i="37" s="1"/>
  <c r="AO19" i="37"/>
  <c r="AU19" i="37" s="1"/>
  <c r="BD18" i="37"/>
  <c r="BC18" i="37"/>
  <c r="BB18" i="37"/>
  <c r="BA18" i="37"/>
  <c r="AR18" i="37"/>
  <c r="AX18" i="37" s="1"/>
  <c r="AQ18" i="37"/>
  <c r="U18" i="37" s="1"/>
  <c r="AP18" i="37"/>
  <c r="AO18" i="37"/>
  <c r="BD17" i="37"/>
  <c r="BC17" i="37"/>
  <c r="BB17" i="37"/>
  <c r="BA17" i="37"/>
  <c r="AR17" i="37"/>
  <c r="AX17" i="37" s="1"/>
  <c r="AQ17" i="37"/>
  <c r="AW17" i="37" s="1"/>
  <c r="AP17" i="37"/>
  <c r="P17" i="37" s="1"/>
  <c r="AO17" i="37"/>
  <c r="BD16" i="37"/>
  <c r="BC16" i="37"/>
  <c r="BB16" i="37"/>
  <c r="BA16" i="37"/>
  <c r="AR16" i="37"/>
  <c r="AX16" i="37" s="1"/>
  <c r="AQ16" i="37"/>
  <c r="U16" i="37" s="1"/>
  <c r="AP16" i="37"/>
  <c r="AV16" i="37" s="1"/>
  <c r="AO16" i="37"/>
  <c r="BD15" i="37"/>
  <c r="BC15" i="37"/>
  <c r="BB15" i="37"/>
  <c r="BA15" i="37"/>
  <c r="AR15" i="37"/>
  <c r="AX15" i="37" s="1"/>
  <c r="AQ15" i="37"/>
  <c r="AW15" i="37" s="1"/>
  <c r="AP15" i="37"/>
  <c r="AO15" i="37"/>
  <c r="K15" i="37" s="1"/>
  <c r="BD14" i="37"/>
  <c r="BC14" i="37"/>
  <c r="BB14" i="37"/>
  <c r="BA14" i="37"/>
  <c r="AR14" i="37"/>
  <c r="AQ14" i="37"/>
  <c r="U14" i="37" s="1"/>
  <c r="AP14" i="37"/>
  <c r="AV14" i="37" s="1"/>
  <c r="AO14" i="37"/>
  <c r="AU14" i="37" s="1"/>
  <c r="BD13" i="37"/>
  <c r="BC13" i="37"/>
  <c r="BB13" i="37"/>
  <c r="BA13" i="37"/>
  <c r="AR13" i="37"/>
  <c r="Z13" i="37" s="1"/>
  <c r="AQ13" i="37"/>
  <c r="U13" i="37" s="1"/>
  <c r="AP13" i="37"/>
  <c r="P13" i="37" s="1"/>
  <c r="AO13" i="37"/>
  <c r="AU13" i="37" s="1"/>
  <c r="BD12" i="37"/>
  <c r="BC12" i="37"/>
  <c r="BB12" i="37"/>
  <c r="BA12" i="37"/>
  <c r="AR12" i="37"/>
  <c r="Z12" i="37" s="1"/>
  <c r="AQ12" i="37"/>
  <c r="U12" i="37" s="1"/>
  <c r="AP12" i="37"/>
  <c r="P12" i="37" s="1"/>
  <c r="AO12" i="37"/>
  <c r="AU12" i="37" s="1"/>
  <c r="BD11" i="37"/>
  <c r="BC11" i="37"/>
  <c r="BB11" i="37"/>
  <c r="BA11" i="37"/>
  <c r="AR11" i="37"/>
  <c r="AX11" i="37" s="1"/>
  <c r="AQ11" i="37"/>
  <c r="U11" i="37" s="1"/>
  <c r="AP11" i="37"/>
  <c r="P11" i="37" s="1"/>
  <c r="AO11" i="37"/>
  <c r="AU11" i="37" s="1"/>
  <c r="BD10" i="37"/>
  <c r="BC10" i="37"/>
  <c r="BB10" i="37"/>
  <c r="BA10" i="37"/>
  <c r="AR10" i="37"/>
  <c r="Z10" i="37" s="1"/>
  <c r="AQ10" i="37"/>
  <c r="AP10" i="37"/>
  <c r="P10" i="37" s="1"/>
  <c r="AO10" i="37"/>
  <c r="K10" i="37" s="1"/>
  <c r="BD9" i="37"/>
  <c r="BC9" i="37"/>
  <c r="BB9" i="37"/>
  <c r="BA9" i="37"/>
  <c r="AR9" i="37"/>
  <c r="Z9" i="37" s="1"/>
  <c r="AQ9" i="37"/>
  <c r="U9" i="37" s="1"/>
  <c r="AP9" i="37"/>
  <c r="AV9" i="37" s="1"/>
  <c r="AO9" i="37"/>
  <c r="AU9" i="37" s="1"/>
  <c r="AE5" i="38" l="1" a="1"/>
  <c r="AE5" i="38" s="1"/>
  <c r="AX125" i="37"/>
  <c r="BE214" i="37"/>
  <c r="AH214" i="37" s="1"/>
  <c r="AU188" i="37"/>
  <c r="BE178" i="37"/>
  <c r="AH178" i="37" s="1"/>
  <c r="AX178" i="37"/>
  <c r="BE119" i="37"/>
  <c r="AH119" i="37" s="1"/>
  <c r="AX171" i="37"/>
  <c r="AX173" i="37"/>
  <c r="AX176" i="37"/>
  <c r="BE166" i="37"/>
  <c r="AH166" i="37" s="1"/>
  <c r="BE154" i="37"/>
  <c r="AH154" i="37" s="1"/>
  <c r="BE211" i="37"/>
  <c r="AH211" i="37" s="1"/>
  <c r="BE165" i="37"/>
  <c r="AH165" i="37" s="1"/>
  <c r="BE124" i="37"/>
  <c r="AH124" i="37" s="1"/>
  <c r="BE215" i="37"/>
  <c r="AH215" i="37" s="1"/>
  <c r="BE151" i="37"/>
  <c r="AH151" i="37" s="1"/>
  <c r="BE135" i="37"/>
  <c r="AH135" i="37" s="1"/>
  <c r="BE54" i="37"/>
  <c r="AH54" i="37" s="1"/>
  <c r="AV123" i="37"/>
  <c r="BE168" i="37"/>
  <c r="AH168" i="37" s="1"/>
  <c r="BE137" i="37"/>
  <c r="AH137" i="37" s="1"/>
  <c r="BE129" i="37"/>
  <c r="AH129" i="37" s="1"/>
  <c r="AW205" i="37"/>
  <c r="BE136" i="37"/>
  <c r="AH136" i="37" s="1"/>
  <c r="BE122" i="37"/>
  <c r="AH122" i="37" s="1"/>
  <c r="BE163" i="37"/>
  <c r="AH163" i="37" s="1"/>
  <c r="BE216" i="37"/>
  <c r="AH216" i="37" s="1"/>
  <c r="BE210" i="37"/>
  <c r="AH210" i="37" s="1"/>
  <c r="BE182" i="37"/>
  <c r="AH182" i="37" s="1"/>
  <c r="Z209" i="37"/>
  <c r="BE202" i="37"/>
  <c r="AH202" i="37" s="1"/>
  <c r="BE33" i="37"/>
  <c r="AH33" i="37" s="1"/>
  <c r="BE37" i="37"/>
  <c r="AH37" i="37" s="1"/>
  <c r="BE39" i="37"/>
  <c r="AH39" i="37" s="1"/>
  <c r="P134" i="37"/>
  <c r="BE207" i="37"/>
  <c r="AH207" i="37" s="1"/>
  <c r="BE162" i="37"/>
  <c r="AH162" i="37" s="1"/>
  <c r="BE138" i="37"/>
  <c r="AH138" i="37" s="1"/>
  <c r="BE213" i="37"/>
  <c r="AH213" i="37" s="1"/>
  <c r="BE197" i="37"/>
  <c r="AH197" i="37" s="1"/>
  <c r="AX160" i="37"/>
  <c r="BE158" i="37"/>
  <c r="AH158" i="37" s="1"/>
  <c r="Q18" i="38" a="1"/>
  <c r="Q18" i="38" s="1"/>
  <c r="K54" i="37"/>
  <c r="BE133" i="37"/>
  <c r="AH133" i="37" s="1"/>
  <c r="BE156" i="37"/>
  <c r="AH156" i="37" s="1"/>
  <c r="AX192" i="37"/>
  <c r="BE58" i="37"/>
  <c r="AH58" i="37" s="1"/>
  <c r="BE84" i="37"/>
  <c r="AH84" i="37" s="1"/>
  <c r="BE92" i="37"/>
  <c r="AH92" i="37" s="1"/>
  <c r="BE100" i="37"/>
  <c r="AH100" i="37" s="1"/>
  <c r="BE102" i="37"/>
  <c r="AH102" i="37" s="1"/>
  <c r="BE110" i="37"/>
  <c r="AH110" i="37" s="1"/>
  <c r="BE116" i="37"/>
  <c r="AH116" i="37" s="1"/>
  <c r="BE209" i="37"/>
  <c r="AH209" i="37" s="1"/>
  <c r="BE188" i="37"/>
  <c r="AH188" i="37" s="1"/>
  <c r="AU173" i="37"/>
  <c r="AW123" i="37"/>
  <c r="AX182" i="37"/>
  <c r="BE218" i="37"/>
  <c r="AH218" i="37" s="1"/>
  <c r="BE201" i="37"/>
  <c r="AH201" i="37" s="1"/>
  <c r="U189" i="37"/>
  <c r="BE159" i="37"/>
  <c r="AH159" i="37" s="1"/>
  <c r="BE130" i="37"/>
  <c r="AH130" i="37" s="1"/>
  <c r="AW176" i="37"/>
  <c r="BE157" i="37"/>
  <c r="AH157" i="37" s="1"/>
  <c r="BE155" i="37"/>
  <c r="AH155" i="37" s="1"/>
  <c r="K24" i="37"/>
  <c r="Z137" i="37"/>
  <c r="AU191" i="37"/>
  <c r="BE149" i="37"/>
  <c r="AH149" i="37" s="1"/>
  <c r="BE141" i="37"/>
  <c r="AH141" i="37" s="1"/>
  <c r="BE77" i="37"/>
  <c r="AH77" i="37" s="1"/>
  <c r="BE113" i="37"/>
  <c r="AH113" i="37" s="1"/>
  <c r="AX189" i="37"/>
  <c r="BE147" i="37"/>
  <c r="AH147" i="37" s="1"/>
  <c r="K48" i="37"/>
  <c r="BE217" i="37"/>
  <c r="AH217" i="37" s="1"/>
  <c r="AW147" i="37"/>
  <c r="AW120" i="37"/>
  <c r="BE21" i="37"/>
  <c r="AH21" i="37" s="1"/>
  <c r="BE208" i="37"/>
  <c r="AH208" i="37" s="1"/>
  <c r="AW188" i="37"/>
  <c r="AW155" i="37"/>
  <c r="Z194" i="37"/>
  <c r="BE184" i="37"/>
  <c r="AH184" i="37" s="1"/>
  <c r="BE123" i="37"/>
  <c r="AH123" i="37" s="1"/>
  <c r="U193" i="37"/>
  <c r="AW173" i="37"/>
  <c r="AX134" i="37"/>
  <c r="BE189" i="37"/>
  <c r="AH189" i="37" s="1"/>
  <c r="BE198" i="37"/>
  <c r="AH198" i="37" s="1"/>
  <c r="BE176" i="37"/>
  <c r="AH176" i="37" s="1"/>
  <c r="U124" i="37"/>
  <c r="BE203" i="37"/>
  <c r="AH203" i="37" s="1"/>
  <c r="BE187" i="37"/>
  <c r="AH187" i="37" s="1"/>
  <c r="BE204" i="37"/>
  <c r="AH204" i="37" s="1"/>
  <c r="BE128" i="37"/>
  <c r="AH128" i="37" s="1"/>
  <c r="AU218" i="37"/>
  <c r="AU185" i="37"/>
  <c r="BE150" i="37"/>
  <c r="AH150" i="37" s="1"/>
  <c r="BE164" i="37"/>
  <c r="AH164" i="37" s="1"/>
  <c r="P140" i="37"/>
  <c r="BE152" i="37"/>
  <c r="AH152" i="37" s="1"/>
  <c r="U121" i="37"/>
  <c r="BE205" i="37"/>
  <c r="AH205" i="37" s="1"/>
  <c r="BE161" i="37"/>
  <c r="AH161" i="37" s="1"/>
  <c r="AX205" i="37"/>
  <c r="BE199" i="37"/>
  <c r="AH199" i="37" s="1"/>
  <c r="AW194" i="37"/>
  <c r="BE179" i="37"/>
  <c r="AH179" i="37" s="1"/>
  <c r="BE146" i="37"/>
  <c r="AH146" i="37" s="1"/>
  <c r="Z195" i="37"/>
  <c r="P124" i="37"/>
  <c r="AW197" i="37"/>
  <c r="AX168" i="37"/>
  <c r="AU197" i="37"/>
  <c r="Z206" i="37"/>
  <c r="K124" i="37"/>
  <c r="K119" i="37"/>
  <c r="P170" i="37"/>
  <c r="K170" i="37"/>
  <c r="P166" i="37"/>
  <c r="Z165" i="37"/>
  <c r="P157" i="37"/>
  <c r="U141" i="37"/>
  <c r="AU161" i="37"/>
  <c r="K141" i="37"/>
  <c r="AW208" i="37"/>
  <c r="AN119" i="37"/>
  <c r="G119" i="37" s="1"/>
  <c r="AN127" i="37"/>
  <c r="AT127" i="37" s="1"/>
  <c r="AN132" i="37"/>
  <c r="AN160" i="37"/>
  <c r="G160" i="37" s="1"/>
  <c r="AN195" i="37"/>
  <c r="AT195" i="37" s="1"/>
  <c r="AN198" i="37"/>
  <c r="AN203" i="37"/>
  <c r="AT203" i="37" s="1"/>
  <c r="AN107" i="37"/>
  <c r="AN84" i="37"/>
  <c r="AT84" i="37" s="1"/>
  <c r="AN51" i="37"/>
  <c r="AN39" i="37"/>
  <c r="AN32" i="37"/>
  <c r="AN96" i="37"/>
  <c r="AN89" i="37"/>
  <c r="AN82" i="37"/>
  <c r="AT82" i="37" s="1"/>
  <c r="AN75" i="37"/>
  <c r="AN68" i="37"/>
  <c r="G68" i="37" s="1"/>
  <c r="AN144" i="37"/>
  <c r="AT144" i="37" s="1"/>
  <c r="AN181" i="37"/>
  <c r="AT181" i="37" s="1"/>
  <c r="AN103" i="37"/>
  <c r="G103" i="37" s="1"/>
  <c r="AN28" i="37"/>
  <c r="AT28" i="37" s="1"/>
  <c r="AN21" i="37"/>
  <c r="AN154" i="37"/>
  <c r="AN170" i="37"/>
  <c r="W6" i="37"/>
  <c r="AN139" i="37"/>
  <c r="AN178" i="37"/>
  <c r="G178" i="37" s="1"/>
  <c r="AN73" i="37"/>
  <c r="AN26" i="37"/>
  <c r="AN159" i="37"/>
  <c r="AN207" i="37"/>
  <c r="AN210" i="37"/>
  <c r="AN12" i="37"/>
  <c r="AT12" i="37" s="1"/>
  <c r="M6" i="37"/>
  <c r="AN115" i="37"/>
  <c r="AT115" i="37" s="1"/>
  <c r="AN99" i="37"/>
  <c r="G99" i="37" s="1"/>
  <c r="AN128" i="37"/>
  <c r="AT128" i="37" s="1"/>
  <c r="AN164" i="37"/>
  <c r="AN172" i="37"/>
  <c r="G172" i="37" s="1"/>
  <c r="AN204" i="37"/>
  <c r="AT204" i="37" s="1"/>
  <c r="AN50" i="37"/>
  <c r="AN45" i="37"/>
  <c r="AN120" i="37"/>
  <c r="G120" i="37" s="1"/>
  <c r="AN156" i="37"/>
  <c r="AN180" i="37"/>
  <c r="AN113" i="37"/>
  <c r="AN97" i="37"/>
  <c r="AN76" i="37"/>
  <c r="AN69" i="37"/>
  <c r="G69" i="37" s="1"/>
  <c r="AN143" i="37"/>
  <c r="AT143" i="37" s="1"/>
  <c r="AN212" i="37"/>
  <c r="G212" i="37" s="1"/>
  <c r="AN104" i="37"/>
  <c r="AT104" i="37" s="1"/>
  <c r="AN22" i="37"/>
  <c r="AN15" i="37"/>
  <c r="G15" i="37" s="1"/>
  <c r="AN153" i="37"/>
  <c r="AN169" i="37"/>
  <c r="AT169" i="37" s="1"/>
  <c r="AN209" i="37"/>
  <c r="G209" i="37" s="1"/>
  <c r="AN95" i="37"/>
  <c r="AT95" i="37" s="1"/>
  <c r="AN67" i="37"/>
  <c r="AT67" i="37" s="1"/>
  <c r="AN60" i="37"/>
  <c r="AN125" i="37"/>
  <c r="AN130" i="37"/>
  <c r="AN158" i="37"/>
  <c r="AN187" i="37"/>
  <c r="AN217" i="37"/>
  <c r="AT217" i="37" s="1"/>
  <c r="AN168" i="37"/>
  <c r="AT168" i="37" s="1"/>
  <c r="AN176" i="37"/>
  <c r="G176" i="37" s="1"/>
  <c r="AN179" i="37"/>
  <c r="G179" i="37" s="1"/>
  <c r="AN184" i="37"/>
  <c r="AT184" i="37" s="1"/>
  <c r="AN208" i="37"/>
  <c r="AT208" i="37" s="1"/>
  <c r="AN211" i="37"/>
  <c r="G211" i="37" s="1"/>
  <c r="AN114" i="37"/>
  <c r="G114" i="37" s="1"/>
  <c r="AN98" i="37"/>
  <c r="G98" i="37" s="1"/>
  <c r="AN91" i="37"/>
  <c r="AN77" i="37"/>
  <c r="AN70" i="37"/>
  <c r="AN63" i="37"/>
  <c r="AN56" i="37"/>
  <c r="AN11" i="37"/>
  <c r="AN134" i="37"/>
  <c r="AN157" i="37"/>
  <c r="AT157" i="37" s="1"/>
  <c r="AN197" i="37"/>
  <c r="AN200" i="37"/>
  <c r="AT200" i="37" s="1"/>
  <c r="AN216" i="37"/>
  <c r="AT216" i="37" s="1"/>
  <c r="AN9" i="37"/>
  <c r="AN186" i="37"/>
  <c r="G186" i="37" s="1"/>
  <c r="AN189" i="37"/>
  <c r="G189" i="37" s="1"/>
  <c r="AN213" i="37"/>
  <c r="AN42" i="37"/>
  <c r="G42" i="37" s="1"/>
  <c r="AN35" i="37"/>
  <c r="AT35" i="37" s="1"/>
  <c r="AN146" i="37"/>
  <c r="AN202" i="37"/>
  <c r="AN117" i="37"/>
  <c r="AN101" i="37"/>
  <c r="AN47" i="37"/>
  <c r="AN19" i="37"/>
  <c r="R6" i="37"/>
  <c r="AN131" i="37"/>
  <c r="AN108" i="37"/>
  <c r="AT108" i="37" s="1"/>
  <c r="AY108" i="37" s="1"/>
  <c r="AE108" i="37" s="1"/>
  <c r="AN57" i="37"/>
  <c r="AT57" i="37" s="1"/>
  <c r="AN52" i="37"/>
  <c r="AN40" i="37"/>
  <c r="G40" i="37" s="1"/>
  <c r="AN33" i="37"/>
  <c r="AT33" i="37" s="1"/>
  <c r="AN123" i="37"/>
  <c r="AT123" i="37" s="1"/>
  <c r="AN78" i="37"/>
  <c r="AN71" i="37"/>
  <c r="G71" i="37" s="1"/>
  <c r="AN133" i="37"/>
  <c r="AN196" i="37"/>
  <c r="AT196" i="37" s="1"/>
  <c r="AN106" i="37"/>
  <c r="AN31" i="37"/>
  <c r="AN199" i="37"/>
  <c r="AN90" i="37"/>
  <c r="AN83" i="37"/>
  <c r="AT83" i="37" s="1"/>
  <c r="AN177" i="37"/>
  <c r="AN193" i="37"/>
  <c r="G193" i="37" s="1"/>
  <c r="AN201" i="37"/>
  <c r="G201" i="37" s="1"/>
  <c r="AN111" i="37"/>
  <c r="G111" i="37" s="1"/>
  <c r="AN81" i="37"/>
  <c r="AN48" i="37"/>
  <c r="AT48" i="37" s="1"/>
  <c r="AN137" i="37"/>
  <c r="AT137" i="37" s="1"/>
  <c r="AN173" i="37"/>
  <c r="AN192" i="37"/>
  <c r="AN205" i="37"/>
  <c r="AN105" i="37"/>
  <c r="AN49" i="37"/>
  <c r="AN44" i="37"/>
  <c r="AN30" i="37"/>
  <c r="AN23" i="37"/>
  <c r="G23" i="37" s="1"/>
  <c r="AN16" i="37"/>
  <c r="AT16" i="37" s="1"/>
  <c r="AN124" i="37"/>
  <c r="AT124" i="37" s="1"/>
  <c r="AY124" i="37" s="1"/>
  <c r="AE124" i="37" s="1"/>
  <c r="AN129" i="37"/>
  <c r="AN149" i="37"/>
  <c r="G149" i="37" s="1"/>
  <c r="AN152" i="37"/>
  <c r="AN165" i="37"/>
  <c r="AN112" i="37"/>
  <c r="AT112" i="37" s="1"/>
  <c r="AN61" i="37"/>
  <c r="AN37" i="37"/>
  <c r="G37" i="37" s="1"/>
  <c r="AN121" i="37"/>
  <c r="AN162" i="37"/>
  <c r="AN54" i="37"/>
  <c r="AN14" i="37"/>
  <c r="AC8" i="37"/>
  <c r="BG119" i="37" s="1"/>
  <c r="AN194" i="37"/>
  <c r="AN110" i="37"/>
  <c r="AN94" i="37"/>
  <c r="AN87" i="37"/>
  <c r="G87" i="37" s="1"/>
  <c r="AN80" i="37"/>
  <c r="G80" i="37" s="1"/>
  <c r="AN66" i="37"/>
  <c r="AT66" i="37" s="1"/>
  <c r="AN59" i="37"/>
  <c r="AT59" i="37" s="1"/>
  <c r="AN218" i="37"/>
  <c r="AT218" i="37" s="1"/>
  <c r="AN126" i="37"/>
  <c r="AN188" i="37"/>
  <c r="AN191" i="37"/>
  <c r="AN85" i="37"/>
  <c r="AN64" i="37"/>
  <c r="AN136" i="37"/>
  <c r="AN167" i="37"/>
  <c r="AT167" i="37" s="1"/>
  <c r="AN175" i="37"/>
  <c r="AN183" i="37"/>
  <c r="AN215" i="37"/>
  <c r="AN92" i="37"/>
  <c r="G92" i="37" s="1"/>
  <c r="AN24" i="37"/>
  <c r="G24" i="37" s="1"/>
  <c r="AN141" i="37"/>
  <c r="AN151" i="37"/>
  <c r="AT151" i="37" s="1"/>
  <c r="AN17" i="37"/>
  <c r="U2" i="37"/>
  <c r="AN148" i="37"/>
  <c r="AN161" i="37"/>
  <c r="AN185" i="37"/>
  <c r="AT185" i="37" s="1"/>
  <c r="AN62" i="37"/>
  <c r="AN38" i="37"/>
  <c r="AN10" i="37"/>
  <c r="G10" i="37" s="1"/>
  <c r="AN55" i="37"/>
  <c r="AN43" i="37"/>
  <c r="AN29" i="37"/>
  <c r="AN138" i="37"/>
  <c r="AT138" i="37" s="1"/>
  <c r="AN88" i="37"/>
  <c r="G88" i="37" s="1"/>
  <c r="AN36" i="37"/>
  <c r="AT36" i="37" s="1"/>
  <c r="AN145" i="37"/>
  <c r="G145" i="37" s="1"/>
  <c r="AN150" i="37"/>
  <c r="AN182" i="37"/>
  <c r="G182" i="37" s="1"/>
  <c r="AN206" i="37"/>
  <c r="G206" i="37" s="1"/>
  <c r="AN214" i="37"/>
  <c r="AN74" i="37"/>
  <c r="G74" i="37" s="1"/>
  <c r="P122" i="37"/>
  <c r="AV122" i="37"/>
  <c r="AN18" i="37"/>
  <c r="G18" i="37" s="1"/>
  <c r="AN140" i="37"/>
  <c r="AN190" i="37"/>
  <c r="AN34" i="37"/>
  <c r="AV209" i="37"/>
  <c r="P209" i="37"/>
  <c r="AU166" i="37"/>
  <c r="K166" i="37"/>
  <c r="K150" i="37"/>
  <c r="AU150" i="37"/>
  <c r="AN109" i="37"/>
  <c r="AT109" i="37" s="1"/>
  <c r="AN155" i="37"/>
  <c r="AV138" i="37"/>
  <c r="P138" i="37"/>
  <c r="AN20" i="37"/>
  <c r="AN174" i="37"/>
  <c r="AV18" i="37"/>
  <c r="P18" i="37"/>
  <c r="AN163" i="37"/>
  <c r="AN46" i="37"/>
  <c r="AV193" i="37"/>
  <c r="P193" i="37"/>
  <c r="AN166" i="37"/>
  <c r="AT166" i="37" s="1"/>
  <c r="AY166" i="37" s="1"/>
  <c r="AE166" i="37" s="1"/>
  <c r="AN135" i="37"/>
  <c r="G135" i="37" s="1"/>
  <c r="AN72" i="37"/>
  <c r="G72" i="37" s="1"/>
  <c r="AN171" i="37"/>
  <c r="AT171" i="37" s="1"/>
  <c r="U122" i="37"/>
  <c r="AW122" i="37"/>
  <c r="AN41" i="37"/>
  <c r="AX56" i="37"/>
  <c r="Z56" i="37"/>
  <c r="AN53" i="37"/>
  <c r="AN86" i="37"/>
  <c r="AT86" i="37" s="1"/>
  <c r="AN100" i="37"/>
  <c r="AX49" i="37"/>
  <c r="Z49" i="37"/>
  <c r="AN65" i="37"/>
  <c r="AN102" i="37"/>
  <c r="AN147" i="37"/>
  <c r="G147" i="37" s="1"/>
  <c r="AN13" i="37"/>
  <c r="G13" i="37" s="1"/>
  <c r="AN116" i="37"/>
  <c r="G116" i="37" s="1"/>
  <c r="AN118" i="37"/>
  <c r="AT118" i="37" s="1"/>
  <c r="P150" i="37"/>
  <c r="AV150" i="37"/>
  <c r="AV130" i="37"/>
  <c r="P130" i="37"/>
  <c r="AN79" i="37"/>
  <c r="AN25" i="37"/>
  <c r="AN93" i="37"/>
  <c r="K193" i="37"/>
  <c r="P151" i="37"/>
  <c r="P120" i="37"/>
  <c r="Z157" i="37"/>
  <c r="K131" i="37"/>
  <c r="K177" i="37"/>
  <c r="Z151" i="37"/>
  <c r="Z84" i="37"/>
  <c r="U206" i="37"/>
  <c r="Z127" i="37"/>
  <c r="Z159" i="37"/>
  <c r="K180" i="37"/>
  <c r="K204" i="37"/>
  <c r="Z170" i="37"/>
  <c r="Z124" i="37"/>
  <c r="P102" i="37"/>
  <c r="K109" i="37"/>
  <c r="K207" i="37"/>
  <c r="P163" i="37"/>
  <c r="Z147" i="37"/>
  <c r="K130" i="37"/>
  <c r="AW163" i="37"/>
  <c r="AW157" i="37"/>
  <c r="AX154" i="37"/>
  <c r="AX138" i="37"/>
  <c r="AV121" i="37"/>
  <c r="K121" i="37"/>
  <c r="Z179" i="37"/>
  <c r="K163" i="37"/>
  <c r="AX207" i="37"/>
  <c r="P178" i="37"/>
  <c r="Z126" i="37"/>
  <c r="AV211" i="37"/>
  <c r="AW202" i="37"/>
  <c r="AV196" i="37"/>
  <c r="AW184" i="37"/>
  <c r="AU181" i="37"/>
  <c r="AU175" i="37"/>
  <c r="AW149" i="37"/>
  <c r="AW144" i="37"/>
  <c r="P99" i="37"/>
  <c r="U126" i="37"/>
  <c r="AU196" i="37"/>
  <c r="AW187" i="37"/>
  <c r="AV184" i="37"/>
  <c r="P29" i="37"/>
  <c r="Z166" i="37"/>
  <c r="AV218" i="37"/>
  <c r="AU209" i="37"/>
  <c r="AN142" i="37"/>
  <c r="AW137" i="37"/>
  <c r="AN122" i="37"/>
  <c r="G122" i="37" s="1"/>
  <c r="AX120" i="37"/>
  <c r="G217" i="37"/>
  <c r="K157" i="37"/>
  <c r="P24" i="37"/>
  <c r="K216" i="37"/>
  <c r="AV143" i="37"/>
  <c r="AV210" i="37"/>
  <c r="AW177" i="37"/>
  <c r="AV171" i="37"/>
  <c r="AU132" i="37"/>
  <c r="K184" i="37"/>
  <c r="P164" i="37"/>
  <c r="P149" i="37"/>
  <c r="AV213" i="37"/>
  <c r="AU210" i="37"/>
  <c r="AX186" i="37"/>
  <c r="AW127" i="37"/>
  <c r="P169" i="37"/>
  <c r="AV169" i="37"/>
  <c r="AX200" i="37"/>
  <c r="Z200" i="37"/>
  <c r="AX197" i="37"/>
  <c r="Z197" i="37"/>
  <c r="AU151" i="37"/>
  <c r="K151" i="37"/>
  <c r="AX214" i="37"/>
  <c r="Z214" i="37"/>
  <c r="AX215" i="37"/>
  <c r="Z215" i="37"/>
  <c r="K213" i="37"/>
  <c r="AU213" i="37"/>
  <c r="P139" i="37"/>
  <c r="AV139" i="37"/>
  <c r="P206" i="37"/>
  <c r="AV206" i="37"/>
  <c r="AW148" i="37"/>
  <c r="U148" i="37"/>
  <c r="P81" i="37"/>
  <c r="AV81" i="37"/>
  <c r="AX45" i="37"/>
  <c r="Z45" i="37"/>
  <c r="K171" i="37"/>
  <c r="AU171" i="37"/>
  <c r="AX75" i="37"/>
  <c r="Z75" i="37"/>
  <c r="AW214" i="37"/>
  <c r="U214" i="37"/>
  <c r="AW200" i="37"/>
  <c r="U200" i="37"/>
  <c r="Z67" i="37"/>
  <c r="AV214" i="37"/>
  <c r="P214" i="37"/>
  <c r="AU164" i="37"/>
  <c r="K164" i="37"/>
  <c r="AU139" i="37"/>
  <c r="AW10" i="37"/>
  <c r="U10" i="37"/>
  <c r="AW218" i="37"/>
  <c r="AV147" i="37"/>
  <c r="P147" i="37"/>
  <c r="P142" i="37"/>
  <c r="AV142" i="37"/>
  <c r="P148" i="37"/>
  <c r="AW201" i="37"/>
  <c r="K147" i="37"/>
  <c r="AU147" i="37"/>
  <c r="AU142" i="37"/>
  <c r="K142" i="37"/>
  <c r="AX136" i="37"/>
  <c r="AW119" i="37"/>
  <c r="P22" i="37"/>
  <c r="K217" i="37"/>
  <c r="K148" i="37"/>
  <c r="AV201" i="37"/>
  <c r="AX187" i="37"/>
  <c r="K186" i="37"/>
  <c r="AU186" i="37"/>
  <c r="AX184" i="37"/>
  <c r="AX140" i="37"/>
  <c r="AW136" i="37"/>
  <c r="AW130" i="37"/>
  <c r="AX133" i="37"/>
  <c r="Z133" i="37"/>
  <c r="AX152" i="37"/>
  <c r="Z152" i="37"/>
  <c r="AX143" i="37"/>
  <c r="Z143" i="37"/>
  <c r="AV136" i="37"/>
  <c r="P136" i="37"/>
  <c r="K212" i="37"/>
  <c r="AU212" i="37"/>
  <c r="AW143" i="37"/>
  <c r="U143" i="37"/>
  <c r="AV34" i="37"/>
  <c r="P34" i="37"/>
  <c r="K169" i="37"/>
  <c r="AU201" i="37"/>
  <c r="K201" i="37"/>
  <c r="P155" i="37"/>
  <c r="AV155" i="37"/>
  <c r="AX146" i="37"/>
  <c r="Z146" i="37"/>
  <c r="AW34" i="37"/>
  <c r="U34" i="37"/>
  <c r="U191" i="37"/>
  <c r="AW191" i="37"/>
  <c r="P191" i="37"/>
  <c r="AV191" i="37"/>
  <c r="Z183" i="37"/>
  <c r="AU206" i="37"/>
  <c r="AV87" i="37"/>
  <c r="P87" i="37"/>
  <c r="K182" i="37"/>
  <c r="AU192" i="37"/>
  <c r="AX172" i="37"/>
  <c r="AW171" i="37"/>
  <c r="U171" i="37"/>
  <c r="P159" i="37"/>
  <c r="AV159" i="37"/>
  <c r="AV153" i="37"/>
  <c r="AX122" i="37"/>
  <c r="AX121" i="37"/>
  <c r="Z121" i="37"/>
  <c r="U84" i="37"/>
  <c r="U108" i="37"/>
  <c r="AW172" i="37"/>
  <c r="G58" i="37"/>
  <c r="Z162" i="37"/>
  <c r="Z150" i="37"/>
  <c r="K172" i="37"/>
  <c r="AW22" i="37"/>
  <c r="U198" i="37"/>
  <c r="K162" i="37"/>
  <c r="U150" i="37"/>
  <c r="AU57" i="37"/>
  <c r="K57" i="37"/>
  <c r="AV57" i="37"/>
  <c r="P57" i="37"/>
  <c r="AV215" i="37"/>
  <c r="P215" i="37"/>
  <c r="AU200" i="37"/>
  <c r="K200" i="37"/>
  <c r="U175" i="37"/>
  <c r="AW175" i="37"/>
  <c r="AV175" i="37"/>
  <c r="P175" i="37"/>
  <c r="AV202" i="37"/>
  <c r="P202" i="37"/>
  <c r="AU37" i="37"/>
  <c r="K37" i="37"/>
  <c r="AX91" i="37"/>
  <c r="Z91" i="37"/>
  <c r="K174" i="37"/>
  <c r="K125" i="37"/>
  <c r="AV176" i="37"/>
  <c r="P176" i="37"/>
  <c r="AW40" i="37"/>
  <c r="U40" i="37"/>
  <c r="AX53" i="37"/>
  <c r="Z53" i="37"/>
  <c r="AU70" i="37"/>
  <c r="K70" i="37"/>
  <c r="P200" i="37"/>
  <c r="U178" i="37"/>
  <c r="AW178" i="37"/>
  <c r="K176" i="37"/>
  <c r="AU176" i="37"/>
  <c r="U132" i="37"/>
  <c r="AW132" i="37"/>
  <c r="P194" i="37"/>
  <c r="AV194" i="37"/>
  <c r="Z156" i="37"/>
  <c r="AV192" i="37"/>
  <c r="P192" i="37"/>
  <c r="AX25" i="37"/>
  <c r="Z25" i="37"/>
  <c r="Z191" i="37"/>
  <c r="AX191" i="37"/>
  <c r="U159" i="37"/>
  <c r="AW159" i="37"/>
  <c r="AU136" i="37"/>
  <c r="K136" i="37"/>
  <c r="AU203" i="37"/>
  <c r="K203" i="37"/>
  <c r="Z163" i="37"/>
  <c r="AX163" i="37"/>
  <c r="K159" i="37"/>
  <c r="AU159" i="37"/>
  <c r="AW145" i="37"/>
  <c r="U145" i="37"/>
  <c r="AV186" i="37"/>
  <c r="P186" i="37"/>
  <c r="AV145" i="37"/>
  <c r="P145" i="37"/>
  <c r="Z54" i="37"/>
  <c r="P197" i="37"/>
  <c r="AV197" i="37"/>
  <c r="AX164" i="37"/>
  <c r="Z164" i="37"/>
  <c r="AX153" i="37"/>
  <c r="Z153" i="37"/>
  <c r="K215" i="37"/>
  <c r="P203" i="37"/>
  <c r="AV188" i="37"/>
  <c r="K167" i="37"/>
  <c r="AU167" i="37"/>
  <c r="P182" i="37"/>
  <c r="AV182" i="37"/>
  <c r="AX74" i="37"/>
  <c r="Z74" i="37"/>
  <c r="AV125" i="37"/>
  <c r="P125" i="37"/>
  <c r="AV65" i="37"/>
  <c r="P65" i="37"/>
  <c r="K219" i="37"/>
  <c r="Z213" i="37"/>
  <c r="U125" i="37"/>
  <c r="AX190" i="37"/>
  <c r="Z190" i="37"/>
  <c r="AW190" i="37"/>
  <c r="U190" i="37"/>
  <c r="AX40" i="37"/>
  <c r="Z40" i="37"/>
  <c r="AW85" i="37"/>
  <c r="U85" i="37"/>
  <c r="AU211" i="37"/>
  <c r="K211" i="37"/>
  <c r="AU127" i="37"/>
  <c r="K127" i="37"/>
  <c r="P156" i="37"/>
  <c r="AV180" i="37"/>
  <c r="P180" i="37"/>
  <c r="K156" i="37"/>
  <c r="AX198" i="37"/>
  <c r="Z198" i="37"/>
  <c r="AU133" i="37"/>
  <c r="K133" i="37"/>
  <c r="Z145" i="37"/>
  <c r="P128" i="37"/>
  <c r="AW55" i="37"/>
  <c r="U55" i="37"/>
  <c r="Z177" i="37"/>
  <c r="U162" i="37"/>
  <c r="AW162" i="37"/>
  <c r="K149" i="37"/>
  <c r="AU149" i="37"/>
  <c r="U100" i="37"/>
  <c r="U154" i="37"/>
  <c r="P181" i="37"/>
  <c r="AV181" i="37"/>
  <c r="P172" i="37"/>
  <c r="AV172" i="37"/>
  <c r="Z100" i="37"/>
  <c r="AX118" i="37"/>
  <c r="Z118" i="37"/>
  <c r="P189" i="37"/>
  <c r="P177" i="37"/>
  <c r="U133" i="37"/>
  <c r="U164" i="37"/>
  <c r="AW164" i="37"/>
  <c r="AW146" i="37"/>
  <c r="AV51" i="37"/>
  <c r="P51" i="37"/>
  <c r="K189" i="37"/>
  <c r="P133" i="37"/>
  <c r="AW213" i="37"/>
  <c r="AU165" i="37"/>
  <c r="K165" i="37"/>
  <c r="AV146" i="37"/>
  <c r="AW139" i="37"/>
  <c r="AW63" i="37"/>
  <c r="U63" i="37"/>
  <c r="Z148" i="37"/>
  <c r="U138" i="37"/>
  <c r="U151" i="37"/>
  <c r="AW151" i="37"/>
  <c r="U140" i="37"/>
  <c r="AV141" i="37"/>
  <c r="P141" i="37"/>
  <c r="AU123" i="37"/>
  <c r="K123" i="37"/>
  <c r="AU17" i="37"/>
  <c r="K17" i="37"/>
  <c r="AU18" i="37"/>
  <c r="K18" i="37"/>
  <c r="AW67" i="37"/>
  <c r="U67" i="37"/>
  <c r="AX142" i="37"/>
  <c r="Z142" i="37"/>
  <c r="AU16" i="37"/>
  <c r="K16" i="37"/>
  <c r="AV26" i="37"/>
  <c r="P26" i="37"/>
  <c r="U211" i="37"/>
  <c r="AW211" i="37"/>
  <c r="P205" i="37"/>
  <c r="AV205" i="37"/>
  <c r="Z132" i="37"/>
  <c r="AX132" i="37"/>
  <c r="AX196" i="37"/>
  <c r="Z196" i="37"/>
  <c r="AX180" i="37"/>
  <c r="P162" i="37"/>
  <c r="AV162" i="37"/>
  <c r="AW135" i="37"/>
  <c r="U135" i="37"/>
  <c r="AX130" i="37"/>
  <c r="AX71" i="37"/>
  <c r="Z71" i="37"/>
  <c r="U192" i="37"/>
  <c r="AW192" i="37"/>
  <c r="AU122" i="37"/>
  <c r="K122" i="37"/>
  <c r="U142" i="37"/>
  <c r="AV183" i="37"/>
  <c r="P183" i="37"/>
  <c r="U174" i="37"/>
  <c r="BE192" i="37"/>
  <c r="AH192" i="37" s="1"/>
  <c r="AX129" i="37"/>
  <c r="Z129" i="37"/>
  <c r="AX149" i="37"/>
  <c r="Z149" i="37"/>
  <c r="P174" i="37"/>
  <c r="AX217" i="37"/>
  <c r="Z217" i="37"/>
  <c r="Z123" i="37"/>
  <c r="AX123" i="37"/>
  <c r="AW195" i="37"/>
  <c r="U195" i="37"/>
  <c r="P217" i="37"/>
  <c r="AV217" i="37"/>
  <c r="BE177" i="37"/>
  <c r="AH177" i="37" s="1"/>
  <c r="Z131" i="37"/>
  <c r="AX131" i="37"/>
  <c r="AX128" i="37"/>
  <c r="Z128" i="37"/>
  <c r="AV190" i="37"/>
  <c r="P190" i="37"/>
  <c r="U165" i="37"/>
  <c r="AW165" i="37"/>
  <c r="AW161" i="37"/>
  <c r="U161" i="37"/>
  <c r="P158" i="37"/>
  <c r="AV158" i="37"/>
  <c r="AV135" i="37"/>
  <c r="P135" i="37"/>
  <c r="P173" i="37"/>
  <c r="AV173" i="37"/>
  <c r="K158" i="37"/>
  <c r="AU158" i="37"/>
  <c r="Z158" i="37"/>
  <c r="P212" i="37"/>
  <c r="AV212" i="37"/>
  <c r="BE206" i="37"/>
  <c r="AH206" i="37" s="1"/>
  <c r="AX144" i="37"/>
  <c r="Z144" i="37"/>
  <c r="AW134" i="37"/>
  <c r="U134" i="37"/>
  <c r="U158" i="37"/>
  <c r="Z193" i="37"/>
  <c r="AX199" i="37"/>
  <c r="Z199" i="37"/>
  <c r="AU183" i="37"/>
  <c r="K183" i="37"/>
  <c r="AW170" i="37"/>
  <c r="U170" i="37"/>
  <c r="AW129" i="37"/>
  <c r="U129" i="37"/>
  <c r="AV208" i="37"/>
  <c r="P208" i="37"/>
  <c r="AW217" i="37"/>
  <c r="U217" i="37"/>
  <c r="AX135" i="37"/>
  <c r="Z135" i="37"/>
  <c r="AV195" i="37"/>
  <c r="P195" i="37"/>
  <c r="AX161" i="37"/>
  <c r="Z161" i="37"/>
  <c r="BE144" i="37"/>
  <c r="AH144" i="37" s="1"/>
  <c r="AX212" i="37"/>
  <c r="Z212" i="37"/>
  <c r="AX201" i="37"/>
  <c r="Z201" i="37"/>
  <c r="AU195" i="37"/>
  <c r="K195" i="37"/>
  <c r="AX188" i="37"/>
  <c r="Z188" i="37"/>
  <c r="K214" i="37"/>
  <c r="AU214" i="37"/>
  <c r="AV154" i="37"/>
  <c r="P154" i="37"/>
  <c r="K135" i="37"/>
  <c r="AU135" i="37"/>
  <c r="AV131" i="37"/>
  <c r="P131" i="37"/>
  <c r="AU120" i="37"/>
  <c r="K120" i="37"/>
  <c r="U168" i="37"/>
  <c r="AW168" i="37"/>
  <c r="AX141" i="37"/>
  <c r="Z141" i="37"/>
  <c r="P127" i="37"/>
  <c r="AV127" i="37"/>
  <c r="U204" i="37"/>
  <c r="AW204" i="37"/>
  <c r="BE172" i="37"/>
  <c r="AH172" i="37" s="1"/>
  <c r="P168" i="37"/>
  <c r="AV168" i="37"/>
  <c r="K160" i="37"/>
  <c r="AU160" i="37"/>
  <c r="P144" i="37"/>
  <c r="AV144" i="37"/>
  <c r="BE140" i="37"/>
  <c r="AH140" i="37" s="1"/>
  <c r="BE121" i="37"/>
  <c r="AH121" i="37" s="1"/>
  <c r="U169" i="37"/>
  <c r="AV204" i="37"/>
  <c r="P204" i="37"/>
  <c r="K138" i="37"/>
  <c r="AU138" i="37"/>
  <c r="Z203" i="37"/>
  <c r="AX203" i="37"/>
  <c r="BE126" i="37"/>
  <c r="AH126" i="37" s="1"/>
  <c r="K187" i="37"/>
  <c r="AW215" i="37"/>
  <c r="U215" i="37"/>
  <c r="AW167" i="37"/>
  <c r="P137" i="37"/>
  <c r="AV137" i="37"/>
  <c r="U219" i="37"/>
  <c r="U207" i="37"/>
  <c r="U203" i="37"/>
  <c r="K199" i="37"/>
  <c r="K153" i="37"/>
  <c r="AV199" i="37"/>
  <c r="BE142" i="37"/>
  <c r="AH142" i="37" s="1"/>
  <c r="K137" i="37"/>
  <c r="AU137" i="37"/>
  <c r="BE132" i="37"/>
  <c r="AH132" i="37" s="1"/>
  <c r="AX167" i="37"/>
  <c r="Z167" i="37"/>
  <c r="U156" i="37"/>
  <c r="AW156" i="37"/>
  <c r="Z174" i="37"/>
  <c r="Z155" i="37"/>
  <c r="AX155" i="37"/>
  <c r="AV129" i="37"/>
  <c r="P129" i="37"/>
  <c r="K208" i="37"/>
  <c r="AU208" i="37"/>
  <c r="BE200" i="37"/>
  <c r="AH200" i="37" s="1"/>
  <c r="AW182" i="37"/>
  <c r="U182" i="37"/>
  <c r="AU145" i="37"/>
  <c r="K145" i="37"/>
  <c r="BE134" i="37"/>
  <c r="AH134" i="37" s="1"/>
  <c r="Z210" i="37"/>
  <c r="AX210" i="37"/>
  <c r="Z139" i="37"/>
  <c r="AX139" i="37"/>
  <c r="U210" i="37"/>
  <c r="AW210" i="37"/>
  <c r="U131" i="37"/>
  <c r="AW131" i="37"/>
  <c r="AW128" i="37"/>
  <c r="U128" i="37"/>
  <c r="AW212" i="37"/>
  <c r="U212" i="37"/>
  <c r="K190" i="37"/>
  <c r="AU190" i="37"/>
  <c r="P165" i="37"/>
  <c r="AV165" i="37"/>
  <c r="BE153" i="37"/>
  <c r="AH153" i="37" s="1"/>
  <c r="AU154" i="37"/>
  <c r="K154" i="37"/>
  <c r="Z216" i="37"/>
  <c r="U216" i="37"/>
  <c r="AW216" i="37"/>
  <c r="Z204" i="37"/>
  <c r="AX204" i="37"/>
  <c r="P160" i="37"/>
  <c r="AV160" i="37"/>
  <c r="Z169" i="37"/>
  <c r="P216" i="37"/>
  <c r="AV216" i="37"/>
  <c r="BE174" i="37"/>
  <c r="AH174" i="37" s="1"/>
  <c r="Z219" i="37"/>
  <c r="U153" i="37"/>
  <c r="AW199" i="37"/>
  <c r="AW186" i="37"/>
  <c r="P219" i="37"/>
  <c r="P207" i="37"/>
  <c r="U183" i="37"/>
  <c r="AX208" i="37"/>
  <c r="AW179" i="37"/>
  <c r="U179" i="37"/>
  <c r="K143" i="37"/>
  <c r="AU143" i="37"/>
  <c r="AU129" i="37"/>
  <c r="BE160" i="37"/>
  <c r="AH160" i="37" s="1"/>
  <c r="AV152" i="37"/>
  <c r="P152" i="37"/>
  <c r="K194" i="37"/>
  <c r="AU194" i="37"/>
  <c r="AU152" i="37"/>
  <c r="K152" i="37"/>
  <c r="BE193" i="37"/>
  <c r="AH193" i="37" s="1"/>
  <c r="AU126" i="37"/>
  <c r="K126" i="37"/>
  <c r="P167" i="37"/>
  <c r="U209" i="37"/>
  <c r="AW209" i="37"/>
  <c r="P161" i="37"/>
  <c r="AV161" i="37"/>
  <c r="AU205" i="37"/>
  <c r="K205" i="37"/>
  <c r="BE190" i="37"/>
  <c r="AH190" i="37" s="1"/>
  <c r="AU179" i="37"/>
  <c r="K179" i="37"/>
  <c r="BE127" i="37"/>
  <c r="AH127" i="37" s="1"/>
  <c r="BE170" i="37"/>
  <c r="AH170" i="37" s="1"/>
  <c r="AX119" i="37"/>
  <c r="Z119" i="37"/>
  <c r="P198" i="37"/>
  <c r="BE195" i="37"/>
  <c r="AH195" i="37" s="1"/>
  <c r="BE145" i="37"/>
  <c r="AH145" i="37" s="1"/>
  <c r="K198" i="37"/>
  <c r="BE139" i="37"/>
  <c r="AH139" i="37" s="1"/>
  <c r="BE120" i="37"/>
  <c r="AH120" i="37" s="1"/>
  <c r="Z211" i="37"/>
  <c r="U185" i="37"/>
  <c r="P179" i="37"/>
  <c r="P119" i="37"/>
  <c r="K202" i="37"/>
  <c r="AU202" i="37"/>
  <c r="BE180" i="37"/>
  <c r="AH180" i="37" s="1"/>
  <c r="Z175" i="37"/>
  <c r="AX175" i="37"/>
  <c r="K146" i="37"/>
  <c r="AU146" i="37"/>
  <c r="AW152" i="37"/>
  <c r="U152" i="37"/>
  <c r="AU134" i="37"/>
  <c r="K134" i="37"/>
  <c r="K155" i="37"/>
  <c r="AU155" i="37"/>
  <c r="P126" i="37"/>
  <c r="AV126" i="37"/>
  <c r="AX202" i="37"/>
  <c r="Z202" i="37"/>
  <c r="BE183" i="37"/>
  <c r="AH183" i="37" s="1"/>
  <c r="P185" i="37"/>
  <c r="AV185" i="37"/>
  <c r="AX181" i="37"/>
  <c r="Z181" i="37"/>
  <c r="Z185" i="37"/>
  <c r="AW196" i="37"/>
  <c r="U196" i="37"/>
  <c r="BE125" i="37"/>
  <c r="AH125" i="37" s="1"/>
  <c r="U166" i="37"/>
  <c r="AV187" i="37"/>
  <c r="P187" i="37"/>
  <c r="BE171" i="37"/>
  <c r="AH171" i="37" s="1"/>
  <c r="U160" i="37"/>
  <c r="AW160" i="37"/>
  <c r="BE219" i="37"/>
  <c r="AH219" i="37" s="1"/>
  <c r="BE194" i="37"/>
  <c r="AH194" i="37" s="1"/>
  <c r="BE185" i="37"/>
  <c r="AH185" i="37" s="1"/>
  <c r="BE173" i="37"/>
  <c r="AH173" i="37" s="1"/>
  <c r="AU168" i="37"/>
  <c r="K168" i="37"/>
  <c r="K144" i="37"/>
  <c r="AU144" i="37"/>
  <c r="AX218" i="37"/>
  <c r="Z218" i="37"/>
  <c r="BE196" i="37"/>
  <c r="AH196" i="37" s="1"/>
  <c r="U180" i="37"/>
  <c r="AW180" i="37"/>
  <c r="AV132" i="37"/>
  <c r="P132" i="37"/>
  <c r="K128" i="37"/>
  <c r="AU128" i="37"/>
  <c r="BE175" i="37"/>
  <c r="AH175" i="37" s="1"/>
  <c r="BE169" i="37"/>
  <c r="AH169" i="37" s="1"/>
  <c r="BE148" i="37"/>
  <c r="AH148" i="37" s="1"/>
  <c r="BE131" i="37"/>
  <c r="AH131" i="37" s="1"/>
  <c r="BE186" i="37"/>
  <c r="AH186" i="37" s="1"/>
  <c r="U181" i="37"/>
  <c r="BE191" i="37"/>
  <c r="AH191" i="37" s="1"/>
  <c r="K178" i="37"/>
  <c r="AU178" i="37"/>
  <c r="BE143" i="37"/>
  <c r="AH143" i="37" s="1"/>
  <c r="BE181" i="37"/>
  <c r="AH181" i="37" s="1"/>
  <c r="BE167" i="37"/>
  <c r="AH167" i="37" s="1"/>
  <c r="BE212" i="37"/>
  <c r="AH212" i="37" s="1"/>
  <c r="AX51" i="37"/>
  <c r="AX73" i="37"/>
  <c r="AX23" i="37"/>
  <c r="AX9" i="37"/>
  <c r="AX33" i="37"/>
  <c r="AX68" i="37"/>
  <c r="Z55" i="37"/>
  <c r="Z116" i="37"/>
  <c r="Z17" i="37"/>
  <c r="BE57" i="37"/>
  <c r="AH57" i="37" s="1"/>
  <c r="AX60" i="37"/>
  <c r="BE67" i="37"/>
  <c r="AH67" i="37" s="1"/>
  <c r="AX81" i="37"/>
  <c r="AX46" i="37"/>
  <c r="AX59" i="37"/>
  <c r="AX69" i="37"/>
  <c r="AX98" i="37"/>
  <c r="AX76" i="37"/>
  <c r="AX86" i="37"/>
  <c r="Z39" i="37"/>
  <c r="BE13" i="37"/>
  <c r="AH13" i="37" s="1"/>
  <c r="BE40" i="37"/>
  <c r="AH40" i="37" s="1"/>
  <c r="BE63" i="37"/>
  <c r="AH63" i="37" s="1"/>
  <c r="AW75" i="37"/>
  <c r="AW9" i="37"/>
  <c r="U49" i="37"/>
  <c r="U72" i="37"/>
  <c r="BE16" i="37"/>
  <c r="AH16" i="37" s="1"/>
  <c r="BE51" i="37"/>
  <c r="AH51" i="37" s="1"/>
  <c r="BE96" i="37"/>
  <c r="AH96" i="37" s="1"/>
  <c r="BE38" i="37"/>
  <c r="AH38" i="37" s="1"/>
  <c r="AW27" i="37"/>
  <c r="AW69" i="37"/>
  <c r="AW26" i="37"/>
  <c r="AW65" i="37"/>
  <c r="U71" i="37"/>
  <c r="U21" i="37"/>
  <c r="U54" i="37"/>
  <c r="AW45" i="37"/>
  <c r="U53" i="37"/>
  <c r="AW73" i="37"/>
  <c r="AW23" i="37"/>
  <c r="AW68" i="37"/>
  <c r="U76" i="37"/>
  <c r="U29" i="37"/>
  <c r="BE41" i="37"/>
  <c r="AH41" i="37" s="1"/>
  <c r="AW56" i="37"/>
  <c r="AW81" i="37"/>
  <c r="U99" i="37"/>
  <c r="BE23" i="37"/>
  <c r="AH23" i="37" s="1"/>
  <c r="U33" i="37"/>
  <c r="BE68" i="37"/>
  <c r="AH68" i="37" s="1"/>
  <c r="U87" i="37"/>
  <c r="AW43" i="37"/>
  <c r="AW59" i="37"/>
  <c r="U17" i="37"/>
  <c r="U51" i="37"/>
  <c r="AW20" i="37"/>
  <c r="U50" i="37"/>
  <c r="AW83" i="37"/>
  <c r="BE66" i="37"/>
  <c r="AH66" i="37" s="1"/>
  <c r="U101" i="37"/>
  <c r="U113" i="37"/>
  <c r="BE11" i="37"/>
  <c r="AH11" i="37" s="1"/>
  <c r="AW47" i="37"/>
  <c r="U64" i="37"/>
  <c r="BE69" i="37"/>
  <c r="AH69" i="37" s="1"/>
  <c r="BE74" i="37"/>
  <c r="AH74" i="37" s="1"/>
  <c r="BE107" i="37"/>
  <c r="AH107" i="37" s="1"/>
  <c r="BE59" i="37"/>
  <c r="AH59" i="37" s="1"/>
  <c r="BE106" i="37"/>
  <c r="AH106" i="37" s="1"/>
  <c r="BE115" i="37"/>
  <c r="AH115" i="37" s="1"/>
  <c r="BE118" i="37"/>
  <c r="AH118" i="37" s="1"/>
  <c r="P73" i="37"/>
  <c r="P49" i="37"/>
  <c r="P40" i="37"/>
  <c r="P68" i="37"/>
  <c r="BE117" i="37"/>
  <c r="AH117" i="37" s="1"/>
  <c r="AV23" i="37"/>
  <c r="BE24" i="37"/>
  <c r="AH24" i="37" s="1"/>
  <c r="BE31" i="37"/>
  <c r="AH31" i="37" s="1"/>
  <c r="P67" i="37"/>
  <c r="BE87" i="37"/>
  <c r="AH87" i="37" s="1"/>
  <c r="BE114" i="37"/>
  <c r="AH114" i="37" s="1"/>
  <c r="AV55" i="37"/>
  <c r="AV21" i="37"/>
  <c r="AV37" i="37"/>
  <c r="AV42" i="37"/>
  <c r="AV69" i="37"/>
  <c r="AV85" i="37"/>
  <c r="AV80" i="37"/>
  <c r="AV10" i="37"/>
  <c r="AV30" i="37"/>
  <c r="AV56" i="37"/>
  <c r="AV84" i="37"/>
  <c r="AV75" i="37"/>
  <c r="AV76" i="37"/>
  <c r="AV46" i="37"/>
  <c r="AV115" i="37"/>
  <c r="AV19" i="37"/>
  <c r="AV45" i="37"/>
  <c r="P101" i="37"/>
  <c r="P48" i="37"/>
  <c r="P53" i="37"/>
  <c r="P20" i="37"/>
  <c r="BE26" i="37"/>
  <c r="AH26" i="37" s="1"/>
  <c r="AV38" i="37"/>
  <c r="AV43" i="37"/>
  <c r="BE61" i="37"/>
  <c r="AH61" i="37" s="1"/>
  <c r="BE78" i="37"/>
  <c r="AH78" i="37" s="1"/>
  <c r="BE95" i="37"/>
  <c r="AH95" i="37" s="1"/>
  <c r="AU68" i="37"/>
  <c r="AU23" i="37"/>
  <c r="K29" i="37"/>
  <c r="AU10" i="37"/>
  <c r="K46" i="37"/>
  <c r="AU81" i="37"/>
  <c r="BE82" i="37"/>
  <c r="AH82" i="37" s="1"/>
  <c r="K110" i="37"/>
  <c r="K26" i="37"/>
  <c r="AU42" i="37"/>
  <c r="AU76" i="37"/>
  <c r="AU80" i="37"/>
  <c r="BE9" i="37"/>
  <c r="AH9" i="37" s="1"/>
  <c r="AU73" i="37"/>
  <c r="AU85" i="37"/>
  <c r="AU34" i="37"/>
  <c r="AU40" i="37"/>
  <c r="AU56" i="37"/>
  <c r="AU65" i="37"/>
  <c r="AU31" i="37"/>
  <c r="BE32" i="37"/>
  <c r="AH32" i="37" s="1"/>
  <c r="AU15" i="37"/>
  <c r="AU38" i="37"/>
  <c r="AU45" i="37"/>
  <c r="AU30" i="37"/>
  <c r="K108" i="37"/>
  <c r="K92" i="37"/>
  <c r="BE44" i="37"/>
  <c r="AH44" i="37" s="1"/>
  <c r="K55" i="37"/>
  <c r="BE71" i="37"/>
  <c r="AH71" i="37" s="1"/>
  <c r="AU115" i="37"/>
  <c r="BE52" i="37"/>
  <c r="AH52" i="37" s="1"/>
  <c r="AU69" i="37"/>
  <c r="AX22" i="37"/>
  <c r="Z22" i="37"/>
  <c r="AX14" i="37"/>
  <c r="Z14" i="37"/>
  <c r="P15" i="37"/>
  <c r="AV15" i="37"/>
  <c r="U38" i="37"/>
  <c r="AW38" i="37"/>
  <c r="AW66" i="37"/>
  <c r="U66" i="37"/>
  <c r="AW111" i="37"/>
  <c r="U111" i="37"/>
  <c r="BE45" i="37"/>
  <c r="AH45" i="37" s="1"/>
  <c r="BE104" i="37"/>
  <c r="AH104" i="37" s="1"/>
  <c r="AX111" i="37"/>
  <c r="Z111" i="37"/>
  <c r="AW14" i="37"/>
  <c r="AX43" i="37"/>
  <c r="AX64" i="37"/>
  <c r="Z64" i="37"/>
  <c r="AU96" i="37"/>
  <c r="K96" i="37"/>
  <c r="AX97" i="37"/>
  <c r="Z97" i="37"/>
  <c r="AW11" i="37"/>
  <c r="AW13" i="37"/>
  <c r="AX20" i="37"/>
  <c r="AX27" i="37"/>
  <c r="AW41" i="37"/>
  <c r="AU58" i="37"/>
  <c r="AW78" i="37"/>
  <c r="U78" i="37"/>
  <c r="AV79" i="37"/>
  <c r="AV96" i="37"/>
  <c r="P96" i="37"/>
  <c r="AV103" i="37"/>
  <c r="AU106" i="37"/>
  <c r="K106" i="37"/>
  <c r="AV118" i="37"/>
  <c r="P118" i="37"/>
  <c r="AX13" i="37"/>
  <c r="AW37" i="37"/>
  <c r="AX41" i="37"/>
  <c r="BE43" i="37"/>
  <c r="AH43" i="37" s="1"/>
  <c r="BE14" i="37"/>
  <c r="AH14" i="37" s="1"/>
  <c r="BE17" i="37"/>
  <c r="AH17" i="37" s="1"/>
  <c r="AX19" i="37"/>
  <c r="BE27" i="37"/>
  <c r="AH27" i="37" s="1"/>
  <c r="AX63" i="37"/>
  <c r="AX79" i="37"/>
  <c r="AX85" i="37"/>
  <c r="Z85" i="37"/>
  <c r="AW106" i="37"/>
  <c r="U106" i="37"/>
  <c r="AW35" i="37"/>
  <c r="BE64" i="37"/>
  <c r="AH64" i="37" s="1"/>
  <c r="BE10" i="37"/>
  <c r="AH10" i="37" s="1"/>
  <c r="BE19" i="37"/>
  <c r="AH19" i="37" s="1"/>
  <c r="BE36" i="37"/>
  <c r="AH36" i="37" s="1"/>
  <c r="Z50" i="37"/>
  <c r="AX50" i="37"/>
  <c r="AX57" i="37"/>
  <c r="BE86" i="37"/>
  <c r="AH86" i="37" s="1"/>
  <c r="AU95" i="37"/>
  <c r="K95" i="37"/>
  <c r="AW96" i="37"/>
  <c r="BE42" i="37"/>
  <c r="AH42" i="37" s="1"/>
  <c r="K49" i="37"/>
  <c r="AU49" i="37"/>
  <c r="BE65" i="37"/>
  <c r="AH65" i="37" s="1"/>
  <c r="AV95" i="37"/>
  <c r="P95" i="37"/>
  <c r="P109" i="37"/>
  <c r="AV109" i="37"/>
  <c r="BE35" i="37"/>
  <c r="AH35" i="37" s="1"/>
  <c r="U109" i="37"/>
  <c r="AW109" i="37"/>
  <c r="U15" i="37"/>
  <c r="U31" i="37"/>
  <c r="Z38" i="37"/>
  <c r="AW60" i="37"/>
  <c r="U60" i="37"/>
  <c r="AV61" i="37"/>
  <c r="K103" i="37"/>
  <c r="AV105" i="37"/>
  <c r="Z109" i="37"/>
  <c r="AX109" i="37"/>
  <c r="AV117" i="37"/>
  <c r="Z15" i="37"/>
  <c r="K32" i="37"/>
  <c r="BE56" i="37"/>
  <c r="AH56" i="37" s="1"/>
  <c r="U93" i="37"/>
  <c r="AV59" i="37"/>
  <c r="P59" i="37"/>
  <c r="BE72" i="37"/>
  <c r="AH72" i="37" s="1"/>
  <c r="K87" i="37"/>
  <c r="AU87" i="37"/>
  <c r="AX105" i="37"/>
  <c r="U114" i="37"/>
  <c r="AU47" i="37"/>
  <c r="AU60" i="37"/>
  <c r="AX70" i="37"/>
  <c r="BE73" i="37"/>
  <c r="AH73" i="37" s="1"/>
  <c r="AX66" i="37"/>
  <c r="Z66" i="37"/>
  <c r="P93" i="37"/>
  <c r="AV93" i="37"/>
  <c r="BE46" i="37"/>
  <c r="AH46" i="37" s="1"/>
  <c r="AX21" i="37"/>
  <c r="AV31" i="37"/>
  <c r="AW19" i="37"/>
  <c r="BE22" i="37"/>
  <c r="AH22" i="37" s="1"/>
  <c r="AW30" i="37"/>
  <c r="AW42" i="37"/>
  <c r="AV58" i="37"/>
  <c r="AX78" i="37"/>
  <c r="Z78" i="37"/>
  <c r="AW79" i="37"/>
  <c r="AU93" i="37"/>
  <c r="AW97" i="37"/>
  <c r="BE98" i="37"/>
  <c r="AH98" i="37" s="1"/>
  <c r="AV106" i="37"/>
  <c r="P106" i="37"/>
  <c r="BE28" i="37"/>
  <c r="AH28" i="37" s="1"/>
  <c r="AX29" i="37"/>
  <c r="AX37" i="37"/>
  <c r="AX42" i="37"/>
  <c r="Z102" i="37"/>
  <c r="AX102" i="37"/>
  <c r="BE20" i="37"/>
  <c r="AH20" i="37" s="1"/>
  <c r="AW57" i="37"/>
  <c r="AX65" i="37"/>
  <c r="AX106" i="37"/>
  <c r="Z106" i="37"/>
  <c r="U117" i="37"/>
  <c r="AW117" i="37"/>
  <c r="AW118" i="37"/>
  <c r="AX35" i="37"/>
  <c r="AX62" i="37"/>
  <c r="BE12" i="37"/>
  <c r="AH12" i="37" s="1"/>
  <c r="BE18" i="37"/>
  <c r="AH18" i="37" s="1"/>
  <c r="AV77" i="37"/>
  <c r="AX83" i="37"/>
  <c r="U91" i="37"/>
  <c r="AW91" i="37"/>
  <c r="U25" i="37"/>
  <c r="K39" i="37"/>
  <c r="BE55" i="37"/>
  <c r="AH55" i="37" s="1"/>
  <c r="AW77" i="37"/>
  <c r="Z115" i="37"/>
  <c r="AU117" i="37"/>
  <c r="BE34" i="37"/>
  <c r="AH34" i="37" s="1"/>
  <c r="P39" i="37"/>
  <c r="BE62" i="37"/>
  <c r="AH62" i="37" s="1"/>
  <c r="AX77" i="37"/>
  <c r="AV82" i="37"/>
  <c r="P82" i="37"/>
  <c r="AU104" i="37"/>
  <c r="K104" i="37"/>
  <c r="Z31" i="37"/>
  <c r="U39" i="37"/>
  <c r="Z47" i="37"/>
  <c r="AX47" i="37"/>
  <c r="AW61" i="37"/>
  <c r="AW82" i="37"/>
  <c r="U82" i="37"/>
  <c r="AW95" i="37"/>
  <c r="U103" i="37"/>
  <c r="AW105" i="37"/>
  <c r="P114" i="37"/>
  <c r="P32" i="37"/>
  <c r="AX61" i="37"/>
  <c r="Z93" i="37"/>
  <c r="Z103" i="37"/>
  <c r="AV47" i="37"/>
  <c r="AV60" i="37"/>
  <c r="BE76" i="37"/>
  <c r="AH76" i="37" s="1"/>
  <c r="K101" i="37"/>
  <c r="K102" i="37"/>
  <c r="AX104" i="37"/>
  <c r="BE112" i="37"/>
  <c r="AH112" i="37" s="1"/>
  <c r="U115" i="37"/>
  <c r="AW115" i="37"/>
  <c r="BE60" i="37"/>
  <c r="AH60" i="37" s="1"/>
  <c r="BE30" i="37"/>
  <c r="AH30" i="37" s="1"/>
  <c r="BE81" i="37"/>
  <c r="AH81" i="37" s="1"/>
  <c r="BE15" i="37"/>
  <c r="AH15" i="37" s="1"/>
  <c r="BE25" i="37"/>
  <c r="AH25" i="37" s="1"/>
  <c r="BE48" i="37"/>
  <c r="AH48" i="37" s="1"/>
  <c r="AX52" i="37"/>
  <c r="BE93" i="37"/>
  <c r="AH93" i="37" s="1"/>
  <c r="BE94" i="37"/>
  <c r="AH94" i="37" s="1"/>
  <c r="AX113" i="37"/>
  <c r="BE50" i="37"/>
  <c r="AH50" i="37" s="1"/>
  <c r="AW86" i="37"/>
  <c r="BE99" i="37"/>
  <c r="AH99" i="37" s="1"/>
  <c r="BE80" i="37"/>
  <c r="AH80" i="37" s="1"/>
  <c r="BE47" i="37"/>
  <c r="AH47" i="37" s="1"/>
  <c r="AU72" i="37"/>
  <c r="AX87" i="37"/>
  <c r="BE90" i="37"/>
  <c r="AH90" i="37" s="1"/>
  <c r="BE108" i="37"/>
  <c r="AH108" i="37" s="1"/>
  <c r="AU82" i="37"/>
  <c r="K82" i="37"/>
  <c r="G27" i="37"/>
  <c r="K35" i="37"/>
  <c r="AW36" i="37"/>
  <c r="P41" i="37"/>
  <c r="AV72" i="37"/>
  <c r="P72" i="37"/>
  <c r="U24" i="37"/>
  <c r="K27" i="37"/>
  <c r="AW28" i="37"/>
  <c r="P35" i="37"/>
  <c r="K36" i="37"/>
  <c r="AX36" i="37"/>
  <c r="BE49" i="37"/>
  <c r="AH49" i="37" s="1"/>
  <c r="AU79" i="37"/>
  <c r="K79" i="37"/>
  <c r="Z16" i="37"/>
  <c r="AW16" i="37"/>
  <c r="Z24" i="37"/>
  <c r="K25" i="37"/>
  <c r="P27" i="37"/>
  <c r="K28" i="37"/>
  <c r="AX28" i="37"/>
  <c r="Z30" i="37"/>
  <c r="U32" i="37"/>
  <c r="K33" i="37"/>
  <c r="P36" i="37"/>
  <c r="K51" i="37"/>
  <c r="AU53" i="37"/>
  <c r="AX82" i="37"/>
  <c r="Z82" i="37"/>
  <c r="P25" i="37"/>
  <c r="P28" i="37"/>
  <c r="Z32" i="37"/>
  <c r="P33" i="37"/>
  <c r="U46" i="37"/>
  <c r="AV110" i="37"/>
  <c r="P110" i="37"/>
  <c r="P78" i="37"/>
  <c r="AV78" i="37"/>
  <c r="AX34" i="37"/>
  <c r="AX44" i="37"/>
  <c r="Z44" i="37"/>
  <c r="AU50" i="37"/>
  <c r="AW102" i="37"/>
  <c r="U102" i="37"/>
  <c r="AW110" i="37"/>
  <c r="U110" i="37"/>
  <c r="AX10" i="37"/>
  <c r="AV11" i="37"/>
  <c r="K12" i="37"/>
  <c r="AV12" i="37"/>
  <c r="K13" i="37"/>
  <c r="AX26" i="37"/>
  <c r="BE29" i="37"/>
  <c r="AH29" i="37" s="1"/>
  <c r="AV50" i="37"/>
  <c r="K41" i="37"/>
  <c r="K11" i="37"/>
  <c r="AU44" i="37"/>
  <c r="BE53" i="37"/>
  <c r="AH53" i="37" s="1"/>
  <c r="U58" i="37"/>
  <c r="AV94" i="37"/>
  <c r="P94" i="37"/>
  <c r="P16" i="37"/>
  <c r="AW80" i="37"/>
  <c r="U80" i="37"/>
  <c r="AX96" i="37"/>
  <c r="AU71" i="37"/>
  <c r="K71" i="37"/>
  <c r="K19" i="37"/>
  <c r="P9" i="37"/>
  <c r="AV13" i="37"/>
  <c r="K14" i="37"/>
  <c r="AW18" i="37"/>
  <c r="K21" i="37"/>
  <c r="P44" i="37"/>
  <c r="AW52" i="37"/>
  <c r="AU90" i="37"/>
  <c r="K90" i="37"/>
  <c r="Z11" i="37"/>
  <c r="AV17" i="37"/>
  <c r="AX12" i="37"/>
  <c r="Z18" i="37"/>
  <c r="K9" i="37"/>
  <c r="P14" i="37"/>
  <c r="K43" i="37"/>
  <c r="U44" i="37"/>
  <c r="AW48" i="37"/>
  <c r="U48" i="37"/>
  <c r="AV54" i="37"/>
  <c r="AU74" i="37"/>
  <c r="K74" i="37"/>
  <c r="BE79" i="37"/>
  <c r="AH79" i="37" s="1"/>
  <c r="AW94" i="37"/>
  <c r="AX58" i="37"/>
  <c r="Z58" i="37"/>
  <c r="AW12" i="37"/>
  <c r="K64" i="37"/>
  <c r="AU64" i="37"/>
  <c r="K20" i="37"/>
  <c r="K22" i="37"/>
  <c r="Z48" i="37"/>
  <c r="AX48" i="37"/>
  <c r="K105" i="37"/>
  <c r="AU105" i="37"/>
  <c r="AW107" i="37"/>
  <c r="U107" i="37"/>
  <c r="AV52" i="37"/>
  <c r="AU61" i="37"/>
  <c r="K62" i="37"/>
  <c r="AW62" i="37"/>
  <c r="AU94" i="37"/>
  <c r="K94" i="37"/>
  <c r="AX101" i="37"/>
  <c r="Z101" i="37"/>
  <c r="AX94" i="37"/>
  <c r="Z94" i="37"/>
  <c r="AU107" i="37"/>
  <c r="K107" i="37"/>
  <c r="BE70" i="37"/>
  <c r="AH70" i="37" s="1"/>
  <c r="BE75" i="37"/>
  <c r="AH75" i="37" s="1"/>
  <c r="AV83" i="37"/>
  <c r="BE85" i="37"/>
  <c r="AH85" i="37" s="1"/>
  <c r="AV89" i="37"/>
  <c r="P89" i="37"/>
  <c r="AX95" i="37"/>
  <c r="AX107" i="37"/>
  <c r="Z107" i="37"/>
  <c r="AU116" i="37"/>
  <c r="K116" i="37"/>
  <c r="AW89" i="37"/>
  <c r="U89" i="37"/>
  <c r="AV116" i="37"/>
  <c r="P116" i="37"/>
  <c r="AV107" i="37"/>
  <c r="AW116" i="37"/>
  <c r="U116" i="37"/>
  <c r="Z117" i="37"/>
  <c r="AX117" i="37"/>
  <c r="AU78" i="37"/>
  <c r="K91" i="37"/>
  <c r="AU91" i="37"/>
  <c r="BE83" i="37"/>
  <c r="AH83" i="37" s="1"/>
  <c r="P91" i="37"/>
  <c r="AV91" i="37"/>
  <c r="AX114" i="37"/>
  <c r="Z114" i="37"/>
  <c r="K59" i="37"/>
  <c r="K77" i="37"/>
  <c r="BE97" i="37"/>
  <c r="AH97" i="37" s="1"/>
  <c r="AU100" i="37"/>
  <c r="K100" i="37"/>
  <c r="AV92" i="37"/>
  <c r="P92" i="37"/>
  <c r="P71" i="37"/>
  <c r="Z80" i="37"/>
  <c r="U92" i="37"/>
  <c r="AW92" i="37"/>
  <c r="K52" i="37"/>
  <c r="K63" i="37"/>
  <c r="P63" i="37"/>
  <c r="P64" i="37"/>
  <c r="K66" i="37"/>
  <c r="AV70" i="37"/>
  <c r="P74" i="37"/>
  <c r="AW74" i="37"/>
  <c r="K75" i="37"/>
  <c r="AV111" i="37"/>
  <c r="P111" i="37"/>
  <c r="AV62" i="37"/>
  <c r="P66" i="37"/>
  <c r="K67" i="37"/>
  <c r="AW70" i="37"/>
  <c r="Z72" i="37"/>
  <c r="AX110" i="37"/>
  <c r="AU118" i="37"/>
  <c r="K118" i="37"/>
  <c r="AX92" i="37"/>
  <c r="AW90" i="37"/>
  <c r="U90" i="37"/>
  <c r="AV98" i="37"/>
  <c r="P98" i="37"/>
  <c r="K89" i="37"/>
  <c r="AX90" i="37"/>
  <c r="Z90" i="37"/>
  <c r="AU111" i="37"/>
  <c r="AU86" i="37"/>
  <c r="K86" i="37"/>
  <c r="K99" i="37"/>
  <c r="AW104" i="37"/>
  <c r="U104" i="37"/>
  <c r="BE105" i="37"/>
  <c r="AH105" i="37" s="1"/>
  <c r="AU112" i="37"/>
  <c r="K112" i="37"/>
  <c r="AV86" i="37"/>
  <c r="P86" i="37"/>
  <c r="P90" i="37"/>
  <c r="BE91" i="37"/>
  <c r="AH91" i="37" s="1"/>
  <c r="K88" i="37"/>
  <c r="AW88" i="37"/>
  <c r="Z89" i="37"/>
  <c r="AW98" i="37"/>
  <c r="P88" i="37"/>
  <c r="AX88" i="37"/>
  <c r="K98" i="37"/>
  <c r="Z99" i="37"/>
  <c r="K83" i="37"/>
  <c r="K97" i="37"/>
  <c r="K84" i="37"/>
  <c r="BE88" i="37"/>
  <c r="AH88" i="37" s="1"/>
  <c r="P97" i="37"/>
  <c r="BE109" i="37"/>
  <c r="AH109" i="37" s="1"/>
  <c r="BE101" i="37"/>
  <c r="AH101" i="37" s="1"/>
  <c r="P112" i="37"/>
  <c r="U112" i="37"/>
  <c r="K113" i="37"/>
  <c r="P108" i="37"/>
  <c r="BE111" i="37"/>
  <c r="AH111" i="37" s="1"/>
  <c r="Z112" i="37"/>
  <c r="P113" i="37"/>
  <c r="P104" i="37"/>
  <c r="Z108" i="37"/>
  <c r="BE89" i="37"/>
  <c r="AH89" i="37" s="1"/>
  <c r="P100" i="37"/>
  <c r="BE103" i="37"/>
  <c r="AH103" i="37" s="1"/>
  <c r="K114" i="37"/>
  <c r="B7" i="36"/>
  <c r="B6" i="36"/>
  <c r="D6" i="36"/>
  <c r="A60" i="36"/>
  <c r="N60" i="36" s="1"/>
  <c r="AE6" i="38" l="1" a="1"/>
  <c r="AE6" i="38" s="1"/>
  <c r="AO60" i="36"/>
  <c r="P60" i="36"/>
  <c r="Q60" i="36"/>
  <c r="AT87" i="37"/>
  <c r="AY87" i="37" s="1"/>
  <c r="AE87" i="37" s="1"/>
  <c r="AT178" i="37"/>
  <c r="AY178" i="37" s="1"/>
  <c r="AE178" i="37" s="1"/>
  <c r="AY67" i="37"/>
  <c r="AE67" i="37" s="1"/>
  <c r="AY157" i="37"/>
  <c r="AE157" i="37" s="1"/>
  <c r="AT120" i="37"/>
  <c r="AY120" i="37" s="1"/>
  <c r="AE120" i="37" s="1"/>
  <c r="BI26" i="37"/>
  <c r="R18" i="38"/>
  <c r="S18" i="38"/>
  <c r="U18" i="38"/>
  <c r="Q19" i="38" a="1"/>
  <c r="Q19" i="38" s="1"/>
  <c r="S19" i="38" s="1"/>
  <c r="V18" i="38"/>
  <c r="G66" i="37"/>
  <c r="AT15" i="37"/>
  <c r="AY15" i="37" s="1"/>
  <c r="AE15" i="37" s="1"/>
  <c r="AT88" i="37"/>
  <c r="AY88" i="37" s="1"/>
  <c r="AE88" i="37" s="1"/>
  <c r="AT40" i="37"/>
  <c r="AY40" i="37" s="1"/>
  <c r="AE40" i="37" s="1"/>
  <c r="G166" i="37"/>
  <c r="AT24" i="37"/>
  <c r="AY24" i="37" s="1"/>
  <c r="AE24" i="37" s="1"/>
  <c r="BH104" i="37"/>
  <c r="AT69" i="37"/>
  <c r="AY69" i="37" s="1"/>
  <c r="AE69" i="37" s="1"/>
  <c r="G16" i="37"/>
  <c r="BN28" i="37"/>
  <c r="AT68" i="37"/>
  <c r="AY68" i="37" s="1"/>
  <c r="AE68" i="37" s="1"/>
  <c r="G208" i="37"/>
  <c r="G181" i="37"/>
  <c r="AT212" i="37"/>
  <c r="AY212" i="37" s="1"/>
  <c r="AE212" i="37" s="1"/>
  <c r="AT135" i="37"/>
  <c r="AY135" i="37" s="1"/>
  <c r="AE135" i="37" s="1"/>
  <c r="AT72" i="37"/>
  <c r="AY72" i="37" s="1"/>
  <c r="AE72" i="37" s="1"/>
  <c r="G36" i="37"/>
  <c r="G127" i="37"/>
  <c r="G57" i="37"/>
  <c r="AT176" i="37"/>
  <c r="AY176" i="37" s="1"/>
  <c r="AE176" i="37" s="1"/>
  <c r="G200" i="37"/>
  <c r="AT145" i="37"/>
  <c r="AY145" i="37" s="1"/>
  <c r="AE145" i="37" s="1"/>
  <c r="BN169" i="37"/>
  <c r="AT119" i="37"/>
  <c r="AY119" i="37" s="1"/>
  <c r="AE119" i="37" s="1"/>
  <c r="G118" i="37"/>
  <c r="AT92" i="37"/>
  <c r="AY92" i="37" s="1"/>
  <c r="AE92" i="37" s="1"/>
  <c r="G168" i="37"/>
  <c r="G157" i="37"/>
  <c r="AT13" i="37"/>
  <c r="AY13" i="37" s="1"/>
  <c r="AE13" i="37" s="1"/>
  <c r="G143" i="37"/>
  <c r="G144" i="37"/>
  <c r="G83" i="37"/>
  <c r="G12" i="37"/>
  <c r="AT147" i="37"/>
  <c r="AY147" i="37" s="1"/>
  <c r="AE147" i="37" s="1"/>
  <c r="T18" i="38"/>
  <c r="G195" i="37"/>
  <c r="AT182" i="37"/>
  <c r="AY182" i="37" s="1"/>
  <c r="AE182" i="37" s="1"/>
  <c r="G184" i="37"/>
  <c r="G35" i="37"/>
  <c r="G109" i="37"/>
  <c r="G59" i="37"/>
  <c r="G33" i="37"/>
  <c r="C60" i="36"/>
  <c r="AY128" i="37"/>
  <c r="AE128" i="37" s="1"/>
  <c r="G128" i="37"/>
  <c r="G28" i="37"/>
  <c r="AT201" i="37"/>
  <c r="AY201" i="37" s="1"/>
  <c r="AE201" i="37" s="1"/>
  <c r="AT209" i="37"/>
  <c r="AY209" i="37" s="1"/>
  <c r="AE209" i="37" s="1"/>
  <c r="AT193" i="37"/>
  <c r="AY193" i="37" s="1"/>
  <c r="AE193" i="37" s="1"/>
  <c r="AT211" i="37"/>
  <c r="AY211" i="37" s="1"/>
  <c r="AE211" i="37" s="1"/>
  <c r="AT74" i="37"/>
  <c r="AY74" i="37" s="1"/>
  <c r="AE74" i="37" s="1"/>
  <c r="G171" i="37"/>
  <c r="AT149" i="37"/>
  <c r="AY149" i="37" s="1"/>
  <c r="AE149" i="37" s="1"/>
  <c r="AT80" i="37"/>
  <c r="AY80" i="37" s="1"/>
  <c r="AE80" i="37" s="1"/>
  <c r="AT206" i="37"/>
  <c r="AY206" i="37" s="1"/>
  <c r="AE206" i="37" s="1"/>
  <c r="G151" i="37"/>
  <c r="BM207" i="37"/>
  <c r="G203" i="37"/>
  <c r="G104" i="37"/>
  <c r="AT114" i="37"/>
  <c r="AY114" i="37" s="1"/>
  <c r="AE114" i="37" s="1"/>
  <c r="G124" i="37"/>
  <c r="BM188" i="37"/>
  <c r="G216" i="37"/>
  <c r="AT186" i="37"/>
  <c r="AY186" i="37" s="1"/>
  <c r="AE186" i="37" s="1"/>
  <c r="AT42" i="37"/>
  <c r="AY42" i="37" s="1"/>
  <c r="AE42" i="37" s="1"/>
  <c r="G108" i="37"/>
  <c r="BM98" i="37"/>
  <c r="BL163" i="37"/>
  <c r="BL30" i="37"/>
  <c r="BH29" i="37"/>
  <c r="G112" i="37"/>
  <c r="G82" i="37"/>
  <c r="G204" i="37"/>
  <c r="AT99" i="37"/>
  <c r="AY99" i="37" s="1"/>
  <c r="AE99" i="37" s="1"/>
  <c r="AT179" i="37"/>
  <c r="AY179" i="37" s="1"/>
  <c r="AE179" i="37" s="1"/>
  <c r="AT160" i="37"/>
  <c r="AY160" i="37" s="1"/>
  <c r="AE160" i="37" s="1"/>
  <c r="G115" i="37"/>
  <c r="BN54" i="37"/>
  <c r="AT116" i="37"/>
  <c r="AY116" i="37" s="1"/>
  <c r="AE116" i="37" s="1"/>
  <c r="AN219" i="37"/>
  <c r="G218" i="37"/>
  <c r="BN105" i="37"/>
  <c r="BG159" i="37"/>
  <c r="BM107" i="37"/>
  <c r="BM158" i="37"/>
  <c r="BH16" i="37"/>
  <c r="AY169" i="37"/>
  <c r="AE169" i="37" s="1"/>
  <c r="G169" i="37"/>
  <c r="AT172" i="37"/>
  <c r="AY172" i="37" s="1"/>
  <c r="AE172" i="37" s="1"/>
  <c r="G86" i="37"/>
  <c r="G185" i="37"/>
  <c r="BN157" i="37"/>
  <c r="BM11" i="37"/>
  <c r="BG51" i="37"/>
  <c r="BG31" i="37"/>
  <c r="AT103" i="37"/>
  <c r="AY103" i="37" s="1"/>
  <c r="AE103" i="37" s="1"/>
  <c r="BM58" i="37"/>
  <c r="BM208" i="37"/>
  <c r="BN190" i="37"/>
  <c r="BM206" i="37"/>
  <c r="G48" i="37"/>
  <c r="AT102" i="37"/>
  <c r="AY102" i="37" s="1"/>
  <c r="AE102" i="37" s="1"/>
  <c r="G102" i="37"/>
  <c r="AT215" i="37"/>
  <c r="AY215" i="37" s="1"/>
  <c r="AE215" i="37" s="1"/>
  <c r="G215" i="37"/>
  <c r="AT19" i="37"/>
  <c r="AY19" i="37" s="1"/>
  <c r="AE19" i="37" s="1"/>
  <c r="G19" i="37"/>
  <c r="AT210" i="37"/>
  <c r="AY210" i="37" s="1"/>
  <c r="AE210" i="37" s="1"/>
  <c r="G210" i="37"/>
  <c r="G199" i="37"/>
  <c r="AT199" i="37"/>
  <c r="AY199" i="37" s="1"/>
  <c r="AE199" i="37" s="1"/>
  <c r="G175" i="37"/>
  <c r="AT175" i="37"/>
  <c r="AY175" i="37" s="1"/>
  <c r="AE175" i="37" s="1"/>
  <c r="G101" i="37"/>
  <c r="AT101" i="37"/>
  <c r="AY101" i="37" s="1"/>
  <c r="AE101" i="37" s="1"/>
  <c r="G89" i="37"/>
  <c r="AT89" i="37"/>
  <c r="AY89" i="37" s="1"/>
  <c r="AE89" i="37" s="1"/>
  <c r="BG59" i="37"/>
  <c r="BL184" i="37"/>
  <c r="BM51" i="37"/>
  <c r="G117" i="37"/>
  <c r="AT117" i="37"/>
  <c r="AY117" i="37" s="1"/>
  <c r="AE117" i="37" s="1"/>
  <c r="G26" i="37"/>
  <c r="AT26" i="37"/>
  <c r="AY26" i="37" s="1"/>
  <c r="AE26" i="37" s="1"/>
  <c r="BL105" i="37"/>
  <c r="BM219" i="37"/>
  <c r="AT136" i="37"/>
  <c r="AY136" i="37" s="1"/>
  <c r="AE136" i="37" s="1"/>
  <c r="G136" i="37"/>
  <c r="G202" i="37"/>
  <c r="AT202" i="37"/>
  <c r="AY202" i="37" s="1"/>
  <c r="AE202" i="37" s="1"/>
  <c r="AT73" i="37"/>
  <c r="AY73" i="37" s="1"/>
  <c r="AE73" i="37" s="1"/>
  <c r="G73" i="37"/>
  <c r="BH95" i="37"/>
  <c r="BM132" i="37"/>
  <c r="BM199" i="37"/>
  <c r="BH56" i="37"/>
  <c r="BG145" i="37"/>
  <c r="BN35" i="37"/>
  <c r="BI110" i="37"/>
  <c r="BH62" i="37"/>
  <c r="BI61" i="37"/>
  <c r="BI169" i="37"/>
  <c r="BM62" i="37"/>
  <c r="BI130" i="37"/>
  <c r="BN65" i="37"/>
  <c r="BL155" i="37"/>
  <c r="BN127" i="37"/>
  <c r="BN38" i="37"/>
  <c r="BI32" i="37"/>
  <c r="BN87" i="37"/>
  <c r="BM70" i="37"/>
  <c r="AT10" i="37"/>
  <c r="AY10" i="37" s="1"/>
  <c r="AE10" i="37" s="1"/>
  <c r="BL24" i="37"/>
  <c r="BG171" i="37"/>
  <c r="BI120" i="37"/>
  <c r="G187" i="37"/>
  <c r="AT187" i="37"/>
  <c r="AY187" i="37" s="1"/>
  <c r="AE187" i="37" s="1"/>
  <c r="G65" i="37"/>
  <c r="AT65" i="37"/>
  <c r="AY65" i="37" s="1"/>
  <c r="AE65" i="37" s="1"/>
  <c r="AT183" i="37"/>
  <c r="AY183" i="37" s="1"/>
  <c r="AE183" i="37" s="1"/>
  <c r="G183" i="37"/>
  <c r="G47" i="37"/>
  <c r="AT47" i="37"/>
  <c r="AY47" i="37" s="1"/>
  <c r="AE47" i="37" s="1"/>
  <c r="AT158" i="37"/>
  <c r="AY158" i="37" s="1"/>
  <c r="AE158" i="37" s="1"/>
  <c r="G158" i="37"/>
  <c r="G34" i="37"/>
  <c r="AT34" i="37"/>
  <c r="AY34" i="37" s="1"/>
  <c r="AE34" i="37" s="1"/>
  <c r="G44" i="37"/>
  <c r="AT44" i="37"/>
  <c r="AY44" i="37" s="1"/>
  <c r="AE44" i="37" s="1"/>
  <c r="AT130" i="37"/>
  <c r="AY130" i="37" s="1"/>
  <c r="AE130" i="37" s="1"/>
  <c r="G130" i="37"/>
  <c r="BI28" i="37"/>
  <c r="AT190" i="37"/>
  <c r="AY190" i="37" s="1"/>
  <c r="AE190" i="37" s="1"/>
  <c r="G190" i="37"/>
  <c r="G49" i="37"/>
  <c r="AT49" i="37"/>
  <c r="AY49" i="37" s="1"/>
  <c r="AE49" i="37" s="1"/>
  <c r="G125" i="37"/>
  <c r="AT125" i="37"/>
  <c r="AY125" i="37" s="1"/>
  <c r="AE125" i="37" s="1"/>
  <c r="BG62" i="37"/>
  <c r="BG189" i="37"/>
  <c r="G105" i="37"/>
  <c r="AT105" i="37"/>
  <c r="AY105" i="37" s="1"/>
  <c r="AE105" i="37" s="1"/>
  <c r="G32" i="37"/>
  <c r="AT32" i="37"/>
  <c r="AY32" i="37" s="1"/>
  <c r="AE32" i="37" s="1"/>
  <c r="BG63" i="37"/>
  <c r="BH78" i="37"/>
  <c r="BL189" i="37"/>
  <c r="BG96" i="37"/>
  <c r="BN97" i="37"/>
  <c r="BI56" i="37"/>
  <c r="BH140" i="37"/>
  <c r="BM115" i="37"/>
  <c r="BN63" i="37"/>
  <c r="BN72" i="37"/>
  <c r="BL89" i="37"/>
  <c r="BN118" i="37"/>
  <c r="BN58" i="37"/>
  <c r="BN32" i="37"/>
  <c r="BH153" i="37"/>
  <c r="G90" i="37"/>
  <c r="AT90" i="37"/>
  <c r="AY90" i="37" s="1"/>
  <c r="AE90" i="37" s="1"/>
  <c r="G76" i="37"/>
  <c r="AT76" i="37"/>
  <c r="AY76" i="37" s="1"/>
  <c r="AE76" i="37" s="1"/>
  <c r="AT194" i="37"/>
  <c r="AY194" i="37" s="1"/>
  <c r="AE194" i="37" s="1"/>
  <c r="G194" i="37"/>
  <c r="AT11" i="37"/>
  <c r="AY11" i="37" s="1"/>
  <c r="AE11" i="37" s="1"/>
  <c r="G11" i="37"/>
  <c r="G207" i="37"/>
  <c r="AT207" i="37"/>
  <c r="AY207" i="37" s="1"/>
  <c r="AE207" i="37" s="1"/>
  <c r="AT46" i="37"/>
  <c r="AY46" i="37" s="1"/>
  <c r="AE46" i="37" s="1"/>
  <c r="G46" i="37"/>
  <c r="BI199" i="37"/>
  <c r="BM180" i="37"/>
  <c r="BN11" i="37"/>
  <c r="BL215" i="37"/>
  <c r="BN165" i="37"/>
  <c r="BL12" i="37"/>
  <c r="BG162" i="37"/>
  <c r="BM196" i="37"/>
  <c r="BH201" i="37"/>
  <c r="BH122" i="37"/>
  <c r="BM139" i="37"/>
  <c r="BI207" i="37"/>
  <c r="BI204" i="37"/>
  <c r="BN193" i="37"/>
  <c r="BL153" i="37"/>
  <c r="BL166" i="37"/>
  <c r="BN181" i="37"/>
  <c r="BL198" i="37"/>
  <c r="BL126" i="37"/>
  <c r="BM140" i="37"/>
  <c r="BH129" i="37"/>
  <c r="BM138" i="37"/>
  <c r="BN178" i="37"/>
  <c r="BL218" i="37"/>
  <c r="BH139" i="37"/>
  <c r="BI191" i="37"/>
  <c r="BL145" i="37"/>
  <c r="BL203" i="37"/>
  <c r="BH174" i="37"/>
  <c r="BN130" i="37"/>
  <c r="BG154" i="37"/>
  <c r="BM218" i="37"/>
  <c r="BI194" i="37"/>
  <c r="BM32" i="37"/>
  <c r="BM122" i="37"/>
  <c r="BI189" i="37"/>
  <c r="BM24" i="37"/>
  <c r="BG155" i="37"/>
  <c r="BL154" i="37"/>
  <c r="BH161" i="37"/>
  <c r="BL172" i="37"/>
  <c r="BG52" i="37"/>
  <c r="BM154" i="37"/>
  <c r="BG26" i="37"/>
  <c r="BM26" i="37"/>
  <c r="BL135" i="37"/>
  <c r="BL179" i="37"/>
  <c r="BG21" i="37"/>
  <c r="BL16" i="37"/>
  <c r="BN159" i="37"/>
  <c r="BH128" i="37"/>
  <c r="BN180" i="37"/>
  <c r="BN149" i="37"/>
  <c r="BL44" i="37"/>
  <c r="BM89" i="37"/>
  <c r="BI22" i="37"/>
  <c r="BI71" i="37"/>
  <c r="BG40" i="37"/>
  <c r="BN98" i="37"/>
  <c r="BL117" i="37"/>
  <c r="BL73" i="37"/>
  <c r="BM100" i="37"/>
  <c r="BI87" i="37"/>
  <c r="BH105" i="37"/>
  <c r="BH113" i="37"/>
  <c r="BI73" i="37"/>
  <c r="BL37" i="37"/>
  <c r="BI105" i="37"/>
  <c r="BM110" i="37"/>
  <c r="BI57" i="37"/>
  <c r="BH107" i="37"/>
  <c r="BL85" i="37"/>
  <c r="BM106" i="37"/>
  <c r="BL90" i="37"/>
  <c r="BN20" i="37"/>
  <c r="BI42" i="37"/>
  <c r="BG39" i="37"/>
  <c r="BN75" i="37"/>
  <c r="BM75" i="37"/>
  <c r="BN101" i="37"/>
  <c r="BG79" i="37"/>
  <c r="BG197" i="37"/>
  <c r="BI205" i="37"/>
  <c r="BL160" i="37"/>
  <c r="BL152" i="37"/>
  <c r="BL212" i="37"/>
  <c r="BN215" i="37"/>
  <c r="BH196" i="37"/>
  <c r="BM164" i="37"/>
  <c r="BM182" i="37"/>
  <c r="BG198" i="37"/>
  <c r="BL34" i="37"/>
  <c r="BG13" i="37"/>
  <c r="BN134" i="37"/>
  <c r="BI142" i="37"/>
  <c r="BG127" i="37"/>
  <c r="BG139" i="37"/>
  <c r="BM179" i="37"/>
  <c r="BI219" i="37"/>
  <c r="BN142" i="37"/>
  <c r="BL195" i="37"/>
  <c r="BH146" i="37"/>
  <c r="BL204" i="37"/>
  <c r="BG180" i="37"/>
  <c r="BM131" i="37"/>
  <c r="BL159" i="37"/>
  <c r="BH123" i="37"/>
  <c r="BL197" i="37"/>
  <c r="BN23" i="37"/>
  <c r="BM123" i="37"/>
  <c r="BH190" i="37"/>
  <c r="BN122" i="37"/>
  <c r="BG138" i="37"/>
  <c r="BG161" i="37"/>
  <c r="BN172" i="37"/>
  <c r="BG173" i="37"/>
  <c r="BL28" i="37"/>
  <c r="BL156" i="37"/>
  <c r="BM50" i="37"/>
  <c r="BI131" i="37"/>
  <c r="BH177" i="37"/>
  <c r="BI25" i="37"/>
  <c r="BI158" i="37"/>
  <c r="BI11" i="37"/>
  <c r="BH144" i="37"/>
  <c r="BG45" i="37"/>
  <c r="BG77" i="37"/>
  <c r="BL48" i="37"/>
  <c r="BG75" i="37"/>
  <c r="BG58" i="37"/>
  <c r="BN22" i="37"/>
  <c r="BN96" i="37"/>
  <c r="BN115" i="37"/>
  <c r="BL71" i="37"/>
  <c r="BG97" i="37"/>
  <c r="BM86" i="37"/>
  <c r="BL104" i="37"/>
  <c r="BL112" i="37"/>
  <c r="BN70" i="37"/>
  <c r="BL35" i="37"/>
  <c r="BM102" i="37"/>
  <c r="BL102" i="37"/>
  <c r="BI55" i="37"/>
  <c r="BN103" i="37"/>
  <c r="BI84" i="37"/>
  <c r="BH103" i="37"/>
  <c r="BI88" i="37"/>
  <c r="BI18" i="37"/>
  <c r="BH39" i="37"/>
  <c r="BN107" i="37"/>
  <c r="BM74" i="37"/>
  <c r="BL74" i="37"/>
  <c r="BM93" i="37"/>
  <c r="BM77" i="37"/>
  <c r="BG208" i="37"/>
  <c r="BL206" i="37"/>
  <c r="BH184" i="37"/>
  <c r="BL183" i="37"/>
  <c r="BG167" i="37"/>
  <c r="BI27" i="37"/>
  <c r="BM211" i="37"/>
  <c r="BI165" i="37"/>
  <c r="BH134" i="37"/>
  <c r="BL11" i="37"/>
  <c r="BG22" i="37"/>
  <c r="BH13" i="37"/>
  <c r="BG140" i="37"/>
  <c r="BH126" i="37"/>
  <c r="BH143" i="37"/>
  <c r="BH181" i="37"/>
  <c r="BL26" i="37"/>
  <c r="BM143" i="37"/>
  <c r="BI196" i="37"/>
  <c r="BM150" i="37"/>
  <c r="BG205" i="37"/>
  <c r="BN186" i="37"/>
  <c r="BG132" i="37"/>
  <c r="BH160" i="37"/>
  <c r="BN135" i="37"/>
  <c r="BM198" i="37"/>
  <c r="BG19" i="37"/>
  <c r="BG124" i="37"/>
  <c r="BN197" i="37"/>
  <c r="BN123" i="37"/>
  <c r="BM147" i="37"/>
  <c r="BM172" i="37"/>
  <c r="BL174" i="37"/>
  <c r="BI174" i="37"/>
  <c r="BN24" i="37"/>
  <c r="BI160" i="37"/>
  <c r="BG130" i="37"/>
  <c r="BL157" i="37"/>
  <c r="BI12" i="37"/>
  <c r="BI171" i="37"/>
  <c r="BG143" i="37"/>
  <c r="BH52" i="37"/>
  <c r="BM44" i="37"/>
  <c r="BH59" i="37"/>
  <c r="BG24" i="37"/>
  <c r="BN94" i="37"/>
  <c r="BG111" i="37"/>
  <c r="BL69" i="37"/>
  <c r="BH92" i="37"/>
  <c r="BI81" i="37"/>
  <c r="BH115" i="37"/>
  <c r="BI108" i="37"/>
  <c r="BI68" i="37"/>
  <c r="BL33" i="37"/>
  <c r="BG101" i="37"/>
  <c r="BL95" i="37"/>
  <c r="BI53" i="37"/>
  <c r="BI102" i="37"/>
  <c r="BH83" i="37"/>
  <c r="BN89" i="37"/>
  <c r="BI89" i="37"/>
  <c r="BI15" i="37"/>
  <c r="BM36" i="37"/>
  <c r="BM104" i="37"/>
  <c r="BH69" i="37"/>
  <c r="BN73" i="37"/>
  <c r="BH75" i="37"/>
  <c r="BI76" i="37"/>
  <c r="BM80" i="37"/>
  <c r="BH72" i="37"/>
  <c r="BH209" i="37"/>
  <c r="BH207" i="37"/>
  <c r="BN196" i="37"/>
  <c r="BH195" i="37"/>
  <c r="BH169" i="37"/>
  <c r="BL124" i="37"/>
  <c r="BI35" i="37"/>
  <c r="BI166" i="37"/>
  <c r="BN164" i="37"/>
  <c r="BN125" i="37"/>
  <c r="BI33" i="37"/>
  <c r="BM33" i="37"/>
  <c r="BL18" i="37"/>
  <c r="BN133" i="37"/>
  <c r="BH192" i="37"/>
  <c r="BH12" i="37"/>
  <c r="BM148" i="37"/>
  <c r="BM185" i="37"/>
  <c r="BH25" i="37"/>
  <c r="BI144" i="37"/>
  <c r="BM201" i="37"/>
  <c r="BG151" i="37"/>
  <c r="BL209" i="37"/>
  <c r="BM194" i="37"/>
  <c r="BN143" i="37"/>
  <c r="BN163" i="37"/>
  <c r="BG136" i="37"/>
  <c r="BN199" i="37"/>
  <c r="BH14" i="37"/>
  <c r="BG125" i="37"/>
  <c r="BI201" i="37"/>
  <c r="BH124" i="37"/>
  <c r="BG156" i="37"/>
  <c r="BH176" i="37"/>
  <c r="BI176" i="37"/>
  <c r="BH180" i="37"/>
  <c r="BI155" i="37"/>
  <c r="BM173" i="37"/>
  <c r="BM128" i="37"/>
  <c r="BN156" i="37"/>
  <c r="BM16" i="37"/>
  <c r="BH170" i="37"/>
  <c r="BG135" i="37"/>
  <c r="BG54" i="37"/>
  <c r="BG38" i="37"/>
  <c r="BN14" i="37"/>
  <c r="BH28" i="37"/>
  <c r="BN92" i="37"/>
  <c r="BH106" i="37"/>
  <c r="BL67" i="37"/>
  <c r="BM91" i="37"/>
  <c r="BI79" i="37"/>
  <c r="BG114" i="37"/>
  <c r="BG113" i="37"/>
  <c r="BI65" i="37"/>
  <c r="BN30" i="37"/>
  <c r="BN47" i="37"/>
  <c r="BN188" i="37"/>
  <c r="BN175" i="37"/>
  <c r="BI151" i="37"/>
  <c r="BH166" i="37"/>
  <c r="BG121" i="37"/>
  <c r="BL162" i="37"/>
  <c r="BN155" i="37"/>
  <c r="BI129" i="37"/>
  <c r="BH133" i="37"/>
  <c r="BN189" i="37"/>
  <c r="BM124" i="37"/>
  <c r="BL185" i="37"/>
  <c r="BG153" i="37"/>
  <c r="BM120" i="37"/>
  <c r="BI121" i="37"/>
  <c r="BN170" i="37"/>
  <c r="BN162" i="37"/>
  <c r="BG217" i="37"/>
  <c r="BI137" i="37"/>
  <c r="BN214" i="37"/>
  <c r="BI148" i="37"/>
  <c r="BH182" i="37"/>
  <c r="BH199" i="37"/>
  <c r="BN207" i="37"/>
  <c r="BG177" i="37"/>
  <c r="BG184" i="37"/>
  <c r="BI177" i="37"/>
  <c r="BH211" i="37"/>
  <c r="BI16" i="37"/>
  <c r="BI150" i="37"/>
  <c r="BM156" i="37"/>
  <c r="BN55" i="37"/>
  <c r="BH54" i="37"/>
  <c r="BL14" i="37"/>
  <c r="BL38" i="37"/>
  <c r="BN116" i="37"/>
  <c r="BL118" i="37"/>
  <c r="BL75" i="37"/>
  <c r="BL115" i="37"/>
  <c r="BL109" i="37"/>
  <c r="BM103" i="37"/>
  <c r="BL55" i="37"/>
  <c r="BL17" i="37"/>
  <c r="BL57" i="37"/>
  <c r="BI51" i="37"/>
  <c r="BG93" i="37"/>
  <c r="BL97" i="37"/>
  <c r="BI106" i="37"/>
  <c r="BI23" i="37"/>
  <c r="BM28" i="37"/>
  <c r="BG104" i="37"/>
  <c r="BM55" i="37"/>
  <c r="BI52" i="37"/>
  <c r="BM72" i="37"/>
  <c r="BH76" i="37"/>
  <c r="BI99" i="37"/>
  <c r="BI29" i="37"/>
  <c r="BI21" i="37"/>
  <c r="BG16" i="37"/>
  <c r="BH47" i="37"/>
  <c r="BI19" i="37"/>
  <c r="BI24" i="37"/>
  <c r="BH51" i="37"/>
  <c r="BH101" i="37"/>
  <c r="BI111" i="37"/>
  <c r="BI94" i="37"/>
  <c r="BI85" i="37"/>
  <c r="BM20" i="37"/>
  <c r="BM71" i="37"/>
  <c r="BH119" i="37"/>
  <c r="BG44" i="37"/>
  <c r="BH206" i="37"/>
  <c r="BN200" i="37"/>
  <c r="BN154" i="37"/>
  <c r="BI168" i="37"/>
  <c r="BL121" i="37"/>
  <c r="BG170" i="37"/>
  <c r="BI147" i="37"/>
  <c r="BL142" i="37"/>
  <c r="BL128" i="37"/>
  <c r="BH142" i="37"/>
  <c r="BG134" i="37"/>
  <c r="BL190" i="37"/>
  <c r="BH125" i="37"/>
  <c r="BL186" i="37"/>
  <c r="BN158" i="37"/>
  <c r="BN131" i="37"/>
  <c r="BN124" i="37"/>
  <c r="BL173" i="37"/>
  <c r="BG163" i="37"/>
  <c r="BG219" i="37"/>
  <c r="BH141" i="37"/>
  <c r="BM215" i="37"/>
  <c r="BI149" i="37"/>
  <c r="BH185" i="37"/>
  <c r="BN202" i="37"/>
  <c r="BG216" i="37"/>
  <c r="BL180" i="37"/>
  <c r="BL178" i="37"/>
  <c r="BG193" i="37"/>
  <c r="BM18" i="37"/>
  <c r="BL148" i="37"/>
  <c r="BL151" i="37"/>
  <c r="BH64" i="37"/>
  <c r="BG57" i="37"/>
  <c r="BI48" i="37"/>
  <c r="BM13" i="37"/>
  <c r="BI41" i="37"/>
  <c r="BN114" i="37"/>
  <c r="BL116" i="37"/>
  <c r="BL65" i="37"/>
  <c r="BH110" i="37"/>
  <c r="BG117" i="37"/>
  <c r="BH112" i="37"/>
  <c r="BL53" i="37"/>
  <c r="BL15" i="37"/>
  <c r="BM9" i="37"/>
  <c r="BI49" i="37"/>
  <c r="BM85" i="37"/>
  <c r="BM87" i="37"/>
  <c r="BI104" i="37"/>
  <c r="BN12" i="37"/>
  <c r="BH26" i="37"/>
  <c r="BN74" i="37"/>
  <c r="BM48" i="37"/>
  <c r="BN51" i="37"/>
  <c r="BH71" i="37"/>
  <c r="BG74" i="37"/>
  <c r="BH91" i="37"/>
  <c r="BN26" i="37"/>
  <c r="BG30" i="37"/>
  <c r="BG25" i="37"/>
  <c r="BM53" i="37"/>
  <c r="BG27" i="37"/>
  <c r="BG42" i="37"/>
  <c r="BL49" i="37"/>
  <c r="BG107" i="37"/>
  <c r="BM52" i="37"/>
  <c r="BN93" i="37"/>
  <c r="BN120" i="37"/>
  <c r="BN31" i="37"/>
  <c r="BL208" i="37"/>
  <c r="BH204" i="37"/>
  <c r="BM169" i="37"/>
  <c r="BG203" i="37"/>
  <c r="BL149" i="37"/>
  <c r="BM174" i="37"/>
  <c r="BM101" i="37"/>
  <c r="BH22" i="37"/>
  <c r="BH127" i="37"/>
  <c r="BL141" i="37"/>
  <c r="BN137" i="37"/>
  <c r="BN192" i="37"/>
  <c r="BM130" i="37"/>
  <c r="BG187" i="37"/>
  <c r="BI159" i="37"/>
  <c r="BM144" i="37"/>
  <c r="BI125" i="37"/>
  <c r="BN177" i="37"/>
  <c r="BG172" i="37"/>
  <c r="BH63" i="37"/>
  <c r="BI145" i="37"/>
  <c r="BI217" i="37"/>
  <c r="BI153" i="37"/>
  <c r="BH213" i="37"/>
  <c r="BL216" i="37"/>
  <c r="BG218" i="37"/>
  <c r="BL181" i="37"/>
  <c r="BM142" i="37"/>
  <c r="BH150" i="37"/>
  <c r="BM64" i="37"/>
  <c r="BN18" i="37"/>
  <c r="BH38" i="37"/>
  <c r="BN21" i="37"/>
  <c r="BN112" i="37"/>
  <c r="BL114" i="37"/>
  <c r="BL63" i="37"/>
  <c r="BM109" i="37"/>
  <c r="BI115" i="37"/>
  <c r="BM111" i="37"/>
  <c r="BL51" i="37"/>
  <c r="BL13" i="37"/>
  <c r="BM117" i="37"/>
  <c r="BI47" i="37"/>
  <c r="BI83" i="37"/>
  <c r="BI86" i="37"/>
  <c r="BL99" i="37"/>
  <c r="BN61" i="37"/>
  <c r="BH23" i="37"/>
  <c r="BI69" i="37"/>
  <c r="BM94" i="37"/>
  <c r="BM73" i="37"/>
  <c r="BH70" i="37"/>
  <c r="BL72" i="37"/>
  <c r="BG86" i="37"/>
  <c r="BH98" i="37"/>
  <c r="BM14" i="37"/>
  <c r="BH99" i="37"/>
  <c r="BN117" i="37"/>
  <c r="BG98" i="37"/>
  <c r="BN68" i="37"/>
  <c r="BG71" i="37"/>
  <c r="BI152" i="37"/>
  <c r="BN10" i="37"/>
  <c r="BI214" i="37"/>
  <c r="BN206" i="37"/>
  <c r="BM35" i="37"/>
  <c r="BM10" i="37"/>
  <c r="BH162" i="37"/>
  <c r="BI198" i="37"/>
  <c r="BI126" i="37"/>
  <c r="BM136" i="37"/>
  <c r="BG149" i="37"/>
  <c r="BH193" i="37"/>
  <c r="BL131" i="37"/>
  <c r="BI202" i="37"/>
  <c r="BG160" i="37"/>
  <c r="BI146" i="37"/>
  <c r="BM177" i="37"/>
  <c r="BG178" i="37"/>
  <c r="BN183" i="37"/>
  <c r="BL122" i="37"/>
  <c r="BM146" i="37"/>
  <c r="BN219" i="37"/>
  <c r="BL171" i="37"/>
  <c r="BG215" i="37"/>
  <c r="BN147" i="37"/>
  <c r="BI156" i="37"/>
  <c r="BI183" i="37"/>
  <c r="BN140" i="37"/>
  <c r="BN144" i="37"/>
  <c r="BI203" i="37"/>
  <c r="BI134" i="37"/>
  <c r="BM54" i="37"/>
  <c r="BH19" i="37"/>
  <c r="BM22" i="37"/>
  <c r="BN110" i="37"/>
  <c r="BI118" i="37"/>
  <c r="BL61" i="37"/>
  <c r="BH114" i="37"/>
  <c r="BI45" i="37"/>
  <c r="BN176" i="37"/>
  <c r="BH197" i="37"/>
  <c r="BL200" i="37"/>
  <c r="BH157" i="37"/>
  <c r="BG144" i="37"/>
  <c r="BI161" i="37"/>
  <c r="BL192" i="37"/>
  <c r="BH163" i="37"/>
  <c r="BL119" i="37"/>
  <c r="BI209" i="37"/>
  <c r="BH187" i="37"/>
  <c r="BN50" i="37"/>
  <c r="BI187" i="37"/>
  <c r="BH202" i="37"/>
  <c r="BI163" i="37"/>
  <c r="BN40" i="37"/>
  <c r="BG190" i="37"/>
  <c r="BI185" i="37"/>
  <c r="BH173" i="37"/>
  <c r="BH215" i="37"/>
  <c r="BN216" i="37"/>
  <c r="BG212" i="37"/>
  <c r="BM168" i="37"/>
  <c r="BH43" i="37"/>
  <c r="BN77" i="37"/>
  <c r="BL78" i="37"/>
  <c r="BH37" i="37"/>
  <c r="BN104" i="37"/>
  <c r="BG88" i="37"/>
  <c r="BI117" i="37"/>
  <c r="BI109" i="37"/>
  <c r="BL92" i="37"/>
  <c r="BL21" i="37"/>
  <c r="BH80" i="37"/>
  <c r="BN85" i="37"/>
  <c r="BI103" i="37"/>
  <c r="BG50" i="37"/>
  <c r="BN52" i="37"/>
  <c r="BN66" i="37"/>
  <c r="BG69" i="37"/>
  <c r="BL60" i="37"/>
  <c r="BH81" i="37"/>
  <c r="BI78" i="37"/>
  <c r="BG53" i="37"/>
  <c r="BL40" i="37"/>
  <c r="BM29" i="37"/>
  <c r="BM30" i="37"/>
  <c r="BI96" i="37"/>
  <c r="BN45" i="37"/>
  <c r="BM81" i="37"/>
  <c r="BL42" i="37"/>
  <c r="BG41" i="37"/>
  <c r="BN182" i="37"/>
  <c r="BM175" i="37"/>
  <c r="BH148" i="37"/>
  <c r="BN160" i="37"/>
  <c r="BN44" i="37"/>
  <c r="BG78" i="37"/>
  <c r="BL58" i="37"/>
  <c r="BL79" i="37"/>
  <c r="BI60" i="37"/>
  <c r="BM69" i="37"/>
  <c r="BM61" i="37"/>
  <c r="BI54" i="37"/>
  <c r="BM42" i="37"/>
  <c r="BG158" i="37"/>
  <c r="BL176" i="37"/>
  <c r="BL132" i="37"/>
  <c r="BN39" i="37"/>
  <c r="BL136" i="37"/>
  <c r="BG199" i="37"/>
  <c r="BG194" i="37"/>
  <c r="BM159" i="37"/>
  <c r="BI80" i="37"/>
  <c r="BN53" i="37"/>
  <c r="BG131" i="37"/>
  <c r="BM27" i="37"/>
  <c r="BH200" i="37"/>
  <c r="BN25" i="37"/>
  <c r="BI72" i="37"/>
  <c r="BI113" i="37"/>
  <c r="BG65" i="37"/>
  <c r="BM68" i="37"/>
  <c r="BM92" i="37"/>
  <c r="BG15" i="37"/>
  <c r="BM160" i="37"/>
  <c r="BH138" i="37"/>
  <c r="BM135" i="37"/>
  <c r="BL32" i="37"/>
  <c r="BG118" i="37"/>
  <c r="BM112" i="37"/>
  <c r="BL62" i="37"/>
  <c r="BI31" i="37"/>
  <c r="BL64" i="37"/>
  <c r="BN46" i="37"/>
  <c r="BN9" i="37"/>
  <c r="BG195" i="37"/>
  <c r="BH208" i="37"/>
  <c r="BL201" i="37"/>
  <c r="BH167" i="37"/>
  <c r="BG150" i="37"/>
  <c r="BH198" i="37"/>
  <c r="BN168" i="37"/>
  <c r="BM119" i="37"/>
  <c r="BN217" i="37"/>
  <c r="BN201" i="37"/>
  <c r="BN119" i="37"/>
  <c r="BL191" i="37"/>
  <c r="BI208" i="37"/>
  <c r="BH164" i="37"/>
  <c r="BN33" i="37"/>
  <c r="BN203" i="37"/>
  <c r="BL188" i="37"/>
  <c r="BG175" i="37"/>
  <c r="BM217" i="37"/>
  <c r="BH212" i="37"/>
  <c r="BH135" i="37"/>
  <c r="BN167" i="37"/>
  <c r="BG81" i="37"/>
  <c r="BM19" i="37"/>
  <c r="BN102" i="37"/>
  <c r="BL87" i="37"/>
  <c r="BH116" i="37"/>
  <c r="BM108" i="37"/>
  <c r="BG91" i="37"/>
  <c r="BL19" i="37"/>
  <c r="BM79" i="37"/>
  <c r="BL84" i="37"/>
  <c r="BL98" i="37"/>
  <c r="BH49" i="37"/>
  <c r="BG49" i="37"/>
  <c r="BH108" i="37"/>
  <c r="BL68" i="37"/>
  <c r="BI59" i="37"/>
  <c r="BN78" i="37"/>
  <c r="BG72" i="37"/>
  <c r="BH50" i="37"/>
  <c r="BG28" i="37"/>
  <c r="BM41" i="37"/>
  <c r="BN90" i="37"/>
  <c r="BL107" i="37"/>
  <c r="BH96" i="37"/>
  <c r="BM66" i="37"/>
  <c r="BG70" i="37"/>
  <c r="BT9" i="37"/>
  <c r="BH33" i="37"/>
  <c r="BM212" i="37"/>
  <c r="BG165" i="37"/>
  <c r="BG133" i="37"/>
  <c r="BM176" i="37"/>
  <c r="BM46" i="37"/>
  <c r="BL214" i="37"/>
  <c r="BH217" i="37"/>
  <c r="BI212" i="37"/>
  <c r="BG192" i="37"/>
  <c r="BN88" i="37"/>
  <c r="BM95" i="37"/>
  <c r="BI39" i="37"/>
  <c r="BN80" i="37"/>
  <c r="BG20" i="37"/>
  <c r="BM189" i="37"/>
  <c r="BG11" i="37"/>
  <c r="BL138" i="37"/>
  <c r="BG213" i="37"/>
  <c r="BM171" i="37"/>
  <c r="BM155" i="37"/>
  <c r="BN17" i="37"/>
  <c r="BH66" i="37"/>
  <c r="BL77" i="37"/>
  <c r="BL108" i="37"/>
  <c r="BG94" i="37"/>
  <c r="BH31" i="37"/>
  <c r="BH74" i="37"/>
  <c r="BH35" i="37"/>
  <c r="BM129" i="37"/>
  <c r="BN210" i="37"/>
  <c r="BI123" i="37"/>
  <c r="BM137" i="37"/>
  <c r="BL202" i="37"/>
  <c r="BH154" i="37"/>
  <c r="BI180" i="37"/>
  <c r="BM192" i="37"/>
  <c r="BI179" i="37"/>
  <c r="BH158" i="37"/>
  <c r="BI9" i="37"/>
  <c r="BI34" i="37"/>
  <c r="BH171" i="37"/>
  <c r="BH168" i="37"/>
  <c r="BM165" i="37"/>
  <c r="BM17" i="37"/>
  <c r="BN138" i="37"/>
  <c r="BI141" i="37"/>
  <c r="BH40" i="37"/>
  <c r="BI77" i="37"/>
  <c r="BL76" i="37"/>
  <c r="BL106" i="37"/>
  <c r="BH15" i="37"/>
  <c r="BI91" i="37"/>
  <c r="BH24" i="37"/>
  <c r="BN37" i="37"/>
  <c r="BI119" i="37"/>
  <c r="BH214" i="37"/>
  <c r="BG204" i="37"/>
  <c r="BG168" i="37"/>
  <c r="BL165" i="37"/>
  <c r="BG14" i="37"/>
  <c r="BI135" i="37"/>
  <c r="BL169" i="37"/>
  <c r="BH121" i="37"/>
  <c r="BH218" i="37"/>
  <c r="BG210" i="37"/>
  <c r="BL120" i="37"/>
  <c r="BL196" i="37"/>
  <c r="BG209" i="37"/>
  <c r="BI136" i="37"/>
  <c r="BM125" i="37"/>
  <c r="BL207" i="37"/>
  <c r="BM190" i="37"/>
  <c r="BH183" i="37"/>
  <c r="BI193" i="37"/>
  <c r="BL133" i="37"/>
  <c r="BN166" i="37"/>
  <c r="BL80" i="37"/>
  <c r="BH48" i="37"/>
  <c r="BN49" i="37"/>
  <c r="BH82" i="37"/>
  <c r="BM21" i="37"/>
  <c r="BG47" i="37"/>
  <c r="BN100" i="37"/>
  <c r="BM83" i="37"/>
  <c r="BL100" i="37"/>
  <c r="BG105" i="37"/>
  <c r="BM76" i="37"/>
  <c r="BH111" i="37"/>
  <c r="BG73" i="37"/>
  <c r="BN83" i="37"/>
  <c r="BG84" i="37"/>
  <c r="BI46" i="37"/>
  <c r="BH46" i="37"/>
  <c r="BM67" i="37"/>
  <c r="BH67" i="37"/>
  <c r="BN111" i="37"/>
  <c r="BH77" i="37"/>
  <c r="BH58" i="37"/>
  <c r="BM49" i="37"/>
  <c r="BH36" i="37"/>
  <c r="BN13" i="37"/>
  <c r="BH32" i="37"/>
  <c r="BL81" i="37"/>
  <c r="BM78" i="37"/>
  <c r="BM65" i="37"/>
  <c r="BH57" i="37"/>
  <c r="BN16" i="37"/>
  <c r="BI122" i="37"/>
  <c r="BL182" i="37"/>
  <c r="BM133" i="37"/>
  <c r="BL137" i="37"/>
  <c r="BM204" i="37"/>
  <c r="BH156" i="37"/>
  <c r="BG129" i="37"/>
  <c r="BN95" i="37"/>
  <c r="BG68" i="37"/>
  <c r="BH34" i="37"/>
  <c r="BI64" i="37"/>
  <c r="BG10" i="37"/>
  <c r="BM126" i="37"/>
  <c r="BG166" i="37"/>
  <c r="BG176" i="37"/>
  <c r="BH149" i="37"/>
  <c r="BG48" i="37"/>
  <c r="BI30" i="37"/>
  <c r="BG92" i="37"/>
  <c r="BN67" i="37"/>
  <c r="BN36" i="37"/>
  <c r="BH61" i="37"/>
  <c r="BM31" i="37"/>
  <c r="BI167" i="37"/>
  <c r="BG12" i="37"/>
  <c r="BG146" i="37"/>
  <c r="BG137" i="37"/>
  <c r="BL140" i="37"/>
  <c r="BG37" i="37"/>
  <c r="BN84" i="37"/>
  <c r="BL91" i="37"/>
  <c r="BL47" i="37"/>
  <c r="BN79" i="37"/>
  <c r="BL103" i="37"/>
  <c r="BH18" i="37"/>
  <c r="BM60" i="37"/>
  <c r="BG66" i="37"/>
  <c r="BM23" i="37"/>
  <c r="BH53" i="37"/>
  <c r="BM34" i="37"/>
  <c r="BN174" i="37"/>
  <c r="BI13" i="37"/>
  <c r="BN126" i="37"/>
  <c r="BN198" i="37"/>
  <c r="BH151" i="37"/>
  <c r="BL123" i="37"/>
  <c r="BI216" i="37"/>
  <c r="BG202" i="37"/>
  <c r="BL158" i="37"/>
  <c r="BI170" i="37"/>
  <c r="BL45" i="37"/>
  <c r="BI67" i="37"/>
  <c r="BN191" i="37"/>
  <c r="BN129" i="37"/>
  <c r="BL205" i="37"/>
  <c r="BN173" i="37"/>
  <c r="BM167" i="37"/>
  <c r="BL161" i="37"/>
  <c r="BL193" i="37"/>
  <c r="BN179" i="37"/>
  <c r="BL134" i="37"/>
  <c r="BH172" i="37"/>
  <c r="BN136" i="37"/>
  <c r="BH219" i="37"/>
  <c r="BI218" i="37"/>
  <c r="BM186" i="37"/>
  <c r="BM202" i="37"/>
  <c r="BI210" i="37"/>
  <c r="BG147" i="37"/>
  <c r="BG126" i="37"/>
  <c r="BN212" i="37"/>
  <c r="BH155" i="37"/>
  <c r="BI188" i="37"/>
  <c r="BM197" i="37"/>
  <c r="BI132" i="37"/>
  <c r="BM162" i="37"/>
  <c r="BH90" i="37"/>
  <c r="BG43" i="37"/>
  <c r="BL54" i="37"/>
  <c r="BL22" i="37"/>
  <c r="BG115" i="37"/>
  <c r="BN62" i="37"/>
  <c r="BL70" i="37"/>
  <c r="BM45" i="37"/>
  <c r="BI44" i="37"/>
  <c r="BI178" i="37"/>
  <c r="BH131" i="37"/>
  <c r="BN82" i="37"/>
  <c r="BG76" i="37"/>
  <c r="BL194" i="37"/>
  <c r="BG128" i="37"/>
  <c r="BG191" i="37"/>
  <c r="BH109" i="37"/>
  <c r="BI95" i="37"/>
  <c r="BM63" i="37"/>
  <c r="BM39" i="37"/>
  <c r="BG34" i="37"/>
  <c r="BN213" i="37"/>
  <c r="BG120" i="37"/>
  <c r="BN27" i="37"/>
  <c r="BM195" i="37"/>
  <c r="BI215" i="37"/>
  <c r="BH9" i="37"/>
  <c r="BL211" i="37"/>
  <c r="BN86" i="37"/>
  <c r="BM57" i="37"/>
  <c r="BM88" i="37"/>
  <c r="BH85" i="37"/>
  <c r="BM99" i="37"/>
  <c r="BM152" i="37"/>
  <c r="BG55" i="37"/>
  <c r="BM161" i="37"/>
  <c r="BI186" i="37"/>
  <c r="BH216" i="37"/>
  <c r="BI181" i="37"/>
  <c r="BL59" i="37"/>
  <c r="BH87" i="37"/>
  <c r="BL50" i="37"/>
  <c r="BL36" i="37"/>
  <c r="BL150" i="37"/>
  <c r="BN15" i="37"/>
  <c r="BI164" i="37"/>
  <c r="BG182" i="37"/>
  <c r="BI157" i="37"/>
  <c r="BM118" i="37"/>
  <c r="BH102" i="37"/>
  <c r="BM59" i="37"/>
  <c r="BG169" i="37"/>
  <c r="BN121" i="37"/>
  <c r="BH27" i="37"/>
  <c r="BI162" i="37"/>
  <c r="BI192" i="37"/>
  <c r="BM25" i="37"/>
  <c r="BM153" i="37"/>
  <c r="BL177" i="37"/>
  <c r="BM209" i="37"/>
  <c r="BM193" i="37"/>
  <c r="BM210" i="37"/>
  <c r="BG157" i="37"/>
  <c r="BG196" i="37"/>
  <c r="BI143" i="37"/>
  <c r="BN108" i="37"/>
  <c r="BI101" i="37"/>
  <c r="BL94" i="37"/>
  <c r="BI93" i="37"/>
  <c r="BM97" i="37"/>
  <c r="BG83" i="37"/>
  <c r="BG85" i="37"/>
  <c r="BL111" i="37"/>
  <c r="BG82" i="37"/>
  <c r="BG32" i="37"/>
  <c r="BG99" i="37"/>
  <c r="BM47" i="37"/>
  <c r="BH120" i="37"/>
  <c r="BM141" i="37"/>
  <c r="BI20" i="37"/>
  <c r="BI10" i="37"/>
  <c r="BM37" i="37"/>
  <c r="BH137" i="37"/>
  <c r="BH21" i="37"/>
  <c r="BI43" i="37"/>
  <c r="BG67" i="37"/>
  <c r="BM38" i="37"/>
  <c r="BN194" i="37"/>
  <c r="BN205" i="37"/>
  <c r="BI138" i="37"/>
  <c r="BH186" i="37"/>
  <c r="BN76" i="37"/>
  <c r="BM105" i="37"/>
  <c r="BG80" i="37"/>
  <c r="BI17" i="37"/>
  <c r="BM163" i="37"/>
  <c r="BI172" i="37"/>
  <c r="BN128" i="37"/>
  <c r="BL29" i="37"/>
  <c r="BN185" i="37"/>
  <c r="BG123" i="37"/>
  <c r="BM178" i="37"/>
  <c r="BL129" i="37"/>
  <c r="BH178" i="37"/>
  <c r="BI154" i="37"/>
  <c r="BM184" i="37"/>
  <c r="BH210" i="37"/>
  <c r="BM200" i="37"/>
  <c r="BG211" i="37"/>
  <c r="BH179" i="37"/>
  <c r="BI200" i="37"/>
  <c r="BN141" i="37"/>
  <c r="BH11" i="37"/>
  <c r="BG142" i="37"/>
  <c r="BN106" i="37"/>
  <c r="BL83" i="37"/>
  <c r="BL93" i="37"/>
  <c r="BM84" i="37"/>
  <c r="BG95" i="37"/>
  <c r="BL56" i="37"/>
  <c r="BN71" i="37"/>
  <c r="BI100" i="37"/>
  <c r="BN56" i="37"/>
  <c r="BG33" i="37"/>
  <c r="BG207" i="37"/>
  <c r="BL125" i="37"/>
  <c r="BG183" i="37"/>
  <c r="BM114" i="37"/>
  <c r="BN99" i="37"/>
  <c r="BH86" i="37"/>
  <c r="BH100" i="37"/>
  <c r="BI211" i="37"/>
  <c r="BL144" i="37"/>
  <c r="BN146" i="37"/>
  <c r="BH17" i="37"/>
  <c r="BM43" i="37"/>
  <c r="BH118" i="37"/>
  <c r="BL39" i="37"/>
  <c r="BI98" i="37"/>
  <c r="BN69" i="37"/>
  <c r="BG122" i="37"/>
  <c r="BI175" i="37"/>
  <c r="BH165" i="37"/>
  <c r="BG152" i="37"/>
  <c r="BL31" i="37"/>
  <c r="BH42" i="37"/>
  <c r="BL167" i="37"/>
  <c r="BG206" i="37"/>
  <c r="BM145" i="37"/>
  <c r="BN187" i="37"/>
  <c r="BN81" i="37"/>
  <c r="BH97" i="37"/>
  <c r="BI107" i="37"/>
  <c r="BN41" i="37"/>
  <c r="BG64" i="37"/>
  <c r="BN19" i="37"/>
  <c r="BL175" i="37"/>
  <c r="BG179" i="37"/>
  <c r="BG188" i="37"/>
  <c r="BI206" i="37"/>
  <c r="BN211" i="37"/>
  <c r="BM127" i="37"/>
  <c r="BH159" i="37"/>
  <c r="BN208" i="37"/>
  <c r="BL219" i="37"/>
  <c r="BG201" i="37"/>
  <c r="BI50" i="37"/>
  <c r="BI182" i="37"/>
  <c r="BG214" i="37"/>
  <c r="BI127" i="37"/>
  <c r="BL143" i="37"/>
  <c r="BL52" i="37"/>
  <c r="BM116" i="37"/>
  <c r="BI75" i="37"/>
  <c r="BL43" i="37"/>
  <c r="BG60" i="37"/>
  <c r="BG103" i="37"/>
  <c r="BM12" i="37"/>
  <c r="BG56" i="37"/>
  <c r="BM90" i="37"/>
  <c r="BG35" i="37"/>
  <c r="BL147" i="37"/>
  <c r="BL199" i="37"/>
  <c r="BI139" i="37"/>
  <c r="BH136" i="37"/>
  <c r="BN145" i="37"/>
  <c r="BH117" i="37"/>
  <c r="BL41" i="37"/>
  <c r="BN59" i="37"/>
  <c r="BH55" i="37"/>
  <c r="BM121" i="37"/>
  <c r="BM214" i="37"/>
  <c r="BL164" i="37"/>
  <c r="BG200" i="37"/>
  <c r="BH132" i="37"/>
  <c r="BG185" i="37"/>
  <c r="BM134" i="37"/>
  <c r="BG116" i="37"/>
  <c r="BM82" i="37"/>
  <c r="BL139" i="37"/>
  <c r="BH147" i="37"/>
  <c r="BH130" i="37"/>
  <c r="BN132" i="37"/>
  <c r="BG29" i="37"/>
  <c r="BI114" i="37"/>
  <c r="BL110" i="37"/>
  <c r="BI97" i="37"/>
  <c r="BI66" i="37"/>
  <c r="BL130" i="37"/>
  <c r="BM183" i="37"/>
  <c r="BI140" i="37"/>
  <c r="BI36" i="37"/>
  <c r="BN113" i="37"/>
  <c r="BI112" i="37"/>
  <c r="BN64" i="37"/>
  <c r="BL20" i="37"/>
  <c r="BI124" i="37"/>
  <c r="BG148" i="37"/>
  <c r="BM166" i="37"/>
  <c r="BM149" i="37"/>
  <c r="BL187" i="37"/>
  <c r="BL168" i="37"/>
  <c r="BO168" i="37" s="1"/>
  <c r="AG168" i="37" s="1"/>
  <c r="BN29" i="37"/>
  <c r="BL210" i="37"/>
  <c r="BM170" i="37"/>
  <c r="BN150" i="37"/>
  <c r="BG141" i="37"/>
  <c r="BG181" i="37"/>
  <c r="BH188" i="37"/>
  <c r="BG17" i="37"/>
  <c r="BI197" i="37"/>
  <c r="BN43" i="37"/>
  <c r="BI82" i="37"/>
  <c r="BL96" i="37"/>
  <c r="BG110" i="37"/>
  <c r="BL27" i="37"/>
  <c r="BM96" i="37"/>
  <c r="BG108" i="37"/>
  <c r="BG89" i="37"/>
  <c r="BI63" i="37"/>
  <c r="BI58" i="37"/>
  <c r="BH30" i="37"/>
  <c r="BH41" i="37"/>
  <c r="BN153" i="37"/>
  <c r="BL213" i="37"/>
  <c r="BH203" i="37"/>
  <c r="BL46" i="37"/>
  <c r="BI213" i="37"/>
  <c r="BG174" i="37"/>
  <c r="BH152" i="37"/>
  <c r="BH145" i="37"/>
  <c r="BG186" i="37"/>
  <c r="BH189" i="37"/>
  <c r="BG18" i="37"/>
  <c r="BM216" i="37"/>
  <c r="BI195" i="37"/>
  <c r="BI90" i="37"/>
  <c r="BI70" i="37"/>
  <c r="BH84" i="37"/>
  <c r="BI92" i="37"/>
  <c r="BM113" i="37"/>
  <c r="BL25" i="37"/>
  <c r="BH94" i="37"/>
  <c r="BL88" i="37"/>
  <c r="BH88" i="37"/>
  <c r="BI62" i="37"/>
  <c r="BN57" i="37"/>
  <c r="BG36" i="37"/>
  <c r="BH10" i="37"/>
  <c r="BN161" i="37"/>
  <c r="BH44" i="37"/>
  <c r="BL10" i="37"/>
  <c r="BH20" i="37"/>
  <c r="BN184" i="37"/>
  <c r="BG164" i="37"/>
  <c r="BL146" i="37"/>
  <c r="BM187" i="37"/>
  <c r="BI190" i="37"/>
  <c r="BM191" i="37"/>
  <c r="BG112" i="37"/>
  <c r="BI74" i="37"/>
  <c r="BN91" i="37"/>
  <c r="BL113" i="37"/>
  <c r="BL23" i="37"/>
  <c r="BH93" i="37"/>
  <c r="BM56" i="37"/>
  <c r="BG87" i="37"/>
  <c r="BG61" i="37"/>
  <c r="BL82" i="37"/>
  <c r="BI38" i="37"/>
  <c r="BM15" i="37"/>
  <c r="BM181" i="37"/>
  <c r="BI14" i="37"/>
  <c r="G56" i="37"/>
  <c r="AT56" i="37"/>
  <c r="AY56" i="37" s="1"/>
  <c r="AE56" i="37" s="1"/>
  <c r="AT113" i="37"/>
  <c r="AY113" i="37" s="1"/>
  <c r="AE113" i="37" s="1"/>
  <c r="G113" i="37"/>
  <c r="BG109" i="37"/>
  <c r="G163" i="37"/>
  <c r="AT163" i="37"/>
  <c r="AY163" i="37" s="1"/>
  <c r="AE163" i="37" s="1"/>
  <c r="AT14" i="37"/>
  <c r="AY14" i="37" s="1"/>
  <c r="AE14" i="37" s="1"/>
  <c r="G14" i="37"/>
  <c r="G63" i="37"/>
  <c r="AT63" i="37"/>
  <c r="AY63" i="37" s="1"/>
  <c r="AE63" i="37" s="1"/>
  <c r="G180" i="37"/>
  <c r="AT180" i="37"/>
  <c r="AY180" i="37" s="1"/>
  <c r="AE180" i="37" s="1"/>
  <c r="BN151" i="37"/>
  <c r="G100" i="37"/>
  <c r="AT100" i="37"/>
  <c r="AY100" i="37" s="1"/>
  <c r="AE100" i="37" s="1"/>
  <c r="AT54" i="37"/>
  <c r="AY54" i="37" s="1"/>
  <c r="AE54" i="37" s="1"/>
  <c r="G54" i="37"/>
  <c r="AT70" i="37"/>
  <c r="AY70" i="37" s="1"/>
  <c r="AE70" i="37" s="1"/>
  <c r="G70" i="37"/>
  <c r="G156" i="37"/>
  <c r="AT156" i="37"/>
  <c r="AY156" i="37" s="1"/>
  <c r="AE156" i="37" s="1"/>
  <c r="BG106" i="37"/>
  <c r="BN148" i="37"/>
  <c r="BM157" i="37"/>
  <c r="BH175" i="37"/>
  <c r="BI128" i="37"/>
  <c r="BN60" i="37"/>
  <c r="BM151" i="37"/>
  <c r="BN204" i="37"/>
  <c r="BH60" i="37"/>
  <c r="BN139" i="37"/>
  <c r="BH205" i="37"/>
  <c r="BH65" i="37"/>
  <c r="BM203" i="37"/>
  <c r="BM40" i="37"/>
  <c r="BL66" i="37"/>
  <c r="BH68" i="37"/>
  <c r="G167" i="37"/>
  <c r="BG9" i="37"/>
  <c r="BN195" i="37"/>
  <c r="BN34" i="37"/>
  <c r="BH73" i="37"/>
  <c r="BG100" i="37"/>
  <c r="BN218" i="37"/>
  <c r="BI173" i="37"/>
  <c r="BH79" i="37"/>
  <c r="BM205" i="37"/>
  <c r="AT110" i="37"/>
  <c r="AY110" i="37" s="1"/>
  <c r="AE110" i="37" s="1"/>
  <c r="G110" i="37"/>
  <c r="AT134" i="37"/>
  <c r="AY134" i="37" s="1"/>
  <c r="AE134" i="37" s="1"/>
  <c r="G134" i="37"/>
  <c r="AT75" i="37"/>
  <c r="AY75" i="37" s="1"/>
  <c r="AE75" i="37" s="1"/>
  <c r="G75" i="37"/>
  <c r="AT29" i="37"/>
  <c r="AY29" i="37" s="1"/>
  <c r="AE29" i="37" s="1"/>
  <c r="G29" i="37"/>
  <c r="G30" i="37"/>
  <c r="AT30" i="37"/>
  <c r="AY30" i="37" s="1"/>
  <c r="AE30" i="37" s="1"/>
  <c r="AT97" i="37"/>
  <c r="AY97" i="37" s="1"/>
  <c r="AE97" i="37" s="1"/>
  <c r="G97" i="37"/>
  <c r="AT43" i="37"/>
  <c r="AY43" i="37" s="1"/>
  <c r="AE43" i="37" s="1"/>
  <c r="G43" i="37"/>
  <c r="G31" i="37"/>
  <c r="AT31" i="37"/>
  <c r="AY31" i="37" s="1"/>
  <c r="AE31" i="37" s="1"/>
  <c r="AT159" i="37"/>
  <c r="AY159" i="37" s="1"/>
  <c r="AE159" i="37" s="1"/>
  <c r="G159" i="37"/>
  <c r="BG102" i="37"/>
  <c r="BN152" i="37"/>
  <c r="AT55" i="37"/>
  <c r="AY55" i="37" s="1"/>
  <c r="AE55" i="37" s="1"/>
  <c r="G55" i="37"/>
  <c r="AT106" i="37"/>
  <c r="AY106" i="37" s="1"/>
  <c r="AE106" i="37" s="1"/>
  <c r="G106" i="37"/>
  <c r="G96" i="37"/>
  <c r="AT96" i="37"/>
  <c r="AY96" i="37" s="1"/>
  <c r="AE96" i="37" s="1"/>
  <c r="BL86" i="37"/>
  <c r="BH191" i="37"/>
  <c r="AT140" i="37"/>
  <c r="AY140" i="37" s="1"/>
  <c r="AE140" i="37" s="1"/>
  <c r="G140" i="37"/>
  <c r="G60" i="37"/>
  <c r="AT60" i="37"/>
  <c r="AY60" i="37" s="1"/>
  <c r="AE60" i="37" s="1"/>
  <c r="BI184" i="37"/>
  <c r="BN48" i="37"/>
  <c r="BN109" i="37"/>
  <c r="BL127" i="37"/>
  <c r="BN42" i="37"/>
  <c r="BL217" i="37"/>
  <c r="BI116" i="37"/>
  <c r="AT23" i="37"/>
  <c r="AY23" i="37" s="1"/>
  <c r="AE23" i="37" s="1"/>
  <c r="BN171" i="37"/>
  <c r="BH194" i="37"/>
  <c r="BG90" i="37"/>
  <c r="BL9" i="37"/>
  <c r="BG23" i="37"/>
  <c r="BH89" i="37"/>
  <c r="BI37" i="37"/>
  <c r="BH45" i="37"/>
  <c r="BI40" i="37"/>
  <c r="BG46" i="37"/>
  <c r="BL101" i="37"/>
  <c r="G138" i="37"/>
  <c r="G196" i="37"/>
  <c r="BI133" i="37"/>
  <c r="BN209" i="37"/>
  <c r="BL170" i="37"/>
  <c r="BM213" i="37"/>
  <c r="G38" i="37"/>
  <c r="AT38" i="37"/>
  <c r="AY38" i="37" s="1"/>
  <c r="AE38" i="37" s="1"/>
  <c r="AT64" i="37"/>
  <c r="AY64" i="37" s="1"/>
  <c r="AE64" i="37" s="1"/>
  <c r="G64" i="37"/>
  <c r="AT162" i="37"/>
  <c r="AY162" i="37" s="1"/>
  <c r="AE162" i="37" s="1"/>
  <c r="G162" i="37"/>
  <c r="AT205" i="37"/>
  <c r="AY205" i="37" s="1"/>
  <c r="AE205" i="37" s="1"/>
  <c r="G205" i="37"/>
  <c r="AT133" i="37"/>
  <c r="AY133" i="37" s="1"/>
  <c r="AE133" i="37" s="1"/>
  <c r="G133" i="37"/>
  <c r="AT77" i="37"/>
  <c r="AY77" i="37" s="1"/>
  <c r="AE77" i="37" s="1"/>
  <c r="G77" i="37"/>
  <c r="AT39" i="37"/>
  <c r="AY39" i="37" s="1"/>
  <c r="AE39" i="37" s="1"/>
  <c r="G39" i="37"/>
  <c r="AT25" i="37"/>
  <c r="AY25" i="37" s="1"/>
  <c r="AE25" i="37" s="1"/>
  <c r="G25" i="37"/>
  <c r="AT53" i="37"/>
  <c r="AY53" i="37" s="1"/>
  <c r="AE53" i="37" s="1"/>
  <c r="G53" i="37"/>
  <c r="AT174" i="37"/>
  <c r="AY174" i="37" s="1"/>
  <c r="AE174" i="37" s="1"/>
  <c r="G174" i="37"/>
  <c r="AT62" i="37"/>
  <c r="AY62" i="37" s="1"/>
  <c r="AE62" i="37" s="1"/>
  <c r="G62" i="37"/>
  <c r="AT85" i="37"/>
  <c r="AY85" i="37" s="1"/>
  <c r="AE85" i="37" s="1"/>
  <c r="G85" i="37"/>
  <c r="AT121" i="37"/>
  <c r="AY121" i="37" s="1"/>
  <c r="AE121" i="37" s="1"/>
  <c r="G121" i="37"/>
  <c r="AT192" i="37"/>
  <c r="AY192" i="37" s="1"/>
  <c r="AE192" i="37" s="1"/>
  <c r="G192" i="37"/>
  <c r="G91" i="37"/>
  <c r="AT91" i="37"/>
  <c r="AY91" i="37" s="1"/>
  <c r="AE91" i="37" s="1"/>
  <c r="G45" i="37"/>
  <c r="AT45" i="37"/>
  <c r="AY45" i="37" s="1"/>
  <c r="AE45" i="37" s="1"/>
  <c r="G139" i="37"/>
  <c r="AT139" i="37"/>
  <c r="AY139" i="37" s="1"/>
  <c r="AE139" i="37" s="1"/>
  <c r="AT51" i="37"/>
  <c r="AY51" i="37" s="1"/>
  <c r="AE51" i="37" s="1"/>
  <c r="G51" i="37"/>
  <c r="AT146" i="37"/>
  <c r="AY146" i="37" s="1"/>
  <c r="AE146" i="37" s="1"/>
  <c r="G146" i="37"/>
  <c r="AT18" i="37"/>
  <c r="AY18" i="37" s="1"/>
  <c r="AE18" i="37" s="1"/>
  <c r="AT122" i="37"/>
  <c r="AY122" i="37" s="1"/>
  <c r="AE122" i="37" s="1"/>
  <c r="G95" i="37"/>
  <c r="G93" i="37"/>
  <c r="AT93" i="37"/>
  <c r="AY93" i="37" s="1"/>
  <c r="AE93" i="37" s="1"/>
  <c r="G67" i="37"/>
  <c r="AT71" i="37"/>
  <c r="AY71" i="37" s="1"/>
  <c r="AE71" i="37" s="1"/>
  <c r="AT173" i="37"/>
  <c r="AY173" i="37" s="1"/>
  <c r="AE173" i="37" s="1"/>
  <c r="G173" i="37"/>
  <c r="AT161" i="37"/>
  <c r="AY161" i="37" s="1"/>
  <c r="AE161" i="37" s="1"/>
  <c r="G161" i="37"/>
  <c r="G214" i="37"/>
  <c r="AT214" i="37"/>
  <c r="AY214" i="37" s="1"/>
  <c r="AE214" i="37" s="1"/>
  <c r="G164" i="37"/>
  <c r="AT164" i="37"/>
  <c r="AY164" i="37" s="1"/>
  <c r="AE164" i="37" s="1"/>
  <c r="AT152" i="37"/>
  <c r="AY152" i="37" s="1"/>
  <c r="AE152" i="37" s="1"/>
  <c r="G152" i="37"/>
  <c r="AT22" i="37"/>
  <c r="AY22" i="37" s="1"/>
  <c r="AE22" i="37" s="1"/>
  <c r="G22" i="37"/>
  <c r="AT191" i="37"/>
  <c r="AY191" i="37" s="1"/>
  <c r="AE191" i="37" s="1"/>
  <c r="G191" i="37"/>
  <c r="G188" i="37"/>
  <c r="AT188" i="37"/>
  <c r="AY188" i="37" s="1"/>
  <c r="AE188" i="37" s="1"/>
  <c r="AT107" i="37"/>
  <c r="AY107" i="37" s="1"/>
  <c r="AE107" i="37" s="1"/>
  <c r="G107" i="37"/>
  <c r="AT37" i="37"/>
  <c r="AY37" i="37" s="1"/>
  <c r="AE37" i="37" s="1"/>
  <c r="G148" i="37"/>
  <c r="AT148" i="37"/>
  <c r="AY148" i="37" s="1"/>
  <c r="AE148" i="37" s="1"/>
  <c r="AT81" i="37"/>
  <c r="AY81" i="37" s="1"/>
  <c r="AE81" i="37" s="1"/>
  <c r="G81" i="37"/>
  <c r="AT21" i="37"/>
  <c r="AY21" i="37" s="1"/>
  <c r="AE21" i="37" s="1"/>
  <c r="G21" i="37"/>
  <c r="G137" i="37"/>
  <c r="AT79" i="37"/>
  <c r="AY79" i="37" s="1"/>
  <c r="AE79" i="37" s="1"/>
  <c r="G79" i="37"/>
  <c r="G78" i="37"/>
  <c r="AT78" i="37"/>
  <c r="AY78" i="37" s="1"/>
  <c r="AE78" i="37" s="1"/>
  <c r="G50" i="37"/>
  <c r="AT50" i="37"/>
  <c r="AY50" i="37" s="1"/>
  <c r="AE50" i="37" s="1"/>
  <c r="AT61" i="37"/>
  <c r="AY61" i="37" s="1"/>
  <c r="AE61" i="37" s="1"/>
  <c r="G61" i="37"/>
  <c r="G213" i="37"/>
  <c r="AT213" i="37"/>
  <c r="AY213" i="37" s="1"/>
  <c r="AE213" i="37" s="1"/>
  <c r="G170" i="37"/>
  <c r="AT170" i="37"/>
  <c r="AY170" i="37" s="1"/>
  <c r="AE170" i="37" s="1"/>
  <c r="AT153" i="37"/>
  <c r="AY153" i="37" s="1"/>
  <c r="AE153" i="37" s="1"/>
  <c r="G153" i="37"/>
  <c r="G155" i="37"/>
  <c r="AT155" i="37"/>
  <c r="AY155" i="37" s="1"/>
  <c r="AE155" i="37" s="1"/>
  <c r="AT165" i="37"/>
  <c r="AY165" i="37" s="1"/>
  <c r="AE165" i="37" s="1"/>
  <c r="G165" i="37"/>
  <c r="AT198" i="37"/>
  <c r="AY198" i="37" s="1"/>
  <c r="AE198" i="37" s="1"/>
  <c r="G198" i="37"/>
  <c r="AT9" i="37"/>
  <c r="AY9" i="37" s="1"/>
  <c r="AE9" i="37" s="1"/>
  <c r="G9" i="37"/>
  <c r="AT20" i="37"/>
  <c r="AY20" i="37" s="1"/>
  <c r="AE20" i="37" s="1"/>
  <c r="G20" i="37"/>
  <c r="AT41" i="37"/>
  <c r="AY41" i="37" s="1"/>
  <c r="AE41" i="37" s="1"/>
  <c r="G41" i="37"/>
  <c r="G126" i="37"/>
  <c r="AT126" i="37"/>
  <c r="AY126" i="37" s="1"/>
  <c r="AE126" i="37" s="1"/>
  <c r="G154" i="37"/>
  <c r="AT154" i="37"/>
  <c r="AY154" i="37" s="1"/>
  <c r="AE154" i="37" s="1"/>
  <c r="AT189" i="37"/>
  <c r="AY189" i="37" s="1"/>
  <c r="AE189" i="37" s="1"/>
  <c r="G123" i="37"/>
  <c r="AT17" i="37"/>
  <c r="AY17" i="37" s="1"/>
  <c r="AE17" i="37" s="1"/>
  <c r="G17" i="37"/>
  <c r="AT52" i="37"/>
  <c r="AY52" i="37" s="1"/>
  <c r="AE52" i="37" s="1"/>
  <c r="G52" i="37"/>
  <c r="AT98" i="37"/>
  <c r="AY98" i="37" s="1"/>
  <c r="AE98" i="37" s="1"/>
  <c r="AT111" i="37"/>
  <c r="AY111" i="37" s="1"/>
  <c r="AE111" i="37" s="1"/>
  <c r="G84" i="37"/>
  <c r="AY181" i="37"/>
  <c r="AE181" i="37" s="1"/>
  <c r="AY33" i="37"/>
  <c r="AE33" i="37" s="1"/>
  <c r="G150" i="37"/>
  <c r="AT150" i="37"/>
  <c r="AY150" i="37" s="1"/>
  <c r="AE150" i="37" s="1"/>
  <c r="AY84" i="37"/>
  <c r="AE84" i="37" s="1"/>
  <c r="AT141" i="37"/>
  <c r="AY141" i="37" s="1"/>
  <c r="AE141" i="37" s="1"/>
  <c r="G141" i="37"/>
  <c r="AT129" i="37"/>
  <c r="AY129" i="37" s="1"/>
  <c r="AE129" i="37" s="1"/>
  <c r="G129" i="37"/>
  <c r="AT132" i="37"/>
  <c r="AY132" i="37" s="1"/>
  <c r="AE132" i="37" s="1"/>
  <c r="G132" i="37"/>
  <c r="AT177" i="37"/>
  <c r="AY177" i="37" s="1"/>
  <c r="AE177" i="37" s="1"/>
  <c r="G177" i="37"/>
  <c r="AT131" i="37"/>
  <c r="AY131" i="37" s="1"/>
  <c r="AE131" i="37" s="1"/>
  <c r="G131" i="37"/>
  <c r="G197" i="37"/>
  <c r="AT197" i="37"/>
  <c r="AY197" i="37" s="1"/>
  <c r="AE197" i="37" s="1"/>
  <c r="AY123" i="37"/>
  <c r="AE123" i="37" s="1"/>
  <c r="AT94" i="37"/>
  <c r="AY94" i="37" s="1"/>
  <c r="AE94" i="37" s="1"/>
  <c r="G94" i="37"/>
  <c r="AY28" i="37"/>
  <c r="AE28" i="37" s="1"/>
  <c r="AY185" i="37"/>
  <c r="AE185" i="37" s="1"/>
  <c r="AY203" i="37"/>
  <c r="AE203" i="37" s="1"/>
  <c r="AY16" i="37"/>
  <c r="AE16" i="37" s="1"/>
  <c r="AY36" i="37"/>
  <c r="AE36" i="37" s="1"/>
  <c r="AY196" i="37"/>
  <c r="AE196" i="37" s="1"/>
  <c r="AY143" i="37"/>
  <c r="AE143" i="37" s="1"/>
  <c r="AT142" i="37"/>
  <c r="AY142" i="37" s="1"/>
  <c r="AE142" i="37" s="1"/>
  <c r="G142" i="37"/>
  <c r="AY184" i="37"/>
  <c r="AE184" i="37" s="1"/>
  <c r="AY204" i="37"/>
  <c r="AE204" i="37" s="1"/>
  <c r="AY171" i="37"/>
  <c r="AE171" i="37" s="1"/>
  <c r="AY217" i="37"/>
  <c r="AE217" i="37" s="1"/>
  <c r="AY151" i="37"/>
  <c r="AE151" i="37" s="1"/>
  <c r="AY167" i="37"/>
  <c r="AE167" i="37" s="1"/>
  <c r="AY218" i="37"/>
  <c r="AE218" i="37" s="1"/>
  <c r="AY144" i="37"/>
  <c r="AE144" i="37" s="1"/>
  <c r="AY127" i="37"/>
  <c r="AE127" i="37" s="1"/>
  <c r="AY57" i="37"/>
  <c r="AE57" i="37" s="1"/>
  <c r="AY200" i="37"/>
  <c r="AE200" i="37" s="1"/>
  <c r="AY138" i="37"/>
  <c r="AE138" i="37" s="1"/>
  <c r="AY216" i="37"/>
  <c r="AE216" i="37" s="1"/>
  <c r="AY208" i="37"/>
  <c r="AE208" i="37" s="1"/>
  <c r="AY168" i="37"/>
  <c r="AE168" i="37" s="1"/>
  <c r="AY195" i="37"/>
  <c r="AE195" i="37" s="1"/>
  <c r="AY137" i="37"/>
  <c r="AE137" i="37" s="1"/>
  <c r="AY66" i="37"/>
  <c r="AE66" i="37" s="1"/>
  <c r="AY27" i="37"/>
  <c r="AE27" i="37" s="1"/>
  <c r="AY35" i="37"/>
  <c r="AE35" i="37" s="1"/>
  <c r="AY83" i="37"/>
  <c r="AE83" i="37" s="1"/>
  <c r="AY59" i="37"/>
  <c r="AE59" i="37" s="1"/>
  <c r="AY115" i="37"/>
  <c r="AE115" i="37" s="1"/>
  <c r="AY58" i="37"/>
  <c r="AE58" i="37" s="1"/>
  <c r="AY95" i="37"/>
  <c r="AE95" i="37" s="1"/>
  <c r="AY112" i="37"/>
  <c r="AE112" i="37" s="1"/>
  <c r="AY82" i="37"/>
  <c r="AE82" i="37" s="1"/>
  <c r="AY86" i="37"/>
  <c r="AE86" i="37" s="1"/>
  <c r="AY104" i="37"/>
  <c r="AE104" i="37" s="1"/>
  <c r="AY48" i="37"/>
  <c r="AE48" i="37" s="1"/>
  <c r="AY12" i="37"/>
  <c r="AE12" i="37" s="1"/>
  <c r="AY109" i="37"/>
  <c r="AE109" i="37" s="1"/>
  <c r="AY118" i="37"/>
  <c r="AE118" i="37" s="1"/>
  <c r="B60" i="36"/>
  <c r="AJ60" i="36" s="1"/>
  <c r="AE7" i="38" l="1" a="1"/>
  <c r="AE7" i="38" s="1"/>
  <c r="AK60" i="36"/>
  <c r="H60" i="36"/>
  <c r="AI60" i="36"/>
  <c r="BJ35" i="37"/>
  <c r="AF35" i="37" s="1"/>
  <c r="BJ199" i="37"/>
  <c r="AF199" i="37" s="1"/>
  <c r="BJ179" i="37"/>
  <c r="AF179" i="37" s="1"/>
  <c r="W18" i="38"/>
  <c r="Q20" i="38" a="1"/>
  <c r="Q20" i="38" s="1"/>
  <c r="S20" i="38" s="1"/>
  <c r="U19" i="38"/>
  <c r="BO9" i="37"/>
  <c r="AG9" i="37" s="1"/>
  <c r="BO75" i="37"/>
  <c r="AG75" i="37" s="1"/>
  <c r="BO193" i="37"/>
  <c r="AG193" i="37" s="1"/>
  <c r="BJ160" i="37"/>
  <c r="AF160" i="37" s="1"/>
  <c r="BJ133" i="37"/>
  <c r="AF133" i="37" s="1"/>
  <c r="BJ108" i="37"/>
  <c r="AF108" i="37" s="1"/>
  <c r="BO74" i="37"/>
  <c r="AG74" i="37" s="1"/>
  <c r="BO107" i="37"/>
  <c r="AG107" i="37" s="1"/>
  <c r="BJ162" i="37"/>
  <c r="AF162" i="37" s="1"/>
  <c r="BO99" i="37"/>
  <c r="AG99" i="37" s="1"/>
  <c r="BO94" i="37"/>
  <c r="AG94" i="37" s="1"/>
  <c r="BJ30" i="37"/>
  <c r="AF30" i="37" s="1"/>
  <c r="BO22" i="37"/>
  <c r="AG22" i="37" s="1"/>
  <c r="BJ219" i="37"/>
  <c r="AF219" i="37" s="1"/>
  <c r="BJ109" i="37"/>
  <c r="AF109" i="37" s="1"/>
  <c r="BJ126" i="37"/>
  <c r="AF126" i="37" s="1"/>
  <c r="T19" i="38"/>
  <c r="V19" i="38"/>
  <c r="W19" i="38" s="1"/>
  <c r="BO100" i="37"/>
  <c r="AG100" i="37" s="1"/>
  <c r="BJ99" i="37"/>
  <c r="AF99" i="37" s="1"/>
  <c r="BJ76" i="37"/>
  <c r="AF76" i="37" s="1"/>
  <c r="BJ68" i="37"/>
  <c r="AF68" i="37" s="1"/>
  <c r="BJ152" i="37"/>
  <c r="AF152" i="37" s="1"/>
  <c r="BJ82" i="37"/>
  <c r="AF82" i="37" s="1"/>
  <c r="BJ61" i="37"/>
  <c r="AF61" i="37" s="1"/>
  <c r="BO55" i="37"/>
  <c r="AG55" i="37" s="1"/>
  <c r="BO189" i="37"/>
  <c r="AG189" i="37" s="1"/>
  <c r="BJ46" i="37"/>
  <c r="AF46" i="37" s="1"/>
  <c r="BO169" i="37"/>
  <c r="AG169" i="37" s="1"/>
  <c r="BJ20" i="37"/>
  <c r="AF20" i="37" s="1"/>
  <c r="BO77" i="37"/>
  <c r="AG77" i="37" s="1"/>
  <c r="BO37" i="37"/>
  <c r="AG37" i="37" s="1"/>
  <c r="BJ73" i="37"/>
  <c r="AF73" i="37" s="1"/>
  <c r="BJ60" i="37"/>
  <c r="AF60" i="37" s="1"/>
  <c r="BJ168" i="37"/>
  <c r="AF168" i="37" s="1"/>
  <c r="AI168" i="37" s="1"/>
  <c r="AJ168" i="37" s="1"/>
  <c r="AK168" i="37" s="1"/>
  <c r="BO108" i="37"/>
  <c r="AG108" i="37" s="1"/>
  <c r="BJ19" i="37"/>
  <c r="AF19" i="37" s="1"/>
  <c r="BO44" i="37"/>
  <c r="AG44" i="37" s="1"/>
  <c r="BO12" i="37"/>
  <c r="AG12" i="37" s="1"/>
  <c r="BO216" i="37"/>
  <c r="AG216" i="37" s="1"/>
  <c r="BO66" i="37"/>
  <c r="AG66" i="37" s="1"/>
  <c r="BO91" i="37"/>
  <c r="AG91" i="37" s="1"/>
  <c r="BJ148" i="37"/>
  <c r="AF148" i="37" s="1"/>
  <c r="BO39" i="37"/>
  <c r="AG39" i="37" s="1"/>
  <c r="BJ100" i="37"/>
  <c r="AF100" i="37" s="1"/>
  <c r="BO50" i="37"/>
  <c r="AG50" i="37" s="1"/>
  <c r="BO129" i="37"/>
  <c r="AG129" i="37" s="1"/>
  <c r="BO23" i="37"/>
  <c r="AG23" i="37" s="1"/>
  <c r="BO76" i="37"/>
  <c r="AG76" i="37" s="1"/>
  <c r="BO202" i="37"/>
  <c r="AG202" i="37" s="1"/>
  <c r="BO138" i="37"/>
  <c r="AG138" i="37" s="1"/>
  <c r="BJ49" i="37"/>
  <c r="AF49" i="37" s="1"/>
  <c r="BO217" i="37"/>
  <c r="AG217" i="37" s="1"/>
  <c r="BO201" i="37"/>
  <c r="AG201" i="37" s="1"/>
  <c r="BO85" i="37"/>
  <c r="AG85" i="37" s="1"/>
  <c r="BJ173" i="37"/>
  <c r="AF173" i="37" s="1"/>
  <c r="BJ98" i="37"/>
  <c r="AF98" i="37" s="1"/>
  <c r="BJ153" i="37"/>
  <c r="AF153" i="37" s="1"/>
  <c r="BO15" i="37"/>
  <c r="AG15" i="37" s="1"/>
  <c r="BJ193" i="37"/>
  <c r="AF193" i="37" s="1"/>
  <c r="BJ166" i="37"/>
  <c r="AF166" i="37" s="1"/>
  <c r="BJ38" i="37"/>
  <c r="AF38" i="37" s="1"/>
  <c r="BJ14" i="37"/>
  <c r="AF14" i="37" s="1"/>
  <c r="BO18" i="37"/>
  <c r="AG18" i="37" s="1"/>
  <c r="BO24" i="37"/>
  <c r="AG24" i="37" s="1"/>
  <c r="BJ184" i="37"/>
  <c r="AF184" i="37" s="1"/>
  <c r="BO102" i="37"/>
  <c r="AG102" i="37" s="1"/>
  <c r="BJ39" i="37"/>
  <c r="AF39" i="37" s="1"/>
  <c r="BO73" i="37"/>
  <c r="AG73" i="37" s="1"/>
  <c r="BJ204" i="37"/>
  <c r="AF204" i="37" s="1"/>
  <c r="BO153" i="37"/>
  <c r="AG153" i="37" s="1"/>
  <c r="BO127" i="37"/>
  <c r="AG127" i="37" s="1"/>
  <c r="BO152" i="37"/>
  <c r="AG152" i="37" s="1"/>
  <c r="BJ214" i="37"/>
  <c r="AF214" i="37" s="1"/>
  <c r="BO25" i="37"/>
  <c r="AG25" i="37" s="1"/>
  <c r="BJ11" i="37"/>
  <c r="AF11" i="37" s="1"/>
  <c r="BJ86" i="37"/>
  <c r="AF86" i="37" s="1"/>
  <c r="BO53" i="37"/>
  <c r="AG53" i="37" s="1"/>
  <c r="BJ26" i="37"/>
  <c r="AF26" i="37" s="1"/>
  <c r="BO96" i="37"/>
  <c r="AG96" i="37" s="1"/>
  <c r="BJ102" i="37"/>
  <c r="AF102" i="37" s="1"/>
  <c r="BJ112" i="37"/>
  <c r="AF112" i="37" s="1"/>
  <c r="BO139" i="37"/>
  <c r="AG139" i="37" s="1"/>
  <c r="BJ192" i="37"/>
  <c r="AF192" i="37" s="1"/>
  <c r="BO59" i="37"/>
  <c r="AG59" i="37" s="1"/>
  <c r="BO60" i="37"/>
  <c r="AG60" i="37" s="1"/>
  <c r="BO98" i="37"/>
  <c r="AG98" i="37" s="1"/>
  <c r="BO188" i="37"/>
  <c r="AG188" i="37" s="1"/>
  <c r="BJ195" i="37"/>
  <c r="AF195" i="37" s="1"/>
  <c r="BJ190" i="37"/>
  <c r="AF190" i="37" s="1"/>
  <c r="BO149" i="37"/>
  <c r="AG149" i="37" s="1"/>
  <c r="BO28" i="37"/>
  <c r="AG28" i="37" s="1"/>
  <c r="BO14" i="37"/>
  <c r="AG14" i="37" s="1"/>
  <c r="BJ135" i="37"/>
  <c r="AF135" i="37" s="1"/>
  <c r="BO70" i="37"/>
  <c r="AG70" i="37" s="1"/>
  <c r="BO154" i="37"/>
  <c r="AG154" i="37" s="1"/>
  <c r="BJ56" i="37"/>
  <c r="AF56" i="37" s="1"/>
  <c r="BJ70" i="37"/>
  <c r="AF70" i="37" s="1"/>
  <c r="BO84" i="37"/>
  <c r="AG84" i="37" s="1"/>
  <c r="BO63" i="37"/>
  <c r="AG63" i="37" s="1"/>
  <c r="BJ117" i="37"/>
  <c r="AF117" i="37" s="1"/>
  <c r="BJ216" i="37"/>
  <c r="AF216" i="37" s="1"/>
  <c r="BJ170" i="37"/>
  <c r="AF170" i="37" s="1"/>
  <c r="BO104" i="37"/>
  <c r="AG104" i="37" s="1"/>
  <c r="BJ52" i="37"/>
  <c r="AF52" i="37" s="1"/>
  <c r="BJ17" i="37"/>
  <c r="AF17" i="37" s="1"/>
  <c r="BO80" i="37"/>
  <c r="AG80" i="37" s="1"/>
  <c r="BO10" i="37"/>
  <c r="AG10" i="37" s="1"/>
  <c r="BJ172" i="37"/>
  <c r="AF172" i="37" s="1"/>
  <c r="BO65" i="37"/>
  <c r="AG65" i="37" s="1"/>
  <c r="BJ149" i="37"/>
  <c r="AF149" i="37" s="1"/>
  <c r="BO165" i="37"/>
  <c r="AG165" i="37" s="1"/>
  <c r="BJ150" i="37"/>
  <c r="AF150" i="37" s="1"/>
  <c r="BO215" i="37"/>
  <c r="AG215" i="37" s="1"/>
  <c r="BJ78" i="37"/>
  <c r="AF78" i="37" s="1"/>
  <c r="BO40" i="37"/>
  <c r="AG40" i="37" s="1"/>
  <c r="BJ118" i="37"/>
  <c r="AF118" i="37" s="1"/>
  <c r="BJ175" i="37"/>
  <c r="AF175" i="37" s="1"/>
  <c r="BJ65" i="37"/>
  <c r="AF65" i="37" s="1"/>
  <c r="BJ158" i="37"/>
  <c r="AF158" i="37" s="1"/>
  <c r="BO81" i="37"/>
  <c r="AG81" i="37" s="1"/>
  <c r="BJ80" i="37"/>
  <c r="AF80" i="37" s="1"/>
  <c r="BJ197" i="37"/>
  <c r="AF197" i="37" s="1"/>
  <c r="BO178" i="37"/>
  <c r="AG178" i="37" s="1"/>
  <c r="BO190" i="37"/>
  <c r="AG190" i="37" s="1"/>
  <c r="BO38" i="37"/>
  <c r="AG38" i="37" s="1"/>
  <c r="BJ54" i="37"/>
  <c r="AF54" i="37" s="1"/>
  <c r="BO206" i="37"/>
  <c r="AG206" i="37" s="1"/>
  <c r="BO35" i="37"/>
  <c r="AG35" i="37" s="1"/>
  <c r="BO197" i="37"/>
  <c r="AG197" i="37" s="1"/>
  <c r="BO34" i="37"/>
  <c r="AG34" i="37" s="1"/>
  <c r="BO117" i="37"/>
  <c r="AG117" i="37" s="1"/>
  <c r="BO203" i="37"/>
  <c r="AG203" i="37" s="1"/>
  <c r="BO62" i="37"/>
  <c r="AG62" i="37" s="1"/>
  <c r="BJ31" i="37"/>
  <c r="AF31" i="37" s="1"/>
  <c r="BO219" i="37"/>
  <c r="AG219" i="37" s="1"/>
  <c r="BJ134" i="37"/>
  <c r="AF134" i="37" s="1"/>
  <c r="BJ95" i="37"/>
  <c r="AF95" i="37" s="1"/>
  <c r="BJ83" i="37"/>
  <c r="AF83" i="37" s="1"/>
  <c r="BJ120" i="37"/>
  <c r="AF120" i="37" s="1"/>
  <c r="BJ18" i="37"/>
  <c r="AF18" i="37" s="1"/>
  <c r="BO210" i="37"/>
  <c r="AG210" i="37" s="1"/>
  <c r="BO92" i="37"/>
  <c r="AG92" i="37" s="1"/>
  <c r="BJ91" i="37"/>
  <c r="AF91" i="37" s="1"/>
  <c r="BO163" i="37"/>
  <c r="AG163" i="37" s="1"/>
  <c r="BO69" i="37"/>
  <c r="AG69" i="37" s="1"/>
  <c r="BO112" i="37"/>
  <c r="AG112" i="37" s="1"/>
  <c r="BO90" i="37"/>
  <c r="AG90" i="37" s="1"/>
  <c r="BJ40" i="37"/>
  <c r="AF40" i="37" s="1"/>
  <c r="BO97" i="37"/>
  <c r="AG97" i="37" s="1"/>
  <c r="BO56" i="37"/>
  <c r="AG56" i="37" s="1"/>
  <c r="BO180" i="37"/>
  <c r="AG180" i="37" s="1"/>
  <c r="BJ94" i="37"/>
  <c r="AF94" i="37" s="1"/>
  <c r="BJ116" i="37"/>
  <c r="AF116" i="37" s="1"/>
  <c r="BJ201" i="37"/>
  <c r="AF201" i="37" s="1"/>
  <c r="BO186" i="37"/>
  <c r="AG186" i="37" s="1"/>
  <c r="BO103" i="37"/>
  <c r="AG103" i="37" s="1"/>
  <c r="BO79" i="37"/>
  <c r="AG79" i="37" s="1"/>
  <c r="BO114" i="37"/>
  <c r="AG114" i="37" s="1"/>
  <c r="BJ110" i="37"/>
  <c r="AF110" i="37" s="1"/>
  <c r="BO128" i="37"/>
  <c r="AG128" i="37" s="1"/>
  <c r="BO106" i="37"/>
  <c r="AG106" i="37" s="1"/>
  <c r="BJ96" i="37"/>
  <c r="AF96" i="37" s="1"/>
  <c r="BO157" i="37"/>
  <c r="AG157" i="37" s="1"/>
  <c r="BJ164" i="37"/>
  <c r="AF164" i="37" s="1"/>
  <c r="BJ202" i="37"/>
  <c r="AF202" i="37" s="1"/>
  <c r="BO156" i="37"/>
  <c r="AG156" i="37" s="1"/>
  <c r="BJ180" i="37"/>
  <c r="AF180" i="37" s="1"/>
  <c r="BO200" i="37"/>
  <c r="AG200" i="37" s="1"/>
  <c r="BJ178" i="37"/>
  <c r="AF178" i="37" s="1"/>
  <c r="BO27" i="37"/>
  <c r="AG27" i="37" s="1"/>
  <c r="BO110" i="37"/>
  <c r="AG110" i="37" s="1"/>
  <c r="BJ159" i="37"/>
  <c r="AF159" i="37" s="1"/>
  <c r="BO124" i="37"/>
  <c r="AG124" i="37" s="1"/>
  <c r="BO31" i="37"/>
  <c r="AG31" i="37" s="1"/>
  <c r="BJ212" i="37"/>
  <c r="AF212" i="37" s="1"/>
  <c r="BJ16" i="37"/>
  <c r="AF16" i="37" s="1"/>
  <c r="BO122" i="37"/>
  <c r="AG122" i="37" s="1"/>
  <c r="BO147" i="37"/>
  <c r="AG147" i="37" s="1"/>
  <c r="BJ67" i="37"/>
  <c r="AF67" i="37" s="1"/>
  <c r="BO182" i="37"/>
  <c r="AG182" i="37" s="1"/>
  <c r="BJ74" i="37"/>
  <c r="AF74" i="37" s="1"/>
  <c r="BJ111" i="37"/>
  <c r="AF111" i="37" s="1"/>
  <c r="BO164" i="37"/>
  <c r="AG164" i="37" s="1"/>
  <c r="BO172" i="37"/>
  <c r="AG172" i="37" s="1"/>
  <c r="BJ45" i="37"/>
  <c r="AF45" i="37" s="1"/>
  <c r="BO93" i="37"/>
  <c r="AG93" i="37" s="1"/>
  <c r="BJ115" i="37"/>
  <c r="AF115" i="37" s="1"/>
  <c r="BJ48" i="37"/>
  <c r="AF48" i="37" s="1"/>
  <c r="BO64" i="37"/>
  <c r="AG64" i="37" s="1"/>
  <c r="BO61" i="37"/>
  <c r="AG61" i="37" s="1"/>
  <c r="BJ71" i="37"/>
  <c r="AF71" i="37" s="1"/>
  <c r="BJ51" i="37"/>
  <c r="AF51" i="37" s="1"/>
  <c r="BJ196" i="37"/>
  <c r="AF196" i="37" s="1"/>
  <c r="BJ181" i="37"/>
  <c r="AF181" i="37" s="1"/>
  <c r="BJ185" i="37"/>
  <c r="AF185" i="37" s="1"/>
  <c r="BJ169" i="37"/>
  <c r="AF169" i="37" s="1"/>
  <c r="BO133" i="37"/>
  <c r="AG133" i="37" s="1"/>
  <c r="BJ88" i="37"/>
  <c r="AF88" i="37" s="1"/>
  <c r="BO208" i="37"/>
  <c r="AG208" i="37" s="1"/>
  <c r="BJ24" i="37"/>
  <c r="AF24" i="37" s="1"/>
  <c r="BJ140" i="37"/>
  <c r="AF140" i="37" s="1"/>
  <c r="BJ97" i="37"/>
  <c r="AF97" i="37" s="1"/>
  <c r="BO54" i="37"/>
  <c r="AG54" i="37" s="1"/>
  <c r="BJ151" i="37"/>
  <c r="AF151" i="37" s="1"/>
  <c r="BO212" i="37"/>
  <c r="AG212" i="37" s="1"/>
  <c r="BJ63" i="37"/>
  <c r="AF63" i="37" s="1"/>
  <c r="BJ23" i="37"/>
  <c r="AF23" i="37" s="1"/>
  <c r="AI23" i="37" s="1"/>
  <c r="AJ23" i="37" s="1"/>
  <c r="AK23" i="37" s="1"/>
  <c r="BO51" i="37"/>
  <c r="AG51" i="37" s="1"/>
  <c r="BJ191" i="37"/>
  <c r="AF191" i="37" s="1"/>
  <c r="BO30" i="37"/>
  <c r="AG30" i="37" s="1"/>
  <c r="BO125" i="37"/>
  <c r="AG125" i="37" s="1"/>
  <c r="BJ25" i="37"/>
  <c r="AF25" i="37" s="1"/>
  <c r="BJ174" i="37"/>
  <c r="AF174" i="37" s="1"/>
  <c r="BO111" i="37"/>
  <c r="AG111" i="37" s="1"/>
  <c r="BJ147" i="37"/>
  <c r="AF147" i="37" s="1"/>
  <c r="BO101" i="37"/>
  <c r="AG101" i="37" s="1"/>
  <c r="BO20" i="37"/>
  <c r="AG20" i="37" s="1"/>
  <c r="BJ85" i="37"/>
  <c r="AF85" i="37" s="1"/>
  <c r="BO137" i="37"/>
  <c r="AG137" i="37" s="1"/>
  <c r="BO21" i="37"/>
  <c r="AG21" i="37" s="1"/>
  <c r="BJ217" i="37"/>
  <c r="AF217" i="37" s="1"/>
  <c r="BJ136" i="37"/>
  <c r="AF136" i="37" s="1"/>
  <c r="BO174" i="37"/>
  <c r="AG174" i="37" s="1"/>
  <c r="BO26" i="37"/>
  <c r="AG26" i="37" s="1"/>
  <c r="BJ208" i="37"/>
  <c r="AF208" i="37" s="1"/>
  <c r="BO191" i="37"/>
  <c r="AG191" i="37" s="1"/>
  <c r="BO199" i="37"/>
  <c r="AG199" i="37" s="1"/>
  <c r="BO45" i="37"/>
  <c r="AG45" i="37" s="1"/>
  <c r="BJ92" i="37"/>
  <c r="AF92" i="37" s="1"/>
  <c r="G219" i="37"/>
  <c r="AT219" i="37"/>
  <c r="AY219" i="37" s="1"/>
  <c r="AE219" i="37" s="1"/>
  <c r="BO42" i="37"/>
  <c r="AG42" i="37" s="1"/>
  <c r="BJ37" i="37"/>
  <c r="AF37" i="37" s="1"/>
  <c r="BJ90" i="37"/>
  <c r="AF90" i="37" s="1"/>
  <c r="BJ87" i="37"/>
  <c r="AF87" i="37" s="1"/>
  <c r="BJ89" i="37"/>
  <c r="AF89" i="37" s="1"/>
  <c r="BJ188" i="37"/>
  <c r="AF188" i="37" s="1"/>
  <c r="BJ183" i="37"/>
  <c r="AF183" i="37" s="1"/>
  <c r="BJ157" i="37"/>
  <c r="AF157" i="37" s="1"/>
  <c r="BJ128" i="37"/>
  <c r="AF128" i="37" s="1"/>
  <c r="BO126" i="37"/>
  <c r="AG126" i="37" s="1"/>
  <c r="BO214" i="37"/>
  <c r="AG214" i="37" s="1"/>
  <c r="BO19" i="37"/>
  <c r="AG19" i="37" s="1"/>
  <c r="BJ69" i="37"/>
  <c r="AF69" i="37" s="1"/>
  <c r="BJ107" i="37"/>
  <c r="AF107" i="37" s="1"/>
  <c r="BJ57" i="37"/>
  <c r="AF57" i="37" s="1"/>
  <c r="BJ176" i="37"/>
  <c r="AF176" i="37" s="1"/>
  <c r="BJ171" i="37"/>
  <c r="AF171" i="37" s="1"/>
  <c r="BJ58" i="37"/>
  <c r="AF58" i="37" s="1"/>
  <c r="BO32" i="37"/>
  <c r="AG32" i="37" s="1"/>
  <c r="BO195" i="37"/>
  <c r="AG195" i="37" s="1"/>
  <c r="BJ55" i="37"/>
  <c r="AF55" i="37" s="1"/>
  <c r="BO57" i="37"/>
  <c r="AG57" i="37" s="1"/>
  <c r="BO194" i="37"/>
  <c r="AG194" i="37" s="1"/>
  <c r="BO161" i="37"/>
  <c r="AG161" i="37" s="1"/>
  <c r="BJ13" i="37"/>
  <c r="AF13" i="37" s="1"/>
  <c r="BJ146" i="37"/>
  <c r="AF146" i="37" s="1"/>
  <c r="BJ34" i="37"/>
  <c r="AF34" i="37" s="1"/>
  <c r="BO17" i="37"/>
  <c r="AG17" i="37" s="1"/>
  <c r="BO46" i="37"/>
  <c r="AG46" i="37" s="1"/>
  <c r="BO78" i="37"/>
  <c r="AG78" i="37" s="1"/>
  <c r="BJ81" i="37"/>
  <c r="AF81" i="37" s="1"/>
  <c r="BO192" i="37"/>
  <c r="AG192" i="37" s="1"/>
  <c r="BJ203" i="37"/>
  <c r="AF203" i="37" s="1"/>
  <c r="BO181" i="37"/>
  <c r="AG181" i="37" s="1"/>
  <c r="BO49" i="37"/>
  <c r="AG49" i="37" s="1"/>
  <c r="BO87" i="37"/>
  <c r="AG87" i="37" s="1"/>
  <c r="BJ206" i="37"/>
  <c r="AF206" i="37" s="1"/>
  <c r="BO109" i="37"/>
  <c r="AG109" i="37" s="1"/>
  <c r="BO207" i="37"/>
  <c r="AG207" i="37" s="1"/>
  <c r="BJ156" i="37"/>
  <c r="AF156" i="37" s="1"/>
  <c r="BO148" i="37"/>
  <c r="AG148" i="37" s="1"/>
  <c r="BJ101" i="37"/>
  <c r="AF101" i="37" s="1"/>
  <c r="BJ132" i="37"/>
  <c r="AF132" i="37" s="1"/>
  <c r="BJ84" i="37"/>
  <c r="AF84" i="37" s="1"/>
  <c r="BJ75" i="37"/>
  <c r="AF75" i="37" s="1"/>
  <c r="BJ138" i="37"/>
  <c r="AF138" i="37" s="1"/>
  <c r="BJ139" i="37"/>
  <c r="AF139" i="37" s="1"/>
  <c r="BJ79" i="37"/>
  <c r="AF79" i="37" s="1"/>
  <c r="BJ113" i="37"/>
  <c r="AF113" i="37" s="1"/>
  <c r="BO16" i="37"/>
  <c r="AG16" i="37" s="1"/>
  <c r="BO118" i="37"/>
  <c r="AG118" i="37" s="1"/>
  <c r="BJ189" i="37"/>
  <c r="AF189" i="37" s="1"/>
  <c r="BJ141" i="37"/>
  <c r="AF141" i="37" s="1"/>
  <c r="BO121" i="37"/>
  <c r="AG121" i="37" s="1"/>
  <c r="BO11" i="37"/>
  <c r="AG11" i="37" s="1"/>
  <c r="BO29" i="37"/>
  <c r="AG29" i="37" s="1"/>
  <c r="BO43" i="37"/>
  <c r="AG43" i="37" s="1"/>
  <c r="BJ200" i="37"/>
  <c r="AF200" i="37" s="1"/>
  <c r="BJ182" i="37"/>
  <c r="AF182" i="37" s="1"/>
  <c r="BO88" i="37"/>
  <c r="AG88" i="37" s="1"/>
  <c r="BJ137" i="37"/>
  <c r="AF137" i="37" s="1"/>
  <c r="BJ105" i="37"/>
  <c r="AF105" i="37" s="1"/>
  <c r="BJ66" i="37"/>
  <c r="AF66" i="37" s="1"/>
  <c r="BJ72" i="37"/>
  <c r="AF72" i="37" s="1"/>
  <c r="BO119" i="37"/>
  <c r="AG119" i="37" s="1"/>
  <c r="BJ194" i="37"/>
  <c r="AF194" i="37" s="1"/>
  <c r="BJ43" i="37"/>
  <c r="AF43" i="37" s="1"/>
  <c r="BJ163" i="37"/>
  <c r="AF163" i="37" s="1"/>
  <c r="BO142" i="37"/>
  <c r="AG142" i="37" s="1"/>
  <c r="BJ104" i="37"/>
  <c r="AF104" i="37" s="1"/>
  <c r="BO173" i="37"/>
  <c r="AG173" i="37" s="1"/>
  <c r="BJ177" i="37"/>
  <c r="AF177" i="37" s="1"/>
  <c r="BO67" i="37"/>
  <c r="AG67" i="37" s="1"/>
  <c r="BO185" i="37"/>
  <c r="AG185" i="37" s="1"/>
  <c r="BO95" i="37"/>
  <c r="AG95" i="37" s="1"/>
  <c r="BJ103" i="37"/>
  <c r="AF103" i="37" s="1"/>
  <c r="BJ161" i="37"/>
  <c r="AF161" i="37" s="1"/>
  <c r="BO198" i="37"/>
  <c r="AG198" i="37" s="1"/>
  <c r="BO58" i="37"/>
  <c r="AG58" i="37" s="1"/>
  <c r="BO170" i="37"/>
  <c r="AG170" i="37" s="1"/>
  <c r="BJ9" i="37"/>
  <c r="AF9" i="37" s="1"/>
  <c r="BJ93" i="37"/>
  <c r="AF93" i="37" s="1"/>
  <c r="BJ10" i="37"/>
  <c r="AF10" i="37" s="1"/>
  <c r="BO187" i="37"/>
  <c r="AG187" i="37" s="1"/>
  <c r="BJ114" i="37"/>
  <c r="AF114" i="37" s="1"/>
  <c r="BO116" i="37"/>
  <c r="AG116" i="37" s="1"/>
  <c r="BO175" i="37"/>
  <c r="AG175" i="37" s="1"/>
  <c r="BJ122" i="37"/>
  <c r="AF122" i="37" s="1"/>
  <c r="BJ207" i="37"/>
  <c r="AF207" i="37" s="1"/>
  <c r="BJ211" i="37"/>
  <c r="AF211" i="37" s="1"/>
  <c r="BO105" i="37"/>
  <c r="AG105" i="37" s="1"/>
  <c r="BO47" i="37"/>
  <c r="AG47" i="37" s="1"/>
  <c r="BO86" i="37"/>
  <c r="AG86" i="37" s="1"/>
  <c r="BO167" i="37"/>
  <c r="AG167" i="37" s="1"/>
  <c r="BJ12" i="37"/>
  <c r="AF12" i="37" s="1"/>
  <c r="AI12" i="37" s="1"/>
  <c r="AJ12" i="37" s="1"/>
  <c r="AK12" i="37" s="1"/>
  <c r="BJ209" i="37"/>
  <c r="AF209" i="37" s="1"/>
  <c r="BO83" i="37"/>
  <c r="AG83" i="37" s="1"/>
  <c r="BO176" i="37"/>
  <c r="AG176" i="37" s="1"/>
  <c r="BJ59" i="37"/>
  <c r="AF59" i="37" s="1"/>
  <c r="BO136" i="37"/>
  <c r="AG136" i="37" s="1"/>
  <c r="BJ42" i="37"/>
  <c r="AF42" i="37" s="1"/>
  <c r="BJ106" i="37"/>
  <c r="AF106" i="37" s="1"/>
  <c r="BJ36" i="37"/>
  <c r="AF36" i="37" s="1"/>
  <c r="BJ186" i="37"/>
  <c r="AF186" i="37" s="1"/>
  <c r="BJ29" i="37"/>
  <c r="AF29" i="37" s="1"/>
  <c r="BO41" i="37"/>
  <c r="AG41" i="37" s="1"/>
  <c r="BO52" i="37"/>
  <c r="AG52" i="37" s="1"/>
  <c r="BJ33" i="37"/>
  <c r="AF33" i="37" s="1"/>
  <c r="BO150" i="37"/>
  <c r="AG150" i="37" s="1"/>
  <c r="BO211" i="37"/>
  <c r="AG211" i="37" s="1"/>
  <c r="BO82" i="37"/>
  <c r="AG82" i="37" s="1"/>
  <c r="BO196" i="37"/>
  <c r="AG196" i="37" s="1"/>
  <c r="BO171" i="37"/>
  <c r="AG171" i="37" s="1"/>
  <c r="BO68" i="37"/>
  <c r="AG68" i="37" s="1"/>
  <c r="BJ15" i="37"/>
  <c r="AF15" i="37" s="1"/>
  <c r="BJ50" i="37"/>
  <c r="AF50" i="37" s="1"/>
  <c r="BJ144" i="37"/>
  <c r="AF144" i="37" s="1"/>
  <c r="BO140" i="37"/>
  <c r="AG140" i="37" s="1"/>
  <c r="BO13" i="37"/>
  <c r="AG13" i="37" s="1"/>
  <c r="BJ119" i="37"/>
  <c r="AF119" i="37" s="1"/>
  <c r="BO72" i="37"/>
  <c r="AG72" i="37" s="1"/>
  <c r="BO162" i="37"/>
  <c r="AG162" i="37" s="1"/>
  <c r="BJ28" i="37"/>
  <c r="AF28" i="37" s="1"/>
  <c r="BJ130" i="37"/>
  <c r="AF130" i="37" s="1"/>
  <c r="BJ205" i="37"/>
  <c r="AF205" i="37" s="1"/>
  <c r="BJ167" i="37"/>
  <c r="AF167" i="37" s="1"/>
  <c r="BJ77" i="37"/>
  <c r="AF77" i="37" s="1"/>
  <c r="BJ142" i="37"/>
  <c r="AF142" i="37" s="1"/>
  <c r="BO179" i="37"/>
  <c r="AG179" i="37" s="1"/>
  <c r="BJ154" i="37"/>
  <c r="AF154" i="37" s="1"/>
  <c r="BO155" i="37"/>
  <c r="AG155" i="37" s="1"/>
  <c r="BO113" i="37"/>
  <c r="AG113" i="37" s="1"/>
  <c r="BJ145" i="37"/>
  <c r="AF145" i="37" s="1"/>
  <c r="BO143" i="37"/>
  <c r="AG143" i="37" s="1"/>
  <c r="BJ64" i="37"/>
  <c r="AF64" i="37" s="1"/>
  <c r="BJ32" i="37"/>
  <c r="AF32" i="37" s="1"/>
  <c r="BO177" i="37"/>
  <c r="AG177" i="37" s="1"/>
  <c r="BO36" i="37"/>
  <c r="AG36" i="37" s="1"/>
  <c r="BJ131" i="37"/>
  <c r="AF131" i="37" s="1"/>
  <c r="BO205" i="37"/>
  <c r="AG205" i="37" s="1"/>
  <c r="BJ53" i="37"/>
  <c r="AF53" i="37" s="1"/>
  <c r="BJ129" i="37"/>
  <c r="AF129" i="37" s="1"/>
  <c r="BJ47" i="37"/>
  <c r="AF47" i="37" s="1"/>
  <c r="BO120" i="37"/>
  <c r="AG120" i="37" s="1"/>
  <c r="BJ213" i="37"/>
  <c r="AF213" i="37" s="1"/>
  <c r="BO132" i="37"/>
  <c r="AG132" i="37" s="1"/>
  <c r="BJ41" i="37"/>
  <c r="AF41" i="37" s="1"/>
  <c r="BJ215" i="37"/>
  <c r="AF215" i="37" s="1"/>
  <c r="BJ22" i="37"/>
  <c r="AF22" i="37" s="1"/>
  <c r="BO71" i="37"/>
  <c r="AG71" i="37" s="1"/>
  <c r="BJ121" i="37"/>
  <c r="AF121" i="37" s="1"/>
  <c r="BJ125" i="37"/>
  <c r="AF125" i="37" s="1"/>
  <c r="BO183" i="37"/>
  <c r="AG183" i="37" s="1"/>
  <c r="BO123" i="37"/>
  <c r="AG123" i="37" s="1"/>
  <c r="BO134" i="37"/>
  <c r="AG134" i="37" s="1"/>
  <c r="BO130" i="37"/>
  <c r="AG130" i="37" s="1"/>
  <c r="BO160" i="37"/>
  <c r="AG160" i="37" s="1"/>
  <c r="BJ218" i="37"/>
  <c r="AF218" i="37" s="1"/>
  <c r="BO141" i="37"/>
  <c r="AG141" i="37" s="1"/>
  <c r="BO151" i="37"/>
  <c r="AG151" i="37" s="1"/>
  <c r="BO115" i="37"/>
  <c r="AG115" i="37" s="1"/>
  <c r="BJ124" i="37"/>
  <c r="AF124" i="37" s="1"/>
  <c r="BO33" i="37"/>
  <c r="AG33" i="37" s="1"/>
  <c r="BO48" i="37"/>
  <c r="AG48" i="37" s="1"/>
  <c r="BJ127" i="37"/>
  <c r="AF127" i="37" s="1"/>
  <c r="BJ21" i="37"/>
  <c r="AF21" i="37" s="1"/>
  <c r="BO218" i="37"/>
  <c r="AG218" i="37" s="1"/>
  <c r="BO166" i="37"/>
  <c r="AG166" i="37" s="1"/>
  <c r="BO89" i="37"/>
  <c r="AG89" i="37" s="1"/>
  <c r="BJ62" i="37"/>
  <c r="AF62" i="37" s="1"/>
  <c r="BJ44" i="37"/>
  <c r="AF44" i="37" s="1"/>
  <c r="BJ210" i="37"/>
  <c r="AF210" i="37" s="1"/>
  <c r="BO145" i="37"/>
  <c r="AG145" i="37" s="1"/>
  <c r="BO131" i="37"/>
  <c r="AG131" i="37" s="1"/>
  <c r="BO158" i="37"/>
  <c r="AG158" i="37" s="1"/>
  <c r="BO209" i="37"/>
  <c r="AG209" i="37" s="1"/>
  <c r="BJ155" i="37"/>
  <c r="AF155" i="37" s="1"/>
  <c r="BO135" i="37"/>
  <c r="AG135" i="37" s="1"/>
  <c r="BJ123" i="37"/>
  <c r="AF123" i="37" s="1"/>
  <c r="BO159" i="37"/>
  <c r="AG159" i="37" s="1"/>
  <c r="BO213" i="37"/>
  <c r="AG213" i="37" s="1"/>
  <c r="BO204" i="37"/>
  <c r="AG204" i="37" s="1"/>
  <c r="BJ27" i="37"/>
  <c r="AF27" i="37" s="1"/>
  <c r="BJ165" i="37"/>
  <c r="AF165" i="37" s="1"/>
  <c r="AI165" i="37" s="1"/>
  <c r="AJ165" i="37" s="1"/>
  <c r="AK165" i="37" s="1"/>
  <c r="BO146" i="37"/>
  <c r="AG146" i="37" s="1"/>
  <c r="BJ187" i="37"/>
  <c r="AF187" i="37" s="1"/>
  <c r="BO184" i="37"/>
  <c r="AG184" i="37" s="1"/>
  <c r="BJ198" i="37"/>
  <c r="AF198" i="37" s="1"/>
  <c r="BO144" i="37"/>
  <c r="AG144" i="37" s="1"/>
  <c r="BJ143" i="37"/>
  <c r="AF143" i="37" s="1"/>
  <c r="AE8" i="38" l="1" a="1"/>
  <c r="AE8" i="38" s="1"/>
  <c r="AE9" i="38" s="1" a="1"/>
  <c r="AE9" i="38" s="1"/>
  <c r="AE10" i="38" s="1" a="1"/>
  <c r="AE10" i="38" s="1"/>
  <c r="AI180" i="37"/>
  <c r="AJ180" i="37" s="1"/>
  <c r="AK180" i="37" s="1"/>
  <c r="AI199" i="37"/>
  <c r="AJ199" i="37" s="1"/>
  <c r="AK199" i="37" s="1"/>
  <c r="AI35" i="37"/>
  <c r="AJ35" i="37" s="1"/>
  <c r="AK35" i="37" s="1"/>
  <c r="AI179" i="37"/>
  <c r="AD179" i="37" s="1"/>
  <c r="AB179" i="37" s="1"/>
  <c r="AI75" i="37"/>
  <c r="AJ75" i="37" s="1"/>
  <c r="AK75" i="37" s="1"/>
  <c r="AI160" i="37"/>
  <c r="AJ160" i="37" s="1"/>
  <c r="AK160" i="37" s="1"/>
  <c r="AI205" i="37"/>
  <c r="AJ205" i="37" s="1"/>
  <c r="AK205" i="37" s="1"/>
  <c r="AI40" i="37"/>
  <c r="AJ40" i="37" s="1"/>
  <c r="AK40" i="37" s="1"/>
  <c r="AI58" i="37"/>
  <c r="AD58" i="37" s="1"/>
  <c r="AB58" i="37" s="1"/>
  <c r="AI88" i="37"/>
  <c r="AJ88" i="37" s="1"/>
  <c r="AK88" i="37" s="1"/>
  <c r="AI9" i="37"/>
  <c r="AJ9" i="37" s="1"/>
  <c r="AK9" i="37" s="1"/>
  <c r="AI126" i="37"/>
  <c r="AJ126" i="37" s="1"/>
  <c r="AK126" i="37" s="1"/>
  <c r="AI106" i="37"/>
  <c r="AJ106" i="37" s="1"/>
  <c r="AK106" i="37" s="1"/>
  <c r="AI70" i="37"/>
  <c r="AJ70" i="37" s="1"/>
  <c r="AK70" i="37" s="1"/>
  <c r="AI158" i="37"/>
  <c r="AJ158" i="37" s="1"/>
  <c r="AK158" i="37" s="1"/>
  <c r="AI82" i="37"/>
  <c r="AJ82" i="37" s="1"/>
  <c r="AK82" i="37" s="1"/>
  <c r="AI107" i="37"/>
  <c r="AJ107" i="37" s="1"/>
  <c r="AK107" i="37" s="1"/>
  <c r="AI133" i="37"/>
  <c r="AJ133" i="37" s="1"/>
  <c r="AK133" i="37" s="1"/>
  <c r="AI74" i="37"/>
  <c r="AJ74" i="37" s="1"/>
  <c r="AK74" i="37" s="1"/>
  <c r="AI216" i="37"/>
  <c r="AJ216" i="37" s="1"/>
  <c r="AK216" i="37" s="1"/>
  <c r="AI183" i="37"/>
  <c r="AJ183" i="37" s="1"/>
  <c r="AK183" i="37" s="1"/>
  <c r="AI26" i="37"/>
  <c r="AJ26" i="37" s="1"/>
  <c r="AK26" i="37" s="1"/>
  <c r="AI109" i="37"/>
  <c r="AJ109" i="37" s="1"/>
  <c r="AK109" i="37" s="1"/>
  <c r="AI49" i="37"/>
  <c r="AJ49" i="37" s="1"/>
  <c r="AK49" i="37" s="1"/>
  <c r="AI164" i="37"/>
  <c r="AJ164" i="37" s="1"/>
  <c r="AK164" i="37" s="1"/>
  <c r="AI117" i="37"/>
  <c r="AJ117" i="37" s="1"/>
  <c r="AK117" i="37" s="1"/>
  <c r="AI94" i="37"/>
  <c r="AJ94" i="37" s="1"/>
  <c r="AK94" i="37" s="1"/>
  <c r="AI162" i="37"/>
  <c r="AJ162" i="37" s="1"/>
  <c r="AK162" i="37" s="1"/>
  <c r="AI67" i="37"/>
  <c r="AJ67" i="37" s="1"/>
  <c r="AK67" i="37" s="1"/>
  <c r="AI185" i="37"/>
  <c r="AD185" i="37" s="1"/>
  <c r="AB185" i="37" s="1"/>
  <c r="U20" i="38"/>
  <c r="Q21" i="38" a="1"/>
  <c r="Q21" i="38" s="1"/>
  <c r="S21" i="38" s="1"/>
  <c r="AI68" i="37"/>
  <c r="AJ68" i="37" s="1"/>
  <c r="AK68" i="37" s="1"/>
  <c r="AI47" i="37"/>
  <c r="AJ47" i="37" s="1"/>
  <c r="AK47" i="37" s="1"/>
  <c r="AI95" i="37"/>
  <c r="AJ95" i="37" s="1"/>
  <c r="AK95" i="37" s="1"/>
  <c r="AI30" i="37"/>
  <c r="AJ30" i="37" s="1"/>
  <c r="AK30" i="37" s="1"/>
  <c r="AI121" i="37"/>
  <c r="AJ121" i="37" s="1"/>
  <c r="AK121" i="37" s="1"/>
  <c r="AI62" i="37"/>
  <c r="AJ62" i="37" s="1"/>
  <c r="AK62" i="37" s="1"/>
  <c r="AI204" i="37"/>
  <c r="AJ204" i="37" s="1"/>
  <c r="AK204" i="37" s="1"/>
  <c r="AI189" i="37"/>
  <c r="AJ189" i="37" s="1"/>
  <c r="AK189" i="37" s="1"/>
  <c r="AI193" i="37"/>
  <c r="AJ193" i="37" s="1"/>
  <c r="AK193" i="37" s="1"/>
  <c r="AI59" i="37"/>
  <c r="AJ59" i="37" s="1"/>
  <c r="AK59" i="37" s="1"/>
  <c r="AI118" i="37"/>
  <c r="AJ118" i="37" s="1"/>
  <c r="AK118" i="37" s="1"/>
  <c r="AI45" i="37"/>
  <c r="AJ45" i="37" s="1"/>
  <c r="AK45" i="37" s="1"/>
  <c r="AI203" i="37"/>
  <c r="AJ203" i="37" s="1"/>
  <c r="AK203" i="37" s="1"/>
  <c r="AI182" i="37"/>
  <c r="AJ182" i="37" s="1"/>
  <c r="AK182" i="37" s="1"/>
  <c r="AI191" i="37"/>
  <c r="AJ191" i="37" s="1"/>
  <c r="AK191" i="37" s="1"/>
  <c r="AI202" i="37"/>
  <c r="AJ202" i="37" s="1"/>
  <c r="AK202" i="37" s="1"/>
  <c r="AI60" i="37"/>
  <c r="AJ60" i="37" s="1"/>
  <c r="AK60" i="37" s="1"/>
  <c r="AI99" i="37"/>
  <c r="AJ99" i="37" s="1"/>
  <c r="AK99" i="37" s="1"/>
  <c r="AI108" i="37"/>
  <c r="AJ108" i="37" s="1"/>
  <c r="AK108" i="37" s="1"/>
  <c r="AI177" i="37"/>
  <c r="AJ177" i="37" s="1"/>
  <c r="AK177" i="37" s="1"/>
  <c r="AI29" i="37"/>
  <c r="AJ29" i="37" s="1"/>
  <c r="AK29" i="37" s="1"/>
  <c r="AI102" i="37"/>
  <c r="AJ102" i="37" s="1"/>
  <c r="AK102" i="37" s="1"/>
  <c r="AI73" i="37"/>
  <c r="AJ73" i="37" s="1"/>
  <c r="AK73" i="37" s="1"/>
  <c r="AI104" i="37"/>
  <c r="AJ104" i="37" s="1"/>
  <c r="AK104" i="37" s="1"/>
  <c r="AI65" i="37"/>
  <c r="AJ65" i="37" s="1"/>
  <c r="AK65" i="37" s="1"/>
  <c r="AI22" i="37"/>
  <c r="AJ22" i="37" s="1"/>
  <c r="AK22" i="37" s="1"/>
  <c r="AI55" i="37"/>
  <c r="AJ55" i="37" s="1"/>
  <c r="AK55" i="37" s="1"/>
  <c r="AI96" i="37"/>
  <c r="AJ96" i="37" s="1"/>
  <c r="AK96" i="37" s="1"/>
  <c r="AI76" i="37"/>
  <c r="AJ76" i="37" s="1"/>
  <c r="AK76" i="37" s="1"/>
  <c r="AI38" i="37"/>
  <c r="AJ38" i="37" s="1"/>
  <c r="AK38" i="37" s="1"/>
  <c r="AI190" i="37"/>
  <c r="AJ190" i="37" s="1"/>
  <c r="AK190" i="37" s="1"/>
  <c r="AI195" i="37"/>
  <c r="AD195" i="37" s="1"/>
  <c r="AB195" i="37" s="1"/>
  <c r="AI201" i="37"/>
  <c r="AJ201" i="37" s="1"/>
  <c r="AK201" i="37" s="1"/>
  <c r="AI44" i="37"/>
  <c r="AD44" i="37" s="1"/>
  <c r="AB44" i="37" s="1"/>
  <c r="AI89" i="37"/>
  <c r="AJ89" i="37" s="1"/>
  <c r="AK89" i="37" s="1"/>
  <c r="AI10" i="37"/>
  <c r="AJ10" i="37" s="1"/>
  <c r="AK10" i="37" s="1"/>
  <c r="AI154" i="37"/>
  <c r="AJ154" i="37" s="1"/>
  <c r="AK154" i="37" s="1"/>
  <c r="AI93" i="37"/>
  <c r="AD93" i="37" s="1"/>
  <c r="AB93" i="37" s="1"/>
  <c r="AI116" i="37"/>
  <c r="AJ116" i="37" s="1"/>
  <c r="AK116" i="37" s="1"/>
  <c r="AI196" i="37"/>
  <c r="AJ196" i="37" s="1"/>
  <c r="AK196" i="37" s="1"/>
  <c r="AI143" i="37"/>
  <c r="AJ143" i="37" s="1"/>
  <c r="AK143" i="37" s="1"/>
  <c r="AI77" i="37"/>
  <c r="AJ77" i="37" s="1"/>
  <c r="AK77" i="37" s="1"/>
  <c r="AI66" i="37"/>
  <c r="AJ66" i="37" s="1"/>
  <c r="AK66" i="37" s="1"/>
  <c r="AI139" i="37"/>
  <c r="AD139" i="37" s="1"/>
  <c r="AB139" i="37" s="1"/>
  <c r="AI81" i="37"/>
  <c r="AJ81" i="37" s="1"/>
  <c r="AK81" i="37" s="1"/>
  <c r="AI56" i="37"/>
  <c r="AJ56" i="37" s="1"/>
  <c r="AK56" i="37" s="1"/>
  <c r="AI98" i="37"/>
  <c r="AJ98" i="37" s="1"/>
  <c r="AK98" i="37" s="1"/>
  <c r="AI138" i="37"/>
  <c r="AJ138" i="37" s="1"/>
  <c r="AK138" i="37" s="1"/>
  <c r="AI78" i="37"/>
  <c r="AJ78" i="37" s="1"/>
  <c r="AK78" i="37" s="1"/>
  <c r="AI152" i="37"/>
  <c r="AD152" i="37" s="1"/>
  <c r="AB152" i="37" s="1"/>
  <c r="AI100" i="37"/>
  <c r="AJ100" i="37" s="1"/>
  <c r="AK100" i="37" s="1"/>
  <c r="AI215" i="37"/>
  <c r="AJ215" i="37" s="1"/>
  <c r="AK215" i="37" s="1"/>
  <c r="AI149" i="37"/>
  <c r="AJ149" i="37" s="1"/>
  <c r="AK149" i="37" s="1"/>
  <c r="AI178" i="37"/>
  <c r="AJ178" i="37" s="1"/>
  <c r="AK178" i="37" s="1"/>
  <c r="AI80" i="37"/>
  <c r="AJ80" i="37" s="1"/>
  <c r="AK80" i="37" s="1"/>
  <c r="AI18" i="37"/>
  <c r="AJ18" i="37" s="1"/>
  <c r="AK18" i="37" s="1"/>
  <c r="AI14" i="37"/>
  <c r="AD14" i="37" s="1"/>
  <c r="AB14" i="37" s="1"/>
  <c r="AI163" i="37"/>
  <c r="AD163" i="37" s="1"/>
  <c r="AB163" i="37" s="1"/>
  <c r="AI135" i="37"/>
  <c r="AJ135" i="37" s="1"/>
  <c r="AK135" i="37" s="1"/>
  <c r="AI43" i="37"/>
  <c r="AJ43" i="37" s="1"/>
  <c r="AK43" i="37" s="1"/>
  <c r="AI120" i="37"/>
  <c r="AJ120" i="37" s="1"/>
  <c r="AK120" i="37" s="1"/>
  <c r="AI219" i="37"/>
  <c r="AJ219" i="37" s="1"/>
  <c r="AK219" i="37" s="1"/>
  <c r="AI150" i="37"/>
  <c r="AJ150" i="37" s="1"/>
  <c r="AK150" i="37" s="1"/>
  <c r="AI184" i="37"/>
  <c r="AJ184" i="37" s="1"/>
  <c r="AK184" i="37" s="1"/>
  <c r="AI84" i="37"/>
  <c r="AJ84" i="37" s="1"/>
  <c r="AK84" i="37" s="1"/>
  <c r="AI19" i="37"/>
  <c r="AJ19" i="37" s="1"/>
  <c r="AK19" i="37" s="1"/>
  <c r="AI39" i="37"/>
  <c r="AJ39" i="37" s="1"/>
  <c r="AK39" i="37" s="1"/>
  <c r="V20" i="38"/>
  <c r="W20" i="38" s="1"/>
  <c r="AI15" i="37"/>
  <c r="AD15" i="37" s="1"/>
  <c r="AB15" i="37" s="1"/>
  <c r="AI20" i="37"/>
  <c r="AJ20" i="37" s="1"/>
  <c r="AK20" i="37" s="1"/>
  <c r="T20" i="38"/>
  <c r="AI37" i="37"/>
  <c r="AD37" i="37" s="1"/>
  <c r="AB37" i="37" s="1"/>
  <c r="AI153" i="37"/>
  <c r="AJ153" i="37" s="1"/>
  <c r="AK153" i="37" s="1"/>
  <c r="AI46" i="37"/>
  <c r="AJ46" i="37" s="1"/>
  <c r="AK46" i="37" s="1"/>
  <c r="AI25" i="37"/>
  <c r="AJ25" i="37" s="1"/>
  <c r="AK25" i="37" s="1"/>
  <c r="AI169" i="37"/>
  <c r="AJ169" i="37" s="1"/>
  <c r="AK169" i="37" s="1"/>
  <c r="AI28" i="37"/>
  <c r="AJ28" i="37" s="1"/>
  <c r="AK28" i="37" s="1"/>
  <c r="AI52" i="37"/>
  <c r="AD52" i="37" s="1"/>
  <c r="AB52" i="37" s="1"/>
  <c r="AI17" i="37"/>
  <c r="AJ17" i="37" s="1"/>
  <c r="AK17" i="37" s="1"/>
  <c r="AI200" i="37"/>
  <c r="AJ200" i="37" s="1"/>
  <c r="AK200" i="37" s="1"/>
  <c r="AI214" i="37"/>
  <c r="AJ214" i="37" s="1"/>
  <c r="AK214" i="37" s="1"/>
  <c r="AI147" i="37"/>
  <c r="AD147" i="37" s="1"/>
  <c r="AB147" i="37" s="1"/>
  <c r="AI134" i="37"/>
  <c r="AJ134" i="37" s="1"/>
  <c r="AK134" i="37" s="1"/>
  <c r="AI166" i="37"/>
  <c r="AJ166" i="37" s="1"/>
  <c r="AK166" i="37" s="1"/>
  <c r="AI148" i="37"/>
  <c r="AJ148" i="37" s="1"/>
  <c r="AK148" i="37" s="1"/>
  <c r="AI51" i="37"/>
  <c r="AJ51" i="37" s="1"/>
  <c r="AK51" i="37" s="1"/>
  <c r="AI131" i="37"/>
  <c r="AJ131" i="37" s="1"/>
  <c r="AK131" i="37" s="1"/>
  <c r="AI197" i="37"/>
  <c r="AJ197" i="37" s="1"/>
  <c r="AK197" i="37" s="1"/>
  <c r="AI159" i="37"/>
  <c r="AJ159" i="37" s="1"/>
  <c r="AK159" i="37" s="1"/>
  <c r="AI175" i="37"/>
  <c r="AJ175" i="37" s="1"/>
  <c r="AK175" i="37" s="1"/>
  <c r="AI173" i="37"/>
  <c r="AJ173" i="37" s="1"/>
  <c r="AK173" i="37" s="1"/>
  <c r="AI11" i="37"/>
  <c r="AJ11" i="37" s="1"/>
  <c r="AK11" i="37" s="1"/>
  <c r="AI156" i="37"/>
  <c r="AD156" i="37" s="1"/>
  <c r="AB156" i="37" s="1"/>
  <c r="AI157" i="37"/>
  <c r="AJ157" i="37" s="1"/>
  <c r="AK157" i="37" s="1"/>
  <c r="AI110" i="37"/>
  <c r="AD110" i="37" s="1"/>
  <c r="AB110" i="37" s="1"/>
  <c r="AI91" i="37"/>
  <c r="AJ91" i="37" s="1"/>
  <c r="AK91" i="37" s="1"/>
  <c r="AI63" i="37"/>
  <c r="AJ63" i="37" s="1"/>
  <c r="AK63" i="37" s="1"/>
  <c r="AI61" i="37"/>
  <c r="AJ61" i="37" s="1"/>
  <c r="AK61" i="37" s="1"/>
  <c r="AI83" i="37"/>
  <c r="AJ83" i="37" s="1"/>
  <c r="AK83" i="37" s="1"/>
  <c r="AI86" i="37"/>
  <c r="AJ86" i="37" s="1"/>
  <c r="AK86" i="37" s="1"/>
  <c r="AI119" i="37"/>
  <c r="AJ119" i="37" s="1"/>
  <c r="AK119" i="37" s="1"/>
  <c r="AI127" i="37"/>
  <c r="AJ127" i="37" s="1"/>
  <c r="AK127" i="37" s="1"/>
  <c r="AI188" i="37"/>
  <c r="AJ188" i="37" s="1"/>
  <c r="AK188" i="37" s="1"/>
  <c r="AI217" i="37"/>
  <c r="AJ217" i="37" s="1"/>
  <c r="AK217" i="37" s="1"/>
  <c r="AI155" i="37"/>
  <c r="AJ155" i="37" s="1"/>
  <c r="AK155" i="37" s="1"/>
  <c r="AI144" i="37"/>
  <c r="AJ144" i="37" s="1"/>
  <c r="AK144" i="37" s="1"/>
  <c r="AI112" i="37"/>
  <c r="AJ112" i="37" s="1"/>
  <c r="AK112" i="37" s="1"/>
  <c r="AI50" i="37"/>
  <c r="AJ50" i="37" s="1"/>
  <c r="AK50" i="37" s="1"/>
  <c r="AI187" i="37"/>
  <c r="AJ187" i="37" s="1"/>
  <c r="AK187" i="37" s="1"/>
  <c r="AI71" i="37"/>
  <c r="AJ71" i="37" s="1"/>
  <c r="AK71" i="37" s="1"/>
  <c r="AI41" i="37"/>
  <c r="AJ41" i="37" s="1"/>
  <c r="AK41" i="37" s="1"/>
  <c r="AI87" i="37"/>
  <c r="AJ87" i="37" s="1"/>
  <c r="AK87" i="37" s="1"/>
  <c r="AI21" i="37"/>
  <c r="AJ21" i="37" s="1"/>
  <c r="AK21" i="37" s="1"/>
  <c r="AI212" i="37"/>
  <c r="AJ212" i="37" s="1"/>
  <c r="AK212" i="37" s="1"/>
  <c r="AI132" i="37"/>
  <c r="AJ132" i="37" s="1"/>
  <c r="AK132" i="37" s="1"/>
  <c r="AI32" i="37"/>
  <c r="AJ32" i="37" s="1"/>
  <c r="AK32" i="37" s="1"/>
  <c r="AI90" i="37"/>
  <c r="AJ90" i="37" s="1"/>
  <c r="AK90" i="37" s="1"/>
  <c r="AI137" i="37"/>
  <c r="AJ137" i="37" s="1"/>
  <c r="AK137" i="37" s="1"/>
  <c r="AI151" i="37"/>
  <c r="AJ151" i="37" s="1"/>
  <c r="AK151" i="37" s="1"/>
  <c r="AI64" i="37"/>
  <c r="AJ64" i="37" s="1"/>
  <c r="AK64" i="37" s="1"/>
  <c r="AI31" i="37"/>
  <c r="AJ31" i="37" s="1"/>
  <c r="AK31" i="37" s="1"/>
  <c r="AI114" i="37"/>
  <c r="AJ114" i="37" s="1"/>
  <c r="AK114" i="37" s="1"/>
  <c r="AI142" i="37"/>
  <c r="AJ142" i="37" s="1"/>
  <c r="AK142" i="37" s="1"/>
  <c r="AI209" i="37"/>
  <c r="AJ209" i="37" s="1"/>
  <c r="AK209" i="37" s="1"/>
  <c r="AI170" i="37"/>
  <c r="AD170" i="37" s="1"/>
  <c r="AB170" i="37" s="1"/>
  <c r="AI72" i="37"/>
  <c r="AJ72" i="37" s="1"/>
  <c r="AK72" i="37" s="1"/>
  <c r="AI42" i="37"/>
  <c r="AD42" i="37" s="1"/>
  <c r="AB42" i="37" s="1"/>
  <c r="AI192" i="37"/>
  <c r="AJ192" i="37" s="1"/>
  <c r="AK192" i="37" s="1"/>
  <c r="AI97" i="37"/>
  <c r="AJ97" i="37" s="1"/>
  <c r="AK97" i="37" s="1"/>
  <c r="AI218" i="37"/>
  <c r="AJ218" i="37" s="1"/>
  <c r="AK218" i="37" s="1"/>
  <c r="AI105" i="37"/>
  <c r="AJ105" i="37" s="1"/>
  <c r="AK105" i="37" s="1"/>
  <c r="AI57" i="37"/>
  <c r="AJ57" i="37" s="1"/>
  <c r="AK57" i="37" s="1"/>
  <c r="AI123" i="37"/>
  <c r="AJ123" i="37" s="1"/>
  <c r="AK123" i="37" s="1"/>
  <c r="AI53" i="37"/>
  <c r="AJ53" i="37" s="1"/>
  <c r="AK53" i="37" s="1"/>
  <c r="AI24" i="37"/>
  <c r="AJ24" i="37" s="1"/>
  <c r="AK24" i="37" s="1"/>
  <c r="AI85" i="37"/>
  <c r="AJ85" i="37" s="1"/>
  <c r="AK85" i="37" s="1"/>
  <c r="AI161" i="37"/>
  <c r="AJ161" i="37" s="1"/>
  <c r="AK161" i="37" s="1"/>
  <c r="AD168" i="37"/>
  <c r="AB168" i="37" s="1"/>
  <c r="AD165" i="37"/>
  <c r="AB165" i="37" s="1"/>
  <c r="AI208" i="37"/>
  <c r="AJ208" i="37" s="1"/>
  <c r="AK208" i="37" s="1"/>
  <c r="AI172" i="37"/>
  <c r="AJ172" i="37" s="1"/>
  <c r="AK172" i="37" s="1"/>
  <c r="AI206" i="37"/>
  <c r="AJ206" i="37" s="1"/>
  <c r="AK206" i="37" s="1"/>
  <c r="AI115" i="37"/>
  <c r="AJ115" i="37" s="1"/>
  <c r="AK115" i="37" s="1"/>
  <c r="AI101" i="37"/>
  <c r="AJ101" i="37" s="1"/>
  <c r="AK101" i="37" s="1"/>
  <c r="AI48" i="37"/>
  <c r="AJ48" i="37" s="1"/>
  <c r="AK48" i="37" s="1"/>
  <c r="AI213" i="37"/>
  <c r="AJ213" i="37" s="1"/>
  <c r="AK213" i="37" s="1"/>
  <c r="AI54" i="37"/>
  <c r="AJ54" i="37" s="1"/>
  <c r="AK54" i="37" s="1"/>
  <c r="AI171" i="37"/>
  <c r="AJ171" i="37" s="1"/>
  <c r="AK171" i="37" s="1"/>
  <c r="AI33" i="37"/>
  <c r="AJ33" i="37" s="1"/>
  <c r="AK33" i="37" s="1"/>
  <c r="AI103" i="37"/>
  <c r="AJ103" i="37" s="1"/>
  <c r="AK103" i="37" s="1"/>
  <c r="AI69" i="37"/>
  <c r="AJ69" i="37" s="1"/>
  <c r="AK69" i="37" s="1"/>
  <c r="AI92" i="37"/>
  <c r="AJ92" i="37" s="1"/>
  <c r="AK92" i="37" s="1"/>
  <c r="AI79" i="37"/>
  <c r="AJ79" i="37" s="1"/>
  <c r="AK79" i="37" s="1"/>
  <c r="AI113" i="37"/>
  <c r="AJ113" i="37" s="1"/>
  <c r="AK113" i="37" s="1"/>
  <c r="AI129" i="37"/>
  <c r="AJ129" i="37" s="1"/>
  <c r="AK129" i="37" s="1"/>
  <c r="AI145" i="37"/>
  <c r="AJ145" i="37" s="1"/>
  <c r="AK145" i="37" s="1"/>
  <c r="AI34" i="37"/>
  <c r="AJ34" i="37" s="1"/>
  <c r="AK34" i="37" s="1"/>
  <c r="AI186" i="37"/>
  <c r="AJ186" i="37" s="1"/>
  <c r="AK186" i="37" s="1"/>
  <c r="AI122" i="37"/>
  <c r="AI13" i="37"/>
  <c r="AJ13" i="37" s="1"/>
  <c r="AK13" i="37" s="1"/>
  <c r="AI128" i="37"/>
  <c r="AI16" i="37"/>
  <c r="AJ16" i="37" s="1"/>
  <c r="AK16" i="37" s="1"/>
  <c r="AD180" i="37"/>
  <c r="AB180" i="37" s="1"/>
  <c r="AI141" i="37"/>
  <c r="AJ141" i="37" s="1"/>
  <c r="AK141" i="37" s="1"/>
  <c r="AI27" i="37"/>
  <c r="AJ27" i="37" s="1"/>
  <c r="AK27" i="37" s="1"/>
  <c r="AI124" i="37"/>
  <c r="AJ124" i="37" s="1"/>
  <c r="AK124" i="37" s="1"/>
  <c r="AI176" i="37"/>
  <c r="AJ176" i="37" s="1"/>
  <c r="AK176" i="37" s="1"/>
  <c r="AI167" i="37"/>
  <c r="AJ167" i="37" s="1"/>
  <c r="AK167" i="37" s="1"/>
  <c r="AI130" i="37"/>
  <c r="AJ130" i="37" s="1"/>
  <c r="AK130" i="37" s="1"/>
  <c r="AI174" i="37"/>
  <c r="AJ174" i="37" s="1"/>
  <c r="AK174" i="37" s="1"/>
  <c r="AI36" i="37"/>
  <c r="AD36" i="37" s="1"/>
  <c r="AB36" i="37" s="1"/>
  <c r="AI181" i="37"/>
  <c r="AJ181" i="37" s="1"/>
  <c r="AK181" i="37" s="1"/>
  <c r="AI194" i="37"/>
  <c r="AJ194" i="37" s="1"/>
  <c r="AK194" i="37" s="1"/>
  <c r="AI111" i="37"/>
  <c r="AJ111" i="37" s="1"/>
  <c r="AK111" i="37" s="1"/>
  <c r="AI211" i="37"/>
  <c r="AI125" i="37"/>
  <c r="AI146" i="37"/>
  <c r="AD146" i="37" s="1"/>
  <c r="AB146" i="37" s="1"/>
  <c r="AI140" i="37"/>
  <c r="AJ140" i="37" s="1"/>
  <c r="AK140" i="37" s="1"/>
  <c r="AI207" i="37"/>
  <c r="AJ207" i="37" s="1"/>
  <c r="AK207" i="37" s="1"/>
  <c r="AI136" i="37"/>
  <c r="AJ136" i="37" s="1"/>
  <c r="AK136" i="37" s="1"/>
  <c r="AI198" i="37"/>
  <c r="AJ198" i="37" s="1"/>
  <c r="AK198" i="37" s="1"/>
  <c r="AI210" i="37"/>
  <c r="AJ210" i="37" s="1"/>
  <c r="AK210" i="37" s="1"/>
  <c r="AD23" i="37"/>
  <c r="AB23" i="37" s="1"/>
  <c r="AD12" i="37"/>
  <c r="AB12" i="37" s="1"/>
  <c r="AJ179" i="37" l="1"/>
  <c r="AK179" i="37" s="1"/>
  <c r="AD35" i="37"/>
  <c r="AB35" i="37" s="1"/>
  <c r="AE11" i="38" a="1"/>
  <c r="AE11" i="38" s="1"/>
  <c r="AE12" i="38" s="1" a="1"/>
  <c r="AE12" i="38" s="1"/>
  <c r="AE13" i="38" s="1" a="1"/>
  <c r="AE13" i="38" s="1"/>
  <c r="AE14" i="38" s="1" a="1"/>
  <c r="AE14" i="38" s="1"/>
  <c r="AE15" i="38" s="1" a="1"/>
  <c r="AE15" i="38" s="1"/>
  <c r="AE16" i="38" s="1" a="1"/>
  <c r="AE16" i="38" s="1"/>
  <c r="AE17" i="38" s="1" a="1"/>
  <c r="AE17" i="38" s="1"/>
  <c r="AE18" i="38" s="1" a="1"/>
  <c r="AE18" i="38" s="1"/>
  <c r="AE19" i="38" s="1" a="1"/>
  <c r="AE19" i="38" s="1"/>
  <c r="AE20" i="38" s="1" a="1"/>
  <c r="AE20" i="38" s="1"/>
  <c r="AE21" i="38" s="1" a="1"/>
  <c r="AE21" i="38" s="1"/>
  <c r="AE22" i="38" s="1" a="1"/>
  <c r="AE22" i="38" s="1"/>
  <c r="AE23" i="38" s="1" a="1"/>
  <c r="AE23" i="38" s="1"/>
  <c r="AE24" i="38" s="1" a="1"/>
  <c r="AE24" i="38" s="1"/>
  <c r="AE25" i="38" s="1" a="1"/>
  <c r="AE25" i="38" s="1"/>
  <c r="AE26" i="38" s="1" a="1"/>
  <c r="AE26" i="38" s="1"/>
  <c r="AE27" i="38" s="1" a="1"/>
  <c r="AE27" i="38" s="1"/>
  <c r="AE28" i="38" s="1" a="1"/>
  <c r="AE28" i="38" s="1"/>
  <c r="AE29" i="38" s="1" a="1"/>
  <c r="AE29" i="38" s="1"/>
  <c r="AE30" i="38" s="1" a="1"/>
  <c r="AE30" i="38" s="1"/>
  <c r="AE31" i="38" s="1" a="1"/>
  <c r="AE31" i="38" s="1"/>
  <c r="AE32" i="38" s="1" a="1"/>
  <c r="AE32" i="38" s="1"/>
  <c r="AE33" i="38" s="1" a="1"/>
  <c r="AE33" i="38" s="1"/>
  <c r="AE34" i="38" s="1" a="1"/>
  <c r="AE34" i="38" s="1"/>
  <c r="AE35" i="38" s="1" a="1"/>
  <c r="AE35" i="38" s="1"/>
  <c r="AE36" i="38" s="1" a="1"/>
  <c r="AE36" i="38" s="1"/>
  <c r="AE37" i="38" s="1" a="1"/>
  <c r="AE37" i="38" s="1"/>
  <c r="AE38" i="38" s="1" a="1"/>
  <c r="AE38" i="38" s="1"/>
  <c r="AE39" i="38" s="1" a="1"/>
  <c r="AE39" i="38" s="1"/>
  <c r="AE40" i="38" s="1" a="1"/>
  <c r="AE40" i="38" s="1"/>
  <c r="AE41" i="38" s="1" a="1"/>
  <c r="AE41" i="38" s="1"/>
  <c r="AE42" i="38" s="1" a="1"/>
  <c r="AE42" i="38" s="1"/>
  <c r="AE43" i="38" s="1" a="1"/>
  <c r="AE43" i="38" s="1"/>
  <c r="AE44" i="38" s="1" a="1"/>
  <c r="AE44" i="38" s="1"/>
  <c r="AE45" i="38" s="1" a="1"/>
  <c r="AE45" i="38" s="1"/>
  <c r="AE46" i="38" s="1" a="1"/>
  <c r="AE46" i="38" s="1"/>
  <c r="AE47" i="38" s="1" a="1"/>
  <c r="AE47" i="38" s="1"/>
  <c r="AE48" i="38" s="1" a="1"/>
  <c r="AE48" i="38" s="1"/>
  <c r="AE49" i="38" s="1" a="1"/>
  <c r="AE49" i="38" s="1"/>
  <c r="AE50" i="38" s="1" a="1"/>
  <c r="AE50" i="38" s="1"/>
  <c r="AE51" i="38" s="1" a="1"/>
  <c r="AE51" i="38" s="1"/>
  <c r="AE52" i="38" s="1" a="1"/>
  <c r="AE52" i="38" s="1"/>
  <c r="AE53" i="38" s="1" a="1"/>
  <c r="AE53" i="38" s="1"/>
  <c r="AE54" i="38" s="1" a="1"/>
  <c r="AE54" i="38" s="1"/>
  <c r="AE55" i="38" s="1" a="1"/>
  <c r="AE55" i="38" s="1"/>
  <c r="AE56" i="38" s="1" a="1"/>
  <c r="AE56" i="38" s="1"/>
  <c r="AE57" i="38" s="1" a="1"/>
  <c r="AE57" i="38" s="1"/>
  <c r="AE58" i="38" s="1" a="1"/>
  <c r="AE58" i="38" s="1"/>
  <c r="AD199" i="37"/>
  <c r="AB199" i="37" s="1"/>
  <c r="AD9" i="37"/>
  <c r="AB9" i="37" s="1"/>
  <c r="AD205" i="37"/>
  <c r="AB205" i="37" s="1"/>
  <c r="AD75" i="37"/>
  <c r="AB75" i="37" s="1"/>
  <c r="AD149" i="37"/>
  <c r="AB149" i="37" s="1"/>
  <c r="AD160" i="37"/>
  <c r="AB160" i="37" s="1"/>
  <c r="AD159" i="37"/>
  <c r="AB159" i="37" s="1"/>
  <c r="AD88" i="37"/>
  <c r="AB88" i="37" s="1"/>
  <c r="AD40" i="37"/>
  <c r="AB40" i="37" s="1"/>
  <c r="AD74" i="37"/>
  <c r="AB74" i="37" s="1"/>
  <c r="AD126" i="37"/>
  <c r="AB126" i="37" s="1"/>
  <c r="AD106" i="37"/>
  <c r="AB106" i="37" s="1"/>
  <c r="AD73" i="37"/>
  <c r="AB73" i="37" s="1"/>
  <c r="AJ58" i="37"/>
  <c r="AK58" i="37" s="1"/>
  <c r="AD216" i="37"/>
  <c r="AB216" i="37" s="1"/>
  <c r="AD120" i="37"/>
  <c r="AB120" i="37" s="1"/>
  <c r="AD38" i="37"/>
  <c r="AB38" i="37" s="1"/>
  <c r="AD117" i="37"/>
  <c r="AB117" i="37" s="1"/>
  <c r="AD135" i="37"/>
  <c r="AB135" i="37" s="1"/>
  <c r="AD60" i="37"/>
  <c r="AB60" i="37" s="1"/>
  <c r="AD47" i="37"/>
  <c r="AB47" i="37" s="1"/>
  <c r="AD31" i="37"/>
  <c r="AB31" i="37" s="1"/>
  <c r="AD107" i="37"/>
  <c r="AB107" i="37" s="1"/>
  <c r="AD133" i="37"/>
  <c r="AB133" i="37" s="1"/>
  <c r="AD65" i="37"/>
  <c r="AB65" i="37" s="1"/>
  <c r="AD18" i="37"/>
  <c r="AB18" i="37" s="1"/>
  <c r="AD26" i="37"/>
  <c r="AB26" i="37" s="1"/>
  <c r="AD182" i="37"/>
  <c r="AB182" i="37" s="1"/>
  <c r="AD154" i="37"/>
  <c r="AB154" i="37" s="1"/>
  <c r="AD83" i="37"/>
  <c r="AB83" i="37" s="1"/>
  <c r="AD196" i="37"/>
  <c r="AB196" i="37" s="1"/>
  <c r="AD67" i="37"/>
  <c r="AB67" i="37" s="1"/>
  <c r="AD70" i="37"/>
  <c r="AB70" i="37" s="1"/>
  <c r="AD10" i="37"/>
  <c r="AB10" i="37" s="1"/>
  <c r="AD30" i="37"/>
  <c r="AB30" i="37" s="1"/>
  <c r="AD68" i="37"/>
  <c r="AB68" i="37" s="1"/>
  <c r="AD177" i="37"/>
  <c r="AB177" i="37" s="1"/>
  <c r="AJ195" i="37"/>
  <c r="AK195" i="37" s="1"/>
  <c r="AD161" i="37"/>
  <c r="AB161" i="37" s="1"/>
  <c r="AD158" i="37"/>
  <c r="AB158" i="37" s="1"/>
  <c r="AD82" i="37"/>
  <c r="AB82" i="37" s="1"/>
  <c r="AD108" i="37"/>
  <c r="AB108" i="37" s="1"/>
  <c r="AD202" i="37"/>
  <c r="AB202" i="37" s="1"/>
  <c r="AJ152" i="37"/>
  <c r="AK152" i="37" s="1"/>
  <c r="AD164" i="37"/>
  <c r="AB164" i="37" s="1"/>
  <c r="AD96" i="37"/>
  <c r="AB96" i="37" s="1"/>
  <c r="AD55" i="37"/>
  <c r="AB55" i="37" s="1"/>
  <c r="AD162" i="37"/>
  <c r="AB162" i="37" s="1"/>
  <c r="AD104" i="37"/>
  <c r="AB104" i="37" s="1"/>
  <c r="AD109" i="37"/>
  <c r="AB109" i="37" s="1"/>
  <c r="AD143" i="37"/>
  <c r="AB143" i="37" s="1"/>
  <c r="AD66" i="37"/>
  <c r="AB66" i="37" s="1"/>
  <c r="AD190" i="37"/>
  <c r="AB190" i="37" s="1"/>
  <c r="AD49" i="37"/>
  <c r="AB49" i="37" s="1"/>
  <c r="AD53" i="37"/>
  <c r="AB53" i="37" s="1"/>
  <c r="AD193" i="37"/>
  <c r="AB193" i="37" s="1"/>
  <c r="AD131" i="37"/>
  <c r="AB131" i="37" s="1"/>
  <c r="AD203" i="37"/>
  <c r="AB203" i="37" s="1"/>
  <c r="AD118" i="37"/>
  <c r="AB118" i="37" s="1"/>
  <c r="AD94" i="37"/>
  <c r="AB94" i="37" s="1"/>
  <c r="AJ156" i="37"/>
  <c r="AK156" i="37" s="1"/>
  <c r="AD183" i="37"/>
  <c r="AB183" i="37" s="1"/>
  <c r="AD76" i="37"/>
  <c r="AB76" i="37" s="1"/>
  <c r="AD171" i="37"/>
  <c r="AB171" i="37" s="1"/>
  <c r="AD137" i="37"/>
  <c r="AB137" i="37" s="1"/>
  <c r="AD45" i="37"/>
  <c r="AB45" i="37" s="1"/>
  <c r="AD59" i="37"/>
  <c r="AB59" i="37" s="1"/>
  <c r="AJ185" i="37"/>
  <c r="AK185" i="37" s="1"/>
  <c r="AD95" i="37"/>
  <c r="AB95" i="37" s="1"/>
  <c r="AJ139" i="37"/>
  <c r="AK139" i="37" s="1"/>
  <c r="AD189" i="37"/>
  <c r="AB189" i="37" s="1"/>
  <c r="AD86" i="37"/>
  <c r="AB86" i="37" s="1"/>
  <c r="AJ44" i="37"/>
  <c r="AK44" i="37" s="1"/>
  <c r="AD20" i="37"/>
  <c r="AB20" i="37" s="1"/>
  <c r="AD144" i="37"/>
  <c r="AB144" i="37" s="1"/>
  <c r="AD148" i="37"/>
  <c r="AB148" i="37" s="1"/>
  <c r="AD114" i="37"/>
  <c r="AB114" i="37" s="1"/>
  <c r="AD98" i="37"/>
  <c r="AB98" i="37" s="1"/>
  <c r="AD191" i="37"/>
  <c r="AB191" i="37" s="1"/>
  <c r="AD99" i="37"/>
  <c r="AB99" i="37" s="1"/>
  <c r="Q22" i="38" a="1"/>
  <c r="Q22" i="38" s="1"/>
  <c r="S22" i="38" s="1"/>
  <c r="AD100" i="37"/>
  <c r="AB100" i="37" s="1"/>
  <c r="AD62" i="37"/>
  <c r="AB62" i="37" s="1"/>
  <c r="AD200" i="37"/>
  <c r="AB200" i="37" s="1"/>
  <c r="AD102" i="37"/>
  <c r="AB102" i="37" s="1"/>
  <c r="AD22" i="37"/>
  <c r="AB22" i="37" s="1"/>
  <c r="AD39" i="37"/>
  <c r="AB39" i="37" s="1"/>
  <c r="AD89" i="37"/>
  <c r="AB89" i="37" s="1"/>
  <c r="AD80" i="37"/>
  <c r="AB80" i="37" s="1"/>
  <c r="AD48" i="37"/>
  <c r="AB48" i="37" s="1"/>
  <c r="AD112" i="37"/>
  <c r="AB112" i="37" s="1"/>
  <c r="AD134" i="37"/>
  <c r="AB134" i="37" s="1"/>
  <c r="AD121" i="37"/>
  <c r="AB121" i="37" s="1"/>
  <c r="AD116" i="37"/>
  <c r="AB116" i="37" s="1"/>
  <c r="AD29" i="37"/>
  <c r="AB29" i="37" s="1"/>
  <c r="AD204" i="37"/>
  <c r="AB204" i="37" s="1"/>
  <c r="AD24" i="37"/>
  <c r="AB24" i="37" s="1"/>
  <c r="AD178" i="37"/>
  <c r="AB178" i="37" s="1"/>
  <c r="AD172" i="37"/>
  <c r="AB172" i="37" s="1"/>
  <c r="AD19" i="37"/>
  <c r="AB19" i="37" s="1"/>
  <c r="AD119" i="37"/>
  <c r="AB119" i="37" s="1"/>
  <c r="U21" i="38"/>
  <c r="AJ14" i="37"/>
  <c r="AK14" i="37" s="1"/>
  <c r="AD174" i="37"/>
  <c r="AB174" i="37" s="1"/>
  <c r="AJ36" i="37"/>
  <c r="AK36" i="37" s="1"/>
  <c r="AD85" i="37"/>
  <c r="AB85" i="37" s="1"/>
  <c r="AD215" i="37"/>
  <c r="AB215" i="37" s="1"/>
  <c r="AD72" i="37"/>
  <c r="AB72" i="37" s="1"/>
  <c r="AD208" i="37"/>
  <c r="AB208" i="37" s="1"/>
  <c r="AD124" i="37"/>
  <c r="AB124" i="37" s="1"/>
  <c r="AJ163" i="37"/>
  <c r="AK163" i="37" s="1"/>
  <c r="AD153" i="37"/>
  <c r="AB153" i="37" s="1"/>
  <c r="AD142" i="37"/>
  <c r="AB142" i="37" s="1"/>
  <c r="AD79" i="37"/>
  <c r="AB79" i="37" s="1"/>
  <c r="AD13" i="37"/>
  <c r="AB13" i="37" s="1"/>
  <c r="AD61" i="37"/>
  <c r="AB61" i="37" s="1"/>
  <c r="AD219" i="37"/>
  <c r="AB219" i="37" s="1"/>
  <c r="AD201" i="37"/>
  <c r="AB201" i="37" s="1"/>
  <c r="AD217" i="37"/>
  <c r="AB217" i="37" s="1"/>
  <c r="AD167" i="37"/>
  <c r="AB167" i="37" s="1"/>
  <c r="T21" i="38"/>
  <c r="V21" i="38"/>
  <c r="W21" i="38" s="1"/>
  <c r="AD57" i="37"/>
  <c r="AB57" i="37" s="1"/>
  <c r="AD218" i="37"/>
  <c r="AB218" i="37" s="1"/>
  <c r="AD34" i="37"/>
  <c r="AB34" i="37" s="1"/>
  <c r="AD184" i="37"/>
  <c r="AB184" i="37" s="1"/>
  <c r="AD192" i="37"/>
  <c r="AB192" i="37" s="1"/>
  <c r="AD123" i="37"/>
  <c r="AB123" i="37" s="1"/>
  <c r="AD33" i="37"/>
  <c r="AB33" i="37" s="1"/>
  <c r="AD51" i="37"/>
  <c r="AB51" i="37" s="1"/>
  <c r="AD212" i="37"/>
  <c r="AB212" i="37" s="1"/>
  <c r="AD27" i="37"/>
  <c r="AB27" i="37" s="1"/>
  <c r="AJ147" i="37"/>
  <c r="AK147" i="37" s="1"/>
  <c r="AJ52" i="37"/>
  <c r="AK52" i="37" s="1"/>
  <c r="AD173" i="37"/>
  <c r="AB173" i="37" s="1"/>
  <c r="AD138" i="37"/>
  <c r="AB138" i="37" s="1"/>
  <c r="AD11" i="37"/>
  <c r="AB11" i="37" s="1"/>
  <c r="AJ93" i="37"/>
  <c r="AK93" i="37" s="1"/>
  <c r="AD43" i="37"/>
  <c r="AB43" i="37" s="1"/>
  <c r="AD84" i="37"/>
  <c r="AB84" i="37" s="1"/>
  <c r="AD28" i="37"/>
  <c r="AB28" i="37" s="1"/>
  <c r="AD157" i="37"/>
  <c r="AB157" i="37" s="1"/>
  <c r="AJ170" i="37"/>
  <c r="AK170" i="37" s="1"/>
  <c r="AD169" i="37"/>
  <c r="AB169" i="37" s="1"/>
  <c r="AD150" i="37"/>
  <c r="AB150" i="37" s="1"/>
  <c r="AD111" i="37"/>
  <c r="AB111" i="37" s="1"/>
  <c r="AD71" i="37"/>
  <c r="AB71" i="37" s="1"/>
  <c r="AD77" i="37"/>
  <c r="AB77" i="37" s="1"/>
  <c r="AD56" i="37"/>
  <c r="AB56" i="37" s="1"/>
  <c r="AD41" i="37"/>
  <c r="AB41" i="37" s="1"/>
  <c r="AD46" i="37"/>
  <c r="AB46" i="37" s="1"/>
  <c r="AD194" i="37"/>
  <c r="AB194" i="37" s="1"/>
  <c r="AD81" i="37"/>
  <c r="AB81" i="37" s="1"/>
  <c r="AJ15" i="37"/>
  <c r="AK15" i="37" s="1"/>
  <c r="AD90" i="37"/>
  <c r="AB90" i="37" s="1"/>
  <c r="AD78" i="37"/>
  <c r="AB78" i="37" s="1"/>
  <c r="AD166" i="37"/>
  <c r="AB166" i="37" s="1"/>
  <c r="AD50" i="37"/>
  <c r="AB50" i="37" s="1"/>
  <c r="AJ37" i="37"/>
  <c r="AK37" i="37" s="1"/>
  <c r="AD209" i="37"/>
  <c r="AB209" i="37" s="1"/>
  <c r="AD197" i="37"/>
  <c r="AB197" i="37" s="1"/>
  <c r="AD141" i="37"/>
  <c r="AB141" i="37" s="1"/>
  <c r="AD140" i="37"/>
  <c r="AB140" i="37" s="1"/>
  <c r="AD175" i="37"/>
  <c r="AB175" i="37" s="1"/>
  <c r="AD214" i="37"/>
  <c r="AB214" i="37" s="1"/>
  <c r="AD69" i="37"/>
  <c r="AB69" i="37" s="1"/>
  <c r="AD91" i="37"/>
  <c r="AB91" i="37" s="1"/>
  <c r="AD127" i="37"/>
  <c r="AB127" i="37" s="1"/>
  <c r="AD113" i="37"/>
  <c r="AB113" i="37" s="1"/>
  <c r="AD25" i="37"/>
  <c r="AB25" i="37" s="1"/>
  <c r="AJ42" i="37"/>
  <c r="AK42" i="37" s="1"/>
  <c r="AD63" i="37"/>
  <c r="AB63" i="37" s="1"/>
  <c r="AD151" i="37"/>
  <c r="AB151" i="37" s="1"/>
  <c r="AJ110" i="37"/>
  <c r="AK110" i="37" s="1"/>
  <c r="AD87" i="37"/>
  <c r="AB87" i="37" s="1"/>
  <c r="AD32" i="37"/>
  <c r="AB32" i="37" s="1"/>
  <c r="AD176" i="37"/>
  <c r="AB176" i="37" s="1"/>
  <c r="AD188" i="37"/>
  <c r="AB188" i="37" s="1"/>
  <c r="AD17" i="37"/>
  <c r="AB17" i="37" s="1"/>
  <c r="AD105" i="37"/>
  <c r="AB105" i="37" s="1"/>
  <c r="AD21" i="37"/>
  <c r="AB21" i="37" s="1"/>
  <c r="AD16" i="37"/>
  <c r="AB16" i="37" s="1"/>
  <c r="AD64" i="37"/>
  <c r="AB64" i="37" s="1"/>
  <c r="AD115" i="37"/>
  <c r="AB115" i="37" s="1"/>
  <c r="AD155" i="37"/>
  <c r="AB155" i="37" s="1"/>
  <c r="AD213" i="37"/>
  <c r="AB213" i="37" s="1"/>
  <c r="AD187" i="37"/>
  <c r="AB187" i="37" s="1"/>
  <c r="AD97" i="37"/>
  <c r="AB97" i="37" s="1"/>
  <c r="AD92" i="37"/>
  <c r="AB92" i="37" s="1"/>
  <c r="AD103" i="37"/>
  <c r="AB103" i="37" s="1"/>
  <c r="AD132" i="37"/>
  <c r="AB132" i="37" s="1"/>
  <c r="AJ122" i="37"/>
  <c r="AK122" i="37" s="1"/>
  <c r="AD122" i="37"/>
  <c r="AB122" i="37" s="1"/>
  <c r="AD129" i="37"/>
  <c r="AB129" i="37" s="1"/>
  <c r="AD186" i="37"/>
  <c r="AB186" i="37" s="1"/>
  <c r="AD207" i="37"/>
  <c r="AB207" i="37" s="1"/>
  <c r="AD54" i="37"/>
  <c r="AB54" i="37" s="1"/>
  <c r="AD145" i="37"/>
  <c r="AB145" i="37" s="1"/>
  <c r="AD181" i="37"/>
  <c r="AB181" i="37" s="1"/>
  <c r="AD210" i="37"/>
  <c r="AB210" i="37" s="1"/>
  <c r="AD198" i="37"/>
  <c r="AB198" i="37" s="1"/>
  <c r="AJ128" i="37"/>
  <c r="AK128" i="37" s="1"/>
  <c r="AD128" i="37"/>
  <c r="AB128" i="37" s="1"/>
  <c r="AD101" i="37"/>
  <c r="AB101" i="37" s="1"/>
  <c r="AD136" i="37"/>
  <c r="AB136" i="37" s="1"/>
  <c r="AD206" i="37"/>
  <c r="AB206" i="37" s="1"/>
  <c r="AJ125" i="37"/>
  <c r="AK125" i="37" s="1"/>
  <c r="AD125" i="37"/>
  <c r="AB125" i="37" s="1"/>
  <c r="AJ211" i="37"/>
  <c r="AK211" i="37" s="1"/>
  <c r="AD211" i="37"/>
  <c r="AB211" i="37" s="1"/>
  <c r="AJ146" i="37"/>
  <c r="AK146" i="37" s="1"/>
  <c r="AD130" i="37"/>
  <c r="AB130" i="37" s="1"/>
  <c r="H44" i="26"/>
  <c r="H34" i="26"/>
  <c r="H24" i="26"/>
  <c r="H14" i="26"/>
  <c r="Q23" i="38" l="1" a="1"/>
  <c r="Q23" i="38" s="1"/>
  <c r="S23" i="38" s="1"/>
  <c r="U22" i="38"/>
  <c r="V22" i="38"/>
  <c r="W22" i="38" s="1"/>
  <c r="T22" i="38"/>
  <c r="AJ4" i="37"/>
  <c r="AJ1" i="37" s="1"/>
  <c r="T23" i="38" l="1"/>
  <c r="V23" i="38"/>
  <c r="W23" i="38" s="1"/>
  <c r="U23" i="38"/>
  <c r="Q24" i="38" a="1"/>
  <c r="Q24" i="38" s="1"/>
  <c r="A11" i="36"/>
  <c r="N11" i="36" s="1"/>
  <c r="A12" i="36"/>
  <c r="N12" i="36" s="1"/>
  <c r="A13" i="36"/>
  <c r="N13" i="36" s="1"/>
  <c r="A14" i="36"/>
  <c r="N14" i="36" s="1"/>
  <c r="A15" i="36"/>
  <c r="N15" i="36" s="1"/>
  <c r="A16" i="36"/>
  <c r="N16" i="36" s="1"/>
  <c r="A17" i="36"/>
  <c r="N17" i="36" s="1"/>
  <c r="A18" i="36"/>
  <c r="N18" i="36" s="1"/>
  <c r="A19" i="36"/>
  <c r="N19" i="36" s="1"/>
  <c r="A20" i="36"/>
  <c r="N20" i="36" s="1"/>
  <c r="A21" i="36"/>
  <c r="N21" i="36" s="1"/>
  <c r="A22" i="36"/>
  <c r="N22" i="36" s="1"/>
  <c r="A10" i="36"/>
  <c r="N10" i="36" s="1"/>
  <c r="P14" i="36" l="1"/>
  <c r="AO14" i="36"/>
  <c r="Q14" i="36"/>
  <c r="AO22" i="36"/>
  <c r="P22" i="36"/>
  <c r="Q22" i="36"/>
  <c r="AO18" i="36"/>
  <c r="P18" i="36"/>
  <c r="Q18" i="36"/>
  <c r="Q17" i="36"/>
  <c r="P17" i="36"/>
  <c r="AO17" i="36"/>
  <c r="P13" i="36"/>
  <c r="Q13" i="36"/>
  <c r="AO13" i="36"/>
  <c r="AO19" i="36"/>
  <c r="P19" i="36"/>
  <c r="Q19" i="36"/>
  <c r="P21" i="36"/>
  <c r="Q21" i="36"/>
  <c r="AO21" i="36"/>
  <c r="AO20" i="36"/>
  <c r="P20" i="36"/>
  <c r="Q20" i="36"/>
  <c r="AO11" i="36"/>
  <c r="Q11" i="36"/>
  <c r="P11" i="36"/>
  <c r="Q16" i="36"/>
  <c r="AO16" i="36"/>
  <c r="P16" i="36"/>
  <c r="Q10" i="36"/>
  <c r="P10" i="36"/>
  <c r="AO10" i="36"/>
  <c r="Q15" i="36"/>
  <c r="P15" i="36"/>
  <c r="AO15" i="36"/>
  <c r="Q12" i="36"/>
  <c r="AO12" i="36"/>
  <c r="P12" i="36"/>
  <c r="Q25" i="38" a="1"/>
  <c r="Q25" i="38" s="1"/>
  <c r="S25" i="38" s="1"/>
  <c r="S24" i="38"/>
  <c r="T24" i="38"/>
  <c r="U24" i="38"/>
  <c r="V24" i="38"/>
  <c r="C21" i="36"/>
  <c r="C20" i="36"/>
  <c r="C19" i="36"/>
  <c r="C18" i="36"/>
  <c r="AK16" i="36"/>
  <c r="AK13" i="36"/>
  <c r="C22" i="36"/>
  <c r="AK15" i="36"/>
  <c r="AK14" i="36"/>
  <c r="AK12" i="36"/>
  <c r="H10" i="36"/>
  <c r="E10" i="36"/>
  <c r="B22" i="36"/>
  <c r="AJ22" i="36" s="1"/>
  <c r="B18" i="36"/>
  <c r="AJ18" i="36" s="1"/>
  <c r="B19" i="36"/>
  <c r="AJ19" i="36" s="1"/>
  <c r="B21" i="36"/>
  <c r="AJ21" i="36" s="1"/>
  <c r="AK8" i="36"/>
  <c r="S8" i="36"/>
  <c r="U8" i="36"/>
  <c r="AL8" i="36"/>
  <c r="T8" i="36"/>
  <c r="V8" i="36"/>
  <c r="AM8" i="36"/>
  <c r="W8" i="36"/>
  <c r="AN8" i="36"/>
  <c r="X8" i="36"/>
  <c r="Y8" i="36"/>
  <c r="Z8" i="36"/>
  <c r="AB8" i="36"/>
  <c r="AC8" i="36"/>
  <c r="AD8" i="36"/>
  <c r="AE8" i="36"/>
  <c r="AF8" i="36"/>
  <c r="AG8" i="36"/>
  <c r="AH8" i="36"/>
  <c r="AI8" i="36"/>
  <c r="R8" i="36"/>
  <c r="P8" i="36"/>
  <c r="Q8" i="36"/>
  <c r="AJ8" i="36"/>
  <c r="AO6" i="9"/>
  <c r="AO7" i="9"/>
  <c r="AO8" i="9"/>
  <c r="AO9" i="9"/>
  <c r="AO10" i="9"/>
  <c r="AO11" i="9"/>
  <c r="AO12" i="9"/>
  <c r="AO13" i="9"/>
  <c r="AO14" i="9"/>
  <c r="AO15" i="9"/>
  <c r="AO16" i="9"/>
  <c r="AO17" i="9"/>
  <c r="AO5" i="9"/>
  <c r="AK22" i="36" l="1"/>
  <c r="H22" i="36"/>
  <c r="AK17" i="36"/>
  <c r="H17" i="36"/>
  <c r="AK21" i="36"/>
  <c r="H21" i="36"/>
  <c r="AK18" i="36"/>
  <c r="H18" i="36"/>
  <c r="AK19" i="36"/>
  <c r="H19" i="36"/>
  <c r="AK20" i="36"/>
  <c r="H20" i="36"/>
  <c r="V40" i="10"/>
  <c r="V42" i="10"/>
  <c r="V39" i="10"/>
  <c r="V43" i="10"/>
  <c r="AM10" i="36"/>
  <c r="W24" i="38"/>
  <c r="T25" i="38"/>
  <c r="U25" i="38"/>
  <c r="V25" i="38"/>
  <c r="W25" i="38" s="1"/>
  <c r="Q26" i="38" a="1"/>
  <c r="Q26" i="38" s="1"/>
  <c r="S26" i="38" s="1"/>
  <c r="E11" i="36"/>
  <c r="E18" i="36"/>
  <c r="AM18" i="36" s="1"/>
  <c r="E13" i="36"/>
  <c r="AM13" i="36" s="1"/>
  <c r="E16" i="36"/>
  <c r="AM16" i="36" s="1"/>
  <c r="E12" i="36"/>
  <c r="AM12" i="36" s="1"/>
  <c r="E19" i="36"/>
  <c r="AM19" i="36" s="1"/>
  <c r="E17" i="36"/>
  <c r="AM17" i="36" s="1"/>
  <c r="E22" i="36"/>
  <c r="AM22" i="36" s="1"/>
  <c r="E14" i="36"/>
  <c r="AM14" i="36" s="1"/>
  <c r="E20" i="36"/>
  <c r="AM20" i="36" s="1"/>
  <c r="E15" i="36"/>
  <c r="AM15" i="36" s="1"/>
  <c r="E21" i="36"/>
  <c r="AM21" i="36" s="1"/>
  <c r="DE2" i="9"/>
  <c r="DD142" i="9" s="1"/>
  <c r="DC2" i="9"/>
  <c r="DB142" i="9" s="1"/>
  <c r="DA2" i="9"/>
  <c r="CZ142" i="9" s="1"/>
  <c r="CY2" i="9"/>
  <c r="CX142" i="9" s="1"/>
  <c r="CW2" i="9"/>
  <c r="CV142" i="9" s="1"/>
  <c r="CU2" i="9"/>
  <c r="CT142" i="9" s="1"/>
  <c r="CS2" i="9"/>
  <c r="CR142" i="9" s="1"/>
  <c r="CQ2" i="9"/>
  <c r="CP142" i="9" s="1"/>
  <c r="CO2" i="9"/>
  <c r="CN142" i="9" s="1"/>
  <c r="CM2" i="9"/>
  <c r="CK2" i="9"/>
  <c r="CG2" i="9"/>
  <c r="CI2" i="9"/>
  <c r="CF23" i="9" l="1"/>
  <c r="CF142" i="9"/>
  <c r="CL3" i="9"/>
  <c r="CL142" i="9"/>
  <c r="CH8" i="9"/>
  <c r="CH142" i="9"/>
  <c r="CJ7" i="9"/>
  <c r="CJ142" i="9"/>
  <c r="AI19" i="36"/>
  <c r="AI18" i="36"/>
  <c r="AI22" i="36"/>
  <c r="AI21" i="36"/>
  <c r="AM11" i="36"/>
  <c r="T26" i="38"/>
  <c r="V26" i="38"/>
  <c r="W26" i="38" s="1"/>
  <c r="U26" i="38"/>
  <c r="Q27" i="38" a="1"/>
  <c r="Q27" i="38" s="1"/>
  <c r="S27" i="38" s="1"/>
  <c r="CL141" i="9"/>
  <c r="CL140" i="9"/>
  <c r="CL121" i="9"/>
  <c r="CL113" i="9"/>
  <c r="CL130" i="9"/>
  <c r="CL111" i="9"/>
  <c r="CL82" i="9"/>
  <c r="CL78" i="9"/>
  <c r="CL91" i="9"/>
  <c r="CL89" i="9"/>
  <c r="CL33" i="9"/>
  <c r="CL63" i="9"/>
  <c r="CL61" i="9"/>
  <c r="CL112" i="9"/>
  <c r="CL60" i="9"/>
  <c r="CL58" i="9"/>
  <c r="CL108" i="9"/>
  <c r="CL50" i="9"/>
  <c r="CL62" i="9"/>
  <c r="CL57" i="9"/>
  <c r="CL107" i="9"/>
  <c r="CL49" i="9"/>
  <c r="CL114" i="9"/>
  <c r="CL110" i="9"/>
  <c r="CL92" i="9"/>
  <c r="CL34" i="9"/>
  <c r="CL2" i="9"/>
  <c r="CL90" i="9"/>
  <c r="CL30" i="9"/>
  <c r="CL29" i="9"/>
  <c r="CL28" i="9"/>
  <c r="CL139" i="9"/>
  <c r="CL80" i="9"/>
  <c r="CL27" i="9"/>
  <c r="CL138" i="9"/>
  <c r="CL79" i="9"/>
  <c r="CL26" i="9"/>
  <c r="CL25" i="9"/>
  <c r="CL129" i="9"/>
  <c r="CL48" i="9"/>
  <c r="CL128" i="9"/>
  <c r="CL47" i="9"/>
  <c r="CL127" i="9"/>
  <c r="CL125" i="9"/>
  <c r="CL73" i="9"/>
  <c r="CL44" i="9"/>
  <c r="CL14" i="9"/>
  <c r="CL77" i="9"/>
  <c r="CL18" i="9"/>
  <c r="CL105" i="9"/>
  <c r="CL76" i="9"/>
  <c r="CL17" i="9"/>
  <c r="CL98" i="9"/>
  <c r="CL46" i="9"/>
  <c r="CL126" i="9"/>
  <c r="CL74" i="9"/>
  <c r="CL45" i="9"/>
  <c r="CL15" i="9"/>
  <c r="CL96" i="9"/>
  <c r="CL124" i="9"/>
  <c r="CL95" i="9"/>
  <c r="CL66" i="9"/>
  <c r="CL43" i="9"/>
  <c r="CL13" i="9"/>
  <c r="CL123" i="9"/>
  <c r="CL94" i="9"/>
  <c r="CL65" i="9"/>
  <c r="CL42" i="9"/>
  <c r="CL12" i="9"/>
  <c r="CL106" i="9"/>
  <c r="CL75" i="9"/>
  <c r="CL16" i="9"/>
  <c r="CL97" i="9"/>
  <c r="CL122" i="9"/>
  <c r="CL93" i="9"/>
  <c r="CL64" i="9"/>
  <c r="CL41" i="9"/>
  <c r="CL11" i="9"/>
  <c r="CJ101" i="9"/>
  <c r="CJ100" i="9"/>
  <c r="CJ3" i="9"/>
  <c r="CJ123" i="9"/>
  <c r="CJ26" i="9"/>
  <c r="CJ118" i="9"/>
  <c r="CJ21" i="9"/>
  <c r="CJ20" i="9"/>
  <c r="CJ19" i="9"/>
  <c r="CJ91" i="9"/>
  <c r="CJ18" i="9"/>
  <c r="CJ139" i="9"/>
  <c r="CJ112" i="9"/>
  <c r="CJ90" i="9"/>
  <c r="CJ64" i="9"/>
  <c r="CJ42" i="9"/>
  <c r="CJ15" i="9"/>
  <c r="CJ79" i="9"/>
  <c r="CJ78" i="9"/>
  <c r="CJ124" i="9"/>
  <c r="CJ98" i="9"/>
  <c r="CJ22" i="9"/>
  <c r="CJ46" i="9"/>
  <c r="CJ45" i="9"/>
  <c r="CJ116" i="9"/>
  <c r="CJ113" i="9"/>
  <c r="CJ85" i="9"/>
  <c r="CJ63" i="9"/>
  <c r="CJ38" i="9"/>
  <c r="CJ14" i="9"/>
  <c r="CJ62" i="9"/>
  <c r="CJ37" i="9"/>
  <c r="CJ13" i="9"/>
  <c r="CJ52" i="9"/>
  <c r="CJ51" i="9"/>
  <c r="CJ99" i="9"/>
  <c r="CJ49" i="9"/>
  <c r="CJ47" i="9"/>
  <c r="CJ69" i="9"/>
  <c r="CJ68" i="9"/>
  <c r="CJ92" i="9"/>
  <c r="CJ65" i="9"/>
  <c r="CJ132" i="9"/>
  <c r="CJ61" i="9"/>
  <c r="CJ34" i="9"/>
  <c r="CJ12" i="9"/>
  <c r="CJ125" i="9"/>
  <c r="CJ75" i="9"/>
  <c r="CJ97" i="9"/>
  <c r="CJ117" i="9"/>
  <c r="CJ44" i="9"/>
  <c r="CJ111" i="9"/>
  <c r="CJ109" i="9"/>
  <c r="CJ107" i="9"/>
  <c r="CJ82" i="9"/>
  <c r="CJ60" i="9"/>
  <c r="CJ33" i="9"/>
  <c r="CJ11" i="9"/>
  <c r="CJ4" i="9"/>
  <c r="CJ27" i="9"/>
  <c r="CJ122" i="9"/>
  <c r="CJ2" i="9"/>
  <c r="CJ66" i="9"/>
  <c r="CJ138" i="9"/>
  <c r="CJ131" i="9"/>
  <c r="CJ129" i="9"/>
  <c r="CJ81" i="9"/>
  <c r="CJ59" i="9"/>
  <c r="CJ32" i="9"/>
  <c r="CJ6" i="9"/>
  <c r="CJ126" i="9"/>
  <c r="CJ30" i="9"/>
  <c r="CJ28" i="9"/>
  <c r="CJ50" i="9"/>
  <c r="CJ74" i="9"/>
  <c r="CJ70" i="9"/>
  <c r="CJ94" i="9"/>
  <c r="CJ93" i="9"/>
  <c r="CJ141" i="9"/>
  <c r="CJ140" i="9"/>
  <c r="CJ43" i="9"/>
  <c r="CJ110" i="9"/>
  <c r="CJ84" i="9"/>
  <c r="CJ83" i="9"/>
  <c r="CJ130" i="9"/>
  <c r="CJ106" i="9"/>
  <c r="CJ128" i="9"/>
  <c r="CJ102" i="9"/>
  <c r="CJ80" i="9"/>
  <c r="CJ53" i="9"/>
  <c r="CJ31" i="9"/>
  <c r="CJ5" i="9"/>
  <c r="CH119" i="9"/>
  <c r="CH83" i="9"/>
  <c r="CH49" i="9"/>
  <c r="CH21" i="9"/>
  <c r="CH17" i="9"/>
  <c r="CH98" i="9"/>
  <c r="CH97" i="9"/>
  <c r="CH71" i="9"/>
  <c r="CH50" i="9"/>
  <c r="CH130" i="9"/>
  <c r="CH118" i="9"/>
  <c r="CH115" i="9"/>
  <c r="CH6" i="9"/>
  <c r="CH3" i="9"/>
  <c r="CH55" i="9"/>
  <c r="CH36" i="9"/>
  <c r="CH20" i="9"/>
  <c r="CH113" i="9"/>
  <c r="CH4" i="9"/>
  <c r="CH87" i="9"/>
  <c r="CH81" i="9"/>
  <c r="CH53" i="9"/>
  <c r="CH51" i="9"/>
  <c r="CN6" i="9"/>
  <c r="CN22" i="9"/>
  <c r="CN38" i="9"/>
  <c r="CN54" i="9"/>
  <c r="CN70" i="9"/>
  <c r="CN86" i="9"/>
  <c r="CN102" i="9"/>
  <c r="CN118" i="9"/>
  <c r="CN134" i="9"/>
  <c r="CN7" i="9"/>
  <c r="CN24" i="9"/>
  <c r="CN41" i="9"/>
  <c r="CN58" i="9"/>
  <c r="CN75" i="9"/>
  <c r="CN92" i="9"/>
  <c r="CN109" i="9"/>
  <c r="CN126" i="9"/>
  <c r="CN9" i="9"/>
  <c r="CN27" i="9"/>
  <c r="CN45" i="9"/>
  <c r="CN63" i="9"/>
  <c r="CN81" i="9"/>
  <c r="CN99" i="9"/>
  <c r="CN117" i="9"/>
  <c r="CN136" i="9"/>
  <c r="CN47" i="9"/>
  <c r="CN101" i="9"/>
  <c r="CN120" i="9"/>
  <c r="CN12" i="9"/>
  <c r="CN84" i="9"/>
  <c r="CN139" i="9"/>
  <c r="CN31" i="9"/>
  <c r="CN10" i="9"/>
  <c r="CN28" i="9"/>
  <c r="CN46" i="9"/>
  <c r="CN64" i="9"/>
  <c r="CN82" i="9"/>
  <c r="CN100" i="9"/>
  <c r="CN119" i="9"/>
  <c r="CN137" i="9"/>
  <c r="CN29" i="9"/>
  <c r="CN83" i="9"/>
  <c r="CN138" i="9"/>
  <c r="CN66" i="9"/>
  <c r="CN121" i="9"/>
  <c r="CN13" i="9"/>
  <c r="CN11" i="9"/>
  <c r="CN65" i="9"/>
  <c r="CN48" i="9"/>
  <c r="CN103" i="9"/>
  <c r="CN4" i="9"/>
  <c r="CN33" i="9"/>
  <c r="CN56" i="9"/>
  <c r="CN79" i="9"/>
  <c r="CN106" i="9"/>
  <c r="CN129" i="9"/>
  <c r="CN34" i="9"/>
  <c r="CN57" i="9"/>
  <c r="CN80" i="9"/>
  <c r="CN107" i="9"/>
  <c r="CN130" i="9"/>
  <c r="CN36" i="9"/>
  <c r="CN87" i="9"/>
  <c r="CN132" i="9"/>
  <c r="CN15" i="9"/>
  <c r="CN61" i="9"/>
  <c r="CN133" i="9"/>
  <c r="CN39" i="9"/>
  <c r="CN89" i="9"/>
  <c r="CN91" i="9"/>
  <c r="CN69" i="9"/>
  <c r="CN44" i="9"/>
  <c r="CN73" i="9"/>
  <c r="CN51" i="9"/>
  <c r="CN26" i="9"/>
  <c r="CN77" i="9"/>
  <c r="CN5" i="9"/>
  <c r="CN17" i="9"/>
  <c r="CN113" i="9"/>
  <c r="CN42" i="9"/>
  <c r="CN141" i="9"/>
  <c r="CN115" i="9"/>
  <c r="CN116" i="9"/>
  <c r="CN124" i="9"/>
  <c r="CN76" i="9"/>
  <c r="CN30" i="9"/>
  <c r="CN32" i="9"/>
  <c r="CN8" i="9"/>
  <c r="CN35" i="9"/>
  <c r="CN59" i="9"/>
  <c r="CN85" i="9"/>
  <c r="CN108" i="9"/>
  <c r="CN131" i="9"/>
  <c r="CN14" i="9"/>
  <c r="CN60" i="9"/>
  <c r="CN110" i="9"/>
  <c r="CN37" i="9"/>
  <c r="CN88" i="9"/>
  <c r="CN111" i="9"/>
  <c r="CN62" i="9"/>
  <c r="CN112" i="9"/>
  <c r="CN135" i="9"/>
  <c r="CN67" i="9"/>
  <c r="CN114" i="9"/>
  <c r="CN93" i="9"/>
  <c r="CN123" i="9"/>
  <c r="CN97" i="9"/>
  <c r="CN52" i="9"/>
  <c r="CN53" i="9"/>
  <c r="CN55" i="9"/>
  <c r="CN90" i="9"/>
  <c r="CN68" i="9"/>
  <c r="CN98" i="9"/>
  <c r="CN104" i="9"/>
  <c r="CN71" i="9"/>
  <c r="CN128" i="9"/>
  <c r="CN16" i="9"/>
  <c r="CN40" i="9"/>
  <c r="CN140" i="9"/>
  <c r="CN18" i="9"/>
  <c r="CN2" i="9"/>
  <c r="CN94" i="9"/>
  <c r="CN23" i="9"/>
  <c r="CN125" i="9"/>
  <c r="CN127" i="9"/>
  <c r="CN3" i="9"/>
  <c r="CN19" i="9"/>
  <c r="CN43" i="9"/>
  <c r="CN20" i="9"/>
  <c r="CN96" i="9"/>
  <c r="CN25" i="9"/>
  <c r="CN105" i="9"/>
  <c r="CN21" i="9"/>
  <c r="CN49" i="9"/>
  <c r="CN72" i="9"/>
  <c r="CN95" i="9"/>
  <c r="CN122" i="9"/>
  <c r="CN50" i="9"/>
  <c r="CN74" i="9"/>
  <c r="CN78" i="9"/>
  <c r="CH129" i="9"/>
  <c r="CH82" i="9"/>
  <c r="CH22" i="9"/>
  <c r="CP18" i="9"/>
  <c r="CP34" i="9"/>
  <c r="CP50" i="9"/>
  <c r="CP66" i="9"/>
  <c r="CP82" i="9"/>
  <c r="CP98" i="9"/>
  <c r="CP114" i="9"/>
  <c r="CP130" i="9"/>
  <c r="CP10" i="9"/>
  <c r="CP27" i="9"/>
  <c r="CP44" i="9"/>
  <c r="CP61" i="9"/>
  <c r="CP78" i="9"/>
  <c r="CP95" i="9"/>
  <c r="CP112" i="9"/>
  <c r="CP129" i="9"/>
  <c r="CP3" i="9"/>
  <c r="CP21" i="9"/>
  <c r="CP39" i="9"/>
  <c r="CP57" i="9"/>
  <c r="CP75" i="9"/>
  <c r="CP93" i="9"/>
  <c r="CP111" i="9"/>
  <c r="CP131" i="9"/>
  <c r="CP42" i="9"/>
  <c r="CP97" i="9"/>
  <c r="CP7" i="9"/>
  <c r="CP62" i="9"/>
  <c r="CP117" i="9"/>
  <c r="CP4" i="9"/>
  <c r="CP22" i="9"/>
  <c r="CP40" i="9"/>
  <c r="CP58" i="9"/>
  <c r="CP76" i="9"/>
  <c r="CP94" i="9"/>
  <c r="CP113" i="9"/>
  <c r="CP132" i="9"/>
  <c r="CP24" i="9"/>
  <c r="CP79" i="9"/>
  <c r="CP134" i="9"/>
  <c r="CP43" i="9"/>
  <c r="CP99" i="9"/>
  <c r="CP5" i="9"/>
  <c r="CP23" i="9"/>
  <c r="CP41" i="9"/>
  <c r="CP59" i="9"/>
  <c r="CP77" i="9"/>
  <c r="CP96" i="9"/>
  <c r="CP115" i="9"/>
  <c r="CP133" i="9"/>
  <c r="CP6" i="9"/>
  <c r="CP60" i="9"/>
  <c r="CP116" i="9"/>
  <c r="CP25" i="9"/>
  <c r="CP80" i="9"/>
  <c r="CP135" i="9"/>
  <c r="CP14" i="9"/>
  <c r="CP38" i="9"/>
  <c r="CP68" i="9"/>
  <c r="CP91" i="9"/>
  <c r="CP121" i="9"/>
  <c r="CP15" i="9"/>
  <c r="CP45" i="9"/>
  <c r="CP69" i="9"/>
  <c r="CP92" i="9"/>
  <c r="CP122" i="9"/>
  <c r="CP47" i="9"/>
  <c r="CP124" i="9"/>
  <c r="CP48" i="9"/>
  <c r="CP102" i="9"/>
  <c r="CP103" i="9"/>
  <c r="CP127" i="9"/>
  <c r="CP28" i="9"/>
  <c r="CP128" i="9"/>
  <c r="CP30" i="9"/>
  <c r="CP56" i="9"/>
  <c r="CP87" i="9"/>
  <c r="CP11" i="9"/>
  <c r="CP65" i="9"/>
  <c r="CP67" i="9"/>
  <c r="CP74" i="9"/>
  <c r="CP81" i="9"/>
  <c r="CP107" i="9"/>
  <c r="CP139" i="9"/>
  <c r="CP110" i="9"/>
  <c r="CP88" i="9"/>
  <c r="CP12" i="9"/>
  <c r="CP16" i="9"/>
  <c r="CP46" i="9"/>
  <c r="CP70" i="9"/>
  <c r="CP100" i="9"/>
  <c r="CP123" i="9"/>
  <c r="CP17" i="9"/>
  <c r="CP71" i="9"/>
  <c r="CP19" i="9"/>
  <c r="CP72" i="9"/>
  <c r="CP125" i="9"/>
  <c r="CP126" i="9"/>
  <c r="CP26" i="9"/>
  <c r="CP105" i="9"/>
  <c r="CP137" i="9"/>
  <c r="CP86" i="9"/>
  <c r="CP63" i="9"/>
  <c r="CP35" i="9"/>
  <c r="CP36" i="9"/>
  <c r="CP13" i="9"/>
  <c r="CP101" i="9"/>
  <c r="CP51" i="9"/>
  <c r="CP52" i="9"/>
  <c r="CP109" i="9"/>
  <c r="CP140" i="9"/>
  <c r="CP118" i="9"/>
  <c r="CP119" i="9"/>
  <c r="CP120" i="9"/>
  <c r="CP54" i="9"/>
  <c r="CP64" i="9"/>
  <c r="CP89" i="9"/>
  <c r="CP90" i="9"/>
  <c r="CP20" i="9"/>
  <c r="CP49" i="9"/>
  <c r="CP73" i="9"/>
  <c r="CP104" i="9"/>
  <c r="CP84" i="9"/>
  <c r="CP8" i="9"/>
  <c r="CP2" i="9"/>
  <c r="CP29" i="9"/>
  <c r="CP53" i="9"/>
  <c r="CP83" i="9"/>
  <c r="CP106" i="9"/>
  <c r="CP136" i="9"/>
  <c r="CP32" i="9"/>
  <c r="CP9" i="9"/>
  <c r="CP141" i="9"/>
  <c r="CP31" i="9"/>
  <c r="CP55" i="9"/>
  <c r="CP85" i="9"/>
  <c r="CP108" i="9"/>
  <c r="CP138" i="9"/>
  <c r="CP33" i="9"/>
  <c r="CP37" i="9"/>
  <c r="CH117" i="9"/>
  <c r="CH70" i="9"/>
  <c r="CH19" i="9"/>
  <c r="CV5" i="9"/>
  <c r="CV21" i="9"/>
  <c r="CV37" i="9"/>
  <c r="CV53" i="9"/>
  <c r="CV69" i="9"/>
  <c r="CV85" i="9"/>
  <c r="CV101" i="9"/>
  <c r="CV117" i="9"/>
  <c r="CV133" i="9"/>
  <c r="CV6" i="9"/>
  <c r="CV22" i="9"/>
  <c r="CV38" i="9"/>
  <c r="CV54" i="9"/>
  <c r="CV70" i="9"/>
  <c r="CV86" i="9"/>
  <c r="CV102" i="9"/>
  <c r="CV118" i="9"/>
  <c r="CV134" i="9"/>
  <c r="CV55" i="9"/>
  <c r="CV87" i="9"/>
  <c r="CV103" i="9"/>
  <c r="CV135" i="9"/>
  <c r="CV7" i="9"/>
  <c r="CV23" i="9"/>
  <c r="CV39" i="9"/>
  <c r="CV71" i="9"/>
  <c r="CV119" i="9"/>
  <c r="CV9" i="9"/>
  <c r="CV25" i="9"/>
  <c r="CV41" i="9"/>
  <c r="CV57" i="9"/>
  <c r="CV73" i="9"/>
  <c r="CV89" i="9"/>
  <c r="CV105" i="9"/>
  <c r="CV121" i="9"/>
  <c r="CV11" i="9"/>
  <c r="CV31" i="9"/>
  <c r="CV51" i="9"/>
  <c r="CV75" i="9"/>
  <c r="CV95" i="9"/>
  <c r="CV115" i="9"/>
  <c r="CV138" i="9"/>
  <c r="CV13" i="9"/>
  <c r="CV33" i="9"/>
  <c r="CV56" i="9"/>
  <c r="CV10" i="9"/>
  <c r="CV34" i="9"/>
  <c r="CV60" i="9"/>
  <c r="CV81" i="9"/>
  <c r="CV106" i="9"/>
  <c r="CV127" i="9"/>
  <c r="CV109" i="9"/>
  <c r="CV64" i="9"/>
  <c r="CV110" i="9"/>
  <c r="CV12" i="9"/>
  <c r="CV35" i="9"/>
  <c r="CV61" i="9"/>
  <c r="CV82" i="9"/>
  <c r="CV107" i="9"/>
  <c r="CV128" i="9"/>
  <c r="CV84" i="9"/>
  <c r="CV42" i="9"/>
  <c r="CV131" i="9"/>
  <c r="CV14" i="9"/>
  <c r="CV36" i="9"/>
  <c r="CV62" i="9"/>
  <c r="CV83" i="9"/>
  <c r="CV108" i="9"/>
  <c r="CV129" i="9"/>
  <c r="CV130" i="9"/>
  <c r="CV16" i="9"/>
  <c r="CV88" i="9"/>
  <c r="CV15" i="9"/>
  <c r="CV40" i="9"/>
  <c r="CV63" i="9"/>
  <c r="CV17" i="9"/>
  <c r="CV43" i="9"/>
  <c r="CV65" i="9"/>
  <c r="CV90" i="9"/>
  <c r="CV111" i="9"/>
  <c r="CV132" i="9"/>
  <c r="CV19" i="9"/>
  <c r="CV45" i="9"/>
  <c r="CV67" i="9"/>
  <c r="CV92" i="9"/>
  <c r="CV113" i="9"/>
  <c r="CV137" i="9"/>
  <c r="CV4" i="9"/>
  <c r="CV50" i="9"/>
  <c r="CV96" i="9"/>
  <c r="CV139" i="9"/>
  <c r="CV8" i="9"/>
  <c r="CV52" i="9"/>
  <c r="CV97" i="9"/>
  <c r="CV100" i="9"/>
  <c r="CV123" i="9"/>
  <c r="CV140" i="9"/>
  <c r="CV72" i="9"/>
  <c r="CV74" i="9"/>
  <c r="CV120" i="9"/>
  <c r="CV124" i="9"/>
  <c r="CV125" i="9"/>
  <c r="CV93" i="9"/>
  <c r="CV94" i="9"/>
  <c r="CV18" i="9"/>
  <c r="CV58" i="9"/>
  <c r="CV98" i="9"/>
  <c r="CV141" i="9"/>
  <c r="CV2" i="9"/>
  <c r="CV66" i="9"/>
  <c r="CV112" i="9"/>
  <c r="CV114" i="9"/>
  <c r="CV47" i="9"/>
  <c r="CV126" i="9"/>
  <c r="CV136" i="9"/>
  <c r="CV20" i="9"/>
  <c r="CV59" i="9"/>
  <c r="CV99" i="9"/>
  <c r="CV27" i="9"/>
  <c r="CV28" i="9"/>
  <c r="CV80" i="9"/>
  <c r="CV24" i="9"/>
  <c r="CV3" i="9"/>
  <c r="CV26" i="9"/>
  <c r="CV68" i="9"/>
  <c r="CV104" i="9"/>
  <c r="CV77" i="9"/>
  <c r="CV44" i="9"/>
  <c r="CV48" i="9"/>
  <c r="CV49" i="9"/>
  <c r="CV29" i="9"/>
  <c r="CV76" i="9"/>
  <c r="CV116" i="9"/>
  <c r="CV30" i="9"/>
  <c r="CV46" i="9"/>
  <c r="CV91" i="9"/>
  <c r="CV32" i="9"/>
  <c r="CV78" i="9"/>
  <c r="CV122" i="9"/>
  <c r="CV79" i="9"/>
  <c r="CH116" i="9"/>
  <c r="CH65" i="9"/>
  <c r="CH18" i="9"/>
  <c r="CX16" i="9"/>
  <c r="CX32" i="9"/>
  <c r="CX48" i="9"/>
  <c r="CX64" i="9"/>
  <c r="CX80" i="9"/>
  <c r="CX17" i="9"/>
  <c r="CX33" i="9"/>
  <c r="CX49" i="9"/>
  <c r="CX65" i="9"/>
  <c r="CX81" i="9"/>
  <c r="CX97" i="9"/>
  <c r="CX113" i="9"/>
  <c r="CX129" i="9"/>
  <c r="CX18" i="9"/>
  <c r="CX34" i="9"/>
  <c r="CX50" i="9"/>
  <c r="CX66" i="9"/>
  <c r="CX82" i="9"/>
  <c r="CX98" i="9"/>
  <c r="CX114" i="9"/>
  <c r="CX130" i="9"/>
  <c r="CX3" i="9"/>
  <c r="CX19" i="9"/>
  <c r="CX35" i="9"/>
  <c r="CX51" i="9"/>
  <c r="CX67" i="9"/>
  <c r="CX83" i="9"/>
  <c r="CX99" i="9"/>
  <c r="CX115" i="9"/>
  <c r="CX131" i="9"/>
  <c r="CX5" i="9"/>
  <c r="CX21" i="9"/>
  <c r="CX37" i="9"/>
  <c r="CX53" i="9"/>
  <c r="CX69" i="9"/>
  <c r="CX85" i="9"/>
  <c r="CX101" i="9"/>
  <c r="CX117" i="9"/>
  <c r="CX133" i="9"/>
  <c r="CX14" i="9"/>
  <c r="CX40" i="9"/>
  <c r="CX61" i="9"/>
  <c r="CX87" i="9"/>
  <c r="CX107" i="9"/>
  <c r="CX127" i="9"/>
  <c r="CX15" i="9"/>
  <c r="CX41" i="9"/>
  <c r="CX62" i="9"/>
  <c r="CX88" i="9"/>
  <c r="CX108" i="9"/>
  <c r="CX128" i="9"/>
  <c r="CX20" i="9"/>
  <c r="CX42" i="9"/>
  <c r="CX63" i="9"/>
  <c r="CX89" i="9"/>
  <c r="CX109" i="9"/>
  <c r="CX132" i="9"/>
  <c r="CX11" i="9"/>
  <c r="CX43" i="9"/>
  <c r="CX72" i="9"/>
  <c r="CX96" i="9"/>
  <c r="CX123" i="9"/>
  <c r="CX47" i="9"/>
  <c r="CX134" i="9"/>
  <c r="CX12" i="9"/>
  <c r="CX44" i="9"/>
  <c r="CX73" i="9"/>
  <c r="CX100" i="9"/>
  <c r="CX124" i="9"/>
  <c r="CX23" i="9"/>
  <c r="CX104" i="9"/>
  <c r="CX13" i="9"/>
  <c r="CX45" i="9"/>
  <c r="CX74" i="9"/>
  <c r="CX102" i="9"/>
  <c r="CX125" i="9"/>
  <c r="CX76" i="9"/>
  <c r="CX22" i="9"/>
  <c r="CX46" i="9"/>
  <c r="CX75" i="9"/>
  <c r="CX103" i="9"/>
  <c r="CX126" i="9"/>
  <c r="CX24" i="9"/>
  <c r="CX52" i="9"/>
  <c r="CX77" i="9"/>
  <c r="CX105" i="9"/>
  <c r="CX135" i="9"/>
  <c r="CX26" i="9"/>
  <c r="CX55" i="9"/>
  <c r="CX79" i="9"/>
  <c r="CX110" i="9"/>
  <c r="CX137" i="9"/>
  <c r="CX6" i="9"/>
  <c r="CX57" i="9"/>
  <c r="CX106" i="9"/>
  <c r="CX58" i="9"/>
  <c r="CX10" i="9"/>
  <c r="CX118" i="9"/>
  <c r="CX136" i="9"/>
  <c r="CX36" i="9"/>
  <c r="CX92" i="9"/>
  <c r="CX141" i="9"/>
  <c r="CX94" i="9"/>
  <c r="CX95" i="9"/>
  <c r="CX7" i="9"/>
  <c r="CX111" i="9"/>
  <c r="CX28" i="9"/>
  <c r="CX30" i="9"/>
  <c r="CX139" i="9"/>
  <c r="CX39" i="9"/>
  <c r="CX8" i="9"/>
  <c r="CX59" i="9"/>
  <c r="CX112" i="9"/>
  <c r="CX68" i="9"/>
  <c r="CX27" i="9"/>
  <c r="CX71" i="9"/>
  <c r="CX78" i="9"/>
  <c r="CX86" i="9"/>
  <c r="CX54" i="9"/>
  <c r="CX56" i="9"/>
  <c r="CX9" i="9"/>
  <c r="CX60" i="9"/>
  <c r="CX116" i="9"/>
  <c r="CX93" i="9"/>
  <c r="CX2" i="9"/>
  <c r="CX4" i="9"/>
  <c r="CX25" i="9"/>
  <c r="CX70" i="9"/>
  <c r="CX119" i="9"/>
  <c r="CX120" i="9"/>
  <c r="CX121" i="9"/>
  <c r="CX140" i="9"/>
  <c r="CX29" i="9"/>
  <c r="CX84" i="9"/>
  <c r="CX122" i="9"/>
  <c r="CX31" i="9"/>
  <c r="CX90" i="9"/>
  <c r="CX138" i="9"/>
  <c r="CX91" i="9"/>
  <c r="CX38" i="9"/>
  <c r="CJ127" i="9"/>
  <c r="CJ108" i="9"/>
  <c r="CJ86" i="9"/>
  <c r="CJ67" i="9"/>
  <c r="CJ48" i="9"/>
  <c r="CJ29" i="9"/>
  <c r="CJ10" i="9"/>
  <c r="CR14" i="9"/>
  <c r="CR30" i="9"/>
  <c r="CR46" i="9"/>
  <c r="CR62" i="9"/>
  <c r="CR78" i="9"/>
  <c r="CR94" i="9"/>
  <c r="CR110" i="9"/>
  <c r="CR126" i="9"/>
  <c r="CR2" i="9"/>
  <c r="CR13" i="9"/>
  <c r="CR31" i="9"/>
  <c r="CR48" i="9"/>
  <c r="CR65" i="9"/>
  <c r="CR82" i="9"/>
  <c r="CR99" i="9"/>
  <c r="CR116" i="9"/>
  <c r="CR133" i="9"/>
  <c r="CR16" i="9"/>
  <c r="CR34" i="9"/>
  <c r="CR52" i="9"/>
  <c r="CR70" i="9"/>
  <c r="CR88" i="9"/>
  <c r="CR106" i="9"/>
  <c r="CR124" i="9"/>
  <c r="CR55" i="9"/>
  <c r="CR109" i="9"/>
  <c r="CR38" i="9"/>
  <c r="CR92" i="9"/>
  <c r="CR17" i="9"/>
  <c r="CR35" i="9"/>
  <c r="CR53" i="9"/>
  <c r="CR71" i="9"/>
  <c r="CR89" i="9"/>
  <c r="CR107" i="9"/>
  <c r="CR125" i="9"/>
  <c r="CR37" i="9"/>
  <c r="CR91" i="9"/>
  <c r="CR128" i="9"/>
  <c r="CR20" i="9"/>
  <c r="CR56" i="9"/>
  <c r="CR129" i="9"/>
  <c r="CR18" i="9"/>
  <c r="CR36" i="9"/>
  <c r="CR54" i="9"/>
  <c r="CR72" i="9"/>
  <c r="CR90" i="9"/>
  <c r="CR108" i="9"/>
  <c r="CR127" i="9"/>
  <c r="CR19" i="9"/>
  <c r="CR73" i="9"/>
  <c r="CR74" i="9"/>
  <c r="CR111" i="9"/>
  <c r="CR3" i="9"/>
  <c r="CR21" i="9"/>
  <c r="CR39" i="9"/>
  <c r="CR57" i="9"/>
  <c r="CR75" i="9"/>
  <c r="CR93" i="9"/>
  <c r="CR112" i="9"/>
  <c r="CR130" i="9"/>
  <c r="CR9" i="9"/>
  <c r="CR41" i="9"/>
  <c r="CR67" i="9"/>
  <c r="CR98" i="9"/>
  <c r="CR123" i="9"/>
  <c r="CR10" i="9"/>
  <c r="CR42" i="9"/>
  <c r="CR68" i="9"/>
  <c r="CR100" i="9"/>
  <c r="CR131" i="9"/>
  <c r="CR12" i="9"/>
  <c r="CR134" i="9"/>
  <c r="CR15" i="9"/>
  <c r="CR77" i="9"/>
  <c r="CR135" i="9"/>
  <c r="CR24" i="9"/>
  <c r="CR26" i="9"/>
  <c r="CR28" i="9"/>
  <c r="CR61" i="9"/>
  <c r="CR6" i="9"/>
  <c r="CR64" i="9"/>
  <c r="CR8" i="9"/>
  <c r="CR105" i="9"/>
  <c r="CR81" i="9"/>
  <c r="CR84" i="9"/>
  <c r="CR118" i="9"/>
  <c r="CR87" i="9"/>
  <c r="CR63" i="9"/>
  <c r="CR7" i="9"/>
  <c r="CR97" i="9"/>
  <c r="CR11" i="9"/>
  <c r="CR43" i="9"/>
  <c r="CR69" i="9"/>
  <c r="CR101" i="9"/>
  <c r="CR132" i="9"/>
  <c r="CR44" i="9"/>
  <c r="CR76" i="9"/>
  <c r="CR102" i="9"/>
  <c r="CR45" i="9"/>
  <c r="CR103" i="9"/>
  <c r="CR80" i="9"/>
  <c r="CR113" i="9"/>
  <c r="CR58" i="9"/>
  <c r="CR140" i="9"/>
  <c r="CR86" i="9"/>
  <c r="CR29" i="9"/>
  <c r="CR32" i="9"/>
  <c r="CR33" i="9"/>
  <c r="CR49" i="9"/>
  <c r="CR50" i="9"/>
  <c r="CR119" i="9"/>
  <c r="CR95" i="9"/>
  <c r="CR96" i="9"/>
  <c r="CR122" i="9"/>
  <c r="CR40" i="9"/>
  <c r="CR22" i="9"/>
  <c r="CR47" i="9"/>
  <c r="CR79" i="9"/>
  <c r="CR104" i="9"/>
  <c r="CR136" i="9"/>
  <c r="CR23" i="9"/>
  <c r="CR137" i="9"/>
  <c r="CR138" i="9"/>
  <c r="CR115" i="9"/>
  <c r="CR4" i="9"/>
  <c r="CR121" i="9"/>
  <c r="CR66" i="9"/>
  <c r="CR25" i="9"/>
  <c r="CR51" i="9"/>
  <c r="CR83" i="9"/>
  <c r="CR114" i="9"/>
  <c r="CR139" i="9"/>
  <c r="CR120" i="9"/>
  <c r="CR27" i="9"/>
  <c r="CR59" i="9"/>
  <c r="CR85" i="9"/>
  <c r="CR117" i="9"/>
  <c r="CR141" i="9"/>
  <c r="CR60" i="9"/>
  <c r="CR5" i="9"/>
  <c r="CT10" i="9"/>
  <c r="CT26" i="9"/>
  <c r="CT42" i="9"/>
  <c r="CT58" i="9"/>
  <c r="CT74" i="9"/>
  <c r="CT90" i="9"/>
  <c r="CT106" i="9"/>
  <c r="CT122" i="9"/>
  <c r="CT138" i="9"/>
  <c r="CT11" i="9"/>
  <c r="CT27" i="9"/>
  <c r="CT16" i="9"/>
  <c r="CT34" i="9"/>
  <c r="CT51" i="9"/>
  <c r="CT68" i="9"/>
  <c r="CT85" i="9"/>
  <c r="CT102" i="9"/>
  <c r="CT119" i="9"/>
  <c r="CT136" i="9"/>
  <c r="CT7" i="9"/>
  <c r="CT28" i="9"/>
  <c r="CT46" i="9"/>
  <c r="CT64" i="9"/>
  <c r="CT82" i="9"/>
  <c r="CT100" i="9"/>
  <c r="CT118" i="9"/>
  <c r="CT137" i="9"/>
  <c r="CT31" i="9"/>
  <c r="CT86" i="9"/>
  <c r="CT141" i="9"/>
  <c r="CT32" i="9"/>
  <c r="CT87" i="9"/>
  <c r="CT124" i="9"/>
  <c r="CT8" i="9"/>
  <c r="CT29" i="9"/>
  <c r="CT47" i="9"/>
  <c r="CT65" i="9"/>
  <c r="CT83" i="9"/>
  <c r="CT101" i="9"/>
  <c r="CT120" i="9"/>
  <c r="CT139" i="9"/>
  <c r="CT49" i="9"/>
  <c r="CT123" i="9"/>
  <c r="CT50" i="9"/>
  <c r="CT105" i="9"/>
  <c r="CT9" i="9"/>
  <c r="CT30" i="9"/>
  <c r="CT48" i="9"/>
  <c r="CT66" i="9"/>
  <c r="CT84" i="9"/>
  <c r="CT103" i="9"/>
  <c r="CT121" i="9"/>
  <c r="CT140" i="9"/>
  <c r="CT67" i="9"/>
  <c r="CT104" i="9"/>
  <c r="CT13" i="9"/>
  <c r="CT69" i="9"/>
  <c r="CT2" i="9"/>
  <c r="CT12" i="9"/>
  <c r="CT14" i="9"/>
  <c r="CT33" i="9"/>
  <c r="CT52" i="9"/>
  <c r="CT70" i="9"/>
  <c r="CT88" i="9"/>
  <c r="CT107" i="9"/>
  <c r="CT125" i="9"/>
  <c r="CT17" i="9"/>
  <c r="CT36" i="9"/>
  <c r="CT54" i="9"/>
  <c r="CT25" i="9"/>
  <c r="CT61" i="9"/>
  <c r="CT93" i="9"/>
  <c r="CT117" i="9"/>
  <c r="CT35" i="9"/>
  <c r="CT62" i="9"/>
  <c r="CT94" i="9"/>
  <c r="CT126" i="9"/>
  <c r="CT39" i="9"/>
  <c r="CT97" i="9"/>
  <c r="CT6" i="9"/>
  <c r="CT45" i="9"/>
  <c r="CT81" i="9"/>
  <c r="CT57" i="9"/>
  <c r="CT23" i="9"/>
  <c r="CT24" i="9"/>
  <c r="CT131" i="9"/>
  <c r="CT108" i="9"/>
  <c r="CT110" i="9"/>
  <c r="CT112" i="9"/>
  <c r="CT37" i="9"/>
  <c r="CT63" i="9"/>
  <c r="CT95" i="9"/>
  <c r="CT127" i="9"/>
  <c r="CT71" i="9"/>
  <c r="CT96" i="9"/>
  <c r="CT3" i="9"/>
  <c r="CT72" i="9"/>
  <c r="CT129" i="9"/>
  <c r="CT5" i="9"/>
  <c r="CT41" i="9"/>
  <c r="CT75" i="9"/>
  <c r="CT99" i="9"/>
  <c r="CT132" i="9"/>
  <c r="CT78" i="9"/>
  <c r="CT20" i="9"/>
  <c r="CT21" i="9"/>
  <c r="CT89" i="9"/>
  <c r="CT116" i="9"/>
  <c r="CT38" i="9"/>
  <c r="CT128" i="9"/>
  <c r="CT76" i="9"/>
  <c r="CT80" i="9"/>
  <c r="CT22" i="9"/>
  <c r="CT59" i="9"/>
  <c r="CT60" i="9"/>
  <c r="CT18" i="9"/>
  <c r="CT115" i="9"/>
  <c r="CT4" i="9"/>
  <c r="CT40" i="9"/>
  <c r="CT73" i="9"/>
  <c r="CT98" i="9"/>
  <c r="CT130" i="9"/>
  <c r="CT43" i="9"/>
  <c r="CT134" i="9"/>
  <c r="CT91" i="9"/>
  <c r="CT15" i="9"/>
  <c r="CT44" i="9"/>
  <c r="CT77" i="9"/>
  <c r="CT109" i="9"/>
  <c r="CT133" i="9"/>
  <c r="CT55" i="9"/>
  <c r="CT113" i="9"/>
  <c r="CT114" i="9"/>
  <c r="CT19" i="9"/>
  <c r="CT53" i="9"/>
  <c r="CT79" i="9"/>
  <c r="CT111" i="9"/>
  <c r="CT135" i="9"/>
  <c r="CT56" i="9"/>
  <c r="CT92" i="9"/>
  <c r="CZ12" i="9"/>
  <c r="CZ28" i="9"/>
  <c r="CZ44" i="9"/>
  <c r="CZ60" i="9"/>
  <c r="CZ76" i="9"/>
  <c r="CZ92" i="9"/>
  <c r="CZ108" i="9"/>
  <c r="CZ124" i="9"/>
  <c r="CZ140" i="9"/>
  <c r="CZ13" i="9"/>
  <c r="CZ29" i="9"/>
  <c r="CZ45" i="9"/>
  <c r="CZ61" i="9"/>
  <c r="CZ77" i="9"/>
  <c r="CZ93" i="9"/>
  <c r="CZ109" i="9"/>
  <c r="CZ125" i="9"/>
  <c r="CZ141" i="9"/>
  <c r="CZ14" i="9"/>
  <c r="CZ30" i="9"/>
  <c r="CZ46" i="9"/>
  <c r="CZ62" i="9"/>
  <c r="CZ78" i="9"/>
  <c r="CZ94" i="9"/>
  <c r="CZ110" i="9"/>
  <c r="CZ126" i="9"/>
  <c r="CZ2" i="9"/>
  <c r="CZ15" i="9"/>
  <c r="CZ31" i="9"/>
  <c r="CZ47" i="9"/>
  <c r="CZ63" i="9"/>
  <c r="CZ79" i="9"/>
  <c r="CZ95" i="9"/>
  <c r="CZ111" i="9"/>
  <c r="CZ127" i="9"/>
  <c r="CZ16" i="9"/>
  <c r="CZ32" i="9"/>
  <c r="CZ48" i="9"/>
  <c r="CZ64" i="9"/>
  <c r="CZ17" i="9"/>
  <c r="CZ33" i="9"/>
  <c r="CZ49" i="9"/>
  <c r="CZ65" i="9"/>
  <c r="CZ81" i="9"/>
  <c r="CZ97" i="9"/>
  <c r="CZ113" i="9"/>
  <c r="CZ129" i="9"/>
  <c r="CZ9" i="9"/>
  <c r="CZ37" i="9"/>
  <c r="CZ59" i="9"/>
  <c r="CZ86" i="9"/>
  <c r="CZ107" i="9"/>
  <c r="CZ133" i="9"/>
  <c r="CZ10" i="9"/>
  <c r="CZ38" i="9"/>
  <c r="CZ66" i="9"/>
  <c r="CZ87" i="9"/>
  <c r="CZ112" i="9"/>
  <c r="CZ134" i="9"/>
  <c r="CZ11" i="9"/>
  <c r="CZ39" i="9"/>
  <c r="CZ67" i="9"/>
  <c r="CZ88" i="9"/>
  <c r="CZ114" i="9"/>
  <c r="CZ135" i="9"/>
  <c r="CZ4" i="9"/>
  <c r="CZ35" i="9"/>
  <c r="CZ69" i="9"/>
  <c r="CZ98" i="9"/>
  <c r="CZ122" i="9"/>
  <c r="CZ73" i="9"/>
  <c r="CZ131" i="9"/>
  <c r="CZ5" i="9"/>
  <c r="CZ36" i="9"/>
  <c r="CZ70" i="9"/>
  <c r="CZ99" i="9"/>
  <c r="CZ123" i="9"/>
  <c r="CZ42" i="9"/>
  <c r="CZ6" i="9"/>
  <c r="CZ40" i="9"/>
  <c r="CZ71" i="9"/>
  <c r="CZ100" i="9"/>
  <c r="CZ128" i="9"/>
  <c r="CZ8" i="9"/>
  <c r="CZ102" i="9"/>
  <c r="CZ7" i="9"/>
  <c r="CZ41" i="9"/>
  <c r="CZ72" i="9"/>
  <c r="CZ101" i="9"/>
  <c r="CZ130" i="9"/>
  <c r="CZ18" i="9"/>
  <c r="CZ43" i="9"/>
  <c r="CZ74" i="9"/>
  <c r="CZ103" i="9"/>
  <c r="CZ132" i="9"/>
  <c r="CZ20" i="9"/>
  <c r="CZ51" i="9"/>
  <c r="CZ80" i="9"/>
  <c r="CZ105" i="9"/>
  <c r="CZ137" i="9"/>
  <c r="CZ34" i="9"/>
  <c r="CZ90" i="9"/>
  <c r="CZ21" i="9"/>
  <c r="CZ50" i="9"/>
  <c r="CZ91" i="9"/>
  <c r="CZ68" i="9"/>
  <c r="CZ23" i="9"/>
  <c r="CZ26" i="9"/>
  <c r="CZ139" i="9"/>
  <c r="CZ89" i="9"/>
  <c r="CZ52" i="9"/>
  <c r="CZ96" i="9"/>
  <c r="CZ106" i="9"/>
  <c r="CZ56" i="9"/>
  <c r="CZ116" i="9"/>
  <c r="CZ3" i="9"/>
  <c r="CZ24" i="9"/>
  <c r="CZ136" i="9"/>
  <c r="CZ25" i="9"/>
  <c r="CZ84" i="9"/>
  <c r="CZ53" i="9"/>
  <c r="CZ104" i="9"/>
  <c r="CZ117" i="9"/>
  <c r="CZ85" i="9"/>
  <c r="CZ27" i="9"/>
  <c r="CZ54" i="9"/>
  <c r="CZ55" i="9"/>
  <c r="CZ115" i="9"/>
  <c r="CZ57" i="9"/>
  <c r="CZ119" i="9"/>
  <c r="CZ19" i="9"/>
  <c r="CZ58" i="9"/>
  <c r="CZ118" i="9"/>
  <c r="CZ83" i="9"/>
  <c r="CZ138" i="9"/>
  <c r="CZ22" i="9"/>
  <c r="CZ75" i="9"/>
  <c r="CZ120" i="9"/>
  <c r="CZ82" i="9"/>
  <c r="CZ121" i="9"/>
  <c r="CH114" i="9"/>
  <c r="CH54" i="9"/>
  <c r="CH7" i="9"/>
  <c r="DB8" i="9"/>
  <c r="DB24" i="9"/>
  <c r="DB40" i="9"/>
  <c r="DB56" i="9"/>
  <c r="DB72" i="9"/>
  <c r="DB88" i="9"/>
  <c r="DB104" i="9"/>
  <c r="DB120" i="9"/>
  <c r="DB136" i="9"/>
  <c r="DB9" i="9"/>
  <c r="DB25" i="9"/>
  <c r="DB41" i="9"/>
  <c r="DB57" i="9"/>
  <c r="DB73" i="9"/>
  <c r="DB89" i="9"/>
  <c r="DB105" i="9"/>
  <c r="DB121" i="9"/>
  <c r="DB137" i="9"/>
  <c r="DB10" i="9"/>
  <c r="DB26" i="9"/>
  <c r="DB42" i="9"/>
  <c r="DB58" i="9"/>
  <c r="DB74" i="9"/>
  <c r="DB90" i="9"/>
  <c r="DB106" i="9"/>
  <c r="DB122" i="9"/>
  <c r="DB138" i="9"/>
  <c r="DB11" i="9"/>
  <c r="DB27" i="9"/>
  <c r="DB43" i="9"/>
  <c r="DB59" i="9"/>
  <c r="DB75" i="9"/>
  <c r="DB91" i="9"/>
  <c r="DB107" i="9"/>
  <c r="DB123" i="9"/>
  <c r="DB139" i="9"/>
  <c r="DB12" i="9"/>
  <c r="DB28" i="9"/>
  <c r="DB44" i="9"/>
  <c r="DB60" i="9"/>
  <c r="DB76" i="9"/>
  <c r="DB92" i="9"/>
  <c r="DB108" i="9"/>
  <c r="DB124" i="9"/>
  <c r="DB140" i="9"/>
  <c r="DB13" i="9"/>
  <c r="DB29" i="9"/>
  <c r="DB45" i="9"/>
  <c r="DB61" i="9"/>
  <c r="DB77" i="9"/>
  <c r="DB93" i="9"/>
  <c r="DB109" i="9"/>
  <c r="DB125" i="9"/>
  <c r="DB141" i="9"/>
  <c r="DB21" i="9"/>
  <c r="DB49" i="9"/>
  <c r="DB71" i="9"/>
  <c r="DB99" i="9"/>
  <c r="DB127" i="9"/>
  <c r="DB22" i="9"/>
  <c r="DB50" i="9"/>
  <c r="DB78" i="9"/>
  <c r="DB100" i="9"/>
  <c r="DB128" i="9"/>
  <c r="DB23" i="9"/>
  <c r="DB51" i="9"/>
  <c r="DB79" i="9"/>
  <c r="DB101" i="9"/>
  <c r="DB129" i="9"/>
  <c r="DB6" i="9"/>
  <c r="DB17" i="9"/>
  <c r="DB48" i="9"/>
  <c r="DB82" i="9"/>
  <c r="DB113" i="9"/>
  <c r="DB30" i="9"/>
  <c r="DB117" i="9"/>
  <c r="DB18" i="9"/>
  <c r="DB52" i="9"/>
  <c r="DB83" i="9"/>
  <c r="DB114" i="9"/>
  <c r="DB86" i="9"/>
  <c r="DB19" i="9"/>
  <c r="DB53" i="9"/>
  <c r="DB84" i="9"/>
  <c r="DB115" i="9"/>
  <c r="DB55" i="9"/>
  <c r="DB20" i="9"/>
  <c r="DB54" i="9"/>
  <c r="DB85" i="9"/>
  <c r="DB116" i="9"/>
  <c r="DB31" i="9"/>
  <c r="DB62" i="9"/>
  <c r="DB87" i="9"/>
  <c r="DB118" i="9"/>
  <c r="DB33" i="9"/>
  <c r="DB64" i="9"/>
  <c r="DB95" i="9"/>
  <c r="DB126" i="9"/>
  <c r="DB7" i="9"/>
  <c r="DB67" i="9"/>
  <c r="DB130" i="9"/>
  <c r="DB96" i="9"/>
  <c r="DB47" i="9"/>
  <c r="DB111" i="9"/>
  <c r="DB65" i="9"/>
  <c r="DB14" i="9"/>
  <c r="DB68" i="9"/>
  <c r="DB131" i="9"/>
  <c r="DB98" i="9"/>
  <c r="DB63" i="9"/>
  <c r="DB15" i="9"/>
  <c r="DB69" i="9"/>
  <c r="DB132" i="9"/>
  <c r="DB35" i="9"/>
  <c r="DB94" i="9"/>
  <c r="DB2" i="9"/>
  <c r="DB112" i="9"/>
  <c r="DB5" i="9"/>
  <c r="DB16" i="9"/>
  <c r="DB70" i="9"/>
  <c r="DB133" i="9"/>
  <c r="DB36" i="9"/>
  <c r="DB3" i="9"/>
  <c r="DB32" i="9"/>
  <c r="DB80" i="9"/>
  <c r="DB134" i="9"/>
  <c r="DB66" i="9"/>
  <c r="DB34" i="9"/>
  <c r="DB81" i="9"/>
  <c r="DB135" i="9"/>
  <c r="DB38" i="9"/>
  <c r="DB46" i="9"/>
  <c r="DB4" i="9"/>
  <c r="DB119" i="9"/>
  <c r="DB37" i="9"/>
  <c r="DB97" i="9"/>
  <c r="DB103" i="9"/>
  <c r="DB39" i="9"/>
  <c r="DB102" i="9"/>
  <c r="DB110" i="9"/>
  <c r="DD4" i="9"/>
  <c r="DD20" i="9"/>
  <c r="DD36" i="9"/>
  <c r="DD52" i="9"/>
  <c r="DD68" i="9"/>
  <c r="DD84" i="9"/>
  <c r="DD100" i="9"/>
  <c r="DD116" i="9"/>
  <c r="DD132" i="9"/>
  <c r="DD5" i="9"/>
  <c r="DD21" i="9"/>
  <c r="DD37" i="9"/>
  <c r="DD53" i="9"/>
  <c r="DD69" i="9"/>
  <c r="DD85" i="9"/>
  <c r="DD101" i="9"/>
  <c r="DD117" i="9"/>
  <c r="DD133" i="9"/>
  <c r="DD6" i="9"/>
  <c r="DD22" i="9"/>
  <c r="DD38" i="9"/>
  <c r="DD54" i="9"/>
  <c r="DD70" i="9"/>
  <c r="DD86" i="9"/>
  <c r="DD102" i="9"/>
  <c r="DD118" i="9"/>
  <c r="DD134" i="9"/>
  <c r="DD7" i="9"/>
  <c r="DD23" i="9"/>
  <c r="DD39" i="9"/>
  <c r="DD55" i="9"/>
  <c r="DD71" i="9"/>
  <c r="DD87" i="9"/>
  <c r="DD103" i="9"/>
  <c r="DD119" i="9"/>
  <c r="DD135" i="9"/>
  <c r="DD8" i="9"/>
  <c r="DD24" i="9"/>
  <c r="DD40" i="9"/>
  <c r="DD56" i="9"/>
  <c r="DD72" i="9"/>
  <c r="DD88" i="9"/>
  <c r="DD104" i="9"/>
  <c r="DD120" i="9"/>
  <c r="DD136" i="9"/>
  <c r="DD9" i="9"/>
  <c r="DD25" i="9"/>
  <c r="DD41" i="9"/>
  <c r="DD57" i="9"/>
  <c r="DD73" i="9"/>
  <c r="DD89" i="9"/>
  <c r="DD105" i="9"/>
  <c r="DD121" i="9"/>
  <c r="DD137" i="9"/>
  <c r="DD12" i="9"/>
  <c r="DD10" i="9"/>
  <c r="DD33" i="9"/>
  <c r="DD61" i="9"/>
  <c r="DD83" i="9"/>
  <c r="DD111" i="9"/>
  <c r="DD139" i="9"/>
  <c r="DD11" i="9"/>
  <c r="DD34" i="9"/>
  <c r="DD62" i="9"/>
  <c r="DD90" i="9"/>
  <c r="DD112" i="9"/>
  <c r="DD140" i="9"/>
  <c r="DD13" i="9"/>
  <c r="DD35" i="9"/>
  <c r="DD63" i="9"/>
  <c r="DD91" i="9"/>
  <c r="DD113" i="9"/>
  <c r="DD141" i="9"/>
  <c r="DD18" i="9"/>
  <c r="DD46" i="9"/>
  <c r="DD74" i="9"/>
  <c r="DD96" i="9"/>
  <c r="DD124" i="9"/>
  <c r="DD19" i="9"/>
  <c r="DD47" i="9"/>
  <c r="DD75" i="9"/>
  <c r="DD97" i="9"/>
  <c r="DD14" i="9"/>
  <c r="DD49" i="9"/>
  <c r="DD82" i="9"/>
  <c r="DD125" i="9"/>
  <c r="DD15" i="9"/>
  <c r="DD50" i="9"/>
  <c r="DD92" i="9"/>
  <c r="DD126" i="9"/>
  <c r="DD26" i="9"/>
  <c r="DD95" i="9"/>
  <c r="DD16" i="9"/>
  <c r="DD51" i="9"/>
  <c r="DD93" i="9"/>
  <c r="DD127" i="9"/>
  <c r="DD59" i="9"/>
  <c r="DD129" i="9"/>
  <c r="DD17" i="9"/>
  <c r="DD58" i="9"/>
  <c r="DD94" i="9"/>
  <c r="DD128" i="9"/>
  <c r="DD27" i="9"/>
  <c r="DD60" i="9"/>
  <c r="DD98" i="9"/>
  <c r="DD130" i="9"/>
  <c r="DD29" i="9"/>
  <c r="DD65" i="9"/>
  <c r="DD106" i="9"/>
  <c r="DD138" i="9"/>
  <c r="DD28" i="9"/>
  <c r="DD80" i="9"/>
  <c r="DD64" i="9"/>
  <c r="DD67" i="9"/>
  <c r="DD79" i="9"/>
  <c r="DD30" i="9"/>
  <c r="DD81" i="9"/>
  <c r="DD45" i="9"/>
  <c r="DD76" i="9"/>
  <c r="DD3" i="9"/>
  <c r="DD31" i="9"/>
  <c r="DD99" i="9"/>
  <c r="DD44" i="9"/>
  <c r="DD110" i="9"/>
  <c r="DD122" i="9"/>
  <c r="DD131" i="9"/>
  <c r="DD32" i="9"/>
  <c r="DD107" i="9"/>
  <c r="DD2" i="9"/>
  <c r="DD42" i="9"/>
  <c r="DD108" i="9"/>
  <c r="DD78" i="9"/>
  <c r="DD43" i="9"/>
  <c r="DD109" i="9"/>
  <c r="DD114" i="9"/>
  <c r="DD48" i="9"/>
  <c r="DD115" i="9"/>
  <c r="DD77" i="9"/>
  <c r="DD66" i="9"/>
  <c r="DD123" i="9"/>
  <c r="CH99" i="9"/>
  <c r="CH52" i="9"/>
  <c r="CH5" i="9"/>
  <c r="CH132" i="9"/>
  <c r="CH85" i="9"/>
  <c r="CH38" i="9"/>
  <c r="CL32" i="9"/>
  <c r="CL10" i="9"/>
  <c r="CH133" i="9"/>
  <c r="CH86" i="9"/>
  <c r="CH39" i="9"/>
  <c r="CJ134" i="9"/>
  <c r="CJ115" i="9"/>
  <c r="CJ96" i="9"/>
  <c r="CJ77" i="9"/>
  <c r="CJ58" i="9"/>
  <c r="CJ36" i="9"/>
  <c r="CJ17" i="9"/>
  <c r="CH131" i="9"/>
  <c r="CH84" i="9"/>
  <c r="CH37" i="9"/>
  <c r="CJ133" i="9"/>
  <c r="CJ114" i="9"/>
  <c r="CJ95" i="9"/>
  <c r="CJ76" i="9"/>
  <c r="CJ54" i="9"/>
  <c r="CJ35" i="9"/>
  <c r="CJ16" i="9"/>
  <c r="CL137" i="9"/>
  <c r="CL109" i="9"/>
  <c r="CL81" i="9"/>
  <c r="CL59" i="9"/>
  <c r="CL31" i="9"/>
  <c r="CL9" i="9"/>
  <c r="CL136" i="9"/>
  <c r="CL120" i="9"/>
  <c r="CL104" i="9"/>
  <c r="CL88" i="9"/>
  <c r="CL72" i="9"/>
  <c r="CL56" i="9"/>
  <c r="CL40" i="9"/>
  <c r="CL24" i="9"/>
  <c r="CL8" i="9"/>
  <c r="CL135" i="9"/>
  <c r="CL119" i="9"/>
  <c r="CL103" i="9"/>
  <c r="CL87" i="9"/>
  <c r="CL71" i="9"/>
  <c r="CL55" i="9"/>
  <c r="CL39" i="9"/>
  <c r="CL23" i="9"/>
  <c r="CL7" i="9"/>
  <c r="CL118" i="9"/>
  <c r="CL102" i="9"/>
  <c r="CL86" i="9"/>
  <c r="CL70" i="9"/>
  <c r="CL54" i="9"/>
  <c r="CL38" i="9"/>
  <c r="CL22" i="9"/>
  <c r="CL6" i="9"/>
  <c r="CH102" i="9"/>
  <c r="CH68" i="9"/>
  <c r="CH34" i="9"/>
  <c r="CJ137" i="9"/>
  <c r="CJ121" i="9"/>
  <c r="CJ105" i="9"/>
  <c r="CJ89" i="9"/>
  <c r="CJ73" i="9"/>
  <c r="CJ57" i="9"/>
  <c r="CJ41" i="9"/>
  <c r="CJ25" i="9"/>
  <c r="CJ9" i="9"/>
  <c r="CL133" i="9"/>
  <c r="CL117" i="9"/>
  <c r="CL101" i="9"/>
  <c r="CL85" i="9"/>
  <c r="CL69" i="9"/>
  <c r="CL53" i="9"/>
  <c r="CL37" i="9"/>
  <c r="CL21" i="9"/>
  <c r="CL5" i="9"/>
  <c r="CJ136" i="9"/>
  <c r="CJ120" i="9"/>
  <c r="CJ104" i="9"/>
  <c r="CJ88" i="9"/>
  <c r="CJ72" i="9"/>
  <c r="CJ56" i="9"/>
  <c r="CJ40" i="9"/>
  <c r="CJ24" i="9"/>
  <c r="CJ8" i="9"/>
  <c r="CL132" i="9"/>
  <c r="CL116" i="9"/>
  <c r="CL100" i="9"/>
  <c r="CL84" i="9"/>
  <c r="CL68" i="9"/>
  <c r="CL52" i="9"/>
  <c r="CL36" i="9"/>
  <c r="CL20" i="9"/>
  <c r="CL4" i="9"/>
  <c r="CH103" i="9"/>
  <c r="CH69" i="9"/>
  <c r="CH35" i="9"/>
  <c r="CL134" i="9"/>
  <c r="CH135" i="9"/>
  <c r="CH101" i="9"/>
  <c r="CH67" i="9"/>
  <c r="CH33" i="9"/>
  <c r="CH134" i="9"/>
  <c r="CH100" i="9"/>
  <c r="CH66" i="9"/>
  <c r="CH23" i="9"/>
  <c r="CJ135" i="9"/>
  <c r="CJ119" i="9"/>
  <c r="CJ103" i="9"/>
  <c r="CJ87" i="9"/>
  <c r="CJ71" i="9"/>
  <c r="CJ55" i="9"/>
  <c r="CJ39" i="9"/>
  <c r="CJ23" i="9"/>
  <c r="CL131" i="9"/>
  <c r="CL115" i="9"/>
  <c r="CL99" i="9"/>
  <c r="CL83" i="9"/>
  <c r="CL67" i="9"/>
  <c r="CL51" i="9"/>
  <c r="CL35" i="9"/>
  <c r="CL19" i="9"/>
  <c r="CF87" i="9"/>
  <c r="CF86" i="9"/>
  <c r="CF57" i="9"/>
  <c r="CF56" i="9"/>
  <c r="CF135" i="9"/>
  <c r="CF55" i="9"/>
  <c r="CF134" i="9"/>
  <c r="CF54" i="9"/>
  <c r="CF124" i="9"/>
  <c r="CF44" i="9"/>
  <c r="CF123" i="9"/>
  <c r="CF43" i="9"/>
  <c r="CF122" i="9"/>
  <c r="CF42" i="9"/>
  <c r="CF121" i="9"/>
  <c r="CF22" i="9"/>
  <c r="CF120" i="9"/>
  <c r="CF12" i="9"/>
  <c r="CF92" i="9"/>
  <c r="CF11" i="9"/>
  <c r="CF91" i="9"/>
  <c r="CF10" i="9"/>
  <c r="CF90" i="9"/>
  <c r="CF9" i="9"/>
  <c r="CF13" i="9"/>
  <c r="CF89" i="9"/>
  <c r="CF8" i="9"/>
  <c r="CF88" i="9"/>
  <c r="CF6" i="9"/>
  <c r="CF119" i="9"/>
  <c r="CF76" i="9"/>
  <c r="CF40" i="9"/>
  <c r="CF118" i="9"/>
  <c r="CF74" i="9"/>
  <c r="CF39" i="9"/>
  <c r="CF108" i="9"/>
  <c r="CF73" i="9"/>
  <c r="CF38" i="9"/>
  <c r="CF107" i="9"/>
  <c r="CF72" i="9"/>
  <c r="CF28" i="9"/>
  <c r="CF140" i="9"/>
  <c r="CF106" i="9"/>
  <c r="CF71" i="9"/>
  <c r="CF27" i="9"/>
  <c r="CF139" i="9"/>
  <c r="CF105" i="9"/>
  <c r="CF70" i="9"/>
  <c r="CF26" i="9"/>
  <c r="CF138" i="9"/>
  <c r="CF104" i="9"/>
  <c r="CF60" i="9"/>
  <c r="CF25" i="9"/>
  <c r="CF137" i="9"/>
  <c r="CF103" i="9"/>
  <c r="CF59" i="9"/>
  <c r="CF24" i="9"/>
  <c r="CF136" i="9"/>
  <c r="CF102" i="9"/>
  <c r="CF58" i="9"/>
  <c r="CF75" i="9"/>
  <c r="CF41" i="9"/>
  <c r="CF7" i="9"/>
  <c r="CH128" i="9"/>
  <c r="CH112" i="9"/>
  <c r="CH96" i="9"/>
  <c r="CH80" i="9"/>
  <c r="CH64" i="9"/>
  <c r="CH48" i="9"/>
  <c r="CH32" i="9"/>
  <c r="CH16" i="9"/>
  <c r="CH127" i="9"/>
  <c r="CH111" i="9"/>
  <c r="CH95" i="9"/>
  <c r="CH79" i="9"/>
  <c r="CH63" i="9"/>
  <c r="CH47" i="9"/>
  <c r="CH31" i="9"/>
  <c r="CH15" i="9"/>
  <c r="CH2" i="9"/>
  <c r="CH126" i="9"/>
  <c r="CH110" i="9"/>
  <c r="CH94" i="9"/>
  <c r="CH78" i="9"/>
  <c r="CH62" i="9"/>
  <c r="CH46" i="9"/>
  <c r="CH30" i="9"/>
  <c r="CH14" i="9"/>
  <c r="CH141" i="9"/>
  <c r="CH125" i="9"/>
  <c r="CH109" i="9"/>
  <c r="CH93" i="9"/>
  <c r="CH77" i="9"/>
  <c r="CH61" i="9"/>
  <c r="CH45" i="9"/>
  <c r="CH29" i="9"/>
  <c r="CH13" i="9"/>
  <c r="CH140" i="9"/>
  <c r="CH124" i="9"/>
  <c r="CH108" i="9"/>
  <c r="CH92" i="9"/>
  <c r="CH76" i="9"/>
  <c r="CH60" i="9"/>
  <c r="CH44" i="9"/>
  <c r="CH28" i="9"/>
  <c r="CH12" i="9"/>
  <c r="CH139" i="9"/>
  <c r="CH123" i="9"/>
  <c r="CH107" i="9"/>
  <c r="CH91" i="9"/>
  <c r="CH75" i="9"/>
  <c r="CH59" i="9"/>
  <c r="CH43" i="9"/>
  <c r="CH27" i="9"/>
  <c r="CH11" i="9"/>
  <c r="CH138" i="9"/>
  <c r="CH122" i="9"/>
  <c r="CH106" i="9"/>
  <c r="CH90" i="9"/>
  <c r="CH74" i="9"/>
  <c r="CH58" i="9"/>
  <c r="CH42" i="9"/>
  <c r="CH26" i="9"/>
  <c r="CH10" i="9"/>
  <c r="CH137" i="9"/>
  <c r="CH121" i="9"/>
  <c r="CH105" i="9"/>
  <c r="CH89" i="9"/>
  <c r="CH73" i="9"/>
  <c r="CH57" i="9"/>
  <c r="CH41" i="9"/>
  <c r="CH25" i="9"/>
  <c r="CH9" i="9"/>
  <c r="CH136" i="9"/>
  <c r="CH120" i="9"/>
  <c r="CH104" i="9"/>
  <c r="CH88" i="9"/>
  <c r="CH72" i="9"/>
  <c r="CH56" i="9"/>
  <c r="CH40" i="9"/>
  <c r="CH24" i="9"/>
  <c r="CF133" i="9"/>
  <c r="CF117" i="9"/>
  <c r="CF101" i="9"/>
  <c r="CF85" i="9"/>
  <c r="CF69" i="9"/>
  <c r="CF53" i="9"/>
  <c r="CF37" i="9"/>
  <c r="CF21" i="9"/>
  <c r="CF5" i="9"/>
  <c r="CF132" i="9"/>
  <c r="CF116" i="9"/>
  <c r="CF100" i="9"/>
  <c r="CF84" i="9"/>
  <c r="CF68" i="9"/>
  <c r="CF52" i="9"/>
  <c r="CF36" i="9"/>
  <c r="CF20" i="9"/>
  <c r="CF4" i="9"/>
  <c r="CF131" i="9"/>
  <c r="CF115" i="9"/>
  <c r="CF99" i="9"/>
  <c r="CF83" i="9"/>
  <c r="CF67" i="9"/>
  <c r="CF51" i="9"/>
  <c r="CF35" i="9"/>
  <c r="CF19" i="9"/>
  <c r="CF3" i="9"/>
  <c r="CF130" i="9"/>
  <c r="CF114" i="9"/>
  <c r="CF98" i="9"/>
  <c r="CF82" i="9"/>
  <c r="CF66" i="9"/>
  <c r="CF50" i="9"/>
  <c r="CF34" i="9"/>
  <c r="CF18" i="9"/>
  <c r="CF129" i="9"/>
  <c r="CF113" i="9"/>
  <c r="CF97" i="9"/>
  <c r="CF81" i="9"/>
  <c r="CF65" i="9"/>
  <c r="CF49" i="9"/>
  <c r="CF33" i="9"/>
  <c r="CF17" i="9"/>
  <c r="CF128" i="9"/>
  <c r="CF112" i="9"/>
  <c r="CF96" i="9"/>
  <c r="CF80" i="9"/>
  <c r="CF64" i="9"/>
  <c r="CF48" i="9"/>
  <c r="CF32" i="9"/>
  <c r="CF16" i="9"/>
  <c r="CF127" i="9"/>
  <c r="CF111" i="9"/>
  <c r="CF95" i="9"/>
  <c r="CF79" i="9"/>
  <c r="CF63" i="9"/>
  <c r="CF47" i="9"/>
  <c r="CF31" i="9"/>
  <c r="CF15" i="9"/>
  <c r="CF2" i="9"/>
  <c r="CF126" i="9"/>
  <c r="CF110" i="9"/>
  <c r="CF94" i="9"/>
  <c r="CF78" i="9"/>
  <c r="CF62" i="9"/>
  <c r="CF46" i="9"/>
  <c r="CF30" i="9"/>
  <c r="CF14" i="9"/>
  <c r="CF141" i="9"/>
  <c r="CF125" i="9"/>
  <c r="CF109" i="9"/>
  <c r="CF93" i="9"/>
  <c r="CF77" i="9"/>
  <c r="CF61" i="9"/>
  <c r="CF45" i="9"/>
  <c r="CF29" i="9"/>
  <c r="AN14" i="1"/>
  <c r="AK2" i="4"/>
  <c r="AM2" i="4"/>
  <c r="AN6" i="4" l="1"/>
  <c r="AN22" i="4"/>
  <c r="AN38" i="4"/>
  <c r="AN54" i="4"/>
  <c r="AN70" i="4"/>
  <c r="AN86" i="4"/>
  <c r="AN102" i="4"/>
  <c r="AN118" i="4"/>
  <c r="AN134" i="4"/>
  <c r="AN150" i="4"/>
  <c r="AL13" i="4"/>
  <c r="AL29" i="4"/>
  <c r="AL45" i="4"/>
  <c r="AL61" i="4"/>
  <c r="AL77" i="4"/>
  <c r="AL93" i="4"/>
  <c r="AL109" i="4"/>
  <c r="AL125" i="4"/>
  <c r="AL141" i="4"/>
  <c r="AL142" i="4"/>
  <c r="AL15" i="4"/>
  <c r="AL63" i="4"/>
  <c r="AL95" i="4"/>
  <c r="AL143" i="4"/>
  <c r="AL144" i="4"/>
  <c r="AN91" i="4"/>
  <c r="AN155" i="4"/>
  <c r="AL147" i="4"/>
  <c r="AN77" i="4"/>
  <c r="AL4" i="4"/>
  <c r="AL52" i="4"/>
  <c r="AL132" i="4"/>
  <c r="AN78" i="4"/>
  <c r="AN126" i="4"/>
  <c r="AL53" i="4"/>
  <c r="AL133" i="4"/>
  <c r="AN63" i="4"/>
  <c r="AN127" i="4"/>
  <c r="AL38" i="4"/>
  <c r="AL118" i="4"/>
  <c r="AN80" i="4"/>
  <c r="AN112" i="4"/>
  <c r="AL23" i="4"/>
  <c r="AL103" i="4"/>
  <c r="AN33" i="4"/>
  <c r="AN97" i="4"/>
  <c r="AL24" i="4"/>
  <c r="AL88" i="4"/>
  <c r="AN66" i="4"/>
  <c r="AN98" i="4"/>
  <c r="AL25" i="4"/>
  <c r="AL121" i="4"/>
  <c r="AN35" i="4"/>
  <c r="AN83" i="4"/>
  <c r="AL10" i="4"/>
  <c r="AL90" i="4"/>
  <c r="AN36" i="4"/>
  <c r="AN100" i="4"/>
  <c r="AL11" i="4"/>
  <c r="AL91" i="4"/>
  <c r="AL155" i="4"/>
  <c r="AN53" i="4"/>
  <c r="AN117" i="4"/>
  <c r="AL28" i="4"/>
  <c r="AL108" i="4"/>
  <c r="AN7" i="4"/>
  <c r="AN23" i="4"/>
  <c r="AN39" i="4"/>
  <c r="AN55" i="4"/>
  <c r="AN71" i="4"/>
  <c r="AN87" i="4"/>
  <c r="AN103" i="4"/>
  <c r="AN119" i="4"/>
  <c r="AN135" i="4"/>
  <c r="AN151" i="4"/>
  <c r="AL14" i="4"/>
  <c r="AL30" i="4"/>
  <c r="AL46" i="4"/>
  <c r="AL62" i="4"/>
  <c r="AL78" i="4"/>
  <c r="AL94" i="4"/>
  <c r="AL110" i="4"/>
  <c r="AL126" i="4"/>
  <c r="AL31" i="4"/>
  <c r="AL79" i="4"/>
  <c r="AL111" i="4"/>
  <c r="AL128" i="4"/>
  <c r="AL66" i="4"/>
  <c r="AL130" i="4"/>
  <c r="AN44" i="4"/>
  <c r="AN108" i="4"/>
  <c r="AL3" i="4"/>
  <c r="AL67" i="4"/>
  <c r="AL115" i="4"/>
  <c r="AN45" i="4"/>
  <c r="AN93" i="4"/>
  <c r="AL20" i="4"/>
  <c r="AL116" i="4"/>
  <c r="AN62" i="4"/>
  <c r="AL5" i="4"/>
  <c r="AL85" i="4"/>
  <c r="AL149" i="4"/>
  <c r="AN79" i="4"/>
  <c r="AL6" i="4"/>
  <c r="AL70" i="4"/>
  <c r="AL150" i="4"/>
  <c r="AN48" i="4"/>
  <c r="AN144" i="4"/>
  <c r="AL55" i="4"/>
  <c r="AL119" i="4"/>
  <c r="AN49" i="4"/>
  <c r="AN113" i="4"/>
  <c r="AL40" i="4"/>
  <c r="AL136" i="4"/>
  <c r="AN18" i="4"/>
  <c r="AN114" i="4"/>
  <c r="AL41" i="4"/>
  <c r="AL105" i="4"/>
  <c r="AN3" i="4"/>
  <c r="AN115" i="4"/>
  <c r="AL42" i="4"/>
  <c r="AL122" i="4"/>
  <c r="AN20" i="4"/>
  <c r="AN116" i="4"/>
  <c r="AL43" i="4"/>
  <c r="AL123" i="4"/>
  <c r="AN21" i="4"/>
  <c r="AN101" i="4"/>
  <c r="AN149" i="4"/>
  <c r="AL76" i="4"/>
  <c r="AN8" i="4"/>
  <c r="AN24" i="4"/>
  <c r="AN40" i="4"/>
  <c r="AN56" i="4"/>
  <c r="AN72" i="4"/>
  <c r="AN88" i="4"/>
  <c r="AN104" i="4"/>
  <c r="AN120" i="4"/>
  <c r="AN136" i="4"/>
  <c r="AN152" i="4"/>
  <c r="AL47" i="4"/>
  <c r="AL127" i="4"/>
  <c r="AN75" i="4"/>
  <c r="AL18" i="4"/>
  <c r="AL82" i="4"/>
  <c r="AN60" i="4"/>
  <c r="AN140" i="4"/>
  <c r="AL35" i="4"/>
  <c r="AL99" i="4"/>
  <c r="AN13" i="4"/>
  <c r="AN109" i="4"/>
  <c r="AL84" i="4"/>
  <c r="AL148" i="4"/>
  <c r="AN30" i="4"/>
  <c r="AN142" i="4"/>
  <c r="AL69" i="4"/>
  <c r="AN15" i="4"/>
  <c r="AN95" i="4"/>
  <c r="AL54" i="4"/>
  <c r="AN16" i="4"/>
  <c r="AN128" i="4"/>
  <c r="AL71" i="4"/>
  <c r="AL135" i="4"/>
  <c r="AN65" i="4"/>
  <c r="AN145" i="4"/>
  <c r="AL72" i="4"/>
  <c r="AL152" i="4"/>
  <c r="AN82" i="4"/>
  <c r="AL9" i="4"/>
  <c r="AL89" i="4"/>
  <c r="AN19" i="4"/>
  <c r="AN147" i="4"/>
  <c r="AL74" i="4"/>
  <c r="AL154" i="4"/>
  <c r="AN68" i="4"/>
  <c r="AN132" i="4"/>
  <c r="AL75" i="4"/>
  <c r="AL139" i="4"/>
  <c r="AN69" i="4"/>
  <c r="AN133" i="4"/>
  <c r="AL44" i="4"/>
  <c r="AL124" i="4"/>
  <c r="AN9" i="4"/>
  <c r="AN25" i="4"/>
  <c r="AN41" i="4"/>
  <c r="AN57" i="4"/>
  <c r="AN73" i="4"/>
  <c r="AN89" i="4"/>
  <c r="AN105" i="4"/>
  <c r="AN121" i="4"/>
  <c r="AN137" i="4"/>
  <c r="AN153" i="4"/>
  <c r="AL16" i="4"/>
  <c r="AL32" i="4"/>
  <c r="AL48" i="4"/>
  <c r="AL64" i="4"/>
  <c r="AL80" i="4"/>
  <c r="AL96" i="4"/>
  <c r="AL112" i="4"/>
  <c r="AN59" i="4"/>
  <c r="AN123" i="4"/>
  <c r="AL34" i="4"/>
  <c r="AL98" i="4"/>
  <c r="AL146" i="4"/>
  <c r="AN12" i="4"/>
  <c r="AN92" i="4"/>
  <c r="AL51" i="4"/>
  <c r="AN29" i="4"/>
  <c r="AN141" i="4"/>
  <c r="AL68" i="4"/>
  <c r="AN14" i="4"/>
  <c r="AN94" i="4"/>
  <c r="AL21" i="4"/>
  <c r="AL101" i="4"/>
  <c r="AN31" i="4"/>
  <c r="AN143" i="4"/>
  <c r="AL86" i="4"/>
  <c r="AL134" i="4"/>
  <c r="AN32" i="4"/>
  <c r="AL39" i="4"/>
  <c r="AL151" i="4"/>
  <c r="AN81" i="4"/>
  <c r="AL8" i="4"/>
  <c r="AL104" i="4"/>
  <c r="AN34" i="4"/>
  <c r="AN130" i="4"/>
  <c r="AL73" i="4"/>
  <c r="AL153" i="4"/>
  <c r="AN67" i="4"/>
  <c r="AN131" i="4"/>
  <c r="AL58" i="4"/>
  <c r="AL138" i="4"/>
  <c r="AN52" i="4"/>
  <c r="AN148" i="4"/>
  <c r="AL59" i="4"/>
  <c r="AN37" i="4"/>
  <c r="AL60" i="4"/>
  <c r="AL140" i="4"/>
  <c r="AN10" i="4"/>
  <c r="AN26" i="4"/>
  <c r="AN42" i="4"/>
  <c r="AN58" i="4"/>
  <c r="AN74" i="4"/>
  <c r="AN90" i="4"/>
  <c r="AN106" i="4"/>
  <c r="AN122" i="4"/>
  <c r="AN138" i="4"/>
  <c r="AN154" i="4"/>
  <c r="AL17" i="4"/>
  <c r="AL33" i="4"/>
  <c r="AL49" i="4"/>
  <c r="AL65" i="4"/>
  <c r="AL81" i="4"/>
  <c r="AL97" i="4"/>
  <c r="AL113" i="4"/>
  <c r="AL129" i="4"/>
  <c r="AL145" i="4"/>
  <c r="AN11" i="4"/>
  <c r="AN27" i="4"/>
  <c r="AN43" i="4"/>
  <c r="AN107" i="4"/>
  <c r="AN139" i="4"/>
  <c r="AL50" i="4"/>
  <c r="AL114" i="4"/>
  <c r="AN28" i="4"/>
  <c r="AN76" i="4"/>
  <c r="AN124" i="4"/>
  <c r="AL19" i="4"/>
  <c r="AL83" i="4"/>
  <c r="AL131" i="4"/>
  <c r="AN61" i="4"/>
  <c r="AN125" i="4"/>
  <c r="AL36" i="4"/>
  <c r="AL100" i="4"/>
  <c r="AN46" i="4"/>
  <c r="AN110" i="4"/>
  <c r="AL37" i="4"/>
  <c r="AL117" i="4"/>
  <c r="AN47" i="4"/>
  <c r="AN111" i="4"/>
  <c r="AL22" i="4"/>
  <c r="AL102" i="4"/>
  <c r="AN64" i="4"/>
  <c r="AN96" i="4"/>
  <c r="AL7" i="4"/>
  <c r="AL87" i="4"/>
  <c r="AN17" i="4"/>
  <c r="AN129" i="4"/>
  <c r="AL56" i="4"/>
  <c r="AL120" i="4"/>
  <c r="AN50" i="4"/>
  <c r="AN146" i="4"/>
  <c r="AL57" i="4"/>
  <c r="AL137" i="4"/>
  <c r="AN51" i="4"/>
  <c r="AN99" i="4"/>
  <c r="AL26" i="4"/>
  <c r="AL106" i="4"/>
  <c r="AN4" i="4"/>
  <c r="AN84" i="4"/>
  <c r="AL27" i="4"/>
  <c r="AL107" i="4"/>
  <c r="AN5" i="4"/>
  <c r="AN85" i="4"/>
  <c r="AL12" i="4"/>
  <c r="AL92" i="4"/>
  <c r="T27" i="38"/>
  <c r="V27" i="38"/>
  <c r="W27" i="38" s="1"/>
  <c r="U27" i="38"/>
  <c r="Q28" i="38" a="1"/>
  <c r="Q28" i="38" s="1"/>
  <c r="S28" i="38" s="1"/>
  <c r="Q29" i="38" l="1" a="1"/>
  <c r="Q29" i="38" s="1"/>
  <c r="S29" i="38" s="1"/>
  <c r="T28" i="38"/>
  <c r="U28" i="38"/>
  <c r="V28" i="38"/>
  <c r="W28" i="38" s="1"/>
  <c r="BZ6" i="4"/>
  <c r="T29" i="38" l="1"/>
  <c r="V29" i="38"/>
  <c r="W29" i="38" s="1"/>
  <c r="U29" i="38"/>
  <c r="Q30" i="38" a="1"/>
  <c r="Q30" i="38" s="1"/>
  <c r="S30" i="38" s="1"/>
  <c r="Q31" i="38" l="1" a="1"/>
  <c r="Q31" i="38" s="1"/>
  <c r="S31" i="38" s="1"/>
  <c r="V30" i="38"/>
  <c r="W30" i="38" s="1"/>
  <c r="T30" i="38"/>
  <c r="U30" i="38"/>
  <c r="Q32" i="38" l="1" a="1"/>
  <c r="Q32" i="38" s="1"/>
  <c r="S32" i="38" s="1"/>
  <c r="T31" i="38"/>
  <c r="U31" i="38"/>
  <c r="V31" i="38"/>
  <c r="W31" i="38" s="1"/>
  <c r="AL81" i="1"/>
  <c r="AL80" i="1"/>
  <c r="AL79" i="1"/>
  <c r="AL70" i="1"/>
  <c r="AL71" i="1"/>
  <c r="AL72" i="1"/>
  <c r="Q33" i="38" l="1" a="1"/>
  <c r="Q33" i="38" s="1"/>
  <c r="S33" i="38" s="1"/>
  <c r="T32" i="38"/>
  <c r="V32" i="38"/>
  <c r="W32" i="38" s="1"/>
  <c r="U32" i="38"/>
  <c r="AN15"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AL76" i="1"/>
  <c r="T33" i="38" l="1"/>
  <c r="V33" i="38"/>
  <c r="W33" i="38" s="1"/>
  <c r="U33" i="38"/>
  <c r="Q34" i="38" a="1"/>
  <c r="Q34" i="38" s="1"/>
  <c r="S34" i="38" s="1"/>
  <c r="BM2" i="4"/>
  <c r="BK2" i="4"/>
  <c r="BJ53" i="4" s="1"/>
  <c r="BI2" i="4"/>
  <c r="BH110" i="4" s="1"/>
  <c r="BG2" i="4"/>
  <c r="BF88" i="4" s="1"/>
  <c r="BE2" i="4"/>
  <c r="BD47" i="4" s="1"/>
  <c r="BC2" i="4"/>
  <c r="BB114" i="4" s="1"/>
  <c r="BA2" i="4"/>
  <c r="AZ90" i="4" s="1"/>
  <c r="AY2" i="4"/>
  <c r="AX30" i="4" s="1"/>
  <c r="AW2" i="4"/>
  <c r="AV24" i="4" s="1"/>
  <c r="AU2" i="4"/>
  <c r="AT7" i="4" s="1"/>
  <c r="AS2" i="4"/>
  <c r="AR47" i="4" s="1"/>
  <c r="AQ2" i="4"/>
  <c r="AP17" i="4" s="1"/>
  <c r="AO2" i="4"/>
  <c r="AK155" i="4"/>
  <c r="AO155" i="4"/>
  <c r="AQ155" i="4"/>
  <c r="AS155" i="4"/>
  <c r="AU155" i="4"/>
  <c r="AW155" i="4"/>
  <c r="AY155" i="4"/>
  <c r="BA155" i="4"/>
  <c r="BC155" i="4"/>
  <c r="BE155" i="4"/>
  <c r="BG155" i="4"/>
  <c r="BI155" i="4"/>
  <c r="BK155" i="4"/>
  <c r="BM155" i="4"/>
  <c r="AK145" i="4"/>
  <c r="AK146" i="4"/>
  <c r="AK147" i="4"/>
  <c r="AK148" i="4"/>
  <c r="AK149" i="4"/>
  <c r="AK150" i="4"/>
  <c r="AK151" i="4"/>
  <c r="AK152" i="4"/>
  <c r="AK153" i="4"/>
  <c r="AK154" i="4"/>
  <c r="AO146" i="4"/>
  <c r="AO147" i="4"/>
  <c r="AO148" i="4"/>
  <c r="AO149" i="4"/>
  <c r="AO150" i="4"/>
  <c r="AO151" i="4"/>
  <c r="AO152" i="4"/>
  <c r="AO153" i="4"/>
  <c r="AO154" i="4"/>
  <c r="AQ146" i="4"/>
  <c r="AQ147" i="4"/>
  <c r="AQ148" i="4"/>
  <c r="AQ149" i="4"/>
  <c r="AQ150" i="4"/>
  <c r="AQ151" i="4"/>
  <c r="AQ152" i="4"/>
  <c r="AQ153" i="4"/>
  <c r="AQ154" i="4"/>
  <c r="AS146" i="4"/>
  <c r="AS147" i="4"/>
  <c r="AS148" i="4"/>
  <c r="AS149" i="4"/>
  <c r="AS150" i="4"/>
  <c r="AS151" i="4"/>
  <c r="AS152" i="4"/>
  <c r="AS153" i="4"/>
  <c r="AS154" i="4"/>
  <c r="AU146" i="4"/>
  <c r="AU147" i="4"/>
  <c r="AU148" i="4"/>
  <c r="AU149" i="4"/>
  <c r="AU150" i="4"/>
  <c r="AU151" i="4"/>
  <c r="AU152" i="4"/>
  <c r="AU153" i="4"/>
  <c r="AU154" i="4"/>
  <c r="AW146" i="4"/>
  <c r="AW147" i="4"/>
  <c r="AW148" i="4"/>
  <c r="AW149" i="4"/>
  <c r="AW150" i="4"/>
  <c r="AW151" i="4"/>
  <c r="AW152" i="4"/>
  <c r="AW153" i="4"/>
  <c r="AW154" i="4"/>
  <c r="AY146" i="4"/>
  <c r="AY147" i="4"/>
  <c r="AY148" i="4"/>
  <c r="AY149" i="4"/>
  <c r="AY150" i="4"/>
  <c r="AY151" i="4"/>
  <c r="AY152" i="4"/>
  <c r="AY153" i="4"/>
  <c r="AY154" i="4"/>
  <c r="BA146" i="4"/>
  <c r="BA147" i="4"/>
  <c r="BA148" i="4"/>
  <c r="BA149" i="4"/>
  <c r="BA150" i="4"/>
  <c r="BA151" i="4"/>
  <c r="BA152" i="4"/>
  <c r="BA153" i="4"/>
  <c r="BA154" i="4"/>
  <c r="BC146" i="4"/>
  <c r="BC147" i="4"/>
  <c r="BC148" i="4"/>
  <c r="BC149" i="4"/>
  <c r="BC150" i="4"/>
  <c r="BC151" i="4"/>
  <c r="BC152" i="4"/>
  <c r="BC153" i="4"/>
  <c r="BC154" i="4"/>
  <c r="BE146" i="4"/>
  <c r="BE147" i="4"/>
  <c r="BE148" i="4"/>
  <c r="BE149" i="4"/>
  <c r="BE150" i="4"/>
  <c r="BE151" i="4"/>
  <c r="BE152" i="4"/>
  <c r="BE153" i="4"/>
  <c r="BE154" i="4"/>
  <c r="BG146" i="4"/>
  <c r="BG147" i="4"/>
  <c r="BG148" i="4"/>
  <c r="BG149" i="4"/>
  <c r="BG150" i="4"/>
  <c r="BG151" i="4"/>
  <c r="BG152" i="4"/>
  <c r="BG153" i="4"/>
  <c r="BG154" i="4"/>
  <c r="BI146" i="4"/>
  <c r="BI147" i="4"/>
  <c r="BI148" i="4"/>
  <c r="BI149" i="4"/>
  <c r="BI150" i="4"/>
  <c r="BI151" i="4"/>
  <c r="BI152" i="4"/>
  <c r="BI153" i="4"/>
  <c r="BI154" i="4"/>
  <c r="BK146" i="4"/>
  <c r="BK147" i="4"/>
  <c r="BK148" i="4"/>
  <c r="BK149" i="4"/>
  <c r="BK150" i="4"/>
  <c r="BK151" i="4"/>
  <c r="BK152" i="4"/>
  <c r="BK153" i="4"/>
  <c r="BK154" i="4"/>
  <c r="BM146" i="4"/>
  <c r="BM147" i="4"/>
  <c r="BM148" i="4"/>
  <c r="BM149" i="4"/>
  <c r="BM150" i="4"/>
  <c r="BM151" i="4"/>
  <c r="BM152" i="4"/>
  <c r="BM153" i="4"/>
  <c r="BM154" i="4"/>
  <c r="V34" i="38" l="1"/>
  <c r="W34" i="38" s="1"/>
  <c r="T34" i="38"/>
  <c r="U34" i="38"/>
  <c r="Q35" i="38" a="1"/>
  <c r="Q35" i="38" s="1"/>
  <c r="T35" i="38" s="1"/>
  <c r="AT136" i="4"/>
  <c r="AT150" i="4"/>
  <c r="AV7" i="4"/>
  <c r="BB92" i="4"/>
  <c r="AP100" i="4"/>
  <c r="AV148" i="4"/>
  <c r="AP154" i="4"/>
  <c r="AP72" i="4"/>
  <c r="AR126" i="4"/>
  <c r="BB94" i="4"/>
  <c r="AP71" i="4"/>
  <c r="AT135" i="4"/>
  <c r="AP99" i="4"/>
  <c r="AP5" i="4"/>
  <c r="AR33" i="4"/>
  <c r="AV133" i="4"/>
  <c r="AP6" i="4"/>
  <c r="AR34" i="4"/>
  <c r="AP92" i="4"/>
  <c r="AR155" i="4"/>
  <c r="AR30" i="4"/>
  <c r="AV92" i="4"/>
  <c r="AP153" i="4"/>
  <c r="AR125" i="4"/>
  <c r="AP91" i="4"/>
  <c r="AR154" i="4"/>
  <c r="AR29" i="4"/>
  <c r="AV75" i="4"/>
  <c r="AP76" i="4"/>
  <c r="AR130" i="4"/>
  <c r="AT151" i="4"/>
  <c r="AP75" i="4"/>
  <c r="AR129" i="4"/>
  <c r="AP139" i="4"/>
  <c r="AP55" i="4"/>
  <c r="AR99" i="4"/>
  <c r="AT102" i="4"/>
  <c r="BB64" i="4"/>
  <c r="AP138" i="4"/>
  <c r="AP54" i="4"/>
  <c r="AR98" i="4"/>
  <c r="AT92" i="4"/>
  <c r="BB58" i="4"/>
  <c r="AP135" i="4"/>
  <c r="AP51" i="4"/>
  <c r="AR95" i="4"/>
  <c r="AT87" i="4"/>
  <c r="BD83" i="4"/>
  <c r="AP134" i="4"/>
  <c r="AP50" i="4"/>
  <c r="AR94" i="4"/>
  <c r="AT86" i="4"/>
  <c r="BD75" i="4"/>
  <c r="AP120" i="4"/>
  <c r="AP34" i="4"/>
  <c r="AR67" i="4"/>
  <c r="AT44" i="4"/>
  <c r="BD41" i="4"/>
  <c r="AP119" i="4"/>
  <c r="AP33" i="4"/>
  <c r="AR66" i="4"/>
  <c r="AT43" i="4"/>
  <c r="BD11" i="4"/>
  <c r="AP116" i="4"/>
  <c r="AP24" i="4"/>
  <c r="AR63" i="4"/>
  <c r="AT38" i="4"/>
  <c r="BJ103" i="4"/>
  <c r="AP115" i="4"/>
  <c r="AP23" i="4"/>
  <c r="AR62" i="4"/>
  <c r="AT28" i="4"/>
  <c r="BJ58" i="4"/>
  <c r="AX110" i="4"/>
  <c r="AV19" i="4"/>
  <c r="AV35" i="4"/>
  <c r="AV51" i="4"/>
  <c r="AV67" i="4"/>
  <c r="AV83" i="4"/>
  <c r="AV99" i="4"/>
  <c r="AV115" i="4"/>
  <c r="AV131" i="4"/>
  <c r="AV15" i="4"/>
  <c r="AV32" i="4"/>
  <c r="AV49" i="4"/>
  <c r="AV66" i="4"/>
  <c r="AV84" i="4"/>
  <c r="AV101" i="4"/>
  <c r="AV118" i="4"/>
  <c r="AV135" i="4"/>
  <c r="AV151" i="4"/>
  <c r="AV16" i="4"/>
  <c r="AV33" i="4"/>
  <c r="AV50" i="4"/>
  <c r="AV68" i="4"/>
  <c r="AV85" i="4"/>
  <c r="AV102" i="4"/>
  <c r="AV119" i="4"/>
  <c r="AV136" i="4"/>
  <c r="AV152" i="4"/>
  <c r="AV17" i="4"/>
  <c r="AV34" i="4"/>
  <c r="AV52" i="4"/>
  <c r="AV69" i="4"/>
  <c r="AV86" i="4"/>
  <c r="AV103" i="4"/>
  <c r="AV120" i="4"/>
  <c r="AV137" i="4"/>
  <c r="AV153" i="4"/>
  <c r="AV18" i="4"/>
  <c r="AV36" i="4"/>
  <c r="AV53" i="4"/>
  <c r="AV70" i="4"/>
  <c r="AV87" i="4"/>
  <c r="AV104" i="4"/>
  <c r="AV121" i="4"/>
  <c r="AV138" i="4"/>
  <c r="AV154" i="4"/>
  <c r="AV20" i="4"/>
  <c r="AV37" i="4"/>
  <c r="AV54" i="4"/>
  <c r="AV71" i="4"/>
  <c r="AV88" i="4"/>
  <c r="AV105" i="4"/>
  <c r="AV122" i="4"/>
  <c r="AV139" i="4"/>
  <c r="AV155" i="4"/>
  <c r="AV4" i="4"/>
  <c r="AV21" i="4"/>
  <c r="AV38" i="4"/>
  <c r="AV55" i="4"/>
  <c r="AV72" i="4"/>
  <c r="AV89" i="4"/>
  <c r="AV106" i="4"/>
  <c r="AV123" i="4"/>
  <c r="AV140" i="4"/>
  <c r="AV3" i="4"/>
  <c r="AV5" i="4"/>
  <c r="AV22" i="4"/>
  <c r="AV39" i="4"/>
  <c r="AV56" i="4"/>
  <c r="AV73" i="4"/>
  <c r="AV90" i="4"/>
  <c r="AV107" i="4"/>
  <c r="AV124" i="4"/>
  <c r="AV141" i="4"/>
  <c r="AV6" i="4"/>
  <c r="AV23" i="4"/>
  <c r="AV40" i="4"/>
  <c r="AV57" i="4"/>
  <c r="AV74" i="4"/>
  <c r="AV91" i="4"/>
  <c r="AV108" i="4"/>
  <c r="AV125" i="4"/>
  <c r="AV142" i="4"/>
  <c r="AV8" i="4"/>
  <c r="AV25" i="4"/>
  <c r="AV42" i="4"/>
  <c r="AV59" i="4"/>
  <c r="AV76" i="4"/>
  <c r="AV93" i="4"/>
  <c r="AV110" i="4"/>
  <c r="AV10" i="4"/>
  <c r="AV27" i="4"/>
  <c r="AV44" i="4"/>
  <c r="AV61" i="4"/>
  <c r="AV78" i="4"/>
  <c r="AV95" i="4"/>
  <c r="AV112" i="4"/>
  <c r="AV129" i="4"/>
  <c r="AV146" i="4"/>
  <c r="AV11" i="4"/>
  <c r="AV28" i="4"/>
  <c r="AV45" i="4"/>
  <c r="AV62" i="4"/>
  <c r="AV79" i="4"/>
  <c r="AV96" i="4"/>
  <c r="AV113" i="4"/>
  <c r="AV130" i="4"/>
  <c r="AV147" i="4"/>
  <c r="AV14" i="4"/>
  <c r="AV31" i="4"/>
  <c r="AV48" i="4"/>
  <c r="AV65" i="4"/>
  <c r="AV82" i="4"/>
  <c r="AV100" i="4"/>
  <c r="AV117" i="4"/>
  <c r="AV134" i="4"/>
  <c r="AV150" i="4"/>
  <c r="AP140" i="4"/>
  <c r="AP121" i="4"/>
  <c r="AP101" i="4"/>
  <c r="AP81" i="4"/>
  <c r="AP56" i="4"/>
  <c r="AP35" i="4"/>
  <c r="AP7" i="4"/>
  <c r="AR131" i="4"/>
  <c r="AR106" i="4"/>
  <c r="AR74" i="4"/>
  <c r="AR35" i="4"/>
  <c r="AT152" i="4"/>
  <c r="AT103" i="4"/>
  <c r="AT54" i="4"/>
  <c r="AV149" i="4"/>
  <c r="AV94" i="4"/>
  <c r="AV26" i="4"/>
  <c r="AX112" i="4"/>
  <c r="AX43" i="4"/>
  <c r="BD87" i="4"/>
  <c r="BF52" i="4"/>
  <c r="BJ135" i="4"/>
  <c r="AZ14" i="4"/>
  <c r="AZ30" i="4"/>
  <c r="AZ46" i="4"/>
  <c r="AZ62" i="4"/>
  <c r="AZ78" i="4"/>
  <c r="AZ94" i="4"/>
  <c r="AZ110" i="4"/>
  <c r="AZ126" i="4"/>
  <c r="AZ142" i="4"/>
  <c r="AZ15" i="4"/>
  <c r="AZ31" i="4"/>
  <c r="AZ47" i="4"/>
  <c r="AZ63" i="4"/>
  <c r="AZ79" i="4"/>
  <c r="AZ95" i="4"/>
  <c r="AZ111" i="4"/>
  <c r="AZ127" i="4"/>
  <c r="AZ143" i="4"/>
  <c r="AZ16" i="4"/>
  <c r="AZ32" i="4"/>
  <c r="AZ48" i="4"/>
  <c r="AZ64" i="4"/>
  <c r="AZ80" i="4"/>
  <c r="AZ96" i="4"/>
  <c r="AZ112" i="4"/>
  <c r="AZ128" i="4"/>
  <c r="AZ144" i="4"/>
  <c r="AZ18" i="4"/>
  <c r="AZ34" i="4"/>
  <c r="AZ50" i="4"/>
  <c r="AZ66" i="4"/>
  <c r="AZ82" i="4"/>
  <c r="AZ98" i="4"/>
  <c r="AZ114" i="4"/>
  <c r="AZ130" i="4"/>
  <c r="AZ146" i="4"/>
  <c r="AZ4" i="4"/>
  <c r="AZ20" i="4"/>
  <c r="AZ36" i="4"/>
  <c r="AZ6" i="4"/>
  <c r="AZ22" i="4"/>
  <c r="AZ38" i="4"/>
  <c r="AZ54" i="4"/>
  <c r="AZ70" i="4"/>
  <c r="AZ86" i="4"/>
  <c r="AZ102" i="4"/>
  <c r="AZ118" i="4"/>
  <c r="AZ134" i="4"/>
  <c r="AZ150" i="4"/>
  <c r="AZ24" i="4"/>
  <c r="AZ49" i="4"/>
  <c r="AZ72" i="4"/>
  <c r="AZ93" i="4"/>
  <c r="AZ119" i="4"/>
  <c r="AZ140" i="4"/>
  <c r="AZ25" i="4"/>
  <c r="AZ51" i="4"/>
  <c r="AZ73" i="4"/>
  <c r="AZ97" i="4"/>
  <c r="AZ120" i="4"/>
  <c r="AZ141" i="4"/>
  <c r="AZ26" i="4"/>
  <c r="AZ52" i="4"/>
  <c r="AZ74" i="4"/>
  <c r="AZ99" i="4"/>
  <c r="AZ121" i="4"/>
  <c r="AZ145" i="4"/>
  <c r="AZ27" i="4"/>
  <c r="AZ53" i="4"/>
  <c r="AZ75" i="4"/>
  <c r="AZ100" i="4"/>
  <c r="AZ122" i="4"/>
  <c r="AZ147" i="4"/>
  <c r="AZ5" i="4"/>
  <c r="AZ28" i="4"/>
  <c r="AZ55" i="4"/>
  <c r="AZ76" i="4"/>
  <c r="AZ101" i="4"/>
  <c r="AZ123" i="4"/>
  <c r="AZ148" i="4"/>
  <c r="AZ7" i="4"/>
  <c r="AZ29" i="4"/>
  <c r="AZ56" i="4"/>
  <c r="AZ77" i="4"/>
  <c r="AZ103" i="4"/>
  <c r="AZ124" i="4"/>
  <c r="AZ149" i="4"/>
  <c r="AZ8" i="4"/>
  <c r="AZ33" i="4"/>
  <c r="AZ57" i="4"/>
  <c r="AZ81" i="4"/>
  <c r="AZ104" i="4"/>
  <c r="AZ125" i="4"/>
  <c r="AZ151" i="4"/>
  <c r="AZ9" i="4"/>
  <c r="AZ35" i="4"/>
  <c r="AZ58" i="4"/>
  <c r="AZ83" i="4"/>
  <c r="AZ105" i="4"/>
  <c r="AZ129" i="4"/>
  <c r="AZ152" i="4"/>
  <c r="AZ10" i="4"/>
  <c r="AZ37" i="4"/>
  <c r="AZ59" i="4"/>
  <c r="AZ84" i="4"/>
  <c r="AZ106" i="4"/>
  <c r="AZ131" i="4"/>
  <c r="AZ153" i="4"/>
  <c r="AZ11" i="4"/>
  <c r="AZ39" i="4"/>
  <c r="AZ60" i="4"/>
  <c r="AZ85" i="4"/>
  <c r="AZ107" i="4"/>
  <c r="AZ132" i="4"/>
  <c r="AZ154" i="4"/>
  <c r="AZ13" i="4"/>
  <c r="AZ41" i="4"/>
  <c r="AZ65" i="4"/>
  <c r="AZ88" i="4"/>
  <c r="AZ109" i="4"/>
  <c r="AZ135" i="4"/>
  <c r="AZ3" i="4"/>
  <c r="AZ17" i="4"/>
  <c r="AZ42" i="4"/>
  <c r="AZ67" i="4"/>
  <c r="AZ89" i="4"/>
  <c r="AZ113" i="4"/>
  <c r="AZ136" i="4"/>
  <c r="AZ23" i="4"/>
  <c r="AZ45" i="4"/>
  <c r="AZ71" i="4"/>
  <c r="AZ92" i="4"/>
  <c r="AZ117" i="4"/>
  <c r="AZ139" i="4"/>
  <c r="AV13" i="4"/>
  <c r="BF16" i="4"/>
  <c r="BB7" i="4"/>
  <c r="BB23" i="4"/>
  <c r="BB39" i="4"/>
  <c r="BB55" i="4"/>
  <c r="BB71" i="4"/>
  <c r="BB87" i="4"/>
  <c r="BB103" i="4"/>
  <c r="BB119" i="4"/>
  <c r="BB135" i="4"/>
  <c r="BB151" i="4"/>
  <c r="BB8" i="4"/>
  <c r="BB24" i="4"/>
  <c r="BB40" i="4"/>
  <c r="BB56" i="4"/>
  <c r="BB72" i="4"/>
  <c r="BB88" i="4"/>
  <c r="BB104" i="4"/>
  <c r="BB120" i="4"/>
  <c r="BB136" i="4"/>
  <c r="BB152" i="4"/>
  <c r="BB9" i="4"/>
  <c r="BB25" i="4"/>
  <c r="BB41" i="4"/>
  <c r="BB57" i="4"/>
  <c r="BB73" i="4"/>
  <c r="BB89" i="4"/>
  <c r="BB105" i="4"/>
  <c r="BB121" i="4"/>
  <c r="BB137" i="4"/>
  <c r="BB153" i="4"/>
  <c r="BB11" i="4"/>
  <c r="BB27" i="4"/>
  <c r="BB43" i="4"/>
  <c r="BB59" i="4"/>
  <c r="BB75" i="4"/>
  <c r="BB91" i="4"/>
  <c r="BB107" i="4"/>
  <c r="BB123" i="4"/>
  <c r="BB139" i="4"/>
  <c r="BB155" i="4"/>
  <c r="BB13" i="4"/>
  <c r="BB29" i="4"/>
  <c r="BB45" i="4"/>
  <c r="BB61" i="4"/>
  <c r="BB77" i="4"/>
  <c r="BB93" i="4"/>
  <c r="BB109" i="4"/>
  <c r="BB125" i="4"/>
  <c r="BB141" i="4"/>
  <c r="BB15" i="4"/>
  <c r="BB31" i="4"/>
  <c r="BB47" i="4"/>
  <c r="BB63" i="4"/>
  <c r="BB79" i="4"/>
  <c r="BB95" i="4"/>
  <c r="BB111" i="4"/>
  <c r="BB127" i="4"/>
  <c r="BB143" i="4"/>
  <c r="BB4" i="4"/>
  <c r="BB20" i="4"/>
  <c r="BB36" i="4"/>
  <c r="BB52" i="4"/>
  <c r="BB68" i="4"/>
  <c r="BB84" i="4"/>
  <c r="BB100" i="4"/>
  <c r="BB116" i="4"/>
  <c r="BB5" i="4"/>
  <c r="BB21" i="4"/>
  <c r="BB37" i="4"/>
  <c r="BB6" i="4"/>
  <c r="BB38" i="4"/>
  <c r="BB67" i="4"/>
  <c r="BB97" i="4"/>
  <c r="BB126" i="4"/>
  <c r="BB149" i="4"/>
  <c r="BB10" i="4"/>
  <c r="BB42" i="4"/>
  <c r="BB69" i="4"/>
  <c r="BB98" i="4"/>
  <c r="BB128" i="4"/>
  <c r="BB150" i="4"/>
  <c r="BB12" i="4"/>
  <c r="BB44" i="4"/>
  <c r="BB70" i="4"/>
  <c r="BB99" i="4"/>
  <c r="BB129" i="4"/>
  <c r="BB154" i="4"/>
  <c r="BB14" i="4"/>
  <c r="BB46" i="4"/>
  <c r="BB74" i="4"/>
  <c r="BB101" i="4"/>
  <c r="BB130" i="4"/>
  <c r="BB3" i="4"/>
  <c r="BB16" i="4"/>
  <c r="BB48" i="4"/>
  <c r="BB76" i="4"/>
  <c r="BB102" i="4"/>
  <c r="BB131" i="4"/>
  <c r="BB17" i="4"/>
  <c r="BB49" i="4"/>
  <c r="BB78" i="4"/>
  <c r="BB106" i="4"/>
  <c r="BB132" i="4"/>
  <c r="BB18" i="4"/>
  <c r="BB50" i="4"/>
  <c r="BB80" i="4"/>
  <c r="BB108" i="4"/>
  <c r="BB133" i="4"/>
  <c r="BB19" i="4"/>
  <c r="BB51" i="4"/>
  <c r="BB81" i="4"/>
  <c r="BB110" i="4"/>
  <c r="BB134" i="4"/>
  <c r="BB22" i="4"/>
  <c r="BB53" i="4"/>
  <c r="BB82" i="4"/>
  <c r="BB112" i="4"/>
  <c r="BB138" i="4"/>
  <c r="BB26" i="4"/>
  <c r="BB54" i="4"/>
  <c r="BB83" i="4"/>
  <c r="BB113" i="4"/>
  <c r="BB140" i="4"/>
  <c r="BB30" i="4"/>
  <c r="BB60" i="4"/>
  <c r="BB86" i="4"/>
  <c r="BB115" i="4"/>
  <c r="BB144" i="4"/>
  <c r="BB32" i="4"/>
  <c r="BB62" i="4"/>
  <c r="BB90" i="4"/>
  <c r="BB117" i="4"/>
  <c r="BB145" i="4"/>
  <c r="BB35" i="4"/>
  <c r="BB66" i="4"/>
  <c r="BB96" i="4"/>
  <c r="BB124" i="4"/>
  <c r="BB148" i="4"/>
  <c r="AP3" i="4"/>
  <c r="AP137" i="4"/>
  <c r="AP118" i="4"/>
  <c r="AP98" i="4"/>
  <c r="AP74" i="4"/>
  <c r="AP53" i="4"/>
  <c r="AP26" i="4"/>
  <c r="AP4" i="4"/>
  <c r="AR128" i="4"/>
  <c r="AR97" i="4"/>
  <c r="AR65" i="4"/>
  <c r="AR32" i="4"/>
  <c r="AT140" i="4"/>
  <c r="AT91" i="4"/>
  <c r="AT40" i="4"/>
  <c r="AV144" i="4"/>
  <c r="AV80" i="4"/>
  <c r="AV12" i="4"/>
  <c r="AX98" i="4"/>
  <c r="AZ68" i="4"/>
  <c r="BB85" i="4"/>
  <c r="BF8" i="4"/>
  <c r="BJ98" i="4"/>
  <c r="AX5" i="4"/>
  <c r="AX21" i="4"/>
  <c r="AX6" i="4"/>
  <c r="AX22" i="4"/>
  <c r="AX7" i="4"/>
  <c r="AX9" i="4"/>
  <c r="AX25" i="4"/>
  <c r="AX13" i="4"/>
  <c r="AX29" i="4"/>
  <c r="AX45" i="4"/>
  <c r="AX61" i="4"/>
  <c r="AX77" i="4"/>
  <c r="AX93" i="4"/>
  <c r="AX109" i="4"/>
  <c r="AX125" i="4"/>
  <c r="AX141" i="4"/>
  <c r="AX12" i="4"/>
  <c r="AX33" i="4"/>
  <c r="AX50" i="4"/>
  <c r="AX67" i="4"/>
  <c r="AX84" i="4"/>
  <c r="AX101" i="4"/>
  <c r="AX118" i="4"/>
  <c r="AX135" i="4"/>
  <c r="AX152" i="4"/>
  <c r="AX14" i="4"/>
  <c r="AX34" i="4"/>
  <c r="AX51" i="4"/>
  <c r="AX68" i="4"/>
  <c r="AX85" i="4"/>
  <c r="AX102" i="4"/>
  <c r="AX119" i="4"/>
  <c r="AX136" i="4"/>
  <c r="AX153" i="4"/>
  <c r="AX15" i="4"/>
  <c r="AX35" i="4"/>
  <c r="AX52" i="4"/>
  <c r="AX69" i="4"/>
  <c r="AX86" i="4"/>
  <c r="AX103" i="4"/>
  <c r="AX120" i="4"/>
  <c r="AX137" i="4"/>
  <c r="AX154" i="4"/>
  <c r="AX16" i="4"/>
  <c r="AX36" i="4"/>
  <c r="AX53" i="4"/>
  <c r="AX70" i="4"/>
  <c r="AX87" i="4"/>
  <c r="AX104" i="4"/>
  <c r="AX121" i="4"/>
  <c r="AX138" i="4"/>
  <c r="AX155" i="4"/>
  <c r="AX17" i="4"/>
  <c r="AX37" i="4"/>
  <c r="AX54" i="4"/>
  <c r="AX71" i="4"/>
  <c r="AX88" i="4"/>
  <c r="AX105" i="4"/>
  <c r="AX122" i="4"/>
  <c r="AX139" i="4"/>
  <c r="AX3" i="4"/>
  <c r="AX18" i="4"/>
  <c r="AX38" i="4"/>
  <c r="AX55" i="4"/>
  <c r="AX72" i="4"/>
  <c r="AX89" i="4"/>
  <c r="AX106" i="4"/>
  <c r="AX123" i="4"/>
  <c r="AX140" i="4"/>
  <c r="AX19" i="4"/>
  <c r="AX39" i="4"/>
  <c r="AX56" i="4"/>
  <c r="AX73" i="4"/>
  <c r="AX90" i="4"/>
  <c r="AX107" i="4"/>
  <c r="AX124" i="4"/>
  <c r="AX142" i="4"/>
  <c r="AX20" i="4"/>
  <c r="AX40" i="4"/>
  <c r="AX57" i="4"/>
  <c r="AX74" i="4"/>
  <c r="AX91" i="4"/>
  <c r="AX108" i="4"/>
  <c r="AX126" i="4"/>
  <c r="AX143" i="4"/>
  <c r="AX24" i="4"/>
  <c r="AX42" i="4"/>
  <c r="AX59" i="4"/>
  <c r="AX76" i="4"/>
  <c r="AX94" i="4"/>
  <c r="AX111" i="4"/>
  <c r="AX128" i="4"/>
  <c r="AX145" i="4"/>
  <c r="AX27" i="4"/>
  <c r="AX44" i="4"/>
  <c r="AX62" i="4"/>
  <c r="AX79" i="4"/>
  <c r="AX96" i="4"/>
  <c r="AX113" i="4"/>
  <c r="AX130" i="4"/>
  <c r="AX147" i="4"/>
  <c r="AX4" i="4"/>
  <c r="AX28" i="4"/>
  <c r="AX46" i="4"/>
  <c r="AX63" i="4"/>
  <c r="AX80" i="4"/>
  <c r="AX97" i="4"/>
  <c r="AX114" i="4"/>
  <c r="AX131" i="4"/>
  <c r="AX148" i="4"/>
  <c r="AX11" i="4"/>
  <c r="AX32" i="4"/>
  <c r="AX49" i="4"/>
  <c r="AX66" i="4"/>
  <c r="AX83" i="4"/>
  <c r="AX100" i="4"/>
  <c r="AX117" i="4"/>
  <c r="AX134" i="4"/>
  <c r="AX151" i="4"/>
  <c r="AV145" i="4"/>
  <c r="AV81" i="4"/>
  <c r="AX99" i="4"/>
  <c r="AX31" i="4"/>
  <c r="AZ69" i="4"/>
  <c r="BJ102" i="4"/>
  <c r="BD16" i="4"/>
  <c r="BD32" i="4"/>
  <c r="BD48" i="4"/>
  <c r="BD64" i="4"/>
  <c r="BD80" i="4"/>
  <c r="BD96" i="4"/>
  <c r="BD112" i="4"/>
  <c r="BD128" i="4"/>
  <c r="BD144" i="4"/>
  <c r="BD17" i="4"/>
  <c r="BD33" i="4"/>
  <c r="BD49" i="4"/>
  <c r="BD65" i="4"/>
  <c r="BD81" i="4"/>
  <c r="BD97" i="4"/>
  <c r="BD113" i="4"/>
  <c r="BD129" i="4"/>
  <c r="BD145" i="4"/>
  <c r="BD18" i="4"/>
  <c r="BD34" i="4"/>
  <c r="BD50" i="4"/>
  <c r="BD66" i="4"/>
  <c r="BD82" i="4"/>
  <c r="BD98" i="4"/>
  <c r="BD114" i="4"/>
  <c r="BD130" i="4"/>
  <c r="BD146" i="4"/>
  <c r="BD4" i="4"/>
  <c r="BD20" i="4"/>
  <c r="BD36" i="4"/>
  <c r="BD52" i="4"/>
  <c r="BD68" i="4"/>
  <c r="BD84" i="4"/>
  <c r="BD100" i="4"/>
  <c r="BD116" i="4"/>
  <c r="BD132" i="4"/>
  <c r="BD148" i="4"/>
  <c r="BD5" i="4"/>
  <c r="BD21" i="4"/>
  <c r="BD37" i="4"/>
  <c r="BD53" i="4"/>
  <c r="BD69" i="4"/>
  <c r="BD85" i="4"/>
  <c r="BD101" i="4"/>
  <c r="BD117" i="4"/>
  <c r="BD133" i="4"/>
  <c r="BD6" i="4"/>
  <c r="BD22" i="4"/>
  <c r="BD38" i="4"/>
  <c r="BD54" i="4"/>
  <c r="BD70" i="4"/>
  <c r="BD86" i="4"/>
  <c r="BD102" i="4"/>
  <c r="BD118" i="4"/>
  <c r="BD134" i="4"/>
  <c r="BD150" i="4"/>
  <c r="BD8" i="4"/>
  <c r="BD24" i="4"/>
  <c r="BD40" i="4"/>
  <c r="BD56" i="4"/>
  <c r="BD72" i="4"/>
  <c r="BD88" i="4"/>
  <c r="BD104" i="4"/>
  <c r="BD120" i="4"/>
  <c r="BD136" i="4"/>
  <c r="BD152" i="4"/>
  <c r="BD13" i="4"/>
  <c r="BD29" i="4"/>
  <c r="BD45" i="4"/>
  <c r="BD61" i="4"/>
  <c r="BD77" i="4"/>
  <c r="BD93" i="4"/>
  <c r="BD109" i="4"/>
  <c r="BD125" i="4"/>
  <c r="BD141" i="4"/>
  <c r="BD14" i="4"/>
  <c r="BD30" i="4"/>
  <c r="BD46" i="4"/>
  <c r="BD62" i="4"/>
  <c r="BD78" i="4"/>
  <c r="BD94" i="4"/>
  <c r="BD110" i="4"/>
  <c r="BD126" i="4"/>
  <c r="BD142" i="4"/>
  <c r="BD15" i="4"/>
  <c r="BD55" i="4"/>
  <c r="BD90" i="4"/>
  <c r="BD124" i="4"/>
  <c r="BD19" i="4"/>
  <c r="BD57" i="4"/>
  <c r="BD91" i="4"/>
  <c r="BD127" i="4"/>
  <c r="BD23" i="4"/>
  <c r="BD58" i="4"/>
  <c r="BD92" i="4"/>
  <c r="BD131" i="4"/>
  <c r="BD25" i="4"/>
  <c r="BD59" i="4"/>
  <c r="BD95" i="4"/>
  <c r="BD135" i="4"/>
  <c r="BD26" i="4"/>
  <c r="BD60" i="4"/>
  <c r="BD99" i="4"/>
  <c r="BD137" i="4"/>
  <c r="BD27" i="4"/>
  <c r="BD63" i="4"/>
  <c r="BD103" i="4"/>
  <c r="BD138" i="4"/>
  <c r="BD28" i="4"/>
  <c r="BD67" i="4"/>
  <c r="BD105" i="4"/>
  <c r="BD139" i="4"/>
  <c r="BD31" i="4"/>
  <c r="BD71" i="4"/>
  <c r="BD106" i="4"/>
  <c r="BD140" i="4"/>
  <c r="BD35" i="4"/>
  <c r="BD73" i="4"/>
  <c r="BD107" i="4"/>
  <c r="BD143" i="4"/>
  <c r="BD39" i="4"/>
  <c r="BD74" i="4"/>
  <c r="BD108" i="4"/>
  <c r="BD147" i="4"/>
  <c r="BD7" i="4"/>
  <c r="BD42" i="4"/>
  <c r="BD76" i="4"/>
  <c r="BD115" i="4"/>
  <c r="BD151" i="4"/>
  <c r="BD9" i="4"/>
  <c r="BD43" i="4"/>
  <c r="BD79" i="4"/>
  <c r="BD119" i="4"/>
  <c r="BD153" i="4"/>
  <c r="BD12" i="4"/>
  <c r="BD51" i="4"/>
  <c r="BD89" i="4"/>
  <c r="BD123" i="4"/>
  <c r="BD3" i="4"/>
  <c r="AP155" i="4"/>
  <c r="AP136" i="4"/>
  <c r="AP117" i="4"/>
  <c r="AP97" i="4"/>
  <c r="AP73" i="4"/>
  <c r="AP52" i="4"/>
  <c r="AP25" i="4"/>
  <c r="AR3" i="4"/>
  <c r="AR127" i="4"/>
  <c r="AR96" i="4"/>
  <c r="AR64" i="4"/>
  <c r="AR31" i="4"/>
  <c r="AT139" i="4"/>
  <c r="AT88" i="4"/>
  <c r="AT39" i="4"/>
  <c r="AV143" i="4"/>
  <c r="AV77" i="4"/>
  <c r="AV9" i="4"/>
  <c r="AX95" i="4"/>
  <c r="AX26" i="4"/>
  <c r="AZ61" i="4"/>
  <c r="BB65" i="4"/>
  <c r="BD44" i="4"/>
  <c r="BH3" i="4"/>
  <c r="BJ66" i="4"/>
  <c r="AX41" i="4"/>
  <c r="AX92" i="4"/>
  <c r="AX23" i="4"/>
  <c r="AZ44" i="4"/>
  <c r="BH124" i="4"/>
  <c r="BH123" i="4"/>
  <c r="BF48" i="4"/>
  <c r="BJ11" i="4"/>
  <c r="BJ27" i="4"/>
  <c r="BJ43" i="4"/>
  <c r="BJ59" i="4"/>
  <c r="BJ75" i="4"/>
  <c r="BJ91" i="4"/>
  <c r="BJ107" i="4"/>
  <c r="BJ123" i="4"/>
  <c r="BJ139" i="4"/>
  <c r="BJ155" i="4"/>
  <c r="BJ12" i="4"/>
  <c r="BJ28" i="4"/>
  <c r="BJ44" i="4"/>
  <c r="BJ60" i="4"/>
  <c r="BJ76" i="4"/>
  <c r="BJ92" i="4"/>
  <c r="BJ108" i="4"/>
  <c r="BJ124" i="4"/>
  <c r="BJ140" i="4"/>
  <c r="BJ3" i="4"/>
  <c r="BJ13" i="4"/>
  <c r="BJ29" i="4"/>
  <c r="BJ45" i="4"/>
  <c r="BJ61" i="4"/>
  <c r="BJ77" i="4"/>
  <c r="BJ93" i="4"/>
  <c r="BJ109" i="4"/>
  <c r="BJ125" i="4"/>
  <c r="BJ141" i="4"/>
  <c r="BJ14" i="4"/>
  <c r="BJ30" i="4"/>
  <c r="BJ46" i="4"/>
  <c r="BJ62" i="4"/>
  <c r="BJ78" i="4"/>
  <c r="BJ94" i="4"/>
  <c r="BJ110" i="4"/>
  <c r="BJ126" i="4"/>
  <c r="BJ142" i="4"/>
  <c r="BJ15" i="4"/>
  <c r="BJ31" i="4"/>
  <c r="BJ47" i="4"/>
  <c r="BJ63" i="4"/>
  <c r="BJ79" i="4"/>
  <c r="BJ95" i="4"/>
  <c r="BJ111" i="4"/>
  <c r="BJ127" i="4"/>
  <c r="BJ143" i="4"/>
  <c r="BJ16" i="4"/>
  <c r="BJ32" i="4"/>
  <c r="BJ48" i="4"/>
  <c r="BJ64" i="4"/>
  <c r="BJ80" i="4"/>
  <c r="BJ96" i="4"/>
  <c r="BJ112" i="4"/>
  <c r="BJ128" i="4"/>
  <c r="BJ144" i="4"/>
  <c r="BJ17" i="4"/>
  <c r="BJ33" i="4"/>
  <c r="BJ49" i="4"/>
  <c r="BJ65" i="4"/>
  <c r="BJ81" i="4"/>
  <c r="BJ97" i="4"/>
  <c r="BJ113" i="4"/>
  <c r="BJ129" i="4"/>
  <c r="BJ145" i="4"/>
  <c r="BJ19" i="4"/>
  <c r="BJ35" i="4"/>
  <c r="BJ51" i="4"/>
  <c r="BJ67" i="4"/>
  <c r="BJ83" i="4"/>
  <c r="BJ99" i="4"/>
  <c r="BJ115" i="4"/>
  <c r="BJ131" i="4"/>
  <c r="BJ147" i="4"/>
  <c r="BJ8" i="4"/>
  <c r="BJ24" i="4"/>
  <c r="BJ40" i="4"/>
  <c r="BJ56" i="4"/>
  <c r="BJ72" i="4"/>
  <c r="BJ88" i="4"/>
  <c r="BJ104" i="4"/>
  <c r="BJ120" i="4"/>
  <c r="BJ136" i="4"/>
  <c r="BJ152" i="4"/>
  <c r="BJ9" i="4"/>
  <c r="BJ25" i="4"/>
  <c r="BJ41" i="4"/>
  <c r="BJ57" i="4"/>
  <c r="BJ73" i="4"/>
  <c r="BJ89" i="4"/>
  <c r="BJ105" i="4"/>
  <c r="BJ121" i="4"/>
  <c r="BJ137" i="4"/>
  <c r="BJ153" i="4"/>
  <c r="BJ10" i="4"/>
  <c r="BJ26" i="4"/>
  <c r="BJ22" i="4"/>
  <c r="BJ69" i="4"/>
  <c r="BJ114" i="4"/>
  <c r="BJ151" i="4"/>
  <c r="BJ23" i="4"/>
  <c r="BJ70" i="4"/>
  <c r="BJ116" i="4"/>
  <c r="BJ154" i="4"/>
  <c r="BJ34" i="4"/>
  <c r="BJ71" i="4"/>
  <c r="BJ117" i="4"/>
  <c r="BJ36" i="4"/>
  <c r="BJ74" i="4"/>
  <c r="BJ118" i="4"/>
  <c r="BJ37" i="4"/>
  <c r="BJ82" i="4"/>
  <c r="BJ119" i="4"/>
  <c r="BJ38" i="4"/>
  <c r="BJ84" i="4"/>
  <c r="BJ122" i="4"/>
  <c r="BJ39" i="4"/>
  <c r="BJ85" i="4"/>
  <c r="BJ130" i="4"/>
  <c r="BJ42" i="4"/>
  <c r="BJ86" i="4"/>
  <c r="BJ132" i="4"/>
  <c r="BJ50" i="4"/>
  <c r="BJ87" i="4"/>
  <c r="BJ133" i="4"/>
  <c r="BJ4" i="4"/>
  <c r="BJ52" i="4"/>
  <c r="BJ90" i="4"/>
  <c r="BJ134" i="4"/>
  <c r="BJ6" i="4"/>
  <c r="BJ54" i="4"/>
  <c r="BJ100" i="4"/>
  <c r="BJ138" i="4"/>
  <c r="BJ7" i="4"/>
  <c r="BJ55" i="4"/>
  <c r="BJ101" i="4"/>
  <c r="BJ146" i="4"/>
  <c r="BJ21" i="4"/>
  <c r="BJ68" i="4"/>
  <c r="BJ106" i="4"/>
  <c r="BJ150" i="4"/>
  <c r="AP152" i="4"/>
  <c r="AP133" i="4"/>
  <c r="AP114" i="4"/>
  <c r="AP90" i="4"/>
  <c r="AP70" i="4"/>
  <c r="AP49" i="4"/>
  <c r="AP22" i="4"/>
  <c r="AR147" i="4"/>
  <c r="AR123" i="4"/>
  <c r="AR93" i="4"/>
  <c r="AR61" i="4"/>
  <c r="AR19" i="4"/>
  <c r="AT134" i="4"/>
  <c r="AT76" i="4"/>
  <c r="AT27" i="4"/>
  <c r="AV128" i="4"/>
  <c r="AV63" i="4"/>
  <c r="AX149" i="4"/>
  <c r="AX81" i="4"/>
  <c r="AX8" i="4"/>
  <c r="AZ40" i="4"/>
  <c r="BB34" i="4"/>
  <c r="BD10" i="4"/>
  <c r="BJ20" i="4"/>
  <c r="BH18" i="4"/>
  <c r="BH34" i="4"/>
  <c r="BH50" i="4"/>
  <c r="BH66" i="4"/>
  <c r="BH82" i="4"/>
  <c r="BH98" i="4"/>
  <c r="BH114" i="4"/>
  <c r="BH130" i="4"/>
  <c r="BH146" i="4"/>
  <c r="BH19" i="4"/>
  <c r="BH35" i="4"/>
  <c r="BH51" i="4"/>
  <c r="BH67" i="4"/>
  <c r="BH83" i="4"/>
  <c r="BH99" i="4"/>
  <c r="BH115" i="4"/>
  <c r="BH131" i="4"/>
  <c r="BH147" i="4"/>
  <c r="BH4" i="4"/>
  <c r="BH20" i="4"/>
  <c r="BH36" i="4"/>
  <c r="BH52" i="4"/>
  <c r="BH68" i="4"/>
  <c r="BH84" i="4"/>
  <c r="BH100" i="4"/>
  <c r="BH116" i="4"/>
  <c r="BH132" i="4"/>
  <c r="BH148" i="4"/>
  <c r="BH5" i="4"/>
  <c r="BH21" i="4"/>
  <c r="BH37" i="4"/>
  <c r="BH53" i="4"/>
  <c r="BH69" i="4"/>
  <c r="BH85" i="4"/>
  <c r="BH101" i="4"/>
  <c r="BH117" i="4"/>
  <c r="BH133" i="4"/>
  <c r="BH149" i="4"/>
  <c r="BH6" i="4"/>
  <c r="BH22" i="4"/>
  <c r="BH38" i="4"/>
  <c r="BH54" i="4"/>
  <c r="BH70" i="4"/>
  <c r="BH86" i="4"/>
  <c r="BH102" i="4"/>
  <c r="BH118" i="4"/>
  <c r="BH134" i="4"/>
  <c r="BH150" i="4"/>
  <c r="BH7" i="4"/>
  <c r="BH23" i="4"/>
  <c r="BH39" i="4"/>
  <c r="BH55" i="4"/>
  <c r="BH71" i="4"/>
  <c r="BH87" i="4"/>
  <c r="BH103" i="4"/>
  <c r="BH119" i="4"/>
  <c r="BH135" i="4"/>
  <c r="BH151" i="4"/>
  <c r="BH8" i="4"/>
  <c r="BH24" i="4"/>
  <c r="BH40" i="4"/>
  <c r="BH56" i="4"/>
  <c r="BH72" i="4"/>
  <c r="BH88" i="4"/>
  <c r="BH104" i="4"/>
  <c r="BH120" i="4"/>
  <c r="BH136" i="4"/>
  <c r="BH152" i="4"/>
  <c r="BH10" i="4"/>
  <c r="BH26" i="4"/>
  <c r="BH42" i="4"/>
  <c r="BH58" i="4"/>
  <c r="BH74" i="4"/>
  <c r="BH90" i="4"/>
  <c r="BH106" i="4"/>
  <c r="BH122" i="4"/>
  <c r="BH138" i="4"/>
  <c r="BH154" i="4"/>
  <c r="BH15" i="4"/>
  <c r="BH31" i="4"/>
  <c r="BH47" i="4"/>
  <c r="BH63" i="4"/>
  <c r="BH79" i="4"/>
  <c r="BH95" i="4"/>
  <c r="BH111" i="4"/>
  <c r="BH127" i="4"/>
  <c r="BH143" i="4"/>
  <c r="BH16" i="4"/>
  <c r="BH32" i="4"/>
  <c r="BH48" i="4"/>
  <c r="BH64" i="4"/>
  <c r="BH80" i="4"/>
  <c r="BH96" i="4"/>
  <c r="BH112" i="4"/>
  <c r="BH128" i="4"/>
  <c r="BH144" i="4"/>
  <c r="BH44" i="4"/>
  <c r="BH89" i="4"/>
  <c r="BH126" i="4"/>
  <c r="BH45" i="4"/>
  <c r="BH91" i="4"/>
  <c r="BH129" i="4"/>
  <c r="BH9" i="4"/>
  <c r="BH46" i="4"/>
  <c r="BH92" i="4"/>
  <c r="BH137" i="4"/>
  <c r="BH11" i="4"/>
  <c r="BH49" i="4"/>
  <c r="BH93" i="4"/>
  <c r="BH139" i="4"/>
  <c r="BH12" i="4"/>
  <c r="BH57" i="4"/>
  <c r="BH94" i="4"/>
  <c r="BH140" i="4"/>
  <c r="BH13" i="4"/>
  <c r="BH59" i="4"/>
  <c r="BH97" i="4"/>
  <c r="BH141" i="4"/>
  <c r="BH14" i="4"/>
  <c r="BH60" i="4"/>
  <c r="BH105" i="4"/>
  <c r="BH142" i="4"/>
  <c r="BH17" i="4"/>
  <c r="BH61" i="4"/>
  <c r="BH107" i="4"/>
  <c r="BH145" i="4"/>
  <c r="BH25" i="4"/>
  <c r="BH62" i="4"/>
  <c r="BH108" i="4"/>
  <c r="BH153" i="4"/>
  <c r="BH27" i="4"/>
  <c r="BH65" i="4"/>
  <c r="BH109" i="4"/>
  <c r="BH155" i="4"/>
  <c r="BH29" i="4"/>
  <c r="BH75" i="4"/>
  <c r="BH113" i="4"/>
  <c r="BH30" i="4"/>
  <c r="BH76" i="4"/>
  <c r="BH121" i="4"/>
  <c r="BH43" i="4"/>
  <c r="BH81" i="4"/>
  <c r="BH125" i="4"/>
  <c r="BL4" i="4"/>
  <c r="BL20" i="4"/>
  <c r="BL36" i="4"/>
  <c r="BL52" i="4"/>
  <c r="BL68" i="4"/>
  <c r="BL84" i="4"/>
  <c r="BL100" i="4"/>
  <c r="BL116" i="4"/>
  <c r="BL132" i="4"/>
  <c r="BL148" i="4"/>
  <c r="BL5" i="4"/>
  <c r="BL21" i="4"/>
  <c r="BL37" i="4"/>
  <c r="BL53" i="4"/>
  <c r="BL69" i="4"/>
  <c r="BL85" i="4"/>
  <c r="BL101" i="4"/>
  <c r="BL117" i="4"/>
  <c r="BL133" i="4"/>
  <c r="BL149" i="4"/>
  <c r="BL6" i="4"/>
  <c r="BL22" i="4"/>
  <c r="BL38" i="4"/>
  <c r="BL54" i="4"/>
  <c r="BL70" i="4"/>
  <c r="BL86" i="4"/>
  <c r="BL102" i="4"/>
  <c r="BL118" i="4"/>
  <c r="BL134" i="4"/>
  <c r="BL150" i="4"/>
  <c r="BL7" i="4"/>
  <c r="BL23" i="4"/>
  <c r="BL39" i="4"/>
  <c r="BL55" i="4"/>
  <c r="BL71" i="4"/>
  <c r="BL87" i="4"/>
  <c r="BL103" i="4"/>
  <c r="BL119" i="4"/>
  <c r="BL135" i="4"/>
  <c r="BL151" i="4"/>
  <c r="BL8" i="4"/>
  <c r="BL24" i="4"/>
  <c r="BL40" i="4"/>
  <c r="BL56" i="4"/>
  <c r="BL72" i="4"/>
  <c r="BL88" i="4"/>
  <c r="BL104" i="4"/>
  <c r="BL120" i="4"/>
  <c r="BL136" i="4"/>
  <c r="BL152" i="4"/>
  <c r="BL9" i="4"/>
  <c r="BL25" i="4"/>
  <c r="BL41" i="4"/>
  <c r="BL57" i="4"/>
  <c r="BL73" i="4"/>
  <c r="BL89" i="4"/>
  <c r="BL105" i="4"/>
  <c r="BL121" i="4"/>
  <c r="BL137" i="4"/>
  <c r="BL153" i="4"/>
  <c r="BL10" i="4"/>
  <c r="BL26" i="4"/>
  <c r="BL42" i="4"/>
  <c r="BL58" i="4"/>
  <c r="BL74" i="4"/>
  <c r="BL90" i="4"/>
  <c r="BL106" i="4"/>
  <c r="BL122" i="4"/>
  <c r="BL138" i="4"/>
  <c r="BL154" i="4"/>
  <c r="BL11" i="4"/>
  <c r="BL27" i="4"/>
  <c r="BL12" i="4"/>
  <c r="BL28" i="4"/>
  <c r="BL44" i="4"/>
  <c r="BL60" i="4"/>
  <c r="BL76" i="4"/>
  <c r="BL92" i="4"/>
  <c r="BL108" i="4"/>
  <c r="BL124" i="4"/>
  <c r="BL140" i="4"/>
  <c r="BL3" i="4"/>
  <c r="BL15" i="4"/>
  <c r="BL16" i="4"/>
  <c r="BL32" i="4"/>
  <c r="BL17" i="4"/>
  <c r="BL33" i="4"/>
  <c r="BL49" i="4"/>
  <c r="BL65" i="4"/>
  <c r="BL81" i="4"/>
  <c r="BL97" i="4"/>
  <c r="BL113" i="4"/>
  <c r="BL129" i="4"/>
  <c r="BL145" i="4"/>
  <c r="BL18" i="4"/>
  <c r="BL34" i="4"/>
  <c r="BL50" i="4"/>
  <c r="BL66" i="4"/>
  <c r="BL82" i="4"/>
  <c r="BL98" i="4"/>
  <c r="BL114" i="4"/>
  <c r="BL130" i="4"/>
  <c r="BL146" i="4"/>
  <c r="BL19" i="4"/>
  <c r="BL35" i="4"/>
  <c r="BL51" i="4"/>
  <c r="BL67" i="4"/>
  <c r="BL83" i="4"/>
  <c r="BL99" i="4"/>
  <c r="BL115" i="4"/>
  <c r="BL131" i="4"/>
  <c r="BL147" i="4"/>
  <c r="BL13" i="4"/>
  <c r="BL77" i="4"/>
  <c r="BL126" i="4"/>
  <c r="BL14" i="4"/>
  <c r="BL78" i="4"/>
  <c r="BL127" i="4"/>
  <c r="BL29" i="4"/>
  <c r="BL79" i="4"/>
  <c r="BL128" i="4"/>
  <c r="BL30" i="4"/>
  <c r="BL80" i="4"/>
  <c r="BL139" i="4"/>
  <c r="BL31" i="4"/>
  <c r="BL91" i="4"/>
  <c r="BL141" i="4"/>
  <c r="BL43" i="4"/>
  <c r="BL93" i="4"/>
  <c r="BL142" i="4"/>
  <c r="BL45" i="4"/>
  <c r="BL94" i="4"/>
  <c r="BL143" i="4"/>
  <c r="BL46" i="4"/>
  <c r="BL95" i="4"/>
  <c r="BL144" i="4"/>
  <c r="BL47" i="4"/>
  <c r="BL96" i="4"/>
  <c r="BL155" i="4"/>
  <c r="BL48" i="4"/>
  <c r="BL107" i="4"/>
  <c r="BL61" i="4"/>
  <c r="BL110" i="4"/>
  <c r="BL62" i="4"/>
  <c r="BL111" i="4"/>
  <c r="BL75" i="4"/>
  <c r="BL125" i="4"/>
  <c r="AP151" i="4"/>
  <c r="AP132" i="4"/>
  <c r="AP113" i="4"/>
  <c r="AP89" i="4"/>
  <c r="AP69" i="4"/>
  <c r="AP44" i="4"/>
  <c r="AP21" i="4"/>
  <c r="AR146" i="4"/>
  <c r="AR122" i="4"/>
  <c r="AR90" i="4"/>
  <c r="AR58" i="4"/>
  <c r="AR18" i="4"/>
  <c r="AT124" i="4"/>
  <c r="AT75" i="4"/>
  <c r="AT24" i="4"/>
  <c r="AV127" i="4"/>
  <c r="AV60" i="4"/>
  <c r="AX146" i="4"/>
  <c r="AX78" i="4"/>
  <c r="AZ155" i="4"/>
  <c r="AZ21" i="4"/>
  <c r="BB33" i="4"/>
  <c r="BF3" i="4"/>
  <c r="BH78" i="4"/>
  <c r="BJ18" i="4"/>
  <c r="AP150" i="4"/>
  <c r="AP131" i="4"/>
  <c r="AP108" i="4"/>
  <c r="AP88" i="4"/>
  <c r="AP68" i="4"/>
  <c r="AP42" i="4"/>
  <c r="AP20" i="4"/>
  <c r="AR145" i="4"/>
  <c r="AR115" i="4"/>
  <c r="AR83" i="4"/>
  <c r="AR51" i="4"/>
  <c r="AR16" i="4"/>
  <c r="AT123" i="4"/>
  <c r="AT72" i="4"/>
  <c r="AT23" i="4"/>
  <c r="AV126" i="4"/>
  <c r="AV58" i="4"/>
  <c r="AX144" i="4"/>
  <c r="AX75" i="4"/>
  <c r="AZ138" i="4"/>
  <c r="AZ19" i="4"/>
  <c r="BB28" i="4"/>
  <c r="BF130" i="4"/>
  <c r="BH77" i="4"/>
  <c r="BJ5" i="4"/>
  <c r="AX150" i="4"/>
  <c r="AX10" i="4"/>
  <c r="AP149" i="4"/>
  <c r="AP130" i="4"/>
  <c r="AP107" i="4"/>
  <c r="AP87" i="4"/>
  <c r="AP67" i="4"/>
  <c r="AP41" i="4"/>
  <c r="AP19" i="4"/>
  <c r="AR144" i="4"/>
  <c r="AR114" i="4"/>
  <c r="AR82" i="4"/>
  <c r="AR50" i="4"/>
  <c r="AR15" i="4"/>
  <c r="AT120" i="4"/>
  <c r="AT71" i="4"/>
  <c r="AT22" i="4"/>
  <c r="AV116" i="4"/>
  <c r="AV47" i="4"/>
  <c r="AX133" i="4"/>
  <c r="AX65" i="4"/>
  <c r="AZ137" i="4"/>
  <c r="AZ12" i="4"/>
  <c r="BD155" i="4"/>
  <c r="BF128" i="4"/>
  <c r="BH73" i="4"/>
  <c r="BL123" i="4"/>
  <c r="AP148" i="4"/>
  <c r="AP129" i="4"/>
  <c r="AP106" i="4"/>
  <c r="AP86" i="4"/>
  <c r="AP66" i="4"/>
  <c r="AP40" i="4"/>
  <c r="AP18" i="4"/>
  <c r="AR143" i="4"/>
  <c r="AR113" i="4"/>
  <c r="AR81" i="4"/>
  <c r="AR49" i="4"/>
  <c r="AR14" i="4"/>
  <c r="AT119" i="4"/>
  <c r="AT70" i="4"/>
  <c r="AT12" i="4"/>
  <c r="AV114" i="4"/>
  <c r="AV46" i="4"/>
  <c r="AX132" i="4"/>
  <c r="AX64" i="4"/>
  <c r="AZ133" i="4"/>
  <c r="BB147" i="4"/>
  <c r="BD154" i="4"/>
  <c r="BF117" i="4"/>
  <c r="BH41" i="4"/>
  <c r="BL112" i="4"/>
  <c r="AZ87" i="4"/>
  <c r="BZ11" i="4"/>
  <c r="AP147" i="4"/>
  <c r="AP127" i="4"/>
  <c r="AP105" i="4"/>
  <c r="AP85" i="4"/>
  <c r="AP65" i="4"/>
  <c r="AP39" i="4"/>
  <c r="AR142" i="4"/>
  <c r="AR112" i="4"/>
  <c r="AR80" i="4"/>
  <c r="AR48" i="4"/>
  <c r="AR13" i="4"/>
  <c r="AT118" i="4"/>
  <c r="AT60" i="4"/>
  <c r="AT11" i="4"/>
  <c r="AV111" i="4"/>
  <c r="AV43" i="4"/>
  <c r="AX129" i="4"/>
  <c r="AX60" i="4"/>
  <c r="AZ116" i="4"/>
  <c r="BB146" i="4"/>
  <c r="BD149" i="4"/>
  <c r="BF92" i="4"/>
  <c r="BH33" i="4"/>
  <c r="BL109" i="4"/>
  <c r="AP12" i="4"/>
  <c r="AP28" i="4"/>
  <c r="AP13" i="4"/>
  <c r="AP29" i="4"/>
  <c r="AP45" i="4"/>
  <c r="AP61" i="4"/>
  <c r="AP77" i="4"/>
  <c r="AP93" i="4"/>
  <c r="AP109" i="4"/>
  <c r="AP125" i="4"/>
  <c r="AP141" i="4"/>
  <c r="AP14" i="4"/>
  <c r="AP30" i="4"/>
  <c r="AP46" i="4"/>
  <c r="AP62" i="4"/>
  <c r="AP78" i="4"/>
  <c r="AP94" i="4"/>
  <c r="AP110" i="4"/>
  <c r="AP126" i="4"/>
  <c r="AP142" i="4"/>
  <c r="AP15" i="4"/>
  <c r="AP31" i="4"/>
  <c r="AP47" i="4"/>
  <c r="AP63" i="4"/>
  <c r="AP79" i="4"/>
  <c r="AP95" i="4"/>
  <c r="AP111" i="4"/>
  <c r="AP16" i="4"/>
  <c r="AP32" i="4"/>
  <c r="AP48" i="4"/>
  <c r="AP64" i="4"/>
  <c r="AP80" i="4"/>
  <c r="AP96" i="4"/>
  <c r="AP112" i="4"/>
  <c r="AP128" i="4"/>
  <c r="AP144" i="4"/>
  <c r="AP11" i="4"/>
  <c r="AP27" i="4"/>
  <c r="AP43" i="4"/>
  <c r="AP59" i="4"/>
  <c r="AJ4" i="4"/>
  <c r="AJ3" i="4"/>
  <c r="AP146" i="4"/>
  <c r="AP124" i="4"/>
  <c r="AP104" i="4"/>
  <c r="AP84" i="4"/>
  <c r="AP60" i="4"/>
  <c r="AP38" i="4"/>
  <c r="AP10" i="4"/>
  <c r="AR141" i="4"/>
  <c r="AR111" i="4"/>
  <c r="AR79" i="4"/>
  <c r="AT3" i="4"/>
  <c r="AT108" i="4"/>
  <c r="AT59" i="4"/>
  <c r="AT8" i="4"/>
  <c r="AV109" i="4"/>
  <c r="AV41" i="4"/>
  <c r="AX127" i="4"/>
  <c r="AX58" i="4"/>
  <c r="AZ115" i="4"/>
  <c r="BB142" i="4"/>
  <c r="BD122" i="4"/>
  <c r="BH28" i="4"/>
  <c r="BL64" i="4"/>
  <c r="BF9" i="4"/>
  <c r="BF25" i="4"/>
  <c r="BF41" i="4"/>
  <c r="BF57" i="4"/>
  <c r="BF73" i="4"/>
  <c r="BF89" i="4"/>
  <c r="BF105" i="4"/>
  <c r="BF121" i="4"/>
  <c r="BF137" i="4"/>
  <c r="BF153" i="4"/>
  <c r="BF10" i="4"/>
  <c r="BF26" i="4"/>
  <c r="BF42" i="4"/>
  <c r="BF58" i="4"/>
  <c r="BF74" i="4"/>
  <c r="BF90" i="4"/>
  <c r="BF106" i="4"/>
  <c r="BF122" i="4"/>
  <c r="BF138" i="4"/>
  <c r="BF154" i="4"/>
  <c r="BF11" i="4"/>
  <c r="BF27" i="4"/>
  <c r="BF43" i="4"/>
  <c r="BF59" i="4"/>
  <c r="BF75" i="4"/>
  <c r="BF91" i="4"/>
  <c r="BF107" i="4"/>
  <c r="BF123" i="4"/>
  <c r="BF139" i="4"/>
  <c r="BF155" i="4"/>
  <c r="BF12" i="4"/>
  <c r="BF28" i="4"/>
  <c r="BF44" i="4"/>
  <c r="BF13" i="4"/>
  <c r="BF29" i="4"/>
  <c r="BF45" i="4"/>
  <c r="BF61" i="4"/>
  <c r="BF77" i="4"/>
  <c r="BF93" i="4"/>
  <c r="BF109" i="4"/>
  <c r="BF125" i="4"/>
  <c r="BF141" i="4"/>
  <c r="BF14" i="4"/>
  <c r="BF30" i="4"/>
  <c r="BF46" i="4"/>
  <c r="BF62" i="4"/>
  <c r="BF78" i="4"/>
  <c r="BF94" i="4"/>
  <c r="BF110" i="4"/>
  <c r="BF126" i="4"/>
  <c r="BF142" i="4"/>
  <c r="BF15" i="4"/>
  <c r="BF31" i="4"/>
  <c r="BF47" i="4"/>
  <c r="BF63" i="4"/>
  <c r="BF79" i="4"/>
  <c r="BF95" i="4"/>
  <c r="BF111" i="4"/>
  <c r="BF127" i="4"/>
  <c r="BF143" i="4"/>
  <c r="BF17" i="4"/>
  <c r="BF33" i="4"/>
  <c r="BF49" i="4"/>
  <c r="BF65" i="4"/>
  <c r="BF81" i="4"/>
  <c r="BF97" i="4"/>
  <c r="BF113" i="4"/>
  <c r="BF129" i="4"/>
  <c r="BF145" i="4"/>
  <c r="BF6" i="4"/>
  <c r="BF22" i="4"/>
  <c r="BF38" i="4"/>
  <c r="BF54" i="4"/>
  <c r="BF70" i="4"/>
  <c r="BF86" i="4"/>
  <c r="BF102" i="4"/>
  <c r="BF118" i="4"/>
  <c r="BF134" i="4"/>
  <c r="BF150" i="4"/>
  <c r="BF7" i="4"/>
  <c r="BF23" i="4"/>
  <c r="BF39" i="4"/>
  <c r="BF55" i="4"/>
  <c r="BF71" i="4"/>
  <c r="BF87" i="4"/>
  <c r="BF103" i="4"/>
  <c r="BF119" i="4"/>
  <c r="BF135" i="4"/>
  <c r="BF151" i="4"/>
  <c r="BF19" i="4"/>
  <c r="BF60" i="4"/>
  <c r="BF98" i="4"/>
  <c r="BF132" i="4"/>
  <c r="BF20" i="4"/>
  <c r="BF64" i="4"/>
  <c r="BF99" i="4"/>
  <c r="BF133" i="4"/>
  <c r="BF21" i="4"/>
  <c r="BF66" i="4"/>
  <c r="BF100" i="4"/>
  <c r="BF136" i="4"/>
  <c r="BF24" i="4"/>
  <c r="BF67" i="4"/>
  <c r="BF101" i="4"/>
  <c r="BF140" i="4"/>
  <c r="BF32" i="4"/>
  <c r="BF68" i="4"/>
  <c r="BF104" i="4"/>
  <c r="BF144" i="4"/>
  <c r="BF34" i="4"/>
  <c r="BF69" i="4"/>
  <c r="BF108" i="4"/>
  <c r="BF146" i="4"/>
  <c r="BF35" i="4"/>
  <c r="BF72" i="4"/>
  <c r="BF112" i="4"/>
  <c r="BF147" i="4"/>
  <c r="BF36" i="4"/>
  <c r="BF76" i="4"/>
  <c r="BF114" i="4"/>
  <c r="BF148" i="4"/>
  <c r="BF37" i="4"/>
  <c r="BF80" i="4"/>
  <c r="BF115" i="4"/>
  <c r="BF149" i="4"/>
  <c r="BF40" i="4"/>
  <c r="BF82" i="4"/>
  <c r="BF116" i="4"/>
  <c r="BF152" i="4"/>
  <c r="BF4" i="4"/>
  <c r="BF50" i="4"/>
  <c r="BF84" i="4"/>
  <c r="BF120" i="4"/>
  <c r="BF5" i="4"/>
  <c r="BF51" i="4"/>
  <c r="BF85" i="4"/>
  <c r="BF124" i="4"/>
  <c r="BF18" i="4"/>
  <c r="BF56" i="4"/>
  <c r="BF96" i="4"/>
  <c r="BF131" i="4"/>
  <c r="AV64" i="4"/>
  <c r="AX82" i="4"/>
  <c r="AZ43" i="4"/>
  <c r="AR5" i="4"/>
  <c r="AR21" i="4"/>
  <c r="AR37" i="4"/>
  <c r="AR53" i="4"/>
  <c r="AR69" i="4"/>
  <c r="AR85" i="4"/>
  <c r="AR101" i="4"/>
  <c r="AR117" i="4"/>
  <c r="AR133" i="4"/>
  <c r="AR149" i="4"/>
  <c r="AR6" i="4"/>
  <c r="AR22" i="4"/>
  <c r="AR38" i="4"/>
  <c r="AR54" i="4"/>
  <c r="AR70" i="4"/>
  <c r="AR86" i="4"/>
  <c r="AR102" i="4"/>
  <c r="AR118" i="4"/>
  <c r="AR134" i="4"/>
  <c r="AR150" i="4"/>
  <c r="AR7" i="4"/>
  <c r="AR23" i="4"/>
  <c r="AR39" i="4"/>
  <c r="AR55" i="4"/>
  <c r="AR71" i="4"/>
  <c r="AR87" i="4"/>
  <c r="AR103" i="4"/>
  <c r="AR119" i="4"/>
  <c r="AR135" i="4"/>
  <c r="AR151" i="4"/>
  <c r="AR8" i="4"/>
  <c r="AR24" i="4"/>
  <c r="AR40" i="4"/>
  <c r="AR56" i="4"/>
  <c r="AR72" i="4"/>
  <c r="AR88" i="4"/>
  <c r="AR104" i="4"/>
  <c r="AR120" i="4"/>
  <c r="AR136" i="4"/>
  <c r="AR152" i="4"/>
  <c r="AR9" i="4"/>
  <c r="AR25" i="4"/>
  <c r="AR41" i="4"/>
  <c r="AR57" i="4"/>
  <c r="AR73" i="4"/>
  <c r="AR89" i="4"/>
  <c r="AR105" i="4"/>
  <c r="AR121" i="4"/>
  <c r="AR137" i="4"/>
  <c r="AR153" i="4"/>
  <c r="AR10" i="4"/>
  <c r="AR26" i="4"/>
  <c r="AR42" i="4"/>
  <c r="AR11" i="4"/>
  <c r="AR27" i="4"/>
  <c r="AR43" i="4"/>
  <c r="AR59" i="4"/>
  <c r="AR75" i="4"/>
  <c r="AR91" i="4"/>
  <c r="AR107" i="4"/>
  <c r="AR12" i="4"/>
  <c r="AR28" i="4"/>
  <c r="AR44" i="4"/>
  <c r="AR60" i="4"/>
  <c r="AR76" i="4"/>
  <c r="AR92" i="4"/>
  <c r="AR108" i="4"/>
  <c r="AR124" i="4"/>
  <c r="AR140" i="4"/>
  <c r="AR17" i="4"/>
  <c r="AR4" i="4"/>
  <c r="AR20" i="4"/>
  <c r="AR36" i="4"/>
  <c r="AR52" i="4"/>
  <c r="AR68" i="4"/>
  <c r="AR84" i="4"/>
  <c r="AR100" i="4"/>
  <c r="AR116" i="4"/>
  <c r="AR132" i="4"/>
  <c r="AR148" i="4"/>
  <c r="AP145" i="4"/>
  <c r="AP123" i="4"/>
  <c r="AP103" i="4"/>
  <c r="AP83" i="4"/>
  <c r="AP58" i="4"/>
  <c r="AP37" i="4"/>
  <c r="AP9" i="4"/>
  <c r="AR139" i="4"/>
  <c r="AR110" i="4"/>
  <c r="AR78" i="4"/>
  <c r="AR46" i="4"/>
  <c r="AT155" i="4"/>
  <c r="AT107" i="4"/>
  <c r="AT56" i="4"/>
  <c r="AV98" i="4"/>
  <c r="AV30" i="4"/>
  <c r="AX116" i="4"/>
  <c r="AX48" i="4"/>
  <c r="AZ108" i="4"/>
  <c r="BB122" i="4"/>
  <c r="BD121" i="4"/>
  <c r="BF83" i="4"/>
  <c r="BJ149" i="4"/>
  <c r="BL63" i="4"/>
  <c r="AV132" i="4"/>
  <c r="AT14" i="4"/>
  <c r="AT30" i="4"/>
  <c r="AT46" i="4"/>
  <c r="AT62" i="4"/>
  <c r="AT78" i="4"/>
  <c r="AT94" i="4"/>
  <c r="AT110" i="4"/>
  <c r="AT126" i="4"/>
  <c r="AT142" i="4"/>
  <c r="AT15" i="4"/>
  <c r="AT31" i="4"/>
  <c r="AT47" i="4"/>
  <c r="AT63" i="4"/>
  <c r="AT79" i="4"/>
  <c r="AT95" i="4"/>
  <c r="AT111" i="4"/>
  <c r="AT127" i="4"/>
  <c r="AT143" i="4"/>
  <c r="AT16" i="4"/>
  <c r="AT32" i="4"/>
  <c r="AT48" i="4"/>
  <c r="AT64" i="4"/>
  <c r="AT80" i="4"/>
  <c r="AT96" i="4"/>
  <c r="AT112" i="4"/>
  <c r="AT128" i="4"/>
  <c r="AT144" i="4"/>
  <c r="AT17" i="4"/>
  <c r="AT33" i="4"/>
  <c r="AT49" i="4"/>
  <c r="AT65" i="4"/>
  <c r="AT81" i="4"/>
  <c r="AT97" i="4"/>
  <c r="AT113" i="4"/>
  <c r="AT129" i="4"/>
  <c r="AT145" i="4"/>
  <c r="AT18" i="4"/>
  <c r="AT34" i="4"/>
  <c r="AT50" i="4"/>
  <c r="AT66" i="4"/>
  <c r="AT82" i="4"/>
  <c r="AT98" i="4"/>
  <c r="AT114" i="4"/>
  <c r="AT130" i="4"/>
  <c r="AT146" i="4"/>
  <c r="AT19" i="4"/>
  <c r="AT35" i="4"/>
  <c r="AT51" i="4"/>
  <c r="AT67" i="4"/>
  <c r="AT83" i="4"/>
  <c r="AT99" i="4"/>
  <c r="AT115" i="4"/>
  <c r="AT131" i="4"/>
  <c r="AT147" i="4"/>
  <c r="AT4" i="4"/>
  <c r="AT20" i="4"/>
  <c r="AT36" i="4"/>
  <c r="AT52" i="4"/>
  <c r="AT68" i="4"/>
  <c r="AT84" i="4"/>
  <c r="AT100" i="4"/>
  <c r="AT116" i="4"/>
  <c r="AT132" i="4"/>
  <c r="AT148" i="4"/>
  <c r="AT5" i="4"/>
  <c r="AT21" i="4"/>
  <c r="AT37" i="4"/>
  <c r="AT53" i="4"/>
  <c r="AT69" i="4"/>
  <c r="AT85" i="4"/>
  <c r="AT101" i="4"/>
  <c r="AT117" i="4"/>
  <c r="AT133" i="4"/>
  <c r="AT149" i="4"/>
  <c r="AT9" i="4"/>
  <c r="AT25" i="4"/>
  <c r="AT41" i="4"/>
  <c r="AT57" i="4"/>
  <c r="AT73" i="4"/>
  <c r="AT89" i="4"/>
  <c r="AT105" i="4"/>
  <c r="AT121" i="4"/>
  <c r="AT137" i="4"/>
  <c r="AT10" i="4"/>
  <c r="AT26" i="4"/>
  <c r="AT42" i="4"/>
  <c r="AT58" i="4"/>
  <c r="AT74" i="4"/>
  <c r="AT90" i="4"/>
  <c r="AT106" i="4"/>
  <c r="AT122" i="4"/>
  <c r="AT138" i="4"/>
  <c r="AT154" i="4"/>
  <c r="AT13" i="4"/>
  <c r="AT29" i="4"/>
  <c r="AT45" i="4"/>
  <c r="AT61" i="4"/>
  <c r="AT77" i="4"/>
  <c r="AT93" i="4"/>
  <c r="AT109" i="4"/>
  <c r="AT125" i="4"/>
  <c r="AT141" i="4"/>
  <c r="AP143" i="4"/>
  <c r="AP122" i="4"/>
  <c r="AP102" i="4"/>
  <c r="AP82" i="4"/>
  <c r="AP57" i="4"/>
  <c r="AP36" i="4"/>
  <c r="AP8" i="4"/>
  <c r="AR138" i="4"/>
  <c r="AR109" i="4"/>
  <c r="AR77" i="4"/>
  <c r="AR45" i="4"/>
  <c r="AT153" i="4"/>
  <c r="AT104" i="4"/>
  <c r="AT55" i="4"/>
  <c r="AT6" i="4"/>
  <c r="AV97" i="4"/>
  <c r="AV29" i="4"/>
  <c r="AX115" i="4"/>
  <c r="AX47" i="4"/>
  <c r="AZ91" i="4"/>
  <c r="BB118" i="4"/>
  <c r="BD111" i="4"/>
  <c r="BF53" i="4"/>
  <c r="BJ148" i="4"/>
  <c r="BL59" i="4"/>
  <c r="AJ142" i="4"/>
  <c r="AJ126" i="4"/>
  <c r="AJ46" i="4"/>
  <c r="AJ141" i="4"/>
  <c r="AJ110" i="4"/>
  <c r="AJ94" i="4"/>
  <c r="AJ78" i="4"/>
  <c r="AJ62" i="4"/>
  <c r="AJ30" i="4"/>
  <c r="AJ14" i="4"/>
  <c r="AJ13" i="4"/>
  <c r="AJ28" i="4"/>
  <c r="AJ107" i="4"/>
  <c r="AJ154" i="4"/>
  <c r="AJ10" i="4"/>
  <c r="AJ57" i="4"/>
  <c r="AJ120" i="4"/>
  <c r="AJ56" i="4"/>
  <c r="AJ151" i="4"/>
  <c r="AJ147" i="4"/>
  <c r="AJ131" i="4"/>
  <c r="AJ115" i="4"/>
  <c r="AJ99" i="4"/>
  <c r="AJ83" i="4"/>
  <c r="AJ67" i="4"/>
  <c r="AJ51" i="4"/>
  <c r="AJ35" i="4"/>
  <c r="AJ19" i="4"/>
  <c r="AJ29" i="4"/>
  <c r="AJ76" i="4"/>
  <c r="AJ123" i="4"/>
  <c r="AJ122" i="4"/>
  <c r="AJ73" i="4"/>
  <c r="AJ61" i="4"/>
  <c r="AJ60" i="4"/>
  <c r="AJ91" i="4"/>
  <c r="AJ106" i="4"/>
  <c r="AJ153" i="4"/>
  <c r="AJ25" i="4"/>
  <c r="AJ114" i="4"/>
  <c r="AJ82" i="4"/>
  <c r="AJ34" i="4"/>
  <c r="AJ145" i="4"/>
  <c r="AJ97" i="4"/>
  <c r="AJ65" i="4"/>
  <c r="AJ33" i="4"/>
  <c r="AJ144" i="4"/>
  <c r="AJ128" i="4"/>
  <c r="AJ112" i="4"/>
  <c r="AJ96" i="4"/>
  <c r="AJ80" i="4"/>
  <c r="AJ64" i="4"/>
  <c r="AJ48" i="4"/>
  <c r="AJ32" i="4"/>
  <c r="AJ16" i="4"/>
  <c r="AJ93" i="4"/>
  <c r="AJ44" i="4"/>
  <c r="AJ139" i="4"/>
  <c r="AJ59" i="4"/>
  <c r="AJ138" i="4"/>
  <c r="AJ42" i="4"/>
  <c r="AJ105" i="4"/>
  <c r="AJ146" i="4"/>
  <c r="AJ130" i="4"/>
  <c r="AJ98" i="4"/>
  <c r="AJ66" i="4"/>
  <c r="AJ50" i="4"/>
  <c r="AJ18" i="4"/>
  <c r="AJ129" i="4"/>
  <c r="AJ113" i="4"/>
  <c r="AJ81" i="4"/>
  <c r="AJ49" i="4"/>
  <c r="AJ17" i="4"/>
  <c r="AJ143" i="4"/>
  <c r="AJ127" i="4"/>
  <c r="AJ111" i="4"/>
  <c r="AJ95" i="4"/>
  <c r="AJ79" i="4"/>
  <c r="AJ63" i="4"/>
  <c r="AJ47" i="4"/>
  <c r="AJ31" i="4"/>
  <c r="AJ15" i="4"/>
  <c r="AJ125" i="4"/>
  <c r="AJ108" i="4"/>
  <c r="AJ11" i="4"/>
  <c r="AJ58" i="4"/>
  <c r="AJ89" i="4"/>
  <c r="AJ39" i="4"/>
  <c r="AJ23" i="4"/>
  <c r="AJ7" i="4"/>
  <c r="AJ45" i="4"/>
  <c r="AJ92" i="4"/>
  <c r="AJ75" i="4"/>
  <c r="AJ90" i="4"/>
  <c r="AJ137" i="4"/>
  <c r="AJ9" i="4"/>
  <c r="AJ104" i="4"/>
  <c r="AJ40" i="4"/>
  <c r="AJ119" i="4"/>
  <c r="AJ87" i="4"/>
  <c r="AJ71" i="4"/>
  <c r="AJ55" i="4"/>
  <c r="AJ150" i="4"/>
  <c r="AJ134" i="4"/>
  <c r="AJ118" i="4"/>
  <c r="AJ102" i="4"/>
  <c r="AJ86" i="4"/>
  <c r="AJ70" i="4"/>
  <c r="AJ54" i="4"/>
  <c r="AJ38" i="4"/>
  <c r="AJ22" i="4"/>
  <c r="AJ6" i="4"/>
  <c r="AJ109" i="4"/>
  <c r="AJ140" i="4"/>
  <c r="AJ12" i="4"/>
  <c r="AJ43" i="4"/>
  <c r="AJ26" i="4"/>
  <c r="AJ121" i="4"/>
  <c r="AJ152" i="4"/>
  <c r="AJ88" i="4"/>
  <c r="AJ24" i="4"/>
  <c r="AJ135" i="4"/>
  <c r="AJ103" i="4"/>
  <c r="AJ149" i="4"/>
  <c r="AJ133" i="4"/>
  <c r="AJ117" i="4"/>
  <c r="AJ101" i="4"/>
  <c r="AJ85" i="4"/>
  <c r="AJ69" i="4"/>
  <c r="AJ53" i="4"/>
  <c r="AJ37" i="4"/>
  <c r="AJ21" i="4"/>
  <c r="AJ5" i="4"/>
  <c r="AJ77" i="4"/>
  <c r="AJ124" i="4"/>
  <c r="AJ155" i="4"/>
  <c r="AJ27" i="4"/>
  <c r="AJ74" i="4"/>
  <c r="AJ41" i="4"/>
  <c r="AJ136" i="4"/>
  <c r="AJ72" i="4"/>
  <c r="AJ8" i="4"/>
  <c r="AJ148" i="4"/>
  <c r="AJ132" i="4"/>
  <c r="AJ116" i="4"/>
  <c r="AJ100" i="4"/>
  <c r="AJ84" i="4"/>
  <c r="AJ68" i="4"/>
  <c r="AJ52" i="4"/>
  <c r="AJ36" i="4"/>
  <c r="AJ20" i="4"/>
  <c r="CC4" i="9"/>
  <c r="CC5" i="9"/>
  <c r="CC6" i="9"/>
  <c r="CC7" i="9"/>
  <c r="CC8" i="9"/>
  <c r="CC9" i="9"/>
  <c r="CC10" i="9"/>
  <c r="CC11" i="9"/>
  <c r="CC12" i="9"/>
  <c r="CC13" i="9"/>
  <c r="CC14" i="9"/>
  <c r="CC15" i="9"/>
  <c r="CC3" i="9"/>
  <c r="Q36" i="38" l="1" a="1"/>
  <c r="Q36" i="38" s="1"/>
  <c r="T36" i="38" s="1"/>
  <c r="V35" i="38"/>
  <c r="U35" i="38"/>
  <c r="S35" i="38"/>
  <c r="BZ13" i="4"/>
  <c r="BS13" i="1" s="1"/>
  <c r="BZ9" i="4"/>
  <c r="BZ10" i="4"/>
  <c r="BR11" i="1"/>
  <c r="BP11" i="1"/>
  <c r="BQ11" i="1"/>
  <c r="BS11" i="1"/>
  <c r="BZ12" i="4"/>
  <c r="BZ15" i="4"/>
  <c r="BZ16" i="4"/>
  <c r="BZ17" i="4"/>
  <c r="BZ18" i="4"/>
  <c r="BZ19" i="4"/>
  <c r="BZ14" i="4"/>
  <c r="BZ7" i="4"/>
  <c r="BZ8" i="4"/>
  <c r="BZ5" i="4"/>
  <c r="W35" i="38" l="1"/>
  <c r="V36" i="38"/>
  <c r="Q37" i="38" a="1"/>
  <c r="Q37" i="38" s="1"/>
  <c r="U37" i="38" s="1"/>
  <c r="U36" i="38"/>
  <c r="S36" i="38"/>
  <c r="BP13" i="1"/>
  <c r="BR13" i="1"/>
  <c r="BQ13" i="1"/>
  <c r="BR9" i="1"/>
  <c r="BS9" i="1"/>
  <c r="BQ9" i="1"/>
  <c r="BP9" i="1"/>
  <c r="BP10" i="1"/>
  <c r="BR10" i="1"/>
  <c r="BQ10" i="1"/>
  <c r="BS10" i="1"/>
  <c r="BQ12" i="1"/>
  <c r="BP12" i="1"/>
  <c r="BR12" i="1"/>
  <c r="BS12" i="1"/>
  <c r="BQ15" i="1"/>
  <c r="BR15" i="1"/>
  <c r="BS15" i="1"/>
  <c r="BP15" i="1"/>
  <c r="BS17" i="1"/>
  <c r="BP17" i="1"/>
  <c r="BQ17" i="1"/>
  <c r="BR17" i="1"/>
  <c r="BR18" i="1"/>
  <c r="BP18" i="1"/>
  <c r="BS18" i="1"/>
  <c r="BQ18" i="1"/>
  <c r="BS19" i="1"/>
  <c r="BR19" i="1"/>
  <c r="BP19" i="1"/>
  <c r="BQ19" i="1"/>
  <c r="BP7" i="1"/>
  <c r="BS7" i="1"/>
  <c r="BR7" i="1"/>
  <c r="BQ7" i="1"/>
  <c r="BR8" i="1"/>
  <c r="BS8" i="1"/>
  <c r="BQ8" i="1"/>
  <c r="BP8" i="1"/>
  <c r="BS5" i="1"/>
  <c r="BR5" i="1"/>
  <c r="BQ5" i="1"/>
  <c r="BP5" i="1"/>
  <c r="BS14" i="1"/>
  <c r="BQ14" i="1"/>
  <c r="BR14" i="1"/>
  <c r="BP14" i="1"/>
  <c r="BP16" i="1"/>
  <c r="BR16" i="1"/>
  <c r="BQ16" i="1"/>
  <c r="BS16" i="1"/>
  <c r="BP6" i="1"/>
  <c r="BQ6" i="1"/>
  <c r="BR6" i="1"/>
  <c r="BS6" i="1"/>
  <c r="AR6" i="9"/>
  <c r="W36" i="38" l="1"/>
  <c r="V37" i="38"/>
  <c r="S37" i="38"/>
  <c r="Q38" i="38" a="1"/>
  <c r="Q38" i="38" s="1"/>
  <c r="U38" i="38" s="1"/>
  <c r="T37" i="38"/>
  <c r="AP58" i="9"/>
  <c r="AP59" i="9"/>
  <c r="AP60" i="9"/>
  <c r="AP61" i="9"/>
  <c r="AP62" i="9"/>
  <c r="AP57" i="9"/>
  <c r="AS58" i="9"/>
  <c r="AS59" i="9"/>
  <c r="AS60" i="9"/>
  <c r="AS61" i="9"/>
  <c r="AS62" i="9"/>
  <c r="AS57" i="9"/>
  <c r="CG32" i="9"/>
  <c r="CI32" i="9"/>
  <c r="CQ32" i="9"/>
  <c r="CG31" i="9"/>
  <c r="CI31" i="9"/>
  <c r="CQ31" i="9"/>
  <c r="S15" i="9"/>
  <c r="S14" i="9"/>
  <c r="S13" i="9"/>
  <c r="S7" i="9"/>
  <c r="S6" i="9"/>
  <c r="S5" i="9"/>
  <c r="S12" i="9"/>
  <c r="S10" i="9"/>
  <c r="S8" i="9"/>
  <c r="J37" i="9" l="1"/>
  <c r="J36" i="9"/>
  <c r="S19" i="9"/>
  <c r="J63" i="9" s="1"/>
  <c r="I58" i="9"/>
  <c r="I62" i="9"/>
  <c r="I59" i="9"/>
  <c r="I61" i="9"/>
  <c r="I60" i="9"/>
  <c r="W37" i="38"/>
  <c r="T38" i="38"/>
  <c r="S38" i="38"/>
  <c r="Q39" i="38" a="1"/>
  <c r="Q39" i="38" s="1"/>
  <c r="S39" i="38" s="1"/>
  <c r="V38" i="38"/>
  <c r="AU6" i="9"/>
  <c r="AV8" i="9"/>
  <c r="AV9" i="9"/>
  <c r="AV10" i="9"/>
  <c r="AV12" i="9"/>
  <c r="AV13" i="9"/>
  <c r="AV14" i="9"/>
  <c r="AV15" i="9"/>
  <c r="AV16" i="9"/>
  <c r="AV17" i="9"/>
  <c r="AU7" i="9"/>
  <c r="AU8" i="9"/>
  <c r="AU9" i="9"/>
  <c r="AU10" i="9"/>
  <c r="AU11" i="9"/>
  <c r="AU12" i="9"/>
  <c r="AU13" i="9"/>
  <c r="AU14" i="9"/>
  <c r="AU15" i="9"/>
  <c r="AU16" i="9"/>
  <c r="AU17" i="9"/>
  <c r="AT6" i="9"/>
  <c r="AT7" i="9"/>
  <c r="AT8" i="9"/>
  <c r="AT9" i="9"/>
  <c r="AT10" i="9"/>
  <c r="AT11" i="9"/>
  <c r="AT12" i="9"/>
  <c r="AT13" i="9"/>
  <c r="AT14" i="9"/>
  <c r="AT15" i="9"/>
  <c r="AT16" i="9"/>
  <c r="AT17" i="9"/>
  <c r="L18" i="9"/>
  <c r="AS7" i="9"/>
  <c r="I7" i="9" s="1"/>
  <c r="D10" i="18" s="1"/>
  <c r="AS8" i="9"/>
  <c r="I8" i="9" s="1"/>
  <c r="D11" i="18" s="1"/>
  <c r="AS9" i="9"/>
  <c r="AS10" i="9"/>
  <c r="AS11" i="9"/>
  <c r="AS12" i="9"/>
  <c r="AS13" i="9"/>
  <c r="AS14" i="9"/>
  <c r="AS15" i="9"/>
  <c r="AS16" i="9"/>
  <c r="AS17" i="9"/>
  <c r="AR7" i="9"/>
  <c r="AR8" i="9"/>
  <c r="AR9" i="9"/>
  <c r="AR10" i="9"/>
  <c r="AR11" i="9"/>
  <c r="AR12" i="9"/>
  <c r="AR13" i="9"/>
  <c r="AR14" i="9"/>
  <c r="AR15" i="9"/>
  <c r="AR16" i="9"/>
  <c r="AR17" i="9"/>
  <c r="AW7" i="9"/>
  <c r="AW8" i="9"/>
  <c r="AW9" i="9"/>
  <c r="AW10" i="9"/>
  <c r="AW11" i="9"/>
  <c r="AW12" i="9"/>
  <c r="AW13" i="9"/>
  <c r="AW14" i="9"/>
  <c r="AW15" i="9"/>
  <c r="AW16" i="9"/>
  <c r="AW17" i="9"/>
  <c r="AR5" i="9"/>
  <c r="AQ36" i="9" l="1"/>
  <c r="F62" i="10"/>
  <c r="AQ37" i="9"/>
  <c r="F63" i="10"/>
  <c r="I15" i="9"/>
  <c r="D18" i="18" s="1"/>
  <c r="I14" i="9"/>
  <c r="D17" i="18" s="1"/>
  <c r="I13" i="9"/>
  <c r="I12" i="9"/>
  <c r="I11" i="9"/>
  <c r="D14" i="18" s="1"/>
  <c r="I10" i="9"/>
  <c r="D13" i="18" s="1"/>
  <c r="I17" i="9"/>
  <c r="D20" i="18" s="1"/>
  <c r="I9" i="9"/>
  <c r="D12" i="18" s="1"/>
  <c r="I16" i="9"/>
  <c r="D19" i="18" s="1"/>
  <c r="D21" i="18"/>
  <c r="I57" i="9"/>
  <c r="J57" i="9" s="1"/>
  <c r="J60" i="9"/>
  <c r="D26" i="18"/>
  <c r="J61" i="9"/>
  <c r="D27" i="18"/>
  <c r="J62" i="9"/>
  <c r="D28" i="18"/>
  <c r="J58" i="9"/>
  <c r="D24" i="18"/>
  <c r="J59" i="9"/>
  <c r="D25" i="18"/>
  <c r="J55" i="9"/>
  <c r="AQ55" i="9" s="1"/>
  <c r="J8" i="9"/>
  <c r="J7" i="9"/>
  <c r="W38" i="38"/>
  <c r="V39" i="38"/>
  <c r="W39" i="38" s="1"/>
  <c r="T39" i="38"/>
  <c r="U39" i="38"/>
  <c r="Q40" i="38" a="1"/>
  <c r="Q40" i="38" s="1"/>
  <c r="T40" i="38" s="1"/>
  <c r="AP6" i="9"/>
  <c r="AP7" i="9"/>
  <c r="AP8" i="9"/>
  <c r="AP9" i="9"/>
  <c r="AP10" i="9"/>
  <c r="AP11" i="9"/>
  <c r="AP5" i="9"/>
  <c r="AU5" i="9"/>
  <c r="AT5" i="9"/>
  <c r="AS5" i="9"/>
  <c r="I5" i="9" s="1"/>
  <c r="J9" i="9" l="1"/>
  <c r="J10" i="9"/>
  <c r="D15" i="18"/>
  <c r="J11" i="9"/>
  <c r="D16" i="18"/>
  <c r="D23" i="18"/>
  <c r="J5" i="9"/>
  <c r="D8" i="18"/>
  <c r="U40" i="38"/>
  <c r="Q41" i="38" a="1"/>
  <c r="Q41" i="38" s="1"/>
  <c r="V41" i="38" s="1"/>
  <c r="V40" i="38"/>
  <c r="S40" i="38"/>
  <c r="AJ4" i="7"/>
  <c r="AJ5" i="7"/>
  <c r="AJ6" i="7"/>
  <c r="AJ7" i="7"/>
  <c r="AJ8" i="7"/>
  <c r="AJ9" i="7"/>
  <c r="AJ10" i="7"/>
  <c r="AJ11" i="7"/>
  <c r="AJ12" i="7"/>
  <c r="AJ13" i="7"/>
  <c r="AJ14" i="7"/>
  <c r="AJ15" i="7"/>
  <c r="AJ16" i="7"/>
  <c r="AJ17" i="7"/>
  <c r="AJ18" i="7"/>
  <c r="AJ19" i="7"/>
  <c r="AJ20" i="7"/>
  <c r="AJ21" i="7"/>
  <c r="AJ22" i="7"/>
  <c r="AJ23" i="7"/>
  <c r="AJ24" i="7"/>
  <c r="AJ25" i="7"/>
  <c r="AJ26" i="7"/>
  <c r="AJ27" i="7"/>
  <c r="AJ28" i="7"/>
  <c r="AJ29" i="7"/>
  <c r="AJ30" i="7"/>
  <c r="AJ31" i="7"/>
  <c r="AJ32" i="7"/>
  <c r="AJ33" i="7"/>
  <c r="AJ34" i="7"/>
  <c r="AJ35" i="7"/>
  <c r="AJ36" i="7"/>
  <c r="AJ37" i="7"/>
  <c r="AJ38" i="7"/>
  <c r="AJ39" i="7"/>
  <c r="AJ40" i="7"/>
  <c r="AJ41" i="7"/>
  <c r="AJ42" i="7"/>
  <c r="AJ43" i="7"/>
  <c r="AJ44" i="7"/>
  <c r="AJ45" i="7"/>
  <c r="AJ46" i="7"/>
  <c r="AJ47" i="7"/>
  <c r="AJ48" i="7"/>
  <c r="AJ49" i="7"/>
  <c r="AJ50" i="7"/>
  <c r="AJ51" i="7"/>
  <c r="AJ52" i="7"/>
  <c r="AJ53" i="7"/>
  <c r="AJ54" i="7"/>
  <c r="AJ55" i="7"/>
  <c r="AJ56" i="7"/>
  <c r="AJ57" i="7"/>
  <c r="AJ58" i="7"/>
  <c r="AJ59" i="7"/>
  <c r="AJ60" i="7"/>
  <c r="AJ61" i="7"/>
  <c r="AJ62" i="7"/>
  <c r="AJ63" i="7"/>
  <c r="AJ64" i="7"/>
  <c r="AJ65" i="7"/>
  <c r="AJ66" i="7"/>
  <c r="AJ67" i="7"/>
  <c r="AJ68" i="7"/>
  <c r="AJ69" i="7"/>
  <c r="AJ70" i="7"/>
  <c r="AJ71" i="7"/>
  <c r="AJ72" i="7"/>
  <c r="AJ73" i="7"/>
  <c r="AJ74" i="7"/>
  <c r="AJ75" i="7"/>
  <c r="AJ76" i="7"/>
  <c r="AJ77" i="7"/>
  <c r="AJ78" i="7"/>
  <c r="AJ79" i="7"/>
  <c r="AJ80" i="7"/>
  <c r="AJ81" i="7"/>
  <c r="AJ82" i="7"/>
  <c r="AJ83" i="7"/>
  <c r="AJ84" i="7"/>
  <c r="AJ85" i="7"/>
  <c r="AJ86" i="7"/>
  <c r="AJ87" i="7"/>
  <c r="AJ88" i="7"/>
  <c r="AJ89" i="7"/>
  <c r="AJ90" i="7"/>
  <c r="AJ91" i="7"/>
  <c r="AJ92" i="7"/>
  <c r="AJ93" i="7"/>
  <c r="AJ94" i="7"/>
  <c r="AJ95" i="7"/>
  <c r="AJ96" i="7"/>
  <c r="AJ97" i="7"/>
  <c r="AJ98" i="7"/>
  <c r="AJ99" i="7"/>
  <c r="AJ100" i="7"/>
  <c r="AJ101" i="7"/>
  <c r="AJ102" i="7"/>
  <c r="AJ103" i="7"/>
  <c r="AJ104" i="7"/>
  <c r="AJ105" i="7"/>
  <c r="AJ106" i="7"/>
  <c r="AJ107" i="7"/>
  <c r="AJ108" i="7"/>
  <c r="AJ109" i="7"/>
  <c r="AJ110" i="7"/>
  <c r="AJ111" i="7"/>
  <c r="AJ112" i="7"/>
  <c r="AJ113" i="7"/>
  <c r="AJ114" i="7"/>
  <c r="AJ115" i="7"/>
  <c r="AJ116" i="7"/>
  <c r="AJ117" i="7"/>
  <c r="AJ118" i="7"/>
  <c r="AJ119" i="7"/>
  <c r="AJ120" i="7"/>
  <c r="AJ121" i="7"/>
  <c r="AJ122" i="7"/>
  <c r="AJ123" i="7"/>
  <c r="AJ124" i="7"/>
  <c r="AJ125" i="7"/>
  <c r="AJ126" i="7"/>
  <c r="AJ127" i="7"/>
  <c r="AJ128" i="7"/>
  <c r="AJ129" i="7"/>
  <c r="AJ130" i="7"/>
  <c r="AJ131" i="7"/>
  <c r="AJ132" i="7"/>
  <c r="AJ133" i="7"/>
  <c r="AJ134" i="7"/>
  <c r="AJ135" i="7"/>
  <c r="AJ136" i="7"/>
  <c r="AJ137" i="7"/>
  <c r="AJ138" i="7"/>
  <c r="AJ139" i="7"/>
  <c r="AJ140" i="7"/>
  <c r="AJ141" i="7"/>
  <c r="AJ142" i="7"/>
  <c r="AJ143" i="7"/>
  <c r="AJ144" i="7"/>
  <c r="AJ145" i="7"/>
  <c r="AJ146" i="7"/>
  <c r="AJ147" i="7"/>
  <c r="AJ148" i="7"/>
  <c r="AJ149" i="7"/>
  <c r="AJ150" i="7"/>
  <c r="AJ151" i="7"/>
  <c r="AJ152" i="7"/>
  <c r="AJ153" i="7"/>
  <c r="AJ154" i="7"/>
  <c r="AJ155" i="7"/>
  <c r="AJ156" i="7"/>
  <c r="AJ157" i="7"/>
  <c r="AJ158" i="7"/>
  <c r="AJ159" i="7"/>
  <c r="AJ160" i="7"/>
  <c r="AJ161" i="7"/>
  <c r="AJ162" i="7"/>
  <c r="AJ163" i="7"/>
  <c r="AJ164" i="7"/>
  <c r="AJ165" i="7"/>
  <c r="AJ166" i="7"/>
  <c r="AJ167" i="7"/>
  <c r="AJ168" i="7"/>
  <c r="AJ169" i="7"/>
  <c r="AJ170" i="7"/>
  <c r="AJ171" i="7"/>
  <c r="AJ172" i="7"/>
  <c r="AJ173" i="7"/>
  <c r="AJ174" i="7"/>
  <c r="AJ175" i="7"/>
  <c r="AJ176" i="7"/>
  <c r="AJ177" i="7"/>
  <c r="AJ178" i="7"/>
  <c r="AJ179" i="7"/>
  <c r="AJ180" i="7"/>
  <c r="AJ181" i="7"/>
  <c r="AJ182" i="7"/>
  <c r="AJ183" i="7"/>
  <c r="AJ184" i="7"/>
  <c r="AJ185" i="7"/>
  <c r="AJ186" i="7"/>
  <c r="AJ187" i="7"/>
  <c r="AJ188" i="7"/>
  <c r="AJ189" i="7"/>
  <c r="AJ190" i="7"/>
  <c r="AJ191" i="7"/>
  <c r="AJ192" i="7"/>
  <c r="AJ193" i="7"/>
  <c r="AJ194" i="7"/>
  <c r="AJ195" i="7"/>
  <c r="AJ196" i="7"/>
  <c r="AJ197" i="7"/>
  <c r="AJ198" i="7"/>
  <c r="AJ199" i="7"/>
  <c r="AJ200" i="7"/>
  <c r="AJ201" i="7"/>
  <c r="AJ202" i="7"/>
  <c r="AJ203" i="7"/>
  <c r="AJ204" i="7"/>
  <c r="AJ205" i="7"/>
  <c r="AJ206" i="7"/>
  <c r="AJ207" i="7"/>
  <c r="AJ208" i="7"/>
  <c r="AJ209" i="7"/>
  <c r="AJ210" i="7"/>
  <c r="AJ211" i="7"/>
  <c r="AJ212" i="7"/>
  <c r="AJ213" i="7"/>
  <c r="AJ214" i="7"/>
  <c r="AJ215" i="7"/>
  <c r="AJ216" i="7"/>
  <c r="AJ217" i="7"/>
  <c r="AJ218" i="7"/>
  <c r="AJ219" i="7"/>
  <c r="AJ220" i="7"/>
  <c r="AJ221" i="7"/>
  <c r="AJ222" i="7"/>
  <c r="AJ223" i="7"/>
  <c r="AJ224" i="7"/>
  <c r="AJ225" i="7"/>
  <c r="AJ226" i="7"/>
  <c r="AJ227" i="7"/>
  <c r="AJ228" i="7"/>
  <c r="AJ229" i="7"/>
  <c r="AJ230" i="7"/>
  <c r="AJ231" i="7"/>
  <c r="AJ232" i="7"/>
  <c r="AJ233" i="7"/>
  <c r="AJ234" i="7"/>
  <c r="AJ235" i="7"/>
  <c r="AJ236" i="7"/>
  <c r="AJ237" i="7"/>
  <c r="AJ238" i="7"/>
  <c r="AJ239" i="7"/>
  <c r="AJ240" i="7"/>
  <c r="AJ241" i="7"/>
  <c r="AJ242" i="7"/>
  <c r="AJ243" i="7"/>
  <c r="AJ244" i="7"/>
  <c r="AJ245" i="7"/>
  <c r="AJ246" i="7"/>
  <c r="AJ247" i="7"/>
  <c r="AJ248" i="7"/>
  <c r="AJ249" i="7"/>
  <c r="AJ250" i="7"/>
  <c r="AJ251" i="7"/>
  <c r="AJ252" i="7"/>
  <c r="AJ253" i="7"/>
  <c r="AJ254" i="7"/>
  <c r="AJ255" i="7"/>
  <c r="AJ256" i="7"/>
  <c r="AJ257" i="7"/>
  <c r="AJ258" i="7"/>
  <c r="AJ259" i="7"/>
  <c r="AJ260" i="7"/>
  <c r="AJ261" i="7"/>
  <c r="AJ262" i="7"/>
  <c r="AJ263" i="7"/>
  <c r="AJ264" i="7"/>
  <c r="AJ265" i="7"/>
  <c r="AJ266" i="7"/>
  <c r="AJ267" i="7"/>
  <c r="AJ268" i="7"/>
  <c r="AJ269" i="7"/>
  <c r="AJ270" i="7"/>
  <c r="AJ271" i="7"/>
  <c r="AJ272" i="7"/>
  <c r="AJ273" i="7"/>
  <c r="AJ274" i="7"/>
  <c r="AJ275" i="7"/>
  <c r="AJ276" i="7"/>
  <c r="AJ277" i="7"/>
  <c r="AJ278" i="7"/>
  <c r="AJ279" i="7"/>
  <c r="AJ280" i="7"/>
  <c r="AJ281" i="7"/>
  <c r="AJ282" i="7"/>
  <c r="AJ283" i="7"/>
  <c r="AJ284" i="7"/>
  <c r="AJ285" i="7"/>
  <c r="AJ286" i="7"/>
  <c r="AJ287" i="7"/>
  <c r="AJ288" i="7"/>
  <c r="AJ289" i="7"/>
  <c r="AJ290" i="7"/>
  <c r="AJ291" i="7"/>
  <c r="AJ292" i="7"/>
  <c r="AJ293" i="7"/>
  <c r="AJ294" i="7"/>
  <c r="AJ295" i="7"/>
  <c r="AJ296" i="7"/>
  <c r="AJ297" i="7"/>
  <c r="AJ298" i="7"/>
  <c r="AJ299" i="7"/>
  <c r="AJ300" i="7"/>
  <c r="AJ301" i="7"/>
  <c r="AJ302" i="7"/>
  <c r="AJ303" i="7"/>
  <c r="AJ304" i="7"/>
  <c r="AJ305" i="7"/>
  <c r="AJ306" i="7"/>
  <c r="AJ307" i="7"/>
  <c r="AJ308" i="7"/>
  <c r="AJ309" i="7"/>
  <c r="AJ310" i="7"/>
  <c r="AJ311" i="7"/>
  <c r="AJ312" i="7"/>
  <c r="AJ313" i="7"/>
  <c r="AJ314" i="7"/>
  <c r="AJ315" i="7"/>
  <c r="AJ316" i="7"/>
  <c r="AJ317" i="7"/>
  <c r="AJ318" i="7"/>
  <c r="AJ319" i="7"/>
  <c r="AJ320" i="7"/>
  <c r="AJ321" i="7"/>
  <c r="AJ322" i="7"/>
  <c r="AJ323" i="7"/>
  <c r="AJ324" i="7"/>
  <c r="AJ3" i="7"/>
  <c r="W40" i="38" l="1"/>
  <c r="U41" i="38"/>
  <c r="Q42" i="38" a="1"/>
  <c r="Q42" i="38" s="1"/>
  <c r="Q43" i="38" s="1" a="1"/>
  <c r="Q43" i="38" s="1"/>
  <c r="T41" i="38"/>
  <c r="S41" i="38"/>
  <c r="W41" i="38" s="1"/>
  <c r="AS6" i="9"/>
  <c r="I6" i="9" s="1"/>
  <c r="D9" i="18" s="1"/>
  <c r="J6" i="9" l="1"/>
  <c r="T43" i="38"/>
  <c r="S43" i="38"/>
  <c r="T42" i="38"/>
  <c r="S42" i="38"/>
  <c r="U42" i="38"/>
  <c r="V42" i="38"/>
  <c r="V43" i="38"/>
  <c r="Q44" i="38" a="1"/>
  <c r="Q44" i="38" s="1"/>
  <c r="U43" i="38"/>
  <c r="G4" i="7"/>
  <c r="G5" i="7"/>
  <c r="G6" i="7"/>
  <c r="G7" i="7"/>
  <c r="G8" i="7"/>
  <c r="G9" i="7"/>
  <c r="G10" i="7"/>
  <c r="G11" i="7"/>
  <c r="G12" i="7"/>
  <c r="G13" i="7"/>
  <c r="G14" i="7"/>
  <c r="G15" i="7"/>
  <c r="G16" i="7"/>
  <c r="G17" i="7"/>
  <c r="G3" i="7"/>
  <c r="R19" i="7"/>
  <c r="G19" i="7" s="1"/>
  <c r="R20" i="7"/>
  <c r="G20" i="7" s="1"/>
  <c r="R21" i="7"/>
  <c r="G21" i="7" s="1"/>
  <c r="R22" i="7"/>
  <c r="G22" i="7" s="1"/>
  <c r="R23" i="7"/>
  <c r="G23" i="7" s="1"/>
  <c r="R24" i="7"/>
  <c r="G24" i="7" s="1"/>
  <c r="R25" i="7"/>
  <c r="R26" i="7"/>
  <c r="R27" i="7"/>
  <c r="R18" i="7"/>
  <c r="I19" i="7"/>
  <c r="J19" i="7"/>
  <c r="I20" i="7"/>
  <c r="J20" i="7"/>
  <c r="I21" i="7"/>
  <c r="J21" i="7"/>
  <c r="I22" i="7"/>
  <c r="J22" i="7"/>
  <c r="I23" i="7"/>
  <c r="J23" i="7"/>
  <c r="I24" i="7"/>
  <c r="J24" i="7"/>
  <c r="I25" i="7"/>
  <c r="J25" i="7"/>
  <c r="I26" i="7"/>
  <c r="J26" i="7"/>
  <c r="I27" i="7"/>
  <c r="J27" i="7"/>
  <c r="J18" i="7"/>
  <c r="I18" i="7"/>
  <c r="F4" i="7"/>
  <c r="J4" i="7" s="1"/>
  <c r="F5" i="7"/>
  <c r="J5" i="7" s="1"/>
  <c r="F6" i="7"/>
  <c r="J6" i="7" s="1"/>
  <c r="F7" i="7"/>
  <c r="J7" i="7" s="1"/>
  <c r="F8" i="7"/>
  <c r="J8" i="7" s="1"/>
  <c r="F9" i="7"/>
  <c r="J9" i="7" s="1"/>
  <c r="F10" i="7"/>
  <c r="J10" i="7" s="1"/>
  <c r="F11" i="7"/>
  <c r="J11" i="7" s="1"/>
  <c r="F12" i="7"/>
  <c r="J12" i="7" s="1"/>
  <c r="F13" i="7"/>
  <c r="J13" i="7" s="1"/>
  <c r="F14" i="7"/>
  <c r="J14" i="7" s="1"/>
  <c r="F15" i="7"/>
  <c r="J15" i="7" s="1"/>
  <c r="F16" i="7"/>
  <c r="J16" i="7" s="1"/>
  <c r="F17" i="7"/>
  <c r="J17" i="7" s="1"/>
  <c r="F3" i="7"/>
  <c r="J3" i="7" s="1"/>
  <c r="E4" i="7"/>
  <c r="I4" i="7" s="1"/>
  <c r="E5" i="7"/>
  <c r="I5" i="7" s="1"/>
  <c r="E6" i="7"/>
  <c r="I6" i="7" s="1"/>
  <c r="E7" i="7"/>
  <c r="I7" i="7" s="1"/>
  <c r="E8" i="7"/>
  <c r="I8" i="7" s="1"/>
  <c r="E9" i="7"/>
  <c r="I9" i="7" s="1"/>
  <c r="E10" i="7"/>
  <c r="I10" i="7" s="1"/>
  <c r="E11" i="7"/>
  <c r="I11" i="7" s="1"/>
  <c r="E12" i="7"/>
  <c r="I12" i="7" s="1"/>
  <c r="E13" i="7"/>
  <c r="I13" i="7" s="1"/>
  <c r="E14" i="7"/>
  <c r="I14" i="7" s="1"/>
  <c r="E15" i="7"/>
  <c r="I15" i="7" s="1"/>
  <c r="E16" i="7"/>
  <c r="I16" i="7" s="1"/>
  <c r="E17" i="7"/>
  <c r="I17" i="7" s="1"/>
  <c r="E3" i="7"/>
  <c r="I3" i="7" s="1"/>
  <c r="H4" i="7"/>
  <c r="H5" i="7"/>
  <c r="H6" i="7"/>
  <c r="H7" i="7"/>
  <c r="H8" i="7"/>
  <c r="H9" i="7"/>
  <c r="H10" i="7"/>
  <c r="H11" i="7"/>
  <c r="H12" i="7"/>
  <c r="H13" i="7"/>
  <c r="H14" i="7"/>
  <c r="H15" i="7"/>
  <c r="H16" i="7"/>
  <c r="H17" i="7"/>
  <c r="H3" i="7"/>
  <c r="W43" i="38" l="1"/>
  <c r="W42" i="38"/>
  <c r="V44" i="38"/>
  <c r="S44" i="38"/>
  <c r="T44" i="38"/>
  <c r="Q45" i="38" a="1"/>
  <c r="Q45" i="38" s="1"/>
  <c r="U44" i="38"/>
  <c r="G26" i="7"/>
  <c r="G25" i="7"/>
  <c r="G27" i="7"/>
  <c r="AP2" i="7"/>
  <c r="AP3" i="7"/>
  <c r="AP4" i="7"/>
  <c r="AP5" i="7"/>
  <c r="AP6" i="7"/>
  <c r="AP7" i="7"/>
  <c r="AP8" i="7"/>
  <c r="AP9" i="7"/>
  <c r="AP10" i="7"/>
  <c r="AP11" i="7"/>
  <c r="AP12" i="7"/>
  <c r="AP13" i="7"/>
  <c r="AP14" i="7"/>
  <c r="AP15" i="7"/>
  <c r="AP16" i="7"/>
  <c r="AP17" i="7"/>
  <c r="AP18" i="7"/>
  <c r="AP19" i="7"/>
  <c r="AP20" i="7"/>
  <c r="AP21" i="7"/>
  <c r="AP22" i="7"/>
  <c r="AP23" i="7"/>
  <c r="AP24" i="7"/>
  <c r="AP25" i="7"/>
  <c r="AP26" i="7"/>
  <c r="AP27" i="7"/>
  <c r="AP28" i="7"/>
  <c r="AP29" i="7"/>
  <c r="AP30" i="7"/>
  <c r="AP31" i="7"/>
  <c r="AP32" i="7"/>
  <c r="AP33" i="7"/>
  <c r="AP34" i="7"/>
  <c r="AP35" i="7"/>
  <c r="AP36" i="7"/>
  <c r="AP37" i="7"/>
  <c r="AP38" i="7"/>
  <c r="AP39" i="7"/>
  <c r="AP40" i="7"/>
  <c r="AP41" i="7"/>
  <c r="AP42" i="7"/>
  <c r="AP43" i="7"/>
  <c r="AP44" i="7"/>
  <c r="AP45" i="7"/>
  <c r="AP46" i="7"/>
  <c r="AP47" i="7"/>
  <c r="AP48" i="7"/>
  <c r="AP49" i="7"/>
  <c r="AP50" i="7"/>
  <c r="AP51" i="7"/>
  <c r="AP52" i="7"/>
  <c r="AP53" i="7"/>
  <c r="AP54" i="7"/>
  <c r="AP55" i="7"/>
  <c r="AP56" i="7"/>
  <c r="AP57" i="7"/>
  <c r="AP58" i="7"/>
  <c r="AP59" i="7"/>
  <c r="AP60" i="7"/>
  <c r="AP61" i="7"/>
  <c r="AP62" i="7"/>
  <c r="AP63" i="7"/>
  <c r="AP64" i="7"/>
  <c r="AP65" i="7"/>
  <c r="AP66" i="7"/>
  <c r="AP67" i="7"/>
  <c r="AP68" i="7"/>
  <c r="AP69" i="7"/>
  <c r="AP70" i="7"/>
  <c r="AP71" i="7"/>
  <c r="AP72" i="7"/>
  <c r="AP73" i="7"/>
  <c r="AP74" i="7"/>
  <c r="AP75" i="7"/>
  <c r="AP76" i="7"/>
  <c r="AP77" i="7"/>
  <c r="AP78" i="7"/>
  <c r="AP79" i="7"/>
  <c r="AP80" i="7"/>
  <c r="AP81" i="7"/>
  <c r="AP82" i="7"/>
  <c r="AP83" i="7"/>
  <c r="AP84" i="7"/>
  <c r="AP85" i="7"/>
  <c r="AP86" i="7"/>
  <c r="AP87" i="7"/>
  <c r="AP88" i="7"/>
  <c r="AP89" i="7"/>
  <c r="AP90" i="7"/>
  <c r="AP91" i="7"/>
  <c r="AP92" i="7"/>
  <c r="AP93" i="7"/>
  <c r="AP94" i="7"/>
  <c r="AP95" i="7"/>
  <c r="AP96" i="7"/>
  <c r="AP97" i="7"/>
  <c r="AP98" i="7"/>
  <c r="AP99" i="7"/>
  <c r="AP100" i="7"/>
  <c r="AP101" i="7"/>
  <c r="AP102" i="7"/>
  <c r="AP103" i="7"/>
  <c r="AP104" i="7"/>
  <c r="AP105" i="7"/>
  <c r="AP106" i="7"/>
  <c r="AP107" i="7"/>
  <c r="AP108" i="7"/>
  <c r="AP109" i="7"/>
  <c r="AP110" i="7"/>
  <c r="AP111" i="7"/>
  <c r="AP112" i="7"/>
  <c r="AP113" i="7"/>
  <c r="AP114" i="7"/>
  <c r="AP115" i="7"/>
  <c r="AP116" i="7"/>
  <c r="AP117" i="7"/>
  <c r="AP118" i="7"/>
  <c r="AP119" i="7"/>
  <c r="AP120" i="7"/>
  <c r="AP121" i="7"/>
  <c r="AP122" i="7"/>
  <c r="AP123" i="7"/>
  <c r="AP124" i="7"/>
  <c r="AP125" i="7"/>
  <c r="AP126" i="7"/>
  <c r="AP127" i="7"/>
  <c r="AP128" i="7"/>
  <c r="AP129" i="7"/>
  <c r="AP130" i="7"/>
  <c r="AP131" i="7"/>
  <c r="AP132" i="7"/>
  <c r="AP133" i="7"/>
  <c r="AP134" i="7"/>
  <c r="AP135" i="7"/>
  <c r="AP136" i="7"/>
  <c r="AP137" i="7"/>
  <c r="AP138" i="7"/>
  <c r="AP139" i="7"/>
  <c r="AP140" i="7"/>
  <c r="AP141" i="7"/>
  <c r="AP142" i="7"/>
  <c r="AP143" i="7"/>
  <c r="AP144" i="7"/>
  <c r="AP145" i="7"/>
  <c r="AP146" i="7"/>
  <c r="AP147" i="7"/>
  <c r="AP148" i="7"/>
  <c r="AP149" i="7"/>
  <c r="AP150" i="7"/>
  <c r="AP151" i="7"/>
  <c r="AP152" i="7"/>
  <c r="AP153" i="7"/>
  <c r="AP154" i="7"/>
  <c r="AP155" i="7"/>
  <c r="AP156" i="7"/>
  <c r="AP157" i="7"/>
  <c r="AP158" i="7"/>
  <c r="AP159" i="7"/>
  <c r="AP160" i="7"/>
  <c r="AP161" i="7"/>
  <c r="AP162" i="7"/>
  <c r="AP163" i="7"/>
  <c r="AP164" i="7"/>
  <c r="AP165" i="7"/>
  <c r="AP166" i="7"/>
  <c r="AP167" i="7"/>
  <c r="AP168" i="7"/>
  <c r="AP169" i="7"/>
  <c r="AP170" i="7"/>
  <c r="AP171" i="7"/>
  <c r="AP172" i="7"/>
  <c r="AP173" i="7"/>
  <c r="AP174" i="7"/>
  <c r="AP175" i="7"/>
  <c r="AP176" i="7"/>
  <c r="AP177" i="7"/>
  <c r="AP178" i="7"/>
  <c r="AP179" i="7"/>
  <c r="AP180" i="7"/>
  <c r="AP181" i="7"/>
  <c r="AP182" i="7"/>
  <c r="AP183" i="7"/>
  <c r="AP184" i="7"/>
  <c r="AP185" i="7"/>
  <c r="AP186" i="7"/>
  <c r="AP187" i="7"/>
  <c r="AP188" i="7"/>
  <c r="AP189" i="7"/>
  <c r="AP190" i="7"/>
  <c r="AP191" i="7"/>
  <c r="AP192" i="7"/>
  <c r="AP193" i="7"/>
  <c r="AP194" i="7"/>
  <c r="AP195" i="7"/>
  <c r="AP196" i="7"/>
  <c r="AP197" i="7"/>
  <c r="AP198" i="7"/>
  <c r="AP199" i="7"/>
  <c r="AP200" i="7"/>
  <c r="AP201" i="7"/>
  <c r="AP202" i="7"/>
  <c r="AP203" i="7"/>
  <c r="AP204" i="7"/>
  <c r="AP205" i="7"/>
  <c r="AP206" i="7"/>
  <c r="AP207" i="7"/>
  <c r="AP208" i="7"/>
  <c r="AP209" i="7"/>
  <c r="AP210" i="7"/>
  <c r="AP211" i="7"/>
  <c r="AP212" i="7"/>
  <c r="AP213" i="7"/>
  <c r="AP214" i="7"/>
  <c r="AP215" i="7"/>
  <c r="AP216" i="7"/>
  <c r="AP217" i="7"/>
  <c r="AP218" i="7"/>
  <c r="AP219" i="7"/>
  <c r="AP220" i="7"/>
  <c r="AP221" i="7"/>
  <c r="AP222" i="7"/>
  <c r="AP223" i="7"/>
  <c r="AP224" i="7"/>
  <c r="AP225" i="7"/>
  <c r="AP226" i="7"/>
  <c r="AP227" i="7"/>
  <c r="AP228" i="7"/>
  <c r="AP229" i="7"/>
  <c r="AP230" i="7"/>
  <c r="AP231" i="7"/>
  <c r="AP232" i="7"/>
  <c r="AP233" i="7"/>
  <c r="AP234" i="7"/>
  <c r="AP235" i="7"/>
  <c r="AP236" i="7"/>
  <c r="AP237" i="7"/>
  <c r="AP238" i="7"/>
  <c r="AP239" i="7"/>
  <c r="AP240" i="7"/>
  <c r="AP241" i="7"/>
  <c r="AP242" i="7"/>
  <c r="AP243" i="7"/>
  <c r="AP244" i="7"/>
  <c r="AP245" i="7"/>
  <c r="AP246" i="7"/>
  <c r="AP247" i="7"/>
  <c r="AP248" i="7"/>
  <c r="AP249" i="7"/>
  <c r="AP250" i="7"/>
  <c r="AP251" i="7"/>
  <c r="AP252" i="7"/>
  <c r="AP253" i="7"/>
  <c r="AP254" i="7"/>
  <c r="AP255" i="7"/>
  <c r="AP256" i="7"/>
  <c r="AP257" i="7"/>
  <c r="AP258" i="7"/>
  <c r="AP259" i="7"/>
  <c r="AP260" i="7"/>
  <c r="AP261" i="7"/>
  <c r="AP262" i="7"/>
  <c r="AP263" i="7"/>
  <c r="AP264" i="7"/>
  <c r="AP265" i="7"/>
  <c r="AP266" i="7"/>
  <c r="AP267" i="7"/>
  <c r="AP268" i="7"/>
  <c r="AP269" i="7"/>
  <c r="AP270" i="7"/>
  <c r="AP271" i="7"/>
  <c r="AP272" i="7"/>
  <c r="AP273" i="7"/>
  <c r="AP274" i="7"/>
  <c r="AP275" i="7"/>
  <c r="AP276" i="7"/>
  <c r="AP277" i="7"/>
  <c r="AP278" i="7"/>
  <c r="AP279" i="7"/>
  <c r="AP280" i="7"/>
  <c r="AP281" i="7"/>
  <c r="AP282" i="7"/>
  <c r="AP283" i="7"/>
  <c r="AP284" i="7"/>
  <c r="AP285" i="7"/>
  <c r="AP286" i="7"/>
  <c r="AP287" i="7"/>
  <c r="AP288" i="7"/>
  <c r="AP289" i="7"/>
  <c r="AP290" i="7"/>
  <c r="AP291" i="7"/>
  <c r="AP292" i="7"/>
  <c r="AP293" i="7"/>
  <c r="AP294" i="7"/>
  <c r="AP295" i="7"/>
  <c r="AP296" i="7"/>
  <c r="AP297" i="7"/>
  <c r="AP298" i="7"/>
  <c r="AP299" i="7"/>
  <c r="AP300" i="7"/>
  <c r="AP301" i="7"/>
  <c r="AP302" i="7"/>
  <c r="AP303" i="7"/>
  <c r="AP304" i="7"/>
  <c r="AP305" i="7"/>
  <c r="AP306" i="7"/>
  <c r="AP307" i="7"/>
  <c r="AP308" i="7"/>
  <c r="AP309" i="7"/>
  <c r="AP310" i="7"/>
  <c r="AP311" i="7"/>
  <c r="AP312" i="7"/>
  <c r="AP313" i="7"/>
  <c r="AP314" i="7"/>
  <c r="AP315" i="7"/>
  <c r="AP316" i="7"/>
  <c r="AP317" i="7"/>
  <c r="AP318" i="7"/>
  <c r="AP319" i="7"/>
  <c r="AP320" i="7"/>
  <c r="AP321" i="7"/>
  <c r="AP322" i="7"/>
  <c r="AP323" i="7"/>
  <c r="AP324" i="7"/>
  <c r="AR2" i="7"/>
  <c r="AR3" i="7"/>
  <c r="AR4" i="7"/>
  <c r="AR5" i="7"/>
  <c r="AR6" i="7"/>
  <c r="AR7" i="7"/>
  <c r="AR8" i="7"/>
  <c r="AR9" i="7"/>
  <c r="AR10" i="7"/>
  <c r="AR11" i="7"/>
  <c r="AR12" i="7"/>
  <c r="AR13" i="7"/>
  <c r="AR14" i="7"/>
  <c r="AR15" i="7"/>
  <c r="AR16" i="7"/>
  <c r="AR17" i="7"/>
  <c r="AR18" i="7"/>
  <c r="AR19" i="7"/>
  <c r="AR20" i="7"/>
  <c r="AR21" i="7"/>
  <c r="AR22" i="7"/>
  <c r="AR23" i="7"/>
  <c r="AR24" i="7"/>
  <c r="AR25" i="7"/>
  <c r="AR26" i="7"/>
  <c r="AR27" i="7"/>
  <c r="AR28" i="7"/>
  <c r="AR29" i="7"/>
  <c r="AR30" i="7"/>
  <c r="AR31" i="7"/>
  <c r="AR32" i="7"/>
  <c r="AR33" i="7"/>
  <c r="AR34" i="7"/>
  <c r="AR35" i="7"/>
  <c r="AR36" i="7"/>
  <c r="AR37" i="7"/>
  <c r="AR38" i="7"/>
  <c r="AR39" i="7"/>
  <c r="AR40" i="7"/>
  <c r="AR41" i="7"/>
  <c r="AR42" i="7"/>
  <c r="AR43" i="7"/>
  <c r="AR44" i="7"/>
  <c r="AR45" i="7"/>
  <c r="AR46" i="7"/>
  <c r="AR47" i="7"/>
  <c r="AR48" i="7"/>
  <c r="AR49" i="7"/>
  <c r="AR50" i="7"/>
  <c r="AR51" i="7"/>
  <c r="AR52" i="7"/>
  <c r="AR53" i="7"/>
  <c r="AR54" i="7"/>
  <c r="AR55" i="7"/>
  <c r="AR56" i="7"/>
  <c r="AR57" i="7"/>
  <c r="AR58" i="7"/>
  <c r="AR59" i="7"/>
  <c r="AR60" i="7"/>
  <c r="AR61" i="7"/>
  <c r="AR62" i="7"/>
  <c r="AR63" i="7"/>
  <c r="AR64" i="7"/>
  <c r="AR65" i="7"/>
  <c r="AR66" i="7"/>
  <c r="AR67" i="7"/>
  <c r="AR68" i="7"/>
  <c r="AR69" i="7"/>
  <c r="AR70" i="7"/>
  <c r="AR71" i="7"/>
  <c r="AR72" i="7"/>
  <c r="AR73" i="7"/>
  <c r="AR74" i="7"/>
  <c r="AR75" i="7"/>
  <c r="AR76" i="7"/>
  <c r="AR77" i="7"/>
  <c r="AR78" i="7"/>
  <c r="AR79" i="7"/>
  <c r="AR80" i="7"/>
  <c r="AR81" i="7"/>
  <c r="AR82" i="7"/>
  <c r="AR83" i="7"/>
  <c r="AR84" i="7"/>
  <c r="AR85" i="7"/>
  <c r="AR86" i="7"/>
  <c r="AR87" i="7"/>
  <c r="AR88" i="7"/>
  <c r="AR89" i="7"/>
  <c r="AR90" i="7"/>
  <c r="AR91" i="7"/>
  <c r="AR92" i="7"/>
  <c r="AR93" i="7"/>
  <c r="AR94" i="7"/>
  <c r="AR95" i="7"/>
  <c r="AR96" i="7"/>
  <c r="AR97" i="7"/>
  <c r="AR98" i="7"/>
  <c r="AR99" i="7"/>
  <c r="AR100" i="7"/>
  <c r="AR101" i="7"/>
  <c r="AR102" i="7"/>
  <c r="AR103" i="7"/>
  <c r="AR104" i="7"/>
  <c r="AR105" i="7"/>
  <c r="AR106" i="7"/>
  <c r="AR107" i="7"/>
  <c r="AR108" i="7"/>
  <c r="AR109" i="7"/>
  <c r="AR110" i="7"/>
  <c r="AR111" i="7"/>
  <c r="AR112" i="7"/>
  <c r="AR113" i="7"/>
  <c r="AR114" i="7"/>
  <c r="AR115" i="7"/>
  <c r="AR116" i="7"/>
  <c r="AR117" i="7"/>
  <c r="AR118" i="7"/>
  <c r="AR119" i="7"/>
  <c r="AR120" i="7"/>
  <c r="AR121" i="7"/>
  <c r="AR122" i="7"/>
  <c r="AR123" i="7"/>
  <c r="AR124" i="7"/>
  <c r="AR125" i="7"/>
  <c r="AR126" i="7"/>
  <c r="AR127" i="7"/>
  <c r="AR128" i="7"/>
  <c r="AR129" i="7"/>
  <c r="AR130" i="7"/>
  <c r="AR131" i="7"/>
  <c r="AR132" i="7"/>
  <c r="AR133" i="7"/>
  <c r="AR134" i="7"/>
  <c r="AR135" i="7"/>
  <c r="AR136" i="7"/>
  <c r="AR137" i="7"/>
  <c r="AR138" i="7"/>
  <c r="AR139" i="7"/>
  <c r="AR140" i="7"/>
  <c r="AR141" i="7"/>
  <c r="AR142" i="7"/>
  <c r="AR143" i="7"/>
  <c r="AR144" i="7"/>
  <c r="AR145" i="7"/>
  <c r="AR146" i="7"/>
  <c r="AR147" i="7"/>
  <c r="AR148" i="7"/>
  <c r="AR149" i="7"/>
  <c r="AR150" i="7"/>
  <c r="AR151" i="7"/>
  <c r="AR152" i="7"/>
  <c r="AR153" i="7"/>
  <c r="AR154" i="7"/>
  <c r="AR155" i="7"/>
  <c r="AR156" i="7"/>
  <c r="AR157" i="7"/>
  <c r="AR158" i="7"/>
  <c r="AR159" i="7"/>
  <c r="AR160" i="7"/>
  <c r="AR161" i="7"/>
  <c r="AR162" i="7"/>
  <c r="AR163" i="7"/>
  <c r="AR164" i="7"/>
  <c r="AR165" i="7"/>
  <c r="AR166" i="7"/>
  <c r="AR167" i="7"/>
  <c r="AR168" i="7"/>
  <c r="AR169" i="7"/>
  <c r="AR170" i="7"/>
  <c r="AR171" i="7"/>
  <c r="AR172" i="7"/>
  <c r="AR173" i="7"/>
  <c r="AR174" i="7"/>
  <c r="AR175" i="7"/>
  <c r="AR176" i="7"/>
  <c r="AR177" i="7"/>
  <c r="AR178" i="7"/>
  <c r="AR179" i="7"/>
  <c r="AR180" i="7"/>
  <c r="AR181" i="7"/>
  <c r="AR182" i="7"/>
  <c r="AR183" i="7"/>
  <c r="AR184" i="7"/>
  <c r="AR185" i="7"/>
  <c r="AR186" i="7"/>
  <c r="AR187" i="7"/>
  <c r="AR188" i="7"/>
  <c r="AR189" i="7"/>
  <c r="AR190" i="7"/>
  <c r="AR191" i="7"/>
  <c r="AR192" i="7"/>
  <c r="AR193" i="7"/>
  <c r="AR194" i="7"/>
  <c r="AR195" i="7"/>
  <c r="AR196" i="7"/>
  <c r="AR197" i="7"/>
  <c r="AR198" i="7"/>
  <c r="AR199" i="7"/>
  <c r="AR200" i="7"/>
  <c r="AR201" i="7"/>
  <c r="AR202" i="7"/>
  <c r="AR203" i="7"/>
  <c r="AR204" i="7"/>
  <c r="AR205" i="7"/>
  <c r="AR206" i="7"/>
  <c r="AR207" i="7"/>
  <c r="AR208" i="7"/>
  <c r="AR209" i="7"/>
  <c r="AR210" i="7"/>
  <c r="AR211" i="7"/>
  <c r="AR212" i="7"/>
  <c r="AR213" i="7"/>
  <c r="AR214" i="7"/>
  <c r="AR215" i="7"/>
  <c r="AR216" i="7"/>
  <c r="AR217" i="7"/>
  <c r="AR218" i="7"/>
  <c r="AR219" i="7"/>
  <c r="AR220" i="7"/>
  <c r="AR221" i="7"/>
  <c r="AR222" i="7"/>
  <c r="AR223" i="7"/>
  <c r="AR224" i="7"/>
  <c r="AR225" i="7"/>
  <c r="AR226" i="7"/>
  <c r="AR227" i="7"/>
  <c r="AR228" i="7"/>
  <c r="AR229" i="7"/>
  <c r="AR230" i="7"/>
  <c r="AR231" i="7"/>
  <c r="AR232" i="7"/>
  <c r="AR233" i="7"/>
  <c r="AR234" i="7"/>
  <c r="AR235" i="7"/>
  <c r="AR236" i="7"/>
  <c r="AR237" i="7"/>
  <c r="AR238" i="7"/>
  <c r="AR239" i="7"/>
  <c r="AR240" i="7"/>
  <c r="AR241" i="7"/>
  <c r="AR242" i="7"/>
  <c r="AR243" i="7"/>
  <c r="AR244" i="7"/>
  <c r="AR245" i="7"/>
  <c r="AR246" i="7"/>
  <c r="AR247" i="7"/>
  <c r="AR248" i="7"/>
  <c r="AR249" i="7"/>
  <c r="AR250" i="7"/>
  <c r="AR251" i="7"/>
  <c r="AR252" i="7"/>
  <c r="AR253" i="7"/>
  <c r="AR254" i="7"/>
  <c r="AR255" i="7"/>
  <c r="AR256" i="7"/>
  <c r="AR257" i="7"/>
  <c r="AR258" i="7"/>
  <c r="AR259" i="7"/>
  <c r="AR260" i="7"/>
  <c r="AR261" i="7"/>
  <c r="AR262" i="7"/>
  <c r="AR263" i="7"/>
  <c r="AR264" i="7"/>
  <c r="AR265" i="7"/>
  <c r="AR266" i="7"/>
  <c r="AR267" i="7"/>
  <c r="AR268" i="7"/>
  <c r="AR269" i="7"/>
  <c r="AR270" i="7"/>
  <c r="AR271" i="7"/>
  <c r="AR272" i="7"/>
  <c r="AR273" i="7"/>
  <c r="AR274" i="7"/>
  <c r="AR275" i="7"/>
  <c r="AR276" i="7"/>
  <c r="AR277" i="7"/>
  <c r="AR278" i="7"/>
  <c r="AR279" i="7"/>
  <c r="AR280" i="7"/>
  <c r="AR281" i="7"/>
  <c r="AR282" i="7"/>
  <c r="AR283" i="7"/>
  <c r="AR284" i="7"/>
  <c r="AR285" i="7"/>
  <c r="AR286" i="7"/>
  <c r="AR287" i="7"/>
  <c r="AR288" i="7"/>
  <c r="AR289" i="7"/>
  <c r="AR290" i="7"/>
  <c r="AR291" i="7"/>
  <c r="AR292" i="7"/>
  <c r="AR293" i="7"/>
  <c r="AR294" i="7"/>
  <c r="AR295" i="7"/>
  <c r="AR296" i="7"/>
  <c r="AR297" i="7"/>
  <c r="AR298" i="7"/>
  <c r="AR299" i="7"/>
  <c r="AR300" i="7"/>
  <c r="AR301" i="7"/>
  <c r="AR302" i="7"/>
  <c r="AR303" i="7"/>
  <c r="AR304" i="7"/>
  <c r="AR305" i="7"/>
  <c r="AR306" i="7"/>
  <c r="AR307" i="7"/>
  <c r="AR308" i="7"/>
  <c r="AR309" i="7"/>
  <c r="AR310" i="7"/>
  <c r="AR311" i="7"/>
  <c r="AR312" i="7"/>
  <c r="AR313" i="7"/>
  <c r="AR314" i="7"/>
  <c r="AR315" i="7"/>
  <c r="AR316" i="7"/>
  <c r="AR317" i="7"/>
  <c r="AR318" i="7"/>
  <c r="AR319" i="7"/>
  <c r="AR320" i="7"/>
  <c r="AR321" i="7"/>
  <c r="AR322" i="7"/>
  <c r="AR323" i="7"/>
  <c r="AR324" i="7"/>
  <c r="AT2" i="7"/>
  <c r="AT3" i="7"/>
  <c r="AT4" i="7"/>
  <c r="AT5" i="7"/>
  <c r="AT6" i="7"/>
  <c r="AT7" i="7"/>
  <c r="AT8" i="7"/>
  <c r="AT9" i="7"/>
  <c r="AT10" i="7"/>
  <c r="AT11" i="7"/>
  <c r="AT12" i="7"/>
  <c r="AT13" i="7"/>
  <c r="AT14" i="7"/>
  <c r="AT15" i="7"/>
  <c r="AT16" i="7"/>
  <c r="AT17" i="7"/>
  <c r="AT18" i="7"/>
  <c r="AT19" i="7"/>
  <c r="AT20" i="7"/>
  <c r="AT21" i="7"/>
  <c r="AT22" i="7"/>
  <c r="AT23" i="7"/>
  <c r="AT24" i="7"/>
  <c r="AT25" i="7"/>
  <c r="AT26" i="7"/>
  <c r="AT27" i="7"/>
  <c r="AT28" i="7"/>
  <c r="AT29" i="7"/>
  <c r="AT30" i="7"/>
  <c r="AT31" i="7"/>
  <c r="AT32" i="7"/>
  <c r="AT33" i="7"/>
  <c r="AT34" i="7"/>
  <c r="AT35" i="7"/>
  <c r="AT36" i="7"/>
  <c r="AT37" i="7"/>
  <c r="AT38" i="7"/>
  <c r="AT39" i="7"/>
  <c r="AT40" i="7"/>
  <c r="AT41" i="7"/>
  <c r="AT42" i="7"/>
  <c r="AT43" i="7"/>
  <c r="AT44" i="7"/>
  <c r="AT45" i="7"/>
  <c r="AT46" i="7"/>
  <c r="AT47" i="7"/>
  <c r="AT48" i="7"/>
  <c r="AT49" i="7"/>
  <c r="AT50" i="7"/>
  <c r="AT51" i="7"/>
  <c r="AT52" i="7"/>
  <c r="AT53" i="7"/>
  <c r="AT54" i="7"/>
  <c r="AT55" i="7"/>
  <c r="AT56" i="7"/>
  <c r="AT57" i="7"/>
  <c r="AT58" i="7"/>
  <c r="AT59" i="7"/>
  <c r="AT60" i="7"/>
  <c r="AT61" i="7"/>
  <c r="AT62" i="7"/>
  <c r="AT63" i="7"/>
  <c r="AT64" i="7"/>
  <c r="AT65" i="7"/>
  <c r="AT66" i="7"/>
  <c r="AT67" i="7"/>
  <c r="AT68" i="7"/>
  <c r="AT69" i="7"/>
  <c r="AT70" i="7"/>
  <c r="AT71" i="7"/>
  <c r="AT72" i="7"/>
  <c r="AT73" i="7"/>
  <c r="AT74" i="7"/>
  <c r="AT75" i="7"/>
  <c r="AT76" i="7"/>
  <c r="AT77" i="7"/>
  <c r="AT78" i="7"/>
  <c r="AT79" i="7"/>
  <c r="AT80" i="7"/>
  <c r="AT81" i="7"/>
  <c r="AT82" i="7"/>
  <c r="AT83" i="7"/>
  <c r="AT84" i="7"/>
  <c r="AT85" i="7"/>
  <c r="AT86" i="7"/>
  <c r="AT87" i="7"/>
  <c r="AT88" i="7"/>
  <c r="AT89" i="7"/>
  <c r="AT90" i="7"/>
  <c r="AT91" i="7"/>
  <c r="AT92" i="7"/>
  <c r="AT93" i="7"/>
  <c r="AT94" i="7"/>
  <c r="AT95" i="7"/>
  <c r="AT96" i="7"/>
  <c r="AT97" i="7"/>
  <c r="AT98" i="7"/>
  <c r="AT99" i="7"/>
  <c r="AT100" i="7"/>
  <c r="AT101" i="7"/>
  <c r="AT102" i="7"/>
  <c r="AT103" i="7"/>
  <c r="AT104" i="7"/>
  <c r="AT105" i="7"/>
  <c r="AT106" i="7"/>
  <c r="AT107" i="7"/>
  <c r="AT108" i="7"/>
  <c r="AT109" i="7"/>
  <c r="AT110" i="7"/>
  <c r="AT111" i="7"/>
  <c r="AT112" i="7"/>
  <c r="AT113" i="7"/>
  <c r="AT114" i="7"/>
  <c r="AT115" i="7"/>
  <c r="AT116" i="7"/>
  <c r="AT117" i="7"/>
  <c r="AT118" i="7"/>
  <c r="AT119" i="7"/>
  <c r="AT120" i="7"/>
  <c r="AT121" i="7"/>
  <c r="AT122" i="7"/>
  <c r="AT123" i="7"/>
  <c r="AT124" i="7"/>
  <c r="AT125" i="7"/>
  <c r="AT126" i="7"/>
  <c r="AT127" i="7"/>
  <c r="AT128" i="7"/>
  <c r="AT129" i="7"/>
  <c r="AT130" i="7"/>
  <c r="AT131" i="7"/>
  <c r="AT132" i="7"/>
  <c r="AT133" i="7"/>
  <c r="AT134" i="7"/>
  <c r="AT135" i="7"/>
  <c r="AT136" i="7"/>
  <c r="AT137" i="7"/>
  <c r="AT138" i="7"/>
  <c r="AT139" i="7"/>
  <c r="AT140" i="7"/>
  <c r="AT141" i="7"/>
  <c r="AT142" i="7"/>
  <c r="AT143" i="7"/>
  <c r="AT144" i="7"/>
  <c r="AT145" i="7"/>
  <c r="AT146" i="7"/>
  <c r="AT147" i="7"/>
  <c r="AT148" i="7"/>
  <c r="AT149" i="7"/>
  <c r="AT150" i="7"/>
  <c r="AT151" i="7"/>
  <c r="AT152" i="7"/>
  <c r="AT153" i="7"/>
  <c r="AT154" i="7"/>
  <c r="AT155" i="7"/>
  <c r="AT156" i="7"/>
  <c r="AT157" i="7"/>
  <c r="AT158" i="7"/>
  <c r="AT159" i="7"/>
  <c r="AT160" i="7"/>
  <c r="AT161" i="7"/>
  <c r="AT162" i="7"/>
  <c r="AT163" i="7"/>
  <c r="AT164" i="7"/>
  <c r="AT165" i="7"/>
  <c r="AT166" i="7"/>
  <c r="AT167" i="7"/>
  <c r="AT168" i="7"/>
  <c r="AT169" i="7"/>
  <c r="AT170" i="7"/>
  <c r="AT171" i="7"/>
  <c r="AT172" i="7"/>
  <c r="AT173" i="7"/>
  <c r="AT174" i="7"/>
  <c r="AT175" i="7"/>
  <c r="AT176" i="7"/>
  <c r="AT177" i="7"/>
  <c r="AT178" i="7"/>
  <c r="AT179" i="7"/>
  <c r="AT180" i="7"/>
  <c r="AT181" i="7"/>
  <c r="AT182" i="7"/>
  <c r="AT183" i="7"/>
  <c r="AT184" i="7"/>
  <c r="AT185" i="7"/>
  <c r="AT186" i="7"/>
  <c r="AT187" i="7"/>
  <c r="AT188" i="7"/>
  <c r="AT189" i="7"/>
  <c r="AT190" i="7"/>
  <c r="AT191" i="7"/>
  <c r="AT192" i="7"/>
  <c r="AT193" i="7"/>
  <c r="AT194" i="7"/>
  <c r="AT195" i="7"/>
  <c r="AT196" i="7"/>
  <c r="AT197" i="7"/>
  <c r="AT198" i="7"/>
  <c r="AT199" i="7"/>
  <c r="AT200" i="7"/>
  <c r="AT201" i="7"/>
  <c r="AT202" i="7"/>
  <c r="AT203" i="7"/>
  <c r="AT204" i="7"/>
  <c r="AT205" i="7"/>
  <c r="AT206" i="7"/>
  <c r="AT207" i="7"/>
  <c r="AT208" i="7"/>
  <c r="AT209" i="7"/>
  <c r="AT210" i="7"/>
  <c r="AT211" i="7"/>
  <c r="AT212" i="7"/>
  <c r="AT213" i="7"/>
  <c r="AT214" i="7"/>
  <c r="AT215" i="7"/>
  <c r="AT216" i="7"/>
  <c r="AT217" i="7"/>
  <c r="AT218" i="7"/>
  <c r="AT219" i="7"/>
  <c r="AT220" i="7"/>
  <c r="AT221" i="7"/>
  <c r="AT222" i="7"/>
  <c r="AT223" i="7"/>
  <c r="AT224" i="7"/>
  <c r="AT225" i="7"/>
  <c r="AT226" i="7"/>
  <c r="AT227" i="7"/>
  <c r="AT228" i="7"/>
  <c r="AT229" i="7"/>
  <c r="AT230" i="7"/>
  <c r="AT231" i="7"/>
  <c r="AT232" i="7"/>
  <c r="AT233" i="7"/>
  <c r="AT234" i="7"/>
  <c r="AT235" i="7"/>
  <c r="AT236" i="7"/>
  <c r="AT237" i="7"/>
  <c r="AT238" i="7"/>
  <c r="AT239" i="7"/>
  <c r="AT240" i="7"/>
  <c r="AT241" i="7"/>
  <c r="AT242" i="7"/>
  <c r="AT243" i="7"/>
  <c r="AT244" i="7"/>
  <c r="AT245" i="7"/>
  <c r="AT246" i="7"/>
  <c r="AT247" i="7"/>
  <c r="AT248" i="7"/>
  <c r="AT249" i="7"/>
  <c r="AT250" i="7"/>
  <c r="AT251" i="7"/>
  <c r="AT252" i="7"/>
  <c r="AT253" i="7"/>
  <c r="AT254" i="7"/>
  <c r="AT255" i="7"/>
  <c r="AT256" i="7"/>
  <c r="AT257" i="7"/>
  <c r="AT258" i="7"/>
  <c r="AT259" i="7"/>
  <c r="AT260" i="7"/>
  <c r="AT261" i="7"/>
  <c r="AT262" i="7"/>
  <c r="AT263" i="7"/>
  <c r="AT264" i="7"/>
  <c r="AT265" i="7"/>
  <c r="AT266" i="7"/>
  <c r="AT267" i="7"/>
  <c r="AT268" i="7"/>
  <c r="AT269" i="7"/>
  <c r="AT270" i="7"/>
  <c r="AT271" i="7"/>
  <c r="AT272" i="7"/>
  <c r="AT273" i="7"/>
  <c r="AT274" i="7"/>
  <c r="AT275" i="7"/>
  <c r="AT276" i="7"/>
  <c r="AT277" i="7"/>
  <c r="AT278" i="7"/>
  <c r="AT279" i="7"/>
  <c r="AT280" i="7"/>
  <c r="AT281" i="7"/>
  <c r="AT282" i="7"/>
  <c r="AT283" i="7"/>
  <c r="AT284" i="7"/>
  <c r="AT285" i="7"/>
  <c r="AT286" i="7"/>
  <c r="AT287" i="7"/>
  <c r="AT288" i="7"/>
  <c r="AT289" i="7"/>
  <c r="AT290" i="7"/>
  <c r="AT291" i="7"/>
  <c r="AT292" i="7"/>
  <c r="AT293" i="7"/>
  <c r="AT294" i="7"/>
  <c r="AT295" i="7"/>
  <c r="AT296" i="7"/>
  <c r="AT297" i="7"/>
  <c r="AT298" i="7"/>
  <c r="AT299" i="7"/>
  <c r="AT300" i="7"/>
  <c r="AT301" i="7"/>
  <c r="AT302" i="7"/>
  <c r="AT303" i="7"/>
  <c r="AT304" i="7"/>
  <c r="AT305" i="7"/>
  <c r="AT306" i="7"/>
  <c r="AT307" i="7"/>
  <c r="AT308" i="7"/>
  <c r="AT309" i="7"/>
  <c r="AT310" i="7"/>
  <c r="AT311" i="7"/>
  <c r="AT312" i="7"/>
  <c r="AT313" i="7"/>
  <c r="AT314" i="7"/>
  <c r="AT315" i="7"/>
  <c r="AT316" i="7"/>
  <c r="AT317" i="7"/>
  <c r="AT318" i="7"/>
  <c r="AT319" i="7"/>
  <c r="AT320" i="7"/>
  <c r="AT321" i="7"/>
  <c r="AT322" i="7"/>
  <c r="AT323" i="7"/>
  <c r="AT324" i="7"/>
  <c r="AV2" i="7"/>
  <c r="AV3" i="7"/>
  <c r="AV4" i="7"/>
  <c r="AV5" i="7"/>
  <c r="AV6" i="7"/>
  <c r="AV7" i="7"/>
  <c r="AV8" i="7"/>
  <c r="AV9" i="7"/>
  <c r="AV10" i="7"/>
  <c r="AV11" i="7"/>
  <c r="AV12" i="7"/>
  <c r="AV13" i="7"/>
  <c r="AV14" i="7"/>
  <c r="AV15" i="7"/>
  <c r="AV16" i="7"/>
  <c r="AV17" i="7"/>
  <c r="AV18" i="7"/>
  <c r="AV19" i="7"/>
  <c r="AV20" i="7"/>
  <c r="AV21" i="7"/>
  <c r="AV22" i="7"/>
  <c r="AV23" i="7"/>
  <c r="AV24" i="7"/>
  <c r="AV25" i="7"/>
  <c r="AV26" i="7"/>
  <c r="AV27" i="7"/>
  <c r="AV28" i="7"/>
  <c r="AV29" i="7"/>
  <c r="AV30" i="7"/>
  <c r="AV31" i="7"/>
  <c r="AV32" i="7"/>
  <c r="AV33" i="7"/>
  <c r="AV34" i="7"/>
  <c r="AV35" i="7"/>
  <c r="AV36" i="7"/>
  <c r="AV37" i="7"/>
  <c r="AV38" i="7"/>
  <c r="AV39" i="7"/>
  <c r="AV40" i="7"/>
  <c r="AV41" i="7"/>
  <c r="AV42" i="7"/>
  <c r="AV43" i="7"/>
  <c r="AV44" i="7"/>
  <c r="AV45" i="7"/>
  <c r="AV46" i="7"/>
  <c r="AV47" i="7"/>
  <c r="AV48" i="7"/>
  <c r="AV49" i="7"/>
  <c r="AV50" i="7"/>
  <c r="AV51" i="7"/>
  <c r="AV52" i="7"/>
  <c r="AV53" i="7"/>
  <c r="AV54" i="7"/>
  <c r="AV55" i="7"/>
  <c r="AV56" i="7"/>
  <c r="AV57" i="7"/>
  <c r="AV58" i="7"/>
  <c r="AV59" i="7"/>
  <c r="AV60" i="7"/>
  <c r="AV61" i="7"/>
  <c r="AV62" i="7"/>
  <c r="AV63" i="7"/>
  <c r="AV64" i="7"/>
  <c r="AV65" i="7"/>
  <c r="AV66" i="7"/>
  <c r="AV67" i="7"/>
  <c r="AV68" i="7"/>
  <c r="AV69" i="7"/>
  <c r="AV70" i="7"/>
  <c r="AV71" i="7"/>
  <c r="AV72" i="7"/>
  <c r="AV73" i="7"/>
  <c r="AV74" i="7"/>
  <c r="AV75" i="7"/>
  <c r="AV76" i="7"/>
  <c r="AV77" i="7"/>
  <c r="AV78" i="7"/>
  <c r="AV79" i="7"/>
  <c r="AV80" i="7"/>
  <c r="AV81" i="7"/>
  <c r="AV82" i="7"/>
  <c r="AV83" i="7"/>
  <c r="AV84" i="7"/>
  <c r="AV85" i="7"/>
  <c r="AV86" i="7"/>
  <c r="AV87" i="7"/>
  <c r="AV88" i="7"/>
  <c r="AV89" i="7"/>
  <c r="AV90" i="7"/>
  <c r="AV91" i="7"/>
  <c r="AV92" i="7"/>
  <c r="AV93" i="7"/>
  <c r="AV94" i="7"/>
  <c r="AV95" i="7"/>
  <c r="AV96" i="7"/>
  <c r="AV97" i="7"/>
  <c r="AV98" i="7"/>
  <c r="AV99" i="7"/>
  <c r="AV100" i="7"/>
  <c r="AV101" i="7"/>
  <c r="AV102" i="7"/>
  <c r="AV103" i="7"/>
  <c r="AV104" i="7"/>
  <c r="AV105" i="7"/>
  <c r="AV106" i="7"/>
  <c r="AV107" i="7"/>
  <c r="AV108" i="7"/>
  <c r="AV109" i="7"/>
  <c r="AV110" i="7"/>
  <c r="AV111" i="7"/>
  <c r="AV112" i="7"/>
  <c r="AV113" i="7"/>
  <c r="AV114" i="7"/>
  <c r="AV115" i="7"/>
  <c r="AV116" i="7"/>
  <c r="AV117" i="7"/>
  <c r="AV118" i="7"/>
  <c r="AV119" i="7"/>
  <c r="AV120" i="7"/>
  <c r="AV121" i="7"/>
  <c r="AV122" i="7"/>
  <c r="AV123" i="7"/>
  <c r="AV124" i="7"/>
  <c r="AV125" i="7"/>
  <c r="AV126" i="7"/>
  <c r="AV127" i="7"/>
  <c r="AV128" i="7"/>
  <c r="AV129" i="7"/>
  <c r="AV130" i="7"/>
  <c r="AV131" i="7"/>
  <c r="AV132" i="7"/>
  <c r="AV133" i="7"/>
  <c r="AV134" i="7"/>
  <c r="AV135" i="7"/>
  <c r="AV136" i="7"/>
  <c r="AV137" i="7"/>
  <c r="AV138" i="7"/>
  <c r="AV139" i="7"/>
  <c r="AV140" i="7"/>
  <c r="AV141" i="7"/>
  <c r="AV142" i="7"/>
  <c r="AV143" i="7"/>
  <c r="AV144" i="7"/>
  <c r="AV145" i="7"/>
  <c r="AV146" i="7"/>
  <c r="AV147" i="7"/>
  <c r="AV148" i="7"/>
  <c r="AV149" i="7"/>
  <c r="AV150" i="7"/>
  <c r="AV151" i="7"/>
  <c r="AV152" i="7"/>
  <c r="AV153" i="7"/>
  <c r="AV154" i="7"/>
  <c r="AV155" i="7"/>
  <c r="AV156" i="7"/>
  <c r="AV157" i="7"/>
  <c r="AV158" i="7"/>
  <c r="AV159" i="7"/>
  <c r="AV160" i="7"/>
  <c r="AV161" i="7"/>
  <c r="AV162" i="7"/>
  <c r="AV163" i="7"/>
  <c r="AV164" i="7"/>
  <c r="AV165" i="7"/>
  <c r="AV166" i="7"/>
  <c r="AV167" i="7"/>
  <c r="AV168" i="7"/>
  <c r="AV169" i="7"/>
  <c r="AV170" i="7"/>
  <c r="AV171" i="7"/>
  <c r="AV172" i="7"/>
  <c r="AV173" i="7"/>
  <c r="AV174" i="7"/>
  <c r="AV175" i="7"/>
  <c r="AV176" i="7"/>
  <c r="AV177" i="7"/>
  <c r="AV178" i="7"/>
  <c r="AV179" i="7"/>
  <c r="AV180" i="7"/>
  <c r="AV181" i="7"/>
  <c r="AV182" i="7"/>
  <c r="AV183" i="7"/>
  <c r="AV184" i="7"/>
  <c r="AV185" i="7"/>
  <c r="AV186" i="7"/>
  <c r="AV187" i="7"/>
  <c r="AV188" i="7"/>
  <c r="AV189" i="7"/>
  <c r="AV190" i="7"/>
  <c r="AV191" i="7"/>
  <c r="AV192" i="7"/>
  <c r="AV193" i="7"/>
  <c r="AV194" i="7"/>
  <c r="AV195" i="7"/>
  <c r="AV196" i="7"/>
  <c r="AV197" i="7"/>
  <c r="AV198" i="7"/>
  <c r="AV199" i="7"/>
  <c r="AV200" i="7"/>
  <c r="AV201" i="7"/>
  <c r="AV202" i="7"/>
  <c r="AV203" i="7"/>
  <c r="AV204" i="7"/>
  <c r="AV205" i="7"/>
  <c r="AV206" i="7"/>
  <c r="AV207" i="7"/>
  <c r="AV208" i="7"/>
  <c r="AV209" i="7"/>
  <c r="AV210" i="7"/>
  <c r="AV211" i="7"/>
  <c r="AV212" i="7"/>
  <c r="AV213" i="7"/>
  <c r="AV214" i="7"/>
  <c r="AV215" i="7"/>
  <c r="AV216" i="7"/>
  <c r="AV217" i="7"/>
  <c r="AV218" i="7"/>
  <c r="AV219" i="7"/>
  <c r="AV220" i="7"/>
  <c r="AV221" i="7"/>
  <c r="AV222" i="7"/>
  <c r="AV223" i="7"/>
  <c r="AV224" i="7"/>
  <c r="AV225" i="7"/>
  <c r="AV226" i="7"/>
  <c r="AV227" i="7"/>
  <c r="AV228" i="7"/>
  <c r="AV229" i="7"/>
  <c r="AV230" i="7"/>
  <c r="AV231" i="7"/>
  <c r="AV232" i="7"/>
  <c r="AV233" i="7"/>
  <c r="AV234" i="7"/>
  <c r="AV235" i="7"/>
  <c r="AV236" i="7"/>
  <c r="AV237" i="7"/>
  <c r="AV238" i="7"/>
  <c r="AV239" i="7"/>
  <c r="AV240" i="7"/>
  <c r="AV241" i="7"/>
  <c r="AV242" i="7"/>
  <c r="AV243" i="7"/>
  <c r="AV244" i="7"/>
  <c r="AV245" i="7"/>
  <c r="AV246" i="7"/>
  <c r="AV247" i="7"/>
  <c r="AV248" i="7"/>
  <c r="AV249" i="7"/>
  <c r="AV250" i="7"/>
  <c r="AV251" i="7"/>
  <c r="AV252" i="7"/>
  <c r="AV253" i="7"/>
  <c r="AV254" i="7"/>
  <c r="AV255" i="7"/>
  <c r="AV256" i="7"/>
  <c r="AV257" i="7"/>
  <c r="AV258" i="7"/>
  <c r="AV259" i="7"/>
  <c r="AV260" i="7"/>
  <c r="AV261" i="7"/>
  <c r="AV262" i="7"/>
  <c r="AV263" i="7"/>
  <c r="AV264" i="7"/>
  <c r="AV265" i="7"/>
  <c r="AV266" i="7"/>
  <c r="AV267" i="7"/>
  <c r="AV268" i="7"/>
  <c r="AV269" i="7"/>
  <c r="AV270" i="7"/>
  <c r="AV271" i="7"/>
  <c r="AV272" i="7"/>
  <c r="AV273" i="7"/>
  <c r="AV274" i="7"/>
  <c r="AV275" i="7"/>
  <c r="AV276" i="7"/>
  <c r="AV277" i="7"/>
  <c r="AV278" i="7"/>
  <c r="AV279" i="7"/>
  <c r="AV280" i="7"/>
  <c r="AV281" i="7"/>
  <c r="AV282" i="7"/>
  <c r="AV283" i="7"/>
  <c r="AV284" i="7"/>
  <c r="AV285" i="7"/>
  <c r="AV286" i="7"/>
  <c r="AV287" i="7"/>
  <c r="AV288" i="7"/>
  <c r="AV289" i="7"/>
  <c r="AV290" i="7"/>
  <c r="AV291" i="7"/>
  <c r="AV292" i="7"/>
  <c r="AV293" i="7"/>
  <c r="AV294" i="7"/>
  <c r="AV295" i="7"/>
  <c r="AV296" i="7"/>
  <c r="AV297" i="7"/>
  <c r="AV298" i="7"/>
  <c r="AV299" i="7"/>
  <c r="AV300" i="7"/>
  <c r="AV301" i="7"/>
  <c r="AV302" i="7"/>
  <c r="AV303" i="7"/>
  <c r="AV304" i="7"/>
  <c r="AV305" i="7"/>
  <c r="AV306" i="7"/>
  <c r="AV307" i="7"/>
  <c r="AV308" i="7"/>
  <c r="AV309" i="7"/>
  <c r="AV310" i="7"/>
  <c r="AV311" i="7"/>
  <c r="AV312" i="7"/>
  <c r="AV313" i="7"/>
  <c r="AV314" i="7"/>
  <c r="AV315" i="7"/>
  <c r="AV316" i="7"/>
  <c r="AV317" i="7"/>
  <c r="AV318" i="7"/>
  <c r="AV319" i="7"/>
  <c r="AV320" i="7"/>
  <c r="AV321" i="7"/>
  <c r="AV322" i="7"/>
  <c r="AV323" i="7"/>
  <c r="AV324" i="7"/>
  <c r="AX2" i="7"/>
  <c r="AX3" i="7"/>
  <c r="AX4" i="7"/>
  <c r="AX5" i="7"/>
  <c r="AX6" i="7"/>
  <c r="AX7" i="7"/>
  <c r="AX8" i="7"/>
  <c r="AX9" i="7"/>
  <c r="AX10" i="7"/>
  <c r="AX11" i="7"/>
  <c r="AX12" i="7"/>
  <c r="AX13" i="7"/>
  <c r="AX14" i="7"/>
  <c r="AX15" i="7"/>
  <c r="AX16" i="7"/>
  <c r="AX17" i="7"/>
  <c r="AX18" i="7"/>
  <c r="AX19" i="7"/>
  <c r="AX20" i="7"/>
  <c r="AX21" i="7"/>
  <c r="AX22" i="7"/>
  <c r="AX23" i="7"/>
  <c r="AX24" i="7"/>
  <c r="AX25" i="7"/>
  <c r="AX26" i="7"/>
  <c r="AX27" i="7"/>
  <c r="AX28" i="7"/>
  <c r="AX29" i="7"/>
  <c r="AX30" i="7"/>
  <c r="AX31" i="7"/>
  <c r="AX32" i="7"/>
  <c r="AX33" i="7"/>
  <c r="AX34" i="7"/>
  <c r="AX35" i="7"/>
  <c r="AX36" i="7"/>
  <c r="AX37" i="7"/>
  <c r="AX38" i="7"/>
  <c r="AX39" i="7"/>
  <c r="AX40" i="7"/>
  <c r="AX41" i="7"/>
  <c r="AX42" i="7"/>
  <c r="AX43" i="7"/>
  <c r="AX44" i="7"/>
  <c r="AX45" i="7"/>
  <c r="AX46" i="7"/>
  <c r="AX47" i="7"/>
  <c r="AX48" i="7"/>
  <c r="AX49" i="7"/>
  <c r="AX50" i="7"/>
  <c r="AX51" i="7"/>
  <c r="AX52" i="7"/>
  <c r="AX53" i="7"/>
  <c r="AX54" i="7"/>
  <c r="AX55" i="7"/>
  <c r="AX56" i="7"/>
  <c r="AX57" i="7"/>
  <c r="AX58" i="7"/>
  <c r="AX59" i="7"/>
  <c r="AX60" i="7"/>
  <c r="AX61" i="7"/>
  <c r="AX62" i="7"/>
  <c r="AX63" i="7"/>
  <c r="AX64" i="7"/>
  <c r="AX65" i="7"/>
  <c r="AX66" i="7"/>
  <c r="AX67" i="7"/>
  <c r="AX68" i="7"/>
  <c r="AX69" i="7"/>
  <c r="AX70" i="7"/>
  <c r="AX71" i="7"/>
  <c r="AX72" i="7"/>
  <c r="AX73" i="7"/>
  <c r="AX74" i="7"/>
  <c r="AX75" i="7"/>
  <c r="AX76" i="7"/>
  <c r="AX77" i="7"/>
  <c r="AX78" i="7"/>
  <c r="AX79" i="7"/>
  <c r="AX80" i="7"/>
  <c r="AX81" i="7"/>
  <c r="AX82" i="7"/>
  <c r="AX83" i="7"/>
  <c r="AX84" i="7"/>
  <c r="AX85" i="7"/>
  <c r="AX86" i="7"/>
  <c r="AX87" i="7"/>
  <c r="AX88" i="7"/>
  <c r="AX89" i="7"/>
  <c r="AX90" i="7"/>
  <c r="AX91" i="7"/>
  <c r="AX92" i="7"/>
  <c r="AX93" i="7"/>
  <c r="AX94" i="7"/>
  <c r="AX95" i="7"/>
  <c r="AX96" i="7"/>
  <c r="AX97" i="7"/>
  <c r="AX98" i="7"/>
  <c r="AX99" i="7"/>
  <c r="AX100" i="7"/>
  <c r="AX101" i="7"/>
  <c r="AX102" i="7"/>
  <c r="AX103" i="7"/>
  <c r="AX104" i="7"/>
  <c r="AX105" i="7"/>
  <c r="AX106" i="7"/>
  <c r="AX107" i="7"/>
  <c r="AX108" i="7"/>
  <c r="AX109" i="7"/>
  <c r="AX110" i="7"/>
  <c r="AX111" i="7"/>
  <c r="AX112" i="7"/>
  <c r="AX113" i="7"/>
  <c r="AX114" i="7"/>
  <c r="AX115" i="7"/>
  <c r="AX116" i="7"/>
  <c r="AX117" i="7"/>
  <c r="AX118" i="7"/>
  <c r="AX119" i="7"/>
  <c r="AX120" i="7"/>
  <c r="AX121" i="7"/>
  <c r="AX122" i="7"/>
  <c r="AX123" i="7"/>
  <c r="AX124" i="7"/>
  <c r="AX125" i="7"/>
  <c r="AX126" i="7"/>
  <c r="AX127" i="7"/>
  <c r="AX128" i="7"/>
  <c r="AX129" i="7"/>
  <c r="AX130" i="7"/>
  <c r="AX131" i="7"/>
  <c r="AX132" i="7"/>
  <c r="AX133" i="7"/>
  <c r="AX134" i="7"/>
  <c r="AX135" i="7"/>
  <c r="AX136" i="7"/>
  <c r="AX137" i="7"/>
  <c r="AX138" i="7"/>
  <c r="AX139" i="7"/>
  <c r="AX140" i="7"/>
  <c r="AX141" i="7"/>
  <c r="AX142" i="7"/>
  <c r="AX143" i="7"/>
  <c r="AX144" i="7"/>
  <c r="AX145" i="7"/>
  <c r="AX146" i="7"/>
  <c r="AX147" i="7"/>
  <c r="AX148" i="7"/>
  <c r="AX149" i="7"/>
  <c r="AX150" i="7"/>
  <c r="AX151" i="7"/>
  <c r="AX152" i="7"/>
  <c r="AX153" i="7"/>
  <c r="AX154" i="7"/>
  <c r="AX155" i="7"/>
  <c r="AX156" i="7"/>
  <c r="AX157" i="7"/>
  <c r="AX158" i="7"/>
  <c r="AX159" i="7"/>
  <c r="AX160" i="7"/>
  <c r="AX161" i="7"/>
  <c r="AX162" i="7"/>
  <c r="AX163" i="7"/>
  <c r="AX164" i="7"/>
  <c r="AX165" i="7"/>
  <c r="AX166" i="7"/>
  <c r="AX167" i="7"/>
  <c r="AX168" i="7"/>
  <c r="AX169" i="7"/>
  <c r="AX170" i="7"/>
  <c r="AX171" i="7"/>
  <c r="AX172" i="7"/>
  <c r="AX173" i="7"/>
  <c r="AX174" i="7"/>
  <c r="AX175" i="7"/>
  <c r="AX176" i="7"/>
  <c r="AX177" i="7"/>
  <c r="AX178" i="7"/>
  <c r="AX179" i="7"/>
  <c r="AX180" i="7"/>
  <c r="AX181" i="7"/>
  <c r="AX182" i="7"/>
  <c r="AX183" i="7"/>
  <c r="AX184" i="7"/>
  <c r="AX185" i="7"/>
  <c r="AX186" i="7"/>
  <c r="AX187" i="7"/>
  <c r="AX188" i="7"/>
  <c r="AX189" i="7"/>
  <c r="AX190" i="7"/>
  <c r="AX191" i="7"/>
  <c r="AX192" i="7"/>
  <c r="AX193" i="7"/>
  <c r="AX194" i="7"/>
  <c r="AX195" i="7"/>
  <c r="AX196" i="7"/>
  <c r="AX197" i="7"/>
  <c r="AX198" i="7"/>
  <c r="AX199" i="7"/>
  <c r="AX200" i="7"/>
  <c r="AX201" i="7"/>
  <c r="AX202" i="7"/>
  <c r="AX203" i="7"/>
  <c r="AX204" i="7"/>
  <c r="AX205" i="7"/>
  <c r="AX206" i="7"/>
  <c r="AX207" i="7"/>
  <c r="AX208" i="7"/>
  <c r="AX209" i="7"/>
  <c r="AX210" i="7"/>
  <c r="AX211" i="7"/>
  <c r="AX212" i="7"/>
  <c r="AX213" i="7"/>
  <c r="AX214" i="7"/>
  <c r="AX215" i="7"/>
  <c r="AX216" i="7"/>
  <c r="AX217" i="7"/>
  <c r="AX218" i="7"/>
  <c r="AX219" i="7"/>
  <c r="AX220" i="7"/>
  <c r="AX221" i="7"/>
  <c r="AX222" i="7"/>
  <c r="AX223" i="7"/>
  <c r="AX224" i="7"/>
  <c r="AX225" i="7"/>
  <c r="AX226" i="7"/>
  <c r="AX227" i="7"/>
  <c r="AX228" i="7"/>
  <c r="AX229" i="7"/>
  <c r="AX230" i="7"/>
  <c r="AX231" i="7"/>
  <c r="AX232" i="7"/>
  <c r="AX233" i="7"/>
  <c r="AX234" i="7"/>
  <c r="AX235" i="7"/>
  <c r="AX236" i="7"/>
  <c r="AX237" i="7"/>
  <c r="AX238" i="7"/>
  <c r="AX239" i="7"/>
  <c r="AX240" i="7"/>
  <c r="AX241" i="7"/>
  <c r="AX242" i="7"/>
  <c r="AX243" i="7"/>
  <c r="AX244" i="7"/>
  <c r="AX245" i="7"/>
  <c r="AX246" i="7"/>
  <c r="AX247" i="7"/>
  <c r="AX248" i="7"/>
  <c r="AX249" i="7"/>
  <c r="AX250" i="7"/>
  <c r="AX251" i="7"/>
  <c r="AX252" i="7"/>
  <c r="AX253" i="7"/>
  <c r="AX254" i="7"/>
  <c r="AX255" i="7"/>
  <c r="AX256" i="7"/>
  <c r="AX257" i="7"/>
  <c r="AX258" i="7"/>
  <c r="AX259" i="7"/>
  <c r="AX260" i="7"/>
  <c r="AX261" i="7"/>
  <c r="AX262" i="7"/>
  <c r="AX263" i="7"/>
  <c r="AX264" i="7"/>
  <c r="AX265" i="7"/>
  <c r="AX266" i="7"/>
  <c r="AX267" i="7"/>
  <c r="AX268" i="7"/>
  <c r="AX269" i="7"/>
  <c r="AX270" i="7"/>
  <c r="AX271" i="7"/>
  <c r="AX272" i="7"/>
  <c r="AX273" i="7"/>
  <c r="AX274" i="7"/>
  <c r="AX275" i="7"/>
  <c r="AX276" i="7"/>
  <c r="AX277" i="7"/>
  <c r="AX278" i="7"/>
  <c r="AX279" i="7"/>
  <c r="AX280" i="7"/>
  <c r="AX281" i="7"/>
  <c r="AX282" i="7"/>
  <c r="AX283" i="7"/>
  <c r="AX284" i="7"/>
  <c r="AX285" i="7"/>
  <c r="AX286" i="7"/>
  <c r="AX287" i="7"/>
  <c r="AX288" i="7"/>
  <c r="AX289" i="7"/>
  <c r="AX290" i="7"/>
  <c r="AX291" i="7"/>
  <c r="AX292" i="7"/>
  <c r="AX293" i="7"/>
  <c r="AX294" i="7"/>
  <c r="AX295" i="7"/>
  <c r="AX296" i="7"/>
  <c r="AX297" i="7"/>
  <c r="AX298" i="7"/>
  <c r="AX299" i="7"/>
  <c r="AX300" i="7"/>
  <c r="AX301" i="7"/>
  <c r="AX302" i="7"/>
  <c r="AX303" i="7"/>
  <c r="AX304" i="7"/>
  <c r="AX305" i="7"/>
  <c r="AX306" i="7"/>
  <c r="AX307" i="7"/>
  <c r="AX308" i="7"/>
  <c r="AX309" i="7"/>
  <c r="AX310" i="7"/>
  <c r="AX311" i="7"/>
  <c r="AX312" i="7"/>
  <c r="AX313" i="7"/>
  <c r="AX314" i="7"/>
  <c r="AX315" i="7"/>
  <c r="AX316" i="7"/>
  <c r="AX317" i="7"/>
  <c r="AX318" i="7"/>
  <c r="AX319" i="7"/>
  <c r="AX320" i="7"/>
  <c r="AX321" i="7"/>
  <c r="AX322" i="7"/>
  <c r="AX323" i="7"/>
  <c r="AX324" i="7"/>
  <c r="AZ2" i="7"/>
  <c r="AZ3" i="7"/>
  <c r="AZ4" i="7"/>
  <c r="AZ5" i="7"/>
  <c r="AZ6" i="7"/>
  <c r="AZ7" i="7"/>
  <c r="AZ8" i="7"/>
  <c r="AZ9" i="7"/>
  <c r="AZ10" i="7"/>
  <c r="AZ11" i="7"/>
  <c r="AZ12" i="7"/>
  <c r="AZ13" i="7"/>
  <c r="AZ14" i="7"/>
  <c r="AZ15" i="7"/>
  <c r="AZ16" i="7"/>
  <c r="AZ17" i="7"/>
  <c r="AZ18" i="7"/>
  <c r="AZ19" i="7"/>
  <c r="AZ20" i="7"/>
  <c r="AZ21" i="7"/>
  <c r="AZ22" i="7"/>
  <c r="AZ23" i="7"/>
  <c r="AZ24" i="7"/>
  <c r="AZ25" i="7"/>
  <c r="AZ26" i="7"/>
  <c r="AZ27" i="7"/>
  <c r="AZ28" i="7"/>
  <c r="AZ29" i="7"/>
  <c r="AZ30" i="7"/>
  <c r="AZ31" i="7"/>
  <c r="AZ32" i="7"/>
  <c r="AZ33" i="7"/>
  <c r="AZ34" i="7"/>
  <c r="AZ35" i="7"/>
  <c r="AZ36" i="7"/>
  <c r="AZ37" i="7"/>
  <c r="AZ38" i="7"/>
  <c r="AZ39" i="7"/>
  <c r="AZ40" i="7"/>
  <c r="AZ41" i="7"/>
  <c r="AZ42" i="7"/>
  <c r="AZ43" i="7"/>
  <c r="AZ44" i="7"/>
  <c r="AZ45" i="7"/>
  <c r="AZ46" i="7"/>
  <c r="AZ47" i="7"/>
  <c r="AZ48" i="7"/>
  <c r="AZ49" i="7"/>
  <c r="AZ50" i="7"/>
  <c r="AZ51" i="7"/>
  <c r="AZ52" i="7"/>
  <c r="AZ53" i="7"/>
  <c r="AZ54" i="7"/>
  <c r="AZ55" i="7"/>
  <c r="AZ56" i="7"/>
  <c r="AZ57" i="7"/>
  <c r="AZ58" i="7"/>
  <c r="AZ59" i="7"/>
  <c r="AZ60" i="7"/>
  <c r="AZ61" i="7"/>
  <c r="AZ62" i="7"/>
  <c r="AZ63" i="7"/>
  <c r="AZ64" i="7"/>
  <c r="AZ65" i="7"/>
  <c r="AZ66" i="7"/>
  <c r="AZ67" i="7"/>
  <c r="AZ68" i="7"/>
  <c r="AZ69" i="7"/>
  <c r="AZ70" i="7"/>
  <c r="AZ71" i="7"/>
  <c r="AZ72" i="7"/>
  <c r="AZ73" i="7"/>
  <c r="AZ74" i="7"/>
  <c r="AZ75" i="7"/>
  <c r="AZ76" i="7"/>
  <c r="AZ77" i="7"/>
  <c r="AZ78" i="7"/>
  <c r="AZ79" i="7"/>
  <c r="AZ80" i="7"/>
  <c r="AZ81" i="7"/>
  <c r="AZ82" i="7"/>
  <c r="AZ83" i="7"/>
  <c r="AZ84" i="7"/>
  <c r="AZ85" i="7"/>
  <c r="AZ86" i="7"/>
  <c r="AZ87" i="7"/>
  <c r="AZ88" i="7"/>
  <c r="AZ89" i="7"/>
  <c r="AZ90" i="7"/>
  <c r="AZ91" i="7"/>
  <c r="AZ92" i="7"/>
  <c r="AZ93" i="7"/>
  <c r="AZ94" i="7"/>
  <c r="AZ95" i="7"/>
  <c r="AZ96" i="7"/>
  <c r="AZ97" i="7"/>
  <c r="AZ98" i="7"/>
  <c r="AZ99" i="7"/>
  <c r="AZ100" i="7"/>
  <c r="AZ101" i="7"/>
  <c r="AZ102" i="7"/>
  <c r="AZ103" i="7"/>
  <c r="AZ104" i="7"/>
  <c r="AZ105" i="7"/>
  <c r="AZ106" i="7"/>
  <c r="AZ107" i="7"/>
  <c r="AZ108" i="7"/>
  <c r="AZ109" i="7"/>
  <c r="AZ110" i="7"/>
  <c r="AZ111" i="7"/>
  <c r="AZ112" i="7"/>
  <c r="AZ113" i="7"/>
  <c r="AZ114" i="7"/>
  <c r="AZ115" i="7"/>
  <c r="AZ116" i="7"/>
  <c r="AZ117" i="7"/>
  <c r="AZ118" i="7"/>
  <c r="AZ119" i="7"/>
  <c r="AZ120" i="7"/>
  <c r="AZ121" i="7"/>
  <c r="AZ122" i="7"/>
  <c r="AZ123" i="7"/>
  <c r="AZ124" i="7"/>
  <c r="AZ125" i="7"/>
  <c r="AZ126" i="7"/>
  <c r="AZ127" i="7"/>
  <c r="AZ128" i="7"/>
  <c r="AZ129" i="7"/>
  <c r="AZ130" i="7"/>
  <c r="AZ131" i="7"/>
  <c r="AZ132" i="7"/>
  <c r="AZ133" i="7"/>
  <c r="AZ134" i="7"/>
  <c r="AZ135" i="7"/>
  <c r="AZ136" i="7"/>
  <c r="AZ137" i="7"/>
  <c r="AZ138" i="7"/>
  <c r="AZ139" i="7"/>
  <c r="AZ140" i="7"/>
  <c r="AZ141" i="7"/>
  <c r="AZ142" i="7"/>
  <c r="AZ143" i="7"/>
  <c r="AZ144" i="7"/>
  <c r="AZ145" i="7"/>
  <c r="AZ146" i="7"/>
  <c r="AZ147" i="7"/>
  <c r="AZ148" i="7"/>
  <c r="AZ149" i="7"/>
  <c r="AZ150" i="7"/>
  <c r="AZ151" i="7"/>
  <c r="AZ152" i="7"/>
  <c r="AZ153" i="7"/>
  <c r="AZ154" i="7"/>
  <c r="AZ155" i="7"/>
  <c r="AZ156" i="7"/>
  <c r="AZ157" i="7"/>
  <c r="AZ158" i="7"/>
  <c r="AZ159" i="7"/>
  <c r="AZ160" i="7"/>
  <c r="AZ161" i="7"/>
  <c r="AZ162" i="7"/>
  <c r="AZ163" i="7"/>
  <c r="AZ164" i="7"/>
  <c r="AZ165" i="7"/>
  <c r="AZ166" i="7"/>
  <c r="AZ167" i="7"/>
  <c r="AZ168" i="7"/>
  <c r="AZ169" i="7"/>
  <c r="AZ170" i="7"/>
  <c r="AZ171" i="7"/>
  <c r="AZ172" i="7"/>
  <c r="AZ173" i="7"/>
  <c r="AZ174" i="7"/>
  <c r="AZ175" i="7"/>
  <c r="AZ176" i="7"/>
  <c r="AZ177" i="7"/>
  <c r="AZ178" i="7"/>
  <c r="AZ179" i="7"/>
  <c r="AZ180" i="7"/>
  <c r="AZ181" i="7"/>
  <c r="AZ182" i="7"/>
  <c r="AZ183" i="7"/>
  <c r="AZ184" i="7"/>
  <c r="AZ185" i="7"/>
  <c r="AZ186" i="7"/>
  <c r="AZ187" i="7"/>
  <c r="AZ188" i="7"/>
  <c r="AZ189" i="7"/>
  <c r="AZ190" i="7"/>
  <c r="AZ191" i="7"/>
  <c r="AZ192" i="7"/>
  <c r="AZ193" i="7"/>
  <c r="AZ194" i="7"/>
  <c r="AZ195" i="7"/>
  <c r="AZ196" i="7"/>
  <c r="AZ197" i="7"/>
  <c r="AZ198" i="7"/>
  <c r="AZ199" i="7"/>
  <c r="AZ200" i="7"/>
  <c r="AZ201" i="7"/>
  <c r="AZ202" i="7"/>
  <c r="AZ203" i="7"/>
  <c r="AZ204" i="7"/>
  <c r="AZ205" i="7"/>
  <c r="AZ206" i="7"/>
  <c r="AZ207" i="7"/>
  <c r="AZ208" i="7"/>
  <c r="AZ209" i="7"/>
  <c r="AZ210" i="7"/>
  <c r="AZ211" i="7"/>
  <c r="AZ212" i="7"/>
  <c r="AZ213" i="7"/>
  <c r="AZ214" i="7"/>
  <c r="AZ215" i="7"/>
  <c r="AZ216" i="7"/>
  <c r="AZ217" i="7"/>
  <c r="AZ218" i="7"/>
  <c r="AZ219" i="7"/>
  <c r="AZ220" i="7"/>
  <c r="AZ221" i="7"/>
  <c r="AZ222" i="7"/>
  <c r="AZ223" i="7"/>
  <c r="AZ224" i="7"/>
  <c r="AZ225" i="7"/>
  <c r="AZ226" i="7"/>
  <c r="AZ227" i="7"/>
  <c r="AZ228" i="7"/>
  <c r="AZ229" i="7"/>
  <c r="AZ230" i="7"/>
  <c r="AZ231" i="7"/>
  <c r="AZ232" i="7"/>
  <c r="AZ233" i="7"/>
  <c r="AZ234" i="7"/>
  <c r="AZ235" i="7"/>
  <c r="AZ236" i="7"/>
  <c r="AZ237" i="7"/>
  <c r="AZ238" i="7"/>
  <c r="AZ239" i="7"/>
  <c r="AZ240" i="7"/>
  <c r="AZ241" i="7"/>
  <c r="AZ242" i="7"/>
  <c r="AZ243" i="7"/>
  <c r="AZ244" i="7"/>
  <c r="AZ245" i="7"/>
  <c r="AZ246" i="7"/>
  <c r="AZ247" i="7"/>
  <c r="AZ248" i="7"/>
  <c r="AZ249" i="7"/>
  <c r="AZ250" i="7"/>
  <c r="AZ251" i="7"/>
  <c r="AZ252" i="7"/>
  <c r="AZ253" i="7"/>
  <c r="AZ254" i="7"/>
  <c r="AZ255" i="7"/>
  <c r="AZ256" i="7"/>
  <c r="AZ257" i="7"/>
  <c r="AZ258" i="7"/>
  <c r="AZ259" i="7"/>
  <c r="AZ260" i="7"/>
  <c r="AZ261" i="7"/>
  <c r="AZ262" i="7"/>
  <c r="AZ263" i="7"/>
  <c r="AZ264" i="7"/>
  <c r="AZ265" i="7"/>
  <c r="AZ266" i="7"/>
  <c r="AZ267" i="7"/>
  <c r="AZ268" i="7"/>
  <c r="AZ269" i="7"/>
  <c r="AZ270" i="7"/>
  <c r="AZ271" i="7"/>
  <c r="AZ272" i="7"/>
  <c r="AZ273" i="7"/>
  <c r="AZ274" i="7"/>
  <c r="AZ275" i="7"/>
  <c r="AZ276" i="7"/>
  <c r="AZ277" i="7"/>
  <c r="AZ278" i="7"/>
  <c r="AZ279" i="7"/>
  <c r="AZ280" i="7"/>
  <c r="AZ281" i="7"/>
  <c r="AZ282" i="7"/>
  <c r="AZ283" i="7"/>
  <c r="AZ284" i="7"/>
  <c r="AZ285" i="7"/>
  <c r="AZ286" i="7"/>
  <c r="AZ287" i="7"/>
  <c r="AZ288" i="7"/>
  <c r="AZ289" i="7"/>
  <c r="AZ290" i="7"/>
  <c r="AZ291" i="7"/>
  <c r="AZ292" i="7"/>
  <c r="AZ293" i="7"/>
  <c r="AZ294" i="7"/>
  <c r="AZ295" i="7"/>
  <c r="AZ296" i="7"/>
  <c r="AZ297" i="7"/>
  <c r="AZ298" i="7"/>
  <c r="AZ299" i="7"/>
  <c r="AZ300" i="7"/>
  <c r="AZ301" i="7"/>
  <c r="AZ302" i="7"/>
  <c r="AZ303" i="7"/>
  <c r="AZ304" i="7"/>
  <c r="AZ305" i="7"/>
  <c r="AZ306" i="7"/>
  <c r="AZ307" i="7"/>
  <c r="AZ308" i="7"/>
  <c r="AZ309" i="7"/>
  <c r="AZ310" i="7"/>
  <c r="AZ311" i="7"/>
  <c r="AZ312" i="7"/>
  <c r="AZ313" i="7"/>
  <c r="AZ314" i="7"/>
  <c r="AZ315" i="7"/>
  <c r="AZ316" i="7"/>
  <c r="AZ317" i="7"/>
  <c r="AZ318" i="7"/>
  <c r="AZ319" i="7"/>
  <c r="AZ320" i="7"/>
  <c r="AZ321" i="7"/>
  <c r="AZ322" i="7"/>
  <c r="AZ323" i="7"/>
  <c r="AZ324" i="7"/>
  <c r="BB2" i="7"/>
  <c r="BB3" i="7"/>
  <c r="BB4" i="7"/>
  <c r="BB5" i="7"/>
  <c r="BB6" i="7"/>
  <c r="BB7" i="7"/>
  <c r="BB8" i="7"/>
  <c r="BB9" i="7"/>
  <c r="BB10" i="7"/>
  <c r="BB11" i="7"/>
  <c r="BB12" i="7"/>
  <c r="BB13" i="7"/>
  <c r="BB14" i="7"/>
  <c r="BB15" i="7"/>
  <c r="BB16" i="7"/>
  <c r="BB17" i="7"/>
  <c r="BB18" i="7"/>
  <c r="BB19" i="7"/>
  <c r="BB20" i="7"/>
  <c r="BB21" i="7"/>
  <c r="BB22" i="7"/>
  <c r="BB23" i="7"/>
  <c r="BB24" i="7"/>
  <c r="BB25" i="7"/>
  <c r="BB26" i="7"/>
  <c r="BB27" i="7"/>
  <c r="BB28" i="7"/>
  <c r="BB29" i="7"/>
  <c r="BB30" i="7"/>
  <c r="BB31" i="7"/>
  <c r="BB32" i="7"/>
  <c r="BB33" i="7"/>
  <c r="BB34" i="7"/>
  <c r="BB35" i="7"/>
  <c r="BB36" i="7"/>
  <c r="BB37" i="7"/>
  <c r="BB38" i="7"/>
  <c r="BB39" i="7"/>
  <c r="BB40" i="7"/>
  <c r="BB41" i="7"/>
  <c r="BB42" i="7"/>
  <c r="BB43" i="7"/>
  <c r="BB44" i="7"/>
  <c r="BB45" i="7"/>
  <c r="BB46" i="7"/>
  <c r="BB47" i="7"/>
  <c r="BB48" i="7"/>
  <c r="BB49" i="7"/>
  <c r="BB50" i="7"/>
  <c r="BB51" i="7"/>
  <c r="BB52" i="7"/>
  <c r="BB53" i="7"/>
  <c r="BB54" i="7"/>
  <c r="BB55" i="7"/>
  <c r="BB56" i="7"/>
  <c r="BB57" i="7"/>
  <c r="BB58" i="7"/>
  <c r="BB59" i="7"/>
  <c r="BB60" i="7"/>
  <c r="BB61" i="7"/>
  <c r="BB62" i="7"/>
  <c r="BB63" i="7"/>
  <c r="BB64" i="7"/>
  <c r="BB65" i="7"/>
  <c r="BB66" i="7"/>
  <c r="BB67" i="7"/>
  <c r="BB68" i="7"/>
  <c r="BB69" i="7"/>
  <c r="BB70" i="7"/>
  <c r="BB71" i="7"/>
  <c r="BB72" i="7"/>
  <c r="BB73" i="7"/>
  <c r="BB74" i="7"/>
  <c r="BB75" i="7"/>
  <c r="BB76" i="7"/>
  <c r="BB77" i="7"/>
  <c r="BB78" i="7"/>
  <c r="BB79" i="7"/>
  <c r="BB80" i="7"/>
  <c r="BB81" i="7"/>
  <c r="BB82" i="7"/>
  <c r="BB83" i="7"/>
  <c r="BB84" i="7"/>
  <c r="BB85" i="7"/>
  <c r="BB86" i="7"/>
  <c r="BB87" i="7"/>
  <c r="BB88" i="7"/>
  <c r="BB89" i="7"/>
  <c r="BB90" i="7"/>
  <c r="BB91" i="7"/>
  <c r="BB92" i="7"/>
  <c r="BB93" i="7"/>
  <c r="BB94" i="7"/>
  <c r="BB95" i="7"/>
  <c r="BB96" i="7"/>
  <c r="BB97" i="7"/>
  <c r="BB98" i="7"/>
  <c r="BB99" i="7"/>
  <c r="BB100" i="7"/>
  <c r="BB101" i="7"/>
  <c r="BB102" i="7"/>
  <c r="BB103" i="7"/>
  <c r="BB104" i="7"/>
  <c r="BB105" i="7"/>
  <c r="BB106" i="7"/>
  <c r="BB107" i="7"/>
  <c r="BB108" i="7"/>
  <c r="BB109" i="7"/>
  <c r="BB110" i="7"/>
  <c r="BB111" i="7"/>
  <c r="BB112" i="7"/>
  <c r="BB113" i="7"/>
  <c r="BB114" i="7"/>
  <c r="BB115" i="7"/>
  <c r="BB116" i="7"/>
  <c r="BB117" i="7"/>
  <c r="BB118" i="7"/>
  <c r="BB119" i="7"/>
  <c r="BB120" i="7"/>
  <c r="BB121" i="7"/>
  <c r="BB122" i="7"/>
  <c r="BB123" i="7"/>
  <c r="BB124" i="7"/>
  <c r="BB125" i="7"/>
  <c r="BB126" i="7"/>
  <c r="BB127" i="7"/>
  <c r="BB128" i="7"/>
  <c r="BB129" i="7"/>
  <c r="BB130" i="7"/>
  <c r="BB131" i="7"/>
  <c r="BB132" i="7"/>
  <c r="BB133" i="7"/>
  <c r="BB134" i="7"/>
  <c r="BB135" i="7"/>
  <c r="BB136" i="7"/>
  <c r="BB137" i="7"/>
  <c r="BB138" i="7"/>
  <c r="BB139" i="7"/>
  <c r="BB140" i="7"/>
  <c r="BB141" i="7"/>
  <c r="BB142" i="7"/>
  <c r="BB143" i="7"/>
  <c r="BB144" i="7"/>
  <c r="BB145" i="7"/>
  <c r="BB146" i="7"/>
  <c r="BB147" i="7"/>
  <c r="BB148" i="7"/>
  <c r="BB149" i="7"/>
  <c r="BB150" i="7"/>
  <c r="BB151" i="7"/>
  <c r="BB152" i="7"/>
  <c r="BB153" i="7"/>
  <c r="BB154" i="7"/>
  <c r="BB155" i="7"/>
  <c r="BB156" i="7"/>
  <c r="BB157" i="7"/>
  <c r="BB158" i="7"/>
  <c r="BB159" i="7"/>
  <c r="BB160" i="7"/>
  <c r="BB161" i="7"/>
  <c r="BB162" i="7"/>
  <c r="BB163" i="7"/>
  <c r="BB164" i="7"/>
  <c r="BB165" i="7"/>
  <c r="BB166" i="7"/>
  <c r="BB167" i="7"/>
  <c r="BB168" i="7"/>
  <c r="BB169" i="7"/>
  <c r="BB170" i="7"/>
  <c r="BB171" i="7"/>
  <c r="BB172" i="7"/>
  <c r="BB173" i="7"/>
  <c r="BB174" i="7"/>
  <c r="BB175" i="7"/>
  <c r="BB176" i="7"/>
  <c r="BB177" i="7"/>
  <c r="BB178" i="7"/>
  <c r="BB179" i="7"/>
  <c r="BB180" i="7"/>
  <c r="BB181" i="7"/>
  <c r="BB182" i="7"/>
  <c r="BB183" i="7"/>
  <c r="BB184" i="7"/>
  <c r="BB185" i="7"/>
  <c r="BB186" i="7"/>
  <c r="BB187" i="7"/>
  <c r="BB188" i="7"/>
  <c r="BB189" i="7"/>
  <c r="BB190" i="7"/>
  <c r="BB191" i="7"/>
  <c r="BB192" i="7"/>
  <c r="BB193" i="7"/>
  <c r="BB194" i="7"/>
  <c r="BB195" i="7"/>
  <c r="BB196" i="7"/>
  <c r="BB197" i="7"/>
  <c r="BB198" i="7"/>
  <c r="BB199" i="7"/>
  <c r="BB200" i="7"/>
  <c r="BB201" i="7"/>
  <c r="BB202" i="7"/>
  <c r="BB203" i="7"/>
  <c r="BB204" i="7"/>
  <c r="BB205" i="7"/>
  <c r="BB206" i="7"/>
  <c r="BB207" i="7"/>
  <c r="BB208" i="7"/>
  <c r="BB209" i="7"/>
  <c r="BB210" i="7"/>
  <c r="BB211" i="7"/>
  <c r="BB212" i="7"/>
  <c r="BB213" i="7"/>
  <c r="BB214" i="7"/>
  <c r="BB215" i="7"/>
  <c r="BB216" i="7"/>
  <c r="BB217" i="7"/>
  <c r="BB218" i="7"/>
  <c r="BB219" i="7"/>
  <c r="BB220" i="7"/>
  <c r="BB221" i="7"/>
  <c r="BB222" i="7"/>
  <c r="BB223" i="7"/>
  <c r="BB224" i="7"/>
  <c r="BB225" i="7"/>
  <c r="BB226" i="7"/>
  <c r="BB227" i="7"/>
  <c r="BB228" i="7"/>
  <c r="BB229" i="7"/>
  <c r="BB230" i="7"/>
  <c r="BB231" i="7"/>
  <c r="BB232" i="7"/>
  <c r="BB233" i="7"/>
  <c r="BB234" i="7"/>
  <c r="BB235" i="7"/>
  <c r="BB236" i="7"/>
  <c r="BB237" i="7"/>
  <c r="BB238" i="7"/>
  <c r="BB239" i="7"/>
  <c r="BB240" i="7"/>
  <c r="BB241" i="7"/>
  <c r="BB242" i="7"/>
  <c r="BB243" i="7"/>
  <c r="BB244" i="7"/>
  <c r="BB245" i="7"/>
  <c r="BB246" i="7"/>
  <c r="BB247" i="7"/>
  <c r="BB248" i="7"/>
  <c r="BB249" i="7"/>
  <c r="BB250" i="7"/>
  <c r="BB251" i="7"/>
  <c r="BB252" i="7"/>
  <c r="BB253" i="7"/>
  <c r="BB254" i="7"/>
  <c r="BB255" i="7"/>
  <c r="BB256" i="7"/>
  <c r="BB257" i="7"/>
  <c r="BB258" i="7"/>
  <c r="BB259" i="7"/>
  <c r="BB260" i="7"/>
  <c r="BB261" i="7"/>
  <c r="BB262" i="7"/>
  <c r="BB263" i="7"/>
  <c r="BB264" i="7"/>
  <c r="BB265" i="7"/>
  <c r="BB266" i="7"/>
  <c r="BB267" i="7"/>
  <c r="BB268" i="7"/>
  <c r="BB269" i="7"/>
  <c r="BB270" i="7"/>
  <c r="BB271" i="7"/>
  <c r="BB272" i="7"/>
  <c r="BB273" i="7"/>
  <c r="BB274" i="7"/>
  <c r="BB275" i="7"/>
  <c r="BB276" i="7"/>
  <c r="BB277" i="7"/>
  <c r="BB278" i="7"/>
  <c r="BB279" i="7"/>
  <c r="BB280" i="7"/>
  <c r="BB281" i="7"/>
  <c r="BB282" i="7"/>
  <c r="BB283" i="7"/>
  <c r="BB284" i="7"/>
  <c r="BB285" i="7"/>
  <c r="BB286" i="7"/>
  <c r="BB287" i="7"/>
  <c r="BB288" i="7"/>
  <c r="BB289" i="7"/>
  <c r="BB290" i="7"/>
  <c r="BB291" i="7"/>
  <c r="BB292" i="7"/>
  <c r="BB293" i="7"/>
  <c r="BB294" i="7"/>
  <c r="BB295" i="7"/>
  <c r="BB296" i="7"/>
  <c r="BB297" i="7"/>
  <c r="BB298" i="7"/>
  <c r="BB299" i="7"/>
  <c r="BB300" i="7"/>
  <c r="BB301" i="7"/>
  <c r="BB302" i="7"/>
  <c r="BB303" i="7"/>
  <c r="BB304" i="7"/>
  <c r="BB305" i="7"/>
  <c r="BB306" i="7"/>
  <c r="BB307" i="7"/>
  <c r="BB308" i="7"/>
  <c r="BB309" i="7"/>
  <c r="BB310" i="7"/>
  <c r="BB311" i="7"/>
  <c r="BB312" i="7"/>
  <c r="BB313" i="7"/>
  <c r="BB314" i="7"/>
  <c r="BB315" i="7"/>
  <c r="BB316" i="7"/>
  <c r="BB317" i="7"/>
  <c r="BB318" i="7"/>
  <c r="BB319" i="7"/>
  <c r="BB320" i="7"/>
  <c r="BB321" i="7"/>
  <c r="BB322" i="7"/>
  <c r="BB323" i="7"/>
  <c r="BB324" i="7"/>
  <c r="BD2" i="7"/>
  <c r="BD3" i="7"/>
  <c r="BD4" i="7"/>
  <c r="BD5" i="7"/>
  <c r="BD6" i="7"/>
  <c r="BD7" i="7"/>
  <c r="BD8" i="7"/>
  <c r="BD9" i="7"/>
  <c r="BD10" i="7"/>
  <c r="BD11" i="7"/>
  <c r="BD12" i="7"/>
  <c r="BD13" i="7"/>
  <c r="BD14" i="7"/>
  <c r="BD15" i="7"/>
  <c r="BD16" i="7"/>
  <c r="BD17" i="7"/>
  <c r="BD18" i="7"/>
  <c r="BD19" i="7"/>
  <c r="BD20" i="7"/>
  <c r="BD21" i="7"/>
  <c r="BD22" i="7"/>
  <c r="BD23" i="7"/>
  <c r="BD24" i="7"/>
  <c r="BD25" i="7"/>
  <c r="BD26" i="7"/>
  <c r="BD27" i="7"/>
  <c r="BD28" i="7"/>
  <c r="BD29" i="7"/>
  <c r="BD30" i="7"/>
  <c r="BD31" i="7"/>
  <c r="BD32" i="7"/>
  <c r="BD33" i="7"/>
  <c r="BD34" i="7"/>
  <c r="BD35" i="7"/>
  <c r="BD36" i="7"/>
  <c r="BD37" i="7"/>
  <c r="BD38" i="7"/>
  <c r="BD39" i="7"/>
  <c r="BD40" i="7"/>
  <c r="BD41" i="7"/>
  <c r="BD42" i="7"/>
  <c r="BD43" i="7"/>
  <c r="BD44" i="7"/>
  <c r="BD45" i="7"/>
  <c r="BD46" i="7"/>
  <c r="BD47" i="7"/>
  <c r="BD48" i="7"/>
  <c r="BD49" i="7"/>
  <c r="BD50" i="7"/>
  <c r="BD51" i="7"/>
  <c r="BD52" i="7"/>
  <c r="BD53" i="7"/>
  <c r="BD54" i="7"/>
  <c r="BD55" i="7"/>
  <c r="BD56" i="7"/>
  <c r="BD57" i="7"/>
  <c r="BD58" i="7"/>
  <c r="BD59" i="7"/>
  <c r="BD60" i="7"/>
  <c r="BD61" i="7"/>
  <c r="BD62" i="7"/>
  <c r="BD63" i="7"/>
  <c r="BD64" i="7"/>
  <c r="BD65" i="7"/>
  <c r="BD66" i="7"/>
  <c r="BD67" i="7"/>
  <c r="BD68" i="7"/>
  <c r="BD69" i="7"/>
  <c r="BD70" i="7"/>
  <c r="BD71" i="7"/>
  <c r="BD72" i="7"/>
  <c r="BD73" i="7"/>
  <c r="BD74" i="7"/>
  <c r="BD75" i="7"/>
  <c r="BD76" i="7"/>
  <c r="BD77" i="7"/>
  <c r="BD78" i="7"/>
  <c r="BD79" i="7"/>
  <c r="BD80" i="7"/>
  <c r="BD81" i="7"/>
  <c r="BD82" i="7"/>
  <c r="BD83" i="7"/>
  <c r="BD84" i="7"/>
  <c r="BD85" i="7"/>
  <c r="BD86" i="7"/>
  <c r="BD87" i="7"/>
  <c r="BD88" i="7"/>
  <c r="BD89" i="7"/>
  <c r="BD90" i="7"/>
  <c r="BD91" i="7"/>
  <c r="BD92" i="7"/>
  <c r="BD93" i="7"/>
  <c r="BD94" i="7"/>
  <c r="BD95" i="7"/>
  <c r="BD96" i="7"/>
  <c r="BD97" i="7"/>
  <c r="BD98" i="7"/>
  <c r="BD99" i="7"/>
  <c r="BD100" i="7"/>
  <c r="BD101" i="7"/>
  <c r="BD102" i="7"/>
  <c r="BD103" i="7"/>
  <c r="BD104" i="7"/>
  <c r="BD105" i="7"/>
  <c r="BD106" i="7"/>
  <c r="BD107" i="7"/>
  <c r="BD108" i="7"/>
  <c r="BD109" i="7"/>
  <c r="BD110" i="7"/>
  <c r="BD111" i="7"/>
  <c r="BD112" i="7"/>
  <c r="BD113" i="7"/>
  <c r="BD114" i="7"/>
  <c r="BD115" i="7"/>
  <c r="BD116" i="7"/>
  <c r="BD117" i="7"/>
  <c r="BD118" i="7"/>
  <c r="BD119" i="7"/>
  <c r="BD120" i="7"/>
  <c r="BD121" i="7"/>
  <c r="BD122" i="7"/>
  <c r="BD123" i="7"/>
  <c r="BD124" i="7"/>
  <c r="BD125" i="7"/>
  <c r="BD126" i="7"/>
  <c r="BD127" i="7"/>
  <c r="BD128" i="7"/>
  <c r="BD129" i="7"/>
  <c r="BD130" i="7"/>
  <c r="BD131" i="7"/>
  <c r="BD132" i="7"/>
  <c r="BD133" i="7"/>
  <c r="BD134" i="7"/>
  <c r="BD135" i="7"/>
  <c r="BD136" i="7"/>
  <c r="BD137" i="7"/>
  <c r="BD138" i="7"/>
  <c r="BD139" i="7"/>
  <c r="BD140" i="7"/>
  <c r="BD141" i="7"/>
  <c r="BD142" i="7"/>
  <c r="BD143" i="7"/>
  <c r="BD144" i="7"/>
  <c r="BD145" i="7"/>
  <c r="BD146" i="7"/>
  <c r="BD147" i="7"/>
  <c r="BD148" i="7"/>
  <c r="BD149" i="7"/>
  <c r="BD150" i="7"/>
  <c r="BD151" i="7"/>
  <c r="BD152" i="7"/>
  <c r="BD153" i="7"/>
  <c r="BD154" i="7"/>
  <c r="BD155" i="7"/>
  <c r="BD156" i="7"/>
  <c r="BD157" i="7"/>
  <c r="BD158" i="7"/>
  <c r="BD159" i="7"/>
  <c r="BD160" i="7"/>
  <c r="BD161" i="7"/>
  <c r="BD162" i="7"/>
  <c r="BD163" i="7"/>
  <c r="BD164" i="7"/>
  <c r="BD165" i="7"/>
  <c r="BD166" i="7"/>
  <c r="BD167" i="7"/>
  <c r="BD168" i="7"/>
  <c r="BD169" i="7"/>
  <c r="BD170" i="7"/>
  <c r="BD171" i="7"/>
  <c r="BD172" i="7"/>
  <c r="BD173" i="7"/>
  <c r="BD174" i="7"/>
  <c r="BD175" i="7"/>
  <c r="BD176" i="7"/>
  <c r="BD177" i="7"/>
  <c r="BD178" i="7"/>
  <c r="BD179" i="7"/>
  <c r="BD180" i="7"/>
  <c r="BD181" i="7"/>
  <c r="BD182" i="7"/>
  <c r="BD183" i="7"/>
  <c r="BD184" i="7"/>
  <c r="BD185" i="7"/>
  <c r="BD186" i="7"/>
  <c r="BD187" i="7"/>
  <c r="BD188" i="7"/>
  <c r="BD189" i="7"/>
  <c r="BD190" i="7"/>
  <c r="BD191" i="7"/>
  <c r="BD192" i="7"/>
  <c r="BD193" i="7"/>
  <c r="BD194" i="7"/>
  <c r="BD195" i="7"/>
  <c r="BD196" i="7"/>
  <c r="BD197" i="7"/>
  <c r="BD198" i="7"/>
  <c r="BD199" i="7"/>
  <c r="BD200" i="7"/>
  <c r="BD201" i="7"/>
  <c r="BD202" i="7"/>
  <c r="BD203" i="7"/>
  <c r="BD204" i="7"/>
  <c r="BD205" i="7"/>
  <c r="BD206" i="7"/>
  <c r="BD207" i="7"/>
  <c r="BD208" i="7"/>
  <c r="BD209" i="7"/>
  <c r="BD210" i="7"/>
  <c r="BD211" i="7"/>
  <c r="BD212" i="7"/>
  <c r="BD213" i="7"/>
  <c r="BD214" i="7"/>
  <c r="BD215" i="7"/>
  <c r="BD216" i="7"/>
  <c r="BD217" i="7"/>
  <c r="BD218" i="7"/>
  <c r="BD219" i="7"/>
  <c r="BD220" i="7"/>
  <c r="BD221" i="7"/>
  <c r="BD222" i="7"/>
  <c r="BD223" i="7"/>
  <c r="BD224" i="7"/>
  <c r="BD225" i="7"/>
  <c r="BD226" i="7"/>
  <c r="BD227" i="7"/>
  <c r="BD228" i="7"/>
  <c r="BD229" i="7"/>
  <c r="BD230" i="7"/>
  <c r="BD231" i="7"/>
  <c r="BD232" i="7"/>
  <c r="BD233" i="7"/>
  <c r="BD234" i="7"/>
  <c r="BD235" i="7"/>
  <c r="BD236" i="7"/>
  <c r="BD237" i="7"/>
  <c r="BD238" i="7"/>
  <c r="BD239" i="7"/>
  <c r="BD240" i="7"/>
  <c r="BD241" i="7"/>
  <c r="BD242" i="7"/>
  <c r="BD243" i="7"/>
  <c r="BD244" i="7"/>
  <c r="BD245" i="7"/>
  <c r="BD246" i="7"/>
  <c r="BD247" i="7"/>
  <c r="BD248" i="7"/>
  <c r="BD249" i="7"/>
  <c r="BD250" i="7"/>
  <c r="BD251" i="7"/>
  <c r="BD252" i="7"/>
  <c r="BD253" i="7"/>
  <c r="BD254" i="7"/>
  <c r="BD255" i="7"/>
  <c r="BD256" i="7"/>
  <c r="BD257" i="7"/>
  <c r="BD258" i="7"/>
  <c r="BD259" i="7"/>
  <c r="BD260" i="7"/>
  <c r="BD261" i="7"/>
  <c r="BD262" i="7"/>
  <c r="BD263" i="7"/>
  <c r="BD264" i="7"/>
  <c r="BD265" i="7"/>
  <c r="BD266" i="7"/>
  <c r="BD267" i="7"/>
  <c r="BD268" i="7"/>
  <c r="BD269" i="7"/>
  <c r="BD270" i="7"/>
  <c r="BD271" i="7"/>
  <c r="BD272" i="7"/>
  <c r="BD273" i="7"/>
  <c r="BD274" i="7"/>
  <c r="BD275" i="7"/>
  <c r="BD276" i="7"/>
  <c r="BD277" i="7"/>
  <c r="BD278" i="7"/>
  <c r="BD279" i="7"/>
  <c r="BD280" i="7"/>
  <c r="BD281" i="7"/>
  <c r="BD282" i="7"/>
  <c r="BD283" i="7"/>
  <c r="BD284" i="7"/>
  <c r="BD285" i="7"/>
  <c r="BD286" i="7"/>
  <c r="BD287" i="7"/>
  <c r="BD288" i="7"/>
  <c r="BD289" i="7"/>
  <c r="BD290" i="7"/>
  <c r="BD291" i="7"/>
  <c r="BD292" i="7"/>
  <c r="BD293" i="7"/>
  <c r="BD294" i="7"/>
  <c r="BD295" i="7"/>
  <c r="BD296" i="7"/>
  <c r="BD297" i="7"/>
  <c r="BD298" i="7"/>
  <c r="BD299" i="7"/>
  <c r="BD300" i="7"/>
  <c r="BD301" i="7"/>
  <c r="BD302" i="7"/>
  <c r="BD303" i="7"/>
  <c r="BD304" i="7"/>
  <c r="BD305" i="7"/>
  <c r="BD306" i="7"/>
  <c r="BD307" i="7"/>
  <c r="BD308" i="7"/>
  <c r="BD309" i="7"/>
  <c r="BD310" i="7"/>
  <c r="BD311" i="7"/>
  <c r="BD312" i="7"/>
  <c r="BD313" i="7"/>
  <c r="BD314" i="7"/>
  <c r="BD315" i="7"/>
  <c r="BD316" i="7"/>
  <c r="BD317" i="7"/>
  <c r="BD318" i="7"/>
  <c r="BD319" i="7"/>
  <c r="BD320" i="7"/>
  <c r="BD321" i="7"/>
  <c r="BD322" i="7"/>
  <c r="BD323" i="7"/>
  <c r="BD324" i="7"/>
  <c r="BF2" i="7"/>
  <c r="BF3" i="7"/>
  <c r="BF4" i="7"/>
  <c r="BF5" i="7"/>
  <c r="BF6" i="7"/>
  <c r="BF7" i="7"/>
  <c r="BF8" i="7"/>
  <c r="BF9" i="7"/>
  <c r="BF10" i="7"/>
  <c r="BF11" i="7"/>
  <c r="BF12" i="7"/>
  <c r="BF13" i="7"/>
  <c r="BF14" i="7"/>
  <c r="BF15" i="7"/>
  <c r="BF16" i="7"/>
  <c r="BF17" i="7"/>
  <c r="BF18" i="7"/>
  <c r="BF19" i="7"/>
  <c r="BF20" i="7"/>
  <c r="BF21" i="7"/>
  <c r="BF22" i="7"/>
  <c r="BF23" i="7"/>
  <c r="BF24" i="7"/>
  <c r="BF25" i="7"/>
  <c r="BF26" i="7"/>
  <c r="BF27" i="7"/>
  <c r="BF28" i="7"/>
  <c r="BF29" i="7"/>
  <c r="BF30" i="7"/>
  <c r="BF31" i="7"/>
  <c r="BF32" i="7"/>
  <c r="BF33" i="7"/>
  <c r="BF34" i="7"/>
  <c r="BF35" i="7"/>
  <c r="BF36" i="7"/>
  <c r="BF37" i="7"/>
  <c r="BF38" i="7"/>
  <c r="BF39" i="7"/>
  <c r="BF40" i="7"/>
  <c r="BF41" i="7"/>
  <c r="BF42" i="7"/>
  <c r="BF43" i="7"/>
  <c r="BF44" i="7"/>
  <c r="BF45" i="7"/>
  <c r="BF46" i="7"/>
  <c r="BF47" i="7"/>
  <c r="BF48" i="7"/>
  <c r="BF49" i="7"/>
  <c r="BF50" i="7"/>
  <c r="BF51" i="7"/>
  <c r="BF52" i="7"/>
  <c r="BF53" i="7"/>
  <c r="BF54" i="7"/>
  <c r="BF55" i="7"/>
  <c r="BF56" i="7"/>
  <c r="BF57" i="7"/>
  <c r="BF58" i="7"/>
  <c r="BF59" i="7"/>
  <c r="BF60" i="7"/>
  <c r="BF61" i="7"/>
  <c r="BF62" i="7"/>
  <c r="BF63" i="7"/>
  <c r="BF64" i="7"/>
  <c r="BF65" i="7"/>
  <c r="BF66" i="7"/>
  <c r="BF67" i="7"/>
  <c r="BF68" i="7"/>
  <c r="BF69" i="7"/>
  <c r="BF70" i="7"/>
  <c r="BF71" i="7"/>
  <c r="BF72" i="7"/>
  <c r="BF73" i="7"/>
  <c r="BF74" i="7"/>
  <c r="BF75" i="7"/>
  <c r="BF76" i="7"/>
  <c r="BF77" i="7"/>
  <c r="BF78" i="7"/>
  <c r="BF79" i="7"/>
  <c r="BF80" i="7"/>
  <c r="BF81" i="7"/>
  <c r="BF82" i="7"/>
  <c r="BF83" i="7"/>
  <c r="BF84" i="7"/>
  <c r="BF85" i="7"/>
  <c r="BF86" i="7"/>
  <c r="BF87" i="7"/>
  <c r="BF88" i="7"/>
  <c r="BF89" i="7"/>
  <c r="BF90" i="7"/>
  <c r="BF91" i="7"/>
  <c r="BF92" i="7"/>
  <c r="BF93" i="7"/>
  <c r="BF94" i="7"/>
  <c r="BF95" i="7"/>
  <c r="BF96" i="7"/>
  <c r="BF97" i="7"/>
  <c r="BF98" i="7"/>
  <c r="BF99" i="7"/>
  <c r="BF100" i="7"/>
  <c r="BF101" i="7"/>
  <c r="BF102" i="7"/>
  <c r="BF103" i="7"/>
  <c r="BF104" i="7"/>
  <c r="BF105" i="7"/>
  <c r="BF106" i="7"/>
  <c r="BF107" i="7"/>
  <c r="BF108" i="7"/>
  <c r="BF109" i="7"/>
  <c r="BF110" i="7"/>
  <c r="BF111" i="7"/>
  <c r="BF112" i="7"/>
  <c r="BF113" i="7"/>
  <c r="BF114" i="7"/>
  <c r="BF115" i="7"/>
  <c r="BF116" i="7"/>
  <c r="BF117" i="7"/>
  <c r="BF118" i="7"/>
  <c r="BF119" i="7"/>
  <c r="BF120" i="7"/>
  <c r="BF121" i="7"/>
  <c r="BF122" i="7"/>
  <c r="BF123" i="7"/>
  <c r="BF124" i="7"/>
  <c r="BF125" i="7"/>
  <c r="BF126" i="7"/>
  <c r="BF127" i="7"/>
  <c r="BF128" i="7"/>
  <c r="BF129" i="7"/>
  <c r="BF130" i="7"/>
  <c r="BF131" i="7"/>
  <c r="BF132" i="7"/>
  <c r="BF133" i="7"/>
  <c r="BF134" i="7"/>
  <c r="BF135" i="7"/>
  <c r="BF136" i="7"/>
  <c r="BF137" i="7"/>
  <c r="BF138" i="7"/>
  <c r="BF139" i="7"/>
  <c r="BF140" i="7"/>
  <c r="BF141" i="7"/>
  <c r="BF142" i="7"/>
  <c r="BF143" i="7"/>
  <c r="BF144" i="7"/>
  <c r="BF145" i="7"/>
  <c r="BF146" i="7"/>
  <c r="BF147" i="7"/>
  <c r="BF148" i="7"/>
  <c r="BF149" i="7"/>
  <c r="BF150" i="7"/>
  <c r="BF151" i="7"/>
  <c r="BF152" i="7"/>
  <c r="BF153" i="7"/>
  <c r="BF154" i="7"/>
  <c r="BF155" i="7"/>
  <c r="BF156" i="7"/>
  <c r="BF157" i="7"/>
  <c r="BF158" i="7"/>
  <c r="BF159" i="7"/>
  <c r="BF160" i="7"/>
  <c r="BF161" i="7"/>
  <c r="BF162" i="7"/>
  <c r="BF163" i="7"/>
  <c r="BF164" i="7"/>
  <c r="BF165" i="7"/>
  <c r="BF166" i="7"/>
  <c r="BF167" i="7"/>
  <c r="BF168" i="7"/>
  <c r="BF169" i="7"/>
  <c r="BF170" i="7"/>
  <c r="BF171" i="7"/>
  <c r="BF172" i="7"/>
  <c r="BF173" i="7"/>
  <c r="BF174" i="7"/>
  <c r="BF175" i="7"/>
  <c r="BF176" i="7"/>
  <c r="BF177" i="7"/>
  <c r="BF178" i="7"/>
  <c r="BF179" i="7"/>
  <c r="BF180" i="7"/>
  <c r="BF181" i="7"/>
  <c r="BF182" i="7"/>
  <c r="BF183" i="7"/>
  <c r="BF184" i="7"/>
  <c r="BF185" i="7"/>
  <c r="BF186" i="7"/>
  <c r="BF187" i="7"/>
  <c r="BF188" i="7"/>
  <c r="BF189" i="7"/>
  <c r="BF190" i="7"/>
  <c r="BF191" i="7"/>
  <c r="BF192" i="7"/>
  <c r="BF193" i="7"/>
  <c r="BF194" i="7"/>
  <c r="BF195" i="7"/>
  <c r="BF196" i="7"/>
  <c r="BF197" i="7"/>
  <c r="BF198" i="7"/>
  <c r="BF199" i="7"/>
  <c r="BF200" i="7"/>
  <c r="BF201" i="7"/>
  <c r="BF202" i="7"/>
  <c r="BF203" i="7"/>
  <c r="BF204" i="7"/>
  <c r="BF205" i="7"/>
  <c r="BF206" i="7"/>
  <c r="BF207" i="7"/>
  <c r="BF208" i="7"/>
  <c r="BF209" i="7"/>
  <c r="BF210" i="7"/>
  <c r="BF211" i="7"/>
  <c r="BF212" i="7"/>
  <c r="BF213" i="7"/>
  <c r="BF214" i="7"/>
  <c r="BF215" i="7"/>
  <c r="BF216" i="7"/>
  <c r="BF217" i="7"/>
  <c r="BF218" i="7"/>
  <c r="BF219" i="7"/>
  <c r="BF220" i="7"/>
  <c r="BF221" i="7"/>
  <c r="BF222" i="7"/>
  <c r="BF223" i="7"/>
  <c r="BF224" i="7"/>
  <c r="BF225" i="7"/>
  <c r="BF226" i="7"/>
  <c r="BF227" i="7"/>
  <c r="BF228" i="7"/>
  <c r="BF229" i="7"/>
  <c r="BF230" i="7"/>
  <c r="BF231" i="7"/>
  <c r="BF232" i="7"/>
  <c r="BF233" i="7"/>
  <c r="BF234" i="7"/>
  <c r="BF235" i="7"/>
  <c r="BF236" i="7"/>
  <c r="BF237" i="7"/>
  <c r="BF238" i="7"/>
  <c r="BF239" i="7"/>
  <c r="BF240" i="7"/>
  <c r="BF241" i="7"/>
  <c r="BF242" i="7"/>
  <c r="BF243" i="7"/>
  <c r="BF244" i="7"/>
  <c r="BF245" i="7"/>
  <c r="BF246" i="7"/>
  <c r="BF247" i="7"/>
  <c r="BF248" i="7"/>
  <c r="BF249" i="7"/>
  <c r="BF250" i="7"/>
  <c r="BF251" i="7"/>
  <c r="BF252" i="7"/>
  <c r="BF253" i="7"/>
  <c r="BF254" i="7"/>
  <c r="BF255" i="7"/>
  <c r="BF256" i="7"/>
  <c r="BF257" i="7"/>
  <c r="BF258" i="7"/>
  <c r="BF259" i="7"/>
  <c r="BF260" i="7"/>
  <c r="BF261" i="7"/>
  <c r="BF262" i="7"/>
  <c r="BF263" i="7"/>
  <c r="BF264" i="7"/>
  <c r="BF265" i="7"/>
  <c r="BF266" i="7"/>
  <c r="BF267" i="7"/>
  <c r="BF268" i="7"/>
  <c r="BF269" i="7"/>
  <c r="BF270" i="7"/>
  <c r="BF271" i="7"/>
  <c r="BF272" i="7"/>
  <c r="BF273" i="7"/>
  <c r="BF274" i="7"/>
  <c r="BF275" i="7"/>
  <c r="BF276" i="7"/>
  <c r="BF277" i="7"/>
  <c r="BF278" i="7"/>
  <c r="BF279" i="7"/>
  <c r="BF280" i="7"/>
  <c r="BF281" i="7"/>
  <c r="BF282" i="7"/>
  <c r="BF283" i="7"/>
  <c r="BF284" i="7"/>
  <c r="BF285" i="7"/>
  <c r="BF286" i="7"/>
  <c r="BF287" i="7"/>
  <c r="BF288" i="7"/>
  <c r="BF289" i="7"/>
  <c r="BF290" i="7"/>
  <c r="BF291" i="7"/>
  <c r="BF292" i="7"/>
  <c r="BF293" i="7"/>
  <c r="BF294" i="7"/>
  <c r="BF295" i="7"/>
  <c r="BF296" i="7"/>
  <c r="BF297" i="7"/>
  <c r="BF298" i="7"/>
  <c r="BF299" i="7"/>
  <c r="BF300" i="7"/>
  <c r="BF301" i="7"/>
  <c r="BF302" i="7"/>
  <c r="BF303" i="7"/>
  <c r="BF304" i="7"/>
  <c r="BF305" i="7"/>
  <c r="BF306" i="7"/>
  <c r="BF307" i="7"/>
  <c r="BF308" i="7"/>
  <c r="BF309" i="7"/>
  <c r="BF310" i="7"/>
  <c r="BF311" i="7"/>
  <c r="BF312" i="7"/>
  <c r="BF313" i="7"/>
  <c r="BF314" i="7"/>
  <c r="BF315" i="7"/>
  <c r="BF316" i="7"/>
  <c r="BF317" i="7"/>
  <c r="BF318" i="7"/>
  <c r="BF319" i="7"/>
  <c r="BF320" i="7"/>
  <c r="BF321" i="7"/>
  <c r="BF322" i="7"/>
  <c r="BF323" i="7"/>
  <c r="BF324" i="7"/>
  <c r="BH2" i="7"/>
  <c r="BH3" i="7"/>
  <c r="BH4" i="7"/>
  <c r="BH5" i="7"/>
  <c r="BH6" i="7"/>
  <c r="BH7" i="7"/>
  <c r="BH8" i="7"/>
  <c r="BH9" i="7"/>
  <c r="BH10" i="7"/>
  <c r="BH11" i="7"/>
  <c r="BH12" i="7"/>
  <c r="BH13" i="7"/>
  <c r="BH14" i="7"/>
  <c r="BH15" i="7"/>
  <c r="BH16" i="7"/>
  <c r="BH17" i="7"/>
  <c r="BH18" i="7"/>
  <c r="BH19" i="7"/>
  <c r="BH20" i="7"/>
  <c r="BH21" i="7"/>
  <c r="BH22" i="7"/>
  <c r="BH23" i="7"/>
  <c r="BH24" i="7"/>
  <c r="BH25" i="7"/>
  <c r="BH26" i="7"/>
  <c r="BH27" i="7"/>
  <c r="BH28" i="7"/>
  <c r="BH29" i="7"/>
  <c r="BH30" i="7"/>
  <c r="BH31" i="7"/>
  <c r="BH32" i="7"/>
  <c r="BH33" i="7"/>
  <c r="BH34" i="7"/>
  <c r="BH35" i="7"/>
  <c r="BH36" i="7"/>
  <c r="BH37" i="7"/>
  <c r="BH38" i="7"/>
  <c r="BH39" i="7"/>
  <c r="BH40" i="7"/>
  <c r="BH41" i="7"/>
  <c r="BH42" i="7"/>
  <c r="BH43" i="7"/>
  <c r="BH44" i="7"/>
  <c r="BH45" i="7"/>
  <c r="BH46" i="7"/>
  <c r="BH47" i="7"/>
  <c r="BH48" i="7"/>
  <c r="BH49" i="7"/>
  <c r="BH50" i="7"/>
  <c r="BH51" i="7"/>
  <c r="BH52" i="7"/>
  <c r="BH53" i="7"/>
  <c r="BH54" i="7"/>
  <c r="BH55" i="7"/>
  <c r="BH56" i="7"/>
  <c r="BH57" i="7"/>
  <c r="BH58" i="7"/>
  <c r="BH59" i="7"/>
  <c r="BH60" i="7"/>
  <c r="BH61" i="7"/>
  <c r="BH62" i="7"/>
  <c r="BH63" i="7"/>
  <c r="BH64" i="7"/>
  <c r="BH65" i="7"/>
  <c r="BH66" i="7"/>
  <c r="BH67" i="7"/>
  <c r="BH68" i="7"/>
  <c r="BH69" i="7"/>
  <c r="BH70" i="7"/>
  <c r="BH71" i="7"/>
  <c r="BH72" i="7"/>
  <c r="BH73" i="7"/>
  <c r="BH74" i="7"/>
  <c r="BH75" i="7"/>
  <c r="BH76" i="7"/>
  <c r="BH77" i="7"/>
  <c r="BH78" i="7"/>
  <c r="BH79" i="7"/>
  <c r="BH80" i="7"/>
  <c r="BH81" i="7"/>
  <c r="BH82" i="7"/>
  <c r="BH83" i="7"/>
  <c r="BH84" i="7"/>
  <c r="BH85" i="7"/>
  <c r="BH86" i="7"/>
  <c r="BH87" i="7"/>
  <c r="BH88" i="7"/>
  <c r="BH89" i="7"/>
  <c r="BH90" i="7"/>
  <c r="BH91" i="7"/>
  <c r="BH92" i="7"/>
  <c r="BH93" i="7"/>
  <c r="BH94" i="7"/>
  <c r="BH95" i="7"/>
  <c r="BH96" i="7"/>
  <c r="BH97" i="7"/>
  <c r="BH98" i="7"/>
  <c r="BH99" i="7"/>
  <c r="BH100" i="7"/>
  <c r="BH101" i="7"/>
  <c r="BH102" i="7"/>
  <c r="BH103" i="7"/>
  <c r="BH104" i="7"/>
  <c r="BH105" i="7"/>
  <c r="BH106" i="7"/>
  <c r="BH107" i="7"/>
  <c r="BH108" i="7"/>
  <c r="BH109" i="7"/>
  <c r="BH110" i="7"/>
  <c r="BH111" i="7"/>
  <c r="BH112" i="7"/>
  <c r="BH113" i="7"/>
  <c r="BH114" i="7"/>
  <c r="BH115" i="7"/>
  <c r="BH116" i="7"/>
  <c r="BH117" i="7"/>
  <c r="BH118" i="7"/>
  <c r="BH119" i="7"/>
  <c r="BH120" i="7"/>
  <c r="BH121" i="7"/>
  <c r="BH122" i="7"/>
  <c r="BH123" i="7"/>
  <c r="BH124" i="7"/>
  <c r="BH125" i="7"/>
  <c r="BH126" i="7"/>
  <c r="BH127" i="7"/>
  <c r="BH128" i="7"/>
  <c r="BH129" i="7"/>
  <c r="BH130" i="7"/>
  <c r="BH131" i="7"/>
  <c r="BH132" i="7"/>
  <c r="BH133" i="7"/>
  <c r="BH134" i="7"/>
  <c r="BH135" i="7"/>
  <c r="BH136" i="7"/>
  <c r="BH137" i="7"/>
  <c r="BH138" i="7"/>
  <c r="BH139" i="7"/>
  <c r="BH140" i="7"/>
  <c r="BH141" i="7"/>
  <c r="BH142" i="7"/>
  <c r="BH143" i="7"/>
  <c r="BH144" i="7"/>
  <c r="BH145" i="7"/>
  <c r="BH146" i="7"/>
  <c r="BH147" i="7"/>
  <c r="BH148" i="7"/>
  <c r="BH149" i="7"/>
  <c r="BH150" i="7"/>
  <c r="BH151" i="7"/>
  <c r="BH152" i="7"/>
  <c r="BH153" i="7"/>
  <c r="BH154" i="7"/>
  <c r="BH155" i="7"/>
  <c r="BH156" i="7"/>
  <c r="BH157" i="7"/>
  <c r="BH158" i="7"/>
  <c r="BH159" i="7"/>
  <c r="BH160" i="7"/>
  <c r="BH161" i="7"/>
  <c r="BH162" i="7"/>
  <c r="BH163" i="7"/>
  <c r="BH164" i="7"/>
  <c r="BH165" i="7"/>
  <c r="BH166" i="7"/>
  <c r="BH167" i="7"/>
  <c r="BH168" i="7"/>
  <c r="BH169" i="7"/>
  <c r="BH170" i="7"/>
  <c r="BH171" i="7"/>
  <c r="BH172" i="7"/>
  <c r="BH173" i="7"/>
  <c r="BH174" i="7"/>
  <c r="BH175" i="7"/>
  <c r="BH176" i="7"/>
  <c r="BH177" i="7"/>
  <c r="BH178" i="7"/>
  <c r="BH179" i="7"/>
  <c r="BH180" i="7"/>
  <c r="BH181" i="7"/>
  <c r="BH182" i="7"/>
  <c r="BH183" i="7"/>
  <c r="BH184" i="7"/>
  <c r="BH185" i="7"/>
  <c r="BH186" i="7"/>
  <c r="BH187" i="7"/>
  <c r="BH188" i="7"/>
  <c r="BH189" i="7"/>
  <c r="BH190" i="7"/>
  <c r="BH191" i="7"/>
  <c r="BH192" i="7"/>
  <c r="BH193" i="7"/>
  <c r="BH194" i="7"/>
  <c r="BH195" i="7"/>
  <c r="BH196" i="7"/>
  <c r="BH197" i="7"/>
  <c r="BH198" i="7"/>
  <c r="BH199" i="7"/>
  <c r="BH200" i="7"/>
  <c r="BH201" i="7"/>
  <c r="BH202" i="7"/>
  <c r="BH203" i="7"/>
  <c r="BH204" i="7"/>
  <c r="BH205" i="7"/>
  <c r="BH206" i="7"/>
  <c r="BH207" i="7"/>
  <c r="BH208" i="7"/>
  <c r="BH209" i="7"/>
  <c r="BH210" i="7"/>
  <c r="BH211" i="7"/>
  <c r="BH212" i="7"/>
  <c r="BH213" i="7"/>
  <c r="BH214" i="7"/>
  <c r="BH215" i="7"/>
  <c r="BH216" i="7"/>
  <c r="BH217" i="7"/>
  <c r="BH218" i="7"/>
  <c r="BH219" i="7"/>
  <c r="BH220" i="7"/>
  <c r="BH221" i="7"/>
  <c r="BH222" i="7"/>
  <c r="BH223" i="7"/>
  <c r="BH224" i="7"/>
  <c r="BH225" i="7"/>
  <c r="BH226" i="7"/>
  <c r="BH227" i="7"/>
  <c r="BH228" i="7"/>
  <c r="BH229" i="7"/>
  <c r="BH230" i="7"/>
  <c r="BH231" i="7"/>
  <c r="BH232" i="7"/>
  <c r="BH233" i="7"/>
  <c r="BH234" i="7"/>
  <c r="BH235" i="7"/>
  <c r="BH236" i="7"/>
  <c r="BH237" i="7"/>
  <c r="BH238" i="7"/>
  <c r="BH239" i="7"/>
  <c r="BH240" i="7"/>
  <c r="BH241" i="7"/>
  <c r="BH242" i="7"/>
  <c r="BH243" i="7"/>
  <c r="BH244" i="7"/>
  <c r="BH245" i="7"/>
  <c r="BH246" i="7"/>
  <c r="BH247" i="7"/>
  <c r="BH248" i="7"/>
  <c r="BH249" i="7"/>
  <c r="BH250" i="7"/>
  <c r="BH251" i="7"/>
  <c r="BH252" i="7"/>
  <c r="BH253" i="7"/>
  <c r="BH254" i="7"/>
  <c r="BH255" i="7"/>
  <c r="BH256" i="7"/>
  <c r="BH257" i="7"/>
  <c r="BH258" i="7"/>
  <c r="BH259" i="7"/>
  <c r="BH260" i="7"/>
  <c r="BH261" i="7"/>
  <c r="BH262" i="7"/>
  <c r="BH263" i="7"/>
  <c r="BH264" i="7"/>
  <c r="BH265" i="7"/>
  <c r="BH266" i="7"/>
  <c r="BH267" i="7"/>
  <c r="BH268" i="7"/>
  <c r="BH269" i="7"/>
  <c r="BH270" i="7"/>
  <c r="BH271" i="7"/>
  <c r="BH272" i="7"/>
  <c r="BH273" i="7"/>
  <c r="BH274" i="7"/>
  <c r="BH275" i="7"/>
  <c r="BH276" i="7"/>
  <c r="BH277" i="7"/>
  <c r="BH278" i="7"/>
  <c r="BH279" i="7"/>
  <c r="BH280" i="7"/>
  <c r="BH281" i="7"/>
  <c r="BH282" i="7"/>
  <c r="BH283" i="7"/>
  <c r="BH284" i="7"/>
  <c r="BH285" i="7"/>
  <c r="BH286" i="7"/>
  <c r="BH287" i="7"/>
  <c r="BH288" i="7"/>
  <c r="BH289" i="7"/>
  <c r="BH290" i="7"/>
  <c r="BH291" i="7"/>
  <c r="BH292" i="7"/>
  <c r="BH293" i="7"/>
  <c r="BH294" i="7"/>
  <c r="BH295" i="7"/>
  <c r="BH296" i="7"/>
  <c r="BH297" i="7"/>
  <c r="BH298" i="7"/>
  <c r="BH299" i="7"/>
  <c r="BH300" i="7"/>
  <c r="BH301" i="7"/>
  <c r="BH302" i="7"/>
  <c r="BH303" i="7"/>
  <c r="BH304" i="7"/>
  <c r="BH305" i="7"/>
  <c r="BH306" i="7"/>
  <c r="BH307" i="7"/>
  <c r="BH308" i="7"/>
  <c r="BH309" i="7"/>
  <c r="BH310" i="7"/>
  <c r="BH311" i="7"/>
  <c r="BH312" i="7"/>
  <c r="BH313" i="7"/>
  <c r="BH314" i="7"/>
  <c r="BH315" i="7"/>
  <c r="BH316" i="7"/>
  <c r="BH317" i="7"/>
  <c r="BH318" i="7"/>
  <c r="BH319" i="7"/>
  <c r="BH320" i="7"/>
  <c r="BH321" i="7"/>
  <c r="BH322" i="7"/>
  <c r="BH323" i="7"/>
  <c r="BH324" i="7"/>
  <c r="BJ2" i="7"/>
  <c r="BJ3" i="7"/>
  <c r="BJ4" i="7"/>
  <c r="BJ5" i="7"/>
  <c r="BJ6" i="7"/>
  <c r="BJ7" i="7"/>
  <c r="BJ8" i="7"/>
  <c r="BJ9" i="7"/>
  <c r="BJ10" i="7"/>
  <c r="BJ11" i="7"/>
  <c r="BJ12" i="7"/>
  <c r="BJ13" i="7"/>
  <c r="BJ14" i="7"/>
  <c r="BJ15" i="7"/>
  <c r="BJ16" i="7"/>
  <c r="BJ17" i="7"/>
  <c r="BJ18" i="7"/>
  <c r="BJ19" i="7"/>
  <c r="BJ20" i="7"/>
  <c r="BJ21" i="7"/>
  <c r="BJ22" i="7"/>
  <c r="BJ23" i="7"/>
  <c r="BJ24" i="7"/>
  <c r="BJ25" i="7"/>
  <c r="BJ26" i="7"/>
  <c r="BJ27" i="7"/>
  <c r="BJ28" i="7"/>
  <c r="BJ29" i="7"/>
  <c r="BJ30" i="7"/>
  <c r="BJ31" i="7"/>
  <c r="BJ32" i="7"/>
  <c r="BJ33" i="7"/>
  <c r="BJ34" i="7"/>
  <c r="BJ35" i="7"/>
  <c r="BJ36" i="7"/>
  <c r="BJ37" i="7"/>
  <c r="BJ38" i="7"/>
  <c r="BJ39" i="7"/>
  <c r="BJ40" i="7"/>
  <c r="BJ41" i="7"/>
  <c r="BJ42" i="7"/>
  <c r="BJ43" i="7"/>
  <c r="BJ44" i="7"/>
  <c r="BJ45" i="7"/>
  <c r="BJ46" i="7"/>
  <c r="BJ47" i="7"/>
  <c r="BJ48" i="7"/>
  <c r="BJ49" i="7"/>
  <c r="BJ50" i="7"/>
  <c r="BJ51" i="7"/>
  <c r="BJ52" i="7"/>
  <c r="BJ53" i="7"/>
  <c r="BJ54" i="7"/>
  <c r="BJ55" i="7"/>
  <c r="BJ56" i="7"/>
  <c r="BJ57" i="7"/>
  <c r="BJ58" i="7"/>
  <c r="BJ59" i="7"/>
  <c r="BJ60" i="7"/>
  <c r="BJ61" i="7"/>
  <c r="BJ62" i="7"/>
  <c r="BJ63" i="7"/>
  <c r="BJ64" i="7"/>
  <c r="BJ65" i="7"/>
  <c r="BJ66" i="7"/>
  <c r="BJ67" i="7"/>
  <c r="BJ68" i="7"/>
  <c r="BJ69" i="7"/>
  <c r="BJ70" i="7"/>
  <c r="BJ71" i="7"/>
  <c r="BJ72" i="7"/>
  <c r="BJ73" i="7"/>
  <c r="BJ74" i="7"/>
  <c r="BJ75" i="7"/>
  <c r="BJ76" i="7"/>
  <c r="BJ77" i="7"/>
  <c r="BJ78" i="7"/>
  <c r="BJ79" i="7"/>
  <c r="BJ80" i="7"/>
  <c r="BJ81" i="7"/>
  <c r="BJ82" i="7"/>
  <c r="BJ83" i="7"/>
  <c r="BJ84" i="7"/>
  <c r="BJ85" i="7"/>
  <c r="BJ86" i="7"/>
  <c r="BJ87" i="7"/>
  <c r="BJ88" i="7"/>
  <c r="BJ89" i="7"/>
  <c r="BJ90" i="7"/>
  <c r="BJ91" i="7"/>
  <c r="BJ92" i="7"/>
  <c r="BJ93" i="7"/>
  <c r="BJ94" i="7"/>
  <c r="BJ95" i="7"/>
  <c r="BJ96" i="7"/>
  <c r="BJ97" i="7"/>
  <c r="BJ98" i="7"/>
  <c r="BJ99" i="7"/>
  <c r="BJ100" i="7"/>
  <c r="BJ101" i="7"/>
  <c r="BJ102" i="7"/>
  <c r="BJ103" i="7"/>
  <c r="BJ104" i="7"/>
  <c r="BJ105" i="7"/>
  <c r="BJ106" i="7"/>
  <c r="BJ107" i="7"/>
  <c r="BJ108" i="7"/>
  <c r="BJ109" i="7"/>
  <c r="BJ110" i="7"/>
  <c r="BJ111" i="7"/>
  <c r="BJ112" i="7"/>
  <c r="BJ113" i="7"/>
  <c r="BJ114" i="7"/>
  <c r="BJ115" i="7"/>
  <c r="BJ116" i="7"/>
  <c r="BJ117" i="7"/>
  <c r="BJ118" i="7"/>
  <c r="BJ119" i="7"/>
  <c r="BJ120" i="7"/>
  <c r="BJ121" i="7"/>
  <c r="BJ122" i="7"/>
  <c r="BJ123" i="7"/>
  <c r="BJ124" i="7"/>
  <c r="BJ125" i="7"/>
  <c r="BJ126" i="7"/>
  <c r="BJ127" i="7"/>
  <c r="BJ128" i="7"/>
  <c r="BJ129" i="7"/>
  <c r="BJ130" i="7"/>
  <c r="BJ131" i="7"/>
  <c r="BJ132" i="7"/>
  <c r="BJ133" i="7"/>
  <c r="BJ134" i="7"/>
  <c r="BJ135" i="7"/>
  <c r="BJ136" i="7"/>
  <c r="BJ137" i="7"/>
  <c r="BJ138" i="7"/>
  <c r="BJ139" i="7"/>
  <c r="BJ140" i="7"/>
  <c r="BJ141" i="7"/>
  <c r="BJ142" i="7"/>
  <c r="BJ143" i="7"/>
  <c r="BJ144" i="7"/>
  <c r="BJ145" i="7"/>
  <c r="BJ146" i="7"/>
  <c r="BJ147" i="7"/>
  <c r="BJ148" i="7"/>
  <c r="BJ149" i="7"/>
  <c r="BJ150" i="7"/>
  <c r="BJ151" i="7"/>
  <c r="BJ152" i="7"/>
  <c r="BJ153" i="7"/>
  <c r="BJ154" i="7"/>
  <c r="BJ155" i="7"/>
  <c r="BJ156" i="7"/>
  <c r="BJ157" i="7"/>
  <c r="BJ158" i="7"/>
  <c r="BJ159" i="7"/>
  <c r="BJ160" i="7"/>
  <c r="BJ161" i="7"/>
  <c r="BJ162" i="7"/>
  <c r="BJ163" i="7"/>
  <c r="BJ164" i="7"/>
  <c r="BJ165" i="7"/>
  <c r="BJ166" i="7"/>
  <c r="BJ167" i="7"/>
  <c r="BJ168" i="7"/>
  <c r="BJ169" i="7"/>
  <c r="BJ170" i="7"/>
  <c r="BJ171" i="7"/>
  <c r="BJ172" i="7"/>
  <c r="BJ173" i="7"/>
  <c r="BJ174" i="7"/>
  <c r="BJ175" i="7"/>
  <c r="BJ176" i="7"/>
  <c r="BJ177" i="7"/>
  <c r="BJ178" i="7"/>
  <c r="BJ179" i="7"/>
  <c r="BJ180" i="7"/>
  <c r="BJ181" i="7"/>
  <c r="BJ182" i="7"/>
  <c r="BJ183" i="7"/>
  <c r="BJ184" i="7"/>
  <c r="BJ185" i="7"/>
  <c r="BJ186" i="7"/>
  <c r="BJ187" i="7"/>
  <c r="BJ188" i="7"/>
  <c r="BJ189" i="7"/>
  <c r="BJ190" i="7"/>
  <c r="BJ191" i="7"/>
  <c r="BJ192" i="7"/>
  <c r="BJ193" i="7"/>
  <c r="BJ194" i="7"/>
  <c r="BJ195" i="7"/>
  <c r="BJ196" i="7"/>
  <c r="BJ197" i="7"/>
  <c r="BJ198" i="7"/>
  <c r="BJ199" i="7"/>
  <c r="BJ200" i="7"/>
  <c r="BJ201" i="7"/>
  <c r="BJ202" i="7"/>
  <c r="BJ203" i="7"/>
  <c r="BJ204" i="7"/>
  <c r="BJ205" i="7"/>
  <c r="BJ206" i="7"/>
  <c r="BJ207" i="7"/>
  <c r="BJ208" i="7"/>
  <c r="BJ209" i="7"/>
  <c r="BJ210" i="7"/>
  <c r="BJ211" i="7"/>
  <c r="BJ212" i="7"/>
  <c r="BJ213" i="7"/>
  <c r="BJ214" i="7"/>
  <c r="BJ215" i="7"/>
  <c r="BJ216" i="7"/>
  <c r="BJ217" i="7"/>
  <c r="BJ218" i="7"/>
  <c r="BJ219" i="7"/>
  <c r="BJ220" i="7"/>
  <c r="BJ221" i="7"/>
  <c r="BJ222" i="7"/>
  <c r="BJ223" i="7"/>
  <c r="BJ224" i="7"/>
  <c r="BJ225" i="7"/>
  <c r="BJ226" i="7"/>
  <c r="BJ227" i="7"/>
  <c r="BJ228" i="7"/>
  <c r="BJ229" i="7"/>
  <c r="BJ230" i="7"/>
  <c r="BJ231" i="7"/>
  <c r="BJ232" i="7"/>
  <c r="BJ233" i="7"/>
  <c r="BJ234" i="7"/>
  <c r="BJ235" i="7"/>
  <c r="BJ236" i="7"/>
  <c r="BJ237" i="7"/>
  <c r="BJ238" i="7"/>
  <c r="BJ239" i="7"/>
  <c r="BJ240" i="7"/>
  <c r="BJ241" i="7"/>
  <c r="BJ242" i="7"/>
  <c r="BJ243" i="7"/>
  <c r="BJ244" i="7"/>
  <c r="BJ245" i="7"/>
  <c r="BJ246" i="7"/>
  <c r="BJ247" i="7"/>
  <c r="BJ248" i="7"/>
  <c r="BJ249" i="7"/>
  <c r="BJ250" i="7"/>
  <c r="BJ251" i="7"/>
  <c r="BJ252" i="7"/>
  <c r="BJ253" i="7"/>
  <c r="BJ254" i="7"/>
  <c r="BJ255" i="7"/>
  <c r="BJ256" i="7"/>
  <c r="BJ257" i="7"/>
  <c r="BJ258" i="7"/>
  <c r="BJ259" i="7"/>
  <c r="BJ260" i="7"/>
  <c r="BJ261" i="7"/>
  <c r="BJ262" i="7"/>
  <c r="BJ263" i="7"/>
  <c r="BJ264" i="7"/>
  <c r="BJ265" i="7"/>
  <c r="BJ266" i="7"/>
  <c r="BJ267" i="7"/>
  <c r="BJ268" i="7"/>
  <c r="BJ269" i="7"/>
  <c r="BJ270" i="7"/>
  <c r="BJ271" i="7"/>
  <c r="BJ272" i="7"/>
  <c r="BJ273" i="7"/>
  <c r="BJ274" i="7"/>
  <c r="BJ275" i="7"/>
  <c r="BJ276" i="7"/>
  <c r="BJ277" i="7"/>
  <c r="BJ278" i="7"/>
  <c r="BJ279" i="7"/>
  <c r="BJ280" i="7"/>
  <c r="BJ281" i="7"/>
  <c r="BJ282" i="7"/>
  <c r="BJ283" i="7"/>
  <c r="BJ284" i="7"/>
  <c r="BJ285" i="7"/>
  <c r="BJ286" i="7"/>
  <c r="BJ287" i="7"/>
  <c r="BJ288" i="7"/>
  <c r="BJ289" i="7"/>
  <c r="BJ290" i="7"/>
  <c r="BJ291" i="7"/>
  <c r="BJ292" i="7"/>
  <c r="BJ293" i="7"/>
  <c r="BJ294" i="7"/>
  <c r="BJ295" i="7"/>
  <c r="BJ296" i="7"/>
  <c r="BJ297" i="7"/>
  <c r="BJ298" i="7"/>
  <c r="BJ299" i="7"/>
  <c r="BJ300" i="7"/>
  <c r="BJ301" i="7"/>
  <c r="BJ302" i="7"/>
  <c r="BJ303" i="7"/>
  <c r="BJ304" i="7"/>
  <c r="BJ305" i="7"/>
  <c r="BJ306" i="7"/>
  <c r="BJ307" i="7"/>
  <c r="BJ308" i="7"/>
  <c r="BJ309" i="7"/>
  <c r="BJ310" i="7"/>
  <c r="BJ311" i="7"/>
  <c r="BJ312" i="7"/>
  <c r="BJ313" i="7"/>
  <c r="BJ314" i="7"/>
  <c r="BJ315" i="7"/>
  <c r="BJ316" i="7"/>
  <c r="BJ317" i="7"/>
  <c r="BJ318" i="7"/>
  <c r="BJ319" i="7"/>
  <c r="BJ320" i="7"/>
  <c r="BJ321" i="7"/>
  <c r="BJ322" i="7"/>
  <c r="BJ323" i="7"/>
  <c r="BJ324" i="7"/>
  <c r="BL2" i="7"/>
  <c r="BN2" i="7"/>
  <c r="BN3" i="7"/>
  <c r="BN4" i="7"/>
  <c r="BN5" i="7"/>
  <c r="BN6" i="7"/>
  <c r="BN7" i="7"/>
  <c r="BN8" i="7"/>
  <c r="BN9" i="7"/>
  <c r="BN10" i="7"/>
  <c r="BN11" i="7"/>
  <c r="BN12" i="7"/>
  <c r="BN13" i="7"/>
  <c r="BN14" i="7"/>
  <c r="BN15" i="7"/>
  <c r="BN16" i="7"/>
  <c r="BN17" i="7"/>
  <c r="BN18" i="7"/>
  <c r="BN19" i="7"/>
  <c r="BN20" i="7"/>
  <c r="BN21" i="7"/>
  <c r="BN22" i="7"/>
  <c r="BN23" i="7"/>
  <c r="BN24" i="7"/>
  <c r="BN25" i="7"/>
  <c r="BN26" i="7"/>
  <c r="BN27" i="7"/>
  <c r="BN28" i="7"/>
  <c r="BN29" i="7"/>
  <c r="BN30" i="7"/>
  <c r="BN31" i="7"/>
  <c r="BN32" i="7"/>
  <c r="BN33" i="7"/>
  <c r="BN34" i="7"/>
  <c r="BN35" i="7"/>
  <c r="BN36" i="7"/>
  <c r="BN37" i="7"/>
  <c r="BN38" i="7"/>
  <c r="BN39" i="7"/>
  <c r="BN40" i="7"/>
  <c r="BN41" i="7"/>
  <c r="BN42" i="7"/>
  <c r="BN43" i="7"/>
  <c r="BN44" i="7"/>
  <c r="BN45" i="7"/>
  <c r="BN46" i="7"/>
  <c r="BN47" i="7"/>
  <c r="BN48" i="7"/>
  <c r="BN49" i="7"/>
  <c r="BN50" i="7"/>
  <c r="BN51" i="7"/>
  <c r="BN52" i="7"/>
  <c r="BN53" i="7"/>
  <c r="BN54" i="7"/>
  <c r="BN55" i="7"/>
  <c r="BN56" i="7"/>
  <c r="BN57" i="7"/>
  <c r="BN58" i="7"/>
  <c r="BN59" i="7"/>
  <c r="BN60" i="7"/>
  <c r="BN61" i="7"/>
  <c r="BN62" i="7"/>
  <c r="BN63" i="7"/>
  <c r="BN64" i="7"/>
  <c r="BN65" i="7"/>
  <c r="BN66" i="7"/>
  <c r="BN67" i="7"/>
  <c r="BN68" i="7"/>
  <c r="BN69" i="7"/>
  <c r="BN70" i="7"/>
  <c r="BN71" i="7"/>
  <c r="BN72" i="7"/>
  <c r="BN73" i="7"/>
  <c r="BN74" i="7"/>
  <c r="BN75" i="7"/>
  <c r="BN76" i="7"/>
  <c r="BN77" i="7"/>
  <c r="BN78" i="7"/>
  <c r="BN79" i="7"/>
  <c r="BN80" i="7"/>
  <c r="BN81" i="7"/>
  <c r="BN82" i="7"/>
  <c r="BN83" i="7"/>
  <c r="BN84" i="7"/>
  <c r="BN85" i="7"/>
  <c r="BN86" i="7"/>
  <c r="BN87" i="7"/>
  <c r="BN88" i="7"/>
  <c r="BN89" i="7"/>
  <c r="BN90" i="7"/>
  <c r="BN91" i="7"/>
  <c r="BN92" i="7"/>
  <c r="BN93" i="7"/>
  <c r="BN94" i="7"/>
  <c r="BN95" i="7"/>
  <c r="BN96" i="7"/>
  <c r="BN97" i="7"/>
  <c r="BN98" i="7"/>
  <c r="BN99" i="7"/>
  <c r="BN100" i="7"/>
  <c r="BN101" i="7"/>
  <c r="BN102" i="7"/>
  <c r="BN103" i="7"/>
  <c r="BN104" i="7"/>
  <c r="BN105" i="7"/>
  <c r="BN106" i="7"/>
  <c r="BN107" i="7"/>
  <c r="BN108" i="7"/>
  <c r="BN109" i="7"/>
  <c r="BN110" i="7"/>
  <c r="BN111" i="7"/>
  <c r="BN112" i="7"/>
  <c r="BN113" i="7"/>
  <c r="BN114" i="7"/>
  <c r="BN115" i="7"/>
  <c r="BN116" i="7"/>
  <c r="BN117" i="7"/>
  <c r="BN118" i="7"/>
  <c r="BN119" i="7"/>
  <c r="BN120" i="7"/>
  <c r="BN121" i="7"/>
  <c r="BN122" i="7"/>
  <c r="BN123" i="7"/>
  <c r="BN124" i="7"/>
  <c r="BN125" i="7"/>
  <c r="BN126" i="7"/>
  <c r="BN127" i="7"/>
  <c r="BN128" i="7"/>
  <c r="BN129" i="7"/>
  <c r="BN130" i="7"/>
  <c r="BN131" i="7"/>
  <c r="BN132" i="7"/>
  <c r="BN133" i="7"/>
  <c r="BN134" i="7"/>
  <c r="BN135" i="7"/>
  <c r="BN136" i="7"/>
  <c r="BN137" i="7"/>
  <c r="BN138" i="7"/>
  <c r="BN139" i="7"/>
  <c r="BN140" i="7"/>
  <c r="BN141" i="7"/>
  <c r="BN142" i="7"/>
  <c r="BN143" i="7"/>
  <c r="BN144" i="7"/>
  <c r="BN145" i="7"/>
  <c r="BN146" i="7"/>
  <c r="BN147" i="7"/>
  <c r="BN148" i="7"/>
  <c r="BN149" i="7"/>
  <c r="BN150" i="7"/>
  <c r="BN151" i="7"/>
  <c r="BN152" i="7"/>
  <c r="BN153" i="7"/>
  <c r="BN154" i="7"/>
  <c r="BN155" i="7"/>
  <c r="BN156" i="7"/>
  <c r="BN157" i="7"/>
  <c r="BN158" i="7"/>
  <c r="BN159" i="7"/>
  <c r="BN160" i="7"/>
  <c r="BN161" i="7"/>
  <c r="BN162" i="7"/>
  <c r="BN163" i="7"/>
  <c r="BN164" i="7"/>
  <c r="BN165" i="7"/>
  <c r="BN166" i="7"/>
  <c r="BN167" i="7"/>
  <c r="BN168" i="7"/>
  <c r="BN169" i="7"/>
  <c r="BN170" i="7"/>
  <c r="BN171" i="7"/>
  <c r="BN172" i="7"/>
  <c r="BN173" i="7"/>
  <c r="BN174" i="7"/>
  <c r="BN175" i="7"/>
  <c r="BN176" i="7"/>
  <c r="BN177" i="7"/>
  <c r="BN178" i="7"/>
  <c r="BN179" i="7"/>
  <c r="BN180" i="7"/>
  <c r="BN181" i="7"/>
  <c r="BN182" i="7"/>
  <c r="BN183" i="7"/>
  <c r="BN184" i="7"/>
  <c r="BN185" i="7"/>
  <c r="BN186" i="7"/>
  <c r="BN187" i="7"/>
  <c r="BN188" i="7"/>
  <c r="BN189" i="7"/>
  <c r="BN190" i="7"/>
  <c r="BN191" i="7"/>
  <c r="BN192" i="7"/>
  <c r="BN193" i="7"/>
  <c r="BN194" i="7"/>
  <c r="BN195" i="7"/>
  <c r="BN196" i="7"/>
  <c r="BN197" i="7"/>
  <c r="BN198" i="7"/>
  <c r="BN199" i="7"/>
  <c r="BN200" i="7"/>
  <c r="BN201" i="7"/>
  <c r="BN202" i="7"/>
  <c r="BN203" i="7"/>
  <c r="BN204" i="7"/>
  <c r="BN205" i="7"/>
  <c r="BN206" i="7"/>
  <c r="BN207" i="7"/>
  <c r="BN208" i="7"/>
  <c r="BN209" i="7"/>
  <c r="BN210" i="7"/>
  <c r="BN211" i="7"/>
  <c r="BN212" i="7"/>
  <c r="BN213" i="7"/>
  <c r="BN214" i="7"/>
  <c r="BN215" i="7"/>
  <c r="BN216" i="7"/>
  <c r="BN217" i="7"/>
  <c r="BN218" i="7"/>
  <c r="BN219" i="7"/>
  <c r="BN220" i="7"/>
  <c r="BN221" i="7"/>
  <c r="BN222" i="7"/>
  <c r="BN223" i="7"/>
  <c r="BN224" i="7"/>
  <c r="BN225" i="7"/>
  <c r="BN226" i="7"/>
  <c r="BN227" i="7"/>
  <c r="BN228" i="7"/>
  <c r="BN229" i="7"/>
  <c r="BN230" i="7"/>
  <c r="BN231" i="7"/>
  <c r="BN232" i="7"/>
  <c r="BN233" i="7"/>
  <c r="BN234" i="7"/>
  <c r="BN235" i="7"/>
  <c r="BN236" i="7"/>
  <c r="BN237" i="7"/>
  <c r="BN238" i="7"/>
  <c r="BN239" i="7"/>
  <c r="BN240" i="7"/>
  <c r="BN241" i="7"/>
  <c r="BN242" i="7"/>
  <c r="BN243" i="7"/>
  <c r="BN244" i="7"/>
  <c r="BN245" i="7"/>
  <c r="BN246" i="7"/>
  <c r="BN247" i="7"/>
  <c r="BN248" i="7"/>
  <c r="BN249" i="7"/>
  <c r="BN250" i="7"/>
  <c r="BN251" i="7"/>
  <c r="BN252" i="7"/>
  <c r="BN253" i="7"/>
  <c r="BN254" i="7"/>
  <c r="BN255" i="7"/>
  <c r="BN256" i="7"/>
  <c r="BN257" i="7"/>
  <c r="BN258" i="7"/>
  <c r="BN259" i="7"/>
  <c r="BN260" i="7"/>
  <c r="BN261" i="7"/>
  <c r="BN262" i="7"/>
  <c r="BN263" i="7"/>
  <c r="BN264" i="7"/>
  <c r="BN265" i="7"/>
  <c r="BN266" i="7"/>
  <c r="BN267" i="7"/>
  <c r="BN268" i="7"/>
  <c r="BN269" i="7"/>
  <c r="BN270" i="7"/>
  <c r="BN271" i="7"/>
  <c r="BN272" i="7"/>
  <c r="BN273" i="7"/>
  <c r="BN274" i="7"/>
  <c r="BN275" i="7"/>
  <c r="BN276" i="7"/>
  <c r="BN277" i="7"/>
  <c r="BN278" i="7"/>
  <c r="BN279" i="7"/>
  <c r="BN280" i="7"/>
  <c r="BN281" i="7"/>
  <c r="BN282" i="7"/>
  <c r="BN283" i="7"/>
  <c r="BN284" i="7"/>
  <c r="BN285" i="7"/>
  <c r="BN286" i="7"/>
  <c r="BN287" i="7"/>
  <c r="BN288" i="7"/>
  <c r="BN289" i="7"/>
  <c r="BN290" i="7"/>
  <c r="BN291" i="7"/>
  <c r="BN292" i="7"/>
  <c r="BN293" i="7"/>
  <c r="BN294" i="7"/>
  <c r="BN295" i="7"/>
  <c r="BN296" i="7"/>
  <c r="BN297" i="7"/>
  <c r="BN298" i="7"/>
  <c r="BN299" i="7"/>
  <c r="BN300" i="7"/>
  <c r="BN301" i="7"/>
  <c r="BN302" i="7"/>
  <c r="BN303" i="7"/>
  <c r="BN304" i="7"/>
  <c r="BN305" i="7"/>
  <c r="BN306" i="7"/>
  <c r="BN307" i="7"/>
  <c r="BN308" i="7"/>
  <c r="BN309" i="7"/>
  <c r="BN310" i="7"/>
  <c r="BN311" i="7"/>
  <c r="BN312" i="7"/>
  <c r="BN313" i="7"/>
  <c r="BN314" i="7"/>
  <c r="BN315" i="7"/>
  <c r="BN316" i="7"/>
  <c r="BN317" i="7"/>
  <c r="BN318" i="7"/>
  <c r="BN319" i="7"/>
  <c r="BN320" i="7"/>
  <c r="BN321" i="7"/>
  <c r="BN322" i="7"/>
  <c r="BN323" i="7"/>
  <c r="BN324" i="7"/>
  <c r="AN2" i="7"/>
  <c r="AN3" i="7"/>
  <c r="AN4" i="7"/>
  <c r="AN5" i="7"/>
  <c r="AN6" i="7"/>
  <c r="AN7" i="7"/>
  <c r="AN8" i="7"/>
  <c r="AN9" i="7"/>
  <c r="AN10" i="7"/>
  <c r="AN11" i="7"/>
  <c r="AN12" i="7"/>
  <c r="AN13" i="7"/>
  <c r="AN14" i="7"/>
  <c r="AN15" i="7"/>
  <c r="AN16" i="7"/>
  <c r="AN17" i="7"/>
  <c r="AN18" i="7"/>
  <c r="AN19" i="7"/>
  <c r="AN20" i="7"/>
  <c r="AN21" i="7"/>
  <c r="AN22" i="7"/>
  <c r="AN23" i="7"/>
  <c r="AN24" i="7"/>
  <c r="AN25" i="7"/>
  <c r="AN26" i="7"/>
  <c r="AN27" i="7"/>
  <c r="AN28" i="7"/>
  <c r="AN29" i="7"/>
  <c r="AN30" i="7"/>
  <c r="AN31" i="7"/>
  <c r="AN32" i="7"/>
  <c r="AN33" i="7"/>
  <c r="AN34" i="7"/>
  <c r="AN35" i="7"/>
  <c r="AN36" i="7"/>
  <c r="AN37" i="7"/>
  <c r="AN38" i="7"/>
  <c r="AN39" i="7"/>
  <c r="AN40" i="7"/>
  <c r="AN41" i="7"/>
  <c r="AN42" i="7"/>
  <c r="AN43" i="7"/>
  <c r="AN44" i="7"/>
  <c r="AN45" i="7"/>
  <c r="AN46" i="7"/>
  <c r="AN47" i="7"/>
  <c r="AN48" i="7"/>
  <c r="AN49" i="7"/>
  <c r="AN50" i="7"/>
  <c r="AN51" i="7"/>
  <c r="AN52" i="7"/>
  <c r="AN53" i="7"/>
  <c r="AN54" i="7"/>
  <c r="AN55" i="7"/>
  <c r="AN56" i="7"/>
  <c r="AN57" i="7"/>
  <c r="AN58" i="7"/>
  <c r="AN59" i="7"/>
  <c r="AN60" i="7"/>
  <c r="AN61" i="7"/>
  <c r="AN62" i="7"/>
  <c r="AN63" i="7"/>
  <c r="AN64" i="7"/>
  <c r="AN65" i="7"/>
  <c r="AN66" i="7"/>
  <c r="AN67" i="7"/>
  <c r="AN68" i="7"/>
  <c r="AN69" i="7"/>
  <c r="AN70" i="7"/>
  <c r="AN71" i="7"/>
  <c r="AN72" i="7"/>
  <c r="AN73" i="7"/>
  <c r="AN74" i="7"/>
  <c r="AN75" i="7"/>
  <c r="AN76" i="7"/>
  <c r="AN77" i="7"/>
  <c r="AN78" i="7"/>
  <c r="AN79" i="7"/>
  <c r="AN80" i="7"/>
  <c r="AN81" i="7"/>
  <c r="AN82" i="7"/>
  <c r="AN83" i="7"/>
  <c r="AN84" i="7"/>
  <c r="AN85" i="7"/>
  <c r="AN86" i="7"/>
  <c r="AN87" i="7"/>
  <c r="AN88" i="7"/>
  <c r="AN89" i="7"/>
  <c r="AN90" i="7"/>
  <c r="AN91" i="7"/>
  <c r="AN92" i="7"/>
  <c r="AN93" i="7"/>
  <c r="AN94" i="7"/>
  <c r="AN95" i="7"/>
  <c r="AN96" i="7"/>
  <c r="AN97" i="7"/>
  <c r="AN98" i="7"/>
  <c r="AN99" i="7"/>
  <c r="AN100" i="7"/>
  <c r="AN101" i="7"/>
  <c r="AN102" i="7"/>
  <c r="AN103" i="7"/>
  <c r="AN104" i="7"/>
  <c r="AN105" i="7"/>
  <c r="AN106" i="7"/>
  <c r="AN107" i="7"/>
  <c r="AN108" i="7"/>
  <c r="AN109" i="7"/>
  <c r="AN110" i="7"/>
  <c r="AN111" i="7"/>
  <c r="AN112" i="7"/>
  <c r="AN113" i="7"/>
  <c r="AN114" i="7"/>
  <c r="AN115" i="7"/>
  <c r="AN116" i="7"/>
  <c r="AN117" i="7"/>
  <c r="AN118" i="7"/>
  <c r="AN119" i="7"/>
  <c r="AN120" i="7"/>
  <c r="AN121" i="7"/>
  <c r="AN122" i="7"/>
  <c r="AN123" i="7"/>
  <c r="AN124" i="7"/>
  <c r="AN125" i="7"/>
  <c r="AN126" i="7"/>
  <c r="AN127" i="7"/>
  <c r="AN128" i="7"/>
  <c r="AN129" i="7"/>
  <c r="AN130" i="7"/>
  <c r="AN131" i="7"/>
  <c r="AN132" i="7"/>
  <c r="AN133" i="7"/>
  <c r="AN134" i="7"/>
  <c r="AN135" i="7"/>
  <c r="AN136" i="7"/>
  <c r="AN137" i="7"/>
  <c r="AN138" i="7"/>
  <c r="AN139" i="7"/>
  <c r="AN140" i="7"/>
  <c r="AN141" i="7"/>
  <c r="AN142" i="7"/>
  <c r="AN143" i="7"/>
  <c r="AN144" i="7"/>
  <c r="AN145" i="7"/>
  <c r="AN146" i="7"/>
  <c r="AN147" i="7"/>
  <c r="AN148" i="7"/>
  <c r="AN149" i="7"/>
  <c r="AN150" i="7"/>
  <c r="AN151" i="7"/>
  <c r="AN152" i="7"/>
  <c r="AN153" i="7"/>
  <c r="AN154" i="7"/>
  <c r="AN155" i="7"/>
  <c r="AN156" i="7"/>
  <c r="AN157" i="7"/>
  <c r="AN158" i="7"/>
  <c r="AN159" i="7"/>
  <c r="AN160" i="7"/>
  <c r="AN161" i="7"/>
  <c r="AN162" i="7"/>
  <c r="AN163" i="7"/>
  <c r="AN164" i="7"/>
  <c r="AN165" i="7"/>
  <c r="AN166" i="7"/>
  <c r="AN167" i="7"/>
  <c r="AN168" i="7"/>
  <c r="AN169" i="7"/>
  <c r="AN170" i="7"/>
  <c r="AN171" i="7"/>
  <c r="AN172" i="7"/>
  <c r="AN173" i="7"/>
  <c r="AN174" i="7"/>
  <c r="AN175" i="7"/>
  <c r="AN176" i="7"/>
  <c r="AN177" i="7"/>
  <c r="AN178" i="7"/>
  <c r="AN179" i="7"/>
  <c r="AN180" i="7"/>
  <c r="AN181" i="7"/>
  <c r="AN182" i="7"/>
  <c r="AN183" i="7"/>
  <c r="AN184" i="7"/>
  <c r="AN185" i="7"/>
  <c r="AN186" i="7"/>
  <c r="AN187" i="7"/>
  <c r="AN188" i="7"/>
  <c r="AN189" i="7"/>
  <c r="AN190" i="7"/>
  <c r="AN191" i="7"/>
  <c r="AN192" i="7"/>
  <c r="AN193" i="7"/>
  <c r="AN194" i="7"/>
  <c r="AN195" i="7"/>
  <c r="AN196" i="7"/>
  <c r="AN197" i="7"/>
  <c r="AN198" i="7"/>
  <c r="AN199" i="7"/>
  <c r="AN200" i="7"/>
  <c r="AN201" i="7"/>
  <c r="AN202" i="7"/>
  <c r="AN203" i="7"/>
  <c r="AN204" i="7"/>
  <c r="AN205" i="7"/>
  <c r="AN206" i="7"/>
  <c r="AN207" i="7"/>
  <c r="AN208" i="7"/>
  <c r="AN209" i="7"/>
  <c r="AN210" i="7"/>
  <c r="AN211" i="7"/>
  <c r="AN212" i="7"/>
  <c r="AN213" i="7"/>
  <c r="AN214" i="7"/>
  <c r="AN215" i="7"/>
  <c r="AN216" i="7"/>
  <c r="AN217" i="7"/>
  <c r="AN218" i="7"/>
  <c r="AN219" i="7"/>
  <c r="AN220" i="7"/>
  <c r="AN221" i="7"/>
  <c r="AN222" i="7"/>
  <c r="AN223" i="7"/>
  <c r="AN224" i="7"/>
  <c r="AN225" i="7"/>
  <c r="AN226" i="7"/>
  <c r="AN227" i="7"/>
  <c r="AN228" i="7"/>
  <c r="AN229" i="7"/>
  <c r="AN230" i="7"/>
  <c r="AN231" i="7"/>
  <c r="AN232" i="7"/>
  <c r="AN233" i="7"/>
  <c r="AN234" i="7"/>
  <c r="AN235" i="7"/>
  <c r="AN236" i="7"/>
  <c r="AN237" i="7"/>
  <c r="AN238" i="7"/>
  <c r="AN239" i="7"/>
  <c r="AN240" i="7"/>
  <c r="AN241" i="7"/>
  <c r="AN242" i="7"/>
  <c r="AN243" i="7"/>
  <c r="AN244" i="7"/>
  <c r="AN245" i="7"/>
  <c r="AN246" i="7"/>
  <c r="AN247" i="7"/>
  <c r="AN248" i="7"/>
  <c r="AN249" i="7"/>
  <c r="AN250" i="7"/>
  <c r="AN251" i="7"/>
  <c r="AN252" i="7"/>
  <c r="AN253" i="7"/>
  <c r="AN254" i="7"/>
  <c r="AN255" i="7"/>
  <c r="AN256" i="7"/>
  <c r="AN257" i="7"/>
  <c r="AN258" i="7"/>
  <c r="AN259" i="7"/>
  <c r="AN260" i="7"/>
  <c r="AN261" i="7"/>
  <c r="AN262" i="7"/>
  <c r="AN263" i="7"/>
  <c r="AN264" i="7"/>
  <c r="AN265" i="7"/>
  <c r="AN266" i="7"/>
  <c r="AN267" i="7"/>
  <c r="AN268" i="7"/>
  <c r="AN269" i="7"/>
  <c r="AN270" i="7"/>
  <c r="AN271" i="7"/>
  <c r="AN272" i="7"/>
  <c r="AN273" i="7"/>
  <c r="AN274" i="7"/>
  <c r="AN275" i="7"/>
  <c r="AN276" i="7"/>
  <c r="AN277" i="7"/>
  <c r="AN278" i="7"/>
  <c r="AN279" i="7"/>
  <c r="AN280" i="7"/>
  <c r="AN281" i="7"/>
  <c r="AN282" i="7"/>
  <c r="AN283" i="7"/>
  <c r="AN284" i="7"/>
  <c r="AN285" i="7"/>
  <c r="AN286" i="7"/>
  <c r="AN287" i="7"/>
  <c r="AN288" i="7"/>
  <c r="AN289" i="7"/>
  <c r="AN290" i="7"/>
  <c r="AN291" i="7"/>
  <c r="AN292" i="7"/>
  <c r="AN293" i="7"/>
  <c r="AN294" i="7"/>
  <c r="AN295" i="7"/>
  <c r="AN296" i="7"/>
  <c r="AN297" i="7"/>
  <c r="AN298" i="7"/>
  <c r="AN299" i="7"/>
  <c r="AN300" i="7"/>
  <c r="AN301" i="7"/>
  <c r="AN302" i="7"/>
  <c r="AN303" i="7"/>
  <c r="AN304" i="7"/>
  <c r="AN305" i="7"/>
  <c r="AN306" i="7"/>
  <c r="AN307" i="7"/>
  <c r="AN308" i="7"/>
  <c r="AN309" i="7"/>
  <c r="AN310" i="7"/>
  <c r="AN311" i="7"/>
  <c r="AN312" i="7"/>
  <c r="AN313" i="7"/>
  <c r="AN314" i="7"/>
  <c r="AN315" i="7"/>
  <c r="AN316" i="7"/>
  <c r="AN317" i="7"/>
  <c r="AN318" i="7"/>
  <c r="AN319" i="7"/>
  <c r="AN320" i="7"/>
  <c r="AN321" i="7"/>
  <c r="AN322" i="7"/>
  <c r="AN323" i="7"/>
  <c r="AN324" i="7"/>
  <c r="AL2" i="7"/>
  <c r="AL3" i="7"/>
  <c r="AL4" i="7"/>
  <c r="AL5" i="7"/>
  <c r="AL6" i="7"/>
  <c r="AL7" i="7"/>
  <c r="AL8" i="7"/>
  <c r="AL9" i="7"/>
  <c r="AL10" i="7"/>
  <c r="AL11" i="7"/>
  <c r="AL12" i="7"/>
  <c r="AL13" i="7"/>
  <c r="AL14" i="7"/>
  <c r="AL15" i="7"/>
  <c r="AL16" i="7"/>
  <c r="AL17" i="7"/>
  <c r="AL18" i="7"/>
  <c r="AL19" i="7"/>
  <c r="AL20" i="7"/>
  <c r="AL21" i="7"/>
  <c r="AL22" i="7"/>
  <c r="AL23" i="7"/>
  <c r="AL24" i="7"/>
  <c r="AL25" i="7"/>
  <c r="AL26" i="7"/>
  <c r="AL27" i="7"/>
  <c r="AL28" i="7"/>
  <c r="AL29" i="7"/>
  <c r="AL30" i="7"/>
  <c r="AL31" i="7"/>
  <c r="AL32" i="7"/>
  <c r="AL33" i="7"/>
  <c r="AL34" i="7"/>
  <c r="AL35" i="7"/>
  <c r="AL36" i="7"/>
  <c r="AL37" i="7"/>
  <c r="AL38" i="7"/>
  <c r="AL39" i="7"/>
  <c r="AL40" i="7"/>
  <c r="AL41" i="7"/>
  <c r="AL42" i="7"/>
  <c r="AL43" i="7"/>
  <c r="AL44" i="7"/>
  <c r="AL45" i="7"/>
  <c r="AL46" i="7"/>
  <c r="AL47" i="7"/>
  <c r="AL48" i="7"/>
  <c r="AL49" i="7"/>
  <c r="AL50" i="7"/>
  <c r="AL51" i="7"/>
  <c r="AL52" i="7"/>
  <c r="AL53" i="7"/>
  <c r="AL54" i="7"/>
  <c r="AL55" i="7"/>
  <c r="AL56" i="7"/>
  <c r="AL57" i="7"/>
  <c r="AL58" i="7"/>
  <c r="AL59" i="7"/>
  <c r="AL60" i="7"/>
  <c r="AL61" i="7"/>
  <c r="AL62" i="7"/>
  <c r="AL63" i="7"/>
  <c r="AL64" i="7"/>
  <c r="AL65" i="7"/>
  <c r="AL66" i="7"/>
  <c r="AL67" i="7"/>
  <c r="AL68" i="7"/>
  <c r="AL69" i="7"/>
  <c r="AL70" i="7"/>
  <c r="AL71" i="7"/>
  <c r="AL72" i="7"/>
  <c r="AL73" i="7"/>
  <c r="AL74" i="7"/>
  <c r="AL75" i="7"/>
  <c r="AL76" i="7"/>
  <c r="AL77" i="7"/>
  <c r="AL78" i="7"/>
  <c r="AL79" i="7"/>
  <c r="AL80" i="7"/>
  <c r="AL81" i="7"/>
  <c r="AL82" i="7"/>
  <c r="AL83" i="7"/>
  <c r="AL84" i="7"/>
  <c r="AL85" i="7"/>
  <c r="AL86" i="7"/>
  <c r="AL87" i="7"/>
  <c r="AL88" i="7"/>
  <c r="AL89" i="7"/>
  <c r="AL90" i="7"/>
  <c r="AL91" i="7"/>
  <c r="AL92" i="7"/>
  <c r="AL93" i="7"/>
  <c r="AL94" i="7"/>
  <c r="AL95" i="7"/>
  <c r="AL96" i="7"/>
  <c r="AL97" i="7"/>
  <c r="AL98" i="7"/>
  <c r="AL99" i="7"/>
  <c r="AL100" i="7"/>
  <c r="AL101" i="7"/>
  <c r="AL102" i="7"/>
  <c r="AL103" i="7"/>
  <c r="AL104" i="7"/>
  <c r="AL105" i="7"/>
  <c r="AL106" i="7"/>
  <c r="AL107" i="7"/>
  <c r="AL108" i="7"/>
  <c r="AL109" i="7"/>
  <c r="AL110" i="7"/>
  <c r="AL111" i="7"/>
  <c r="AL112" i="7"/>
  <c r="AL113" i="7"/>
  <c r="AL114" i="7"/>
  <c r="AL115" i="7"/>
  <c r="AL116" i="7"/>
  <c r="AL117" i="7"/>
  <c r="AL118" i="7"/>
  <c r="AL119" i="7"/>
  <c r="AL120" i="7"/>
  <c r="AL121" i="7"/>
  <c r="AL122" i="7"/>
  <c r="AL123" i="7"/>
  <c r="AL124" i="7"/>
  <c r="AL125" i="7"/>
  <c r="AL126" i="7"/>
  <c r="AL127" i="7"/>
  <c r="AL128" i="7"/>
  <c r="AL129" i="7"/>
  <c r="AL130" i="7"/>
  <c r="AL131" i="7"/>
  <c r="AL132" i="7"/>
  <c r="AL133" i="7"/>
  <c r="AL134" i="7"/>
  <c r="AL135" i="7"/>
  <c r="AL136" i="7"/>
  <c r="AL137" i="7"/>
  <c r="AL138" i="7"/>
  <c r="AL139" i="7"/>
  <c r="AL140" i="7"/>
  <c r="AL141" i="7"/>
  <c r="AL142" i="7"/>
  <c r="AL143" i="7"/>
  <c r="AL144" i="7"/>
  <c r="AL145" i="7"/>
  <c r="AL146" i="7"/>
  <c r="AL147" i="7"/>
  <c r="AL148" i="7"/>
  <c r="AL149" i="7"/>
  <c r="AL150" i="7"/>
  <c r="AL151" i="7"/>
  <c r="AL152" i="7"/>
  <c r="AL153" i="7"/>
  <c r="AL154" i="7"/>
  <c r="AL155" i="7"/>
  <c r="AL156" i="7"/>
  <c r="AL157" i="7"/>
  <c r="AL158" i="7"/>
  <c r="AL159" i="7"/>
  <c r="AL160" i="7"/>
  <c r="AL161" i="7"/>
  <c r="AL162" i="7"/>
  <c r="AL163" i="7"/>
  <c r="AL164" i="7"/>
  <c r="AL165" i="7"/>
  <c r="AL166" i="7"/>
  <c r="AL167" i="7"/>
  <c r="AL168" i="7"/>
  <c r="AL169" i="7"/>
  <c r="AL170" i="7"/>
  <c r="AL171" i="7"/>
  <c r="AL172" i="7"/>
  <c r="AL173" i="7"/>
  <c r="AL174" i="7"/>
  <c r="AL175" i="7"/>
  <c r="AL176" i="7"/>
  <c r="AL177" i="7"/>
  <c r="AL178" i="7"/>
  <c r="AL179" i="7"/>
  <c r="AL180" i="7"/>
  <c r="AL181" i="7"/>
  <c r="AL182" i="7"/>
  <c r="AL183" i="7"/>
  <c r="AL184" i="7"/>
  <c r="AL185" i="7"/>
  <c r="AL186" i="7"/>
  <c r="AL187" i="7"/>
  <c r="AL188" i="7"/>
  <c r="AL189" i="7"/>
  <c r="AL190" i="7"/>
  <c r="AL191" i="7"/>
  <c r="AL192" i="7"/>
  <c r="AL193" i="7"/>
  <c r="AL194" i="7"/>
  <c r="AL195" i="7"/>
  <c r="AL196" i="7"/>
  <c r="AL197" i="7"/>
  <c r="AL198" i="7"/>
  <c r="AL199" i="7"/>
  <c r="AL200" i="7"/>
  <c r="AL201" i="7"/>
  <c r="AL202" i="7"/>
  <c r="AL203" i="7"/>
  <c r="AL204" i="7"/>
  <c r="AL205" i="7"/>
  <c r="AL206" i="7"/>
  <c r="AL207" i="7"/>
  <c r="AL208" i="7"/>
  <c r="AL209" i="7"/>
  <c r="AL210" i="7"/>
  <c r="AL211" i="7"/>
  <c r="AL212" i="7"/>
  <c r="AL213" i="7"/>
  <c r="AL214" i="7"/>
  <c r="AL215" i="7"/>
  <c r="AL216" i="7"/>
  <c r="AL217" i="7"/>
  <c r="AL218" i="7"/>
  <c r="AL219" i="7"/>
  <c r="AL220" i="7"/>
  <c r="AL221" i="7"/>
  <c r="AL222" i="7"/>
  <c r="AL223" i="7"/>
  <c r="AL224" i="7"/>
  <c r="AL225" i="7"/>
  <c r="AL226" i="7"/>
  <c r="AL227" i="7"/>
  <c r="AL228" i="7"/>
  <c r="AL229" i="7"/>
  <c r="AL230" i="7"/>
  <c r="AL231" i="7"/>
  <c r="AL232" i="7"/>
  <c r="AL233" i="7"/>
  <c r="AL234" i="7"/>
  <c r="AL235" i="7"/>
  <c r="AL236" i="7"/>
  <c r="AL237" i="7"/>
  <c r="AL238" i="7"/>
  <c r="AL239" i="7"/>
  <c r="AL240" i="7"/>
  <c r="AL241" i="7"/>
  <c r="AL242" i="7"/>
  <c r="AL243" i="7"/>
  <c r="AL244" i="7"/>
  <c r="AL245" i="7"/>
  <c r="AL246" i="7"/>
  <c r="AL247" i="7"/>
  <c r="AL248" i="7"/>
  <c r="AL249" i="7"/>
  <c r="AL250" i="7"/>
  <c r="AL251" i="7"/>
  <c r="AL252" i="7"/>
  <c r="AL253" i="7"/>
  <c r="AL254" i="7"/>
  <c r="AL255" i="7"/>
  <c r="AL256" i="7"/>
  <c r="AL257" i="7"/>
  <c r="AL258" i="7"/>
  <c r="AL259" i="7"/>
  <c r="AL260" i="7"/>
  <c r="AL261" i="7"/>
  <c r="AL262" i="7"/>
  <c r="AL263" i="7"/>
  <c r="AL264" i="7"/>
  <c r="AL265" i="7"/>
  <c r="AL266" i="7"/>
  <c r="AL267" i="7"/>
  <c r="AL268" i="7"/>
  <c r="AL269" i="7"/>
  <c r="AL270" i="7"/>
  <c r="AL271" i="7"/>
  <c r="AL272" i="7"/>
  <c r="AL273" i="7"/>
  <c r="AL274" i="7"/>
  <c r="AL275" i="7"/>
  <c r="AL276" i="7"/>
  <c r="AL277" i="7"/>
  <c r="AL278" i="7"/>
  <c r="AL279" i="7"/>
  <c r="AL280" i="7"/>
  <c r="AL281" i="7"/>
  <c r="AL282" i="7"/>
  <c r="AL283" i="7"/>
  <c r="AL284" i="7"/>
  <c r="AL285" i="7"/>
  <c r="AL286" i="7"/>
  <c r="AL287" i="7"/>
  <c r="AL288" i="7"/>
  <c r="AL289" i="7"/>
  <c r="AL290" i="7"/>
  <c r="AL291" i="7"/>
  <c r="AL292" i="7"/>
  <c r="AL293" i="7"/>
  <c r="AL294" i="7"/>
  <c r="AL295" i="7"/>
  <c r="AL296" i="7"/>
  <c r="AL297" i="7"/>
  <c r="AL298" i="7"/>
  <c r="AL299" i="7"/>
  <c r="AL300" i="7"/>
  <c r="AL301" i="7"/>
  <c r="AL302" i="7"/>
  <c r="AL303" i="7"/>
  <c r="AL304" i="7"/>
  <c r="AL305" i="7"/>
  <c r="AL306" i="7"/>
  <c r="AL307" i="7"/>
  <c r="AL308" i="7"/>
  <c r="AL309" i="7"/>
  <c r="AL310" i="7"/>
  <c r="AL311" i="7"/>
  <c r="AL312" i="7"/>
  <c r="AL313" i="7"/>
  <c r="AL314" i="7"/>
  <c r="AL315" i="7"/>
  <c r="AL316" i="7"/>
  <c r="AL317" i="7"/>
  <c r="AL318" i="7"/>
  <c r="AL319" i="7"/>
  <c r="AL320" i="7"/>
  <c r="AL321" i="7"/>
  <c r="AL322" i="7"/>
  <c r="AL323" i="7"/>
  <c r="AL324" i="7"/>
  <c r="G18" i="7"/>
  <c r="F204" i="1"/>
  <c r="F205" i="1"/>
  <c r="F206" i="1"/>
  <c r="F207" i="1"/>
  <c r="F208" i="1"/>
  <c r="F209" i="1"/>
  <c r="F210" i="1"/>
  <c r="F211" i="1"/>
  <c r="F212" i="1"/>
  <c r="F203" i="1"/>
  <c r="K4" i="7"/>
  <c r="K5" i="7"/>
  <c r="K6" i="7"/>
  <c r="K7" i="7"/>
  <c r="K8" i="7"/>
  <c r="K9" i="7"/>
  <c r="K10" i="7"/>
  <c r="K11" i="7"/>
  <c r="K12" i="7"/>
  <c r="K13" i="7"/>
  <c r="K14" i="7"/>
  <c r="K15" i="7"/>
  <c r="K16" i="7"/>
  <c r="K17" i="7"/>
  <c r="K3" i="7"/>
  <c r="L19" i="7"/>
  <c r="H19" i="7" s="1"/>
  <c r="L20" i="7"/>
  <c r="H20" i="7" s="1"/>
  <c r="L21" i="7"/>
  <c r="H21" i="7" s="1"/>
  <c r="L22" i="7"/>
  <c r="H22" i="7" s="1"/>
  <c r="L23" i="7"/>
  <c r="H23" i="7" s="1"/>
  <c r="L24" i="7"/>
  <c r="H24" i="7" s="1"/>
  <c r="L25" i="7"/>
  <c r="L26" i="7"/>
  <c r="H26" i="7" s="1"/>
  <c r="L27" i="7"/>
  <c r="H25" i="7" l="1"/>
  <c r="H27" i="7"/>
  <c r="W44" i="38"/>
  <c r="T45" i="38"/>
  <c r="S45" i="38"/>
  <c r="V45" i="38"/>
  <c r="Q46" i="38" a="1"/>
  <c r="Q46" i="38" s="1"/>
  <c r="U45" i="38"/>
  <c r="AX67" i="1"/>
  <c r="H18" i="7"/>
  <c r="AF4" i="7"/>
  <c r="AF5" i="7"/>
  <c r="AF6" i="7"/>
  <c r="AF7" i="7"/>
  <c r="AF8" i="7"/>
  <c r="AF9" i="7"/>
  <c r="AF10" i="7"/>
  <c r="AF11" i="7"/>
  <c r="AF12" i="7"/>
  <c r="AF13" i="7"/>
  <c r="AF14" i="7"/>
  <c r="AF15" i="7"/>
  <c r="AF16" i="7"/>
  <c r="AF17" i="7"/>
  <c r="AF18" i="7"/>
  <c r="AF19" i="7"/>
  <c r="AF20" i="7"/>
  <c r="AF21" i="7"/>
  <c r="AF22" i="7"/>
  <c r="AF23" i="7"/>
  <c r="AF24" i="7"/>
  <c r="AF25" i="7"/>
  <c r="AF26" i="7"/>
  <c r="AF27" i="7"/>
  <c r="AF28" i="7"/>
  <c r="AF29" i="7"/>
  <c r="AF30" i="7"/>
  <c r="AF31" i="7"/>
  <c r="AF32" i="7"/>
  <c r="AF33" i="7"/>
  <c r="AF34" i="7"/>
  <c r="AF35" i="7"/>
  <c r="AF36" i="7"/>
  <c r="AF37" i="7"/>
  <c r="AF38" i="7"/>
  <c r="AF39" i="7"/>
  <c r="AF40" i="7"/>
  <c r="AF41" i="7"/>
  <c r="AF42" i="7"/>
  <c r="AF43" i="7"/>
  <c r="AF44" i="7"/>
  <c r="AF45" i="7"/>
  <c r="AF46" i="7"/>
  <c r="AF47" i="7"/>
  <c r="AF48" i="7"/>
  <c r="AF49" i="7"/>
  <c r="AF50" i="7"/>
  <c r="AF51" i="7"/>
  <c r="AF52" i="7"/>
  <c r="AF53" i="7"/>
  <c r="AF54" i="7"/>
  <c r="AF55" i="7"/>
  <c r="AF56" i="7"/>
  <c r="AF57" i="7"/>
  <c r="AF58" i="7"/>
  <c r="AF59" i="7"/>
  <c r="AF60" i="7"/>
  <c r="AF61" i="7"/>
  <c r="AF62" i="7"/>
  <c r="AF63" i="7"/>
  <c r="AF64" i="7"/>
  <c r="AF65" i="7"/>
  <c r="AF66" i="7"/>
  <c r="AF67" i="7"/>
  <c r="AF68" i="7"/>
  <c r="AF69" i="7"/>
  <c r="AF70" i="7"/>
  <c r="AF71" i="7"/>
  <c r="AF72" i="7"/>
  <c r="AF73" i="7"/>
  <c r="AF74" i="7"/>
  <c r="AF75" i="7"/>
  <c r="AF76" i="7"/>
  <c r="AF77" i="7"/>
  <c r="AF78" i="7"/>
  <c r="AF79" i="7"/>
  <c r="AF80" i="7"/>
  <c r="AF81" i="7"/>
  <c r="AF82" i="7"/>
  <c r="AF83" i="7"/>
  <c r="AF84" i="7"/>
  <c r="AF85" i="7"/>
  <c r="AF86" i="7"/>
  <c r="AF87" i="7"/>
  <c r="AF88" i="7"/>
  <c r="AF89" i="7"/>
  <c r="AF90" i="7"/>
  <c r="AF91" i="7"/>
  <c r="AF92" i="7"/>
  <c r="AF93" i="7"/>
  <c r="AF94" i="7"/>
  <c r="AF95" i="7"/>
  <c r="AF96" i="7"/>
  <c r="AF97" i="7"/>
  <c r="AF98" i="7"/>
  <c r="AF99" i="7"/>
  <c r="AF100" i="7"/>
  <c r="AF101" i="7"/>
  <c r="AF102" i="7"/>
  <c r="AF103" i="7"/>
  <c r="AF104" i="7"/>
  <c r="AF105" i="7"/>
  <c r="AF106" i="7"/>
  <c r="AF107" i="7"/>
  <c r="AF108" i="7"/>
  <c r="AF109" i="7"/>
  <c r="AF110" i="7"/>
  <c r="AF111" i="7"/>
  <c r="AF112" i="7"/>
  <c r="AF113" i="7"/>
  <c r="AF114" i="7"/>
  <c r="AF115" i="7"/>
  <c r="AF116" i="7"/>
  <c r="AF117" i="7"/>
  <c r="AF118" i="7"/>
  <c r="AF119" i="7"/>
  <c r="AF120" i="7"/>
  <c r="AF121" i="7"/>
  <c r="AF122" i="7"/>
  <c r="AF123" i="7"/>
  <c r="AF124" i="7"/>
  <c r="AF125" i="7"/>
  <c r="AF126" i="7"/>
  <c r="AF127" i="7"/>
  <c r="AF128" i="7"/>
  <c r="AF129" i="7"/>
  <c r="AF130" i="7"/>
  <c r="AF131" i="7"/>
  <c r="AF132" i="7"/>
  <c r="AF133" i="7"/>
  <c r="AF134" i="7"/>
  <c r="AF135" i="7"/>
  <c r="AF136" i="7"/>
  <c r="AF137" i="7"/>
  <c r="AF138" i="7"/>
  <c r="AF139" i="7"/>
  <c r="AF140" i="7"/>
  <c r="AF141" i="7"/>
  <c r="AF142" i="7"/>
  <c r="AF143" i="7"/>
  <c r="AF144" i="7"/>
  <c r="AF145" i="7"/>
  <c r="AF146" i="7"/>
  <c r="AF147" i="7"/>
  <c r="AF148" i="7"/>
  <c r="AF149" i="7"/>
  <c r="AF150" i="7"/>
  <c r="AF151" i="7"/>
  <c r="AF152" i="7"/>
  <c r="AF153" i="7"/>
  <c r="AF154" i="7"/>
  <c r="AF155" i="7"/>
  <c r="AF156" i="7"/>
  <c r="AF157" i="7"/>
  <c r="AF158" i="7"/>
  <c r="AF159" i="7"/>
  <c r="AF160" i="7"/>
  <c r="AF161" i="7"/>
  <c r="AF162" i="7"/>
  <c r="AF163" i="7"/>
  <c r="AF164" i="7"/>
  <c r="AF165" i="7"/>
  <c r="AF166" i="7"/>
  <c r="AF167" i="7"/>
  <c r="AF168" i="7"/>
  <c r="AF169" i="7"/>
  <c r="AF170" i="7"/>
  <c r="AF171" i="7"/>
  <c r="AF172" i="7"/>
  <c r="AF173" i="7"/>
  <c r="AF174" i="7"/>
  <c r="AF175" i="7"/>
  <c r="AF176" i="7"/>
  <c r="AF177" i="7"/>
  <c r="AF178" i="7"/>
  <c r="AF179" i="7"/>
  <c r="AF180" i="7"/>
  <c r="AF181" i="7"/>
  <c r="AF182" i="7"/>
  <c r="AF183" i="7"/>
  <c r="AF184" i="7"/>
  <c r="AF185" i="7"/>
  <c r="AF186" i="7"/>
  <c r="AF187" i="7"/>
  <c r="AF188" i="7"/>
  <c r="AF189" i="7"/>
  <c r="AF190" i="7"/>
  <c r="AF191" i="7"/>
  <c r="AF192" i="7"/>
  <c r="AF193" i="7"/>
  <c r="AF194" i="7"/>
  <c r="AF195" i="7"/>
  <c r="AF196" i="7"/>
  <c r="AF197" i="7"/>
  <c r="AF198" i="7"/>
  <c r="AF199" i="7"/>
  <c r="AF200" i="7"/>
  <c r="AF201" i="7"/>
  <c r="AF202" i="7"/>
  <c r="AF203" i="7"/>
  <c r="AF204" i="7"/>
  <c r="AF205" i="7"/>
  <c r="AF206" i="7"/>
  <c r="AF207" i="7"/>
  <c r="AF208" i="7"/>
  <c r="AF209" i="7"/>
  <c r="AF210" i="7"/>
  <c r="AF211" i="7"/>
  <c r="AF212" i="7"/>
  <c r="AF213" i="7"/>
  <c r="AF214" i="7"/>
  <c r="AF215" i="7"/>
  <c r="AF216" i="7"/>
  <c r="AF217" i="7"/>
  <c r="AF218" i="7"/>
  <c r="AF219" i="7"/>
  <c r="AF220" i="7"/>
  <c r="AF221" i="7"/>
  <c r="AF222" i="7"/>
  <c r="AF223" i="7"/>
  <c r="AF224" i="7"/>
  <c r="AF225" i="7"/>
  <c r="AF226" i="7"/>
  <c r="AF227" i="7"/>
  <c r="AF228" i="7"/>
  <c r="AF229" i="7"/>
  <c r="AF230" i="7"/>
  <c r="AF231" i="7"/>
  <c r="AF232" i="7"/>
  <c r="AF233" i="7"/>
  <c r="AF234" i="7"/>
  <c r="AF235" i="7"/>
  <c r="AF236" i="7"/>
  <c r="AF237" i="7"/>
  <c r="AF238" i="7"/>
  <c r="AF239" i="7"/>
  <c r="AF240" i="7"/>
  <c r="AF241" i="7"/>
  <c r="AF242" i="7"/>
  <c r="AF243" i="7"/>
  <c r="AF244" i="7"/>
  <c r="AF245" i="7"/>
  <c r="AF246" i="7"/>
  <c r="AF247" i="7"/>
  <c r="AF248" i="7"/>
  <c r="AF249" i="7"/>
  <c r="AF250" i="7"/>
  <c r="AF251" i="7"/>
  <c r="AF252" i="7"/>
  <c r="AF253" i="7"/>
  <c r="AF254" i="7"/>
  <c r="AF255" i="7"/>
  <c r="AF256" i="7"/>
  <c r="AF257" i="7"/>
  <c r="AF258" i="7"/>
  <c r="AF259" i="7"/>
  <c r="AF260" i="7"/>
  <c r="AF261" i="7"/>
  <c r="AF262" i="7"/>
  <c r="AF263" i="7"/>
  <c r="AF264" i="7"/>
  <c r="AF265" i="7"/>
  <c r="AF266" i="7"/>
  <c r="AF267" i="7"/>
  <c r="AF268" i="7"/>
  <c r="AF269" i="7"/>
  <c r="AF270" i="7"/>
  <c r="AF271" i="7"/>
  <c r="AF272" i="7"/>
  <c r="AF273" i="7"/>
  <c r="AF274" i="7"/>
  <c r="AF275" i="7"/>
  <c r="AF276" i="7"/>
  <c r="AF277" i="7"/>
  <c r="AF278" i="7"/>
  <c r="AF279" i="7"/>
  <c r="AF280" i="7"/>
  <c r="AF281" i="7"/>
  <c r="AF282" i="7"/>
  <c r="AF283" i="7"/>
  <c r="AF284" i="7"/>
  <c r="AF285" i="7"/>
  <c r="AF286" i="7"/>
  <c r="AF287" i="7"/>
  <c r="AF288" i="7"/>
  <c r="AF289" i="7"/>
  <c r="AF290" i="7"/>
  <c r="AF291" i="7"/>
  <c r="AF292" i="7"/>
  <c r="AF293" i="7"/>
  <c r="AF294" i="7"/>
  <c r="AF295" i="7"/>
  <c r="AF296" i="7"/>
  <c r="AF297" i="7"/>
  <c r="AF298" i="7"/>
  <c r="AF299" i="7"/>
  <c r="AF300" i="7"/>
  <c r="AF301" i="7"/>
  <c r="AF302" i="7"/>
  <c r="AF303" i="7"/>
  <c r="AF304" i="7"/>
  <c r="AF305" i="7"/>
  <c r="AF306" i="7"/>
  <c r="AF307" i="7"/>
  <c r="AF308" i="7"/>
  <c r="AF309" i="7"/>
  <c r="AF310" i="7"/>
  <c r="AF311" i="7"/>
  <c r="AF312" i="7"/>
  <c r="AF313" i="7"/>
  <c r="AF314" i="7"/>
  <c r="AF315" i="7"/>
  <c r="AF316" i="7"/>
  <c r="AF317" i="7"/>
  <c r="AF318" i="7"/>
  <c r="AF319" i="7"/>
  <c r="AF320" i="7"/>
  <c r="AF321" i="7"/>
  <c r="AF322" i="7"/>
  <c r="AF323" i="7"/>
  <c r="AF324" i="7"/>
  <c r="AF3" i="7"/>
  <c r="L4" i="7"/>
  <c r="L5" i="7"/>
  <c r="L6" i="7"/>
  <c r="L7" i="7"/>
  <c r="L8" i="7"/>
  <c r="L9" i="7"/>
  <c r="L10" i="7"/>
  <c r="L11" i="7"/>
  <c r="L12" i="7"/>
  <c r="L13" i="7"/>
  <c r="L14" i="7"/>
  <c r="L15" i="7"/>
  <c r="L16" i="7"/>
  <c r="L17" i="7"/>
  <c r="L3" i="7"/>
  <c r="W45" i="38" l="1"/>
  <c r="T46" i="38"/>
  <c r="S46" i="38"/>
  <c r="Q47" i="38" a="1"/>
  <c r="Q47" i="38" s="1"/>
  <c r="U46" i="38"/>
  <c r="V46" i="38"/>
  <c r="D4" i="7"/>
  <c r="D5" i="7"/>
  <c r="D6" i="7"/>
  <c r="D7" i="7"/>
  <c r="D8" i="7"/>
  <c r="D9" i="7"/>
  <c r="D10" i="7"/>
  <c r="D11" i="7"/>
  <c r="D12" i="7"/>
  <c r="D13" i="7"/>
  <c r="D14" i="7"/>
  <c r="D15" i="7"/>
  <c r="D16" i="7"/>
  <c r="D17" i="7"/>
  <c r="D3" i="7"/>
  <c r="W46" i="38" l="1"/>
  <c r="T47" i="38"/>
  <c r="S47" i="38"/>
  <c r="V47" i="38"/>
  <c r="Q48" i="38" a="1"/>
  <c r="Q48" i="38" s="1"/>
  <c r="U47" i="38"/>
  <c r="AW6" i="9"/>
  <c r="AW56" i="9" s="1"/>
  <c r="N21" i="9" s="1"/>
  <c r="W47" i="38" l="1"/>
  <c r="T48" i="38"/>
  <c r="S48" i="38"/>
  <c r="Q49" i="38" a="1"/>
  <c r="Q49" i="38" s="1"/>
  <c r="U48" i="38"/>
  <c r="V48" i="38"/>
  <c r="DE259" i="9"/>
  <c r="DE260" i="9"/>
  <c r="DE261" i="9"/>
  <c r="DE262" i="9"/>
  <c r="DE263" i="9"/>
  <c r="DE264" i="9"/>
  <c r="DE265" i="9"/>
  <c r="DE266" i="9"/>
  <c r="DE267" i="9"/>
  <c r="DE268" i="9"/>
  <c r="DE269" i="9"/>
  <c r="DE270" i="9"/>
  <c r="DE271" i="9"/>
  <c r="DE272" i="9"/>
  <c r="W48" i="38" l="1"/>
  <c r="V49" i="38"/>
  <c r="S49" i="38"/>
  <c r="T49" i="38"/>
  <c r="Q50" i="38" a="1"/>
  <c r="Q50" i="38" s="1"/>
  <c r="U49" i="38"/>
  <c r="A5" i="18"/>
  <c r="A4" i="18"/>
  <c r="A3" i="18"/>
  <c r="B3" i="22"/>
  <c r="B2" i="22"/>
  <c r="B3" i="24"/>
  <c r="B2" i="24"/>
  <c r="C5" i="25"/>
  <c r="C3" i="25"/>
  <c r="W49" i="38" l="1"/>
  <c r="T50" i="38"/>
  <c r="S50" i="38"/>
  <c r="V50" i="38"/>
  <c r="Q51" i="38" a="1"/>
  <c r="Q51" i="38" s="1"/>
  <c r="U50" i="38"/>
  <c r="AJ2" i="7"/>
  <c r="CC19" i="9"/>
  <c r="CE302" i="9"/>
  <c r="W50" i="38" l="1"/>
  <c r="T51" i="38"/>
  <c r="S51" i="38"/>
  <c r="V51" i="38"/>
  <c r="Q52" i="38" a="1"/>
  <c r="Q52" i="38" s="1"/>
  <c r="U51" i="38"/>
  <c r="DE31" i="9"/>
  <c r="DE32" i="9"/>
  <c r="CO31" i="9"/>
  <c r="CK32" i="9"/>
  <c r="CM32" i="9"/>
  <c r="CS31" i="9"/>
  <c r="CO32" i="9"/>
  <c r="CU31" i="9"/>
  <c r="CW31" i="9"/>
  <c r="CS32" i="9"/>
  <c r="CY31" i="9"/>
  <c r="DC32" i="9"/>
  <c r="CU32" i="9"/>
  <c r="DA31" i="9"/>
  <c r="CW32" i="9"/>
  <c r="DC31" i="9"/>
  <c r="CY32" i="9"/>
  <c r="DA32" i="9"/>
  <c r="CK31" i="9"/>
  <c r="CM31" i="9"/>
  <c r="CC21" i="9"/>
  <c r="CC18" i="9"/>
  <c r="BQ4" i="7"/>
  <c r="BQ5" i="7"/>
  <c r="BQ6" i="7"/>
  <c r="BQ7" i="7"/>
  <c r="BQ8" i="7"/>
  <c r="BQ9" i="7"/>
  <c r="BQ10" i="7"/>
  <c r="BQ11" i="7"/>
  <c r="BQ14" i="7"/>
  <c r="BQ15" i="7"/>
  <c r="BQ18" i="7"/>
  <c r="BQ3" i="7"/>
  <c r="CC20" i="9"/>
  <c r="BQ17" i="7"/>
  <c r="BQ16" i="7"/>
  <c r="BQ13" i="7"/>
  <c r="BQ12" i="7"/>
  <c r="CC17" i="9"/>
  <c r="CC22" i="9"/>
  <c r="W51" i="38" l="1"/>
  <c r="T52" i="38"/>
  <c r="S52" i="38"/>
  <c r="V52" i="38"/>
  <c r="Q53" i="38" a="1"/>
  <c r="Q53" i="38" s="1"/>
  <c r="U52" i="38"/>
  <c r="CH158" i="9"/>
  <c r="CH190" i="9"/>
  <c r="CH222" i="9"/>
  <c r="CH254" i="9"/>
  <c r="CH192" i="9"/>
  <c r="CH256" i="9"/>
  <c r="CH193" i="9"/>
  <c r="CH257" i="9"/>
  <c r="CH159" i="9"/>
  <c r="CH191" i="9"/>
  <c r="CH223" i="9"/>
  <c r="CH255" i="9"/>
  <c r="CH160" i="9"/>
  <c r="CH224" i="9"/>
  <c r="CH161" i="9"/>
  <c r="CH225" i="9"/>
  <c r="CH162" i="9"/>
  <c r="CH194" i="9"/>
  <c r="CH226" i="9"/>
  <c r="CH258" i="9"/>
  <c r="CH163" i="9"/>
  <c r="CH195" i="9"/>
  <c r="CH227" i="9"/>
  <c r="CH164" i="9"/>
  <c r="CH196" i="9"/>
  <c r="CH228" i="9"/>
  <c r="CH168" i="9"/>
  <c r="CH200" i="9"/>
  <c r="CH232" i="9"/>
  <c r="CH173" i="9"/>
  <c r="CH205" i="9"/>
  <c r="CH237" i="9"/>
  <c r="CH174" i="9"/>
  <c r="CH206" i="9"/>
  <c r="CH238" i="9"/>
  <c r="CH144" i="9"/>
  <c r="CH176" i="9"/>
  <c r="CH208" i="9"/>
  <c r="CH240" i="9"/>
  <c r="CH147" i="9"/>
  <c r="CH179" i="9"/>
  <c r="CH211" i="9"/>
  <c r="CH243" i="9"/>
  <c r="CH182" i="9"/>
  <c r="CH145" i="9"/>
  <c r="CH177" i="9"/>
  <c r="CH209" i="9"/>
  <c r="CH241" i="9"/>
  <c r="CH150" i="9"/>
  <c r="CH214" i="9"/>
  <c r="CH146" i="9"/>
  <c r="CH178" i="9"/>
  <c r="CH210" i="9"/>
  <c r="CH242" i="9"/>
  <c r="CH246" i="9"/>
  <c r="CH148" i="9"/>
  <c r="CH180" i="9"/>
  <c r="CH212" i="9"/>
  <c r="CH244" i="9"/>
  <c r="CH149" i="9"/>
  <c r="CH181" i="9"/>
  <c r="CH213" i="9"/>
  <c r="CH245" i="9"/>
  <c r="CH151" i="9"/>
  <c r="CH217" i="9"/>
  <c r="CH152" i="9"/>
  <c r="CH218" i="9"/>
  <c r="CH153" i="9"/>
  <c r="CH219" i="9"/>
  <c r="CH157" i="9"/>
  <c r="CH230" i="9"/>
  <c r="CH165" i="9"/>
  <c r="CH231" i="9"/>
  <c r="CH166" i="9"/>
  <c r="CH233" i="9"/>
  <c r="CH234" i="9"/>
  <c r="CH236" i="9"/>
  <c r="CH171" i="9"/>
  <c r="CH249" i="9"/>
  <c r="CH251" i="9"/>
  <c r="CH143" i="9"/>
  <c r="CH220" i="9"/>
  <c r="CH167" i="9"/>
  <c r="CH247" i="9"/>
  <c r="CH184" i="9"/>
  <c r="CH185" i="9"/>
  <c r="CH207" i="9"/>
  <c r="CH215" i="9"/>
  <c r="CH229" i="9"/>
  <c r="CH169" i="9"/>
  <c r="CH235" i="9"/>
  <c r="CH170" i="9"/>
  <c r="CH239" i="9"/>
  <c r="CH172" i="9"/>
  <c r="CH183" i="9"/>
  <c r="CH250" i="9"/>
  <c r="CH156" i="9"/>
  <c r="CH175" i="9"/>
  <c r="CH248" i="9"/>
  <c r="CH221" i="9"/>
  <c r="CH186" i="9"/>
  <c r="CH252" i="9"/>
  <c r="CH187" i="9"/>
  <c r="CH253" i="9"/>
  <c r="CH188" i="9"/>
  <c r="CH189" i="9"/>
  <c r="CH198" i="9"/>
  <c r="CH201" i="9"/>
  <c r="CH202" i="9"/>
  <c r="CH203" i="9"/>
  <c r="CH204" i="9"/>
  <c r="CH197" i="9"/>
  <c r="CH199" i="9"/>
  <c r="CH154" i="9"/>
  <c r="CH155" i="9"/>
  <c r="CH216" i="9"/>
  <c r="W52" i="38" l="1"/>
  <c r="T53" i="38"/>
  <c r="S53" i="38"/>
  <c r="V53" i="38"/>
  <c r="Q54" i="38" a="1"/>
  <c r="Q54" i="38" s="1"/>
  <c r="S54" i="38" s="1"/>
  <c r="U53" i="38"/>
  <c r="EJ2" i="9"/>
  <c r="EL2" i="9"/>
  <c r="EN2" i="9"/>
  <c r="EP2" i="9"/>
  <c r="ER2" i="9"/>
  <c r="EO3" i="9" l="1" a="1"/>
  <c r="EO3" i="9" s="1"/>
  <c r="EO8" i="9" a="1"/>
  <c r="EO8" i="9" s="1"/>
  <c r="EO13" i="9" a="1"/>
  <c r="EO13" i="9" s="1"/>
  <c r="EO19" i="9" a="1"/>
  <c r="EO19" i="9" s="1"/>
  <c r="EO4" i="9" a="1"/>
  <c r="EO4" i="9" s="1"/>
  <c r="EO20" i="9" a="1"/>
  <c r="EO20" i="9" s="1"/>
  <c r="EO9" i="9" a="1"/>
  <c r="EO9" i="9" s="1"/>
  <c r="EO14" i="9" a="1"/>
  <c r="EO14" i="9" s="1"/>
  <c r="EO21" i="9" a="1"/>
  <c r="EO21" i="9" s="1"/>
  <c r="EO5" i="9" a="1"/>
  <c r="EO5" i="9" s="1"/>
  <c r="EO15" i="9" a="1"/>
  <c r="EO15" i="9" s="1"/>
  <c r="EO2" i="9" a="1"/>
  <c r="EO2" i="9" s="1"/>
  <c r="EO10" i="9" a="1"/>
  <c r="EO10" i="9" s="1"/>
  <c r="EO16" i="9" a="1"/>
  <c r="EO16" i="9" s="1"/>
  <c r="EO6" i="9" a="1"/>
  <c r="EO6" i="9" s="1"/>
  <c r="EO11" i="9" a="1"/>
  <c r="EO11" i="9" s="1"/>
  <c r="EO12" i="9" a="1"/>
  <c r="EO12" i="9" s="1"/>
  <c r="EO17" i="9" a="1"/>
  <c r="EO17" i="9" s="1"/>
  <c r="EO7" i="9" a="1"/>
  <c r="EO7" i="9" s="1"/>
  <c r="EO18" i="9" a="1"/>
  <c r="EO18" i="9" s="1"/>
  <c r="W53" i="38"/>
  <c r="Q55" i="38" a="1"/>
  <c r="Q55" i="38" s="1"/>
  <c r="U54" i="38"/>
  <c r="T54" i="38"/>
  <c r="V54" i="38"/>
  <c r="W54" i="38" s="1"/>
  <c r="EO22" i="9"/>
  <c r="EG21" i="9"/>
  <c r="EG22" i="9"/>
  <c r="EQ21" i="9"/>
  <c r="EQ22" i="9"/>
  <c r="EM21" i="9"/>
  <c r="EM22" i="9"/>
  <c r="EK21" i="9"/>
  <c r="EK22" i="9"/>
  <c r="EI21" i="9"/>
  <c r="EI22" i="9"/>
  <c r="BG51" i="7"/>
  <c r="BG67" i="7"/>
  <c r="BG83" i="7"/>
  <c r="BG99" i="7"/>
  <c r="BG115" i="7"/>
  <c r="BG131" i="7"/>
  <c r="BG147" i="7"/>
  <c r="BG163" i="7"/>
  <c r="BG179" i="7"/>
  <c r="BG195" i="7"/>
  <c r="BG211" i="7"/>
  <c r="BG227" i="7"/>
  <c r="BG243" i="7"/>
  <c r="BG259" i="7"/>
  <c r="BG275" i="7"/>
  <c r="BG291" i="7"/>
  <c r="BG307" i="7"/>
  <c r="BG323" i="7"/>
  <c r="BG52" i="7"/>
  <c r="BG68" i="7"/>
  <c r="BG84" i="7"/>
  <c r="BG100" i="7"/>
  <c r="BG116" i="7"/>
  <c r="BG132" i="7"/>
  <c r="BG148" i="7"/>
  <c r="BG164" i="7"/>
  <c r="BG180" i="7"/>
  <c r="BG196" i="7"/>
  <c r="BG212" i="7"/>
  <c r="BG228" i="7"/>
  <c r="BG244" i="7"/>
  <c r="BG260" i="7"/>
  <c r="BG276" i="7"/>
  <c r="BG292" i="7"/>
  <c r="BG308" i="7"/>
  <c r="BG324" i="7"/>
  <c r="BG55" i="7"/>
  <c r="BG71" i="7"/>
  <c r="BG87" i="7"/>
  <c r="BG103" i="7"/>
  <c r="BG119" i="7"/>
  <c r="BG135" i="7"/>
  <c r="BG151" i="7"/>
  <c r="BG167" i="7"/>
  <c r="BG183" i="7"/>
  <c r="BG199" i="7"/>
  <c r="BG215" i="7"/>
  <c r="BG231" i="7"/>
  <c r="BG247" i="7"/>
  <c r="BG263" i="7"/>
  <c r="BG279" i="7"/>
  <c r="BG295" i="7"/>
  <c r="BG45" i="7"/>
  <c r="BG64" i="7"/>
  <c r="BG85" i="7"/>
  <c r="BG105" i="7"/>
  <c r="BG124" i="7"/>
  <c r="BG143" i="7"/>
  <c r="BG162" i="7"/>
  <c r="BG48" i="7"/>
  <c r="BG69" i="7"/>
  <c r="BG49" i="7"/>
  <c r="BG50" i="7"/>
  <c r="BG47" i="7"/>
  <c r="BG74" i="7"/>
  <c r="BG94" i="7"/>
  <c r="BG114" i="7"/>
  <c r="BG137" i="7"/>
  <c r="BG157" i="7"/>
  <c r="BG177" i="7"/>
  <c r="BG198" i="7"/>
  <c r="BG218" i="7"/>
  <c r="BG237" i="7"/>
  <c r="BG256" i="7"/>
  <c r="BG277" i="7"/>
  <c r="BG297" i="7"/>
  <c r="BG315" i="7"/>
  <c r="BG53" i="7"/>
  <c r="BG75" i="7"/>
  <c r="BG95" i="7"/>
  <c r="BG117" i="7"/>
  <c r="BG138" i="7"/>
  <c r="BG158" i="7"/>
  <c r="BG178" i="7"/>
  <c r="BG200" i="7"/>
  <c r="BG219" i="7"/>
  <c r="BG238" i="7"/>
  <c r="BG257" i="7"/>
  <c r="BG278" i="7"/>
  <c r="BG298" i="7"/>
  <c r="BG316" i="7"/>
  <c r="BG54" i="7"/>
  <c r="BG76" i="7"/>
  <c r="BG96" i="7"/>
  <c r="BG118" i="7"/>
  <c r="BG139" i="7"/>
  <c r="BG159" i="7"/>
  <c r="BG181" i="7"/>
  <c r="BG201" i="7"/>
  <c r="BG220" i="7"/>
  <c r="BG239" i="7"/>
  <c r="BG258" i="7"/>
  <c r="BG280" i="7"/>
  <c r="BG299" i="7"/>
  <c r="BG317" i="7"/>
  <c r="BG56" i="7"/>
  <c r="BG77" i="7"/>
  <c r="BG97" i="7"/>
  <c r="BG120" i="7"/>
  <c r="BG140" i="7"/>
  <c r="BG160" i="7"/>
  <c r="BG182" i="7"/>
  <c r="BG202" i="7"/>
  <c r="BG221" i="7"/>
  <c r="BG240" i="7"/>
  <c r="BG261" i="7"/>
  <c r="BG281" i="7"/>
  <c r="BG300" i="7"/>
  <c r="BG318" i="7"/>
  <c r="BG101" i="7"/>
  <c r="BG142" i="7"/>
  <c r="BG185" i="7"/>
  <c r="BG57" i="7"/>
  <c r="BG78" i="7"/>
  <c r="BG98" i="7"/>
  <c r="BG121" i="7"/>
  <c r="BG141" i="7"/>
  <c r="BG161" i="7"/>
  <c r="BG184" i="7"/>
  <c r="BG203" i="7"/>
  <c r="BG222" i="7"/>
  <c r="BG241" i="7"/>
  <c r="BG262" i="7"/>
  <c r="BG282" i="7"/>
  <c r="BG301" i="7"/>
  <c r="BG319" i="7"/>
  <c r="BG58" i="7"/>
  <c r="BG122" i="7"/>
  <c r="BG165" i="7"/>
  <c r="BG264" i="7"/>
  <c r="BG79" i="7"/>
  <c r="BG41" i="7"/>
  <c r="BG65" i="7"/>
  <c r="BG89" i="7"/>
  <c r="BG109" i="7"/>
  <c r="BG129" i="7"/>
  <c r="BG152" i="7"/>
  <c r="BG172" i="7"/>
  <c r="BG191" i="7"/>
  <c r="BG210" i="7"/>
  <c r="BG232" i="7"/>
  <c r="BG251" i="7"/>
  <c r="BG270" i="7"/>
  <c r="BG289" i="7"/>
  <c r="BG310" i="7"/>
  <c r="BG46" i="7"/>
  <c r="BG73" i="7"/>
  <c r="BG93" i="7"/>
  <c r="BG113" i="7"/>
  <c r="BG136" i="7"/>
  <c r="BG156" i="7"/>
  <c r="BG176" i="7"/>
  <c r="BG197" i="7"/>
  <c r="BG217" i="7"/>
  <c r="BG236" i="7"/>
  <c r="BG255" i="7"/>
  <c r="BG274" i="7"/>
  <c r="BG296" i="7"/>
  <c r="BG314" i="7"/>
  <c r="BG44" i="7"/>
  <c r="BG92" i="7"/>
  <c r="BG134" i="7"/>
  <c r="BG175" i="7"/>
  <c r="BG214" i="7"/>
  <c r="BG250" i="7"/>
  <c r="BG287" i="7"/>
  <c r="BG322" i="7"/>
  <c r="BG66" i="7"/>
  <c r="BG303" i="7"/>
  <c r="BG230" i="7"/>
  <c r="BG155" i="7"/>
  <c r="BG123" i="7"/>
  <c r="BG272" i="7"/>
  <c r="BG59" i="7"/>
  <c r="BG102" i="7"/>
  <c r="BG144" i="7"/>
  <c r="BG186" i="7"/>
  <c r="BG216" i="7"/>
  <c r="BG252" i="7"/>
  <c r="BG288" i="7"/>
  <c r="BG153" i="7"/>
  <c r="BG193" i="7"/>
  <c r="BG194" i="7"/>
  <c r="BG306" i="7"/>
  <c r="BG205" i="7"/>
  <c r="BG60" i="7"/>
  <c r="BG104" i="7"/>
  <c r="BG145" i="7"/>
  <c r="BG187" i="7"/>
  <c r="BG223" i="7"/>
  <c r="BG253" i="7"/>
  <c r="BG290" i="7"/>
  <c r="BG229" i="7"/>
  <c r="BG111" i="7"/>
  <c r="BG304" i="7"/>
  <c r="BG112" i="7"/>
  <c r="BG234" i="7"/>
  <c r="BG81" i="7"/>
  <c r="BG61" i="7"/>
  <c r="BG106" i="7"/>
  <c r="BG146" i="7"/>
  <c r="BG188" i="7"/>
  <c r="BG224" i="7"/>
  <c r="BG254" i="7"/>
  <c r="BG293" i="7"/>
  <c r="BG108" i="7"/>
  <c r="BG190" i="7"/>
  <c r="BG226" i="7"/>
  <c r="BG266" i="7"/>
  <c r="BG192" i="7"/>
  <c r="BG70" i="7"/>
  <c r="BG268" i="7"/>
  <c r="BG269" i="7"/>
  <c r="BG168" i="7"/>
  <c r="BG62" i="7"/>
  <c r="BG107" i="7"/>
  <c r="BG149" i="7"/>
  <c r="BG189" i="7"/>
  <c r="BG225" i="7"/>
  <c r="BG265" i="7"/>
  <c r="BG294" i="7"/>
  <c r="BG63" i="7"/>
  <c r="BG150" i="7"/>
  <c r="BG302" i="7"/>
  <c r="BG110" i="7"/>
  <c r="BG154" i="7"/>
  <c r="BG233" i="7"/>
  <c r="BG271" i="7"/>
  <c r="BG125" i="7"/>
  <c r="BG204" i="7"/>
  <c r="BG267" i="7"/>
  <c r="BG166" i="7"/>
  <c r="BG235" i="7"/>
  <c r="BG82" i="7"/>
  <c r="BG126" i="7"/>
  <c r="BG169" i="7"/>
  <c r="BG206" i="7"/>
  <c r="BG242" i="7"/>
  <c r="BG273" i="7"/>
  <c r="BG311" i="7"/>
  <c r="BG86" i="7"/>
  <c r="BG127" i="7"/>
  <c r="BG170" i="7"/>
  <c r="BG207" i="7"/>
  <c r="BG245" i="7"/>
  <c r="BG283" i="7"/>
  <c r="BG312" i="7"/>
  <c r="BG43" i="7"/>
  <c r="BG91" i="7"/>
  <c r="BG133" i="7"/>
  <c r="BG174" i="7"/>
  <c r="BG213" i="7"/>
  <c r="BG249" i="7"/>
  <c r="BG286" i="7"/>
  <c r="BG321" i="7"/>
  <c r="BG72" i="7"/>
  <c r="BG305" i="7"/>
  <c r="BG80" i="7"/>
  <c r="BG209" i="7"/>
  <c r="BG246" i="7"/>
  <c r="BG309" i="7"/>
  <c r="BG320" i="7"/>
  <c r="BG128" i="7"/>
  <c r="BG130" i="7"/>
  <c r="BG248" i="7"/>
  <c r="BG208" i="7"/>
  <c r="BG284" i="7"/>
  <c r="BG42" i="7"/>
  <c r="BG88" i="7"/>
  <c r="BG90" i="7"/>
  <c r="BG285" i="7"/>
  <c r="BG313" i="7"/>
  <c r="BG40" i="7"/>
  <c r="BG171" i="7"/>
  <c r="BG173" i="7"/>
  <c r="AQ49" i="7"/>
  <c r="AQ65" i="7"/>
  <c r="AQ81" i="7"/>
  <c r="AQ97" i="7"/>
  <c r="AQ113" i="7"/>
  <c r="AQ129" i="7"/>
  <c r="AQ145" i="7"/>
  <c r="AQ161" i="7"/>
  <c r="AQ177" i="7"/>
  <c r="AQ193" i="7"/>
  <c r="AQ209" i="7"/>
  <c r="AQ225" i="7"/>
  <c r="AQ241" i="7"/>
  <c r="AQ257" i="7"/>
  <c r="AQ273" i="7"/>
  <c r="AQ289" i="7"/>
  <c r="AQ305" i="7"/>
  <c r="AQ321" i="7"/>
  <c r="AQ50" i="7"/>
  <c r="AQ66" i="7"/>
  <c r="AQ82" i="7"/>
  <c r="AQ98" i="7"/>
  <c r="AQ114" i="7"/>
  <c r="AQ130" i="7"/>
  <c r="AQ146" i="7"/>
  <c r="AQ162" i="7"/>
  <c r="AQ178" i="7"/>
  <c r="AQ194" i="7"/>
  <c r="AQ210" i="7"/>
  <c r="AQ226" i="7"/>
  <c r="AQ242" i="7"/>
  <c r="AQ258" i="7"/>
  <c r="AQ274" i="7"/>
  <c r="AQ290" i="7"/>
  <c r="AQ306" i="7"/>
  <c r="AQ322" i="7"/>
  <c r="AQ52" i="7"/>
  <c r="AQ70" i="7"/>
  <c r="AQ88" i="7"/>
  <c r="AQ106" i="7"/>
  <c r="AQ124" i="7"/>
  <c r="AQ142" i="7"/>
  <c r="AQ160" i="7"/>
  <c r="AQ180" i="7"/>
  <c r="AQ198" i="7"/>
  <c r="AQ216" i="7"/>
  <c r="AQ234" i="7"/>
  <c r="AQ252" i="7"/>
  <c r="AQ270" i="7"/>
  <c r="AQ288" i="7"/>
  <c r="AQ308" i="7"/>
  <c r="AQ53" i="7"/>
  <c r="AQ71" i="7"/>
  <c r="AQ89" i="7"/>
  <c r="AQ107" i="7"/>
  <c r="AQ125" i="7"/>
  <c r="AQ143" i="7"/>
  <c r="AQ163" i="7"/>
  <c r="AQ181" i="7"/>
  <c r="AQ199" i="7"/>
  <c r="AQ217" i="7"/>
  <c r="AQ235" i="7"/>
  <c r="AQ253" i="7"/>
  <c r="AQ271" i="7"/>
  <c r="AQ291" i="7"/>
  <c r="AQ309" i="7"/>
  <c r="AQ54" i="7"/>
  <c r="AQ72" i="7"/>
  <c r="AQ90" i="7"/>
  <c r="AQ108" i="7"/>
  <c r="AQ126" i="7"/>
  <c r="AQ144" i="7"/>
  <c r="AQ164" i="7"/>
  <c r="AQ182" i="7"/>
  <c r="AQ200" i="7"/>
  <c r="AQ218" i="7"/>
  <c r="AQ236" i="7"/>
  <c r="AQ254" i="7"/>
  <c r="AQ272" i="7"/>
  <c r="AQ292" i="7"/>
  <c r="AQ310" i="7"/>
  <c r="AQ55" i="7"/>
  <c r="AQ73" i="7"/>
  <c r="AQ91" i="7"/>
  <c r="AQ109" i="7"/>
  <c r="AQ127" i="7"/>
  <c r="AQ147" i="7"/>
  <c r="AQ165" i="7"/>
  <c r="AQ183" i="7"/>
  <c r="AQ201" i="7"/>
  <c r="AQ219" i="7"/>
  <c r="AQ237" i="7"/>
  <c r="AQ255" i="7"/>
  <c r="AQ275" i="7"/>
  <c r="AQ293" i="7"/>
  <c r="AQ311" i="7"/>
  <c r="AQ44" i="7"/>
  <c r="AQ68" i="7"/>
  <c r="AQ94" i="7"/>
  <c r="AQ118" i="7"/>
  <c r="AQ140" i="7"/>
  <c r="AQ168" i="7"/>
  <c r="AQ190" i="7"/>
  <c r="AQ214" i="7"/>
  <c r="AQ240" i="7"/>
  <c r="AQ264" i="7"/>
  <c r="AQ286" i="7"/>
  <c r="AQ314" i="7"/>
  <c r="AQ45" i="7"/>
  <c r="AQ69" i="7"/>
  <c r="AQ95" i="7"/>
  <c r="AQ119" i="7"/>
  <c r="AQ141" i="7"/>
  <c r="AQ169" i="7"/>
  <c r="AQ191" i="7"/>
  <c r="AQ215" i="7"/>
  <c r="AQ243" i="7"/>
  <c r="AQ265" i="7"/>
  <c r="AQ287" i="7"/>
  <c r="AQ315" i="7"/>
  <c r="AQ46" i="7"/>
  <c r="AQ74" i="7"/>
  <c r="AQ96" i="7"/>
  <c r="AQ120" i="7"/>
  <c r="AQ148" i="7"/>
  <c r="AQ170" i="7"/>
  <c r="AQ192" i="7"/>
  <c r="AQ220" i="7"/>
  <c r="AQ244" i="7"/>
  <c r="AQ266" i="7"/>
  <c r="AQ294" i="7"/>
  <c r="AQ316" i="7"/>
  <c r="AQ47" i="7"/>
  <c r="AQ75" i="7"/>
  <c r="AQ99" i="7"/>
  <c r="AQ121" i="7"/>
  <c r="AQ149" i="7"/>
  <c r="AQ171" i="7"/>
  <c r="AQ195" i="7"/>
  <c r="AQ221" i="7"/>
  <c r="AQ245" i="7"/>
  <c r="AQ267" i="7"/>
  <c r="AQ295" i="7"/>
  <c r="AQ317" i="7"/>
  <c r="AQ48" i="7"/>
  <c r="AQ76" i="7"/>
  <c r="AQ100" i="7"/>
  <c r="AQ122" i="7"/>
  <c r="AQ150" i="7"/>
  <c r="AQ172" i="7"/>
  <c r="AQ196" i="7"/>
  <c r="AQ222" i="7"/>
  <c r="AQ246" i="7"/>
  <c r="AQ268" i="7"/>
  <c r="AQ296" i="7"/>
  <c r="AQ318" i="7"/>
  <c r="AQ51" i="7"/>
  <c r="AQ77" i="7"/>
  <c r="AQ101" i="7"/>
  <c r="AQ123" i="7"/>
  <c r="AQ151" i="7"/>
  <c r="AQ173" i="7"/>
  <c r="AQ197" i="7"/>
  <c r="AQ223" i="7"/>
  <c r="AQ247" i="7"/>
  <c r="AQ269" i="7"/>
  <c r="AQ297" i="7"/>
  <c r="AQ319" i="7"/>
  <c r="AQ56" i="7"/>
  <c r="AQ78" i="7"/>
  <c r="AQ102" i="7"/>
  <c r="AQ128" i="7"/>
  <c r="AQ152" i="7"/>
  <c r="AQ174" i="7"/>
  <c r="AQ202" i="7"/>
  <c r="AQ224" i="7"/>
  <c r="AQ248" i="7"/>
  <c r="AQ276" i="7"/>
  <c r="AQ298" i="7"/>
  <c r="AQ320" i="7"/>
  <c r="AQ43" i="7"/>
  <c r="AQ67" i="7"/>
  <c r="AQ42" i="7"/>
  <c r="AQ92" i="7"/>
  <c r="AQ136" i="7"/>
  <c r="AQ184" i="7"/>
  <c r="AQ228" i="7"/>
  <c r="AQ263" i="7"/>
  <c r="AQ307" i="7"/>
  <c r="AQ57" i="7"/>
  <c r="AQ93" i="7"/>
  <c r="AQ137" i="7"/>
  <c r="AQ185" i="7"/>
  <c r="AQ229" i="7"/>
  <c r="AQ277" i="7"/>
  <c r="AQ312" i="7"/>
  <c r="AQ58" i="7"/>
  <c r="AQ103" i="7"/>
  <c r="AQ138" i="7"/>
  <c r="AQ186" i="7"/>
  <c r="AQ230" i="7"/>
  <c r="AQ278" i="7"/>
  <c r="AQ313" i="7"/>
  <c r="AQ59" i="7"/>
  <c r="AQ104" i="7"/>
  <c r="AQ139" i="7"/>
  <c r="AQ187" i="7"/>
  <c r="AQ231" i="7"/>
  <c r="AQ279" i="7"/>
  <c r="AQ323" i="7"/>
  <c r="AQ60" i="7"/>
  <c r="AQ105" i="7"/>
  <c r="AQ153" i="7"/>
  <c r="AQ188" i="7"/>
  <c r="AQ232" i="7"/>
  <c r="AQ280" i="7"/>
  <c r="AQ324" i="7"/>
  <c r="AQ63" i="7"/>
  <c r="AQ112" i="7"/>
  <c r="AQ156" i="7"/>
  <c r="AQ204" i="7"/>
  <c r="AQ239" i="7"/>
  <c r="AQ283" i="7"/>
  <c r="AQ83" i="7"/>
  <c r="AQ131" i="7"/>
  <c r="AQ166" i="7"/>
  <c r="AQ208" i="7"/>
  <c r="AQ256" i="7"/>
  <c r="AQ300" i="7"/>
  <c r="AQ41" i="7"/>
  <c r="AQ87" i="7"/>
  <c r="AQ135" i="7"/>
  <c r="AQ179" i="7"/>
  <c r="AQ227" i="7"/>
  <c r="AQ262" i="7"/>
  <c r="AQ304" i="7"/>
  <c r="AQ61" i="7"/>
  <c r="AQ154" i="7"/>
  <c r="AQ233" i="7"/>
  <c r="AQ62" i="7"/>
  <c r="AQ155" i="7"/>
  <c r="AQ238" i="7"/>
  <c r="AQ64" i="7"/>
  <c r="AQ157" i="7"/>
  <c r="AQ249" i="7"/>
  <c r="AQ79" i="7"/>
  <c r="AQ158" i="7"/>
  <c r="AQ250" i="7"/>
  <c r="AQ80" i="7"/>
  <c r="AQ159" i="7"/>
  <c r="AQ251" i="7"/>
  <c r="AQ84" i="7"/>
  <c r="AQ167" i="7"/>
  <c r="AQ259" i="7"/>
  <c r="AQ85" i="7"/>
  <c r="AQ175" i="7"/>
  <c r="AQ260" i="7"/>
  <c r="AQ86" i="7"/>
  <c r="AQ176" i="7"/>
  <c r="AQ261" i="7"/>
  <c r="AQ116" i="7"/>
  <c r="AQ206" i="7"/>
  <c r="AQ285" i="7"/>
  <c r="AQ115" i="7"/>
  <c r="AQ301" i="7"/>
  <c r="AQ117" i="7"/>
  <c r="AQ302" i="7"/>
  <c r="AQ132" i="7"/>
  <c r="AQ303" i="7"/>
  <c r="AQ133" i="7"/>
  <c r="AQ134" i="7"/>
  <c r="AQ189" i="7"/>
  <c r="AQ203" i="7"/>
  <c r="AQ213" i="7"/>
  <c r="AQ111" i="7"/>
  <c r="AQ299" i="7"/>
  <c r="AQ281" i="7"/>
  <c r="AQ40" i="7"/>
  <c r="AQ110" i="7"/>
  <c r="AQ211" i="7"/>
  <c r="AQ282" i="7"/>
  <c r="AQ205" i="7"/>
  <c r="AQ207" i="7"/>
  <c r="AQ212" i="7"/>
  <c r="AQ284" i="7"/>
  <c r="BE55" i="7"/>
  <c r="BE71" i="7"/>
  <c r="BE87" i="7"/>
  <c r="BE103" i="7"/>
  <c r="BE119" i="7"/>
  <c r="BE135" i="7"/>
  <c r="BE42" i="7"/>
  <c r="BE59" i="7"/>
  <c r="BE76" i="7"/>
  <c r="BE93" i="7"/>
  <c r="BE110" i="7"/>
  <c r="BE127" i="7"/>
  <c r="BE144" i="7"/>
  <c r="BE160" i="7"/>
  <c r="BE176" i="7"/>
  <c r="BE192" i="7"/>
  <c r="BE208" i="7"/>
  <c r="BE224" i="7"/>
  <c r="BE240" i="7"/>
  <c r="BE256" i="7"/>
  <c r="BE272" i="7"/>
  <c r="BE288" i="7"/>
  <c r="BE304" i="7"/>
  <c r="BE320" i="7"/>
  <c r="BE43" i="7"/>
  <c r="BE60" i="7"/>
  <c r="BE77" i="7"/>
  <c r="BE94" i="7"/>
  <c r="BE111" i="7"/>
  <c r="BE128" i="7"/>
  <c r="BE145" i="7"/>
  <c r="BE161" i="7"/>
  <c r="BE177" i="7"/>
  <c r="BE193" i="7"/>
  <c r="BE209" i="7"/>
  <c r="BE225" i="7"/>
  <c r="BE241" i="7"/>
  <c r="BE257" i="7"/>
  <c r="BE273" i="7"/>
  <c r="BE289" i="7"/>
  <c r="BE305" i="7"/>
  <c r="BE321" i="7"/>
  <c r="BE46" i="7"/>
  <c r="BE63" i="7"/>
  <c r="BE80" i="7"/>
  <c r="BE97" i="7"/>
  <c r="BE114" i="7"/>
  <c r="BE131" i="7"/>
  <c r="BE148" i="7"/>
  <c r="BE164" i="7"/>
  <c r="BE180" i="7"/>
  <c r="BE196" i="7"/>
  <c r="BE212" i="7"/>
  <c r="BE228" i="7"/>
  <c r="BE244" i="7"/>
  <c r="BE260" i="7"/>
  <c r="BE276" i="7"/>
  <c r="BE292" i="7"/>
  <c r="BE308" i="7"/>
  <c r="BE324" i="7"/>
  <c r="BE49" i="7"/>
  <c r="BE69" i="7"/>
  <c r="BE90" i="7"/>
  <c r="BE112" i="7"/>
  <c r="BE133" i="7"/>
  <c r="BE153" i="7"/>
  <c r="BE172" i="7"/>
  <c r="BE191" i="7"/>
  <c r="BE213" i="7"/>
  <c r="BE232" i="7"/>
  <c r="BE251" i="7"/>
  <c r="BE270" i="7"/>
  <c r="BE291" i="7"/>
  <c r="BE311" i="7"/>
  <c r="BE50" i="7"/>
  <c r="BE70" i="7"/>
  <c r="BE91" i="7"/>
  <c r="BE113" i="7"/>
  <c r="BE51" i="7"/>
  <c r="BE72" i="7"/>
  <c r="BE92" i="7"/>
  <c r="BE115" i="7"/>
  <c r="BE136" i="7"/>
  <c r="BE155" i="7"/>
  <c r="BE52" i="7"/>
  <c r="BE73" i="7"/>
  <c r="BE95" i="7"/>
  <c r="BE116" i="7"/>
  <c r="BE137" i="7"/>
  <c r="BE156" i="7"/>
  <c r="BE175" i="7"/>
  <c r="BE197" i="7"/>
  <c r="BE216" i="7"/>
  <c r="BE235" i="7"/>
  <c r="BE254" i="7"/>
  <c r="BE275" i="7"/>
  <c r="BE295" i="7"/>
  <c r="BE314" i="7"/>
  <c r="BE53" i="7"/>
  <c r="BE74" i="7"/>
  <c r="BE96" i="7"/>
  <c r="BE117" i="7"/>
  <c r="BE138" i="7"/>
  <c r="BE157" i="7"/>
  <c r="BE178" i="7"/>
  <c r="BE198" i="7"/>
  <c r="BE217" i="7"/>
  <c r="BE236" i="7"/>
  <c r="BE255" i="7"/>
  <c r="BE277" i="7"/>
  <c r="BE296" i="7"/>
  <c r="BE315" i="7"/>
  <c r="BE54" i="7"/>
  <c r="BE75" i="7"/>
  <c r="BE98" i="7"/>
  <c r="BE118" i="7"/>
  <c r="BE139" i="7"/>
  <c r="BE158" i="7"/>
  <c r="BE179" i="7"/>
  <c r="BE199" i="7"/>
  <c r="BE218" i="7"/>
  <c r="BE237" i="7"/>
  <c r="BE258" i="7"/>
  <c r="BE278" i="7"/>
  <c r="BE297" i="7"/>
  <c r="BE316" i="7"/>
  <c r="BE48" i="7"/>
  <c r="BE84" i="7"/>
  <c r="BE121" i="7"/>
  <c r="BE149" i="7"/>
  <c r="BE174" i="7"/>
  <c r="BE203" i="7"/>
  <c r="BE229" i="7"/>
  <c r="BE253" i="7"/>
  <c r="BE282" i="7"/>
  <c r="BE307" i="7"/>
  <c r="BE56" i="7"/>
  <c r="BE85" i="7"/>
  <c r="BE122" i="7"/>
  <c r="BE150" i="7"/>
  <c r="BE181" i="7"/>
  <c r="BE204" i="7"/>
  <c r="BE230" i="7"/>
  <c r="BE259" i="7"/>
  <c r="BE283" i="7"/>
  <c r="BE309" i="7"/>
  <c r="BE57" i="7"/>
  <c r="BE86" i="7"/>
  <c r="BE123" i="7"/>
  <c r="BE151" i="7"/>
  <c r="BE182" i="7"/>
  <c r="BE205" i="7"/>
  <c r="BE231" i="7"/>
  <c r="BE261" i="7"/>
  <c r="BE284" i="7"/>
  <c r="BE310" i="7"/>
  <c r="BE58" i="7"/>
  <c r="BE88" i="7"/>
  <c r="BE124" i="7"/>
  <c r="BE152" i="7"/>
  <c r="BE183" i="7"/>
  <c r="BE206" i="7"/>
  <c r="BE233" i="7"/>
  <c r="BE262" i="7"/>
  <c r="BE285" i="7"/>
  <c r="BE312" i="7"/>
  <c r="BE159" i="7"/>
  <c r="BE238" i="7"/>
  <c r="BE317" i="7"/>
  <c r="BE61" i="7"/>
  <c r="BE89" i="7"/>
  <c r="BE125" i="7"/>
  <c r="BE154" i="7"/>
  <c r="BE184" i="7"/>
  <c r="BE207" i="7"/>
  <c r="BE234" i="7"/>
  <c r="BE263" i="7"/>
  <c r="BE286" i="7"/>
  <c r="BE313" i="7"/>
  <c r="BE126" i="7"/>
  <c r="BE185" i="7"/>
  <c r="BE264" i="7"/>
  <c r="BE287" i="7"/>
  <c r="BE62" i="7"/>
  <c r="BE99" i="7"/>
  <c r="BE210" i="7"/>
  <c r="BE64" i="7"/>
  <c r="BE100" i="7"/>
  <c r="BE129" i="7"/>
  <c r="BE162" i="7"/>
  <c r="BE186" i="7"/>
  <c r="BE211" i="7"/>
  <c r="BE239" i="7"/>
  <c r="BE265" i="7"/>
  <c r="BE290" i="7"/>
  <c r="BE40" i="7"/>
  <c r="BE78" i="7"/>
  <c r="BE106" i="7"/>
  <c r="BE141" i="7"/>
  <c r="BE168" i="7"/>
  <c r="BE194" i="7"/>
  <c r="BE221" i="7"/>
  <c r="BE247" i="7"/>
  <c r="BE271" i="7"/>
  <c r="BE300" i="7"/>
  <c r="BE47" i="7"/>
  <c r="BE83" i="7"/>
  <c r="BE120" i="7"/>
  <c r="BE147" i="7"/>
  <c r="BE173" i="7"/>
  <c r="BE202" i="7"/>
  <c r="BE227" i="7"/>
  <c r="BE252" i="7"/>
  <c r="BE281" i="7"/>
  <c r="BE306" i="7"/>
  <c r="BE82" i="7"/>
  <c r="BE165" i="7"/>
  <c r="BE220" i="7"/>
  <c r="BE279" i="7"/>
  <c r="BE302" i="7"/>
  <c r="BE195" i="7"/>
  <c r="BE101" i="7"/>
  <c r="BE166" i="7"/>
  <c r="BE222" i="7"/>
  <c r="BE280" i="7"/>
  <c r="BE246" i="7"/>
  <c r="BE189" i="7"/>
  <c r="BE249" i="7"/>
  <c r="BE134" i="7"/>
  <c r="BE102" i="7"/>
  <c r="BE167" i="7"/>
  <c r="BE223" i="7"/>
  <c r="BE293" i="7"/>
  <c r="BE132" i="7"/>
  <c r="BE104" i="7"/>
  <c r="BE169" i="7"/>
  <c r="BE226" i="7"/>
  <c r="BE294" i="7"/>
  <c r="BE171" i="7"/>
  <c r="BE299" i="7"/>
  <c r="BE248" i="7"/>
  <c r="BE318" i="7"/>
  <c r="BE65" i="7"/>
  <c r="BE105" i="7"/>
  <c r="BE170" i="7"/>
  <c r="BE242" i="7"/>
  <c r="BE298" i="7"/>
  <c r="BE107" i="7"/>
  <c r="BE243" i="7"/>
  <c r="BE188" i="7"/>
  <c r="BE303" i="7"/>
  <c r="BE190" i="7"/>
  <c r="BE109" i="7"/>
  <c r="BE44" i="7"/>
  <c r="BE319" i="7"/>
  <c r="BE108" i="7"/>
  <c r="BE187" i="7"/>
  <c r="BE245" i="7"/>
  <c r="BE301" i="7"/>
  <c r="BE41" i="7"/>
  <c r="BE130" i="7"/>
  <c r="BE45" i="7"/>
  <c r="BE66" i="7"/>
  <c r="BE140" i="7"/>
  <c r="BE200" i="7"/>
  <c r="BE266" i="7"/>
  <c r="BE322" i="7"/>
  <c r="BE67" i="7"/>
  <c r="BE142" i="7"/>
  <c r="BE201" i="7"/>
  <c r="BE267" i="7"/>
  <c r="BE323" i="7"/>
  <c r="BE68" i="7"/>
  <c r="BE81" i="7"/>
  <c r="BE163" i="7"/>
  <c r="BE219" i="7"/>
  <c r="BE274" i="7"/>
  <c r="BE250" i="7"/>
  <c r="BE79" i="7"/>
  <c r="BE143" i="7"/>
  <c r="BE269" i="7"/>
  <c r="BE146" i="7"/>
  <c r="BE214" i="7"/>
  <c r="BE268" i="7"/>
  <c r="BE215" i="7"/>
  <c r="AY46" i="7"/>
  <c r="AY62" i="7"/>
  <c r="AY78" i="7"/>
  <c r="AY94" i="7"/>
  <c r="AY110" i="7"/>
  <c r="AY126" i="7"/>
  <c r="AY142" i="7"/>
  <c r="AY158" i="7"/>
  <c r="AY174" i="7"/>
  <c r="AY190" i="7"/>
  <c r="AY206" i="7"/>
  <c r="AY222" i="7"/>
  <c r="AY238" i="7"/>
  <c r="AY254" i="7"/>
  <c r="AY270" i="7"/>
  <c r="AY286" i="7"/>
  <c r="AY302" i="7"/>
  <c r="AY318" i="7"/>
  <c r="AY43" i="7"/>
  <c r="AY60" i="7"/>
  <c r="AY77" i="7"/>
  <c r="AY95" i="7"/>
  <c r="AY112" i="7"/>
  <c r="AY129" i="7"/>
  <c r="AY146" i="7"/>
  <c r="AY163" i="7"/>
  <c r="AY180" i="7"/>
  <c r="AY197" i="7"/>
  <c r="AY214" i="7"/>
  <c r="AY231" i="7"/>
  <c r="AY248" i="7"/>
  <c r="AY265" i="7"/>
  <c r="AY282" i="7"/>
  <c r="AY299" i="7"/>
  <c r="AY316" i="7"/>
  <c r="AY44" i="7"/>
  <c r="AY61" i="7"/>
  <c r="AY79" i="7"/>
  <c r="AY96" i="7"/>
  <c r="AY113" i="7"/>
  <c r="AY130" i="7"/>
  <c r="AY147" i="7"/>
  <c r="AY164" i="7"/>
  <c r="AY181" i="7"/>
  <c r="AY198" i="7"/>
  <c r="AY215" i="7"/>
  <c r="AY232" i="7"/>
  <c r="AY249" i="7"/>
  <c r="AY266" i="7"/>
  <c r="AY283" i="7"/>
  <c r="AY300" i="7"/>
  <c r="AY317" i="7"/>
  <c r="AY45" i="7"/>
  <c r="AY63" i="7"/>
  <c r="AY80" i="7"/>
  <c r="AY97" i="7"/>
  <c r="AY114" i="7"/>
  <c r="AY131" i="7"/>
  <c r="AY148" i="7"/>
  <c r="AY165" i="7"/>
  <c r="AY182" i="7"/>
  <c r="AY199" i="7"/>
  <c r="AY216" i="7"/>
  <c r="AY233" i="7"/>
  <c r="AY250" i="7"/>
  <c r="AY267" i="7"/>
  <c r="AY284" i="7"/>
  <c r="AY301" i="7"/>
  <c r="AY319" i="7"/>
  <c r="AY48" i="7"/>
  <c r="AY65" i="7"/>
  <c r="AY82" i="7"/>
  <c r="AY99" i="7"/>
  <c r="AY116" i="7"/>
  <c r="AY133" i="7"/>
  <c r="AY150" i="7"/>
  <c r="AY167" i="7"/>
  <c r="AY184" i="7"/>
  <c r="AY201" i="7"/>
  <c r="AY218" i="7"/>
  <c r="AY235" i="7"/>
  <c r="AY252" i="7"/>
  <c r="AY269" i="7"/>
  <c r="AY287" i="7"/>
  <c r="AY304" i="7"/>
  <c r="AY321" i="7"/>
  <c r="AY42" i="7"/>
  <c r="AY59" i="7"/>
  <c r="AY76" i="7"/>
  <c r="AY93" i="7"/>
  <c r="AY66" i="7"/>
  <c r="AY88" i="7"/>
  <c r="AY111" i="7"/>
  <c r="AY136" i="7"/>
  <c r="AY157" i="7"/>
  <c r="AY179" i="7"/>
  <c r="AY204" i="7"/>
  <c r="AY226" i="7"/>
  <c r="AY247" i="7"/>
  <c r="AY273" i="7"/>
  <c r="AY294" i="7"/>
  <c r="AY315" i="7"/>
  <c r="AY67" i="7"/>
  <c r="AY89" i="7"/>
  <c r="AY115" i="7"/>
  <c r="AY137" i="7"/>
  <c r="AY159" i="7"/>
  <c r="AY183" i="7"/>
  <c r="AY205" i="7"/>
  <c r="AY227" i="7"/>
  <c r="AY251" i="7"/>
  <c r="AY274" i="7"/>
  <c r="AY295" i="7"/>
  <c r="AY320" i="7"/>
  <c r="AY40" i="7"/>
  <c r="AY68" i="7"/>
  <c r="AY90" i="7"/>
  <c r="AY117" i="7"/>
  <c r="AY138" i="7"/>
  <c r="AY160" i="7"/>
  <c r="AY185" i="7"/>
  <c r="AY207" i="7"/>
  <c r="AY228" i="7"/>
  <c r="AY253" i="7"/>
  <c r="AY275" i="7"/>
  <c r="AY296" i="7"/>
  <c r="AY322" i="7"/>
  <c r="AY41" i="7"/>
  <c r="AY69" i="7"/>
  <c r="AY91" i="7"/>
  <c r="AY118" i="7"/>
  <c r="AY139" i="7"/>
  <c r="AY161" i="7"/>
  <c r="AY186" i="7"/>
  <c r="AY208" i="7"/>
  <c r="AY229" i="7"/>
  <c r="AY255" i="7"/>
  <c r="AY276" i="7"/>
  <c r="AY297" i="7"/>
  <c r="AY323" i="7"/>
  <c r="AY47" i="7"/>
  <c r="AY70" i="7"/>
  <c r="AY92" i="7"/>
  <c r="AY119" i="7"/>
  <c r="AY140" i="7"/>
  <c r="AY162" i="7"/>
  <c r="AY187" i="7"/>
  <c r="AY209" i="7"/>
  <c r="AY230" i="7"/>
  <c r="AY256" i="7"/>
  <c r="AY277" i="7"/>
  <c r="AY298" i="7"/>
  <c r="AY324" i="7"/>
  <c r="AY49" i="7"/>
  <c r="AY71" i="7"/>
  <c r="AY98" i="7"/>
  <c r="AY120" i="7"/>
  <c r="AY141" i="7"/>
  <c r="AY166" i="7"/>
  <c r="AY188" i="7"/>
  <c r="AY210" i="7"/>
  <c r="AY234" i="7"/>
  <c r="AY257" i="7"/>
  <c r="AY278" i="7"/>
  <c r="AY303" i="7"/>
  <c r="AY51" i="7"/>
  <c r="AY73" i="7"/>
  <c r="AY101" i="7"/>
  <c r="AY122" i="7"/>
  <c r="AY144" i="7"/>
  <c r="AY169" i="7"/>
  <c r="AY191" i="7"/>
  <c r="AY212" i="7"/>
  <c r="AY237" i="7"/>
  <c r="AY259" i="7"/>
  <c r="AY280" i="7"/>
  <c r="AY306" i="7"/>
  <c r="AY56" i="7"/>
  <c r="AY104" i="7"/>
  <c r="AY145" i="7"/>
  <c r="AY178" i="7"/>
  <c r="AY223" i="7"/>
  <c r="AY263" i="7"/>
  <c r="AY308" i="7"/>
  <c r="AY57" i="7"/>
  <c r="AY105" i="7"/>
  <c r="AY149" i="7"/>
  <c r="AY189" i="7"/>
  <c r="AY224" i="7"/>
  <c r="AY264" i="7"/>
  <c r="AY309" i="7"/>
  <c r="AY58" i="7"/>
  <c r="AY106" i="7"/>
  <c r="AY151" i="7"/>
  <c r="AY192" i="7"/>
  <c r="AY225" i="7"/>
  <c r="AY268" i="7"/>
  <c r="AY310" i="7"/>
  <c r="AY64" i="7"/>
  <c r="AY107" i="7"/>
  <c r="AY152" i="7"/>
  <c r="AY193" i="7"/>
  <c r="AY236" i="7"/>
  <c r="AY271" i="7"/>
  <c r="AY311" i="7"/>
  <c r="AY72" i="7"/>
  <c r="AY108" i="7"/>
  <c r="AY153" i="7"/>
  <c r="AY194" i="7"/>
  <c r="AY239" i="7"/>
  <c r="AY272" i="7"/>
  <c r="AY312" i="7"/>
  <c r="AY74" i="7"/>
  <c r="AY109" i="7"/>
  <c r="AY154" i="7"/>
  <c r="AY195" i="7"/>
  <c r="AY240" i="7"/>
  <c r="AY279" i="7"/>
  <c r="AY313" i="7"/>
  <c r="AY75" i="7"/>
  <c r="AY121" i="7"/>
  <c r="AY155" i="7"/>
  <c r="AY196" i="7"/>
  <c r="AY241" i="7"/>
  <c r="AY281" i="7"/>
  <c r="AY314" i="7"/>
  <c r="AY50" i="7"/>
  <c r="AY86" i="7"/>
  <c r="AY128" i="7"/>
  <c r="AY172" i="7"/>
  <c r="AY213" i="7"/>
  <c r="AY246" i="7"/>
  <c r="AY291" i="7"/>
  <c r="AY55" i="7"/>
  <c r="AY103" i="7"/>
  <c r="AY143" i="7"/>
  <c r="AY177" i="7"/>
  <c r="AY221" i="7"/>
  <c r="AY262" i="7"/>
  <c r="AY307" i="7"/>
  <c r="AY81" i="7"/>
  <c r="AY170" i="7"/>
  <c r="AY258" i="7"/>
  <c r="AY203" i="7"/>
  <c r="AY211" i="7"/>
  <c r="AY83" i="7"/>
  <c r="AY171" i="7"/>
  <c r="AY260" i="7"/>
  <c r="AY84" i="7"/>
  <c r="AY173" i="7"/>
  <c r="AY261" i="7"/>
  <c r="AY292" i="7"/>
  <c r="AY293" i="7"/>
  <c r="AY305" i="7"/>
  <c r="AY85" i="7"/>
  <c r="AY175" i="7"/>
  <c r="AY285" i="7"/>
  <c r="AY123" i="7"/>
  <c r="AY127" i="7"/>
  <c r="AY87" i="7"/>
  <c r="AY176" i="7"/>
  <c r="AY288" i="7"/>
  <c r="AY100" i="7"/>
  <c r="AY200" i="7"/>
  <c r="AY289" i="7"/>
  <c r="AY219" i="7"/>
  <c r="AY102" i="7"/>
  <c r="AY202" i="7"/>
  <c r="AY290" i="7"/>
  <c r="AY125" i="7"/>
  <c r="AY132" i="7"/>
  <c r="AY220" i="7"/>
  <c r="AY134" i="7"/>
  <c r="AY242" i="7"/>
  <c r="AY52" i="7"/>
  <c r="AY135" i="7"/>
  <c r="AY243" i="7"/>
  <c r="AY54" i="7"/>
  <c r="AY168" i="7"/>
  <c r="AY245" i="7"/>
  <c r="AY124" i="7"/>
  <c r="AY217" i="7"/>
  <c r="AY244" i="7"/>
  <c r="AY53" i="7"/>
  <c r="AY156" i="7"/>
  <c r="BM46" i="7"/>
  <c r="BM62" i="7"/>
  <c r="BM78" i="7"/>
  <c r="BM94" i="7"/>
  <c r="BM110" i="7"/>
  <c r="BM126" i="7"/>
  <c r="BM142" i="7"/>
  <c r="BM158" i="7"/>
  <c r="BM174" i="7"/>
  <c r="BM190" i="7"/>
  <c r="BM206" i="7"/>
  <c r="BM222" i="7"/>
  <c r="BM238" i="7"/>
  <c r="BM254" i="7"/>
  <c r="BM270" i="7"/>
  <c r="BM286" i="7"/>
  <c r="BM302" i="7"/>
  <c r="BM318" i="7"/>
  <c r="BM207" i="7"/>
  <c r="BM239" i="7"/>
  <c r="BM271" i="7"/>
  <c r="BM303" i="7"/>
  <c r="BM319" i="7"/>
  <c r="BM64" i="7"/>
  <c r="BM112" i="7"/>
  <c r="BM144" i="7"/>
  <c r="BM192" i="7"/>
  <c r="BM224" i="7"/>
  <c r="BM272" i="7"/>
  <c r="BM320" i="7"/>
  <c r="BM47" i="7"/>
  <c r="BM63" i="7"/>
  <c r="BM79" i="7"/>
  <c r="BM95" i="7"/>
  <c r="BM111" i="7"/>
  <c r="BM127" i="7"/>
  <c r="BM143" i="7"/>
  <c r="BM159" i="7"/>
  <c r="BM175" i="7"/>
  <c r="BM191" i="7"/>
  <c r="BM223" i="7"/>
  <c r="BM255" i="7"/>
  <c r="BM287" i="7"/>
  <c r="BM48" i="7"/>
  <c r="BM96" i="7"/>
  <c r="BM128" i="7"/>
  <c r="BM160" i="7"/>
  <c r="BM208" i="7"/>
  <c r="BM256" i="7"/>
  <c r="BM304" i="7"/>
  <c r="BM80" i="7"/>
  <c r="BM176" i="7"/>
  <c r="BM240" i="7"/>
  <c r="BM288" i="7"/>
  <c r="BM49" i="7"/>
  <c r="BM65" i="7"/>
  <c r="BM81" i="7"/>
  <c r="BM97" i="7"/>
  <c r="BM113" i="7"/>
  <c r="BM129" i="7"/>
  <c r="BM145" i="7"/>
  <c r="BM161" i="7"/>
  <c r="BM177" i="7"/>
  <c r="BM193" i="7"/>
  <c r="BM209" i="7"/>
  <c r="BM225" i="7"/>
  <c r="BM241" i="7"/>
  <c r="BM257" i="7"/>
  <c r="BM273" i="7"/>
  <c r="BM289" i="7"/>
  <c r="BM305" i="7"/>
  <c r="BM321" i="7"/>
  <c r="BM50" i="7"/>
  <c r="BM66" i="7"/>
  <c r="BM82" i="7"/>
  <c r="BM98" i="7"/>
  <c r="BM114" i="7"/>
  <c r="BM130" i="7"/>
  <c r="BM146" i="7"/>
  <c r="BM162" i="7"/>
  <c r="BM178" i="7"/>
  <c r="BM194" i="7"/>
  <c r="BM210" i="7"/>
  <c r="BM226" i="7"/>
  <c r="BM242" i="7"/>
  <c r="BM258" i="7"/>
  <c r="BM274" i="7"/>
  <c r="BM290" i="7"/>
  <c r="BM306" i="7"/>
  <c r="BM322" i="7"/>
  <c r="BM54" i="7"/>
  <c r="BM75" i="7"/>
  <c r="BM101" i="7"/>
  <c r="BM122" i="7"/>
  <c r="BM148" i="7"/>
  <c r="BM169" i="7"/>
  <c r="BM195" i="7"/>
  <c r="BM216" i="7"/>
  <c r="BM237" i="7"/>
  <c r="BM263" i="7"/>
  <c r="BM284" i="7"/>
  <c r="BM310" i="7"/>
  <c r="BM56" i="7"/>
  <c r="BM124" i="7"/>
  <c r="BM171" i="7"/>
  <c r="BM244" i="7"/>
  <c r="BM291" i="7"/>
  <c r="BM153" i="7"/>
  <c r="BM221" i="7"/>
  <c r="BM315" i="7"/>
  <c r="BM154" i="7"/>
  <c r="BM248" i="7"/>
  <c r="BM87" i="7"/>
  <c r="BM228" i="7"/>
  <c r="BM275" i="7"/>
  <c r="BM67" i="7"/>
  <c r="BM323" i="7"/>
  <c r="BM89" i="7"/>
  <c r="BM251" i="7"/>
  <c r="BM55" i="7"/>
  <c r="BM76" i="7"/>
  <c r="BM102" i="7"/>
  <c r="BM123" i="7"/>
  <c r="BM149" i="7"/>
  <c r="BM170" i="7"/>
  <c r="BM196" i="7"/>
  <c r="BM217" i="7"/>
  <c r="BM243" i="7"/>
  <c r="BM264" i="7"/>
  <c r="BM285" i="7"/>
  <c r="BM311" i="7"/>
  <c r="BM103" i="7"/>
  <c r="BM150" i="7"/>
  <c r="BM218" i="7"/>
  <c r="BM265" i="7"/>
  <c r="BM106" i="7"/>
  <c r="BM200" i="7"/>
  <c r="BM268" i="7"/>
  <c r="BM133" i="7"/>
  <c r="BM269" i="7"/>
  <c r="BM40" i="7"/>
  <c r="BM181" i="7"/>
  <c r="BM109" i="7"/>
  <c r="BM250" i="7"/>
  <c r="BM68" i="7"/>
  <c r="BM298" i="7"/>
  <c r="BM77" i="7"/>
  <c r="BM197" i="7"/>
  <c r="BM312" i="7"/>
  <c r="BM247" i="7"/>
  <c r="BM60" i="7"/>
  <c r="BM180" i="7"/>
  <c r="BM316" i="7"/>
  <c r="BM134" i="7"/>
  <c r="BM317" i="7"/>
  <c r="BM156" i="7"/>
  <c r="BM183" i="7"/>
  <c r="BM324" i="7"/>
  <c r="BM57" i="7"/>
  <c r="BM83" i="7"/>
  <c r="BM104" i="7"/>
  <c r="BM125" i="7"/>
  <c r="BM151" i="7"/>
  <c r="BM172" i="7"/>
  <c r="BM198" i="7"/>
  <c r="BM219" i="7"/>
  <c r="BM245" i="7"/>
  <c r="BM266" i="7"/>
  <c r="BM292" i="7"/>
  <c r="BM313" i="7"/>
  <c r="BM293" i="7"/>
  <c r="BM59" i="7"/>
  <c r="BM132" i="7"/>
  <c r="BM294" i="7"/>
  <c r="BM86" i="7"/>
  <c r="BM227" i="7"/>
  <c r="BM202" i="7"/>
  <c r="BM135" i="7"/>
  <c r="BM297" i="7"/>
  <c r="BM42" i="7"/>
  <c r="BM230" i="7"/>
  <c r="BM58" i="7"/>
  <c r="BM84" i="7"/>
  <c r="BM105" i="7"/>
  <c r="BM131" i="7"/>
  <c r="BM152" i="7"/>
  <c r="BM173" i="7"/>
  <c r="BM199" i="7"/>
  <c r="BM220" i="7"/>
  <c r="BM246" i="7"/>
  <c r="BM267" i="7"/>
  <c r="BM314" i="7"/>
  <c r="BM85" i="7"/>
  <c r="BM179" i="7"/>
  <c r="BM107" i="7"/>
  <c r="BM201" i="7"/>
  <c r="BM295" i="7"/>
  <c r="BM155" i="7"/>
  <c r="BM88" i="7"/>
  <c r="BM276" i="7"/>
  <c r="BM204" i="7"/>
  <c r="BM249" i="7"/>
  <c r="BM203" i="7"/>
  <c r="BM136" i="7"/>
  <c r="BM108" i="7"/>
  <c r="BM182" i="7"/>
  <c r="BM157" i="7"/>
  <c r="BM44" i="7"/>
  <c r="BM70" i="7"/>
  <c r="BM91" i="7"/>
  <c r="BM117" i="7"/>
  <c r="BM138" i="7"/>
  <c r="BM164" i="7"/>
  <c r="BM185" i="7"/>
  <c r="BM211" i="7"/>
  <c r="BM232" i="7"/>
  <c r="BM253" i="7"/>
  <c r="BM279" i="7"/>
  <c r="BM300" i="7"/>
  <c r="BM45" i="7"/>
  <c r="BM71" i="7"/>
  <c r="BM92" i="7"/>
  <c r="BM118" i="7"/>
  <c r="BM139" i="7"/>
  <c r="BM165" i="7"/>
  <c r="BM186" i="7"/>
  <c r="BM212" i="7"/>
  <c r="BM233" i="7"/>
  <c r="BM259" i="7"/>
  <c r="BM280" i="7"/>
  <c r="BM301" i="7"/>
  <c r="BM53" i="7"/>
  <c r="BM74" i="7"/>
  <c r="BM100" i="7"/>
  <c r="BM121" i="7"/>
  <c r="BM147" i="7"/>
  <c r="BM168" i="7"/>
  <c r="BM189" i="7"/>
  <c r="BM215" i="7"/>
  <c r="BM236" i="7"/>
  <c r="BM262" i="7"/>
  <c r="BM283" i="7"/>
  <c r="BM309" i="7"/>
  <c r="BM61" i="7"/>
  <c r="BM296" i="7"/>
  <c r="BM41" i="7"/>
  <c r="BM229" i="7"/>
  <c r="BM115" i="7"/>
  <c r="BM277" i="7"/>
  <c r="BM116" i="7"/>
  <c r="BM234" i="7"/>
  <c r="BM252" i="7"/>
  <c r="BM163" i="7"/>
  <c r="BM166" i="7"/>
  <c r="BM167" i="7"/>
  <c r="BM307" i="7"/>
  <c r="BM188" i="7"/>
  <c r="BM73" i="7"/>
  <c r="BM119" i="7"/>
  <c r="BM235" i="7"/>
  <c r="BM278" i="7"/>
  <c r="BM281" i="7"/>
  <c r="BM43" i="7"/>
  <c r="BM51" i="7"/>
  <c r="BM184" i="7"/>
  <c r="BM308" i="7"/>
  <c r="BM205" i="7"/>
  <c r="BM99" i="7"/>
  <c r="BM120" i="7"/>
  <c r="BM137" i="7"/>
  <c r="BM260" i="7"/>
  <c r="BM187" i="7"/>
  <c r="BM90" i="7"/>
  <c r="BM214" i="7"/>
  <c r="BM231" i="7"/>
  <c r="BM140" i="7"/>
  <c r="BM261" i="7"/>
  <c r="BM141" i="7"/>
  <c r="BM282" i="7"/>
  <c r="BM299" i="7"/>
  <c r="BM52" i="7"/>
  <c r="BM69" i="7"/>
  <c r="BM72" i="7"/>
  <c r="BM213" i="7"/>
  <c r="BM93" i="7"/>
  <c r="BC52" i="7"/>
  <c r="BC68" i="7"/>
  <c r="BC84" i="7"/>
  <c r="BC100" i="7"/>
  <c r="BC116" i="7"/>
  <c r="BC132" i="7"/>
  <c r="BC148" i="7"/>
  <c r="BC164" i="7"/>
  <c r="BC180" i="7"/>
  <c r="BC196" i="7"/>
  <c r="BC212" i="7"/>
  <c r="BC228" i="7"/>
  <c r="BC244" i="7"/>
  <c r="BC260" i="7"/>
  <c r="BC276" i="7"/>
  <c r="BC292" i="7"/>
  <c r="BC308" i="7"/>
  <c r="BC324" i="7"/>
  <c r="BC54" i="7"/>
  <c r="BC71" i="7"/>
  <c r="BC88" i="7"/>
  <c r="BC105" i="7"/>
  <c r="BC122" i="7"/>
  <c r="BC139" i="7"/>
  <c r="BC156" i="7"/>
  <c r="BC173" i="7"/>
  <c r="BC190" i="7"/>
  <c r="BC207" i="7"/>
  <c r="BC224" i="7"/>
  <c r="BC241" i="7"/>
  <c r="BC258" i="7"/>
  <c r="BC275" i="7"/>
  <c r="BC293" i="7"/>
  <c r="BC310" i="7"/>
  <c r="BC55" i="7"/>
  <c r="BC72" i="7"/>
  <c r="BC89" i="7"/>
  <c r="BC106" i="7"/>
  <c r="BC123" i="7"/>
  <c r="BC140" i="7"/>
  <c r="BC157" i="7"/>
  <c r="BC174" i="7"/>
  <c r="BC191" i="7"/>
  <c r="BC208" i="7"/>
  <c r="BC225" i="7"/>
  <c r="BC242" i="7"/>
  <c r="BC259" i="7"/>
  <c r="BC277" i="7"/>
  <c r="BC294" i="7"/>
  <c r="BC311" i="7"/>
  <c r="BC41" i="7"/>
  <c r="BC58" i="7"/>
  <c r="BC75" i="7"/>
  <c r="BC92" i="7"/>
  <c r="BC109" i="7"/>
  <c r="BC126" i="7"/>
  <c r="BC143" i="7"/>
  <c r="BC160" i="7"/>
  <c r="BC177" i="7"/>
  <c r="BC194" i="7"/>
  <c r="BC211" i="7"/>
  <c r="BC229" i="7"/>
  <c r="BC246" i="7"/>
  <c r="BC263" i="7"/>
  <c r="BC280" i="7"/>
  <c r="BC297" i="7"/>
  <c r="BC314" i="7"/>
  <c r="BC40" i="7"/>
  <c r="BC61" i="7"/>
  <c r="BC81" i="7"/>
  <c r="BC102" i="7"/>
  <c r="BC124" i="7"/>
  <c r="BC145" i="7"/>
  <c r="BC166" i="7"/>
  <c r="BC186" i="7"/>
  <c r="BC206" i="7"/>
  <c r="BC230" i="7"/>
  <c r="BC250" i="7"/>
  <c r="BC270" i="7"/>
  <c r="BC290" i="7"/>
  <c r="BC313" i="7"/>
  <c r="BC42" i="7"/>
  <c r="BC62" i="7"/>
  <c r="BC82" i="7"/>
  <c r="BC103" i="7"/>
  <c r="BC125" i="7"/>
  <c r="BC146" i="7"/>
  <c r="BC167" i="7"/>
  <c r="BC187" i="7"/>
  <c r="BC209" i="7"/>
  <c r="BC231" i="7"/>
  <c r="BC251" i="7"/>
  <c r="BC271" i="7"/>
  <c r="BC291" i="7"/>
  <c r="BC315" i="7"/>
  <c r="BC43" i="7"/>
  <c r="BC63" i="7"/>
  <c r="BC83" i="7"/>
  <c r="BC104" i="7"/>
  <c r="BC127" i="7"/>
  <c r="BC147" i="7"/>
  <c r="BC168" i="7"/>
  <c r="BC188" i="7"/>
  <c r="BC210" i="7"/>
  <c r="BC232" i="7"/>
  <c r="BC252" i="7"/>
  <c r="BC272" i="7"/>
  <c r="BC295" i="7"/>
  <c r="BC316" i="7"/>
  <c r="BC44" i="7"/>
  <c r="BC64" i="7"/>
  <c r="BC85" i="7"/>
  <c r="BC107" i="7"/>
  <c r="BC128" i="7"/>
  <c r="BC149" i="7"/>
  <c r="BC169" i="7"/>
  <c r="BC189" i="7"/>
  <c r="BC213" i="7"/>
  <c r="BC233" i="7"/>
  <c r="BC253" i="7"/>
  <c r="BC273" i="7"/>
  <c r="BC296" i="7"/>
  <c r="BC317" i="7"/>
  <c r="BC45" i="7"/>
  <c r="BC65" i="7"/>
  <c r="BC86" i="7"/>
  <c r="BC108" i="7"/>
  <c r="BC129" i="7"/>
  <c r="BC150" i="7"/>
  <c r="BC170" i="7"/>
  <c r="BC192" i="7"/>
  <c r="BC214" i="7"/>
  <c r="BC234" i="7"/>
  <c r="BC254" i="7"/>
  <c r="BC274" i="7"/>
  <c r="BC298" i="7"/>
  <c r="BC318" i="7"/>
  <c r="BC46" i="7"/>
  <c r="BC66" i="7"/>
  <c r="BC87" i="7"/>
  <c r="BC110" i="7"/>
  <c r="BC130" i="7"/>
  <c r="BC151" i="7"/>
  <c r="BC171" i="7"/>
  <c r="BC193" i="7"/>
  <c r="BC215" i="7"/>
  <c r="BC235" i="7"/>
  <c r="BC255" i="7"/>
  <c r="BC278" i="7"/>
  <c r="BC299" i="7"/>
  <c r="BC319" i="7"/>
  <c r="BC48" i="7"/>
  <c r="BC69" i="7"/>
  <c r="BC91" i="7"/>
  <c r="BC112" i="7"/>
  <c r="BC133" i="7"/>
  <c r="BC153" i="7"/>
  <c r="BC175" i="7"/>
  <c r="BC53" i="7"/>
  <c r="BC94" i="7"/>
  <c r="BC131" i="7"/>
  <c r="BC163" i="7"/>
  <c r="BC201" i="7"/>
  <c r="BC237" i="7"/>
  <c r="BC267" i="7"/>
  <c r="BC303" i="7"/>
  <c r="BC56" i="7"/>
  <c r="BC95" i="7"/>
  <c r="BC134" i="7"/>
  <c r="BC165" i="7"/>
  <c r="BC202" i="7"/>
  <c r="BC238" i="7"/>
  <c r="BC268" i="7"/>
  <c r="BC304" i="7"/>
  <c r="BC57" i="7"/>
  <c r="BC96" i="7"/>
  <c r="BC135" i="7"/>
  <c r="BC172" i="7"/>
  <c r="BC203" i="7"/>
  <c r="BC239" i="7"/>
  <c r="BC269" i="7"/>
  <c r="BC305" i="7"/>
  <c r="BC59" i="7"/>
  <c r="BC97" i="7"/>
  <c r="BC136" i="7"/>
  <c r="BC176" i="7"/>
  <c r="BC204" i="7"/>
  <c r="BC240" i="7"/>
  <c r="BC279" i="7"/>
  <c r="BC306" i="7"/>
  <c r="BC282" i="7"/>
  <c r="BC60" i="7"/>
  <c r="BC98" i="7"/>
  <c r="BC137" i="7"/>
  <c r="BC178" i="7"/>
  <c r="BC205" i="7"/>
  <c r="BC243" i="7"/>
  <c r="BC281" i="7"/>
  <c r="BC307" i="7"/>
  <c r="BC245" i="7"/>
  <c r="BC67" i="7"/>
  <c r="BC99" i="7"/>
  <c r="BC138" i="7"/>
  <c r="BC179" i="7"/>
  <c r="BC216" i="7"/>
  <c r="BC309" i="7"/>
  <c r="BC70" i="7"/>
  <c r="BC101" i="7"/>
  <c r="BC141" i="7"/>
  <c r="BC181" i="7"/>
  <c r="BC217" i="7"/>
  <c r="BC247" i="7"/>
  <c r="BC283" i="7"/>
  <c r="BC312" i="7"/>
  <c r="BC78" i="7"/>
  <c r="BC117" i="7"/>
  <c r="BC155" i="7"/>
  <c r="BC195" i="7"/>
  <c r="BC222" i="7"/>
  <c r="BC261" i="7"/>
  <c r="BC288" i="7"/>
  <c r="BC51" i="7"/>
  <c r="BC93" i="7"/>
  <c r="BC121" i="7"/>
  <c r="BC162" i="7"/>
  <c r="BC200" i="7"/>
  <c r="BC236" i="7"/>
  <c r="BC266" i="7"/>
  <c r="BC302" i="7"/>
  <c r="BC49" i="7"/>
  <c r="BC142" i="7"/>
  <c r="BC220" i="7"/>
  <c r="BC289" i="7"/>
  <c r="BC80" i="7"/>
  <c r="BC183" i="7"/>
  <c r="BC111" i="7"/>
  <c r="BC113" i="7"/>
  <c r="BC50" i="7"/>
  <c r="BC144" i="7"/>
  <c r="BC221" i="7"/>
  <c r="BC300" i="7"/>
  <c r="BC73" i="7"/>
  <c r="BC152" i="7"/>
  <c r="BC223" i="7"/>
  <c r="BC301" i="7"/>
  <c r="BC256" i="7"/>
  <c r="BC257" i="7"/>
  <c r="BC74" i="7"/>
  <c r="BC154" i="7"/>
  <c r="BC226" i="7"/>
  <c r="BC320" i="7"/>
  <c r="BC77" i="7"/>
  <c r="BC322" i="7"/>
  <c r="BC182" i="7"/>
  <c r="BC76" i="7"/>
  <c r="BC158" i="7"/>
  <c r="BC227" i="7"/>
  <c r="BC321" i="7"/>
  <c r="BC159" i="7"/>
  <c r="BC248" i="7"/>
  <c r="BC262" i="7"/>
  <c r="BC79" i="7"/>
  <c r="BC161" i="7"/>
  <c r="BC249" i="7"/>
  <c r="BC323" i="7"/>
  <c r="BC264" i="7"/>
  <c r="BC114" i="7"/>
  <c r="BC197" i="7"/>
  <c r="BC265" i="7"/>
  <c r="BC115" i="7"/>
  <c r="BC198" i="7"/>
  <c r="BC284" i="7"/>
  <c r="BC118" i="7"/>
  <c r="BC199" i="7"/>
  <c r="BC285" i="7"/>
  <c r="BC47" i="7"/>
  <c r="BC120" i="7"/>
  <c r="BC219" i="7"/>
  <c r="BC287" i="7"/>
  <c r="BC90" i="7"/>
  <c r="BC184" i="7"/>
  <c r="BC185" i="7"/>
  <c r="BC218" i="7"/>
  <c r="BC286" i="7"/>
  <c r="BC119" i="7"/>
  <c r="BA49" i="7"/>
  <c r="BA65" i="7"/>
  <c r="BA81" i="7"/>
  <c r="BA97" i="7"/>
  <c r="BA113" i="7"/>
  <c r="BA129" i="7"/>
  <c r="BA145" i="7"/>
  <c r="BA161" i="7"/>
  <c r="BA177" i="7"/>
  <c r="BA193" i="7"/>
  <c r="BA209" i="7"/>
  <c r="BA225" i="7"/>
  <c r="BA241" i="7"/>
  <c r="BA257" i="7"/>
  <c r="BA273" i="7"/>
  <c r="BA289" i="7"/>
  <c r="BA305" i="7"/>
  <c r="BA321" i="7"/>
  <c r="BA48" i="7"/>
  <c r="BA66" i="7"/>
  <c r="BA83" i="7"/>
  <c r="BA100" i="7"/>
  <c r="BA117" i="7"/>
  <c r="BA134" i="7"/>
  <c r="BA151" i="7"/>
  <c r="BA168" i="7"/>
  <c r="BA185" i="7"/>
  <c r="BA202" i="7"/>
  <c r="BA219" i="7"/>
  <c r="BA236" i="7"/>
  <c r="BA253" i="7"/>
  <c r="BA270" i="7"/>
  <c r="BA287" i="7"/>
  <c r="BA304" i="7"/>
  <c r="BA322" i="7"/>
  <c r="BA50" i="7"/>
  <c r="BA67" i="7"/>
  <c r="BA84" i="7"/>
  <c r="BA101" i="7"/>
  <c r="BA118" i="7"/>
  <c r="BA135" i="7"/>
  <c r="BA152" i="7"/>
  <c r="BA169" i="7"/>
  <c r="BA186" i="7"/>
  <c r="BA203" i="7"/>
  <c r="BA220" i="7"/>
  <c r="BA237" i="7"/>
  <c r="BA254" i="7"/>
  <c r="BA271" i="7"/>
  <c r="BA288" i="7"/>
  <c r="BA306" i="7"/>
  <c r="BA323" i="7"/>
  <c r="BA51" i="7"/>
  <c r="BA68" i="7"/>
  <c r="BA85" i="7"/>
  <c r="BA102" i="7"/>
  <c r="BA119" i="7"/>
  <c r="BA136" i="7"/>
  <c r="BA153" i="7"/>
  <c r="BA170" i="7"/>
  <c r="BA187" i="7"/>
  <c r="BA204" i="7"/>
  <c r="BA221" i="7"/>
  <c r="BA238" i="7"/>
  <c r="BA255" i="7"/>
  <c r="BA272" i="7"/>
  <c r="BA53" i="7"/>
  <c r="BA70" i="7"/>
  <c r="BA87" i="7"/>
  <c r="BA104" i="7"/>
  <c r="BA121" i="7"/>
  <c r="BA138" i="7"/>
  <c r="BA155" i="7"/>
  <c r="BA172" i="7"/>
  <c r="BA189" i="7"/>
  <c r="BA206" i="7"/>
  <c r="BA223" i="7"/>
  <c r="BA240" i="7"/>
  <c r="BA258" i="7"/>
  <c r="BA275" i="7"/>
  <c r="BA292" i="7"/>
  <c r="BA309" i="7"/>
  <c r="BA56" i="7"/>
  <c r="BA77" i="7"/>
  <c r="BA99" i="7"/>
  <c r="BA124" i="7"/>
  <c r="BA146" i="7"/>
  <c r="BA167" i="7"/>
  <c r="BA192" i="7"/>
  <c r="BA214" i="7"/>
  <c r="BA235" i="7"/>
  <c r="BA261" i="7"/>
  <c r="BA282" i="7"/>
  <c r="BA302" i="7"/>
  <c r="BA57" i="7"/>
  <c r="BA78" i="7"/>
  <c r="BA103" i="7"/>
  <c r="BA125" i="7"/>
  <c r="BA147" i="7"/>
  <c r="BA171" i="7"/>
  <c r="BA194" i="7"/>
  <c r="BA215" i="7"/>
  <c r="BA239" i="7"/>
  <c r="BA262" i="7"/>
  <c r="BA283" i="7"/>
  <c r="BA303" i="7"/>
  <c r="BA58" i="7"/>
  <c r="BA79" i="7"/>
  <c r="BA105" i="7"/>
  <c r="BA126" i="7"/>
  <c r="BA148" i="7"/>
  <c r="BA173" i="7"/>
  <c r="BA195" i="7"/>
  <c r="BA216" i="7"/>
  <c r="BA242" i="7"/>
  <c r="BA263" i="7"/>
  <c r="BA284" i="7"/>
  <c r="BA307" i="7"/>
  <c r="BA59" i="7"/>
  <c r="BA80" i="7"/>
  <c r="BA106" i="7"/>
  <c r="BA127" i="7"/>
  <c r="BA149" i="7"/>
  <c r="BA174" i="7"/>
  <c r="BA196" i="7"/>
  <c r="BA217" i="7"/>
  <c r="BA243" i="7"/>
  <c r="BA264" i="7"/>
  <c r="BA285" i="7"/>
  <c r="BA308" i="7"/>
  <c r="BA60" i="7"/>
  <c r="BA82" i="7"/>
  <c r="BA107" i="7"/>
  <c r="BA128" i="7"/>
  <c r="BA150" i="7"/>
  <c r="BA175" i="7"/>
  <c r="BA197" i="7"/>
  <c r="BA218" i="7"/>
  <c r="BA244" i="7"/>
  <c r="BA265" i="7"/>
  <c r="BA286" i="7"/>
  <c r="BA310" i="7"/>
  <c r="BA40" i="7"/>
  <c r="BA61" i="7"/>
  <c r="BA86" i="7"/>
  <c r="BA108" i="7"/>
  <c r="BA130" i="7"/>
  <c r="BA154" i="7"/>
  <c r="BA176" i="7"/>
  <c r="BA198" i="7"/>
  <c r="BA222" i="7"/>
  <c r="BA245" i="7"/>
  <c r="BA266" i="7"/>
  <c r="BA290" i="7"/>
  <c r="BA311" i="7"/>
  <c r="BA42" i="7"/>
  <c r="BA63" i="7"/>
  <c r="BA89" i="7"/>
  <c r="BA110" i="7"/>
  <c r="BA132" i="7"/>
  <c r="BA157" i="7"/>
  <c r="BA179" i="7"/>
  <c r="BA200" i="7"/>
  <c r="BA226" i="7"/>
  <c r="BA247" i="7"/>
  <c r="BA268" i="7"/>
  <c r="BA293" i="7"/>
  <c r="BA313" i="7"/>
  <c r="BA62" i="7"/>
  <c r="BA96" i="7"/>
  <c r="BA141" i="7"/>
  <c r="BA182" i="7"/>
  <c r="BA227" i="7"/>
  <c r="BA260" i="7"/>
  <c r="BA299" i="7"/>
  <c r="BA64" i="7"/>
  <c r="BA98" i="7"/>
  <c r="BA142" i="7"/>
  <c r="BA183" i="7"/>
  <c r="BA228" i="7"/>
  <c r="BA267" i="7"/>
  <c r="BA300" i="7"/>
  <c r="BA69" i="7"/>
  <c r="BA109" i="7"/>
  <c r="BA143" i="7"/>
  <c r="BA184" i="7"/>
  <c r="BA229" i="7"/>
  <c r="BA269" i="7"/>
  <c r="BA301" i="7"/>
  <c r="BA71" i="7"/>
  <c r="BA111" i="7"/>
  <c r="BA144" i="7"/>
  <c r="BA188" i="7"/>
  <c r="BA230" i="7"/>
  <c r="BA274" i="7"/>
  <c r="BA312" i="7"/>
  <c r="BA72" i="7"/>
  <c r="BA112" i="7"/>
  <c r="BA156" i="7"/>
  <c r="BA190" i="7"/>
  <c r="BA231" i="7"/>
  <c r="BA276" i="7"/>
  <c r="BA314" i="7"/>
  <c r="BA73" i="7"/>
  <c r="BA114" i="7"/>
  <c r="BA158" i="7"/>
  <c r="BA191" i="7"/>
  <c r="BA232" i="7"/>
  <c r="BA277" i="7"/>
  <c r="BA315" i="7"/>
  <c r="BA74" i="7"/>
  <c r="BA115" i="7"/>
  <c r="BA159" i="7"/>
  <c r="BA199" i="7"/>
  <c r="BA233" i="7"/>
  <c r="BA278" i="7"/>
  <c r="BA316" i="7"/>
  <c r="BA46" i="7"/>
  <c r="BA91" i="7"/>
  <c r="BA131" i="7"/>
  <c r="BA165" i="7"/>
  <c r="BA210" i="7"/>
  <c r="BA250" i="7"/>
  <c r="BA294" i="7"/>
  <c r="BA324" i="7"/>
  <c r="BA55" i="7"/>
  <c r="BA95" i="7"/>
  <c r="BA140" i="7"/>
  <c r="BA181" i="7"/>
  <c r="BA224" i="7"/>
  <c r="BA259" i="7"/>
  <c r="BA298" i="7"/>
  <c r="BA54" i="7"/>
  <c r="BA162" i="7"/>
  <c r="BA249" i="7"/>
  <c r="BA75" i="7"/>
  <c r="BA163" i="7"/>
  <c r="BA251" i="7"/>
  <c r="BA291" i="7"/>
  <c r="BA116" i="7"/>
  <c r="BA208" i="7"/>
  <c r="BA122" i="7"/>
  <c r="BA76" i="7"/>
  <c r="BA164" i="7"/>
  <c r="BA252" i="7"/>
  <c r="BA41" i="7"/>
  <c r="BA88" i="7"/>
  <c r="BA166" i="7"/>
  <c r="BA256" i="7"/>
  <c r="BA207" i="7"/>
  <c r="BA296" i="7"/>
  <c r="BA297" i="7"/>
  <c r="BA90" i="7"/>
  <c r="BA178" i="7"/>
  <c r="BA279" i="7"/>
  <c r="BA205" i="7"/>
  <c r="BA295" i="7"/>
  <c r="BA120" i="7"/>
  <c r="BA211" i="7"/>
  <c r="BA92" i="7"/>
  <c r="BA180" i="7"/>
  <c r="BA280" i="7"/>
  <c r="BA93" i="7"/>
  <c r="BA201" i="7"/>
  <c r="BA281" i="7"/>
  <c r="BA43" i="7"/>
  <c r="BA123" i="7"/>
  <c r="BA212" i="7"/>
  <c r="BA317" i="7"/>
  <c r="BA44" i="7"/>
  <c r="BA133" i="7"/>
  <c r="BA213" i="7"/>
  <c r="BA318" i="7"/>
  <c r="BA45" i="7"/>
  <c r="BA137" i="7"/>
  <c r="BA234" i="7"/>
  <c r="BA319" i="7"/>
  <c r="BA52" i="7"/>
  <c r="BA160" i="7"/>
  <c r="BA248" i="7"/>
  <c r="BA94" i="7"/>
  <c r="BA246" i="7"/>
  <c r="BA47" i="7"/>
  <c r="BA139" i="7"/>
  <c r="BA320" i="7"/>
  <c r="AW41" i="7"/>
  <c r="AW57" i="7"/>
  <c r="AW73" i="7"/>
  <c r="AW89" i="7"/>
  <c r="AW105" i="7"/>
  <c r="AW121" i="7"/>
  <c r="AW137" i="7"/>
  <c r="AW153" i="7"/>
  <c r="AW169" i="7"/>
  <c r="AW185" i="7"/>
  <c r="AW201" i="7"/>
  <c r="AW49" i="7"/>
  <c r="AW66" i="7"/>
  <c r="AW83" i="7"/>
  <c r="AW100" i="7"/>
  <c r="AW117" i="7"/>
  <c r="AW134" i="7"/>
  <c r="AW151" i="7"/>
  <c r="AW168" i="7"/>
  <c r="AW186" i="7"/>
  <c r="AW203" i="7"/>
  <c r="AW219" i="7"/>
  <c r="AW235" i="7"/>
  <c r="AW251" i="7"/>
  <c r="AW267" i="7"/>
  <c r="AW283" i="7"/>
  <c r="AW299" i="7"/>
  <c r="AW315" i="7"/>
  <c r="AW53" i="7"/>
  <c r="AW70" i="7"/>
  <c r="AW87" i="7"/>
  <c r="AW104" i="7"/>
  <c r="AW122" i="7"/>
  <c r="AW139" i="7"/>
  <c r="AW156" i="7"/>
  <c r="AW173" i="7"/>
  <c r="AW190" i="7"/>
  <c r="AW207" i="7"/>
  <c r="AW223" i="7"/>
  <c r="AW239" i="7"/>
  <c r="AW255" i="7"/>
  <c r="AW271" i="7"/>
  <c r="AW287" i="7"/>
  <c r="AW54" i="7"/>
  <c r="AW71" i="7"/>
  <c r="AW88" i="7"/>
  <c r="AW106" i="7"/>
  <c r="AW123" i="7"/>
  <c r="AW140" i="7"/>
  <c r="AW60" i="7"/>
  <c r="AW80" i="7"/>
  <c r="AW101" i="7"/>
  <c r="AW124" i="7"/>
  <c r="AW144" i="7"/>
  <c r="AW163" i="7"/>
  <c r="AW182" i="7"/>
  <c r="AW202" i="7"/>
  <c r="AW221" i="7"/>
  <c r="AW240" i="7"/>
  <c r="AW258" i="7"/>
  <c r="AW276" i="7"/>
  <c r="AW294" i="7"/>
  <c r="AW311" i="7"/>
  <c r="AW40" i="7"/>
  <c r="AW61" i="7"/>
  <c r="AW81" i="7"/>
  <c r="AW102" i="7"/>
  <c r="AW125" i="7"/>
  <c r="AW145" i="7"/>
  <c r="AW164" i="7"/>
  <c r="AW183" i="7"/>
  <c r="AW204" i="7"/>
  <c r="AW222" i="7"/>
  <c r="AW241" i="7"/>
  <c r="AW259" i="7"/>
  <c r="AW277" i="7"/>
  <c r="AW295" i="7"/>
  <c r="AW312" i="7"/>
  <c r="AW42" i="7"/>
  <c r="AW62" i="7"/>
  <c r="AW82" i="7"/>
  <c r="AW103" i="7"/>
  <c r="AW126" i="7"/>
  <c r="AW146" i="7"/>
  <c r="AW165" i="7"/>
  <c r="AW184" i="7"/>
  <c r="AW205" i="7"/>
  <c r="AW224" i="7"/>
  <c r="AW242" i="7"/>
  <c r="AW260" i="7"/>
  <c r="AW278" i="7"/>
  <c r="AW296" i="7"/>
  <c r="AW313" i="7"/>
  <c r="AW44" i="7"/>
  <c r="AW64" i="7"/>
  <c r="AW85" i="7"/>
  <c r="AW108" i="7"/>
  <c r="AW128" i="7"/>
  <c r="AW148" i="7"/>
  <c r="AW167" i="7"/>
  <c r="AW188" i="7"/>
  <c r="AW208" i="7"/>
  <c r="AW226" i="7"/>
  <c r="AW244" i="7"/>
  <c r="AW262" i="7"/>
  <c r="AW280" i="7"/>
  <c r="AW298" i="7"/>
  <c r="AW316" i="7"/>
  <c r="AW59" i="7"/>
  <c r="AW79" i="7"/>
  <c r="AW99" i="7"/>
  <c r="AW120" i="7"/>
  <c r="AW143" i="7"/>
  <c r="AW162" i="7"/>
  <c r="AW181" i="7"/>
  <c r="AW200" i="7"/>
  <c r="AW220" i="7"/>
  <c r="AW238" i="7"/>
  <c r="AW257" i="7"/>
  <c r="AW275" i="7"/>
  <c r="AW293" i="7"/>
  <c r="AW310" i="7"/>
  <c r="AW45" i="7"/>
  <c r="AW74" i="7"/>
  <c r="AW107" i="7"/>
  <c r="AW133" i="7"/>
  <c r="AW161" i="7"/>
  <c r="AW193" i="7"/>
  <c r="AW217" i="7"/>
  <c r="AW247" i="7"/>
  <c r="AW272" i="7"/>
  <c r="AW301" i="7"/>
  <c r="AW323" i="7"/>
  <c r="AW46" i="7"/>
  <c r="AW75" i="7"/>
  <c r="AW109" i="7"/>
  <c r="AW135" i="7"/>
  <c r="AW166" i="7"/>
  <c r="AW194" i="7"/>
  <c r="AW218" i="7"/>
  <c r="AW248" i="7"/>
  <c r="AW273" i="7"/>
  <c r="AW302" i="7"/>
  <c r="AW324" i="7"/>
  <c r="AW47" i="7"/>
  <c r="AW76" i="7"/>
  <c r="AW110" i="7"/>
  <c r="AW136" i="7"/>
  <c r="AW170" i="7"/>
  <c r="AW195" i="7"/>
  <c r="AW225" i="7"/>
  <c r="AW249" i="7"/>
  <c r="AW274" i="7"/>
  <c r="AW303" i="7"/>
  <c r="AW48" i="7"/>
  <c r="AW77" i="7"/>
  <c r="AW111" i="7"/>
  <c r="AW138" i="7"/>
  <c r="AW171" i="7"/>
  <c r="AW196" i="7"/>
  <c r="AW227" i="7"/>
  <c r="AW250" i="7"/>
  <c r="AW279" i="7"/>
  <c r="AW304" i="7"/>
  <c r="AW50" i="7"/>
  <c r="AW78" i="7"/>
  <c r="AW112" i="7"/>
  <c r="AW141" i="7"/>
  <c r="AW172" i="7"/>
  <c r="AW197" i="7"/>
  <c r="AW228" i="7"/>
  <c r="AW252" i="7"/>
  <c r="AW281" i="7"/>
  <c r="AW305" i="7"/>
  <c r="AW51" i="7"/>
  <c r="AW84" i="7"/>
  <c r="AW113" i="7"/>
  <c r="AW142" i="7"/>
  <c r="AW174" i="7"/>
  <c r="AW198" i="7"/>
  <c r="AW229" i="7"/>
  <c r="AW253" i="7"/>
  <c r="AW282" i="7"/>
  <c r="AW306" i="7"/>
  <c r="AW55" i="7"/>
  <c r="AW90" i="7"/>
  <c r="AW115" i="7"/>
  <c r="AW149" i="7"/>
  <c r="AW176" i="7"/>
  <c r="AW206" i="7"/>
  <c r="AW231" i="7"/>
  <c r="AW256" i="7"/>
  <c r="AW285" i="7"/>
  <c r="AW308" i="7"/>
  <c r="AW43" i="7"/>
  <c r="AW96" i="7"/>
  <c r="AW155" i="7"/>
  <c r="AW210" i="7"/>
  <c r="AW254" i="7"/>
  <c r="AW297" i="7"/>
  <c r="AW52" i="7"/>
  <c r="AW97" i="7"/>
  <c r="AW157" i="7"/>
  <c r="AW211" i="7"/>
  <c r="AW261" i="7"/>
  <c r="AW300" i="7"/>
  <c r="AW56" i="7"/>
  <c r="AW98" i="7"/>
  <c r="AW158" i="7"/>
  <c r="AW212" i="7"/>
  <c r="AW263" i="7"/>
  <c r="AW307" i="7"/>
  <c r="AW58" i="7"/>
  <c r="AW114" i="7"/>
  <c r="AW159" i="7"/>
  <c r="AW213" i="7"/>
  <c r="AW264" i="7"/>
  <c r="AW309" i="7"/>
  <c r="AW63" i="7"/>
  <c r="AW116" i="7"/>
  <c r="AW160" i="7"/>
  <c r="AW214" i="7"/>
  <c r="AW265" i="7"/>
  <c r="AW314" i="7"/>
  <c r="AW65" i="7"/>
  <c r="AW118" i="7"/>
  <c r="AW175" i="7"/>
  <c r="AW215" i="7"/>
  <c r="AW266" i="7"/>
  <c r="AW317" i="7"/>
  <c r="AW67" i="7"/>
  <c r="AW119" i="7"/>
  <c r="AW177" i="7"/>
  <c r="AW216" i="7"/>
  <c r="AW268" i="7"/>
  <c r="AW318" i="7"/>
  <c r="AW91" i="7"/>
  <c r="AW132" i="7"/>
  <c r="AW189" i="7"/>
  <c r="AW236" i="7"/>
  <c r="AW288" i="7"/>
  <c r="AW95" i="7"/>
  <c r="AW154" i="7"/>
  <c r="AW209" i="7"/>
  <c r="AW246" i="7"/>
  <c r="AW292" i="7"/>
  <c r="AW131" i="7"/>
  <c r="AW243" i="7"/>
  <c r="AW192" i="7"/>
  <c r="AW320" i="7"/>
  <c r="AW147" i="7"/>
  <c r="AW245" i="7"/>
  <c r="AW290" i="7"/>
  <c r="AW191" i="7"/>
  <c r="AW150" i="7"/>
  <c r="AW269" i="7"/>
  <c r="AW69" i="7"/>
  <c r="AW291" i="7"/>
  <c r="AW199" i="7"/>
  <c r="AW152" i="7"/>
  <c r="AW270" i="7"/>
  <c r="AW72" i="7"/>
  <c r="AW178" i="7"/>
  <c r="AW284" i="7"/>
  <c r="AW187" i="7"/>
  <c r="AW86" i="7"/>
  <c r="AW179" i="7"/>
  <c r="AW286" i="7"/>
  <c r="AW68" i="7"/>
  <c r="AW180" i="7"/>
  <c r="AW289" i="7"/>
  <c r="AW92" i="7"/>
  <c r="AW93" i="7"/>
  <c r="AW230" i="7"/>
  <c r="AW321" i="7"/>
  <c r="AW94" i="7"/>
  <c r="AW232" i="7"/>
  <c r="AW322" i="7"/>
  <c r="AW127" i="7"/>
  <c r="AW233" i="7"/>
  <c r="AW130" i="7"/>
  <c r="AW237" i="7"/>
  <c r="AW319" i="7"/>
  <c r="AW234" i="7"/>
  <c r="AW129" i="7"/>
  <c r="AU54" i="7"/>
  <c r="AU70" i="7"/>
  <c r="AU86" i="7"/>
  <c r="AU102" i="7"/>
  <c r="AU118" i="7"/>
  <c r="AU134" i="7"/>
  <c r="AU150" i="7"/>
  <c r="AU166" i="7"/>
  <c r="AU182" i="7"/>
  <c r="AU198" i="7"/>
  <c r="AU214" i="7"/>
  <c r="AU230" i="7"/>
  <c r="AU246" i="7"/>
  <c r="AU262" i="7"/>
  <c r="AU278" i="7"/>
  <c r="AU294" i="7"/>
  <c r="AU310" i="7"/>
  <c r="AU55" i="7"/>
  <c r="AU41" i="7"/>
  <c r="AU57" i="7"/>
  <c r="AU73" i="7"/>
  <c r="AU89" i="7"/>
  <c r="AU105" i="7"/>
  <c r="AU121" i="7"/>
  <c r="AU137" i="7"/>
  <c r="AU153" i="7"/>
  <c r="AU169" i="7"/>
  <c r="AU185" i="7"/>
  <c r="AU50" i="7"/>
  <c r="AU69" i="7"/>
  <c r="AU88" i="7"/>
  <c r="AU107" i="7"/>
  <c r="AU125" i="7"/>
  <c r="AU143" i="7"/>
  <c r="AU161" i="7"/>
  <c r="AU179" i="7"/>
  <c r="AU197" i="7"/>
  <c r="AU215" i="7"/>
  <c r="AU232" i="7"/>
  <c r="AU249" i="7"/>
  <c r="AU266" i="7"/>
  <c r="AU283" i="7"/>
  <c r="AU300" i="7"/>
  <c r="AU317" i="7"/>
  <c r="AU52" i="7"/>
  <c r="AU72" i="7"/>
  <c r="AU91" i="7"/>
  <c r="AU109" i="7"/>
  <c r="AU127" i="7"/>
  <c r="AU145" i="7"/>
  <c r="AU163" i="7"/>
  <c r="AU181" i="7"/>
  <c r="AU200" i="7"/>
  <c r="AU217" i="7"/>
  <c r="AU234" i="7"/>
  <c r="AU251" i="7"/>
  <c r="AU268" i="7"/>
  <c r="AU53" i="7"/>
  <c r="AU74" i="7"/>
  <c r="AU92" i="7"/>
  <c r="AU110" i="7"/>
  <c r="AU128" i="7"/>
  <c r="AU146" i="7"/>
  <c r="AU164" i="7"/>
  <c r="AU183" i="7"/>
  <c r="AU201" i="7"/>
  <c r="AU218" i="7"/>
  <c r="AU235" i="7"/>
  <c r="AU252" i="7"/>
  <c r="AU269" i="7"/>
  <c r="AU286" i="7"/>
  <c r="AU303" i="7"/>
  <c r="AU320" i="7"/>
  <c r="AU56" i="7"/>
  <c r="AU75" i="7"/>
  <c r="AU93" i="7"/>
  <c r="AU111" i="7"/>
  <c r="AU129" i="7"/>
  <c r="AU147" i="7"/>
  <c r="AU165" i="7"/>
  <c r="AU184" i="7"/>
  <c r="AU202" i="7"/>
  <c r="AU219" i="7"/>
  <c r="AU236" i="7"/>
  <c r="AU253" i="7"/>
  <c r="AU270" i="7"/>
  <c r="AU287" i="7"/>
  <c r="AU304" i="7"/>
  <c r="AU321" i="7"/>
  <c r="AU58" i="7"/>
  <c r="AU76" i="7"/>
  <c r="AU94" i="7"/>
  <c r="AU112" i="7"/>
  <c r="AU130" i="7"/>
  <c r="AU148" i="7"/>
  <c r="AU167" i="7"/>
  <c r="AU186" i="7"/>
  <c r="AU203" i="7"/>
  <c r="AU220" i="7"/>
  <c r="AU237" i="7"/>
  <c r="AU254" i="7"/>
  <c r="AU271" i="7"/>
  <c r="AU288" i="7"/>
  <c r="AU305" i="7"/>
  <c r="AU322" i="7"/>
  <c r="AU44" i="7"/>
  <c r="AU68" i="7"/>
  <c r="AU98" i="7"/>
  <c r="AU123" i="7"/>
  <c r="AU152" i="7"/>
  <c r="AU176" i="7"/>
  <c r="AU205" i="7"/>
  <c r="AU227" i="7"/>
  <c r="AU255" i="7"/>
  <c r="AU277" i="7"/>
  <c r="AU299" i="7"/>
  <c r="AU324" i="7"/>
  <c r="AU45" i="7"/>
  <c r="AU71" i="7"/>
  <c r="AU99" i="7"/>
  <c r="AU124" i="7"/>
  <c r="AU154" i="7"/>
  <c r="AU177" i="7"/>
  <c r="AU206" i="7"/>
  <c r="AU228" i="7"/>
  <c r="AU256" i="7"/>
  <c r="AU279" i="7"/>
  <c r="AU301" i="7"/>
  <c r="AU46" i="7"/>
  <c r="AU77" i="7"/>
  <c r="AU100" i="7"/>
  <c r="AU126" i="7"/>
  <c r="AU155" i="7"/>
  <c r="AU178" i="7"/>
  <c r="AU207" i="7"/>
  <c r="AU229" i="7"/>
  <c r="AU257" i="7"/>
  <c r="AU280" i="7"/>
  <c r="AU302" i="7"/>
  <c r="AU47" i="7"/>
  <c r="AU78" i="7"/>
  <c r="AU101" i="7"/>
  <c r="AU131" i="7"/>
  <c r="AU156" i="7"/>
  <c r="AU180" i="7"/>
  <c r="AU48" i="7"/>
  <c r="AU79" i="7"/>
  <c r="AU103" i="7"/>
  <c r="AU132" i="7"/>
  <c r="AU157" i="7"/>
  <c r="AU187" i="7"/>
  <c r="AU209" i="7"/>
  <c r="AU233" i="7"/>
  <c r="AU259" i="7"/>
  <c r="AU282" i="7"/>
  <c r="AU307" i="7"/>
  <c r="AU59" i="7"/>
  <c r="AU82" i="7"/>
  <c r="AU108" i="7"/>
  <c r="AU136" i="7"/>
  <c r="AU160" i="7"/>
  <c r="AU190" i="7"/>
  <c r="AU212" i="7"/>
  <c r="AU240" i="7"/>
  <c r="AU263" i="7"/>
  <c r="AU43" i="7"/>
  <c r="AU67" i="7"/>
  <c r="AU97" i="7"/>
  <c r="AU122" i="7"/>
  <c r="AU151" i="7"/>
  <c r="AU175" i="7"/>
  <c r="AU204" i="7"/>
  <c r="AU226" i="7"/>
  <c r="AU250" i="7"/>
  <c r="AU276" i="7"/>
  <c r="AU298" i="7"/>
  <c r="AU323" i="7"/>
  <c r="AU83" i="7"/>
  <c r="AU133" i="7"/>
  <c r="AU173" i="7"/>
  <c r="AU221" i="7"/>
  <c r="AU260" i="7"/>
  <c r="AU293" i="7"/>
  <c r="AU84" i="7"/>
  <c r="AU135" i="7"/>
  <c r="AU174" i="7"/>
  <c r="AU222" i="7"/>
  <c r="AU261" i="7"/>
  <c r="AU295" i="7"/>
  <c r="AU85" i="7"/>
  <c r="AU138" i="7"/>
  <c r="AU188" i="7"/>
  <c r="AU223" i="7"/>
  <c r="AU264" i="7"/>
  <c r="AU296" i="7"/>
  <c r="AU40" i="7"/>
  <c r="AU87" i="7"/>
  <c r="AU139" i="7"/>
  <c r="AU189" i="7"/>
  <c r="AU224" i="7"/>
  <c r="AU265" i="7"/>
  <c r="AU297" i="7"/>
  <c r="AU42" i="7"/>
  <c r="AU90" i="7"/>
  <c r="AU140" i="7"/>
  <c r="AU191" i="7"/>
  <c r="AU225" i="7"/>
  <c r="AU267" i="7"/>
  <c r="AU306" i="7"/>
  <c r="AU49" i="7"/>
  <c r="AU95" i="7"/>
  <c r="AU141" i="7"/>
  <c r="AU192" i="7"/>
  <c r="AU231" i="7"/>
  <c r="AU272" i="7"/>
  <c r="AU308" i="7"/>
  <c r="AU51" i="7"/>
  <c r="AU60" i="7"/>
  <c r="AU104" i="7"/>
  <c r="AU144" i="7"/>
  <c r="AU194" i="7"/>
  <c r="AU239" i="7"/>
  <c r="AU274" i="7"/>
  <c r="AU311" i="7"/>
  <c r="AU116" i="7"/>
  <c r="AU199" i="7"/>
  <c r="AU275" i="7"/>
  <c r="AU117" i="7"/>
  <c r="AU208" i="7"/>
  <c r="AU281" i="7"/>
  <c r="AU119" i="7"/>
  <c r="AU210" i="7"/>
  <c r="AU284" i="7"/>
  <c r="AU61" i="7"/>
  <c r="AU120" i="7"/>
  <c r="AU211" i="7"/>
  <c r="AU285" i="7"/>
  <c r="AU62" i="7"/>
  <c r="AU142" i="7"/>
  <c r="AU213" i="7"/>
  <c r="AU289" i="7"/>
  <c r="AU63" i="7"/>
  <c r="AU149" i="7"/>
  <c r="AU216" i="7"/>
  <c r="AU290" i="7"/>
  <c r="AU64" i="7"/>
  <c r="AU158" i="7"/>
  <c r="AU238" i="7"/>
  <c r="AU291" i="7"/>
  <c r="AU96" i="7"/>
  <c r="AU171" i="7"/>
  <c r="AU245" i="7"/>
  <c r="AU314" i="7"/>
  <c r="AU115" i="7"/>
  <c r="AU196" i="7"/>
  <c r="AU273" i="7"/>
  <c r="AU319" i="7"/>
  <c r="AU114" i="7"/>
  <c r="AU309" i="7"/>
  <c r="AU195" i="7"/>
  <c r="AU159" i="7"/>
  <c r="AU312" i="7"/>
  <c r="AU242" i="7"/>
  <c r="AU65" i="7"/>
  <c r="AU162" i="7"/>
  <c r="AU313" i="7"/>
  <c r="AU168" i="7"/>
  <c r="AU315" i="7"/>
  <c r="AU170" i="7"/>
  <c r="AU316" i="7"/>
  <c r="AU241" i="7"/>
  <c r="AU172" i="7"/>
  <c r="AU318" i="7"/>
  <c r="AU243" i="7"/>
  <c r="AU193" i="7"/>
  <c r="AU66" i="7"/>
  <c r="AU244" i="7"/>
  <c r="AU80" i="7"/>
  <c r="AU247" i="7"/>
  <c r="AU81" i="7"/>
  <c r="AU248" i="7"/>
  <c r="AU113" i="7"/>
  <c r="AU292" i="7"/>
  <c r="AU106" i="7"/>
  <c r="AU258" i="7"/>
  <c r="AS52" i="7"/>
  <c r="AS68" i="7"/>
  <c r="AS84" i="7"/>
  <c r="AS100" i="7"/>
  <c r="AS116" i="7"/>
  <c r="AS132" i="7"/>
  <c r="AS148" i="7"/>
  <c r="AS164" i="7"/>
  <c r="AS180" i="7"/>
  <c r="AS196" i="7"/>
  <c r="AS212" i="7"/>
  <c r="AS228" i="7"/>
  <c r="AS244" i="7"/>
  <c r="AS53" i="7"/>
  <c r="AS69" i="7"/>
  <c r="AS85" i="7"/>
  <c r="AS101" i="7"/>
  <c r="AS117" i="7"/>
  <c r="AS133" i="7"/>
  <c r="AS149" i="7"/>
  <c r="AS165" i="7"/>
  <c r="AS181" i="7"/>
  <c r="AS197" i="7"/>
  <c r="AS213" i="7"/>
  <c r="AS229" i="7"/>
  <c r="AS245" i="7"/>
  <c r="AS41" i="7"/>
  <c r="AS59" i="7"/>
  <c r="AS77" i="7"/>
  <c r="AS95" i="7"/>
  <c r="AS113" i="7"/>
  <c r="AS131" i="7"/>
  <c r="AS151" i="7"/>
  <c r="AS169" i="7"/>
  <c r="AS187" i="7"/>
  <c r="AS205" i="7"/>
  <c r="AS223" i="7"/>
  <c r="AS241" i="7"/>
  <c r="AS259" i="7"/>
  <c r="AS275" i="7"/>
  <c r="AS291" i="7"/>
  <c r="AS307" i="7"/>
  <c r="AS323" i="7"/>
  <c r="AS42" i="7"/>
  <c r="AS60" i="7"/>
  <c r="AS78" i="7"/>
  <c r="AS96" i="7"/>
  <c r="AS114" i="7"/>
  <c r="AS134" i="7"/>
  <c r="AS152" i="7"/>
  <c r="AS170" i="7"/>
  <c r="AS188" i="7"/>
  <c r="AS206" i="7"/>
  <c r="AS224" i="7"/>
  <c r="AS242" i="7"/>
  <c r="AS260" i="7"/>
  <c r="AS276" i="7"/>
  <c r="AS292" i="7"/>
  <c r="AS308" i="7"/>
  <c r="AS324" i="7"/>
  <c r="AS43" i="7"/>
  <c r="AS61" i="7"/>
  <c r="AS79" i="7"/>
  <c r="AS44" i="7"/>
  <c r="AS62" i="7"/>
  <c r="AS80" i="7"/>
  <c r="AS98" i="7"/>
  <c r="AS118" i="7"/>
  <c r="AS136" i="7"/>
  <c r="AS154" i="7"/>
  <c r="AS172" i="7"/>
  <c r="AS190" i="7"/>
  <c r="AS208" i="7"/>
  <c r="AS226" i="7"/>
  <c r="AS246" i="7"/>
  <c r="AS262" i="7"/>
  <c r="AS278" i="7"/>
  <c r="AS294" i="7"/>
  <c r="AS310" i="7"/>
  <c r="AS51" i="7"/>
  <c r="AS75" i="7"/>
  <c r="AS102" i="7"/>
  <c r="AS123" i="7"/>
  <c r="AS144" i="7"/>
  <c r="AS167" i="7"/>
  <c r="AS191" i="7"/>
  <c r="AS214" i="7"/>
  <c r="AS235" i="7"/>
  <c r="AS256" i="7"/>
  <c r="AS277" i="7"/>
  <c r="AS297" i="7"/>
  <c r="AS316" i="7"/>
  <c r="AS54" i="7"/>
  <c r="AS76" i="7"/>
  <c r="AS103" i="7"/>
  <c r="AS124" i="7"/>
  <c r="AS145" i="7"/>
  <c r="AS168" i="7"/>
  <c r="AS192" i="7"/>
  <c r="AS215" i="7"/>
  <c r="AS236" i="7"/>
  <c r="AS55" i="7"/>
  <c r="AS81" i="7"/>
  <c r="AS104" i="7"/>
  <c r="AS125" i="7"/>
  <c r="AS146" i="7"/>
  <c r="AS171" i="7"/>
  <c r="AS193" i="7"/>
  <c r="AS216" i="7"/>
  <c r="AS237" i="7"/>
  <c r="AS258" i="7"/>
  <c r="AS280" i="7"/>
  <c r="AS299" i="7"/>
  <c r="AS318" i="7"/>
  <c r="AS56" i="7"/>
  <c r="AS82" i="7"/>
  <c r="AS105" i="7"/>
  <c r="AS126" i="7"/>
  <c r="AS147" i="7"/>
  <c r="AS173" i="7"/>
  <c r="AS194" i="7"/>
  <c r="AS217" i="7"/>
  <c r="AS238" i="7"/>
  <c r="AS261" i="7"/>
  <c r="AS281" i="7"/>
  <c r="AS300" i="7"/>
  <c r="AS319" i="7"/>
  <c r="AS57" i="7"/>
  <c r="AS83" i="7"/>
  <c r="AS106" i="7"/>
  <c r="AS127" i="7"/>
  <c r="AS150" i="7"/>
  <c r="AS174" i="7"/>
  <c r="AS195" i="7"/>
  <c r="AS218" i="7"/>
  <c r="AS239" i="7"/>
  <c r="AS263" i="7"/>
  <c r="AS282" i="7"/>
  <c r="AS301" i="7"/>
  <c r="AS320" i="7"/>
  <c r="AS58" i="7"/>
  <c r="AS86" i="7"/>
  <c r="AS107" i="7"/>
  <c r="AS128" i="7"/>
  <c r="AS153" i="7"/>
  <c r="AS175" i="7"/>
  <c r="AS198" i="7"/>
  <c r="AS219" i="7"/>
  <c r="AS240" i="7"/>
  <c r="AS264" i="7"/>
  <c r="AS283" i="7"/>
  <c r="AS302" i="7"/>
  <c r="AS321" i="7"/>
  <c r="AS63" i="7"/>
  <c r="AS87" i="7"/>
  <c r="AS108" i="7"/>
  <c r="AS129" i="7"/>
  <c r="AS155" i="7"/>
  <c r="AS176" i="7"/>
  <c r="AS199" i="7"/>
  <c r="AS220" i="7"/>
  <c r="AS243" i="7"/>
  <c r="AS265" i="7"/>
  <c r="AS284" i="7"/>
  <c r="AS303" i="7"/>
  <c r="AS70" i="7"/>
  <c r="AS111" i="7"/>
  <c r="AS156" i="7"/>
  <c r="AS186" i="7"/>
  <c r="AS231" i="7"/>
  <c r="AS268" i="7"/>
  <c r="AS296" i="7"/>
  <c r="AS71" i="7"/>
  <c r="AS112" i="7"/>
  <c r="AS157" i="7"/>
  <c r="AS189" i="7"/>
  <c r="AS232" i="7"/>
  <c r="AS269" i="7"/>
  <c r="AS298" i="7"/>
  <c r="AS72" i="7"/>
  <c r="AS115" i="7"/>
  <c r="AS158" i="7"/>
  <c r="AS200" i="7"/>
  <c r="AS233" i="7"/>
  <c r="AS270" i="7"/>
  <c r="AS304" i="7"/>
  <c r="AS73" i="7"/>
  <c r="AS119" i="7"/>
  <c r="AS159" i="7"/>
  <c r="AS201" i="7"/>
  <c r="AS234" i="7"/>
  <c r="AS271" i="7"/>
  <c r="AS305" i="7"/>
  <c r="AS74" i="7"/>
  <c r="AS120" i="7"/>
  <c r="AS160" i="7"/>
  <c r="AS202" i="7"/>
  <c r="AS247" i="7"/>
  <c r="AS272" i="7"/>
  <c r="AS306" i="7"/>
  <c r="AS46" i="7"/>
  <c r="AS90" i="7"/>
  <c r="AS130" i="7"/>
  <c r="AS163" i="7"/>
  <c r="AS207" i="7"/>
  <c r="AS250" i="7"/>
  <c r="AS279" i="7"/>
  <c r="AS312" i="7"/>
  <c r="AS50" i="7"/>
  <c r="AS94" i="7"/>
  <c r="AS139" i="7"/>
  <c r="AS67" i="7"/>
  <c r="AS110" i="7"/>
  <c r="AS143" i="7"/>
  <c r="AS185" i="7"/>
  <c r="AS230" i="7"/>
  <c r="AS267" i="7"/>
  <c r="AS295" i="7"/>
  <c r="AS40" i="7"/>
  <c r="AS121" i="7"/>
  <c r="AS184" i="7"/>
  <c r="AS255" i="7"/>
  <c r="AS315" i="7"/>
  <c r="AS45" i="7"/>
  <c r="AS122" i="7"/>
  <c r="AS203" i="7"/>
  <c r="AS257" i="7"/>
  <c r="AS317" i="7"/>
  <c r="AS47" i="7"/>
  <c r="AS135" i="7"/>
  <c r="AS204" i="7"/>
  <c r="AS266" i="7"/>
  <c r="AS322" i="7"/>
  <c r="AS48" i="7"/>
  <c r="AS137" i="7"/>
  <c r="AS209" i="7"/>
  <c r="AS273" i="7"/>
  <c r="AS49" i="7"/>
  <c r="AS138" i="7"/>
  <c r="AS210" i="7"/>
  <c r="AS274" i="7"/>
  <c r="AS64" i="7"/>
  <c r="AS140" i="7"/>
  <c r="AS211" i="7"/>
  <c r="AS285" i="7"/>
  <c r="AS65" i="7"/>
  <c r="AS141" i="7"/>
  <c r="AS221" i="7"/>
  <c r="AS286" i="7"/>
  <c r="AS66" i="7"/>
  <c r="AS142" i="7"/>
  <c r="AS222" i="7"/>
  <c r="AS287" i="7"/>
  <c r="AS179" i="7"/>
  <c r="AS311" i="7"/>
  <c r="AS182" i="7"/>
  <c r="AS313" i="7"/>
  <c r="AS183" i="7"/>
  <c r="AS314" i="7"/>
  <c r="AS88" i="7"/>
  <c r="AS225" i="7"/>
  <c r="AS89" i="7"/>
  <c r="AS227" i="7"/>
  <c r="AS91" i="7"/>
  <c r="AS248" i="7"/>
  <c r="AS92" i="7"/>
  <c r="AS249" i="7"/>
  <c r="AS161" i="7"/>
  <c r="AS288" i="7"/>
  <c r="AS178" i="7"/>
  <c r="AS309" i="7"/>
  <c r="AS162" i="7"/>
  <c r="AS166" i="7"/>
  <c r="AS289" i="7"/>
  <c r="AS177" i="7"/>
  <c r="AS251" i="7"/>
  <c r="AS293" i="7"/>
  <c r="AS252" i="7"/>
  <c r="AS253" i="7"/>
  <c r="AS290" i="7"/>
  <c r="AS254" i="7"/>
  <c r="AS93" i="7"/>
  <c r="AS97" i="7"/>
  <c r="AS109" i="7"/>
  <c r="AS99" i="7"/>
  <c r="AO46" i="7"/>
  <c r="AO62" i="7"/>
  <c r="AO78" i="7"/>
  <c r="AO94" i="7"/>
  <c r="AO110" i="7"/>
  <c r="AO126" i="7"/>
  <c r="AO142" i="7"/>
  <c r="AO158" i="7"/>
  <c r="AO174" i="7"/>
  <c r="AO190" i="7"/>
  <c r="AO206" i="7"/>
  <c r="AO222" i="7"/>
  <c r="AO238" i="7"/>
  <c r="AO254" i="7"/>
  <c r="AO270" i="7"/>
  <c r="AO286" i="7"/>
  <c r="AO302" i="7"/>
  <c r="AO318" i="7"/>
  <c r="AO47" i="7"/>
  <c r="AO63" i="7"/>
  <c r="AO79" i="7"/>
  <c r="AO95" i="7"/>
  <c r="AO111" i="7"/>
  <c r="AO127" i="7"/>
  <c r="AO143" i="7"/>
  <c r="AO159" i="7"/>
  <c r="AO175" i="7"/>
  <c r="AO191" i="7"/>
  <c r="AO207" i="7"/>
  <c r="AO223" i="7"/>
  <c r="AO239" i="7"/>
  <c r="AO255" i="7"/>
  <c r="AO271" i="7"/>
  <c r="AO287" i="7"/>
  <c r="AO303" i="7"/>
  <c r="AO319" i="7"/>
  <c r="AO48" i="7"/>
  <c r="AO64" i="7"/>
  <c r="AO80" i="7"/>
  <c r="AO96" i="7"/>
  <c r="AO112" i="7"/>
  <c r="AO128" i="7"/>
  <c r="AO144" i="7"/>
  <c r="AO160" i="7"/>
  <c r="AO176" i="7"/>
  <c r="AO192" i="7"/>
  <c r="AO208" i="7"/>
  <c r="AO224" i="7"/>
  <c r="AO240" i="7"/>
  <c r="AO256" i="7"/>
  <c r="AO45" i="7"/>
  <c r="AO67" i="7"/>
  <c r="AO86" i="7"/>
  <c r="AO105" i="7"/>
  <c r="AO124" i="7"/>
  <c r="AO146" i="7"/>
  <c r="AO165" i="7"/>
  <c r="AO184" i="7"/>
  <c r="AO203" i="7"/>
  <c r="AO225" i="7"/>
  <c r="AO244" i="7"/>
  <c r="AO263" i="7"/>
  <c r="AO281" i="7"/>
  <c r="AO299" i="7"/>
  <c r="AO317" i="7"/>
  <c r="AO49" i="7"/>
  <c r="AO68" i="7"/>
  <c r="AO87" i="7"/>
  <c r="AO106" i="7"/>
  <c r="AO125" i="7"/>
  <c r="AO147" i="7"/>
  <c r="AO166" i="7"/>
  <c r="AO185" i="7"/>
  <c r="AO204" i="7"/>
  <c r="AO226" i="7"/>
  <c r="AO245" i="7"/>
  <c r="AO264" i="7"/>
  <c r="AO282" i="7"/>
  <c r="AO300" i="7"/>
  <c r="AO320" i="7"/>
  <c r="AO50" i="7"/>
  <c r="AO69" i="7"/>
  <c r="AO88" i="7"/>
  <c r="AO107" i="7"/>
  <c r="AO129" i="7"/>
  <c r="AO148" i="7"/>
  <c r="AO167" i="7"/>
  <c r="AO186" i="7"/>
  <c r="AO205" i="7"/>
  <c r="AO227" i="7"/>
  <c r="AO246" i="7"/>
  <c r="AO265" i="7"/>
  <c r="AO283" i="7"/>
  <c r="AO301" i="7"/>
  <c r="AO321" i="7"/>
  <c r="AO51" i="7"/>
  <c r="AO70" i="7"/>
  <c r="AO89" i="7"/>
  <c r="AO108" i="7"/>
  <c r="AO130" i="7"/>
  <c r="AO149" i="7"/>
  <c r="AO168" i="7"/>
  <c r="AO187" i="7"/>
  <c r="AO209" i="7"/>
  <c r="AO228" i="7"/>
  <c r="AO247" i="7"/>
  <c r="AO266" i="7"/>
  <c r="AO284" i="7"/>
  <c r="AO304" i="7"/>
  <c r="AO322" i="7"/>
  <c r="AO53" i="7"/>
  <c r="AO72" i="7"/>
  <c r="AO91" i="7"/>
  <c r="AO113" i="7"/>
  <c r="AO132" i="7"/>
  <c r="AO151" i="7"/>
  <c r="AO170" i="7"/>
  <c r="AO189" i="7"/>
  <c r="AO59" i="7"/>
  <c r="AO90" i="7"/>
  <c r="AO118" i="7"/>
  <c r="AO145" i="7"/>
  <c r="AO177" i="7"/>
  <c r="AO201" i="7"/>
  <c r="AO231" i="7"/>
  <c r="AO257" i="7"/>
  <c r="AO279" i="7"/>
  <c r="AO307" i="7"/>
  <c r="AO60" i="7"/>
  <c r="AO92" i="7"/>
  <c r="AO119" i="7"/>
  <c r="AO150" i="7"/>
  <c r="AO178" i="7"/>
  <c r="AO202" i="7"/>
  <c r="AO232" i="7"/>
  <c r="AO258" i="7"/>
  <c r="AO280" i="7"/>
  <c r="AO308" i="7"/>
  <c r="AO61" i="7"/>
  <c r="AO93" i="7"/>
  <c r="AO120" i="7"/>
  <c r="AO152" i="7"/>
  <c r="AO179" i="7"/>
  <c r="AO210" i="7"/>
  <c r="AO233" i="7"/>
  <c r="AO259" i="7"/>
  <c r="AO285" i="7"/>
  <c r="AO309" i="7"/>
  <c r="AO65" i="7"/>
  <c r="AO97" i="7"/>
  <c r="AO121" i="7"/>
  <c r="AO153" i="7"/>
  <c r="AO180" i="7"/>
  <c r="AO211" i="7"/>
  <c r="AO234" i="7"/>
  <c r="AO260" i="7"/>
  <c r="AO288" i="7"/>
  <c r="AO310" i="7"/>
  <c r="AO66" i="7"/>
  <c r="AO98" i="7"/>
  <c r="AO122" i="7"/>
  <c r="AO154" i="7"/>
  <c r="AO181" i="7"/>
  <c r="AO212" i="7"/>
  <c r="AO235" i="7"/>
  <c r="AO261" i="7"/>
  <c r="AO289" i="7"/>
  <c r="AO311" i="7"/>
  <c r="AO40" i="7"/>
  <c r="AO71" i="7"/>
  <c r="AO99" i="7"/>
  <c r="AO123" i="7"/>
  <c r="AO155" i="7"/>
  <c r="AO182" i="7"/>
  <c r="AO213" i="7"/>
  <c r="AO236" i="7"/>
  <c r="AO262" i="7"/>
  <c r="AO290" i="7"/>
  <c r="AO312" i="7"/>
  <c r="AO41" i="7"/>
  <c r="AO73" i="7"/>
  <c r="AO100" i="7"/>
  <c r="AO131" i="7"/>
  <c r="AO156" i="7"/>
  <c r="AO183" i="7"/>
  <c r="AO214" i="7"/>
  <c r="AO237" i="7"/>
  <c r="AO267" i="7"/>
  <c r="AO291" i="7"/>
  <c r="AO313" i="7"/>
  <c r="AO58" i="7"/>
  <c r="AO85" i="7"/>
  <c r="AO117" i="7"/>
  <c r="AO141" i="7"/>
  <c r="AO173" i="7"/>
  <c r="AO200" i="7"/>
  <c r="AO230" i="7"/>
  <c r="AO253" i="7"/>
  <c r="AO278" i="7"/>
  <c r="AO306" i="7"/>
  <c r="AO57" i="7"/>
  <c r="AO116" i="7"/>
  <c r="AO172" i="7"/>
  <c r="AO229" i="7"/>
  <c r="AO277" i="7"/>
  <c r="AO74" i="7"/>
  <c r="AO133" i="7"/>
  <c r="AO188" i="7"/>
  <c r="AO241" i="7"/>
  <c r="AO292" i="7"/>
  <c r="AO75" i="7"/>
  <c r="AO134" i="7"/>
  <c r="AO193" i="7"/>
  <c r="AO242" i="7"/>
  <c r="AO293" i="7"/>
  <c r="AO76" i="7"/>
  <c r="AO135" i="7"/>
  <c r="AO194" i="7"/>
  <c r="AO243" i="7"/>
  <c r="AO294" i="7"/>
  <c r="AO77" i="7"/>
  <c r="AO136" i="7"/>
  <c r="AO195" i="7"/>
  <c r="AO248" i="7"/>
  <c r="AO295" i="7"/>
  <c r="AO83" i="7"/>
  <c r="AO139" i="7"/>
  <c r="AO198" i="7"/>
  <c r="AO251" i="7"/>
  <c r="AO298" i="7"/>
  <c r="AO44" i="7"/>
  <c r="AO103" i="7"/>
  <c r="AO162" i="7"/>
  <c r="AO217" i="7"/>
  <c r="AO272" i="7"/>
  <c r="AO316" i="7"/>
  <c r="AO56" i="7"/>
  <c r="AO115" i="7"/>
  <c r="AO171" i="7"/>
  <c r="AO221" i="7"/>
  <c r="AO276" i="7"/>
  <c r="AO137" i="7"/>
  <c r="AO249" i="7"/>
  <c r="AO138" i="7"/>
  <c r="AO250" i="7"/>
  <c r="AO140" i="7"/>
  <c r="AO252" i="7"/>
  <c r="AO42" i="7"/>
  <c r="AO157" i="7"/>
  <c r="AO268" i="7"/>
  <c r="AO43" i="7"/>
  <c r="AO161" i="7"/>
  <c r="AO269" i="7"/>
  <c r="AO52" i="7"/>
  <c r="AO163" i="7"/>
  <c r="AO273" i="7"/>
  <c r="AO54" i="7"/>
  <c r="AO164" i="7"/>
  <c r="AO274" i="7"/>
  <c r="AO55" i="7"/>
  <c r="AO169" i="7"/>
  <c r="AO275" i="7"/>
  <c r="AO101" i="7"/>
  <c r="AO215" i="7"/>
  <c r="AO314" i="7"/>
  <c r="AO196" i="7"/>
  <c r="AO197" i="7"/>
  <c r="AO199" i="7"/>
  <c r="AO216" i="7"/>
  <c r="AO218" i="7"/>
  <c r="AO219" i="7"/>
  <c r="AO220" i="7"/>
  <c r="AO84" i="7"/>
  <c r="AO323" i="7"/>
  <c r="AO114" i="7"/>
  <c r="AO305" i="7"/>
  <c r="AO315" i="7"/>
  <c r="AO324" i="7"/>
  <c r="AO81" i="7"/>
  <c r="AO102" i="7"/>
  <c r="AO104" i="7"/>
  <c r="AO109" i="7"/>
  <c r="AO297" i="7"/>
  <c r="AO82" i="7"/>
  <c r="AO296" i="7"/>
  <c r="AM43" i="7"/>
  <c r="AM59" i="7"/>
  <c r="AM75" i="7"/>
  <c r="AM91" i="7"/>
  <c r="AM107" i="7"/>
  <c r="AM123" i="7"/>
  <c r="AM139" i="7"/>
  <c r="AM155" i="7"/>
  <c r="AM171" i="7"/>
  <c r="AM187" i="7"/>
  <c r="AM203" i="7"/>
  <c r="AM219" i="7"/>
  <c r="AM235" i="7"/>
  <c r="AM251" i="7"/>
  <c r="AM267" i="7"/>
  <c r="AM283" i="7"/>
  <c r="AM299" i="7"/>
  <c r="AM315" i="7"/>
  <c r="AM44" i="7"/>
  <c r="AM60" i="7"/>
  <c r="AM76" i="7"/>
  <c r="AM92" i="7"/>
  <c r="AM108" i="7"/>
  <c r="AM124" i="7"/>
  <c r="AM140" i="7"/>
  <c r="AM156" i="7"/>
  <c r="AM172" i="7"/>
  <c r="AM188" i="7"/>
  <c r="AM204" i="7"/>
  <c r="AM220" i="7"/>
  <c r="AM236" i="7"/>
  <c r="AM252" i="7"/>
  <c r="AM268" i="7"/>
  <c r="AM284" i="7"/>
  <c r="AM300" i="7"/>
  <c r="AM316" i="7"/>
  <c r="AM45" i="7"/>
  <c r="AM61" i="7"/>
  <c r="AM77" i="7"/>
  <c r="AM93" i="7"/>
  <c r="AM109" i="7"/>
  <c r="AM125" i="7"/>
  <c r="AM141" i="7"/>
  <c r="AM157" i="7"/>
  <c r="AM173" i="7"/>
  <c r="AM189" i="7"/>
  <c r="AM205" i="7"/>
  <c r="AM221" i="7"/>
  <c r="AM237" i="7"/>
  <c r="AM253" i="7"/>
  <c r="AM269" i="7"/>
  <c r="AM285" i="7"/>
  <c r="AM301" i="7"/>
  <c r="AM317" i="7"/>
  <c r="AM55" i="7"/>
  <c r="AM74" i="7"/>
  <c r="AM96" i="7"/>
  <c r="AM115" i="7"/>
  <c r="AM134" i="7"/>
  <c r="AM153" i="7"/>
  <c r="AM175" i="7"/>
  <c r="AM194" i="7"/>
  <c r="AM213" i="7"/>
  <c r="AM232" i="7"/>
  <c r="AM254" i="7"/>
  <c r="AM273" i="7"/>
  <c r="AM292" i="7"/>
  <c r="AM311" i="7"/>
  <c r="AM56" i="7"/>
  <c r="AM78" i="7"/>
  <c r="AM97" i="7"/>
  <c r="AM116" i="7"/>
  <c r="AM135" i="7"/>
  <c r="AM154" i="7"/>
  <c r="AM176" i="7"/>
  <c r="AM195" i="7"/>
  <c r="AM214" i="7"/>
  <c r="AM233" i="7"/>
  <c r="AM255" i="7"/>
  <c r="AM274" i="7"/>
  <c r="AM293" i="7"/>
  <c r="AM312" i="7"/>
  <c r="AM57" i="7"/>
  <c r="AM79" i="7"/>
  <c r="AM98" i="7"/>
  <c r="AM117" i="7"/>
  <c r="AM136" i="7"/>
  <c r="AM158" i="7"/>
  <c r="AM177" i="7"/>
  <c r="AM196" i="7"/>
  <c r="AM215" i="7"/>
  <c r="AM234" i="7"/>
  <c r="AM256" i="7"/>
  <c r="AM275" i="7"/>
  <c r="AM294" i="7"/>
  <c r="AM313" i="7"/>
  <c r="AM58" i="7"/>
  <c r="AM80" i="7"/>
  <c r="AM99" i="7"/>
  <c r="AM118" i="7"/>
  <c r="AM137" i="7"/>
  <c r="AM159" i="7"/>
  <c r="AM178" i="7"/>
  <c r="AM197" i="7"/>
  <c r="AM216" i="7"/>
  <c r="AM238" i="7"/>
  <c r="AM257" i="7"/>
  <c r="AM276" i="7"/>
  <c r="AM295" i="7"/>
  <c r="AM314" i="7"/>
  <c r="AM41" i="7"/>
  <c r="AM63" i="7"/>
  <c r="AM82" i="7"/>
  <c r="AM101" i="7"/>
  <c r="AM120" i="7"/>
  <c r="AM142" i="7"/>
  <c r="AM161" i="7"/>
  <c r="AM180" i="7"/>
  <c r="AM199" i="7"/>
  <c r="AM218" i="7"/>
  <c r="AM240" i="7"/>
  <c r="AM259" i="7"/>
  <c r="AM278" i="7"/>
  <c r="AM297" i="7"/>
  <c r="AM319" i="7"/>
  <c r="AM50" i="7"/>
  <c r="AM69" i="7"/>
  <c r="AM54" i="7"/>
  <c r="AM87" i="7"/>
  <c r="AM114" i="7"/>
  <c r="AM146" i="7"/>
  <c r="AM170" i="7"/>
  <c r="AM202" i="7"/>
  <c r="AM229" i="7"/>
  <c r="AM261" i="7"/>
  <c r="AM288" i="7"/>
  <c r="AM320" i="7"/>
  <c r="AM62" i="7"/>
  <c r="AM88" i="7"/>
  <c r="AM119" i="7"/>
  <c r="AM147" i="7"/>
  <c r="AM174" i="7"/>
  <c r="AM206" i="7"/>
  <c r="AM230" i="7"/>
  <c r="AM262" i="7"/>
  <c r="AM289" i="7"/>
  <c r="AM321" i="7"/>
  <c r="AM64" i="7"/>
  <c r="AM89" i="7"/>
  <c r="AM121" i="7"/>
  <c r="AM148" i="7"/>
  <c r="AM179" i="7"/>
  <c r="AM207" i="7"/>
  <c r="AM231" i="7"/>
  <c r="AM263" i="7"/>
  <c r="AM290" i="7"/>
  <c r="AM322" i="7"/>
  <c r="AM65" i="7"/>
  <c r="AM90" i="7"/>
  <c r="AM122" i="7"/>
  <c r="AM149" i="7"/>
  <c r="AM181" i="7"/>
  <c r="AM208" i="7"/>
  <c r="AM239" i="7"/>
  <c r="AM264" i="7"/>
  <c r="AM291" i="7"/>
  <c r="AM323" i="7"/>
  <c r="AM66" i="7"/>
  <c r="AM94" i="7"/>
  <c r="AM126" i="7"/>
  <c r="AM150" i="7"/>
  <c r="AM182" i="7"/>
  <c r="AM209" i="7"/>
  <c r="AM241" i="7"/>
  <c r="AM265" i="7"/>
  <c r="AM296" i="7"/>
  <c r="AM324" i="7"/>
  <c r="AM67" i="7"/>
  <c r="AM95" i="7"/>
  <c r="AM127" i="7"/>
  <c r="AM151" i="7"/>
  <c r="AM183" i="7"/>
  <c r="AM210" i="7"/>
  <c r="AM242" i="7"/>
  <c r="AM266" i="7"/>
  <c r="AM298" i="7"/>
  <c r="AM68" i="7"/>
  <c r="AM100" i="7"/>
  <c r="AM128" i="7"/>
  <c r="AM152" i="7"/>
  <c r="AM184" i="7"/>
  <c r="AM211" i="7"/>
  <c r="AM243" i="7"/>
  <c r="AM270" i="7"/>
  <c r="AM302" i="7"/>
  <c r="AM53" i="7"/>
  <c r="AM86" i="7"/>
  <c r="AM113" i="7"/>
  <c r="AM145" i="7"/>
  <c r="AM169" i="7"/>
  <c r="AM201" i="7"/>
  <c r="AM228" i="7"/>
  <c r="AM260" i="7"/>
  <c r="AM287" i="7"/>
  <c r="AM318" i="7"/>
  <c r="AM52" i="7"/>
  <c r="AM112" i="7"/>
  <c r="AM168" i="7"/>
  <c r="AM227" i="7"/>
  <c r="AM286" i="7"/>
  <c r="AM70" i="7"/>
  <c r="AM129" i="7"/>
  <c r="AM185" i="7"/>
  <c r="AM244" i="7"/>
  <c r="AM303" i="7"/>
  <c r="AM71" i="7"/>
  <c r="AM130" i="7"/>
  <c r="AM186" i="7"/>
  <c r="AM245" i="7"/>
  <c r="AM304" i="7"/>
  <c r="AM72" i="7"/>
  <c r="AM131" i="7"/>
  <c r="AM190" i="7"/>
  <c r="AM246" i="7"/>
  <c r="AM305" i="7"/>
  <c r="AM73" i="7"/>
  <c r="AM132" i="7"/>
  <c r="AM191" i="7"/>
  <c r="AM247" i="7"/>
  <c r="AM306" i="7"/>
  <c r="AM84" i="7"/>
  <c r="AM143" i="7"/>
  <c r="AM198" i="7"/>
  <c r="AM250" i="7"/>
  <c r="AM309" i="7"/>
  <c r="AM46" i="7"/>
  <c r="AM104" i="7"/>
  <c r="AM163" i="7"/>
  <c r="AM222" i="7"/>
  <c r="AM277" i="7"/>
  <c r="AM51" i="7"/>
  <c r="AM111" i="7"/>
  <c r="AM167" i="7"/>
  <c r="AM226" i="7"/>
  <c r="AM282" i="7"/>
  <c r="AM81" i="7"/>
  <c r="AM192" i="7"/>
  <c r="AM307" i="7"/>
  <c r="AM83" i="7"/>
  <c r="AM193" i="7"/>
  <c r="AM308" i="7"/>
  <c r="AM85" i="7"/>
  <c r="AM200" i="7"/>
  <c r="AM310" i="7"/>
  <c r="AM102" i="7"/>
  <c r="AM212" i="7"/>
  <c r="AM103" i="7"/>
  <c r="AM217" i="7"/>
  <c r="AM105" i="7"/>
  <c r="AM223" i="7"/>
  <c r="AM106" i="7"/>
  <c r="AM224" i="7"/>
  <c r="AM110" i="7"/>
  <c r="AM225" i="7"/>
  <c r="AM40" i="7"/>
  <c r="AM160" i="7"/>
  <c r="AM271" i="7"/>
  <c r="AM49" i="7"/>
  <c r="AM166" i="7"/>
  <c r="AM164" i="7"/>
  <c r="AM165" i="7"/>
  <c r="AM248" i="7"/>
  <c r="AM249" i="7"/>
  <c r="AM258" i="7"/>
  <c r="AM272" i="7"/>
  <c r="AM279" i="7"/>
  <c r="AM48" i="7"/>
  <c r="AM162" i="7"/>
  <c r="AM281" i="7"/>
  <c r="AM42" i="7"/>
  <c r="AM47" i="7"/>
  <c r="AM280" i="7"/>
  <c r="AM133" i="7"/>
  <c r="AM138" i="7"/>
  <c r="AM144" i="7"/>
  <c r="AK40" i="7"/>
  <c r="AK56" i="7"/>
  <c r="AK72" i="7"/>
  <c r="AK88" i="7"/>
  <c r="AK104" i="7"/>
  <c r="AK120" i="7"/>
  <c r="AK136" i="7"/>
  <c r="AK152" i="7"/>
  <c r="AK168" i="7"/>
  <c r="AK184" i="7"/>
  <c r="AK200" i="7"/>
  <c r="AK216" i="7"/>
  <c r="AK232" i="7"/>
  <c r="AK248" i="7"/>
  <c r="AK264" i="7"/>
  <c r="AK280" i="7"/>
  <c r="AK296" i="7"/>
  <c r="AK312" i="7"/>
  <c r="AK41" i="7"/>
  <c r="AK57" i="7"/>
  <c r="AK73" i="7"/>
  <c r="AK89" i="7"/>
  <c r="AK105" i="7"/>
  <c r="AK121" i="7"/>
  <c r="AK137" i="7"/>
  <c r="AK153" i="7"/>
  <c r="AK169" i="7"/>
  <c r="AK185" i="7"/>
  <c r="AK201" i="7"/>
  <c r="AK217" i="7"/>
  <c r="AK233" i="7"/>
  <c r="AK249" i="7"/>
  <c r="AK265" i="7"/>
  <c r="AK281" i="7"/>
  <c r="AK297" i="7"/>
  <c r="AK313" i="7"/>
  <c r="AK42" i="7"/>
  <c r="AK58" i="7"/>
  <c r="AK74" i="7"/>
  <c r="AK90" i="7"/>
  <c r="AK106" i="7"/>
  <c r="AK122" i="7"/>
  <c r="AK138" i="7"/>
  <c r="AK154" i="7"/>
  <c r="AK170" i="7"/>
  <c r="AK186" i="7"/>
  <c r="AK202" i="7"/>
  <c r="AK218" i="7"/>
  <c r="AK234" i="7"/>
  <c r="AK250" i="7"/>
  <c r="AK266" i="7"/>
  <c r="AK282" i="7"/>
  <c r="AK298" i="7"/>
  <c r="AK314" i="7"/>
  <c r="AK43" i="7"/>
  <c r="AK44" i="7"/>
  <c r="AK45" i="7"/>
  <c r="AK46" i="7"/>
  <c r="AK65" i="7"/>
  <c r="AK84" i="7"/>
  <c r="AK103" i="7"/>
  <c r="AK125" i="7"/>
  <c r="AK144" i="7"/>
  <c r="AK163" i="7"/>
  <c r="AK182" i="7"/>
  <c r="AK204" i="7"/>
  <c r="AK223" i="7"/>
  <c r="AK242" i="7"/>
  <c r="AK261" i="7"/>
  <c r="AK283" i="7"/>
  <c r="AK302" i="7"/>
  <c r="AK321" i="7"/>
  <c r="AK47" i="7"/>
  <c r="AK66" i="7"/>
  <c r="AK85" i="7"/>
  <c r="AK107" i="7"/>
  <c r="AK126" i="7"/>
  <c r="AK145" i="7"/>
  <c r="AK164" i="7"/>
  <c r="AK183" i="7"/>
  <c r="AK205" i="7"/>
  <c r="AK224" i="7"/>
  <c r="AK243" i="7"/>
  <c r="AK262" i="7"/>
  <c r="AK284" i="7"/>
  <c r="AK303" i="7"/>
  <c r="AK322" i="7"/>
  <c r="AK48" i="7"/>
  <c r="AK67" i="7"/>
  <c r="AK86" i="7"/>
  <c r="AK108" i="7"/>
  <c r="AK127" i="7"/>
  <c r="AK146" i="7"/>
  <c r="AK165" i="7"/>
  <c r="AK187" i="7"/>
  <c r="AK206" i="7"/>
  <c r="AK225" i="7"/>
  <c r="AK244" i="7"/>
  <c r="AK263" i="7"/>
  <c r="AK285" i="7"/>
  <c r="AK304" i="7"/>
  <c r="AK323" i="7"/>
  <c r="AK49" i="7"/>
  <c r="AK68" i="7"/>
  <c r="AK87" i="7"/>
  <c r="AK109" i="7"/>
  <c r="AK128" i="7"/>
  <c r="AK147" i="7"/>
  <c r="AK166" i="7"/>
  <c r="AK188" i="7"/>
  <c r="AK207" i="7"/>
  <c r="AK226" i="7"/>
  <c r="AK245" i="7"/>
  <c r="AK267" i="7"/>
  <c r="AK286" i="7"/>
  <c r="AK305" i="7"/>
  <c r="AK324" i="7"/>
  <c r="AK50" i="7"/>
  <c r="AK51" i="7"/>
  <c r="AK70" i="7"/>
  <c r="AK92" i="7"/>
  <c r="AK111" i="7"/>
  <c r="AK130" i="7"/>
  <c r="AK149" i="7"/>
  <c r="AK171" i="7"/>
  <c r="AK190" i="7"/>
  <c r="AK209" i="7"/>
  <c r="AK228" i="7"/>
  <c r="AK247" i="7"/>
  <c r="AK269" i="7"/>
  <c r="AK288" i="7"/>
  <c r="AK307" i="7"/>
  <c r="AK52" i="7"/>
  <c r="AK71" i="7"/>
  <c r="AK93" i="7"/>
  <c r="AK112" i="7"/>
  <c r="AK60" i="7"/>
  <c r="AK79" i="7"/>
  <c r="AK98" i="7"/>
  <c r="AK117" i="7"/>
  <c r="AK139" i="7"/>
  <c r="AK158" i="7"/>
  <c r="AK177" i="7"/>
  <c r="AK196" i="7"/>
  <c r="AK215" i="7"/>
  <c r="AK237" i="7"/>
  <c r="AK256" i="7"/>
  <c r="AK275" i="7"/>
  <c r="AK294" i="7"/>
  <c r="AK316" i="7"/>
  <c r="AK53" i="7"/>
  <c r="AK83" i="7"/>
  <c r="AK119" i="7"/>
  <c r="AK155" i="7"/>
  <c r="AK181" i="7"/>
  <c r="AK214" i="7"/>
  <c r="AK251" i="7"/>
  <c r="AK277" i="7"/>
  <c r="AK310" i="7"/>
  <c r="AK54" i="7"/>
  <c r="AK91" i="7"/>
  <c r="AK123" i="7"/>
  <c r="AK156" i="7"/>
  <c r="AK189" i="7"/>
  <c r="AK219" i="7"/>
  <c r="AK252" i="7"/>
  <c r="AK278" i="7"/>
  <c r="AK311" i="7"/>
  <c r="AK55" i="7"/>
  <c r="AK94" i="7"/>
  <c r="AK124" i="7"/>
  <c r="AK157" i="7"/>
  <c r="AK191" i="7"/>
  <c r="AK220" i="7"/>
  <c r="AK253" i="7"/>
  <c r="AK279" i="7"/>
  <c r="AK315" i="7"/>
  <c r="AK59" i="7"/>
  <c r="AK95" i="7"/>
  <c r="AK129" i="7"/>
  <c r="AK159" i="7"/>
  <c r="AK192" i="7"/>
  <c r="AK221" i="7"/>
  <c r="AK254" i="7"/>
  <c r="AK287" i="7"/>
  <c r="AK317" i="7"/>
  <c r="AK61" i="7"/>
  <c r="AK96" i="7"/>
  <c r="AK131" i="7"/>
  <c r="AK160" i="7"/>
  <c r="AK193" i="7"/>
  <c r="AK222" i="7"/>
  <c r="AK255" i="7"/>
  <c r="AK289" i="7"/>
  <c r="AK318" i="7"/>
  <c r="AK62" i="7"/>
  <c r="AK97" i="7"/>
  <c r="AK132" i="7"/>
  <c r="AK161" i="7"/>
  <c r="AK194" i="7"/>
  <c r="AK227" i="7"/>
  <c r="AK257" i="7"/>
  <c r="AK290" i="7"/>
  <c r="AK319" i="7"/>
  <c r="AK63" i="7"/>
  <c r="AK99" i="7"/>
  <c r="AK133" i="7"/>
  <c r="AK162" i="7"/>
  <c r="AK195" i="7"/>
  <c r="AK229" i="7"/>
  <c r="AK258" i="7"/>
  <c r="AK291" i="7"/>
  <c r="AK320" i="7"/>
  <c r="AK64" i="7"/>
  <c r="AK77" i="7"/>
  <c r="AK113" i="7"/>
  <c r="AK142" i="7"/>
  <c r="AK175" i="7"/>
  <c r="AK208" i="7"/>
  <c r="AK238" i="7"/>
  <c r="AK82" i="7"/>
  <c r="AK118" i="7"/>
  <c r="AK151" i="7"/>
  <c r="AK180" i="7"/>
  <c r="AK213" i="7"/>
  <c r="AK246" i="7"/>
  <c r="AK276" i="7"/>
  <c r="AK309" i="7"/>
  <c r="AK69" i="7"/>
  <c r="AK141" i="7"/>
  <c r="AK211" i="7"/>
  <c r="AK274" i="7"/>
  <c r="AK75" i="7"/>
  <c r="AK143" i="7"/>
  <c r="AK212" i="7"/>
  <c r="AK292" i="7"/>
  <c r="AK76" i="7"/>
  <c r="AK148" i="7"/>
  <c r="AK230" i="7"/>
  <c r="AK293" i="7"/>
  <c r="AK78" i="7"/>
  <c r="AK150" i="7"/>
  <c r="AK231" i="7"/>
  <c r="AK295" i="7"/>
  <c r="AK80" i="7"/>
  <c r="AK167" i="7"/>
  <c r="AK235" i="7"/>
  <c r="AK299" i="7"/>
  <c r="AK101" i="7"/>
  <c r="AK174" i="7"/>
  <c r="AK240" i="7"/>
  <c r="AK306" i="7"/>
  <c r="AK115" i="7"/>
  <c r="AK197" i="7"/>
  <c r="AK268" i="7"/>
  <c r="AK140" i="7"/>
  <c r="AK210" i="7"/>
  <c r="AK273" i="7"/>
  <c r="AK81" i="7"/>
  <c r="AK236" i="7"/>
  <c r="AK100" i="7"/>
  <c r="AK239" i="7"/>
  <c r="AK102" i="7"/>
  <c r="AK241" i="7"/>
  <c r="AK110" i="7"/>
  <c r="AK259" i="7"/>
  <c r="AK114" i="7"/>
  <c r="AK260" i="7"/>
  <c r="AK116" i="7"/>
  <c r="AK270" i="7"/>
  <c r="AK134" i="7"/>
  <c r="AK271" i="7"/>
  <c r="AK135" i="7"/>
  <c r="AK272" i="7"/>
  <c r="AK178" i="7"/>
  <c r="AK203" i="7"/>
  <c r="AK172" i="7"/>
  <c r="AK173" i="7"/>
  <c r="AK176" i="7"/>
  <c r="AK179" i="7"/>
  <c r="AK198" i="7"/>
  <c r="AK199" i="7"/>
  <c r="AK300" i="7"/>
  <c r="AK301" i="7"/>
  <c r="AK308" i="7"/>
  <c r="BK43" i="7"/>
  <c r="BK59" i="7"/>
  <c r="BK75" i="7"/>
  <c r="BK91" i="7"/>
  <c r="BK107" i="7"/>
  <c r="BK123" i="7"/>
  <c r="BK139" i="7"/>
  <c r="BK155" i="7"/>
  <c r="BK171" i="7"/>
  <c r="BK187" i="7"/>
  <c r="BK203" i="7"/>
  <c r="BK219" i="7"/>
  <c r="BK235" i="7"/>
  <c r="BK251" i="7"/>
  <c r="BK267" i="7"/>
  <c r="BK283" i="7"/>
  <c r="BK299" i="7"/>
  <c r="BK315" i="7"/>
  <c r="BK141" i="7"/>
  <c r="BK205" i="7"/>
  <c r="BK221" i="7"/>
  <c r="BK269" i="7"/>
  <c r="BK301" i="7"/>
  <c r="BK44" i="7"/>
  <c r="BK60" i="7"/>
  <c r="BK76" i="7"/>
  <c r="BK92" i="7"/>
  <c r="BK108" i="7"/>
  <c r="BK124" i="7"/>
  <c r="BK140" i="7"/>
  <c r="BK156" i="7"/>
  <c r="BK172" i="7"/>
  <c r="BK188" i="7"/>
  <c r="BK204" i="7"/>
  <c r="BK220" i="7"/>
  <c r="BK236" i="7"/>
  <c r="BK252" i="7"/>
  <c r="BK268" i="7"/>
  <c r="BK284" i="7"/>
  <c r="BK300" i="7"/>
  <c r="BK316" i="7"/>
  <c r="BK173" i="7"/>
  <c r="BK253" i="7"/>
  <c r="BK285" i="7"/>
  <c r="BK45" i="7"/>
  <c r="BK61" i="7"/>
  <c r="BK77" i="7"/>
  <c r="BK93" i="7"/>
  <c r="BK109" i="7"/>
  <c r="BK125" i="7"/>
  <c r="BK157" i="7"/>
  <c r="BK189" i="7"/>
  <c r="BK237" i="7"/>
  <c r="BK317" i="7"/>
  <c r="BK46" i="7"/>
  <c r="BK62" i="7"/>
  <c r="BK78" i="7"/>
  <c r="BK94" i="7"/>
  <c r="BK110" i="7"/>
  <c r="BK126" i="7"/>
  <c r="BK142" i="7"/>
  <c r="BK158" i="7"/>
  <c r="BK174" i="7"/>
  <c r="BK190" i="7"/>
  <c r="BK206" i="7"/>
  <c r="BK222" i="7"/>
  <c r="BK238" i="7"/>
  <c r="BK254" i="7"/>
  <c r="BK270" i="7"/>
  <c r="BK286" i="7"/>
  <c r="BK302" i="7"/>
  <c r="BK318" i="7"/>
  <c r="BK47" i="7"/>
  <c r="BK63" i="7"/>
  <c r="BK79" i="7"/>
  <c r="BK95" i="7"/>
  <c r="BK111" i="7"/>
  <c r="BK127" i="7"/>
  <c r="BK143" i="7"/>
  <c r="BK159" i="7"/>
  <c r="BK175" i="7"/>
  <c r="BK191" i="7"/>
  <c r="BK207" i="7"/>
  <c r="BK223" i="7"/>
  <c r="BK239" i="7"/>
  <c r="BK255" i="7"/>
  <c r="BK271" i="7"/>
  <c r="BK287" i="7"/>
  <c r="BK303" i="7"/>
  <c r="BK319" i="7"/>
  <c r="BK54" i="7"/>
  <c r="BK70" i="7"/>
  <c r="BK86" i="7"/>
  <c r="BK102" i="7"/>
  <c r="BK118" i="7"/>
  <c r="BK134" i="7"/>
  <c r="BK150" i="7"/>
  <c r="BK50" i="7"/>
  <c r="BK73" i="7"/>
  <c r="BK100" i="7"/>
  <c r="BK128" i="7"/>
  <c r="BK151" i="7"/>
  <c r="BK177" i="7"/>
  <c r="BK198" i="7"/>
  <c r="BK224" i="7"/>
  <c r="BK245" i="7"/>
  <c r="BK266" i="7"/>
  <c r="BK292" i="7"/>
  <c r="BK313" i="7"/>
  <c r="BK80" i="7"/>
  <c r="BK200" i="7"/>
  <c r="BK247" i="7"/>
  <c r="BK162" i="7"/>
  <c r="BK298" i="7"/>
  <c r="BK85" i="7"/>
  <c r="BK210" i="7"/>
  <c r="BK164" i="7"/>
  <c r="BK65" i="7"/>
  <c r="BK233" i="7"/>
  <c r="BK51" i="7"/>
  <c r="BK74" i="7"/>
  <c r="BK101" i="7"/>
  <c r="BK129" i="7"/>
  <c r="BK152" i="7"/>
  <c r="BK178" i="7"/>
  <c r="BK199" i="7"/>
  <c r="BK225" i="7"/>
  <c r="BK246" i="7"/>
  <c r="BK272" i="7"/>
  <c r="BK293" i="7"/>
  <c r="BK314" i="7"/>
  <c r="BK103" i="7"/>
  <c r="BK130" i="7"/>
  <c r="BK179" i="7"/>
  <c r="BK226" i="7"/>
  <c r="BK273" i="7"/>
  <c r="BK320" i="7"/>
  <c r="BK57" i="7"/>
  <c r="BK209" i="7"/>
  <c r="BK184" i="7"/>
  <c r="BK211" i="7"/>
  <c r="BK138" i="7"/>
  <c r="BK52" i="7"/>
  <c r="BK153" i="7"/>
  <c r="BK294" i="7"/>
  <c r="BK135" i="7"/>
  <c r="BK277" i="7"/>
  <c r="BK113" i="7"/>
  <c r="BK231" i="7"/>
  <c r="BK258" i="7"/>
  <c r="BK88" i="7"/>
  <c r="BK280" i="7"/>
  <c r="BK53" i="7"/>
  <c r="BK81" i="7"/>
  <c r="BK104" i="7"/>
  <c r="BK131" i="7"/>
  <c r="BK154" i="7"/>
  <c r="BK180" i="7"/>
  <c r="BK201" i="7"/>
  <c r="BK227" i="7"/>
  <c r="BK248" i="7"/>
  <c r="BK274" i="7"/>
  <c r="BK295" i="7"/>
  <c r="BK321" i="7"/>
  <c r="BK83" i="7"/>
  <c r="BK133" i="7"/>
  <c r="BK182" i="7"/>
  <c r="BK229" i="7"/>
  <c r="BK297" i="7"/>
  <c r="BK84" i="7"/>
  <c r="BK256" i="7"/>
  <c r="BK163" i="7"/>
  <c r="BK304" i="7"/>
  <c r="BK114" i="7"/>
  <c r="BK279" i="7"/>
  <c r="BK165" i="7"/>
  <c r="BK55" i="7"/>
  <c r="BK82" i="7"/>
  <c r="BK105" i="7"/>
  <c r="BK132" i="7"/>
  <c r="BK160" i="7"/>
  <c r="BK181" i="7"/>
  <c r="BK202" i="7"/>
  <c r="BK228" i="7"/>
  <c r="BK249" i="7"/>
  <c r="BK275" i="7"/>
  <c r="BK296" i="7"/>
  <c r="BK322" i="7"/>
  <c r="BK56" i="7"/>
  <c r="BK106" i="7"/>
  <c r="BK161" i="7"/>
  <c r="BK208" i="7"/>
  <c r="BK250" i="7"/>
  <c r="BK276" i="7"/>
  <c r="BK323" i="7"/>
  <c r="BK112" i="7"/>
  <c r="BK230" i="7"/>
  <c r="BK324" i="7"/>
  <c r="BK136" i="7"/>
  <c r="BK278" i="7"/>
  <c r="BK87" i="7"/>
  <c r="BK232" i="7"/>
  <c r="BK115" i="7"/>
  <c r="BK306" i="7"/>
  <c r="BK257" i="7"/>
  <c r="BK64" i="7"/>
  <c r="BK305" i="7"/>
  <c r="BK186" i="7"/>
  <c r="BK183" i="7"/>
  <c r="BK58" i="7"/>
  <c r="BK185" i="7"/>
  <c r="BK212" i="7"/>
  <c r="BK40" i="7"/>
  <c r="BK67" i="7"/>
  <c r="BK90" i="7"/>
  <c r="BK117" i="7"/>
  <c r="BK145" i="7"/>
  <c r="BK167" i="7"/>
  <c r="BK193" i="7"/>
  <c r="BK214" i="7"/>
  <c r="BK240" i="7"/>
  <c r="BK261" i="7"/>
  <c r="BK282" i="7"/>
  <c r="BK308" i="7"/>
  <c r="BK41" i="7"/>
  <c r="BK68" i="7"/>
  <c r="BK96" i="7"/>
  <c r="BK119" i="7"/>
  <c r="BK146" i="7"/>
  <c r="BK168" i="7"/>
  <c r="BK194" i="7"/>
  <c r="BK215" i="7"/>
  <c r="BK241" i="7"/>
  <c r="BK262" i="7"/>
  <c r="BK288" i="7"/>
  <c r="BK309" i="7"/>
  <c r="BK49" i="7"/>
  <c r="BK72" i="7"/>
  <c r="BK99" i="7"/>
  <c r="BK122" i="7"/>
  <c r="BK149" i="7"/>
  <c r="BK176" i="7"/>
  <c r="BK197" i="7"/>
  <c r="BK218" i="7"/>
  <c r="BK244" i="7"/>
  <c r="BK265" i="7"/>
  <c r="BK291" i="7"/>
  <c r="BK312" i="7"/>
  <c r="BK137" i="7"/>
  <c r="BK259" i="7"/>
  <c r="BK147" i="7"/>
  <c r="BK264" i="7"/>
  <c r="BK166" i="7"/>
  <c r="BK289" i="7"/>
  <c r="BK310" i="7"/>
  <c r="BK89" i="7"/>
  <c r="BK217" i="7"/>
  <c r="BK242" i="7"/>
  <c r="BK263" i="7"/>
  <c r="BK148" i="7"/>
  <c r="BK281" i="7"/>
  <c r="BK48" i="7"/>
  <c r="BK66" i="7"/>
  <c r="BK213" i="7"/>
  <c r="BK97" i="7"/>
  <c r="BK234" i="7"/>
  <c r="BK116" i="7"/>
  <c r="BK243" i="7"/>
  <c r="BK260" i="7"/>
  <c r="BK120" i="7"/>
  <c r="BK121" i="7"/>
  <c r="BK169" i="7"/>
  <c r="BK290" i="7"/>
  <c r="BK192" i="7"/>
  <c r="BK195" i="7"/>
  <c r="BK69" i="7"/>
  <c r="BK71" i="7"/>
  <c r="BK216" i="7"/>
  <c r="BK98" i="7"/>
  <c r="BK144" i="7"/>
  <c r="BK42" i="7"/>
  <c r="BK170" i="7"/>
  <c r="BK307" i="7"/>
  <c r="BK311" i="7"/>
  <c r="BK196" i="7"/>
  <c r="BI54" i="7"/>
  <c r="BI70" i="7"/>
  <c r="BI86" i="7"/>
  <c r="BI102" i="7"/>
  <c r="BI118" i="7"/>
  <c r="BI134" i="7"/>
  <c r="BI150" i="7"/>
  <c r="BI166" i="7"/>
  <c r="BI182" i="7"/>
  <c r="BI198" i="7"/>
  <c r="BI214" i="7"/>
  <c r="BI230" i="7"/>
  <c r="BI246" i="7"/>
  <c r="BI262" i="7"/>
  <c r="BI278" i="7"/>
  <c r="BI55" i="7"/>
  <c r="BI71" i="7"/>
  <c r="BI87" i="7"/>
  <c r="BI103" i="7"/>
  <c r="BI119" i="7"/>
  <c r="BI135" i="7"/>
  <c r="BI151" i="7"/>
  <c r="BI167" i="7"/>
  <c r="BI183" i="7"/>
  <c r="BI48" i="7"/>
  <c r="BI66" i="7"/>
  <c r="BI84" i="7"/>
  <c r="BI104" i="7"/>
  <c r="BI122" i="7"/>
  <c r="BI140" i="7"/>
  <c r="BI158" i="7"/>
  <c r="BI176" i="7"/>
  <c r="BI194" i="7"/>
  <c r="BI211" i="7"/>
  <c r="BI228" i="7"/>
  <c r="BI245" i="7"/>
  <c r="BI263" i="7"/>
  <c r="BI280" i="7"/>
  <c r="BI296" i="7"/>
  <c r="BI312" i="7"/>
  <c r="BI49" i="7"/>
  <c r="BI67" i="7"/>
  <c r="BI85" i="7"/>
  <c r="BI105" i="7"/>
  <c r="BI123" i="7"/>
  <c r="BI141" i="7"/>
  <c r="BI159" i="7"/>
  <c r="BI177" i="7"/>
  <c r="BI195" i="7"/>
  <c r="BI212" i="7"/>
  <c r="BI229" i="7"/>
  <c r="BI247" i="7"/>
  <c r="BI264" i="7"/>
  <c r="BI281" i="7"/>
  <c r="BI297" i="7"/>
  <c r="BI313" i="7"/>
  <c r="BI50" i="7"/>
  <c r="BI68" i="7"/>
  <c r="BI88" i="7"/>
  <c r="BI106" i="7"/>
  <c r="BI124" i="7"/>
  <c r="BI142" i="7"/>
  <c r="BI160" i="7"/>
  <c r="BI178" i="7"/>
  <c r="BI196" i="7"/>
  <c r="BI213" i="7"/>
  <c r="BI231" i="7"/>
  <c r="BI248" i="7"/>
  <c r="BI265" i="7"/>
  <c r="BI282" i="7"/>
  <c r="BI298" i="7"/>
  <c r="BI314" i="7"/>
  <c r="BI51" i="7"/>
  <c r="BI69" i="7"/>
  <c r="BI89" i="7"/>
  <c r="BI107" i="7"/>
  <c r="BI125" i="7"/>
  <c r="BI143" i="7"/>
  <c r="BI161" i="7"/>
  <c r="BI179" i="7"/>
  <c r="BI197" i="7"/>
  <c r="BI215" i="7"/>
  <c r="BI232" i="7"/>
  <c r="BI249" i="7"/>
  <c r="BI266" i="7"/>
  <c r="BI283" i="7"/>
  <c r="BI299" i="7"/>
  <c r="BI315" i="7"/>
  <c r="BI52" i="7"/>
  <c r="BI72" i="7"/>
  <c r="BI90" i="7"/>
  <c r="BI108" i="7"/>
  <c r="BI126" i="7"/>
  <c r="BI144" i="7"/>
  <c r="BI162" i="7"/>
  <c r="BI180" i="7"/>
  <c r="BI199" i="7"/>
  <c r="BI216" i="7"/>
  <c r="BI233" i="7"/>
  <c r="BI250" i="7"/>
  <c r="BI267" i="7"/>
  <c r="BI284" i="7"/>
  <c r="BI300" i="7"/>
  <c r="BI316" i="7"/>
  <c r="BI43" i="7"/>
  <c r="BI61" i="7"/>
  <c r="BI79" i="7"/>
  <c r="BI97" i="7"/>
  <c r="BI115" i="7"/>
  <c r="BI133" i="7"/>
  <c r="BI153" i="7"/>
  <c r="BI171" i="7"/>
  <c r="BI189" i="7"/>
  <c r="BI206" i="7"/>
  <c r="BI223" i="7"/>
  <c r="BI240" i="7"/>
  <c r="BI257" i="7"/>
  <c r="BI274" i="7"/>
  <c r="BI291" i="7"/>
  <c r="BI307" i="7"/>
  <c r="BI323" i="7"/>
  <c r="BI47" i="7"/>
  <c r="BI65" i="7"/>
  <c r="BI83" i="7"/>
  <c r="BI101" i="7"/>
  <c r="BI121" i="7"/>
  <c r="BI139" i="7"/>
  <c r="BI157" i="7"/>
  <c r="BI175" i="7"/>
  <c r="BI193" i="7"/>
  <c r="BI210" i="7"/>
  <c r="BI73" i="7"/>
  <c r="BI99" i="7"/>
  <c r="BI132" i="7"/>
  <c r="BI168" i="7"/>
  <c r="BI201" i="7"/>
  <c r="BI226" i="7"/>
  <c r="BI255" i="7"/>
  <c r="BI285" i="7"/>
  <c r="BI308" i="7"/>
  <c r="BI181" i="7"/>
  <c r="BI319" i="7"/>
  <c r="BI148" i="7"/>
  <c r="BI217" i="7"/>
  <c r="BI117" i="7"/>
  <c r="BI40" i="7"/>
  <c r="BI74" i="7"/>
  <c r="BI100" i="7"/>
  <c r="BI136" i="7"/>
  <c r="BI169" i="7"/>
  <c r="BI202" i="7"/>
  <c r="BI227" i="7"/>
  <c r="BI256" i="7"/>
  <c r="BI286" i="7"/>
  <c r="BI309" i="7"/>
  <c r="BI41" i="7"/>
  <c r="BI109" i="7"/>
  <c r="BI137" i="7"/>
  <c r="BI203" i="7"/>
  <c r="BI234" i="7"/>
  <c r="BI258" i="7"/>
  <c r="BI310" i="7"/>
  <c r="BI80" i="7"/>
  <c r="BI238" i="7"/>
  <c r="BI81" i="7"/>
  <c r="BI239" i="7"/>
  <c r="BI149" i="7"/>
  <c r="BI294" i="7"/>
  <c r="BI271" i="7"/>
  <c r="BI75" i="7"/>
  <c r="BI170" i="7"/>
  <c r="BI287" i="7"/>
  <c r="BI147" i="7"/>
  <c r="BI292" i="7"/>
  <c r="BI184" i="7"/>
  <c r="BI116" i="7"/>
  <c r="BI321" i="7"/>
  <c r="BI152" i="7"/>
  <c r="BI42" i="7"/>
  <c r="BI76" i="7"/>
  <c r="BI110" i="7"/>
  <c r="BI138" i="7"/>
  <c r="BI172" i="7"/>
  <c r="BI204" i="7"/>
  <c r="BI235" i="7"/>
  <c r="BI259" i="7"/>
  <c r="BI288" i="7"/>
  <c r="BI311" i="7"/>
  <c r="BI112" i="7"/>
  <c r="BI174" i="7"/>
  <c r="BI237" i="7"/>
  <c r="BI261" i="7"/>
  <c r="BI318" i="7"/>
  <c r="BI46" i="7"/>
  <c r="BI208" i="7"/>
  <c r="BI114" i="7"/>
  <c r="BI269" i="7"/>
  <c r="BI270" i="7"/>
  <c r="BI57" i="7"/>
  <c r="BI295" i="7"/>
  <c r="BI44" i="7"/>
  <c r="BI77" i="7"/>
  <c r="BI111" i="7"/>
  <c r="BI145" i="7"/>
  <c r="BI173" i="7"/>
  <c r="BI205" i="7"/>
  <c r="BI236" i="7"/>
  <c r="BI260" i="7"/>
  <c r="BI289" i="7"/>
  <c r="BI317" i="7"/>
  <c r="BI78" i="7"/>
  <c r="BI146" i="7"/>
  <c r="BI207" i="7"/>
  <c r="BI290" i="7"/>
  <c r="BI113" i="7"/>
  <c r="BI268" i="7"/>
  <c r="BI53" i="7"/>
  <c r="BI209" i="7"/>
  <c r="BI185" i="7"/>
  <c r="BI242" i="7"/>
  <c r="BI45" i="7"/>
  <c r="BI320" i="7"/>
  <c r="BI56" i="7"/>
  <c r="BI218" i="7"/>
  <c r="BI82" i="7"/>
  <c r="BI186" i="7"/>
  <c r="BI59" i="7"/>
  <c r="BI93" i="7"/>
  <c r="BI127" i="7"/>
  <c r="BI155" i="7"/>
  <c r="BI188" i="7"/>
  <c r="BI220" i="7"/>
  <c r="BI244" i="7"/>
  <c r="BI273" i="7"/>
  <c r="BI302" i="7"/>
  <c r="BI60" i="7"/>
  <c r="BI94" i="7"/>
  <c r="BI128" i="7"/>
  <c r="BI156" i="7"/>
  <c r="BI190" i="7"/>
  <c r="BI221" i="7"/>
  <c r="BI251" i="7"/>
  <c r="BI275" i="7"/>
  <c r="BI303" i="7"/>
  <c r="BI64" i="7"/>
  <c r="BI98" i="7"/>
  <c r="BI131" i="7"/>
  <c r="BI165" i="7"/>
  <c r="BI200" i="7"/>
  <c r="BI225" i="7"/>
  <c r="BI254" i="7"/>
  <c r="BI279" i="7"/>
  <c r="BI306" i="7"/>
  <c r="BI293" i="7"/>
  <c r="BI241" i="7"/>
  <c r="BI91" i="7"/>
  <c r="BI322" i="7"/>
  <c r="BI130" i="7"/>
  <c r="BI301" i="7"/>
  <c r="BI305" i="7"/>
  <c r="BI192" i="7"/>
  <c r="BI219" i="7"/>
  <c r="BI58" i="7"/>
  <c r="BI63" i="7"/>
  <c r="BI272" i="7"/>
  <c r="BI154" i="7"/>
  <c r="BI304" i="7"/>
  <c r="BI224" i="7"/>
  <c r="BI120" i="7"/>
  <c r="BI129" i="7"/>
  <c r="BI163" i="7"/>
  <c r="BI164" i="7"/>
  <c r="BI324" i="7"/>
  <c r="BI243" i="7"/>
  <c r="BI252" i="7"/>
  <c r="BI95" i="7"/>
  <c r="BI96" i="7"/>
  <c r="BI276" i="7"/>
  <c r="BI187" i="7"/>
  <c r="BI191" i="7"/>
  <c r="BI222" i="7"/>
  <c r="BI62" i="7"/>
  <c r="BI92" i="7"/>
  <c r="BI253" i="7"/>
  <c r="BI277" i="7"/>
  <c r="CF259" i="9"/>
  <c r="CF275" i="9"/>
  <c r="CF264" i="9"/>
  <c r="CF265" i="9"/>
  <c r="CF281" i="9"/>
  <c r="CF260" i="9"/>
  <c r="CF276" i="9"/>
  <c r="CF261" i="9"/>
  <c r="CF277" i="9"/>
  <c r="CF262" i="9"/>
  <c r="CF278" i="9"/>
  <c r="CF263" i="9"/>
  <c r="CF279" i="9"/>
  <c r="CF280" i="9"/>
  <c r="CF266" i="9"/>
  <c r="CF282" i="9"/>
  <c r="CF267" i="9"/>
  <c r="CF283" i="9"/>
  <c r="CF268" i="9"/>
  <c r="CF284" i="9"/>
  <c r="CF270" i="9"/>
  <c r="CF286" i="9"/>
  <c r="CF271" i="9"/>
  <c r="CF287" i="9"/>
  <c r="CF272" i="9"/>
  <c r="CF269" i="9"/>
  <c r="CF273" i="9"/>
  <c r="CF274" i="9"/>
  <c r="CF285" i="9"/>
  <c r="DD267" i="9"/>
  <c r="DD283" i="9"/>
  <c r="DD269" i="9"/>
  <c r="DD285" i="9"/>
  <c r="DD270" i="9"/>
  <c r="DD286" i="9"/>
  <c r="DD271" i="9"/>
  <c r="DD287" i="9"/>
  <c r="DD272" i="9"/>
  <c r="DD268" i="9"/>
  <c r="DD284" i="9"/>
  <c r="DD274" i="9"/>
  <c r="DD259" i="9"/>
  <c r="DD275" i="9"/>
  <c r="DD260" i="9"/>
  <c r="DD276" i="9"/>
  <c r="DD262" i="9"/>
  <c r="DD278" i="9"/>
  <c r="DD263" i="9"/>
  <c r="DD279" i="9"/>
  <c r="DD264" i="9"/>
  <c r="DD280" i="9"/>
  <c r="DD261" i="9"/>
  <c r="DD265" i="9"/>
  <c r="DD266" i="9"/>
  <c r="DD273" i="9"/>
  <c r="DD277" i="9"/>
  <c r="DD281" i="9"/>
  <c r="DD282" i="9"/>
  <c r="DD304" i="9"/>
  <c r="DD289" i="9"/>
  <c r="DD290" i="9"/>
  <c r="DD294" i="9"/>
  <c r="DD298" i="9"/>
  <c r="DD292" i="9"/>
  <c r="DD291" i="9"/>
  <c r="DD293" i="9"/>
  <c r="DD295" i="9"/>
  <c r="DD297" i="9"/>
  <c r="DD296" i="9"/>
  <c r="CF289" i="9"/>
  <c r="CF295" i="9"/>
  <c r="CF298" i="9"/>
  <c r="CF290" i="9"/>
  <c r="CF291" i="9"/>
  <c r="CF294" i="9"/>
  <c r="CF292" i="9"/>
  <c r="CF293" i="9"/>
  <c r="CF296" i="9"/>
  <c r="CF297" i="9"/>
  <c r="BI332" i="7"/>
  <c r="BI31" i="7"/>
  <c r="BI6" i="7"/>
  <c r="BI38" i="7"/>
  <c r="BI333" i="7"/>
  <c r="BI32" i="7"/>
  <c r="BI334" i="7"/>
  <c r="BI33" i="7"/>
  <c r="BI2" i="7"/>
  <c r="BI34" i="7"/>
  <c r="BI3" i="7"/>
  <c r="BI35" i="7"/>
  <c r="BI4" i="7"/>
  <c r="BI36" i="7"/>
  <c r="BI5" i="7"/>
  <c r="BI37" i="7"/>
  <c r="BI9" i="7"/>
  <c r="BI10" i="7"/>
  <c r="BI13" i="7"/>
  <c r="BI14" i="7"/>
  <c r="BI15" i="7"/>
  <c r="BI17" i="7"/>
  <c r="BI20" i="7"/>
  <c r="BI18" i="7"/>
  <c r="BI23" i="7"/>
  <c r="BI19" i="7"/>
  <c r="BI21" i="7"/>
  <c r="BI22" i="7"/>
  <c r="BI327" i="7"/>
  <c r="BI328" i="7"/>
  <c r="BI329" i="7"/>
  <c r="BI7" i="7"/>
  <c r="BI11" i="7"/>
  <c r="BI26" i="7"/>
  <c r="BI27" i="7"/>
  <c r="BI326" i="7"/>
  <c r="BI16" i="7"/>
  <c r="BI25" i="7"/>
  <c r="BI8" i="7"/>
  <c r="BI12" i="7"/>
  <c r="BI330" i="7"/>
  <c r="BI331" i="7"/>
  <c r="BI24" i="7"/>
  <c r="BI28" i="7"/>
  <c r="BI29" i="7"/>
  <c r="BI30" i="7"/>
  <c r="BI39" i="7"/>
  <c r="BI325" i="7"/>
  <c r="BG24" i="7"/>
  <c r="BG26" i="7"/>
  <c r="BG31" i="7"/>
  <c r="BG25" i="7"/>
  <c r="BG27" i="7"/>
  <c r="BG28" i="7"/>
  <c r="BG29" i="7"/>
  <c r="BG30" i="7"/>
  <c r="BG2" i="7"/>
  <c r="BG34" i="7"/>
  <c r="BG3" i="7"/>
  <c r="BG6" i="7"/>
  <c r="BG38" i="7"/>
  <c r="BG7" i="7"/>
  <c r="BG39" i="7"/>
  <c r="BG8" i="7"/>
  <c r="BG325" i="7"/>
  <c r="BG327" i="7"/>
  <c r="BG10" i="7"/>
  <c r="BG330" i="7"/>
  <c r="BG13" i="7"/>
  <c r="BG16" i="7"/>
  <c r="BG328" i="7"/>
  <c r="BG11" i="7"/>
  <c r="BG333" i="7"/>
  <c r="BG329" i="7"/>
  <c r="BG12" i="7"/>
  <c r="BG331" i="7"/>
  <c r="BG14" i="7"/>
  <c r="BG332" i="7"/>
  <c r="BG15" i="7"/>
  <c r="BG23" i="7"/>
  <c r="BG32" i="7"/>
  <c r="BG33" i="7"/>
  <c r="BG22" i="7"/>
  <c r="BG20" i="7"/>
  <c r="BG21" i="7"/>
  <c r="BG334" i="7"/>
  <c r="BG35" i="7"/>
  <c r="BG36" i="7"/>
  <c r="BG18" i="7"/>
  <c r="BG19" i="7"/>
  <c r="BG326" i="7"/>
  <c r="BG4" i="7"/>
  <c r="BG9" i="7"/>
  <c r="BG37" i="7"/>
  <c r="BG5" i="7"/>
  <c r="BG17" i="7"/>
  <c r="BE17" i="7"/>
  <c r="BE24" i="7"/>
  <c r="BE18" i="7"/>
  <c r="BE19" i="7"/>
  <c r="BE20" i="7"/>
  <c r="BE21" i="7"/>
  <c r="BE22" i="7"/>
  <c r="BE23" i="7"/>
  <c r="BE328" i="7"/>
  <c r="BE27" i="7"/>
  <c r="BE329" i="7"/>
  <c r="BE332" i="7"/>
  <c r="BE31" i="7"/>
  <c r="BE333" i="7"/>
  <c r="BE32" i="7"/>
  <c r="BE334" i="7"/>
  <c r="BE33" i="7"/>
  <c r="BE3" i="7"/>
  <c r="BE35" i="7"/>
  <c r="BE6" i="7"/>
  <c r="BE38" i="7"/>
  <c r="BE4" i="7"/>
  <c r="BE36" i="7"/>
  <c r="BE9" i="7"/>
  <c r="BE5" i="7"/>
  <c r="BE37" i="7"/>
  <c r="BE7" i="7"/>
  <c r="BE39" i="7"/>
  <c r="BE8" i="7"/>
  <c r="BE325" i="7"/>
  <c r="BE2" i="7"/>
  <c r="BE11" i="7"/>
  <c r="BE12" i="7"/>
  <c r="BE15" i="7"/>
  <c r="BE16" i="7"/>
  <c r="BE10" i="7"/>
  <c r="BE26" i="7"/>
  <c r="BE13" i="7"/>
  <c r="BE14" i="7"/>
  <c r="BE28" i="7"/>
  <c r="BE25" i="7"/>
  <c r="BE29" i="7"/>
  <c r="BE30" i="7"/>
  <c r="BE330" i="7"/>
  <c r="BE331" i="7"/>
  <c r="BE34" i="7"/>
  <c r="BE326" i="7"/>
  <c r="BE327" i="7"/>
  <c r="BC327" i="7"/>
  <c r="BC10" i="7"/>
  <c r="BC12" i="7"/>
  <c r="BC334" i="7"/>
  <c r="BC17" i="7"/>
  <c r="BC328" i="7"/>
  <c r="BC11" i="7"/>
  <c r="BC329" i="7"/>
  <c r="BC330" i="7"/>
  <c r="BC13" i="7"/>
  <c r="BC331" i="7"/>
  <c r="BC14" i="7"/>
  <c r="BC332" i="7"/>
  <c r="BC15" i="7"/>
  <c r="BC333" i="7"/>
  <c r="BC16" i="7"/>
  <c r="BC20" i="7"/>
  <c r="BC24" i="7"/>
  <c r="BC25" i="7"/>
  <c r="BC26" i="7"/>
  <c r="BC28" i="7"/>
  <c r="BC31" i="7"/>
  <c r="BC2" i="7"/>
  <c r="BC29" i="7"/>
  <c r="BC34" i="7"/>
  <c r="BC30" i="7"/>
  <c r="BC32" i="7"/>
  <c r="BC33" i="7"/>
  <c r="BC27" i="7"/>
  <c r="BC35" i="7"/>
  <c r="BC36" i="7"/>
  <c r="BC325" i="7"/>
  <c r="BC21" i="7"/>
  <c r="BC38" i="7"/>
  <c r="BC22" i="7"/>
  <c r="BC23" i="7"/>
  <c r="BC18" i="7"/>
  <c r="BC19" i="7"/>
  <c r="BC3" i="7"/>
  <c r="BC4" i="7"/>
  <c r="BC39" i="7"/>
  <c r="BC5" i="7"/>
  <c r="BC6" i="7"/>
  <c r="BC8" i="7"/>
  <c r="BC326" i="7"/>
  <c r="BC7" i="7"/>
  <c r="BC37" i="7"/>
  <c r="BC9" i="7"/>
  <c r="BA3" i="7"/>
  <c r="BA35" i="7"/>
  <c r="BA10" i="7"/>
  <c r="BA4" i="7"/>
  <c r="BA36" i="7"/>
  <c r="BA5" i="7"/>
  <c r="BA37" i="7"/>
  <c r="BA6" i="7"/>
  <c r="BA38" i="7"/>
  <c r="BA7" i="7"/>
  <c r="BA39" i="7"/>
  <c r="BA8" i="7"/>
  <c r="BA325" i="7"/>
  <c r="BA9" i="7"/>
  <c r="BA13" i="7"/>
  <c r="BA17" i="7"/>
  <c r="BA18" i="7"/>
  <c r="BA19" i="7"/>
  <c r="BA21" i="7"/>
  <c r="BA24" i="7"/>
  <c r="BA22" i="7"/>
  <c r="BA328" i="7"/>
  <c r="BA23" i="7"/>
  <c r="BA27" i="7"/>
  <c r="BA326" i="7"/>
  <c r="BA25" i="7"/>
  <c r="BA327" i="7"/>
  <c r="BA26" i="7"/>
  <c r="BA11" i="7"/>
  <c r="BA12" i="7"/>
  <c r="BA2" i="7"/>
  <c r="BA15" i="7"/>
  <c r="BA14" i="7"/>
  <c r="BA16" i="7"/>
  <c r="BA20" i="7"/>
  <c r="BA29" i="7"/>
  <c r="BA31" i="7"/>
  <c r="BA28" i="7"/>
  <c r="BA30" i="7"/>
  <c r="BA329" i="7"/>
  <c r="BA32" i="7"/>
  <c r="BA330" i="7"/>
  <c r="BA33" i="7"/>
  <c r="BA331" i="7"/>
  <c r="BA34" i="7"/>
  <c r="BA332" i="7"/>
  <c r="BA333" i="7"/>
  <c r="BA334" i="7"/>
  <c r="AY28" i="7"/>
  <c r="AY30" i="7"/>
  <c r="AY3" i="7"/>
  <c r="AY35" i="7"/>
  <c r="AY29" i="7"/>
  <c r="AY31" i="7"/>
  <c r="AY32" i="7"/>
  <c r="AY33" i="7"/>
  <c r="AY2" i="7"/>
  <c r="AY34" i="7"/>
  <c r="AY6" i="7"/>
  <c r="AY38" i="7"/>
  <c r="AY327" i="7"/>
  <c r="AY10" i="7"/>
  <c r="AY328" i="7"/>
  <c r="AY11" i="7"/>
  <c r="AY329" i="7"/>
  <c r="AY12" i="7"/>
  <c r="AY331" i="7"/>
  <c r="AY14" i="7"/>
  <c r="AY17" i="7"/>
  <c r="AY20" i="7"/>
  <c r="AY332" i="7"/>
  <c r="AY15" i="7"/>
  <c r="AY333" i="7"/>
  <c r="AY16" i="7"/>
  <c r="AY334" i="7"/>
  <c r="AY18" i="7"/>
  <c r="AY19" i="7"/>
  <c r="AY26" i="7"/>
  <c r="AY27" i="7"/>
  <c r="AY36" i="7"/>
  <c r="AY23" i="7"/>
  <c r="AY326" i="7"/>
  <c r="AY330" i="7"/>
  <c r="AY325" i="7"/>
  <c r="AY37" i="7"/>
  <c r="AY21" i="7"/>
  <c r="AY22" i="7"/>
  <c r="AY4" i="7"/>
  <c r="AY5" i="7"/>
  <c r="AY7" i="7"/>
  <c r="AY9" i="7"/>
  <c r="AY8" i="7"/>
  <c r="AY25" i="7"/>
  <c r="AY39" i="7"/>
  <c r="AY13" i="7"/>
  <c r="AY24" i="7"/>
  <c r="CF163" i="9"/>
  <c r="CF195" i="9"/>
  <c r="CF227" i="9"/>
  <c r="CF288" i="9"/>
  <c r="CF197" i="9"/>
  <c r="CF300" i="9"/>
  <c r="CF230" i="9"/>
  <c r="CF170" i="9"/>
  <c r="CF202" i="9"/>
  <c r="CF234" i="9"/>
  <c r="CF164" i="9"/>
  <c r="CF196" i="9"/>
  <c r="CF228" i="9"/>
  <c r="CF299" i="9"/>
  <c r="CF165" i="9"/>
  <c r="CF229" i="9"/>
  <c r="CF198" i="9"/>
  <c r="CF301" i="9"/>
  <c r="CF167" i="9"/>
  <c r="CF199" i="9"/>
  <c r="CF231" i="9"/>
  <c r="CF302" i="9"/>
  <c r="CF168" i="9"/>
  <c r="CF200" i="9"/>
  <c r="CF232" i="9"/>
  <c r="CF303" i="9"/>
  <c r="CF169" i="9"/>
  <c r="CF201" i="9"/>
  <c r="CF233" i="9"/>
  <c r="CF304" i="9"/>
  <c r="CF173" i="9"/>
  <c r="CF205" i="9"/>
  <c r="CF237" i="9"/>
  <c r="CF145" i="9"/>
  <c r="CF177" i="9"/>
  <c r="CF209" i="9"/>
  <c r="CF146" i="9"/>
  <c r="CF178" i="9"/>
  <c r="CF210" i="9"/>
  <c r="CF242" i="9"/>
  <c r="CF147" i="9"/>
  <c r="CF179" i="9"/>
  <c r="CF211" i="9"/>
  <c r="CF243" i="9"/>
  <c r="CF149" i="9"/>
  <c r="CF181" i="9"/>
  <c r="CF213" i="9"/>
  <c r="CF245" i="9"/>
  <c r="CF152" i="9"/>
  <c r="CF184" i="9"/>
  <c r="CF216" i="9"/>
  <c r="CF248" i="9"/>
  <c r="CF187" i="9"/>
  <c r="CF150" i="9"/>
  <c r="CF182" i="9"/>
  <c r="CF214" i="9"/>
  <c r="CF246" i="9"/>
  <c r="CF219" i="9"/>
  <c r="CF151" i="9"/>
  <c r="CF183" i="9"/>
  <c r="CF215" i="9"/>
  <c r="CF247" i="9"/>
  <c r="CF155" i="9"/>
  <c r="CF251" i="9"/>
  <c r="CF153" i="9"/>
  <c r="CF185" i="9"/>
  <c r="CF217" i="9"/>
  <c r="CF249" i="9"/>
  <c r="CF154" i="9"/>
  <c r="CF186" i="9"/>
  <c r="CF218" i="9"/>
  <c r="CF250" i="9"/>
  <c r="CF190" i="9"/>
  <c r="CF191" i="9"/>
  <c r="CF192" i="9"/>
  <c r="CF204" i="9"/>
  <c r="CF207" i="9"/>
  <c r="CF208" i="9"/>
  <c r="CF221" i="9"/>
  <c r="CF156" i="9"/>
  <c r="CF226" i="9"/>
  <c r="CF257" i="9"/>
  <c r="CF206" i="9"/>
  <c r="CF143" i="9"/>
  <c r="CF148" i="9"/>
  <c r="CF225" i="9"/>
  <c r="CF256" i="9"/>
  <c r="CF188" i="9"/>
  <c r="CF258" i="9"/>
  <c r="CF212" i="9"/>
  <c r="CF220" i="9"/>
  <c r="CF222" i="9"/>
  <c r="CF224" i="9"/>
  <c r="CF157" i="9"/>
  <c r="CF180" i="9"/>
  <c r="CF189" i="9"/>
  <c r="CF193" i="9"/>
  <c r="CF203" i="9"/>
  <c r="CF144" i="9"/>
  <c r="CF223" i="9"/>
  <c r="CF158" i="9"/>
  <c r="CF235" i="9"/>
  <c r="CF236" i="9"/>
  <c r="CF161" i="9"/>
  <c r="CF241" i="9"/>
  <c r="CF244" i="9"/>
  <c r="CF172" i="9"/>
  <c r="CF175" i="9"/>
  <c r="CF254" i="9"/>
  <c r="CF176" i="9"/>
  <c r="CF255" i="9"/>
  <c r="CF159" i="9"/>
  <c r="CF160" i="9"/>
  <c r="CF238" i="9"/>
  <c r="CF174" i="9"/>
  <c r="CF239" i="9"/>
  <c r="CF162" i="9"/>
  <c r="CF240" i="9"/>
  <c r="CF166" i="9"/>
  <c r="CF171" i="9"/>
  <c r="CF252" i="9"/>
  <c r="CF194" i="9"/>
  <c r="CF253" i="9"/>
  <c r="AQ7" i="7"/>
  <c r="AQ39" i="7"/>
  <c r="AQ9" i="7"/>
  <c r="AQ14" i="7"/>
  <c r="AQ8" i="7"/>
  <c r="AQ325" i="7"/>
  <c r="AQ10" i="7"/>
  <c r="AQ11" i="7"/>
  <c r="AQ12" i="7"/>
  <c r="AQ13" i="7"/>
  <c r="AQ17" i="7"/>
  <c r="AQ21" i="7"/>
  <c r="AQ22" i="7"/>
  <c r="AQ23" i="7"/>
  <c r="AQ326" i="7"/>
  <c r="AQ25" i="7"/>
  <c r="AQ329" i="7"/>
  <c r="AQ28" i="7"/>
  <c r="AQ332" i="7"/>
  <c r="AQ31" i="7"/>
  <c r="AQ327" i="7"/>
  <c r="AQ26" i="7"/>
  <c r="AQ328" i="7"/>
  <c r="AQ27" i="7"/>
  <c r="AQ330" i="7"/>
  <c r="AQ29" i="7"/>
  <c r="AQ331" i="7"/>
  <c r="AQ30" i="7"/>
  <c r="AQ333" i="7"/>
  <c r="AQ4" i="7"/>
  <c r="AQ6" i="7"/>
  <c r="AQ15" i="7"/>
  <c r="AQ19" i="7"/>
  <c r="AQ20" i="7"/>
  <c r="AQ334" i="7"/>
  <c r="AQ5" i="7"/>
  <c r="AQ32" i="7"/>
  <c r="AQ33" i="7"/>
  <c r="AQ16" i="7"/>
  <c r="AQ18" i="7"/>
  <c r="AQ2" i="7"/>
  <c r="AQ24" i="7"/>
  <c r="AQ34" i="7"/>
  <c r="AQ35" i="7"/>
  <c r="AQ36" i="7"/>
  <c r="AQ37" i="7"/>
  <c r="AQ38" i="7"/>
  <c r="AQ3" i="7"/>
  <c r="AW21" i="7"/>
  <c r="AW23" i="7"/>
  <c r="AW329" i="7"/>
  <c r="AW28" i="7"/>
  <c r="AW22" i="7"/>
  <c r="AW24" i="7"/>
  <c r="AW326" i="7"/>
  <c r="AW25" i="7"/>
  <c r="AW327" i="7"/>
  <c r="AW26" i="7"/>
  <c r="AW328" i="7"/>
  <c r="AW27" i="7"/>
  <c r="AW332" i="7"/>
  <c r="AW31" i="7"/>
  <c r="AW333" i="7"/>
  <c r="AW3" i="7"/>
  <c r="AW35" i="7"/>
  <c r="AW4" i="7"/>
  <c r="AW36" i="7"/>
  <c r="AW5" i="7"/>
  <c r="AW37" i="7"/>
  <c r="AW7" i="7"/>
  <c r="AW39" i="7"/>
  <c r="AW8" i="7"/>
  <c r="AW325" i="7"/>
  <c r="AW13" i="7"/>
  <c r="AW9" i="7"/>
  <c r="AW10" i="7"/>
  <c r="AW11" i="7"/>
  <c r="AW12" i="7"/>
  <c r="AW2" i="7"/>
  <c r="AW14" i="7"/>
  <c r="AW15" i="7"/>
  <c r="AW18" i="7"/>
  <c r="AW330" i="7"/>
  <c r="AW29" i="7"/>
  <c r="AW30" i="7"/>
  <c r="AW32" i="7"/>
  <c r="AW6" i="7"/>
  <c r="AW19" i="7"/>
  <c r="AW334" i="7"/>
  <c r="AW16" i="7"/>
  <c r="AW17" i="7"/>
  <c r="AW331" i="7"/>
  <c r="AW20" i="7"/>
  <c r="AW33" i="7"/>
  <c r="AW34" i="7"/>
  <c r="AW38" i="7"/>
  <c r="AS331" i="7"/>
  <c r="AS14" i="7"/>
  <c r="AS333" i="7"/>
  <c r="AS21" i="7"/>
  <c r="AS332" i="7"/>
  <c r="AS15" i="7"/>
  <c r="AS16" i="7"/>
  <c r="AS334" i="7"/>
  <c r="AS17" i="7"/>
  <c r="AS18" i="7"/>
  <c r="AS19" i="7"/>
  <c r="AS20" i="7"/>
  <c r="AS24" i="7"/>
  <c r="AS28" i="7"/>
  <c r="AS29" i="7"/>
  <c r="AS30" i="7"/>
  <c r="AS32" i="7"/>
  <c r="AS3" i="7"/>
  <c r="AS35" i="7"/>
  <c r="AS6" i="7"/>
  <c r="AS33" i="7"/>
  <c r="AS38" i="7"/>
  <c r="AS2" i="7"/>
  <c r="AS34" i="7"/>
  <c r="AS4" i="7"/>
  <c r="AS36" i="7"/>
  <c r="AS5" i="7"/>
  <c r="AS37" i="7"/>
  <c r="AS27" i="7"/>
  <c r="AS31" i="7"/>
  <c r="AS39" i="7"/>
  <c r="AS326" i="7"/>
  <c r="AS26" i="7"/>
  <c r="AS327" i="7"/>
  <c r="AS328" i="7"/>
  <c r="AS329" i="7"/>
  <c r="AS330" i="7"/>
  <c r="AS23" i="7"/>
  <c r="AS325" i="7"/>
  <c r="AS10" i="7"/>
  <c r="AS11" i="7"/>
  <c r="AS13" i="7"/>
  <c r="AS22" i="7"/>
  <c r="AS7" i="7"/>
  <c r="AS8" i="7"/>
  <c r="AS9" i="7"/>
  <c r="AS25" i="7"/>
  <c r="AS12" i="7"/>
  <c r="BM13" i="7"/>
  <c r="BM20" i="7"/>
  <c r="BM14" i="7"/>
  <c r="BM15" i="7"/>
  <c r="BM16" i="7"/>
  <c r="BM17" i="7"/>
  <c r="BM18" i="7"/>
  <c r="BM19" i="7"/>
  <c r="BM23" i="7"/>
  <c r="BM24" i="7"/>
  <c r="BM328" i="7"/>
  <c r="BM27" i="7"/>
  <c r="BM329" i="7"/>
  <c r="BM28" i="7"/>
  <c r="BM330" i="7"/>
  <c r="BM29" i="7"/>
  <c r="BM332" i="7"/>
  <c r="BM31" i="7"/>
  <c r="BM2" i="7"/>
  <c r="BM34" i="7"/>
  <c r="BM5" i="7"/>
  <c r="BM333" i="7"/>
  <c r="BM32" i="7"/>
  <c r="BM37" i="7"/>
  <c r="BM334" i="7"/>
  <c r="BM33" i="7"/>
  <c r="BM3" i="7"/>
  <c r="BM35" i="7"/>
  <c r="BM4" i="7"/>
  <c r="BM36" i="7"/>
  <c r="BM327" i="7"/>
  <c r="BM331" i="7"/>
  <c r="BM8" i="7"/>
  <c r="BM326" i="7"/>
  <c r="BM12" i="7"/>
  <c r="BM21" i="7"/>
  <c r="BM6" i="7"/>
  <c r="BM7" i="7"/>
  <c r="BM9" i="7"/>
  <c r="BM11" i="7"/>
  <c r="BM10" i="7"/>
  <c r="BM22" i="7"/>
  <c r="BM25" i="7"/>
  <c r="BM26" i="7"/>
  <c r="BM30" i="7"/>
  <c r="BM38" i="7"/>
  <c r="BM39" i="7"/>
  <c r="BM325" i="7"/>
  <c r="BK6" i="7"/>
  <c r="BK38" i="7"/>
  <c r="BK8" i="7"/>
  <c r="BK330" i="7"/>
  <c r="BK13" i="7"/>
  <c r="BK7" i="7"/>
  <c r="BK39" i="7"/>
  <c r="BK325" i="7"/>
  <c r="BK326" i="7"/>
  <c r="BK9" i="7"/>
  <c r="BK327" i="7"/>
  <c r="BK10" i="7"/>
  <c r="BK328" i="7"/>
  <c r="BK11" i="7"/>
  <c r="BK329" i="7"/>
  <c r="BK12" i="7"/>
  <c r="BK333" i="7"/>
  <c r="BK16" i="7"/>
  <c r="BK334" i="7"/>
  <c r="BK17" i="7"/>
  <c r="BK20" i="7"/>
  <c r="BK21" i="7"/>
  <c r="BK22" i="7"/>
  <c r="BK24" i="7"/>
  <c r="BK27" i="7"/>
  <c r="BK30" i="7"/>
  <c r="BK25" i="7"/>
  <c r="BK26" i="7"/>
  <c r="BK28" i="7"/>
  <c r="BK29" i="7"/>
  <c r="BK19" i="7"/>
  <c r="BK23" i="7"/>
  <c r="BK31" i="7"/>
  <c r="BK332" i="7"/>
  <c r="BK35" i="7"/>
  <c r="BK37" i="7"/>
  <c r="BK15" i="7"/>
  <c r="BK32" i="7"/>
  <c r="BK36" i="7"/>
  <c r="BK14" i="7"/>
  <c r="BK18" i="7"/>
  <c r="BK331" i="7"/>
  <c r="BK34" i="7"/>
  <c r="BK2" i="7"/>
  <c r="BK5" i="7"/>
  <c r="BK4" i="7"/>
  <c r="BK33" i="7"/>
  <c r="BK3" i="7"/>
  <c r="AU5" i="7"/>
  <c r="AU37" i="7"/>
  <c r="AU6" i="7"/>
  <c r="AU38" i="7"/>
  <c r="AU326" i="7"/>
  <c r="AU9" i="7"/>
  <c r="AU25" i="7"/>
  <c r="AU7" i="7"/>
  <c r="AU39" i="7"/>
  <c r="AU8" i="7"/>
  <c r="AU325" i="7"/>
  <c r="AU327" i="7"/>
  <c r="AU10" i="7"/>
  <c r="AU22" i="7"/>
  <c r="AU328" i="7"/>
  <c r="AU11" i="7"/>
  <c r="AU330" i="7"/>
  <c r="AU329" i="7"/>
  <c r="AU12" i="7"/>
  <c r="AU13" i="7"/>
  <c r="AU21" i="7"/>
  <c r="AU331" i="7"/>
  <c r="AU14" i="7"/>
  <c r="AU23" i="7"/>
  <c r="AU24" i="7"/>
  <c r="AU332" i="7"/>
  <c r="AU15" i="7"/>
  <c r="AU333" i="7"/>
  <c r="AU16" i="7"/>
  <c r="AU334" i="7"/>
  <c r="AU17" i="7"/>
  <c r="AU18" i="7"/>
  <c r="AU19" i="7"/>
  <c r="AU20" i="7"/>
  <c r="AU30" i="7"/>
  <c r="AU33" i="7"/>
  <c r="AU26" i="7"/>
  <c r="AU27" i="7"/>
  <c r="AU28" i="7"/>
  <c r="AU29" i="7"/>
  <c r="AU31" i="7"/>
  <c r="AU32" i="7"/>
  <c r="AU2" i="7"/>
  <c r="AU34" i="7"/>
  <c r="AU3" i="7"/>
  <c r="AU35" i="7"/>
  <c r="AU4" i="7"/>
  <c r="AU36" i="7"/>
  <c r="AO7" i="7"/>
  <c r="AO39" i="7"/>
  <c r="AO325" i="7"/>
  <c r="AO331" i="7"/>
  <c r="AO8" i="7"/>
  <c r="AO30" i="7"/>
  <c r="AO9" i="7"/>
  <c r="AO26" i="7"/>
  <c r="AO31" i="7"/>
  <c r="AO10" i="7"/>
  <c r="AO23" i="7"/>
  <c r="AO327" i="7"/>
  <c r="AO330" i="7"/>
  <c r="AO11" i="7"/>
  <c r="AO326" i="7"/>
  <c r="AO12" i="7"/>
  <c r="AO22" i="7"/>
  <c r="AO13" i="7"/>
  <c r="AO24" i="7"/>
  <c r="AO14" i="7"/>
  <c r="AO25" i="7"/>
  <c r="AO15" i="7"/>
  <c r="AO328" i="7"/>
  <c r="AO16" i="7"/>
  <c r="AO21" i="7"/>
  <c r="AO28" i="7"/>
  <c r="AO17" i="7"/>
  <c r="AO329" i="7"/>
  <c r="AO18" i="7"/>
  <c r="AO27" i="7"/>
  <c r="AO19" i="7"/>
  <c r="AO20" i="7"/>
  <c r="AO29" i="7"/>
  <c r="AO333" i="7"/>
  <c r="AO32" i="7"/>
  <c r="AO334" i="7"/>
  <c r="AO33" i="7"/>
  <c r="AO2" i="7"/>
  <c r="AO34" i="7"/>
  <c r="AO3" i="7"/>
  <c r="AO35" i="7"/>
  <c r="AO4" i="7"/>
  <c r="AO36" i="7"/>
  <c r="AO5" i="7"/>
  <c r="AO37" i="7"/>
  <c r="AO6" i="7"/>
  <c r="AO38" i="7"/>
  <c r="AO332" i="7"/>
  <c r="AM23" i="7"/>
  <c r="AM2" i="7"/>
  <c r="AM24" i="7"/>
  <c r="AM6" i="7"/>
  <c r="AM8" i="7"/>
  <c r="AM10" i="7"/>
  <c r="AM25" i="7"/>
  <c r="AM3" i="7"/>
  <c r="AM326" i="7"/>
  <c r="AM11" i="7"/>
  <c r="AM26" i="7"/>
  <c r="AM27" i="7"/>
  <c r="AM34" i="7"/>
  <c r="AM35" i="7"/>
  <c r="AM28" i="7"/>
  <c r="AM38" i="7"/>
  <c r="AM29" i="7"/>
  <c r="AM39" i="7"/>
  <c r="AM328" i="7"/>
  <c r="AM30" i="7"/>
  <c r="AM37" i="7"/>
  <c r="AM31" i="7"/>
  <c r="AM36" i="7"/>
  <c r="AM9" i="7"/>
  <c r="AM32" i="7"/>
  <c r="AM5" i="7"/>
  <c r="AM7" i="7"/>
  <c r="AM325" i="7"/>
  <c r="AM33" i="7"/>
  <c r="AM4" i="7"/>
  <c r="AM329" i="7"/>
  <c r="AM12" i="7"/>
  <c r="AM330" i="7"/>
  <c r="AM13" i="7"/>
  <c r="AM331" i="7"/>
  <c r="AM14" i="7"/>
  <c r="AM332" i="7"/>
  <c r="AM15" i="7"/>
  <c r="AM333" i="7"/>
  <c r="AM16" i="7"/>
  <c r="AM334" i="7"/>
  <c r="AM17" i="7"/>
  <c r="AM18" i="7"/>
  <c r="AM19" i="7"/>
  <c r="AM20" i="7"/>
  <c r="AM21" i="7"/>
  <c r="AM22" i="7"/>
  <c r="AM327" i="7"/>
  <c r="AK24" i="7"/>
  <c r="AK30" i="7"/>
  <c r="AK34" i="7"/>
  <c r="AK37" i="7"/>
  <c r="AK38" i="7"/>
  <c r="AK326" i="7"/>
  <c r="AK25" i="7"/>
  <c r="AK35" i="7"/>
  <c r="AK4" i="7"/>
  <c r="AK9" i="7"/>
  <c r="AK11" i="7"/>
  <c r="AK327" i="7"/>
  <c r="AK26" i="7"/>
  <c r="AK328" i="7"/>
  <c r="AK27" i="7"/>
  <c r="AK5" i="7"/>
  <c r="AK39" i="7"/>
  <c r="AK325" i="7"/>
  <c r="AK12" i="7"/>
  <c r="AK329" i="7"/>
  <c r="AK28" i="7"/>
  <c r="AK330" i="7"/>
  <c r="AK29" i="7"/>
  <c r="AK31" i="7"/>
  <c r="AK7" i="7"/>
  <c r="AK8" i="7"/>
  <c r="AK10" i="7"/>
  <c r="AK331" i="7"/>
  <c r="AK332" i="7"/>
  <c r="AK333" i="7"/>
  <c r="AK32" i="7"/>
  <c r="AK6" i="7"/>
  <c r="AK334" i="7"/>
  <c r="AK33" i="7"/>
  <c r="AK2" i="7"/>
  <c r="AK3" i="7"/>
  <c r="AK36" i="7"/>
  <c r="AK13" i="7"/>
  <c r="AK15" i="7"/>
  <c r="AK16" i="7"/>
  <c r="AK14" i="7"/>
  <c r="AK17" i="7"/>
  <c r="AK19" i="7"/>
  <c r="AK20" i="7"/>
  <c r="AK21" i="7"/>
  <c r="AK22" i="7"/>
  <c r="AK23" i="7"/>
  <c r="AK18" i="7"/>
  <c r="EM17" i="9"/>
  <c r="EM5" i="9"/>
  <c r="EM14" i="9"/>
  <c r="EM4" i="9"/>
  <c r="EM6" i="9"/>
  <c r="EM9" i="9"/>
  <c r="EM12" i="9"/>
  <c r="EM11" i="9"/>
  <c r="EM15" i="9"/>
  <c r="EM19" i="9"/>
  <c r="EM8" i="9"/>
  <c r="EM16" i="9"/>
  <c r="EM3" i="9"/>
  <c r="EM7" i="9"/>
  <c r="EM13" i="9"/>
  <c r="EM2" i="9"/>
  <c r="EM10" i="9"/>
  <c r="EM18" i="9"/>
  <c r="EM20" i="9"/>
  <c r="EI15" i="9"/>
  <c r="EI8" i="9"/>
  <c r="EI16" i="9"/>
  <c r="EI19" i="9"/>
  <c r="EI5" i="9"/>
  <c r="EI6" i="9"/>
  <c r="EI17" i="9"/>
  <c r="EI18" i="9"/>
  <c r="EI20" i="9"/>
  <c r="EI10" i="9"/>
  <c r="EI12" i="9"/>
  <c r="EI14" i="9"/>
  <c r="EI3" i="9"/>
  <c r="EI4" i="9"/>
  <c r="EI11" i="9"/>
  <c r="EI13" i="9"/>
  <c r="EI2" i="9"/>
  <c r="EI7" i="9"/>
  <c r="EI9" i="9"/>
  <c r="EQ3" i="9"/>
  <c r="EQ6" i="9"/>
  <c r="EQ7" i="9"/>
  <c r="EQ8" i="9"/>
  <c r="EQ16" i="9"/>
  <c r="EQ4" i="9"/>
  <c r="EQ5" i="9"/>
  <c r="EQ9" i="9"/>
  <c r="EQ20" i="9"/>
  <c r="EQ12" i="9"/>
  <c r="EQ14" i="9"/>
  <c r="EQ19" i="9"/>
  <c r="EQ10" i="9"/>
  <c r="EQ11" i="9"/>
  <c r="EQ18" i="9"/>
  <c r="EQ15" i="9"/>
  <c r="EQ17" i="9"/>
  <c r="EQ2" i="9"/>
  <c r="EQ13" i="9"/>
  <c r="EK2" i="9"/>
  <c r="EK3" i="9"/>
  <c r="EK9" i="9"/>
  <c r="EK12" i="9"/>
  <c r="EK16" i="9"/>
  <c r="EK17" i="9"/>
  <c r="EK19" i="9"/>
  <c r="EK20" i="9"/>
  <c r="EK4" i="9"/>
  <c r="EK5" i="9"/>
  <c r="EK6" i="9"/>
  <c r="EK7" i="9"/>
  <c r="EK14" i="9"/>
  <c r="EK15" i="9"/>
  <c r="EK8" i="9"/>
  <c r="EK10" i="9"/>
  <c r="EK11" i="9"/>
  <c r="EK13" i="9"/>
  <c r="EK18" i="9"/>
  <c r="EG19" i="9"/>
  <c r="EG4" i="9"/>
  <c r="EG5" i="9"/>
  <c r="EG15" i="9"/>
  <c r="EG8" i="9"/>
  <c r="EG14" i="9"/>
  <c r="EG17" i="9"/>
  <c r="EG6" i="9"/>
  <c r="EG9" i="9"/>
  <c r="EG11" i="9"/>
  <c r="EG16" i="9"/>
  <c r="EG7" i="9"/>
  <c r="EG13" i="9"/>
  <c r="EG20" i="9"/>
  <c r="EG12" i="9"/>
  <c r="EG2" i="9"/>
  <c r="EG3" i="9"/>
  <c r="EG10" i="9"/>
  <c r="EG18" i="9"/>
  <c r="DB169" i="9"/>
  <c r="DB201" i="9"/>
  <c r="DB233" i="9"/>
  <c r="DB170" i="9"/>
  <c r="DB202" i="9"/>
  <c r="DB234" i="9"/>
  <c r="DB171" i="9"/>
  <c r="DB203" i="9"/>
  <c r="DB235" i="9"/>
  <c r="DB172" i="9"/>
  <c r="DB204" i="9"/>
  <c r="DB236" i="9"/>
  <c r="DB173" i="9"/>
  <c r="DB205" i="9"/>
  <c r="DB237" i="9"/>
  <c r="DB174" i="9"/>
  <c r="DB206" i="9"/>
  <c r="DB238" i="9"/>
  <c r="DB143" i="9"/>
  <c r="DB175" i="9"/>
  <c r="DB207" i="9"/>
  <c r="DB239" i="9"/>
  <c r="DB144" i="9"/>
  <c r="DB176" i="9"/>
  <c r="DB208" i="9"/>
  <c r="DB240" i="9"/>
  <c r="DB145" i="9"/>
  <c r="DB177" i="9"/>
  <c r="DB209" i="9"/>
  <c r="DB241" i="9"/>
  <c r="DB146" i="9"/>
  <c r="DB178" i="9"/>
  <c r="DB210" i="9"/>
  <c r="DB242" i="9"/>
  <c r="DB158" i="9"/>
  <c r="DB190" i="9"/>
  <c r="DB222" i="9"/>
  <c r="DB254" i="9"/>
  <c r="DB162" i="9"/>
  <c r="DB194" i="9"/>
  <c r="DB226" i="9"/>
  <c r="DB258" i="9"/>
  <c r="DB163" i="9"/>
  <c r="DB195" i="9"/>
  <c r="DB227" i="9"/>
  <c r="DB164" i="9"/>
  <c r="DB196" i="9"/>
  <c r="DB228" i="9"/>
  <c r="DB166" i="9"/>
  <c r="DB198" i="9"/>
  <c r="DB230" i="9"/>
  <c r="DB193" i="9"/>
  <c r="DB255" i="9"/>
  <c r="DB155" i="9"/>
  <c r="DB197" i="9"/>
  <c r="DB256" i="9"/>
  <c r="DB156" i="9"/>
  <c r="DB147" i="9"/>
  <c r="DB199" i="9"/>
  <c r="DB257" i="9"/>
  <c r="DB219" i="9"/>
  <c r="DB148" i="9"/>
  <c r="DB200" i="9"/>
  <c r="DB149" i="9"/>
  <c r="DB211" i="9"/>
  <c r="DB154" i="9"/>
  <c r="DB218" i="9"/>
  <c r="DB150" i="9"/>
  <c r="DB212" i="9"/>
  <c r="DB217" i="9"/>
  <c r="DB151" i="9"/>
  <c r="DB213" i="9"/>
  <c r="DB152" i="9"/>
  <c r="DB214" i="9"/>
  <c r="DB216" i="9"/>
  <c r="DB153" i="9"/>
  <c r="DB215" i="9"/>
  <c r="DB185" i="9"/>
  <c r="DB247" i="9"/>
  <c r="DB252" i="9"/>
  <c r="DB192" i="9"/>
  <c r="DB186" i="9"/>
  <c r="DB248" i="9"/>
  <c r="DB157" i="9"/>
  <c r="DB187" i="9"/>
  <c r="DB249" i="9"/>
  <c r="DB253" i="9"/>
  <c r="DB188" i="9"/>
  <c r="DB250" i="9"/>
  <c r="DB191" i="9"/>
  <c r="DB189" i="9"/>
  <c r="DB251" i="9"/>
  <c r="DB165" i="9"/>
  <c r="DB167" i="9"/>
  <c r="DB168" i="9"/>
  <c r="DB181" i="9"/>
  <c r="DB182" i="9"/>
  <c r="DB220" i="9"/>
  <c r="DB232" i="9"/>
  <c r="DB179" i="9"/>
  <c r="DB180" i="9"/>
  <c r="DB183" i="9"/>
  <c r="DB221" i="9"/>
  <c r="DB244" i="9"/>
  <c r="DB224" i="9"/>
  <c r="DB225" i="9"/>
  <c r="DB246" i="9"/>
  <c r="DB160" i="9"/>
  <c r="DB223" i="9"/>
  <c r="DB229" i="9"/>
  <c r="DB184" i="9"/>
  <c r="DB231" i="9"/>
  <c r="DB159" i="9"/>
  <c r="DB161" i="9"/>
  <c r="DB243" i="9"/>
  <c r="DB245" i="9"/>
  <c r="DD172" i="9"/>
  <c r="DD204" i="9"/>
  <c r="DD236" i="9"/>
  <c r="DD173" i="9"/>
  <c r="DD205" i="9"/>
  <c r="DD237" i="9"/>
  <c r="DD174" i="9"/>
  <c r="DD206" i="9"/>
  <c r="DD238" i="9"/>
  <c r="DD143" i="9"/>
  <c r="DD175" i="9"/>
  <c r="DD207" i="9"/>
  <c r="DD239" i="9"/>
  <c r="DD144" i="9"/>
  <c r="DD176" i="9"/>
  <c r="DD208" i="9"/>
  <c r="DD240" i="9"/>
  <c r="DD145" i="9"/>
  <c r="DD177" i="9"/>
  <c r="DD209" i="9"/>
  <c r="DD241" i="9"/>
  <c r="DD146" i="9"/>
  <c r="DD178" i="9"/>
  <c r="DD210" i="9"/>
  <c r="DD242" i="9"/>
  <c r="DD147" i="9"/>
  <c r="DD179" i="9"/>
  <c r="DD211" i="9"/>
  <c r="DD243" i="9"/>
  <c r="DD148" i="9"/>
  <c r="DD180" i="9"/>
  <c r="DD212" i="9"/>
  <c r="DD244" i="9"/>
  <c r="DD149" i="9"/>
  <c r="DD181" i="9"/>
  <c r="DD213" i="9"/>
  <c r="DD245" i="9"/>
  <c r="DD161" i="9"/>
  <c r="DD193" i="9"/>
  <c r="DD225" i="9"/>
  <c r="DD257" i="9"/>
  <c r="DD165" i="9"/>
  <c r="DD197" i="9"/>
  <c r="DD229" i="9"/>
  <c r="DD300" i="9"/>
  <c r="DD166" i="9"/>
  <c r="DD198" i="9"/>
  <c r="DD230" i="9"/>
  <c r="DD301" i="9"/>
  <c r="DD167" i="9"/>
  <c r="DD199" i="9"/>
  <c r="DD231" i="9"/>
  <c r="DD302" i="9"/>
  <c r="DD169" i="9"/>
  <c r="DD201" i="9"/>
  <c r="DD233" i="9"/>
  <c r="DD156" i="9"/>
  <c r="DD218" i="9"/>
  <c r="DD170" i="9"/>
  <c r="DD157" i="9"/>
  <c r="DD219" i="9"/>
  <c r="DD182" i="9"/>
  <c r="DD158" i="9"/>
  <c r="DD220" i="9"/>
  <c r="DD232" i="9"/>
  <c r="DD159" i="9"/>
  <c r="DD221" i="9"/>
  <c r="DD160" i="9"/>
  <c r="DD222" i="9"/>
  <c r="DD171" i="9"/>
  <c r="DD234" i="9"/>
  <c r="DD162" i="9"/>
  <c r="DD223" i="9"/>
  <c r="DD228" i="9"/>
  <c r="DD163" i="9"/>
  <c r="DD224" i="9"/>
  <c r="DD235" i="9"/>
  <c r="DD164" i="9"/>
  <c r="DD226" i="9"/>
  <c r="DD168" i="9"/>
  <c r="DD227" i="9"/>
  <c r="DD200" i="9"/>
  <c r="DD288" i="9"/>
  <c r="DD216" i="9"/>
  <c r="DD150" i="9"/>
  <c r="DD202" i="9"/>
  <c r="DD299" i="9"/>
  <c r="DD155" i="9"/>
  <c r="DD151" i="9"/>
  <c r="DD203" i="9"/>
  <c r="DD183" i="9"/>
  <c r="DD152" i="9"/>
  <c r="DD214" i="9"/>
  <c r="DD153" i="9"/>
  <c r="DD215" i="9"/>
  <c r="DD154" i="9"/>
  <c r="DD217" i="9"/>
  <c r="DD253" i="9"/>
  <c r="DD254" i="9"/>
  <c r="DD188" i="9"/>
  <c r="DD191" i="9"/>
  <c r="DD255" i="9"/>
  <c r="DD256" i="9"/>
  <c r="DD186" i="9"/>
  <c r="DD258" i="9"/>
  <c r="DD303" i="9"/>
  <c r="DD184" i="9"/>
  <c r="DD187" i="9"/>
  <c r="DD196" i="9"/>
  <c r="DD194" i="9"/>
  <c r="DD246" i="9"/>
  <c r="DD252" i="9"/>
  <c r="DD247" i="9"/>
  <c r="DD251" i="9"/>
  <c r="DD248" i="9"/>
  <c r="DD190" i="9"/>
  <c r="DD249" i="9"/>
  <c r="DD192" i="9"/>
  <c r="DD250" i="9"/>
  <c r="DD185" i="9"/>
  <c r="DD189" i="9"/>
  <c r="DD195" i="9"/>
  <c r="CV160" i="9"/>
  <c r="CV192" i="9"/>
  <c r="CV224" i="9"/>
  <c r="CV256" i="9"/>
  <c r="CV161" i="9"/>
  <c r="CV193" i="9"/>
  <c r="CV225" i="9"/>
  <c r="CV257" i="9"/>
  <c r="CV162" i="9"/>
  <c r="CV194" i="9"/>
  <c r="CV226" i="9"/>
  <c r="CV258" i="9"/>
  <c r="CV163" i="9"/>
  <c r="CV195" i="9"/>
  <c r="CV227" i="9"/>
  <c r="CV164" i="9"/>
  <c r="CV196" i="9"/>
  <c r="CV228" i="9"/>
  <c r="CV165" i="9"/>
  <c r="CV197" i="9"/>
  <c r="CV229" i="9"/>
  <c r="CV166" i="9"/>
  <c r="CV198" i="9"/>
  <c r="CV230" i="9"/>
  <c r="CV167" i="9"/>
  <c r="CV199" i="9"/>
  <c r="CV231" i="9"/>
  <c r="CV168" i="9"/>
  <c r="CV200" i="9"/>
  <c r="CV232" i="9"/>
  <c r="CV169" i="9"/>
  <c r="CV201" i="9"/>
  <c r="CV233" i="9"/>
  <c r="CV149" i="9"/>
  <c r="CV181" i="9"/>
  <c r="CV213" i="9"/>
  <c r="CV245" i="9"/>
  <c r="CV153" i="9"/>
  <c r="CV185" i="9"/>
  <c r="CV217" i="9"/>
  <c r="CV249" i="9"/>
  <c r="CV154" i="9"/>
  <c r="CV186" i="9"/>
  <c r="CV218" i="9"/>
  <c r="CV250" i="9"/>
  <c r="CV155" i="9"/>
  <c r="CV187" i="9"/>
  <c r="CV219" i="9"/>
  <c r="CV251" i="9"/>
  <c r="CV157" i="9"/>
  <c r="CV189" i="9"/>
  <c r="CV221" i="9"/>
  <c r="CV253" i="9"/>
  <c r="CV144" i="9"/>
  <c r="CV206" i="9"/>
  <c r="CV145" i="9"/>
  <c r="CV207" i="9"/>
  <c r="CV146" i="9"/>
  <c r="CV208" i="9"/>
  <c r="CV158" i="9"/>
  <c r="CV222" i="9"/>
  <c r="CV223" i="9"/>
  <c r="CV147" i="9"/>
  <c r="CV209" i="9"/>
  <c r="CV216" i="9"/>
  <c r="CV159" i="9"/>
  <c r="CV148" i="9"/>
  <c r="CV210" i="9"/>
  <c r="CV150" i="9"/>
  <c r="CV211" i="9"/>
  <c r="CV151" i="9"/>
  <c r="CV212" i="9"/>
  <c r="CV220" i="9"/>
  <c r="CV152" i="9"/>
  <c r="CV214" i="9"/>
  <c r="CV170" i="9"/>
  <c r="CV156" i="9"/>
  <c r="CV215" i="9"/>
  <c r="CV188" i="9"/>
  <c r="CV247" i="9"/>
  <c r="CV190" i="9"/>
  <c r="CV248" i="9"/>
  <c r="CV205" i="9"/>
  <c r="CV191" i="9"/>
  <c r="CV252" i="9"/>
  <c r="CV204" i="9"/>
  <c r="CV202" i="9"/>
  <c r="CV254" i="9"/>
  <c r="CV171" i="9"/>
  <c r="CV203" i="9"/>
  <c r="CV255" i="9"/>
  <c r="CV143" i="9"/>
  <c r="CV179" i="9"/>
  <c r="CV180" i="9"/>
  <c r="CV240" i="9"/>
  <c r="CV182" i="9"/>
  <c r="CV183" i="9"/>
  <c r="CV234" i="9"/>
  <c r="CV235" i="9"/>
  <c r="CV243" i="9"/>
  <c r="CV184" i="9"/>
  <c r="CV239" i="9"/>
  <c r="CV241" i="9"/>
  <c r="CV242" i="9"/>
  <c r="CV236" i="9"/>
  <c r="CV172" i="9"/>
  <c r="CV177" i="9"/>
  <c r="CV237" i="9"/>
  <c r="CV173" i="9"/>
  <c r="CV174" i="9"/>
  <c r="CV175" i="9"/>
  <c r="CV244" i="9"/>
  <c r="CV176" i="9"/>
  <c r="CV178" i="9"/>
  <c r="CV238" i="9"/>
  <c r="CV246" i="9"/>
  <c r="CN148" i="9"/>
  <c r="CN180" i="9"/>
  <c r="CN212" i="9"/>
  <c r="CN244" i="9"/>
  <c r="CN149" i="9"/>
  <c r="CN181" i="9"/>
  <c r="CN213" i="9"/>
  <c r="CN245" i="9"/>
  <c r="CN150" i="9"/>
  <c r="CN182" i="9"/>
  <c r="CN214" i="9"/>
  <c r="CN246" i="9"/>
  <c r="CN151" i="9"/>
  <c r="CN183" i="9"/>
  <c r="CN215" i="9"/>
  <c r="CN247" i="9"/>
  <c r="CN152" i="9"/>
  <c r="CN184" i="9"/>
  <c r="CN216" i="9"/>
  <c r="CN248" i="9"/>
  <c r="CN153" i="9"/>
  <c r="CN185" i="9"/>
  <c r="CN217" i="9"/>
  <c r="CN249" i="9"/>
  <c r="CN154" i="9"/>
  <c r="CN186" i="9"/>
  <c r="CN218" i="9"/>
  <c r="CN250" i="9"/>
  <c r="CN155" i="9"/>
  <c r="CN187" i="9"/>
  <c r="CN219" i="9"/>
  <c r="CN251" i="9"/>
  <c r="CN157" i="9"/>
  <c r="CN189" i="9"/>
  <c r="CN221" i="9"/>
  <c r="CN253" i="9"/>
  <c r="CN169" i="9"/>
  <c r="CN201" i="9"/>
  <c r="CN233" i="9"/>
  <c r="CN174" i="9"/>
  <c r="CN206" i="9"/>
  <c r="CN238" i="9"/>
  <c r="CN143" i="9"/>
  <c r="CN175" i="9"/>
  <c r="CN207" i="9"/>
  <c r="CN239" i="9"/>
  <c r="CN192" i="9"/>
  <c r="CN237" i="9"/>
  <c r="CN193" i="9"/>
  <c r="CN240" i="9"/>
  <c r="CN194" i="9"/>
  <c r="CN241" i="9"/>
  <c r="CN257" i="9"/>
  <c r="CN258" i="9"/>
  <c r="CN204" i="9"/>
  <c r="CN195" i="9"/>
  <c r="CN242" i="9"/>
  <c r="CN202" i="9"/>
  <c r="CN196" i="9"/>
  <c r="CN243" i="9"/>
  <c r="CN255" i="9"/>
  <c r="CN203" i="9"/>
  <c r="CN144" i="9"/>
  <c r="CN197" i="9"/>
  <c r="CN252" i="9"/>
  <c r="CN145" i="9"/>
  <c r="CN198" i="9"/>
  <c r="CN254" i="9"/>
  <c r="CN156" i="9"/>
  <c r="CN158" i="9"/>
  <c r="CN146" i="9"/>
  <c r="CN199" i="9"/>
  <c r="CN159" i="9"/>
  <c r="CN147" i="9"/>
  <c r="CN200" i="9"/>
  <c r="CN256" i="9"/>
  <c r="CN176" i="9"/>
  <c r="CN229" i="9"/>
  <c r="CN177" i="9"/>
  <c r="CN230" i="9"/>
  <c r="CN191" i="9"/>
  <c r="CN178" i="9"/>
  <c r="CN231" i="9"/>
  <c r="CN179" i="9"/>
  <c r="CN232" i="9"/>
  <c r="CN235" i="9"/>
  <c r="CN188" i="9"/>
  <c r="CN234" i="9"/>
  <c r="CN190" i="9"/>
  <c r="CN236" i="9"/>
  <c r="CN172" i="9"/>
  <c r="CN173" i="9"/>
  <c r="CN220" i="9"/>
  <c r="CN222" i="9"/>
  <c r="CN225" i="9"/>
  <c r="CN205" i="9"/>
  <c r="CN210" i="9"/>
  <c r="CN160" i="9"/>
  <c r="CN208" i="9"/>
  <c r="CN228" i="9"/>
  <c r="CN209" i="9"/>
  <c r="CN211" i="9"/>
  <c r="CN226" i="9"/>
  <c r="CN227" i="9"/>
  <c r="CN163" i="9"/>
  <c r="CN224" i="9"/>
  <c r="CN164" i="9"/>
  <c r="CN223" i="9"/>
  <c r="CN165" i="9"/>
  <c r="CN171" i="9"/>
  <c r="CN166" i="9"/>
  <c r="CN167" i="9"/>
  <c r="CN170" i="9"/>
  <c r="CN168" i="9"/>
  <c r="CN161" i="9"/>
  <c r="CN162" i="9"/>
  <c r="CR154" i="9"/>
  <c r="CR186" i="9"/>
  <c r="CR218" i="9"/>
  <c r="CR250" i="9"/>
  <c r="CR155" i="9"/>
  <c r="CR187" i="9"/>
  <c r="CR219" i="9"/>
  <c r="CR251" i="9"/>
  <c r="CR156" i="9"/>
  <c r="CR188" i="9"/>
  <c r="CR220" i="9"/>
  <c r="CR252" i="9"/>
  <c r="CR157" i="9"/>
  <c r="CR189" i="9"/>
  <c r="CR221" i="9"/>
  <c r="CR253" i="9"/>
  <c r="CR158" i="9"/>
  <c r="CR190" i="9"/>
  <c r="CR222" i="9"/>
  <c r="CR254" i="9"/>
  <c r="CR159" i="9"/>
  <c r="CR191" i="9"/>
  <c r="CR223" i="9"/>
  <c r="CR255" i="9"/>
  <c r="CR160" i="9"/>
  <c r="CR192" i="9"/>
  <c r="CR224" i="9"/>
  <c r="CR256" i="9"/>
  <c r="CR161" i="9"/>
  <c r="CR193" i="9"/>
  <c r="CR225" i="9"/>
  <c r="CR257" i="9"/>
  <c r="CR163" i="9"/>
  <c r="CR195" i="9"/>
  <c r="CR227" i="9"/>
  <c r="CR143" i="9"/>
  <c r="CR175" i="9"/>
  <c r="CR207" i="9"/>
  <c r="CR239" i="9"/>
  <c r="CR147" i="9"/>
  <c r="CR179" i="9"/>
  <c r="CR211" i="9"/>
  <c r="CR243" i="9"/>
  <c r="CR148" i="9"/>
  <c r="CR180" i="9"/>
  <c r="CR212" i="9"/>
  <c r="CR244" i="9"/>
  <c r="CR149" i="9"/>
  <c r="CR181" i="9"/>
  <c r="CR213" i="9"/>
  <c r="CR245" i="9"/>
  <c r="CR151" i="9"/>
  <c r="CR183" i="9"/>
  <c r="CR215" i="9"/>
  <c r="CR247" i="9"/>
  <c r="CR145" i="9"/>
  <c r="CR204" i="9"/>
  <c r="CR146" i="9"/>
  <c r="CR205" i="9"/>
  <c r="CR167" i="9"/>
  <c r="CR229" i="9"/>
  <c r="CR150" i="9"/>
  <c r="CR206" i="9"/>
  <c r="CR152" i="9"/>
  <c r="CR208" i="9"/>
  <c r="CR226" i="9"/>
  <c r="CR168" i="9"/>
  <c r="CR153" i="9"/>
  <c r="CR209" i="9"/>
  <c r="CR162" i="9"/>
  <c r="CR210" i="9"/>
  <c r="CR164" i="9"/>
  <c r="CR214" i="9"/>
  <c r="CR228" i="9"/>
  <c r="CR169" i="9"/>
  <c r="CR165" i="9"/>
  <c r="CR216" i="9"/>
  <c r="CR170" i="9"/>
  <c r="CR166" i="9"/>
  <c r="CR217" i="9"/>
  <c r="CR197" i="9"/>
  <c r="CR248" i="9"/>
  <c r="CR198" i="9"/>
  <c r="CR249" i="9"/>
  <c r="CR203" i="9"/>
  <c r="CR199" i="9"/>
  <c r="CR258" i="9"/>
  <c r="CR200" i="9"/>
  <c r="CR202" i="9"/>
  <c r="CR144" i="9"/>
  <c r="CR201" i="9"/>
  <c r="CR230" i="9"/>
  <c r="CR194" i="9"/>
  <c r="CR173" i="9"/>
  <c r="CR176" i="9"/>
  <c r="CR232" i="9"/>
  <c r="CR171" i="9"/>
  <c r="CR172" i="9"/>
  <c r="CR177" i="9"/>
  <c r="CR178" i="9"/>
  <c r="CR231" i="9"/>
  <c r="CR234" i="9"/>
  <c r="CR182" i="9"/>
  <c r="CR184" i="9"/>
  <c r="CR196" i="9"/>
  <c r="CR238" i="9"/>
  <c r="CR185" i="9"/>
  <c r="CR235" i="9"/>
  <c r="CR237" i="9"/>
  <c r="CR240" i="9"/>
  <c r="CR241" i="9"/>
  <c r="CR174" i="9"/>
  <c r="CR233" i="9"/>
  <c r="CR242" i="9"/>
  <c r="CR246" i="9"/>
  <c r="CR236" i="9"/>
  <c r="CL145" i="9"/>
  <c r="CL146" i="9"/>
  <c r="CL178" i="9"/>
  <c r="CL210" i="9"/>
  <c r="CL242" i="9"/>
  <c r="CL147" i="9"/>
  <c r="CL179" i="9"/>
  <c r="CL211" i="9"/>
  <c r="CL243" i="9"/>
  <c r="CL148" i="9"/>
  <c r="CL180" i="9"/>
  <c r="CL212" i="9"/>
  <c r="CL244" i="9"/>
  <c r="CL150" i="9"/>
  <c r="CL182" i="9"/>
  <c r="CL214" i="9"/>
  <c r="CL246" i="9"/>
  <c r="CL151" i="9"/>
  <c r="CL152" i="9"/>
  <c r="CL184" i="9"/>
  <c r="CL216" i="9"/>
  <c r="CL248" i="9"/>
  <c r="CL154" i="9"/>
  <c r="CL186" i="9"/>
  <c r="CL218" i="9"/>
  <c r="CL250" i="9"/>
  <c r="CL167" i="9"/>
  <c r="CL205" i="9"/>
  <c r="CL247" i="9"/>
  <c r="CL176" i="9"/>
  <c r="CL168" i="9"/>
  <c r="CL206" i="9"/>
  <c r="CL249" i="9"/>
  <c r="CL256" i="9"/>
  <c r="CL258" i="9"/>
  <c r="CL221" i="9"/>
  <c r="CL169" i="9"/>
  <c r="CL207" i="9"/>
  <c r="CL251" i="9"/>
  <c r="CL222" i="9"/>
  <c r="CL170" i="9"/>
  <c r="CL208" i="9"/>
  <c r="CL252" i="9"/>
  <c r="CL174" i="9"/>
  <c r="CL171" i="9"/>
  <c r="CL209" i="9"/>
  <c r="CL253" i="9"/>
  <c r="CL172" i="9"/>
  <c r="CL213" i="9"/>
  <c r="CL254" i="9"/>
  <c r="CL220" i="9"/>
  <c r="CL173" i="9"/>
  <c r="CL215" i="9"/>
  <c r="CL255" i="9"/>
  <c r="CL217" i="9"/>
  <c r="CL181" i="9"/>
  <c r="CL175" i="9"/>
  <c r="CL219" i="9"/>
  <c r="CL257" i="9"/>
  <c r="CL177" i="9"/>
  <c r="CL160" i="9"/>
  <c r="CL198" i="9"/>
  <c r="CL236" i="9"/>
  <c r="CL165" i="9"/>
  <c r="CL245" i="9"/>
  <c r="CL161" i="9"/>
  <c r="CL199" i="9"/>
  <c r="CL237" i="9"/>
  <c r="CL166" i="9"/>
  <c r="CL162" i="9"/>
  <c r="CL200" i="9"/>
  <c r="CL238" i="9"/>
  <c r="CL241" i="9"/>
  <c r="CL163" i="9"/>
  <c r="CL201" i="9"/>
  <c r="CL239" i="9"/>
  <c r="CL203" i="9"/>
  <c r="CL164" i="9"/>
  <c r="CL202" i="9"/>
  <c r="CL240" i="9"/>
  <c r="CL204" i="9"/>
  <c r="CL156" i="9"/>
  <c r="CL157" i="9"/>
  <c r="CL158" i="9"/>
  <c r="CL226" i="9"/>
  <c r="CL159" i="9"/>
  <c r="CL185" i="9"/>
  <c r="CL187" i="9"/>
  <c r="CL196" i="9"/>
  <c r="CL183" i="9"/>
  <c r="CL227" i="9"/>
  <c r="CL229" i="9"/>
  <c r="CL193" i="9"/>
  <c r="CL194" i="9"/>
  <c r="CL223" i="9"/>
  <c r="CL230" i="9"/>
  <c r="CL189" i="9"/>
  <c r="CL228" i="9"/>
  <c r="CL231" i="9"/>
  <c r="CL155" i="9"/>
  <c r="CL188" i="9"/>
  <c r="CL191" i="9"/>
  <c r="CL232" i="9"/>
  <c r="CL153" i="9"/>
  <c r="CL143" i="9"/>
  <c r="CL233" i="9"/>
  <c r="CL144" i="9"/>
  <c r="CL234" i="9"/>
  <c r="CL190" i="9"/>
  <c r="CL195" i="9"/>
  <c r="CL224" i="9"/>
  <c r="CL225" i="9"/>
  <c r="CL149" i="9"/>
  <c r="CL235" i="9"/>
  <c r="CL192" i="9"/>
  <c r="CL197" i="9"/>
  <c r="CT157" i="9"/>
  <c r="CT189" i="9"/>
  <c r="CT221" i="9"/>
  <c r="CT253" i="9"/>
  <c r="CT158" i="9"/>
  <c r="CT190" i="9"/>
  <c r="CT222" i="9"/>
  <c r="CT254" i="9"/>
  <c r="CT159" i="9"/>
  <c r="CT191" i="9"/>
  <c r="CT223" i="9"/>
  <c r="CT255" i="9"/>
  <c r="CT160" i="9"/>
  <c r="CT192" i="9"/>
  <c r="CT224" i="9"/>
  <c r="CT256" i="9"/>
  <c r="CT161" i="9"/>
  <c r="CT193" i="9"/>
  <c r="CT225" i="9"/>
  <c r="CT257" i="9"/>
  <c r="CT162" i="9"/>
  <c r="CT194" i="9"/>
  <c r="CT226" i="9"/>
  <c r="CT258" i="9"/>
  <c r="CT163" i="9"/>
  <c r="CT195" i="9"/>
  <c r="CT227" i="9"/>
  <c r="CT164" i="9"/>
  <c r="CT196" i="9"/>
  <c r="CT228" i="9"/>
  <c r="CT166" i="9"/>
  <c r="CT198" i="9"/>
  <c r="CT230" i="9"/>
  <c r="CT146" i="9"/>
  <c r="CT178" i="9"/>
  <c r="CT210" i="9"/>
  <c r="CT242" i="9"/>
  <c r="CT150" i="9"/>
  <c r="CT182" i="9"/>
  <c r="CT214" i="9"/>
  <c r="CT246" i="9"/>
  <c r="CT151" i="9"/>
  <c r="CT183" i="9"/>
  <c r="CT215" i="9"/>
  <c r="CT247" i="9"/>
  <c r="CT152" i="9"/>
  <c r="CT184" i="9"/>
  <c r="CT216" i="9"/>
  <c r="CT248" i="9"/>
  <c r="CT154" i="9"/>
  <c r="CT186" i="9"/>
  <c r="CT218" i="9"/>
  <c r="CT250" i="9"/>
  <c r="CT177" i="9"/>
  <c r="CT237" i="9"/>
  <c r="CT251" i="9"/>
  <c r="CT201" i="9"/>
  <c r="CT179" i="9"/>
  <c r="CT238" i="9"/>
  <c r="CT180" i="9"/>
  <c r="CT239" i="9"/>
  <c r="CT181" i="9"/>
  <c r="CT240" i="9"/>
  <c r="CT185" i="9"/>
  <c r="CT241" i="9"/>
  <c r="CT187" i="9"/>
  <c r="CT243" i="9"/>
  <c r="CT252" i="9"/>
  <c r="CT188" i="9"/>
  <c r="CT244" i="9"/>
  <c r="CT197" i="9"/>
  <c r="CT245" i="9"/>
  <c r="CT202" i="9"/>
  <c r="CT199" i="9"/>
  <c r="CT249" i="9"/>
  <c r="CT200" i="9"/>
  <c r="CT170" i="9"/>
  <c r="CT229" i="9"/>
  <c r="CT143" i="9"/>
  <c r="CT171" i="9"/>
  <c r="CT231" i="9"/>
  <c r="CT176" i="9"/>
  <c r="CT172" i="9"/>
  <c r="CT232" i="9"/>
  <c r="CT235" i="9"/>
  <c r="CT203" i="9"/>
  <c r="CT173" i="9"/>
  <c r="CT233" i="9"/>
  <c r="CT174" i="9"/>
  <c r="CT234" i="9"/>
  <c r="CT175" i="9"/>
  <c r="CT236" i="9"/>
  <c r="CT220" i="9"/>
  <c r="CT165" i="9"/>
  <c r="CT169" i="9"/>
  <c r="CT168" i="9"/>
  <c r="CT156" i="9"/>
  <c r="CT148" i="9"/>
  <c r="CT149" i="9"/>
  <c r="CT205" i="9"/>
  <c r="CT207" i="9"/>
  <c r="CT208" i="9"/>
  <c r="CT145" i="9"/>
  <c r="CT147" i="9"/>
  <c r="CT153" i="9"/>
  <c r="CT167" i="9"/>
  <c r="CT209" i="9"/>
  <c r="CT219" i="9"/>
  <c r="CT206" i="9"/>
  <c r="CT211" i="9"/>
  <c r="CT212" i="9"/>
  <c r="CT217" i="9"/>
  <c r="CT144" i="9"/>
  <c r="CT204" i="9"/>
  <c r="CT213" i="9"/>
  <c r="CT155" i="9"/>
  <c r="CZ166" i="9"/>
  <c r="CZ198" i="9"/>
  <c r="CZ230" i="9"/>
  <c r="CZ167" i="9"/>
  <c r="CZ199" i="9"/>
  <c r="CZ231" i="9"/>
  <c r="CZ168" i="9"/>
  <c r="CZ200" i="9"/>
  <c r="CZ232" i="9"/>
  <c r="CZ169" i="9"/>
  <c r="CZ201" i="9"/>
  <c r="CZ233" i="9"/>
  <c r="CZ170" i="9"/>
  <c r="CZ202" i="9"/>
  <c r="CZ234" i="9"/>
  <c r="CZ171" i="9"/>
  <c r="CZ203" i="9"/>
  <c r="CZ235" i="9"/>
  <c r="CZ172" i="9"/>
  <c r="CZ204" i="9"/>
  <c r="CZ236" i="9"/>
  <c r="CZ173" i="9"/>
  <c r="CZ205" i="9"/>
  <c r="CZ237" i="9"/>
  <c r="CZ174" i="9"/>
  <c r="CZ206" i="9"/>
  <c r="CZ238" i="9"/>
  <c r="CZ143" i="9"/>
  <c r="CZ175" i="9"/>
  <c r="CZ207" i="9"/>
  <c r="CZ239" i="9"/>
  <c r="CZ155" i="9"/>
  <c r="CZ187" i="9"/>
  <c r="CZ219" i="9"/>
  <c r="CZ251" i="9"/>
  <c r="CZ159" i="9"/>
  <c r="CZ191" i="9"/>
  <c r="CZ223" i="9"/>
  <c r="CZ255" i="9"/>
  <c r="CZ160" i="9"/>
  <c r="CZ192" i="9"/>
  <c r="CZ224" i="9"/>
  <c r="CZ256" i="9"/>
  <c r="CZ161" i="9"/>
  <c r="CZ193" i="9"/>
  <c r="CZ225" i="9"/>
  <c r="CZ257" i="9"/>
  <c r="CZ163" i="9"/>
  <c r="CZ195" i="9"/>
  <c r="CZ227" i="9"/>
  <c r="CZ181" i="9"/>
  <c r="CZ243" i="9"/>
  <c r="CZ182" i="9"/>
  <c r="CZ244" i="9"/>
  <c r="CZ208" i="9"/>
  <c r="CZ183" i="9"/>
  <c r="CZ245" i="9"/>
  <c r="CZ184" i="9"/>
  <c r="CZ246" i="9"/>
  <c r="CZ253" i="9"/>
  <c r="CZ144" i="9"/>
  <c r="CZ185" i="9"/>
  <c r="CZ247" i="9"/>
  <c r="CZ254" i="9"/>
  <c r="CZ258" i="9"/>
  <c r="CZ146" i="9"/>
  <c r="CZ186" i="9"/>
  <c r="CZ248" i="9"/>
  <c r="CZ194" i="9"/>
  <c r="CZ188" i="9"/>
  <c r="CZ249" i="9"/>
  <c r="CZ196" i="9"/>
  <c r="CZ145" i="9"/>
  <c r="CZ189" i="9"/>
  <c r="CZ250" i="9"/>
  <c r="CZ190" i="9"/>
  <c r="CZ252" i="9"/>
  <c r="CZ197" i="9"/>
  <c r="CZ164" i="9"/>
  <c r="CZ222" i="9"/>
  <c r="CZ165" i="9"/>
  <c r="CZ226" i="9"/>
  <c r="CZ242" i="9"/>
  <c r="CZ176" i="9"/>
  <c r="CZ228" i="9"/>
  <c r="CZ179" i="9"/>
  <c r="CZ180" i="9"/>
  <c r="CZ177" i="9"/>
  <c r="CZ229" i="9"/>
  <c r="CZ241" i="9"/>
  <c r="CZ178" i="9"/>
  <c r="CZ240" i="9"/>
  <c r="CZ216" i="9"/>
  <c r="CZ217" i="9"/>
  <c r="CZ218" i="9"/>
  <c r="CZ220" i="9"/>
  <c r="CZ150" i="9"/>
  <c r="CZ221" i="9"/>
  <c r="CZ147" i="9"/>
  <c r="CZ153" i="9"/>
  <c r="CZ162" i="9"/>
  <c r="CZ149" i="9"/>
  <c r="CZ209" i="9"/>
  <c r="CZ158" i="9"/>
  <c r="CZ210" i="9"/>
  <c r="CZ152" i="9"/>
  <c r="CZ157" i="9"/>
  <c r="CZ211" i="9"/>
  <c r="CZ215" i="9"/>
  <c r="CZ154" i="9"/>
  <c r="CZ212" i="9"/>
  <c r="CZ214" i="9"/>
  <c r="CZ148" i="9"/>
  <c r="CZ151" i="9"/>
  <c r="CZ213" i="9"/>
  <c r="CZ156" i="9"/>
  <c r="CJ158" i="9"/>
  <c r="CJ190" i="9"/>
  <c r="CJ222" i="9"/>
  <c r="CJ254" i="9"/>
  <c r="CJ192" i="9"/>
  <c r="CJ257" i="9"/>
  <c r="CJ199" i="9"/>
  <c r="CJ159" i="9"/>
  <c r="CJ191" i="9"/>
  <c r="CJ223" i="9"/>
  <c r="CJ255" i="9"/>
  <c r="CJ256" i="9"/>
  <c r="CJ229" i="9"/>
  <c r="CJ232" i="9"/>
  <c r="CJ160" i="9"/>
  <c r="CJ224" i="9"/>
  <c r="CJ227" i="9"/>
  <c r="CJ200" i="9"/>
  <c r="CJ169" i="9"/>
  <c r="CJ161" i="9"/>
  <c r="CJ193" i="9"/>
  <c r="CJ225" i="9"/>
  <c r="CJ163" i="9"/>
  <c r="CJ228" i="9"/>
  <c r="CJ197" i="9"/>
  <c r="CJ162" i="9"/>
  <c r="CJ194" i="9"/>
  <c r="CJ226" i="9"/>
  <c r="CJ258" i="9"/>
  <c r="CJ195" i="9"/>
  <c r="CJ201" i="9"/>
  <c r="CJ164" i="9"/>
  <c r="CJ165" i="9"/>
  <c r="CJ196" i="9"/>
  <c r="CJ167" i="9"/>
  <c r="CJ168" i="9"/>
  <c r="CJ166" i="9"/>
  <c r="CJ198" i="9"/>
  <c r="CJ230" i="9"/>
  <c r="CJ231" i="9"/>
  <c r="CJ233" i="9"/>
  <c r="CJ151" i="9"/>
  <c r="CJ183" i="9"/>
  <c r="CJ215" i="9"/>
  <c r="CJ247" i="9"/>
  <c r="CJ152" i="9"/>
  <c r="CJ216" i="9"/>
  <c r="CJ249" i="9"/>
  <c r="CJ252" i="9"/>
  <c r="CJ157" i="9"/>
  <c r="CJ184" i="9"/>
  <c r="CJ248" i="9"/>
  <c r="CJ186" i="9"/>
  <c r="CJ188" i="9"/>
  <c r="CJ153" i="9"/>
  <c r="CJ185" i="9"/>
  <c r="CJ217" i="9"/>
  <c r="CJ250" i="9"/>
  <c r="CJ189" i="9"/>
  <c r="CJ154" i="9"/>
  <c r="CJ218" i="9"/>
  <c r="CJ156" i="9"/>
  <c r="CJ221" i="9"/>
  <c r="CJ155" i="9"/>
  <c r="CJ187" i="9"/>
  <c r="CJ219" i="9"/>
  <c r="CJ251" i="9"/>
  <c r="CJ220" i="9"/>
  <c r="CJ253" i="9"/>
  <c r="CJ171" i="9"/>
  <c r="CJ241" i="9"/>
  <c r="CJ172" i="9"/>
  <c r="CJ242" i="9"/>
  <c r="CJ205" i="9"/>
  <c r="CJ212" i="9"/>
  <c r="CJ173" i="9"/>
  <c r="CJ243" i="9"/>
  <c r="CJ246" i="9"/>
  <c r="CJ204" i="9"/>
  <c r="CJ208" i="9"/>
  <c r="CJ174" i="9"/>
  <c r="CJ244" i="9"/>
  <c r="CJ245" i="9"/>
  <c r="CJ176" i="9"/>
  <c r="CJ177" i="9"/>
  <c r="CJ175" i="9"/>
  <c r="CJ209" i="9"/>
  <c r="CJ202" i="9"/>
  <c r="CJ203" i="9"/>
  <c r="CJ206" i="9"/>
  <c r="CJ210" i="9"/>
  <c r="CJ144" i="9"/>
  <c r="CJ214" i="9"/>
  <c r="CJ182" i="9"/>
  <c r="CJ207" i="9"/>
  <c r="CJ213" i="9"/>
  <c r="CJ145" i="9"/>
  <c r="CJ234" i="9"/>
  <c r="CJ147" i="9"/>
  <c r="CJ237" i="9"/>
  <c r="CJ146" i="9"/>
  <c r="CJ235" i="9"/>
  <c r="CJ148" i="9"/>
  <c r="CJ170" i="9"/>
  <c r="CJ236" i="9"/>
  <c r="CJ239" i="9"/>
  <c r="CJ240" i="9"/>
  <c r="CJ180" i="9"/>
  <c r="CJ181" i="9"/>
  <c r="CJ238" i="9"/>
  <c r="CJ150" i="9"/>
  <c r="CJ211" i="9"/>
  <c r="CJ149" i="9"/>
  <c r="CJ178" i="9"/>
  <c r="CJ179" i="9"/>
  <c r="CJ143" i="9"/>
  <c r="CP151" i="9"/>
  <c r="CP183" i="9"/>
  <c r="CP215" i="9"/>
  <c r="CP247" i="9"/>
  <c r="CP152" i="9"/>
  <c r="CP184" i="9"/>
  <c r="CP216" i="9"/>
  <c r="CP248" i="9"/>
  <c r="CP153" i="9"/>
  <c r="CP185" i="9"/>
  <c r="CP217" i="9"/>
  <c r="CP249" i="9"/>
  <c r="CP154" i="9"/>
  <c r="CP186" i="9"/>
  <c r="CP218" i="9"/>
  <c r="CP250" i="9"/>
  <c r="CP155" i="9"/>
  <c r="CP187" i="9"/>
  <c r="CP219" i="9"/>
  <c r="CP251" i="9"/>
  <c r="CP156" i="9"/>
  <c r="CP188" i="9"/>
  <c r="CP220" i="9"/>
  <c r="CP252" i="9"/>
  <c r="CP157" i="9"/>
  <c r="CP189" i="9"/>
  <c r="CP221" i="9"/>
  <c r="CP253" i="9"/>
  <c r="CP158" i="9"/>
  <c r="CP190" i="9"/>
  <c r="CP222" i="9"/>
  <c r="CP254" i="9"/>
  <c r="CP160" i="9"/>
  <c r="CP192" i="9"/>
  <c r="CP224" i="9"/>
  <c r="CP256" i="9"/>
  <c r="CP172" i="9"/>
  <c r="CP204" i="9"/>
  <c r="CP236" i="9"/>
  <c r="CP144" i="9"/>
  <c r="CP176" i="9"/>
  <c r="CP208" i="9"/>
  <c r="CP240" i="9"/>
  <c r="CP145" i="9"/>
  <c r="CP177" i="9"/>
  <c r="CP209" i="9"/>
  <c r="CP241" i="9"/>
  <c r="CP146" i="9"/>
  <c r="CP178" i="9"/>
  <c r="CP210" i="9"/>
  <c r="CP242" i="9"/>
  <c r="CP148" i="9"/>
  <c r="CP180" i="9"/>
  <c r="CP212" i="9"/>
  <c r="CP244" i="9"/>
  <c r="CP171" i="9"/>
  <c r="CP231" i="9"/>
  <c r="CP245" i="9"/>
  <c r="CP195" i="9"/>
  <c r="CP173" i="9"/>
  <c r="CP232" i="9"/>
  <c r="CP255" i="9"/>
  <c r="CP174" i="9"/>
  <c r="CP233" i="9"/>
  <c r="CP175" i="9"/>
  <c r="CP234" i="9"/>
  <c r="CP196" i="9"/>
  <c r="CP179" i="9"/>
  <c r="CP235" i="9"/>
  <c r="CP181" i="9"/>
  <c r="CP237" i="9"/>
  <c r="CP246" i="9"/>
  <c r="CP182" i="9"/>
  <c r="CP238" i="9"/>
  <c r="CP191" i="9"/>
  <c r="CP239" i="9"/>
  <c r="CP193" i="9"/>
  <c r="CP243" i="9"/>
  <c r="CP194" i="9"/>
  <c r="CP164" i="9"/>
  <c r="CP223" i="9"/>
  <c r="CP165" i="9"/>
  <c r="CP225" i="9"/>
  <c r="CP230" i="9"/>
  <c r="CP166" i="9"/>
  <c r="CP226" i="9"/>
  <c r="CP167" i="9"/>
  <c r="CP227" i="9"/>
  <c r="CP229" i="9"/>
  <c r="CP168" i="9"/>
  <c r="CP228" i="9"/>
  <c r="CP169" i="9"/>
  <c r="CP170" i="9"/>
  <c r="CP163" i="9"/>
  <c r="CP197" i="9"/>
  <c r="CP198" i="9"/>
  <c r="CP201" i="9"/>
  <c r="CP199" i="9"/>
  <c r="CP205" i="9"/>
  <c r="CP200" i="9"/>
  <c r="CP202" i="9"/>
  <c r="CP258" i="9"/>
  <c r="CP213" i="9"/>
  <c r="CP214" i="9"/>
  <c r="CP206" i="9"/>
  <c r="CP143" i="9"/>
  <c r="CP161" i="9"/>
  <c r="CP147" i="9"/>
  <c r="CP257" i="9"/>
  <c r="CP149" i="9"/>
  <c r="CP207" i="9"/>
  <c r="CP150" i="9"/>
  <c r="CP203" i="9"/>
  <c r="CP211" i="9"/>
  <c r="CP159" i="9"/>
  <c r="CP162" i="9"/>
  <c r="CX163" i="9"/>
  <c r="CX195" i="9"/>
  <c r="CX227" i="9"/>
  <c r="CX164" i="9"/>
  <c r="CX196" i="9"/>
  <c r="CX228" i="9"/>
  <c r="CX165" i="9"/>
  <c r="CX197" i="9"/>
  <c r="CX229" i="9"/>
  <c r="CX166" i="9"/>
  <c r="CX198" i="9"/>
  <c r="CX230" i="9"/>
  <c r="CX167" i="9"/>
  <c r="CX199" i="9"/>
  <c r="CX231" i="9"/>
  <c r="CX168" i="9"/>
  <c r="CX200" i="9"/>
  <c r="CX232" i="9"/>
  <c r="CX169" i="9"/>
  <c r="CX201" i="9"/>
  <c r="CX233" i="9"/>
  <c r="CX170" i="9"/>
  <c r="CX202" i="9"/>
  <c r="CX234" i="9"/>
  <c r="CX171" i="9"/>
  <c r="CX203" i="9"/>
  <c r="CX235" i="9"/>
  <c r="CX172" i="9"/>
  <c r="CX204" i="9"/>
  <c r="CX236" i="9"/>
  <c r="CX152" i="9"/>
  <c r="CX184" i="9"/>
  <c r="CX216" i="9"/>
  <c r="CX248" i="9"/>
  <c r="CX156" i="9"/>
  <c r="CX188" i="9"/>
  <c r="CX220" i="9"/>
  <c r="CX252" i="9"/>
  <c r="CX157" i="9"/>
  <c r="CX189" i="9"/>
  <c r="CX221" i="9"/>
  <c r="CX253" i="9"/>
  <c r="CX158" i="9"/>
  <c r="CX190" i="9"/>
  <c r="CX222" i="9"/>
  <c r="CX254" i="9"/>
  <c r="CX160" i="9"/>
  <c r="CX192" i="9"/>
  <c r="CX224" i="9"/>
  <c r="CX256" i="9"/>
  <c r="CX159" i="9"/>
  <c r="CX218" i="9"/>
  <c r="CX241" i="9"/>
  <c r="CX180" i="9"/>
  <c r="CX161" i="9"/>
  <c r="CX219" i="9"/>
  <c r="CX162" i="9"/>
  <c r="CX223" i="9"/>
  <c r="CX181" i="9"/>
  <c r="CX173" i="9"/>
  <c r="CX225" i="9"/>
  <c r="CX174" i="9"/>
  <c r="CX226" i="9"/>
  <c r="CX175" i="9"/>
  <c r="CX237" i="9"/>
  <c r="CX242" i="9"/>
  <c r="CX176" i="9"/>
  <c r="CX238" i="9"/>
  <c r="CX182" i="9"/>
  <c r="CX177" i="9"/>
  <c r="CX239" i="9"/>
  <c r="CX179" i="9"/>
  <c r="CX244" i="9"/>
  <c r="CX178" i="9"/>
  <c r="CX240" i="9"/>
  <c r="CX243" i="9"/>
  <c r="CX148" i="9"/>
  <c r="CX210" i="9"/>
  <c r="CX217" i="9"/>
  <c r="CX149" i="9"/>
  <c r="CX211" i="9"/>
  <c r="CX215" i="9"/>
  <c r="CX155" i="9"/>
  <c r="CX150" i="9"/>
  <c r="CX212" i="9"/>
  <c r="CX154" i="9"/>
  <c r="CX151" i="9"/>
  <c r="CX213" i="9"/>
  <c r="CX153" i="9"/>
  <c r="CX214" i="9"/>
  <c r="CX145" i="9"/>
  <c r="CX194" i="9"/>
  <c r="CX146" i="9"/>
  <c r="CX143" i="9"/>
  <c r="CX144" i="9"/>
  <c r="CX183" i="9"/>
  <c r="CX206" i="9"/>
  <c r="CX245" i="9"/>
  <c r="CX247" i="9"/>
  <c r="CX187" i="9"/>
  <c r="CX191" i="9"/>
  <c r="CX249" i="9"/>
  <c r="CX185" i="9"/>
  <c r="CX205" i="9"/>
  <c r="CX207" i="9"/>
  <c r="CX250" i="9"/>
  <c r="CX209" i="9"/>
  <c r="CX251" i="9"/>
  <c r="CX193" i="9"/>
  <c r="CX255" i="9"/>
  <c r="CX147" i="9"/>
  <c r="CX257" i="9"/>
  <c r="CX186" i="9"/>
  <c r="CX208" i="9"/>
  <c r="CX258" i="9"/>
  <c r="CX246" i="9"/>
  <c r="V55" i="38" l="1"/>
  <c r="S55" i="38"/>
  <c r="T55" i="38"/>
  <c r="Q56" i="38" a="1"/>
  <c r="Q56" i="38" s="1"/>
  <c r="U55" i="38"/>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24" i="1"/>
  <c r="B108" i="1"/>
  <c r="B109" i="1"/>
  <c r="B110" i="1"/>
  <c r="B111" i="1"/>
  <c r="B112" i="1"/>
  <c r="B113" i="1"/>
  <c r="B114" i="1"/>
  <c r="B115" i="1"/>
  <c r="B116" i="1"/>
  <c r="B117" i="1"/>
  <c r="B118" i="1"/>
  <c r="B119" i="1"/>
  <c r="B120" i="1"/>
  <c r="B121" i="1"/>
  <c r="B122" i="1"/>
  <c r="B107" i="1"/>
  <c r="B95" i="1"/>
  <c r="B96" i="1"/>
  <c r="B97" i="1"/>
  <c r="B98" i="1"/>
  <c r="B99" i="1"/>
  <c r="B100" i="1"/>
  <c r="B101" i="1"/>
  <c r="B102" i="1"/>
  <c r="B103" i="1"/>
  <c r="B104" i="1"/>
  <c r="B105" i="1"/>
  <c r="B94" i="1"/>
  <c r="B84" i="1"/>
  <c r="B85" i="1"/>
  <c r="B86" i="1"/>
  <c r="B87" i="1"/>
  <c r="B88" i="1"/>
  <c r="B89" i="1"/>
  <c r="B90" i="1"/>
  <c r="B91" i="1"/>
  <c r="B92" i="1"/>
  <c r="B83" i="1"/>
  <c r="B4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6" i="1"/>
  <c r="W55" i="38" l="1"/>
  <c r="T56" i="38"/>
  <c r="S56" i="38"/>
  <c r="V56" i="38"/>
  <c r="Q57" i="38" a="1"/>
  <c r="Q57" i="38" s="1"/>
  <c r="U56" i="38"/>
  <c r="K189" i="1"/>
  <c r="K190" i="1"/>
  <c r="K191" i="1"/>
  <c r="K192" i="1"/>
  <c r="K193" i="1"/>
  <c r="K194" i="1"/>
  <c r="K195" i="1"/>
  <c r="K196" i="1"/>
  <c r="K197" i="1"/>
  <c r="K198" i="1"/>
  <c r="K199" i="1"/>
  <c r="K200" i="1"/>
  <c r="K201" i="1"/>
  <c r="K202" i="1"/>
  <c r="K203" i="1"/>
  <c r="K204" i="1"/>
  <c r="K205" i="1"/>
  <c r="K206" i="1"/>
  <c r="K207" i="1"/>
  <c r="K208" i="1"/>
  <c r="K209" i="1"/>
  <c r="K210" i="1"/>
  <c r="K211" i="1"/>
  <c r="K212" i="1"/>
  <c r="K188" i="1"/>
  <c r="W56" i="38" l="1"/>
  <c r="T57" i="38"/>
  <c r="S57" i="38"/>
  <c r="V57" i="38"/>
  <c r="Q58" i="38" a="1"/>
  <c r="Q58" i="38" s="1"/>
  <c r="S58" i="38" s="1"/>
  <c r="U57" i="38"/>
  <c r="C189" i="1"/>
  <c r="C190" i="1"/>
  <c r="C191" i="1"/>
  <c r="C192" i="1"/>
  <c r="C193" i="1"/>
  <c r="C194" i="1"/>
  <c r="C195" i="1"/>
  <c r="C196" i="1"/>
  <c r="C197" i="1"/>
  <c r="C198" i="1"/>
  <c r="C199" i="1"/>
  <c r="C200" i="1"/>
  <c r="C201" i="1"/>
  <c r="C202" i="1"/>
  <c r="C203" i="1"/>
  <c r="G203" i="1" s="1"/>
  <c r="H203" i="1" s="1"/>
  <c r="C204" i="1"/>
  <c r="G204" i="1" s="1"/>
  <c r="H204" i="1" s="1"/>
  <c r="C205" i="1"/>
  <c r="G205" i="1" s="1"/>
  <c r="H205" i="1" s="1"/>
  <c r="C206" i="1"/>
  <c r="G206" i="1" s="1"/>
  <c r="H206" i="1" s="1"/>
  <c r="C207" i="1"/>
  <c r="G207" i="1" s="1"/>
  <c r="H207" i="1" s="1"/>
  <c r="C208" i="1"/>
  <c r="G208" i="1" s="1"/>
  <c r="H208" i="1" s="1"/>
  <c r="C209" i="1"/>
  <c r="G209" i="1" s="1"/>
  <c r="H209" i="1" s="1"/>
  <c r="C210" i="1"/>
  <c r="G210" i="1" s="1"/>
  <c r="H210" i="1" s="1"/>
  <c r="C211" i="1"/>
  <c r="G211" i="1" s="1"/>
  <c r="H211" i="1" s="1"/>
  <c r="C212" i="1"/>
  <c r="G212" i="1" s="1"/>
  <c r="H212" i="1" s="1"/>
  <c r="W57" i="38" l="1"/>
  <c r="Q59" i="38" a="1"/>
  <c r="Q59" i="38" s="1"/>
  <c r="U58" i="38"/>
  <c r="T58" i="38"/>
  <c r="V58" i="38"/>
  <c r="W58" i="38" s="1"/>
  <c r="D203" i="1"/>
  <c r="D210" i="1"/>
  <c r="D208" i="1"/>
  <c r="D204" i="1"/>
  <c r="D212" i="1"/>
  <c r="D211" i="1"/>
  <c r="D209" i="1"/>
  <c r="D207" i="1"/>
  <c r="D206" i="1"/>
  <c r="D205" i="1"/>
  <c r="D202" i="1"/>
  <c r="G202" i="1"/>
  <c r="H202" i="1" s="1"/>
  <c r="G201" i="1"/>
  <c r="H201" i="1" s="1"/>
  <c r="D201" i="1"/>
  <c r="G200" i="1"/>
  <c r="H200" i="1" s="1"/>
  <c r="D200" i="1"/>
  <c r="G199" i="1"/>
  <c r="H199" i="1" s="1"/>
  <c r="D199" i="1"/>
  <c r="D198" i="1"/>
  <c r="G198" i="1"/>
  <c r="H198" i="1" s="1"/>
  <c r="D197" i="1"/>
  <c r="G197" i="1"/>
  <c r="H197" i="1" s="1"/>
  <c r="G192" i="1"/>
  <c r="H192" i="1" s="1"/>
  <c r="D192" i="1"/>
  <c r="G191" i="1"/>
  <c r="D191" i="1"/>
  <c r="G196" i="1"/>
  <c r="H196" i="1" s="1"/>
  <c r="D196" i="1"/>
  <c r="G195" i="1"/>
  <c r="H195" i="1" s="1"/>
  <c r="D195" i="1"/>
  <c r="G193" i="1"/>
  <c r="H193" i="1" s="1"/>
  <c r="D193" i="1"/>
  <c r="G190" i="1"/>
  <c r="H190" i="1" s="1"/>
  <c r="D190" i="1"/>
  <c r="G194" i="1"/>
  <c r="H194" i="1" s="1"/>
  <c r="D194" i="1"/>
  <c r="G189" i="1"/>
  <c r="D189" i="1"/>
  <c r="I202" i="1"/>
  <c r="F202" i="1"/>
  <c r="J202" i="1"/>
  <c r="F200" i="1"/>
  <c r="I200" i="1"/>
  <c r="J200" i="1"/>
  <c r="F198" i="1"/>
  <c r="I198" i="1"/>
  <c r="J198" i="1"/>
  <c r="F197" i="1"/>
  <c r="J197" i="1"/>
  <c r="I197" i="1"/>
  <c r="F196" i="1"/>
  <c r="I196" i="1"/>
  <c r="J196" i="1"/>
  <c r="F195" i="1"/>
  <c r="I195" i="1"/>
  <c r="J195" i="1"/>
  <c r="J201" i="1"/>
  <c r="F201" i="1"/>
  <c r="I201" i="1"/>
  <c r="F199" i="1"/>
  <c r="J199" i="1"/>
  <c r="I199" i="1"/>
  <c r="I194" i="1"/>
  <c r="J194" i="1"/>
  <c r="F194" i="1"/>
  <c r="I193" i="1"/>
  <c r="J193" i="1"/>
  <c r="F193" i="1"/>
  <c r="F192" i="1"/>
  <c r="I192" i="1"/>
  <c r="J192" i="1"/>
  <c r="I191" i="1"/>
  <c r="J191" i="1"/>
  <c r="F191" i="1"/>
  <c r="I190" i="1"/>
  <c r="J190" i="1"/>
  <c r="F190" i="1"/>
  <c r="I189" i="1"/>
  <c r="J189" i="1"/>
  <c r="F189" i="1"/>
  <c r="J209" i="1"/>
  <c r="I209" i="1"/>
  <c r="I206" i="1"/>
  <c r="J206" i="1"/>
  <c r="I212" i="1"/>
  <c r="J212" i="1"/>
  <c r="J210" i="1"/>
  <c r="I210" i="1"/>
  <c r="J207" i="1"/>
  <c r="I207" i="1"/>
  <c r="J205" i="1"/>
  <c r="I205" i="1"/>
  <c r="J203" i="1"/>
  <c r="I203" i="1"/>
  <c r="J211" i="1"/>
  <c r="I211" i="1"/>
  <c r="I208" i="1"/>
  <c r="J208" i="1"/>
  <c r="J204" i="1"/>
  <c r="I204" i="1"/>
  <c r="C188" i="1"/>
  <c r="T59" i="38" l="1"/>
  <c r="S59" i="38"/>
  <c r="V59" i="38"/>
  <c r="Q60" i="38" a="1"/>
  <c r="Q60" i="38" s="1"/>
  <c r="U59" i="38"/>
  <c r="AG225" i="7"/>
  <c r="AH225" i="7" s="1"/>
  <c r="AG289" i="7"/>
  <c r="AH289" i="7" s="1"/>
  <c r="AG156" i="7"/>
  <c r="AH156" i="7" s="1"/>
  <c r="AG126" i="7"/>
  <c r="AH126" i="7" s="1"/>
  <c r="AG159" i="7"/>
  <c r="AH159" i="7" s="1"/>
  <c r="AG73" i="7"/>
  <c r="AH73" i="7" s="1"/>
  <c r="AG285" i="7"/>
  <c r="AH285" i="7" s="1"/>
  <c r="AG232" i="7"/>
  <c r="AH232" i="7" s="1"/>
  <c r="AG67" i="7"/>
  <c r="AH67" i="7" s="1"/>
  <c r="AG268" i="7"/>
  <c r="AH268" i="7" s="1"/>
  <c r="AG87" i="7"/>
  <c r="AH87" i="7" s="1"/>
  <c r="AG30" i="7"/>
  <c r="AH30" i="7" s="1"/>
  <c r="AG294" i="7"/>
  <c r="AH294" i="7" s="1"/>
  <c r="AG38" i="7"/>
  <c r="AH38" i="7" s="1"/>
  <c r="AG317" i="7"/>
  <c r="AH317" i="7" s="1"/>
  <c r="AG277" i="7"/>
  <c r="AH277" i="7" s="1"/>
  <c r="AG188" i="7"/>
  <c r="AH188" i="7" s="1"/>
  <c r="AG261" i="7"/>
  <c r="AH261" i="7" s="1"/>
  <c r="AG84" i="7"/>
  <c r="AH84" i="7" s="1"/>
  <c r="AG252" i="7"/>
  <c r="AH252" i="7" s="1"/>
  <c r="AG292" i="7"/>
  <c r="AH292" i="7" s="1"/>
  <c r="AG23" i="7"/>
  <c r="AH23" i="7" s="1"/>
  <c r="AG138" i="7"/>
  <c r="AH138" i="7" s="1"/>
  <c r="AG243" i="7"/>
  <c r="AH243" i="7" s="1"/>
  <c r="AG170" i="7"/>
  <c r="AH170" i="7" s="1"/>
  <c r="AG214" i="7"/>
  <c r="AH214" i="7" s="1"/>
  <c r="AG42" i="7"/>
  <c r="AH42" i="7" s="1"/>
  <c r="AG13" i="7"/>
  <c r="AH13" i="7" s="1"/>
  <c r="AG128" i="7"/>
  <c r="AH128" i="7" s="1"/>
  <c r="AG250" i="7"/>
  <c r="AH250" i="7" s="1"/>
  <c r="AG307" i="7"/>
  <c r="AH307" i="7" s="1"/>
  <c r="AG123" i="7"/>
  <c r="AH123" i="7" s="1"/>
  <c r="AG182" i="7"/>
  <c r="AH182" i="7" s="1"/>
  <c r="AG228" i="7"/>
  <c r="AH228" i="7" s="1"/>
  <c r="AG28" i="7"/>
  <c r="AH28" i="7" s="1"/>
  <c r="AG314" i="7"/>
  <c r="AH314" i="7" s="1"/>
  <c r="AG166" i="7"/>
  <c r="AH166" i="7" s="1"/>
  <c r="AG212" i="7"/>
  <c r="AH212" i="7" s="1"/>
  <c r="AG195" i="7"/>
  <c r="AH195" i="7" s="1"/>
  <c r="AG143" i="7"/>
  <c r="AH143" i="7" s="1"/>
  <c r="AG117" i="7"/>
  <c r="AH117" i="7" s="1"/>
  <c r="AG35" i="7"/>
  <c r="AH35" i="7" s="1"/>
  <c r="AG32" i="7"/>
  <c r="AH32" i="7" s="1"/>
  <c r="AG180" i="7"/>
  <c r="AH180" i="7" s="1"/>
  <c r="AG34" i="7"/>
  <c r="AH34" i="7" s="1"/>
  <c r="AG303" i="7"/>
  <c r="AH303" i="7" s="1"/>
  <c r="AG215" i="7"/>
  <c r="AH215" i="7" s="1"/>
  <c r="AG321" i="7"/>
  <c r="AH321" i="7" s="1"/>
  <c r="AG110" i="7"/>
  <c r="AH110" i="7" s="1"/>
  <c r="AG254" i="7"/>
  <c r="AH254" i="7" s="1"/>
  <c r="AG304" i="7"/>
  <c r="AH304" i="7" s="1"/>
  <c r="AG248" i="7"/>
  <c r="AH248" i="7" s="1"/>
  <c r="AG185" i="7"/>
  <c r="AH185" i="7" s="1"/>
  <c r="AG318" i="7"/>
  <c r="AH318" i="7" s="1"/>
  <c r="AG121" i="7"/>
  <c r="AH121" i="7" s="1"/>
  <c r="AG54" i="7"/>
  <c r="AH54" i="7" s="1"/>
  <c r="AG209" i="7"/>
  <c r="AH209" i="7" s="1"/>
  <c r="AG206" i="7"/>
  <c r="AH206" i="7" s="1"/>
  <c r="AG140" i="7"/>
  <c r="AH140" i="7" s="1"/>
  <c r="AG301" i="7"/>
  <c r="AH301" i="7" s="1"/>
  <c r="AG31" i="7"/>
  <c r="AH31" i="7" s="1"/>
  <c r="AG57" i="7"/>
  <c r="AH57" i="7" s="1"/>
  <c r="AG189" i="7"/>
  <c r="AH189" i="7" s="1"/>
  <c r="AG216" i="7"/>
  <c r="AH216" i="7" s="1"/>
  <c r="AG322" i="7"/>
  <c r="AH322" i="7" s="1"/>
  <c r="AG315" i="7"/>
  <c r="AH315" i="7" s="1"/>
  <c r="AG71" i="7"/>
  <c r="AH71" i="7" s="1"/>
  <c r="AG173" i="7"/>
  <c r="AH173" i="7" s="1"/>
  <c r="AG278" i="7"/>
  <c r="AH278" i="7" s="1"/>
  <c r="AG22" i="7"/>
  <c r="AH22" i="7" s="1"/>
  <c r="AG237" i="7"/>
  <c r="AH237" i="7" s="1"/>
  <c r="AG245" i="7"/>
  <c r="AH245" i="7" s="1"/>
  <c r="AG323" i="7"/>
  <c r="AH323" i="7" s="1"/>
  <c r="AG283" i="7"/>
  <c r="AH283" i="7" s="1"/>
  <c r="AG324" i="7"/>
  <c r="AH324" i="7" s="1"/>
  <c r="AG68" i="7"/>
  <c r="AH68" i="7" s="1"/>
  <c r="AG211" i="7"/>
  <c r="AH211" i="7" s="1"/>
  <c r="AG266" i="7"/>
  <c r="AH266" i="7" s="1"/>
  <c r="AG236" i="7"/>
  <c r="AH236" i="7" s="1"/>
  <c r="AG172" i="7"/>
  <c r="AH172" i="7" s="1"/>
  <c r="AG197" i="7"/>
  <c r="AH197" i="7" s="1"/>
  <c r="AG299" i="7"/>
  <c r="AH299" i="7" s="1"/>
  <c r="AG251" i="7"/>
  <c r="AH251" i="7" s="1"/>
  <c r="AG98" i="7"/>
  <c r="AH98" i="7" s="1"/>
  <c r="AG113" i="7"/>
  <c r="AH113" i="7" s="1"/>
  <c r="AG136" i="7"/>
  <c r="AH136" i="7" s="1"/>
  <c r="AG178" i="7"/>
  <c r="AH178" i="7" s="1"/>
  <c r="AG305" i="7"/>
  <c r="AH305" i="7" s="1"/>
  <c r="AG44" i="7"/>
  <c r="AH44" i="7" s="1"/>
  <c r="AG120" i="7"/>
  <c r="AH120" i="7" s="1"/>
  <c r="AG18" i="7"/>
  <c r="AH18" i="7" s="1"/>
  <c r="AG11" i="7"/>
  <c r="AH11" i="7" s="1"/>
  <c r="AG114" i="7"/>
  <c r="AH114" i="7" s="1"/>
  <c r="AG122" i="7"/>
  <c r="AH122" i="7" s="1"/>
  <c r="AG12" i="7"/>
  <c r="AH12" i="7" s="1"/>
  <c r="AG296" i="7"/>
  <c r="AH296" i="7" s="1"/>
  <c r="AG319" i="7"/>
  <c r="AH319" i="7" s="1"/>
  <c r="AG286" i="7"/>
  <c r="AH286" i="7" s="1"/>
  <c r="AG154" i="7"/>
  <c r="AH154" i="7" s="1"/>
  <c r="AG279" i="7"/>
  <c r="AH279" i="7" s="1"/>
  <c r="AG223" i="7"/>
  <c r="AH223" i="7" s="1"/>
  <c r="AG249" i="7"/>
  <c r="AH249" i="7" s="1"/>
  <c r="AG164" i="7"/>
  <c r="AH164" i="7" s="1"/>
  <c r="AG90" i="7"/>
  <c r="AH90" i="7" s="1"/>
  <c r="AG102" i="7"/>
  <c r="AH102" i="7" s="1"/>
  <c r="AG287" i="7"/>
  <c r="AH287" i="7" s="1"/>
  <c r="AG86" i="7"/>
  <c r="AH86" i="7" s="1"/>
  <c r="AG169" i="7"/>
  <c r="AH169" i="7" s="1"/>
  <c r="AG269" i="7"/>
  <c r="AH269" i="7" s="1"/>
  <c r="AG220" i="7"/>
  <c r="AH220" i="7" s="1"/>
  <c r="AG103" i="7"/>
  <c r="AH103" i="7" s="1"/>
  <c r="AG293" i="7"/>
  <c r="AH293" i="7" s="1"/>
  <c r="AG193" i="7"/>
  <c r="AH193" i="7" s="1"/>
  <c r="AG259" i="7"/>
  <c r="AH259" i="7" s="1"/>
  <c r="AG124" i="7"/>
  <c r="AH124" i="7" s="1"/>
  <c r="AG157" i="7"/>
  <c r="AH157" i="7" s="1"/>
  <c r="AG190" i="7"/>
  <c r="AH190" i="7" s="1"/>
  <c r="AG41" i="7"/>
  <c r="AH41" i="7" s="1"/>
  <c r="AG61" i="7"/>
  <c r="AH61" i="7" s="1"/>
  <c r="AG200" i="7"/>
  <c r="AH200" i="7" s="1"/>
  <c r="AG194" i="7"/>
  <c r="AH194" i="7" s="1"/>
  <c r="AG219" i="7"/>
  <c r="AH219" i="7" s="1"/>
  <c r="AG55" i="7"/>
  <c r="AH55" i="7" s="1"/>
  <c r="AG45" i="7"/>
  <c r="AH45" i="7" s="1"/>
  <c r="AG262" i="7"/>
  <c r="AH262" i="7" s="1"/>
  <c r="AG93" i="7"/>
  <c r="AH93" i="7" s="1"/>
  <c r="AG229" i="7"/>
  <c r="AH229" i="7" s="1"/>
  <c r="AG227" i="7"/>
  <c r="AH227" i="7" s="1"/>
  <c r="AG155" i="7"/>
  <c r="AH155" i="7" s="1"/>
  <c r="AG308" i="7"/>
  <c r="AH308" i="7" s="1"/>
  <c r="AG52" i="7"/>
  <c r="AH52" i="7" s="1"/>
  <c r="AG147" i="7"/>
  <c r="AH147" i="7" s="1"/>
  <c r="AG36" i="7"/>
  <c r="AH36" i="7" s="1"/>
  <c r="AG288" i="7"/>
  <c r="AH288" i="7" s="1"/>
  <c r="AG230" i="7"/>
  <c r="AH230" i="7" s="1"/>
  <c r="AG187" i="7"/>
  <c r="AH187" i="7" s="1"/>
  <c r="AG276" i="7"/>
  <c r="AH276" i="7" s="1"/>
  <c r="AG152" i="7"/>
  <c r="AH152" i="7" s="1"/>
  <c r="AG242" i="7"/>
  <c r="AH242" i="7" s="1"/>
  <c r="AG4" i="7"/>
  <c r="AH4" i="7" s="1"/>
  <c r="AG224" i="7"/>
  <c r="AH224" i="7" s="1"/>
  <c r="AG235" i="7"/>
  <c r="AH235" i="7" s="1"/>
  <c r="AG198" i="7"/>
  <c r="AH198" i="7" s="1"/>
  <c r="AG165" i="7"/>
  <c r="AH165" i="7" s="1"/>
  <c r="AG80" i="7"/>
  <c r="AH80" i="7" s="1"/>
  <c r="AG16" i="7"/>
  <c r="AH16" i="7" s="1"/>
  <c r="AG186" i="7"/>
  <c r="AH186" i="7" s="1"/>
  <c r="AG267" i="7"/>
  <c r="AH267" i="7" s="1"/>
  <c r="AG137" i="7"/>
  <c r="AH137" i="7" s="1"/>
  <c r="AG133" i="7"/>
  <c r="AH133" i="7" s="1"/>
  <c r="AG63" i="7"/>
  <c r="AH63" i="7" s="1"/>
  <c r="AG88" i="7"/>
  <c r="AH88" i="7" s="1"/>
  <c r="AG26" i="7"/>
  <c r="AH26" i="7" s="1"/>
  <c r="AG226" i="7"/>
  <c r="AH226" i="7" s="1"/>
  <c r="AG15" i="7"/>
  <c r="AH15" i="7" s="1"/>
  <c r="AG101" i="7"/>
  <c r="AH101" i="7" s="1"/>
  <c r="AG142" i="7"/>
  <c r="AH142" i="7" s="1"/>
  <c r="AG238" i="7"/>
  <c r="AH238" i="7" s="1"/>
  <c r="AG85" i="7"/>
  <c r="AH85" i="7" s="1"/>
  <c r="AG112" i="7"/>
  <c r="AH112" i="7" s="1"/>
  <c r="AG153" i="7"/>
  <c r="AH153" i="7" s="1"/>
  <c r="AG148" i="7"/>
  <c r="AH148" i="7" s="1"/>
  <c r="AG273" i="7"/>
  <c r="AH273" i="7" s="1"/>
  <c r="AG253" i="7"/>
  <c r="AH253" i="7" s="1"/>
  <c r="AG310" i="7"/>
  <c r="AH310" i="7" s="1"/>
  <c r="AG37" i="7"/>
  <c r="AH37" i="7" s="1"/>
  <c r="AG312" i="7"/>
  <c r="AH312" i="7" s="1"/>
  <c r="AG21" i="7"/>
  <c r="AH21" i="7" s="1"/>
  <c r="AG161" i="7"/>
  <c r="AH161" i="7" s="1"/>
  <c r="AG99" i="7"/>
  <c r="AH99" i="7" s="1"/>
  <c r="AG108" i="7"/>
  <c r="AH108" i="7" s="1"/>
  <c r="AG78" i="7"/>
  <c r="AH78" i="7" s="1"/>
  <c r="AG25" i="7"/>
  <c r="AH25" i="7" s="1"/>
  <c r="AG300" i="7"/>
  <c r="AH300" i="7" s="1"/>
  <c r="AG184" i="7"/>
  <c r="AH184" i="7" s="1"/>
  <c r="AG82" i="7"/>
  <c r="AH82" i="7" s="1"/>
  <c r="AG107" i="7"/>
  <c r="AH107" i="7" s="1"/>
  <c r="AG39" i="7"/>
  <c r="AH39" i="7" s="1"/>
  <c r="AG284" i="7"/>
  <c r="AH284" i="7" s="1"/>
  <c r="AG246" i="7"/>
  <c r="AH246" i="7" s="1"/>
  <c r="AG213" i="7"/>
  <c r="AH213" i="7" s="1"/>
  <c r="AG282" i="7"/>
  <c r="AH282" i="7" s="1"/>
  <c r="AG290" i="7"/>
  <c r="AH290" i="7" s="1"/>
  <c r="AG141" i="7"/>
  <c r="AH141" i="7" s="1"/>
  <c r="AG7" i="7"/>
  <c r="AH7" i="7" s="1"/>
  <c r="AG181" i="7"/>
  <c r="AH181" i="7" s="1"/>
  <c r="AG131" i="7"/>
  <c r="AH131" i="7" s="1"/>
  <c r="AG171" i="7"/>
  <c r="AH171" i="7" s="1"/>
  <c r="AG201" i="7"/>
  <c r="AH201" i="7" s="1"/>
  <c r="AG204" i="7"/>
  <c r="AH204" i="7" s="1"/>
  <c r="AG91" i="7"/>
  <c r="AH91" i="7" s="1"/>
  <c r="AG105" i="7"/>
  <c r="AH105" i="7" s="1"/>
  <c r="AG163" i="7"/>
  <c r="AH163" i="7" s="1"/>
  <c r="AG104" i="7"/>
  <c r="AH104" i="7" s="1"/>
  <c r="AG240" i="7"/>
  <c r="AH240" i="7" s="1"/>
  <c r="AG65" i="7"/>
  <c r="AH65" i="7" s="1"/>
  <c r="AG234" i="7"/>
  <c r="AH234" i="7" s="1"/>
  <c r="AG176" i="7"/>
  <c r="AH176" i="7" s="1"/>
  <c r="AG49" i="7"/>
  <c r="AH49" i="7" s="1"/>
  <c r="AG72" i="7"/>
  <c r="AH72" i="7" s="1"/>
  <c r="AG239" i="7"/>
  <c r="AH239" i="7" s="1"/>
  <c r="AG146" i="7"/>
  <c r="AH146" i="7" s="1"/>
  <c r="AG56" i="7"/>
  <c r="AH56" i="7" s="1"/>
  <c r="AG271" i="7"/>
  <c r="AH271" i="7" s="1"/>
  <c r="AG50" i="7"/>
  <c r="AH50" i="7" s="1"/>
  <c r="AG175" i="7"/>
  <c r="AH175" i="7" s="1"/>
  <c r="AG221" i="7"/>
  <c r="AH221" i="7" s="1"/>
  <c r="AG24" i="7"/>
  <c r="AH24" i="7" s="1"/>
  <c r="AG62" i="7"/>
  <c r="AH62" i="7" s="1"/>
  <c r="AG158" i="7"/>
  <c r="AH158" i="7" s="1"/>
  <c r="AG309" i="7"/>
  <c r="AH309" i="7" s="1"/>
  <c r="AG270" i="7"/>
  <c r="AH270" i="7" s="1"/>
  <c r="AG145" i="7"/>
  <c r="AH145" i="7" s="1"/>
  <c r="AG258" i="7"/>
  <c r="AH258" i="7" s="1"/>
  <c r="AG92" i="7"/>
  <c r="AH92" i="7" s="1"/>
  <c r="AG203" i="7"/>
  <c r="AH203" i="7" s="1"/>
  <c r="AG205" i="7"/>
  <c r="AH205" i="7" s="1"/>
  <c r="AG168" i="7"/>
  <c r="AH168" i="7" s="1"/>
  <c r="AG51" i="7"/>
  <c r="AH51" i="7" s="1"/>
  <c r="AG59" i="7"/>
  <c r="AH59" i="7" s="1"/>
  <c r="AG43" i="7"/>
  <c r="AH43" i="7" s="1"/>
  <c r="AG58" i="7"/>
  <c r="AH58" i="7" s="1"/>
  <c r="AG97" i="7"/>
  <c r="AH97" i="7" s="1"/>
  <c r="AG233" i="7"/>
  <c r="AH233" i="7" s="1"/>
  <c r="AG256" i="7"/>
  <c r="AH256" i="7" s="1"/>
  <c r="AG207" i="7"/>
  <c r="AH207" i="7" s="1"/>
  <c r="AG255" i="7"/>
  <c r="AH255" i="7" s="1"/>
  <c r="AG144" i="7"/>
  <c r="AH144" i="7" s="1"/>
  <c r="AG139" i="7"/>
  <c r="AH139" i="7" s="1"/>
  <c r="AG320" i="7"/>
  <c r="AH320" i="7" s="1"/>
  <c r="AG311" i="7"/>
  <c r="AH311" i="7" s="1"/>
  <c r="AG274" i="7"/>
  <c r="AH274" i="7" s="1"/>
  <c r="AG263" i="7"/>
  <c r="AH263" i="7" s="1"/>
  <c r="AG210" i="7"/>
  <c r="AH210" i="7" s="1"/>
  <c r="AG217" i="7"/>
  <c r="AH217" i="7" s="1"/>
  <c r="AG40" i="7"/>
  <c r="AH40" i="7" s="1"/>
  <c r="AG69" i="7"/>
  <c r="AH69" i="7" s="1"/>
  <c r="AG291" i="7"/>
  <c r="AH291" i="7" s="1"/>
  <c r="AG135" i="7"/>
  <c r="AH135" i="7" s="1"/>
  <c r="AG77" i="7"/>
  <c r="AH77" i="7" s="1"/>
  <c r="AG116" i="7"/>
  <c r="AH116" i="7" s="1"/>
  <c r="AG96" i="7"/>
  <c r="AH96" i="7" s="1"/>
  <c r="AG94" i="7"/>
  <c r="AH94" i="7" s="1"/>
  <c r="AG129" i="7"/>
  <c r="AH129" i="7" s="1"/>
  <c r="AG66" i="7"/>
  <c r="AH66" i="7" s="1"/>
  <c r="AG76" i="7"/>
  <c r="AH76" i="7" s="1"/>
  <c r="AG75" i="7"/>
  <c r="AH75" i="7" s="1"/>
  <c r="AG192" i="7"/>
  <c r="AH192" i="7" s="1"/>
  <c r="AG260" i="7"/>
  <c r="AH260" i="7" s="1"/>
  <c r="AG60" i="7"/>
  <c r="AH60" i="7" s="1"/>
  <c r="AG275" i="7"/>
  <c r="AH275" i="7" s="1"/>
  <c r="AG244" i="7"/>
  <c r="AH244" i="7" s="1"/>
  <c r="AG27" i="7"/>
  <c r="AH27" i="7" s="1"/>
  <c r="AG115" i="7"/>
  <c r="AH115" i="7" s="1"/>
  <c r="AG149" i="7"/>
  <c r="AH149" i="7" s="1"/>
  <c r="AG130" i="7"/>
  <c r="AH130" i="7" s="1"/>
  <c r="AG218" i="7"/>
  <c r="AH218" i="7" s="1"/>
  <c r="AG280" i="7"/>
  <c r="AH280" i="7" s="1"/>
  <c r="AG19" i="7"/>
  <c r="AH19" i="7" s="1"/>
  <c r="AG272" i="7"/>
  <c r="AH272" i="7" s="1"/>
  <c r="AG150" i="7"/>
  <c r="AH150" i="7" s="1"/>
  <c r="AG298" i="7"/>
  <c r="AH298" i="7" s="1"/>
  <c r="AG48" i="7"/>
  <c r="AH48" i="7" s="1"/>
  <c r="AG202" i="7"/>
  <c r="AH202" i="7" s="1"/>
  <c r="AG118" i="7"/>
  <c r="AH118" i="7" s="1"/>
  <c r="AG14" i="7"/>
  <c r="AH14" i="7" s="1"/>
  <c r="AG151" i="7"/>
  <c r="AH151" i="7" s="1"/>
  <c r="AG183" i="7"/>
  <c r="AH183" i="7" s="1"/>
  <c r="AG302" i="7"/>
  <c r="AH302" i="7" s="1"/>
  <c r="AG47" i="7"/>
  <c r="AH47" i="7" s="1"/>
  <c r="AG208" i="7"/>
  <c r="AH208" i="7" s="1"/>
  <c r="AG70" i="7"/>
  <c r="AH70" i="7" s="1"/>
  <c r="AG46" i="7"/>
  <c r="AH46" i="7" s="1"/>
  <c r="AG125" i="7"/>
  <c r="AH125" i="7" s="1"/>
  <c r="AG306" i="7"/>
  <c r="AH306" i="7" s="1"/>
  <c r="AG74" i="7"/>
  <c r="AH74" i="7" s="1"/>
  <c r="AG64" i="7"/>
  <c r="AH64" i="7" s="1"/>
  <c r="AG281" i="7"/>
  <c r="AH281" i="7" s="1"/>
  <c r="AG33" i="7"/>
  <c r="AH33" i="7" s="1"/>
  <c r="AG199" i="7"/>
  <c r="AH199" i="7" s="1"/>
  <c r="AG79" i="7"/>
  <c r="AH79" i="7" s="1"/>
  <c r="AG89" i="7"/>
  <c r="AH89" i="7" s="1"/>
  <c r="AG297" i="7"/>
  <c r="AH297" i="7" s="1"/>
  <c r="AG53" i="7"/>
  <c r="AH53" i="7" s="1"/>
  <c r="AG257" i="7"/>
  <c r="AH257" i="7" s="1"/>
  <c r="AG119" i="7"/>
  <c r="AH119" i="7" s="1"/>
  <c r="AG241" i="7"/>
  <c r="AH241" i="7" s="1"/>
  <c r="AG231" i="7"/>
  <c r="AH231" i="7" s="1"/>
  <c r="AG81" i="7"/>
  <c r="AH81" i="7" s="1"/>
  <c r="AG313" i="7"/>
  <c r="AH313" i="7" s="1"/>
  <c r="AG106" i="7"/>
  <c r="AH106" i="7" s="1"/>
  <c r="AG127" i="7"/>
  <c r="AH127" i="7" s="1"/>
  <c r="AG17" i="7"/>
  <c r="AH17" i="7" s="1"/>
  <c r="AG191" i="7"/>
  <c r="AH191" i="7" s="1"/>
  <c r="AG265" i="7"/>
  <c r="AH265" i="7" s="1"/>
  <c r="AG132" i="7"/>
  <c r="AH132" i="7" s="1"/>
  <c r="AG109" i="7"/>
  <c r="AH109" i="7" s="1"/>
  <c r="AG247" i="7"/>
  <c r="AH247" i="7" s="1"/>
  <c r="AG179" i="7"/>
  <c r="AH179" i="7" s="1"/>
  <c r="AG100" i="7"/>
  <c r="AH100" i="7" s="1"/>
  <c r="AG196" i="7"/>
  <c r="AH196" i="7" s="1"/>
  <c r="AG10" i="7"/>
  <c r="AH10" i="7" s="1"/>
  <c r="AG95" i="7"/>
  <c r="AH95" i="7" s="1"/>
  <c r="AG111" i="7"/>
  <c r="AH111" i="7" s="1"/>
  <c r="AG222" i="7"/>
  <c r="AH222" i="7" s="1"/>
  <c r="AG316" i="7"/>
  <c r="AH316" i="7" s="1"/>
  <c r="AG134" i="7"/>
  <c r="AH134" i="7" s="1"/>
  <c r="AG264" i="7"/>
  <c r="AH264" i="7" s="1"/>
  <c r="AG83" i="7"/>
  <c r="AH83" i="7" s="1"/>
  <c r="AG295" i="7"/>
  <c r="AH295" i="7" s="1"/>
  <c r="AG162" i="7"/>
  <c r="AH162" i="7" s="1"/>
  <c r="AG174" i="7"/>
  <c r="AH174" i="7" s="1"/>
  <c r="H191" i="1"/>
  <c r="AG177" i="7"/>
  <c r="H189" i="1"/>
  <c r="G188" i="1"/>
  <c r="AG29" i="7" s="1"/>
  <c r="AH29" i="7" s="1"/>
  <c r="D188" i="1"/>
  <c r="F188" i="1"/>
  <c r="I188" i="1"/>
  <c r="AG5" i="7" l="1"/>
  <c r="AH5" i="7" s="1"/>
  <c r="AG6" i="7"/>
  <c r="AH6" i="7" s="1"/>
  <c r="AG9" i="7"/>
  <c r="AH9" i="7" s="1"/>
  <c r="Z15" i="18"/>
  <c r="Z21" i="18"/>
  <c r="Z20" i="18"/>
  <c r="Z17" i="18"/>
  <c r="Z19" i="18"/>
  <c r="Z18" i="18"/>
  <c r="Z16" i="18"/>
  <c r="Z14" i="18"/>
  <c r="AG8" i="7"/>
  <c r="AH8" i="7" s="1"/>
  <c r="AG167" i="7"/>
  <c r="AH167" i="7" s="1"/>
  <c r="AG3" i="7"/>
  <c r="AH3" i="7" s="1"/>
  <c r="W59" i="38"/>
  <c r="T60" i="38"/>
  <c r="S60" i="38"/>
  <c r="V60" i="38"/>
  <c r="Q61" i="38" a="1"/>
  <c r="Q61" i="38" s="1"/>
  <c r="S61" i="38" s="1"/>
  <c r="U60" i="38"/>
  <c r="AG20" i="7"/>
  <c r="AH20" i="7" s="1"/>
  <c r="AH177" i="7"/>
  <c r="H188" i="1"/>
  <c r="AG160" i="7"/>
  <c r="AH160" i="7" s="1"/>
  <c r="J188" i="1"/>
  <c r="W60" i="38" l="1"/>
  <c r="Q62" i="38" a="1"/>
  <c r="Q62" i="38" s="1"/>
  <c r="U61" i="38"/>
  <c r="V61" i="38"/>
  <c r="W61" i="38" s="1"/>
  <c r="T61" i="38"/>
  <c r="J28" i="7"/>
  <c r="T62" i="38" l="1"/>
  <c r="S62" i="38"/>
  <c r="V62" i="38"/>
  <c r="Q63" i="38" a="1"/>
  <c r="Q63" i="38" s="1"/>
  <c r="U62" i="38"/>
  <c r="Q7" i="24"/>
  <c r="Q8" i="24"/>
  <c r="Q9" i="24"/>
  <c r="Q10" i="24"/>
  <c r="Q11" i="24"/>
  <c r="Q12" i="24"/>
  <c r="Q13" i="24"/>
  <c r="Q14" i="24"/>
  <c r="Q15" i="24"/>
  <c r="Q6" i="24"/>
  <c r="W62" i="38" l="1"/>
  <c r="T63" i="38"/>
  <c r="S63" i="38"/>
  <c r="V63" i="38"/>
  <c r="Q64" i="38" a="1"/>
  <c r="Q64" i="38" s="1"/>
  <c r="U63" i="38"/>
  <c r="P7" i="24"/>
  <c r="P8" i="24"/>
  <c r="P9" i="24"/>
  <c r="P10" i="24"/>
  <c r="P11" i="24"/>
  <c r="P12" i="24"/>
  <c r="P13" i="24"/>
  <c r="P14" i="24"/>
  <c r="P15" i="24"/>
  <c r="P6" i="24"/>
  <c r="O13" i="24" l="1"/>
  <c r="E13" i="24" s="1"/>
  <c r="O10" i="24"/>
  <c r="E10" i="24" s="1"/>
  <c r="O6" i="24"/>
  <c r="E6" i="24" s="1"/>
  <c r="O14" i="24"/>
  <c r="E14" i="24" s="1"/>
  <c r="O9" i="24"/>
  <c r="E9" i="24" s="1"/>
  <c r="O15" i="24"/>
  <c r="E15" i="24" s="1"/>
  <c r="O12" i="24"/>
  <c r="E12" i="24" s="1"/>
  <c r="O11" i="24"/>
  <c r="E11" i="24" s="1"/>
  <c r="O8" i="24"/>
  <c r="E8" i="24" s="1"/>
  <c r="O7" i="24"/>
  <c r="E7" i="24" s="1"/>
  <c r="W63" i="38"/>
  <c r="T64" i="38"/>
  <c r="S64" i="38"/>
  <c r="V64" i="38"/>
  <c r="Q65" i="38" a="1"/>
  <c r="Q65" i="38" s="1"/>
  <c r="U64" i="38"/>
  <c r="G6" i="9"/>
  <c r="B11" i="36" s="1"/>
  <c r="V32" i="10" s="1"/>
  <c r="G7" i="9"/>
  <c r="B12" i="36" s="1"/>
  <c r="V33" i="10" s="1"/>
  <c r="G8" i="9"/>
  <c r="B13" i="36" s="1"/>
  <c r="V34" i="10" s="1"/>
  <c r="G9" i="9"/>
  <c r="B14" i="36" s="1"/>
  <c r="V35" i="10" s="1"/>
  <c r="G10" i="9"/>
  <c r="B15" i="36" s="1"/>
  <c r="V36" i="10" s="1"/>
  <c r="G11" i="9"/>
  <c r="B16" i="36" s="1"/>
  <c r="V37" i="10" s="1"/>
  <c r="B20" i="36"/>
  <c r="V41" i="10" s="1"/>
  <c r="G5" i="9"/>
  <c r="B10" i="36" s="1"/>
  <c r="V31" i="10" s="1"/>
  <c r="G58" i="9"/>
  <c r="G59" i="9"/>
  <c r="G60" i="9"/>
  <c r="G61" i="9"/>
  <c r="G62" i="9"/>
  <c r="G57" i="9"/>
  <c r="AJ20" i="36" l="1"/>
  <c r="AI20" i="36"/>
  <c r="AJ10" i="36"/>
  <c r="AI10" i="36"/>
  <c r="AJ16" i="36"/>
  <c r="AI16" i="36"/>
  <c r="AJ15" i="36"/>
  <c r="AI15" i="36"/>
  <c r="AJ14" i="36"/>
  <c r="AI14" i="36"/>
  <c r="AJ13" i="36"/>
  <c r="AI13" i="36"/>
  <c r="AJ12" i="36"/>
  <c r="AI12" i="36"/>
  <c r="AJ11" i="36"/>
  <c r="AI11" i="36"/>
  <c r="W64" i="38"/>
  <c r="T65" i="38"/>
  <c r="S65" i="38"/>
  <c r="V65" i="38"/>
  <c r="Q66" i="38" a="1"/>
  <c r="Q66" i="38" s="1"/>
  <c r="S66" i="38" s="1"/>
  <c r="U65" i="38"/>
  <c r="W65" i="38" l="1"/>
  <c r="Q67" i="38" a="1"/>
  <c r="Q67" i="38" s="1"/>
  <c r="U66" i="38"/>
  <c r="V66" i="38"/>
  <c r="W66" i="38" s="1"/>
  <c r="T66" i="38"/>
  <c r="V67" i="38" l="1"/>
  <c r="S67" i="38"/>
  <c r="T67" i="38"/>
  <c r="Q68" i="38" a="1"/>
  <c r="Q68" i="38" s="1"/>
  <c r="U67" i="38"/>
  <c r="W67" i="38" l="1"/>
  <c r="V68" i="38"/>
  <c r="S68" i="38"/>
  <c r="T68" i="38"/>
  <c r="Q69" i="38" a="1"/>
  <c r="Q69" i="38" s="1"/>
  <c r="S69" i="38" s="1"/>
  <c r="U68" i="38"/>
  <c r="W68" i="38" l="1"/>
  <c r="Q70" i="38" a="1"/>
  <c r="Q70" i="38" s="1"/>
  <c r="U69" i="38"/>
  <c r="V69" i="38"/>
  <c r="W69" i="38" s="1"/>
  <c r="T69" i="38"/>
  <c r="T70" i="38" l="1"/>
  <c r="S70" i="38"/>
  <c r="V70" i="38"/>
  <c r="Q71" i="38" a="1"/>
  <c r="Q71" i="38" s="1"/>
  <c r="U70" i="38"/>
  <c r="W70" i="38" l="1"/>
  <c r="V71" i="38"/>
  <c r="S71" i="38"/>
  <c r="T71" i="38"/>
  <c r="Q72" i="38" a="1"/>
  <c r="Q72" i="38" s="1"/>
  <c r="S72" i="38" s="1"/>
  <c r="U71" i="38"/>
  <c r="W71" i="38" l="1"/>
  <c r="Q73" i="38" a="1"/>
  <c r="Q73" i="38" s="1"/>
  <c r="U72" i="38"/>
  <c r="V72" i="38"/>
  <c r="W72" i="38" s="1"/>
  <c r="T72" i="38"/>
  <c r="T73" i="38" l="1"/>
  <c r="S73" i="38"/>
  <c r="V73" i="38"/>
  <c r="Q74" i="38" a="1"/>
  <c r="Q74" i="38" s="1"/>
  <c r="U73" i="38"/>
  <c r="I90" i="26"/>
  <c r="T47" i="26" s="1"/>
  <c r="I89" i="26"/>
  <c r="T46" i="26" s="1"/>
  <c r="I88" i="26"/>
  <c r="T45" i="26" s="1"/>
  <c r="I87" i="26"/>
  <c r="T44" i="26" s="1"/>
  <c r="I86" i="26"/>
  <c r="T43" i="26" s="1"/>
  <c r="I83" i="26"/>
  <c r="T42" i="26" s="1"/>
  <c r="I82" i="26"/>
  <c r="T41" i="26" s="1"/>
  <c r="I81" i="26"/>
  <c r="T40" i="26" s="1"/>
  <c r="I80" i="26"/>
  <c r="T39" i="26" s="1"/>
  <c r="I79" i="26"/>
  <c r="T38" i="26" s="1"/>
  <c r="H76" i="26"/>
  <c r="T37" i="26" s="1"/>
  <c r="H75" i="26"/>
  <c r="T36" i="26" s="1"/>
  <c r="H74" i="26"/>
  <c r="T35" i="26" s="1"/>
  <c r="H73" i="26"/>
  <c r="T34" i="26" s="1"/>
  <c r="H72" i="26"/>
  <c r="T33" i="26" s="1"/>
  <c r="H69" i="26"/>
  <c r="T32" i="26" s="1"/>
  <c r="H68" i="26"/>
  <c r="T31" i="26" s="1"/>
  <c r="H67" i="26"/>
  <c r="T30" i="26" s="1"/>
  <c r="H66" i="26"/>
  <c r="T29" i="26" s="1"/>
  <c r="H65" i="26"/>
  <c r="T28" i="26" s="1"/>
  <c r="H62" i="26"/>
  <c r="T27" i="26" s="1"/>
  <c r="H61" i="26"/>
  <c r="T26" i="26" s="1"/>
  <c r="H60" i="26"/>
  <c r="T25" i="26" s="1"/>
  <c r="H59" i="26"/>
  <c r="T24" i="26" s="1"/>
  <c r="H58" i="26"/>
  <c r="T23" i="26" s="1"/>
  <c r="S47" i="26"/>
  <c r="S46" i="26"/>
  <c r="S45" i="26"/>
  <c r="S44" i="26"/>
  <c r="F44" i="26"/>
  <c r="S43" i="26"/>
  <c r="S42" i="26"/>
  <c r="S41" i="26"/>
  <c r="S40" i="26"/>
  <c r="S39" i="26"/>
  <c r="S38" i="26"/>
  <c r="S37" i="26"/>
  <c r="S36" i="26"/>
  <c r="S35" i="26"/>
  <c r="S34" i="26"/>
  <c r="S33" i="26"/>
  <c r="S32" i="26"/>
  <c r="S31" i="26"/>
  <c r="S30" i="26"/>
  <c r="S29" i="26"/>
  <c r="S28" i="26"/>
  <c r="S27" i="26"/>
  <c r="S26" i="26"/>
  <c r="S25" i="26"/>
  <c r="S24" i="26"/>
  <c r="F24" i="26"/>
  <c r="S23" i="26"/>
  <c r="F14" i="26"/>
  <c r="W73" i="38" l="1"/>
  <c r="V74" i="38"/>
  <c r="S74" i="38"/>
  <c r="Q75" i="38" a="1"/>
  <c r="Q75" i="38" s="1"/>
  <c r="U74" i="38"/>
  <c r="T74" i="38"/>
  <c r="C7" i="26"/>
  <c r="F7" i="26" s="1"/>
  <c r="C47" i="26"/>
  <c r="C19" i="26"/>
  <c r="F19" i="26" s="1"/>
  <c r="C18" i="26"/>
  <c r="F18" i="26" s="1"/>
  <c r="C17" i="26"/>
  <c r="F17" i="26" s="1"/>
  <c r="C20" i="26"/>
  <c r="F20" i="26" s="1"/>
  <c r="C29" i="26"/>
  <c r="F29" i="26" s="1"/>
  <c r="C21" i="26"/>
  <c r="F21" i="26" s="1"/>
  <c r="C41" i="26"/>
  <c r="F41" i="26" s="1"/>
  <c r="C28" i="26"/>
  <c r="F28" i="26" s="1"/>
  <c r="C10" i="26"/>
  <c r="F10" i="26" s="1"/>
  <c r="C11" i="26"/>
  <c r="F11" i="26" s="1"/>
  <c r="C31" i="26"/>
  <c r="F31" i="26" s="1"/>
  <c r="C30" i="26"/>
  <c r="F30" i="26" s="1"/>
  <c r="C49" i="26"/>
  <c r="F49" i="26" s="1"/>
  <c r="C50" i="26"/>
  <c r="F50" i="26" s="1"/>
  <c r="C39" i="26"/>
  <c r="F39" i="26" s="1"/>
  <c r="C27" i="26"/>
  <c r="F27" i="26" s="1"/>
  <c r="C51" i="26"/>
  <c r="F51" i="26" s="1"/>
  <c r="C48" i="26"/>
  <c r="F48" i="26" s="1"/>
  <c r="C40" i="26"/>
  <c r="F40" i="26" s="1"/>
  <c r="C38" i="26"/>
  <c r="F38" i="26" s="1"/>
  <c r="C8" i="26"/>
  <c r="F8" i="26" s="1"/>
  <c r="C9" i="26"/>
  <c r="F9" i="26" s="1"/>
  <c r="C37" i="26"/>
  <c r="F37" i="26" s="1"/>
  <c r="W74" i="38" l="1"/>
  <c r="V75" i="38"/>
  <c r="S75" i="38"/>
  <c r="T75" i="38"/>
  <c r="Q76" i="38" a="1"/>
  <c r="Q76" i="38" s="1"/>
  <c r="S76" i="38" s="1"/>
  <c r="U75" i="38"/>
  <c r="E24" i="26"/>
  <c r="E14" i="26"/>
  <c r="E4" i="26"/>
  <c r="F4" i="26" s="1"/>
  <c r="E34" i="26"/>
  <c r="F34" i="26" s="1"/>
  <c r="E44" i="26"/>
  <c r="H4" i="26" l="1"/>
  <c r="G4" i="26"/>
  <c r="W75" i="38"/>
  <c r="Q77" i="38" a="1"/>
  <c r="Q77" i="38" s="1"/>
  <c r="U76" i="38"/>
  <c r="V76" i="38"/>
  <c r="W76" i="38" s="1"/>
  <c r="T76" i="38"/>
  <c r="C4" i="25"/>
  <c r="T77" i="38" l="1"/>
  <c r="S77" i="38"/>
  <c r="V77" i="38"/>
  <c r="Q78" i="38" a="1"/>
  <c r="Q78" i="38" s="1"/>
  <c r="U77" i="38"/>
  <c r="N45" i="1"/>
  <c r="O70" i="1" s="1"/>
  <c r="D18" i="3"/>
  <c r="AA9" i="37" s="1"/>
  <c r="D2" i="22"/>
  <c r="Y1" i="22" s="1"/>
  <c r="D3" i="22"/>
  <c r="K10" i="22"/>
  <c r="AA1" i="22" s="1"/>
  <c r="K11" i="22"/>
  <c r="AA3" i="22" s="1"/>
  <c r="K12" i="22"/>
  <c r="K13" i="22"/>
  <c r="K14" i="22"/>
  <c r="K15" i="22"/>
  <c r="K16" i="22"/>
  <c r="K17" i="22"/>
  <c r="K18" i="22"/>
  <c r="K19" i="22"/>
  <c r="K20" i="22"/>
  <c r="K21" i="22"/>
  <c r="K22" i="22"/>
  <c r="K23" i="22"/>
  <c r="K24" i="22"/>
  <c r="K25" i="22"/>
  <c r="K26" i="22"/>
  <c r="K27" i="22"/>
  <c r="K28" i="22"/>
  <c r="K29" i="22"/>
  <c r="K30" i="22"/>
  <c r="K31" i="22"/>
  <c r="K32" i="22"/>
  <c r="K33" i="22"/>
  <c r="K34" i="22"/>
  <c r="K35" i="22"/>
  <c r="K36" i="22"/>
  <c r="K37" i="22"/>
  <c r="K38" i="22"/>
  <c r="K39" i="22"/>
  <c r="K40" i="22"/>
  <c r="K41" i="22"/>
  <c r="K42" i="22"/>
  <c r="K43" i="22"/>
  <c r="K44" i="22"/>
  <c r="K45" i="22"/>
  <c r="K46" i="22"/>
  <c r="K47" i="22"/>
  <c r="K48" i="22"/>
  <c r="K49" i="22"/>
  <c r="K50" i="22"/>
  <c r="K51" i="22"/>
  <c r="K52" i="22"/>
  <c r="K53" i="22"/>
  <c r="K54" i="22"/>
  <c r="K55" i="22"/>
  <c r="K56" i="22"/>
  <c r="K57" i="22"/>
  <c r="K58" i="22"/>
  <c r="K59" i="22"/>
  <c r="K60" i="22"/>
  <c r="K61" i="22"/>
  <c r="K62" i="22"/>
  <c r="G1" i="18"/>
  <c r="G31" i="18" s="1"/>
  <c r="H1" i="18"/>
  <c r="H31" i="18" s="1"/>
  <c r="I1" i="18"/>
  <c r="I31" i="18" s="1"/>
  <c r="J1" i="18"/>
  <c r="J31" i="18" s="1"/>
  <c r="K1" i="18"/>
  <c r="K31" i="18" s="1"/>
  <c r="L1" i="18"/>
  <c r="L31" i="18" s="1"/>
  <c r="M1" i="18"/>
  <c r="M31" i="18" s="1"/>
  <c r="N1" i="18"/>
  <c r="N31" i="18" s="1"/>
  <c r="O1" i="18"/>
  <c r="O31" i="18" s="1"/>
  <c r="P1" i="18"/>
  <c r="P31" i="18" s="1"/>
  <c r="Q1" i="18"/>
  <c r="Q31" i="18" s="1"/>
  <c r="R1" i="18"/>
  <c r="R31" i="18" s="1"/>
  <c r="S1" i="18"/>
  <c r="S31" i="18" s="1"/>
  <c r="T1" i="18"/>
  <c r="T31" i="18" s="1"/>
  <c r="U1" i="18"/>
  <c r="U31" i="18" s="1"/>
  <c r="V1" i="18"/>
  <c r="V31" i="18" s="1"/>
  <c r="W1" i="18"/>
  <c r="W31" i="18" s="1"/>
  <c r="D4" i="18"/>
  <c r="E5" i="18"/>
  <c r="A8" i="18"/>
  <c r="F60" i="18" s="1"/>
  <c r="B8" i="18"/>
  <c r="J60" i="18" s="1"/>
  <c r="C8" i="18"/>
  <c r="A9" i="18"/>
  <c r="E38" i="18" s="1"/>
  <c r="B9" i="18"/>
  <c r="W61" i="18" s="1"/>
  <c r="C9" i="18"/>
  <c r="A10" i="18"/>
  <c r="Y88" i="18" s="1"/>
  <c r="B10" i="18"/>
  <c r="R62" i="18" s="1"/>
  <c r="C10" i="18"/>
  <c r="A11" i="18"/>
  <c r="E40" i="18" s="1"/>
  <c r="B11" i="18"/>
  <c r="W63" i="18" s="1"/>
  <c r="C11" i="18"/>
  <c r="A12" i="18"/>
  <c r="F64" i="18" s="1"/>
  <c r="B12" i="18"/>
  <c r="S64" i="18" s="1"/>
  <c r="C12" i="18"/>
  <c r="A13" i="18"/>
  <c r="E42" i="18" s="1"/>
  <c r="B13" i="18"/>
  <c r="H65" i="18" s="1"/>
  <c r="C13" i="18"/>
  <c r="A14" i="18"/>
  <c r="E43" i="18" s="1"/>
  <c r="B14" i="18"/>
  <c r="L66" i="18" s="1"/>
  <c r="C14" i="18"/>
  <c r="A15" i="18"/>
  <c r="F67" i="18" s="1"/>
  <c r="C15" i="18"/>
  <c r="A16" i="18"/>
  <c r="E45" i="18" s="1"/>
  <c r="C16" i="18"/>
  <c r="A17" i="18"/>
  <c r="Y95" i="18" s="1"/>
  <c r="C17" i="18"/>
  <c r="A18" i="18"/>
  <c r="Y96" i="18" s="1"/>
  <c r="C18" i="18"/>
  <c r="A19" i="18"/>
  <c r="F71" i="18" s="1"/>
  <c r="C19" i="18"/>
  <c r="A20" i="18"/>
  <c r="Y98" i="18" s="1"/>
  <c r="C20" i="18"/>
  <c r="A21" i="18"/>
  <c r="E50" i="18" s="1"/>
  <c r="B21" i="18"/>
  <c r="M73" i="18" s="1"/>
  <c r="C21" i="18"/>
  <c r="A23" i="18"/>
  <c r="F75" i="18" s="1"/>
  <c r="B23" i="18"/>
  <c r="H75" i="18" s="1"/>
  <c r="C23" i="18"/>
  <c r="A24" i="18"/>
  <c r="Y102" i="18" s="1"/>
  <c r="B24" i="18"/>
  <c r="H76" i="18" s="1"/>
  <c r="C24" i="18"/>
  <c r="A25" i="18"/>
  <c r="F77" i="18" s="1"/>
  <c r="B25" i="18"/>
  <c r="L77" i="18" s="1"/>
  <c r="C25" i="18"/>
  <c r="A26" i="18"/>
  <c r="Y104" i="18" s="1"/>
  <c r="B26" i="18"/>
  <c r="N78" i="18" s="1"/>
  <c r="C26" i="18"/>
  <c r="A27" i="18"/>
  <c r="B27" i="18"/>
  <c r="J79" i="18" s="1"/>
  <c r="C27" i="18"/>
  <c r="A28" i="18"/>
  <c r="E57" i="18" s="1"/>
  <c r="B28" i="18"/>
  <c r="O80" i="18" s="1"/>
  <c r="C28" i="18"/>
  <c r="E86" i="18"/>
  <c r="E87" i="18"/>
  <c r="E88" i="18"/>
  <c r="E89" i="18"/>
  <c r="E90" i="18"/>
  <c r="E91" i="18"/>
  <c r="E92" i="18"/>
  <c r="E93" i="18"/>
  <c r="E94" i="18"/>
  <c r="E95" i="18"/>
  <c r="E96" i="18"/>
  <c r="E97" i="18"/>
  <c r="E98" i="18"/>
  <c r="E99" i="18"/>
  <c r="Y100" i="18"/>
  <c r="E101" i="18"/>
  <c r="E102" i="18"/>
  <c r="E103" i="18"/>
  <c r="E104" i="18"/>
  <c r="E105" i="18"/>
  <c r="E106" i="18"/>
  <c r="F2" i="10"/>
  <c r="F3" i="10"/>
  <c r="B31" i="10"/>
  <c r="C31" i="10"/>
  <c r="D31" i="10"/>
  <c r="B32" i="10"/>
  <c r="P32" i="10" s="1"/>
  <c r="C32" i="10"/>
  <c r="D32" i="10"/>
  <c r="B33" i="10"/>
  <c r="C33" i="10"/>
  <c r="D33" i="10"/>
  <c r="B34" i="10"/>
  <c r="C34" i="10"/>
  <c r="D34" i="10"/>
  <c r="B35" i="10"/>
  <c r="C35" i="10"/>
  <c r="D35" i="10"/>
  <c r="B36" i="10"/>
  <c r="C36" i="10"/>
  <c r="D36" i="10"/>
  <c r="B37" i="10"/>
  <c r="C37" i="10"/>
  <c r="D37" i="10"/>
  <c r="B38" i="10"/>
  <c r="D38" i="10"/>
  <c r="B39" i="10"/>
  <c r="D39" i="10"/>
  <c r="B40" i="10"/>
  <c r="D40" i="10"/>
  <c r="B41" i="10"/>
  <c r="D41" i="10"/>
  <c r="B42" i="10"/>
  <c r="D42" i="10"/>
  <c r="B43" i="10"/>
  <c r="D43" i="10"/>
  <c r="B81" i="10"/>
  <c r="C81" i="10"/>
  <c r="D81" i="10"/>
  <c r="B82" i="10"/>
  <c r="C82" i="10"/>
  <c r="B83" i="10"/>
  <c r="C83" i="10"/>
  <c r="D83" i="10"/>
  <c r="B84" i="10"/>
  <c r="C84" i="10"/>
  <c r="D84" i="10"/>
  <c r="B85" i="10"/>
  <c r="C85" i="10"/>
  <c r="D85" i="10"/>
  <c r="B86" i="10"/>
  <c r="C86" i="10"/>
  <c r="D86" i="10"/>
  <c r="B87" i="10"/>
  <c r="C87" i="10"/>
  <c r="D87" i="10"/>
  <c r="B88" i="10"/>
  <c r="C88" i="10"/>
  <c r="D88" i="10"/>
  <c r="N4" i="6"/>
  <c r="G4" i="6" s="1"/>
  <c r="N6" i="6"/>
  <c r="I6" i="6" s="1"/>
  <c r="N7" i="6"/>
  <c r="Y7" i="6" s="1"/>
  <c r="N8" i="6"/>
  <c r="F8" i="6" s="1"/>
  <c r="N9" i="6"/>
  <c r="F9" i="6" s="1"/>
  <c r="Z34" i="6" s="1"/>
  <c r="C18" i="6" s="1"/>
  <c r="V7" i="22" s="1"/>
  <c r="P17" i="6"/>
  <c r="H18" i="6"/>
  <c r="K18" i="6"/>
  <c r="I173" i="1" s="1"/>
  <c r="L18" i="6"/>
  <c r="J173" i="1" s="1"/>
  <c r="P18" i="6"/>
  <c r="B21" i="6"/>
  <c r="C174" i="1" s="1"/>
  <c r="H21" i="6"/>
  <c r="F174" i="1" s="1"/>
  <c r="K21" i="6"/>
  <c r="I174" i="1" s="1"/>
  <c r="L21" i="6"/>
  <c r="J174" i="1" s="1"/>
  <c r="N21" i="6"/>
  <c r="L174" i="1" s="1"/>
  <c r="Z21" i="6"/>
  <c r="AA21" i="6" s="1"/>
  <c r="AB21" i="6" s="1"/>
  <c r="AC21" i="6"/>
  <c r="AD21" i="6"/>
  <c r="AF21" i="6"/>
  <c r="AG21" i="6" s="1"/>
  <c r="AH21" i="6" s="1"/>
  <c r="AI21" i="6"/>
  <c r="AJ21" i="6"/>
  <c r="AL21" i="6"/>
  <c r="AM21" i="6" s="1"/>
  <c r="AN21" i="6" s="1"/>
  <c r="AO21" i="6"/>
  <c r="AP21" i="6"/>
  <c r="AR21" i="6"/>
  <c r="AS21" i="6" s="1"/>
  <c r="AT21" i="6" s="1"/>
  <c r="AU21" i="6"/>
  <c r="AV21" i="6"/>
  <c r="B22" i="6"/>
  <c r="C175" i="1" s="1"/>
  <c r="H22" i="6"/>
  <c r="F175" i="1" s="1"/>
  <c r="K22" i="6"/>
  <c r="I175" i="1" s="1"/>
  <c r="L22" i="6"/>
  <c r="J175" i="1" s="1"/>
  <c r="N22" i="6"/>
  <c r="L175" i="1" s="1"/>
  <c r="B23" i="6"/>
  <c r="C176" i="1" s="1"/>
  <c r="H23" i="6"/>
  <c r="F176" i="1" s="1"/>
  <c r="K23" i="6"/>
  <c r="I176" i="1" s="1"/>
  <c r="L23" i="6"/>
  <c r="J176" i="1" s="1"/>
  <c r="N23" i="6"/>
  <c r="L176" i="1" s="1"/>
  <c r="AB23" i="6"/>
  <c r="AH23" i="6"/>
  <c r="AN23" i="6"/>
  <c r="AT23" i="6"/>
  <c r="B24" i="6"/>
  <c r="C177" i="1" s="1"/>
  <c r="H24" i="6"/>
  <c r="F177" i="1" s="1"/>
  <c r="K24" i="6"/>
  <c r="I177" i="1" s="1"/>
  <c r="L24" i="6"/>
  <c r="J177" i="1" s="1"/>
  <c r="N24" i="6"/>
  <c r="L177" i="1" s="1"/>
  <c r="AB24" i="6"/>
  <c r="AH24" i="6"/>
  <c r="AN24" i="6"/>
  <c r="AT24" i="6"/>
  <c r="B25" i="6"/>
  <c r="C178" i="1" s="1"/>
  <c r="H25" i="6"/>
  <c r="F178" i="1" s="1"/>
  <c r="K25" i="6"/>
  <c r="I178" i="1" s="1"/>
  <c r="L25" i="6"/>
  <c r="J178" i="1" s="1"/>
  <c r="N25" i="6"/>
  <c r="L178" i="1" s="1"/>
  <c r="AB25" i="6"/>
  <c r="AH25" i="6"/>
  <c r="AN25" i="6"/>
  <c r="AT25" i="6"/>
  <c r="B26" i="6"/>
  <c r="C179" i="1" s="1"/>
  <c r="H26" i="6"/>
  <c r="F179" i="1" s="1"/>
  <c r="K26" i="6"/>
  <c r="I179" i="1" s="1"/>
  <c r="L26" i="6"/>
  <c r="J179" i="1" s="1"/>
  <c r="N26" i="6"/>
  <c r="L179" i="1" s="1"/>
  <c r="AB26" i="6"/>
  <c r="AH26" i="6"/>
  <c r="AN26" i="6"/>
  <c r="AT26" i="6"/>
  <c r="B27" i="6"/>
  <c r="C180" i="1" s="1"/>
  <c r="H27" i="6"/>
  <c r="F180" i="1" s="1"/>
  <c r="K27" i="6"/>
  <c r="I180" i="1" s="1"/>
  <c r="L27" i="6"/>
  <c r="J180" i="1" s="1"/>
  <c r="N27" i="6"/>
  <c r="L180" i="1" s="1"/>
  <c r="AB27" i="6"/>
  <c r="AH27" i="6"/>
  <c r="AN27" i="6"/>
  <c r="AT27" i="6"/>
  <c r="B28" i="6"/>
  <c r="C181" i="1" s="1"/>
  <c r="H28" i="6"/>
  <c r="F181" i="1" s="1"/>
  <c r="K28" i="6"/>
  <c r="I181" i="1" s="1"/>
  <c r="L28" i="6"/>
  <c r="J181" i="1" s="1"/>
  <c r="N28" i="6"/>
  <c r="L181" i="1" s="1"/>
  <c r="AB28" i="6"/>
  <c r="AH28" i="6"/>
  <c r="AN28" i="6"/>
  <c r="AT28" i="6"/>
  <c r="B29" i="6"/>
  <c r="C182" i="1" s="1"/>
  <c r="H29" i="6"/>
  <c r="F182" i="1" s="1"/>
  <c r="K29" i="6"/>
  <c r="I182" i="1" s="1"/>
  <c r="L29" i="6"/>
  <c r="J182" i="1" s="1"/>
  <c r="N29" i="6"/>
  <c r="L182" i="1" s="1"/>
  <c r="B30" i="6"/>
  <c r="C183" i="1" s="1"/>
  <c r="H30" i="6"/>
  <c r="F183" i="1" s="1"/>
  <c r="K30" i="6"/>
  <c r="I183" i="1" s="1"/>
  <c r="L30" i="6"/>
  <c r="J183" i="1" s="1"/>
  <c r="N30" i="6"/>
  <c r="L183" i="1" s="1"/>
  <c r="B31" i="6"/>
  <c r="C184" i="1" s="1"/>
  <c r="H31" i="6"/>
  <c r="I31" i="6" s="1"/>
  <c r="G184" i="1" s="1"/>
  <c r="K31" i="6"/>
  <c r="I184" i="1" s="1"/>
  <c r="L31" i="6"/>
  <c r="J184" i="1" s="1"/>
  <c r="B32" i="6"/>
  <c r="C185" i="1" s="1"/>
  <c r="H32" i="6"/>
  <c r="F185" i="1" s="1"/>
  <c r="K32" i="6"/>
  <c r="I185" i="1" s="1"/>
  <c r="L32" i="6"/>
  <c r="J185" i="1" s="1"/>
  <c r="B33" i="6"/>
  <c r="C186" i="1" s="1"/>
  <c r="H33" i="6"/>
  <c r="I33" i="6" s="1"/>
  <c r="J33" i="6" s="1"/>
  <c r="H186" i="1" s="1"/>
  <c r="K33" i="6"/>
  <c r="I186" i="1" s="1"/>
  <c r="L33" i="6"/>
  <c r="J186" i="1" s="1"/>
  <c r="B34" i="6"/>
  <c r="C187" i="1" s="1"/>
  <c r="H34" i="6"/>
  <c r="K34" i="6"/>
  <c r="I187" i="1" s="1"/>
  <c r="L34" i="6"/>
  <c r="J187" i="1" s="1"/>
  <c r="A40" i="6"/>
  <c r="A41" i="6"/>
  <c r="A42" i="6"/>
  <c r="A43" i="6"/>
  <c r="A44" i="6"/>
  <c r="A45" i="6"/>
  <c r="A46" i="6"/>
  <c r="A47" i="6"/>
  <c r="A48" i="6"/>
  <c r="A49" i="6"/>
  <c r="A50" i="6"/>
  <c r="A51" i="6"/>
  <c r="A52" i="6"/>
  <c r="A53" i="6"/>
  <c r="A54" i="6"/>
  <c r="A30" i="2"/>
  <c r="A32" i="2"/>
  <c r="A34" i="2"/>
  <c r="B5" i="9"/>
  <c r="AQ5" i="9"/>
  <c r="L5" i="9"/>
  <c r="M5" i="9" s="1"/>
  <c r="BZ5" i="9"/>
  <c r="AV11" i="9" s="1"/>
  <c r="B6" i="9"/>
  <c r="L6" i="9"/>
  <c r="M6" i="9" s="1"/>
  <c r="BZ6" i="9"/>
  <c r="B7" i="9"/>
  <c r="E33" i="10"/>
  <c r="L7" i="9"/>
  <c r="M7" i="9" s="1"/>
  <c r="BZ7" i="9"/>
  <c r="AV7" i="9" s="1"/>
  <c r="B8" i="9"/>
  <c r="E34" i="10"/>
  <c r="L8" i="9"/>
  <c r="M8" i="9" s="1"/>
  <c r="BZ8" i="9"/>
  <c r="B9" i="9"/>
  <c r="E35" i="10"/>
  <c r="L9" i="9"/>
  <c r="M9" i="9" s="1"/>
  <c r="BZ9" i="9"/>
  <c r="B10" i="9"/>
  <c r="E36" i="10"/>
  <c r="L10" i="9"/>
  <c r="M10" i="9" s="1"/>
  <c r="BZ10" i="9"/>
  <c r="B11" i="9"/>
  <c r="L11" i="9"/>
  <c r="M11" i="9" s="1"/>
  <c r="BZ11" i="9"/>
  <c r="B12" i="9"/>
  <c r="E38" i="10"/>
  <c r="L12" i="9"/>
  <c r="BZ12" i="9"/>
  <c r="B13" i="9"/>
  <c r="L13" i="9"/>
  <c r="BZ13" i="9"/>
  <c r="B14" i="9"/>
  <c r="L14" i="9"/>
  <c r="BZ14" i="9"/>
  <c r="B15" i="9"/>
  <c r="E41" i="10"/>
  <c r="L15" i="9"/>
  <c r="B16" i="9"/>
  <c r="L16" i="9"/>
  <c r="B17" i="9"/>
  <c r="L17" i="9"/>
  <c r="B18" i="9"/>
  <c r="M55" i="9"/>
  <c r="B20" i="9"/>
  <c r="AT57" i="9"/>
  <c r="AU57" i="9"/>
  <c r="B21" i="9"/>
  <c r="AT58" i="9"/>
  <c r="AU58" i="9"/>
  <c r="B22" i="9"/>
  <c r="AT59" i="9"/>
  <c r="AU59" i="9"/>
  <c r="B23" i="9"/>
  <c r="AT60" i="9"/>
  <c r="AU60" i="9"/>
  <c r="B24" i="9"/>
  <c r="AT61" i="9"/>
  <c r="M36" i="9" s="1"/>
  <c r="AU61" i="9"/>
  <c r="B25" i="9"/>
  <c r="X25" i="9"/>
  <c r="AT62" i="9"/>
  <c r="M37" i="9" s="1"/>
  <c r="AU62" i="9"/>
  <c r="X27" i="9"/>
  <c r="F8" i="8"/>
  <c r="I8" i="8" s="1"/>
  <c r="I4" i="5"/>
  <c r="F21" i="6" s="1"/>
  <c r="D174" i="1" s="1"/>
  <c r="E174" i="1" s="1"/>
  <c r="J4" i="5"/>
  <c r="C21" i="6" s="1"/>
  <c r="K4" i="5"/>
  <c r="D21" i="6" s="1"/>
  <c r="L4" i="5"/>
  <c r="E21" i="6" s="1"/>
  <c r="M4" i="5"/>
  <c r="O60" i="5" s="1"/>
  <c r="I5" i="5"/>
  <c r="J5" i="5"/>
  <c r="K5" i="5"/>
  <c r="D22" i="6" s="1"/>
  <c r="L5" i="5"/>
  <c r="E22" i="6" s="1"/>
  <c r="M5" i="5"/>
  <c r="O65" i="5" s="1"/>
  <c r="I6" i="5"/>
  <c r="F23" i="6" s="1"/>
  <c r="D176" i="1" s="1"/>
  <c r="E176" i="1" s="1"/>
  <c r="J6" i="5"/>
  <c r="C23" i="6" s="1"/>
  <c r="K6" i="5"/>
  <c r="D23" i="6" s="1"/>
  <c r="L6" i="5"/>
  <c r="E23" i="6" s="1"/>
  <c r="M6" i="5"/>
  <c r="M73" i="5" s="1"/>
  <c r="I7" i="5"/>
  <c r="F24" i="6" s="1"/>
  <c r="D177" i="1" s="1"/>
  <c r="E177" i="1" s="1"/>
  <c r="J7" i="5"/>
  <c r="C24" i="6" s="1"/>
  <c r="K7" i="5"/>
  <c r="D24" i="6" s="1"/>
  <c r="L7" i="5"/>
  <c r="M7" i="5"/>
  <c r="M79" i="5" s="1"/>
  <c r="W79" i="5" s="1"/>
  <c r="T8" i="5"/>
  <c r="U8" i="5"/>
  <c r="W8" i="5" s="1"/>
  <c r="I9" i="5"/>
  <c r="F25" i="6" s="1"/>
  <c r="D178" i="1" s="1"/>
  <c r="E178" i="1" s="1"/>
  <c r="J9" i="5"/>
  <c r="C25" i="6" s="1"/>
  <c r="K9" i="5"/>
  <c r="D25" i="6" s="1"/>
  <c r="L9" i="5"/>
  <c r="E25" i="6" s="1"/>
  <c r="M9" i="5"/>
  <c r="L84" i="5" s="1"/>
  <c r="I10" i="5"/>
  <c r="F26" i="6" s="1"/>
  <c r="D179" i="1" s="1"/>
  <c r="E179" i="1" s="1"/>
  <c r="J10" i="5"/>
  <c r="C26" i="6" s="1"/>
  <c r="K10" i="5"/>
  <c r="N86" i="5" s="1"/>
  <c r="L10" i="5"/>
  <c r="E26" i="6" s="1"/>
  <c r="M10" i="5"/>
  <c r="L87" i="5" s="1"/>
  <c r="I11" i="5"/>
  <c r="L90" i="5" s="1"/>
  <c r="J11" i="5"/>
  <c r="C27" i="6" s="1"/>
  <c r="K11" i="5"/>
  <c r="L11" i="5"/>
  <c r="E27" i="6" s="1"/>
  <c r="M11" i="5"/>
  <c r="O91" i="5" s="1"/>
  <c r="T11" i="5"/>
  <c r="U11" i="5"/>
  <c r="W11" i="5" s="1"/>
  <c r="I13" i="5"/>
  <c r="L94" i="5" s="1"/>
  <c r="J13" i="5"/>
  <c r="C28" i="6" s="1"/>
  <c r="K13" i="5"/>
  <c r="D28" i="6" s="1"/>
  <c r="L13" i="5"/>
  <c r="E28" i="6" s="1"/>
  <c r="M13" i="5"/>
  <c r="L96" i="5" s="1"/>
  <c r="I14" i="5"/>
  <c r="F29" i="6" s="1"/>
  <c r="D182" i="1" s="1"/>
  <c r="E182" i="1" s="1"/>
  <c r="J14" i="5"/>
  <c r="M103" i="5" s="1"/>
  <c r="W103" i="5" s="1"/>
  <c r="K14" i="5"/>
  <c r="D29" i="6" s="1"/>
  <c r="L14" i="5"/>
  <c r="O103" i="5" s="1"/>
  <c r="M14" i="5"/>
  <c r="O110" i="5" s="1"/>
  <c r="U14" i="5"/>
  <c r="W14" i="5" s="1"/>
  <c r="I15" i="5"/>
  <c r="L112" i="5" s="1"/>
  <c r="J15" i="5"/>
  <c r="C30" i="6" s="1"/>
  <c r="K15" i="5"/>
  <c r="D30" i="6" s="1"/>
  <c r="L15" i="5"/>
  <c r="E30" i="6" s="1"/>
  <c r="M15" i="5"/>
  <c r="L117" i="5" s="1"/>
  <c r="U15" i="5"/>
  <c r="W15" i="5" s="1"/>
  <c r="I18" i="5"/>
  <c r="F31" i="6" s="1"/>
  <c r="D184" i="1" s="1"/>
  <c r="E184" i="1" s="1"/>
  <c r="J18" i="5"/>
  <c r="C31" i="6" s="1"/>
  <c r="K18" i="5"/>
  <c r="D31" i="6" s="1"/>
  <c r="L18" i="5"/>
  <c r="E31" i="6" s="1"/>
  <c r="I19" i="5"/>
  <c r="F32" i="6" s="1"/>
  <c r="D185" i="1" s="1"/>
  <c r="E185" i="1" s="1"/>
  <c r="J19" i="5"/>
  <c r="C32" i="6" s="1"/>
  <c r="K19" i="5"/>
  <c r="D32" i="6" s="1"/>
  <c r="L19" i="5"/>
  <c r="E32" i="6" s="1"/>
  <c r="I20" i="5"/>
  <c r="F33" i="6" s="1"/>
  <c r="D186" i="1" s="1"/>
  <c r="E186" i="1" s="1"/>
  <c r="J20" i="5"/>
  <c r="C33" i="6" s="1"/>
  <c r="K20" i="5"/>
  <c r="D33" i="6" s="1"/>
  <c r="L20" i="5"/>
  <c r="E33" i="6" s="1"/>
  <c r="I21" i="5"/>
  <c r="F34" i="6" s="1"/>
  <c r="D187" i="1" s="1"/>
  <c r="E187" i="1" s="1"/>
  <c r="J21" i="5"/>
  <c r="C34" i="6" s="1"/>
  <c r="K21" i="5"/>
  <c r="D34" i="6" s="1"/>
  <c r="L21" i="5"/>
  <c r="E34" i="6" s="1"/>
  <c r="C58" i="5"/>
  <c r="F58" i="5" s="1"/>
  <c r="R58" i="5"/>
  <c r="Y58" i="5"/>
  <c r="R59" i="5"/>
  <c r="Y59" i="5"/>
  <c r="R60" i="5"/>
  <c r="Y60" i="5"/>
  <c r="R61" i="5"/>
  <c r="Y61" i="5"/>
  <c r="R62" i="5"/>
  <c r="Y62" i="5"/>
  <c r="Y63" i="5"/>
  <c r="C64" i="5"/>
  <c r="F64" i="5" s="1"/>
  <c r="R64" i="5"/>
  <c r="Y64" i="5"/>
  <c r="R65" i="5"/>
  <c r="R66" i="5"/>
  <c r="R67" i="5"/>
  <c r="R68" i="5"/>
  <c r="C70" i="5"/>
  <c r="E70" i="5" s="1"/>
  <c r="R70" i="5"/>
  <c r="R71" i="5"/>
  <c r="R72" i="5"/>
  <c r="R73" i="5"/>
  <c r="R74" i="5"/>
  <c r="C76" i="5"/>
  <c r="D76" i="5" s="1"/>
  <c r="R76" i="5"/>
  <c r="R77" i="5"/>
  <c r="R78" i="5"/>
  <c r="R79" i="5"/>
  <c r="R80" i="5"/>
  <c r="C82" i="5"/>
  <c r="G82" i="5" s="1"/>
  <c r="J82" i="5" s="1"/>
  <c r="R82" i="5"/>
  <c r="R83" i="5"/>
  <c r="R84" i="5"/>
  <c r="C86" i="5"/>
  <c r="D86" i="5" s="1"/>
  <c r="R86" i="5"/>
  <c r="R87" i="5"/>
  <c r="R88" i="5"/>
  <c r="C90" i="5"/>
  <c r="G90" i="5" s="1"/>
  <c r="I90" i="5" s="1"/>
  <c r="R90" i="5"/>
  <c r="R91" i="5"/>
  <c r="R92" i="5"/>
  <c r="C94" i="5"/>
  <c r="G94" i="5" s="1"/>
  <c r="J94" i="5" s="1"/>
  <c r="D94" i="5"/>
  <c r="E94" i="5"/>
  <c r="F94" i="5"/>
  <c r="R94" i="5"/>
  <c r="R95" i="5"/>
  <c r="R96" i="5"/>
  <c r="R97" i="5"/>
  <c r="R98" i="5"/>
  <c r="R99" i="5"/>
  <c r="R100" i="5"/>
  <c r="R101" i="5"/>
  <c r="C103" i="5"/>
  <c r="G103" i="5" s="1"/>
  <c r="D103" i="5"/>
  <c r="E103" i="5"/>
  <c r="F103" i="5"/>
  <c r="R103" i="5"/>
  <c r="R104" i="5"/>
  <c r="R105" i="5"/>
  <c r="R106" i="5"/>
  <c r="R107" i="5"/>
  <c r="R108" i="5"/>
  <c r="R109" i="5"/>
  <c r="R110" i="5"/>
  <c r="C112" i="5"/>
  <c r="G112" i="5" s="1"/>
  <c r="D112" i="5"/>
  <c r="E112" i="5"/>
  <c r="F112" i="5"/>
  <c r="R112" i="5"/>
  <c r="R113" i="5"/>
  <c r="R114" i="5"/>
  <c r="R115" i="5"/>
  <c r="R116" i="5"/>
  <c r="R117" i="5"/>
  <c r="R118" i="5"/>
  <c r="R119" i="5"/>
  <c r="A9" i="15"/>
  <c r="D10" i="15"/>
  <c r="F10" i="15"/>
  <c r="G9" i="15" s="1"/>
  <c r="D11" i="15"/>
  <c r="F11" i="15"/>
  <c r="D12" i="15"/>
  <c r="F12" i="15"/>
  <c r="D13" i="15"/>
  <c r="F13" i="15"/>
  <c r="D14" i="15"/>
  <c r="F14" i="15"/>
  <c r="D15" i="15"/>
  <c r="F15" i="15"/>
  <c r="D16" i="15"/>
  <c r="F16" i="15"/>
  <c r="D17" i="15"/>
  <c r="F17" i="15"/>
  <c r="D18" i="15"/>
  <c r="F18" i="15"/>
  <c r="D19" i="15"/>
  <c r="F19" i="15"/>
  <c r="D20" i="15"/>
  <c r="F20" i="15"/>
  <c r="D21" i="15"/>
  <c r="F21" i="15"/>
  <c r="D22" i="15"/>
  <c r="F22" i="15"/>
  <c r="D23" i="15"/>
  <c r="F23" i="15"/>
  <c r="D24" i="15"/>
  <c r="F24" i="15"/>
  <c r="D25" i="15"/>
  <c r="F25" i="15"/>
  <c r="D26" i="15"/>
  <c r="F26" i="15"/>
  <c r="D27" i="15"/>
  <c r="F27" i="15"/>
  <c r="D28" i="15"/>
  <c r="F28" i="15"/>
  <c r="D29" i="15"/>
  <c r="F29" i="15"/>
  <c r="D30" i="15"/>
  <c r="F30" i="15"/>
  <c r="D31" i="15"/>
  <c r="F31" i="15"/>
  <c r="D32" i="15"/>
  <c r="F32" i="15"/>
  <c r="D33" i="15"/>
  <c r="F33" i="15"/>
  <c r="D34" i="15"/>
  <c r="F34" i="15"/>
  <c r="D35" i="15"/>
  <c r="F35" i="15"/>
  <c r="D36" i="15"/>
  <c r="F36" i="15"/>
  <c r="D37" i="15"/>
  <c r="F37" i="15"/>
  <c r="D38" i="15"/>
  <c r="F38" i="15"/>
  <c r="D39" i="15"/>
  <c r="F39" i="15"/>
  <c r="D40" i="15"/>
  <c r="F40" i="15"/>
  <c r="D41" i="15"/>
  <c r="F41" i="15"/>
  <c r="D42" i="15"/>
  <c r="F42" i="15"/>
  <c r="D43" i="15"/>
  <c r="F43" i="15"/>
  <c r="D44" i="15"/>
  <c r="F44" i="15"/>
  <c r="D45" i="15"/>
  <c r="F45" i="15"/>
  <c r="D46" i="15"/>
  <c r="F46" i="15"/>
  <c r="D47" i="15"/>
  <c r="F47" i="15"/>
  <c r="D48" i="15"/>
  <c r="F48" i="15"/>
  <c r="D49" i="15"/>
  <c r="F49" i="15"/>
  <c r="D50" i="15"/>
  <c r="F50" i="15"/>
  <c r="D51" i="15"/>
  <c r="F51" i="15"/>
  <c r="D52" i="15"/>
  <c r="F52" i="15"/>
  <c r="D53" i="15"/>
  <c r="F53" i="15"/>
  <c r="D54" i="15"/>
  <c r="F54" i="15"/>
  <c r="D55" i="15"/>
  <c r="F55" i="15"/>
  <c r="D56" i="15"/>
  <c r="F56" i="15"/>
  <c r="D57" i="15"/>
  <c r="F57" i="15"/>
  <c r="D58" i="15"/>
  <c r="F58" i="15"/>
  <c r="D59" i="15"/>
  <c r="F59" i="15"/>
  <c r="D60" i="15"/>
  <c r="F60" i="15"/>
  <c r="D61" i="15"/>
  <c r="F61" i="15"/>
  <c r="D62" i="15"/>
  <c r="F62" i="15"/>
  <c r="D63" i="15"/>
  <c r="F63" i="15"/>
  <c r="D64" i="15"/>
  <c r="F64" i="15"/>
  <c r="D65" i="15"/>
  <c r="F65" i="15"/>
  <c r="D66" i="15"/>
  <c r="F66" i="15"/>
  <c r="D67" i="15"/>
  <c r="F67" i="15"/>
  <c r="D68" i="15"/>
  <c r="F68" i="15"/>
  <c r="D69" i="15"/>
  <c r="F69" i="15"/>
  <c r="D70" i="15"/>
  <c r="F70" i="15"/>
  <c r="D71" i="15"/>
  <c r="F71" i="15"/>
  <c r="D72" i="15"/>
  <c r="F72" i="15"/>
  <c r="D73" i="15"/>
  <c r="F73" i="15"/>
  <c r="D74" i="15"/>
  <c r="F74" i="15"/>
  <c r="D75" i="15"/>
  <c r="F75" i="15"/>
  <c r="D76" i="15"/>
  <c r="F76" i="15"/>
  <c r="D77" i="15"/>
  <c r="F77" i="15"/>
  <c r="D78" i="15"/>
  <c r="F78" i="15"/>
  <c r="D79" i="15"/>
  <c r="F79" i="15"/>
  <c r="D80" i="15"/>
  <c r="F80" i="15"/>
  <c r="D81" i="15"/>
  <c r="F81" i="15"/>
  <c r="D82" i="15"/>
  <c r="F82" i="15"/>
  <c r="D83" i="15"/>
  <c r="F83" i="15"/>
  <c r="D84" i="15"/>
  <c r="F84" i="15"/>
  <c r="D85" i="15"/>
  <c r="F85" i="15"/>
  <c r="D86" i="15"/>
  <c r="F86" i="15"/>
  <c r="D87" i="15"/>
  <c r="F87" i="15"/>
  <c r="D88" i="15"/>
  <c r="F88" i="15"/>
  <c r="D89" i="15"/>
  <c r="F89" i="15"/>
  <c r="D90" i="15"/>
  <c r="F90" i="15"/>
  <c r="D91" i="15"/>
  <c r="F91" i="15"/>
  <c r="D92" i="15"/>
  <c r="F92" i="15"/>
  <c r="D93" i="15"/>
  <c r="F93" i="15"/>
  <c r="D94" i="15"/>
  <c r="F94" i="15"/>
  <c r="D95" i="15"/>
  <c r="F95" i="15"/>
  <c r="D96" i="15"/>
  <c r="F96" i="15"/>
  <c r="D97" i="15"/>
  <c r="F97" i="15"/>
  <c r="D98" i="15"/>
  <c r="F98" i="15"/>
  <c r="D99" i="15"/>
  <c r="F99" i="15"/>
  <c r="D100" i="15"/>
  <c r="F100" i="15"/>
  <c r="D101" i="15"/>
  <c r="F101" i="15"/>
  <c r="D102" i="15"/>
  <c r="F102" i="15"/>
  <c r="D103" i="15"/>
  <c r="F103" i="15"/>
  <c r="F104" i="15"/>
  <c r="A105" i="15"/>
  <c r="B105" i="15"/>
  <c r="C105" i="15"/>
  <c r="D105" i="15"/>
  <c r="AP5" i="1"/>
  <c r="AL6" i="1"/>
  <c r="AP6" i="1"/>
  <c r="AL7" i="1"/>
  <c r="AP7" i="1"/>
  <c r="AL8" i="1"/>
  <c r="AP8" i="1"/>
  <c r="AL9" i="1"/>
  <c r="AP9" i="1"/>
  <c r="AL10" i="1"/>
  <c r="AP10" i="1"/>
  <c r="AL11" i="1"/>
  <c r="AP11" i="1"/>
  <c r="AL12" i="1"/>
  <c r="AP12" i="1"/>
  <c r="AL13" i="1"/>
  <c r="AP13" i="1"/>
  <c r="AL14" i="1"/>
  <c r="AO14" i="1"/>
  <c r="AP14" i="1"/>
  <c r="AL15" i="1"/>
  <c r="AO15" i="1"/>
  <c r="AP15" i="1"/>
  <c r="AL16" i="1"/>
  <c r="AP16" i="1"/>
  <c r="AL17" i="1"/>
  <c r="AN17" i="1"/>
  <c r="AO17" i="1"/>
  <c r="AP17" i="1"/>
  <c r="AL18" i="1"/>
  <c r="AP18" i="1"/>
  <c r="AL19" i="1"/>
  <c r="AP19" i="1"/>
  <c r="AL20" i="1"/>
  <c r="AL21" i="1"/>
  <c r="AL22" i="1"/>
  <c r="AL23" i="1"/>
  <c r="AY23" i="1"/>
  <c r="AZ23" i="1"/>
  <c r="BA23" i="1"/>
  <c r="BB23" i="1"/>
  <c r="AL24" i="1"/>
  <c r="AY24" i="1"/>
  <c r="AZ24" i="1"/>
  <c r="BA24" i="1"/>
  <c r="BB24" i="1"/>
  <c r="AL25" i="1"/>
  <c r="AY25" i="1"/>
  <c r="AZ25" i="1"/>
  <c r="BA25" i="1"/>
  <c r="BB25" i="1"/>
  <c r="AL26" i="1"/>
  <c r="AY26" i="1"/>
  <c r="AZ26" i="1"/>
  <c r="BA26" i="1"/>
  <c r="BB26" i="1"/>
  <c r="AL27" i="1"/>
  <c r="AY27" i="1"/>
  <c r="AZ27" i="1"/>
  <c r="BA27" i="1"/>
  <c r="BB27" i="1"/>
  <c r="AL28" i="1"/>
  <c r="AL29" i="1"/>
  <c r="AL30" i="1"/>
  <c r="AL31" i="1"/>
  <c r="AL32" i="1"/>
  <c r="AL33" i="1"/>
  <c r="AL34" i="1"/>
  <c r="AL35" i="1"/>
  <c r="AL36" i="1"/>
  <c r="AL37" i="1"/>
  <c r="AL38" i="1"/>
  <c r="AL39" i="1"/>
  <c r="AL40" i="1"/>
  <c r="AL41" i="1"/>
  <c r="AL42" i="1"/>
  <c r="AL43" i="1"/>
  <c r="BE43" i="1"/>
  <c r="AL44" i="1"/>
  <c r="BE44" i="1"/>
  <c r="BE45" i="1"/>
  <c r="BE46" i="1"/>
  <c r="BE47" i="1"/>
  <c r="BE48" i="1"/>
  <c r="AL55" i="1"/>
  <c r="AX52" i="1"/>
  <c r="AL56" i="1"/>
  <c r="AL57" i="1"/>
  <c r="AL58" i="1"/>
  <c r="AL59" i="1"/>
  <c r="AL60" i="1"/>
  <c r="AL61" i="1"/>
  <c r="AL62" i="1"/>
  <c r="AL63" i="1"/>
  <c r="AL64" i="1"/>
  <c r="AL65" i="1"/>
  <c r="AL66" i="1"/>
  <c r="AL67" i="1"/>
  <c r="AL68" i="1"/>
  <c r="AL69" i="1"/>
  <c r="AL73" i="1"/>
  <c r="AL74" i="1"/>
  <c r="AL75" i="1"/>
  <c r="AL77" i="1"/>
  <c r="AL78" i="1"/>
  <c r="AL83" i="1"/>
  <c r="AL84" i="1"/>
  <c r="AL85" i="1"/>
  <c r="AL86" i="1"/>
  <c r="AL87" i="1"/>
  <c r="AL88" i="1"/>
  <c r="AL90" i="1"/>
  <c r="AL91" i="1"/>
  <c r="AL92" i="1"/>
  <c r="AL94" i="1"/>
  <c r="AL95" i="1"/>
  <c r="AL96" i="1"/>
  <c r="AL97" i="1"/>
  <c r="AL98" i="1"/>
  <c r="AL99" i="1"/>
  <c r="AL101" i="1"/>
  <c r="AL102" i="1"/>
  <c r="AL104" i="1"/>
  <c r="AL105" i="1"/>
  <c r="AL107" i="1"/>
  <c r="AL108" i="1"/>
  <c r="AL109" i="1"/>
  <c r="AL110" i="1"/>
  <c r="AL119" i="1"/>
  <c r="AL120" i="1"/>
  <c r="AL121" i="1"/>
  <c r="AL122" i="1"/>
  <c r="C168" i="1"/>
  <c r="A23" i="4" s="1"/>
  <c r="D168" i="1"/>
  <c r="E168" i="1"/>
  <c r="L168" i="1"/>
  <c r="M168" i="1"/>
  <c r="T168" i="1"/>
  <c r="X168" i="1" s="1"/>
  <c r="AJ168" i="1"/>
  <c r="C169" i="1"/>
  <c r="A24" i="4" s="1"/>
  <c r="D169" i="1"/>
  <c r="E169" i="1"/>
  <c r="L169" i="1"/>
  <c r="T169" i="1"/>
  <c r="Y169" i="1" s="1"/>
  <c r="AJ169" i="1"/>
  <c r="C170" i="1"/>
  <c r="A25" i="4" s="1"/>
  <c r="D170" i="1"/>
  <c r="E170" i="1"/>
  <c r="L170" i="1"/>
  <c r="T170" i="1"/>
  <c r="Y170" i="1" s="1"/>
  <c r="AJ170" i="1"/>
  <c r="C171" i="1"/>
  <c r="A26" i="4" s="1"/>
  <c r="D171" i="1"/>
  <c r="E171" i="1"/>
  <c r="L171" i="1"/>
  <c r="T171" i="1"/>
  <c r="X171" i="1" s="1"/>
  <c r="AJ171" i="1"/>
  <c r="C172" i="1"/>
  <c r="A27" i="4" s="1"/>
  <c r="D172" i="1"/>
  <c r="E172" i="1"/>
  <c r="K172" i="1"/>
  <c r="L172" i="1"/>
  <c r="T172" i="1"/>
  <c r="U172" i="1" s="1"/>
  <c r="AJ172" i="1"/>
  <c r="C173" i="1"/>
  <c r="A28" i="4" s="1"/>
  <c r="D173" i="1"/>
  <c r="E173" i="1"/>
  <c r="K173" i="1"/>
  <c r="L173" i="1"/>
  <c r="AJ173" i="1"/>
  <c r="M174" i="1"/>
  <c r="T174" i="1"/>
  <c r="M175" i="1"/>
  <c r="T175" i="1"/>
  <c r="M176" i="1"/>
  <c r="T176" i="1"/>
  <c r="M177" i="1"/>
  <c r="T177" i="1"/>
  <c r="M178" i="1"/>
  <c r="T178" i="1"/>
  <c r="AD178" i="1" s="1"/>
  <c r="M179" i="1"/>
  <c r="T179" i="1"/>
  <c r="M180" i="1"/>
  <c r="T180" i="1"/>
  <c r="U180" i="1" s="1"/>
  <c r="V180" i="1" s="1"/>
  <c r="M181" i="1"/>
  <c r="T181" i="1"/>
  <c r="AE181" i="1" s="1"/>
  <c r="M182" i="1"/>
  <c r="AJ182" i="1"/>
  <c r="M183" i="1"/>
  <c r="T183" i="1"/>
  <c r="Y183" i="1" s="1"/>
  <c r="AJ183" i="1"/>
  <c r="K184" i="1"/>
  <c r="L184" i="1"/>
  <c r="M184" i="1"/>
  <c r="T184" i="1"/>
  <c r="AE184" i="1" s="1"/>
  <c r="AJ184" i="1"/>
  <c r="K185" i="1"/>
  <c r="L185" i="1"/>
  <c r="M185" i="1"/>
  <c r="T185" i="1"/>
  <c r="X185" i="1" s="1"/>
  <c r="AC25" i="18" s="1"/>
  <c r="AJ185" i="1"/>
  <c r="K186" i="1"/>
  <c r="L186" i="1"/>
  <c r="M186" i="1"/>
  <c r="T186" i="1"/>
  <c r="Y186" i="1" s="1"/>
  <c r="AD26" i="18" s="1"/>
  <c r="AJ186" i="1"/>
  <c r="K187" i="1"/>
  <c r="L187" i="1"/>
  <c r="M187" i="1"/>
  <c r="E188" i="1"/>
  <c r="N188" i="1" s="1"/>
  <c r="E190" i="1"/>
  <c r="N190" i="1" s="1"/>
  <c r="E192" i="1"/>
  <c r="N192" i="1" s="1"/>
  <c r="E194" i="1"/>
  <c r="N194" i="1" s="1"/>
  <c r="E195" i="1"/>
  <c r="N195" i="1" s="1"/>
  <c r="E197" i="1"/>
  <c r="N197" i="1" s="1"/>
  <c r="E198" i="1"/>
  <c r="N198" i="1" s="1"/>
  <c r="E199" i="1"/>
  <c r="N199" i="1" s="1"/>
  <c r="E200" i="1"/>
  <c r="N200" i="1" s="1"/>
  <c r="E202" i="1"/>
  <c r="N202" i="1" s="1"/>
  <c r="E203" i="1"/>
  <c r="N203" i="1" s="1"/>
  <c r="E206" i="1"/>
  <c r="N206" i="1" s="1"/>
  <c r="E207" i="1"/>
  <c r="N207" i="1" s="1"/>
  <c r="E208" i="1"/>
  <c r="N208" i="1" s="1"/>
  <c r="E209" i="1"/>
  <c r="N209" i="1" s="1"/>
  <c r="E210" i="1"/>
  <c r="N210" i="1" s="1"/>
  <c r="B23" i="4"/>
  <c r="B19" i="25" s="1"/>
  <c r="B24" i="4"/>
  <c r="B20" i="25" s="1"/>
  <c r="V24" i="4"/>
  <c r="W24" i="4"/>
  <c r="X24" i="4"/>
  <c r="B25" i="4"/>
  <c r="V25" i="4"/>
  <c r="W25" i="4"/>
  <c r="X25" i="4"/>
  <c r="B26" i="4"/>
  <c r="B22" i="25" s="1"/>
  <c r="V26" i="4"/>
  <c r="W26" i="4"/>
  <c r="X26" i="4"/>
  <c r="B27" i="4"/>
  <c r="V27" i="4"/>
  <c r="W27" i="4"/>
  <c r="X27" i="4"/>
  <c r="B28" i="4"/>
  <c r="C28" i="4" s="1"/>
  <c r="C24" i="25" s="1"/>
  <c r="V28" i="4"/>
  <c r="W28" i="4"/>
  <c r="X28" i="4"/>
  <c r="V32" i="4"/>
  <c r="R34" i="4"/>
  <c r="V34" i="4"/>
  <c r="H77" i="16"/>
  <c r="I77" i="16"/>
  <c r="J77" i="16"/>
  <c r="K77" i="16"/>
  <c r="H78" i="16"/>
  <c r="I78" i="16"/>
  <c r="J78" i="16"/>
  <c r="K78" i="16"/>
  <c r="H79" i="16"/>
  <c r="I79" i="16"/>
  <c r="J79" i="16"/>
  <c r="K79" i="16"/>
  <c r="H80" i="16"/>
  <c r="I80" i="16"/>
  <c r="J80" i="16"/>
  <c r="K80" i="16"/>
  <c r="H81" i="16"/>
  <c r="I81" i="16"/>
  <c r="J81" i="16"/>
  <c r="K81" i="16"/>
  <c r="H82" i="16"/>
  <c r="I82" i="16"/>
  <c r="J82" i="16"/>
  <c r="K82" i="16"/>
  <c r="H83" i="16"/>
  <c r="I83" i="16"/>
  <c r="J83" i="16"/>
  <c r="K83" i="16"/>
  <c r="H84" i="16"/>
  <c r="I84" i="16"/>
  <c r="J84" i="16"/>
  <c r="K84" i="16"/>
  <c r="H85" i="16"/>
  <c r="I85" i="16"/>
  <c r="J85" i="16"/>
  <c r="K85" i="16"/>
  <c r="H86" i="16"/>
  <c r="I86" i="16"/>
  <c r="J86" i="16"/>
  <c r="K86" i="16"/>
  <c r="H87" i="16"/>
  <c r="I87" i="16"/>
  <c r="J87" i="16"/>
  <c r="K87" i="16"/>
  <c r="H88" i="16"/>
  <c r="I88" i="16"/>
  <c r="J88" i="16"/>
  <c r="K88" i="16"/>
  <c r="H89" i="16"/>
  <c r="I89" i="16"/>
  <c r="J89" i="16"/>
  <c r="K89" i="16"/>
  <c r="D1" i="24"/>
  <c r="I3" i="24"/>
  <c r="R32" i="10" l="1"/>
  <c r="T32" i="10"/>
  <c r="Q32" i="10"/>
  <c r="S32" i="10"/>
  <c r="X32" i="10"/>
  <c r="H32" i="10" s="1"/>
  <c r="U32" i="10"/>
  <c r="Y32" i="10"/>
  <c r="L58" i="9"/>
  <c r="M58" i="9" s="1"/>
  <c r="L57" i="9"/>
  <c r="M57" i="9" s="1"/>
  <c r="L62" i="9"/>
  <c r="M62" i="9" s="1"/>
  <c r="L59" i="9"/>
  <c r="M59" i="9" s="1"/>
  <c r="L60" i="9"/>
  <c r="M60" i="9" s="1"/>
  <c r="L61" i="9"/>
  <c r="M61" i="9" s="1"/>
  <c r="G81" i="10"/>
  <c r="P34" i="10"/>
  <c r="G34" i="10"/>
  <c r="P39" i="10"/>
  <c r="G39" i="10"/>
  <c r="P33" i="10"/>
  <c r="P42" i="10"/>
  <c r="G42" i="10"/>
  <c r="P36" i="10"/>
  <c r="P43" i="10"/>
  <c r="G43" i="10"/>
  <c r="P37" i="10"/>
  <c r="P35" i="10"/>
  <c r="P41" i="10"/>
  <c r="G41" i="10"/>
  <c r="P40" i="10"/>
  <c r="G40" i="10"/>
  <c r="P31" i="10"/>
  <c r="Z4" i="22"/>
  <c r="A5" i="22" s="1"/>
  <c r="Q204" i="1"/>
  <c r="B19" i="7" s="1"/>
  <c r="E3" i="22"/>
  <c r="E2" i="22"/>
  <c r="AA10" i="37"/>
  <c r="AA26" i="37"/>
  <c r="AA42" i="37"/>
  <c r="AA58" i="37"/>
  <c r="AA74" i="37"/>
  <c r="AA90" i="37"/>
  <c r="AA106" i="37"/>
  <c r="AA122" i="37"/>
  <c r="AA138" i="37"/>
  <c r="AA154" i="37"/>
  <c r="AA170" i="37"/>
  <c r="AA186" i="37"/>
  <c r="AA202" i="37"/>
  <c r="AA218" i="37"/>
  <c r="AA14" i="37"/>
  <c r="AA30" i="37"/>
  <c r="AA46" i="37"/>
  <c r="AA62" i="37"/>
  <c r="AA78" i="37"/>
  <c r="AA94" i="37"/>
  <c r="AA110" i="37"/>
  <c r="AA126" i="37"/>
  <c r="AA142" i="37"/>
  <c r="AA158" i="37"/>
  <c r="AA174" i="37"/>
  <c r="AA190" i="37"/>
  <c r="AA206" i="37"/>
  <c r="AA15" i="37"/>
  <c r="AA31" i="37"/>
  <c r="AA47" i="37"/>
  <c r="AA63" i="37"/>
  <c r="AA79" i="37"/>
  <c r="AA95" i="37"/>
  <c r="AA111" i="37"/>
  <c r="AA127" i="37"/>
  <c r="AA143" i="37"/>
  <c r="AA159" i="37"/>
  <c r="AA175" i="37"/>
  <c r="AA191" i="37"/>
  <c r="AA207" i="37"/>
  <c r="AA179" i="37"/>
  <c r="AA20" i="37"/>
  <c r="AA100" i="37"/>
  <c r="AA164" i="37"/>
  <c r="AA11" i="37"/>
  <c r="AA27" i="37"/>
  <c r="AA43" i="37"/>
  <c r="AA59" i="37"/>
  <c r="AA75" i="37"/>
  <c r="AA91" i="37"/>
  <c r="AA107" i="37"/>
  <c r="AA123" i="37"/>
  <c r="AA139" i="37"/>
  <c r="AA155" i="37"/>
  <c r="AA171" i="37"/>
  <c r="AA187" i="37"/>
  <c r="AA203" i="37"/>
  <c r="AA219" i="37"/>
  <c r="AA208" i="37"/>
  <c r="AA161" i="37"/>
  <c r="AA68" i="37"/>
  <c r="AA132" i="37"/>
  <c r="AA212" i="37"/>
  <c r="AA12" i="37"/>
  <c r="AA28" i="37"/>
  <c r="AA44" i="37"/>
  <c r="AA60" i="37"/>
  <c r="AA76" i="37"/>
  <c r="AA92" i="37"/>
  <c r="AA108" i="37"/>
  <c r="AA124" i="37"/>
  <c r="AA140" i="37"/>
  <c r="AA156" i="37"/>
  <c r="AA172" i="37"/>
  <c r="AA188" i="37"/>
  <c r="AA204" i="37"/>
  <c r="AA32" i="37"/>
  <c r="AA48" i="37"/>
  <c r="AA80" i="37"/>
  <c r="AA160" i="37"/>
  <c r="AA17" i="37"/>
  <c r="AA49" i="37"/>
  <c r="AA65" i="37"/>
  <c r="AA81" i="37"/>
  <c r="AA113" i="37"/>
  <c r="AA145" i="37"/>
  <c r="AA177" i="37"/>
  <c r="AA209" i="37"/>
  <c r="AA18" i="37"/>
  <c r="AA50" i="37"/>
  <c r="AA82" i="37"/>
  <c r="AA114" i="37"/>
  <c r="AA146" i="37"/>
  <c r="AA178" i="37"/>
  <c r="AA210" i="37"/>
  <c r="AA19" i="37"/>
  <c r="AA51" i="37"/>
  <c r="AA83" i="37"/>
  <c r="AA115" i="37"/>
  <c r="AA147" i="37"/>
  <c r="AA195" i="37"/>
  <c r="AA36" i="37"/>
  <c r="AA116" i="37"/>
  <c r="AA196" i="37"/>
  <c r="AA13" i="37"/>
  <c r="AA29" i="37"/>
  <c r="AA45" i="37"/>
  <c r="AA61" i="37"/>
  <c r="AA77" i="37"/>
  <c r="AA93" i="37"/>
  <c r="AA109" i="37"/>
  <c r="AA125" i="37"/>
  <c r="AA141" i="37"/>
  <c r="AA157" i="37"/>
  <c r="AA173" i="37"/>
  <c r="AA189" i="37"/>
  <c r="AA205" i="37"/>
  <c r="AA16" i="37"/>
  <c r="AA64" i="37"/>
  <c r="AA96" i="37"/>
  <c r="AA112" i="37"/>
  <c r="AA128" i="37"/>
  <c r="AA144" i="37"/>
  <c r="AA176" i="37"/>
  <c r="AA192" i="37"/>
  <c r="AA33" i="37"/>
  <c r="AA97" i="37"/>
  <c r="AA129" i="37"/>
  <c r="AA193" i="37"/>
  <c r="AA34" i="37"/>
  <c r="AA66" i="37"/>
  <c r="AA98" i="37"/>
  <c r="AA130" i="37"/>
  <c r="AA162" i="37"/>
  <c r="AA194" i="37"/>
  <c r="AA35" i="37"/>
  <c r="AA67" i="37"/>
  <c r="AA99" i="37"/>
  <c r="AA131" i="37"/>
  <c r="AA163" i="37"/>
  <c r="AA211" i="37"/>
  <c r="AA52" i="37"/>
  <c r="AA148" i="37"/>
  <c r="AA21" i="37"/>
  <c r="AA37" i="37"/>
  <c r="AA53" i="37"/>
  <c r="AA69" i="37"/>
  <c r="AA85" i="37"/>
  <c r="AA101" i="37"/>
  <c r="AA117" i="37"/>
  <c r="AA133" i="37"/>
  <c r="AA149" i="37"/>
  <c r="AA165" i="37"/>
  <c r="AA181" i="37"/>
  <c r="AA197" i="37"/>
  <c r="AA213" i="37"/>
  <c r="AA39" i="37"/>
  <c r="AA135" i="37"/>
  <c r="AA167" i="37"/>
  <c r="AA215" i="37"/>
  <c r="AA24" i="37"/>
  <c r="AA56" i="37"/>
  <c r="AA72" i="37"/>
  <c r="AA88" i="37"/>
  <c r="AA104" i="37"/>
  <c r="AA136" i="37"/>
  <c r="AA152" i="37"/>
  <c r="AA184" i="37"/>
  <c r="AA200" i="37"/>
  <c r="AA25" i="37"/>
  <c r="AA41" i="37"/>
  <c r="AA73" i="37"/>
  <c r="AA89" i="37"/>
  <c r="AA105" i="37"/>
  <c r="AA137" i="37"/>
  <c r="AA153" i="37"/>
  <c r="AA185" i="37"/>
  <c r="AA201" i="37"/>
  <c r="AA84" i="37"/>
  <c r="AA180" i="37"/>
  <c r="AA22" i="37"/>
  <c r="AA38" i="37"/>
  <c r="AA54" i="37"/>
  <c r="AA70" i="37"/>
  <c r="AA86" i="37"/>
  <c r="AA102" i="37"/>
  <c r="AA118" i="37"/>
  <c r="AA134" i="37"/>
  <c r="AA150" i="37"/>
  <c r="AA166" i="37"/>
  <c r="AA182" i="37"/>
  <c r="AA198" i="37"/>
  <c r="AA214" i="37"/>
  <c r="AA23" i="37"/>
  <c r="AA55" i="37"/>
  <c r="AA71" i="37"/>
  <c r="AA87" i="37"/>
  <c r="AA103" i="37"/>
  <c r="AA119" i="37"/>
  <c r="AA151" i="37"/>
  <c r="AA183" i="37"/>
  <c r="AA199" i="37"/>
  <c r="AA40" i="37"/>
  <c r="AA120" i="37"/>
  <c r="AA168" i="37"/>
  <c r="AA216" i="37"/>
  <c r="AA57" i="37"/>
  <c r="AA121" i="37"/>
  <c r="AA169" i="37"/>
  <c r="AA217" i="37"/>
  <c r="W77" i="38"/>
  <c r="V78" i="38"/>
  <c r="S78" i="38"/>
  <c r="T78" i="38"/>
  <c r="Q79" i="38" a="1"/>
  <c r="Q79" i="38" s="1"/>
  <c r="U78" i="38"/>
  <c r="DD9" i="1"/>
  <c r="DF9" i="1"/>
  <c r="DB9" i="1"/>
  <c r="DD8" i="1"/>
  <c r="DF8" i="1"/>
  <c r="DB8" i="1"/>
  <c r="DF6" i="1"/>
  <c r="DD6" i="1"/>
  <c r="DB6" i="1"/>
  <c r="DD7" i="1"/>
  <c r="DF7" i="1"/>
  <c r="DB7" i="1"/>
  <c r="DF19" i="1"/>
  <c r="DD19" i="1"/>
  <c r="DB19" i="1"/>
  <c r="DD18" i="1"/>
  <c r="DF18" i="1"/>
  <c r="DB18" i="1"/>
  <c r="DF17" i="1"/>
  <c r="DD17" i="1"/>
  <c r="DB17" i="1"/>
  <c r="DD16" i="1"/>
  <c r="DF16" i="1"/>
  <c r="DB16" i="1"/>
  <c r="DD15" i="1"/>
  <c r="DF15" i="1"/>
  <c r="DB15" i="1"/>
  <c r="DF13" i="1"/>
  <c r="DD13" i="1"/>
  <c r="DB13" i="1"/>
  <c r="DD14" i="1"/>
  <c r="DF14" i="1"/>
  <c r="DB14" i="1"/>
  <c r="DD12" i="1"/>
  <c r="DF12" i="1"/>
  <c r="DB12" i="1"/>
  <c r="DF11" i="1"/>
  <c r="DD11" i="1"/>
  <c r="BA11" i="1"/>
  <c r="DB11" i="1"/>
  <c r="DF10" i="1"/>
  <c r="DD10" i="1"/>
  <c r="DB10" i="1"/>
  <c r="AV6" i="9"/>
  <c r="DF5" i="1"/>
  <c r="DD5" i="1"/>
  <c r="DB5" i="1"/>
  <c r="R54" i="1"/>
  <c r="Q53" i="1"/>
  <c r="R53" i="1"/>
  <c r="O52" i="1"/>
  <c r="R81" i="1"/>
  <c r="R80" i="1"/>
  <c r="Q80" i="1"/>
  <c r="O79" i="1"/>
  <c r="O58" i="1"/>
  <c r="O76" i="1"/>
  <c r="H28" i="7"/>
  <c r="AX76" i="1" s="1"/>
  <c r="BF48" i="1"/>
  <c r="BI48" i="1" s="1"/>
  <c r="H28" i="4" s="1"/>
  <c r="H24" i="25" s="1"/>
  <c r="DH13" i="1"/>
  <c r="AQ17" i="1"/>
  <c r="AZ17" i="1" s="1"/>
  <c r="DH15" i="1"/>
  <c r="AQ14" i="1"/>
  <c r="AY14" i="1" s="1"/>
  <c r="AQ9" i="1"/>
  <c r="BA9" i="1" s="1"/>
  <c r="AQ11" i="1"/>
  <c r="BB11" i="1" s="1"/>
  <c r="AQ10" i="1"/>
  <c r="AR10" i="1" s="1"/>
  <c r="AQ18" i="1"/>
  <c r="AY18" i="1" s="1"/>
  <c r="DH8" i="1"/>
  <c r="DH6" i="1"/>
  <c r="U176" i="1"/>
  <c r="V176" i="1" s="1"/>
  <c r="P207" i="1"/>
  <c r="P206" i="1"/>
  <c r="P209" i="1"/>
  <c r="P208" i="1"/>
  <c r="P198" i="1"/>
  <c r="P210" i="1"/>
  <c r="P203" i="1"/>
  <c r="O173" i="1"/>
  <c r="P173" i="1"/>
  <c r="P182" i="1"/>
  <c r="O182" i="1"/>
  <c r="P176" i="1"/>
  <c r="O176" i="1"/>
  <c r="O185" i="1"/>
  <c r="P185" i="1"/>
  <c r="P187" i="1"/>
  <c r="O187" i="1"/>
  <c r="N186" i="1"/>
  <c r="O186" i="1"/>
  <c r="P186" i="1"/>
  <c r="O179" i="1"/>
  <c r="P179" i="1"/>
  <c r="O184" i="1"/>
  <c r="P184" i="1"/>
  <c r="O178" i="1"/>
  <c r="P178" i="1"/>
  <c r="O174" i="1"/>
  <c r="P174" i="1"/>
  <c r="O177" i="1"/>
  <c r="P177" i="1"/>
  <c r="I28" i="7"/>
  <c r="P188" i="1"/>
  <c r="P192" i="1"/>
  <c r="P195" i="1"/>
  <c r="P197" i="1"/>
  <c r="P190" i="1"/>
  <c r="P202" i="1"/>
  <c r="P194" i="1"/>
  <c r="P200" i="1"/>
  <c r="P199" i="1"/>
  <c r="O198" i="1"/>
  <c r="O202" i="1"/>
  <c r="O195" i="1"/>
  <c r="O210" i="1"/>
  <c r="O208" i="1"/>
  <c r="O194" i="1"/>
  <c r="O209" i="1"/>
  <c r="O203" i="1"/>
  <c r="O190" i="1"/>
  <c r="O207" i="1"/>
  <c r="O197" i="1"/>
  <c r="O200" i="1"/>
  <c r="O206" i="1"/>
  <c r="O199" i="1"/>
  <c r="O192" i="1"/>
  <c r="R50" i="1"/>
  <c r="Q47" i="1"/>
  <c r="Q56" i="1"/>
  <c r="R47" i="1"/>
  <c r="R56" i="1"/>
  <c r="O49" i="1"/>
  <c r="O55" i="1"/>
  <c r="Q59" i="1"/>
  <c r="O61" i="1"/>
  <c r="Q62" i="1"/>
  <c r="R60" i="1"/>
  <c r="O64" i="1"/>
  <c r="O73" i="1"/>
  <c r="O46" i="1"/>
  <c r="R57" i="1"/>
  <c r="R63" i="1"/>
  <c r="G30" i="15"/>
  <c r="X21" i="9"/>
  <c r="R65" i="1"/>
  <c r="O67" i="1"/>
  <c r="AV5" i="9"/>
  <c r="R62" i="1"/>
  <c r="E76" i="5"/>
  <c r="F76" i="5"/>
  <c r="G76" i="5"/>
  <c r="J76" i="5" s="1"/>
  <c r="F27" i="6"/>
  <c r="D180" i="1" s="1"/>
  <c r="E180" i="1" s="1"/>
  <c r="L67" i="5"/>
  <c r="M67" i="5"/>
  <c r="U67" i="5" s="1"/>
  <c r="N67" i="5"/>
  <c r="O67" i="5"/>
  <c r="L91" i="5"/>
  <c r="O64" i="5"/>
  <c r="L68" i="5"/>
  <c r="G33" i="15"/>
  <c r="M68" i="5"/>
  <c r="K68" i="5" s="1"/>
  <c r="O68" i="5"/>
  <c r="L65" i="5"/>
  <c r="M91" i="5"/>
  <c r="U91" i="5" s="1"/>
  <c r="N66" i="5"/>
  <c r="M65" i="5"/>
  <c r="V65" i="5" s="1"/>
  <c r="N68" i="5"/>
  <c r="N92" i="5"/>
  <c r="K79" i="18"/>
  <c r="S115" i="5"/>
  <c r="Q77" i="1"/>
  <c r="Q65" i="1"/>
  <c r="M100" i="5"/>
  <c r="U100" i="5" s="1"/>
  <c r="L100" i="5"/>
  <c r="M95" i="5"/>
  <c r="W95" i="5" s="1"/>
  <c r="R51" i="1"/>
  <c r="O79" i="18"/>
  <c r="G11" i="15"/>
  <c r="R66" i="1"/>
  <c r="S84" i="5"/>
  <c r="G63" i="15"/>
  <c r="O58" i="5"/>
  <c r="M59" i="5"/>
  <c r="K59" i="5" s="1"/>
  <c r="G65" i="15"/>
  <c r="N58" i="5"/>
  <c r="M88" i="5"/>
  <c r="K88" i="5" s="1"/>
  <c r="N88" i="5"/>
  <c r="S72" i="5"/>
  <c r="O59" i="5"/>
  <c r="L88" i="5"/>
  <c r="G60" i="15"/>
  <c r="O88" i="5"/>
  <c r="M87" i="5"/>
  <c r="K87" i="5" s="1"/>
  <c r="Y9" i="6"/>
  <c r="M61" i="5"/>
  <c r="U61" i="5" s="1"/>
  <c r="O90" i="5"/>
  <c r="O87" i="5"/>
  <c r="L59" i="5"/>
  <c r="N87" i="5"/>
  <c r="Q68" i="1"/>
  <c r="R68" i="1"/>
  <c r="G99" i="15"/>
  <c r="G58" i="5"/>
  <c r="H58" i="5" s="1"/>
  <c r="E58" i="5"/>
  <c r="D58" i="5"/>
  <c r="AE169" i="1"/>
  <c r="G58" i="15"/>
  <c r="D26" i="6"/>
  <c r="F70" i="5"/>
  <c r="O65" i="18"/>
  <c r="N65" i="18"/>
  <c r="M65" i="18"/>
  <c r="S61" i="5"/>
  <c r="G53" i="15"/>
  <c r="Y180" i="1"/>
  <c r="AD20" i="18" s="1"/>
  <c r="N83" i="5"/>
  <c r="M86" i="5"/>
  <c r="W86" i="5" s="1"/>
  <c r="P65" i="18"/>
  <c r="Z181" i="1"/>
  <c r="N79" i="5"/>
  <c r="Y179" i="1"/>
  <c r="L65" i="18"/>
  <c r="S65" i="18"/>
  <c r="L86" i="5"/>
  <c r="F184" i="1"/>
  <c r="AQ15" i="1"/>
  <c r="BC15" i="1" s="1"/>
  <c r="G68" i="15"/>
  <c r="E29" i="6"/>
  <c r="AB176" i="1"/>
  <c r="AB169" i="1"/>
  <c r="Z169" i="1"/>
  <c r="N65" i="5"/>
  <c r="G20" i="15"/>
  <c r="W169" i="1"/>
  <c r="Z9" i="18" s="1"/>
  <c r="H32" i="18" s="1"/>
  <c r="G84" i="15"/>
  <c r="M99" i="5"/>
  <c r="U99" i="5" s="1"/>
  <c r="AD169" i="1"/>
  <c r="G88" i="15"/>
  <c r="G70" i="15"/>
  <c r="G22" i="15"/>
  <c r="AC169" i="1"/>
  <c r="S94" i="5"/>
  <c r="AB185" i="1"/>
  <c r="AG25" i="18" s="1"/>
  <c r="G82" i="15"/>
  <c r="G50" i="15"/>
  <c r="Y185" i="1"/>
  <c r="AD25" i="18" s="1"/>
  <c r="BG48" i="1"/>
  <c r="BJ48" i="1" s="1"/>
  <c r="K28" i="4" s="1"/>
  <c r="K24" i="25" s="1"/>
  <c r="U185" i="1"/>
  <c r="V185" i="1" s="1"/>
  <c r="BK24" i="1"/>
  <c r="L109" i="5"/>
  <c r="M109" i="5"/>
  <c r="W109" i="5" s="1"/>
  <c r="M106" i="5"/>
  <c r="K106" i="5" s="1"/>
  <c r="L106" i="5"/>
  <c r="Z185" i="1"/>
  <c r="AE25" i="18" s="1"/>
  <c r="V33" i="18" s="1"/>
  <c r="V47" i="18" s="1"/>
  <c r="M110" i="5"/>
  <c r="U110" i="5" s="1"/>
  <c r="AB180" i="1"/>
  <c r="AG20" i="18" s="1"/>
  <c r="L110" i="5"/>
  <c r="O105" i="5"/>
  <c r="R69" i="1"/>
  <c r="N105" i="5"/>
  <c r="AQ12" i="1"/>
  <c r="AZ12" i="1" s="1"/>
  <c r="G76" i="15"/>
  <c r="Q74" i="1"/>
  <c r="R74" i="1"/>
  <c r="AA185" i="1"/>
  <c r="AF25" i="18" s="1"/>
  <c r="V85" i="18" s="1"/>
  <c r="V102" i="18" s="1"/>
  <c r="M105" i="5"/>
  <c r="K105" i="5" s="1"/>
  <c r="O107" i="5"/>
  <c r="J31" i="6"/>
  <c r="H184" i="1" s="1"/>
  <c r="N184" i="1" s="1"/>
  <c r="G55" i="15"/>
  <c r="G52" i="15"/>
  <c r="G66" i="15"/>
  <c r="E86" i="5"/>
  <c r="AQ19" i="1"/>
  <c r="BB19" i="1" s="1"/>
  <c r="X169" i="1"/>
  <c r="G17" i="15"/>
  <c r="N82" i="5"/>
  <c r="S114" i="5"/>
  <c r="Z176" i="1"/>
  <c r="G80" i="15"/>
  <c r="O112" i="5"/>
  <c r="G47" i="15"/>
  <c r="L80" i="5"/>
  <c r="E64" i="5"/>
  <c r="O79" i="5"/>
  <c r="Z180" i="1"/>
  <c r="AE20" i="18" s="1"/>
  <c r="R33" i="18" s="1"/>
  <c r="R41" i="18" s="1"/>
  <c r="D64" i="5"/>
  <c r="BH48" i="1"/>
  <c r="BK48" i="1" s="1"/>
  <c r="L28" i="4" s="1"/>
  <c r="L24" i="25" s="1"/>
  <c r="O77" i="5"/>
  <c r="O74" i="5"/>
  <c r="N77" i="5"/>
  <c r="M71" i="5"/>
  <c r="V71" i="5" s="1"/>
  <c r="M77" i="5"/>
  <c r="U77" i="5" s="1"/>
  <c r="L71" i="5"/>
  <c r="BD23" i="1"/>
  <c r="G77" i="15"/>
  <c r="G61" i="15"/>
  <c r="O78" i="5"/>
  <c r="AS23" i="1"/>
  <c r="AS28" i="1" s="1"/>
  <c r="N112" i="5"/>
  <c r="F186" i="1"/>
  <c r="G91" i="15"/>
  <c r="L105" i="5"/>
  <c r="M80" i="5"/>
  <c r="V80" i="5" s="1"/>
  <c r="O106" i="5"/>
  <c r="U183" i="1"/>
  <c r="AD23" i="18" s="1"/>
  <c r="AC183" i="1"/>
  <c r="G40" i="15"/>
  <c r="O80" i="5"/>
  <c r="G73" i="15"/>
  <c r="M119" i="5"/>
  <c r="U119" i="5" s="1"/>
  <c r="S105" i="5"/>
  <c r="BE24" i="1"/>
  <c r="AT24" i="1"/>
  <c r="AR50" i="1" s="1"/>
  <c r="C6" i="8" s="1"/>
  <c r="BJ23" i="1"/>
  <c r="G74" i="15"/>
  <c r="G59" i="15"/>
  <c r="L83" i="5"/>
  <c r="I32" i="6"/>
  <c r="G185" i="1" s="1"/>
  <c r="S79" i="5"/>
  <c r="S78" i="5"/>
  <c r="I18" i="6"/>
  <c r="J18" i="6" s="1"/>
  <c r="BM48" i="1" s="1"/>
  <c r="BO48" i="1" s="1"/>
  <c r="J28" i="4" s="1"/>
  <c r="J24" i="25" s="1"/>
  <c r="S100" i="5"/>
  <c r="G69" i="15"/>
  <c r="O83" i="5"/>
  <c r="AA170" i="1"/>
  <c r="N119" i="5"/>
  <c r="G83" i="15"/>
  <c r="G38" i="15"/>
  <c r="M118" i="5"/>
  <c r="W118" i="5" s="1"/>
  <c r="E28" i="4"/>
  <c r="E24" i="25" s="1"/>
  <c r="X181" i="1"/>
  <c r="L116" i="5"/>
  <c r="W181" i="1"/>
  <c r="M84" i="5"/>
  <c r="O118" i="5"/>
  <c r="Z183" i="1"/>
  <c r="Y175" i="1"/>
  <c r="G79" i="15"/>
  <c r="G64" i="15"/>
  <c r="G49" i="15"/>
  <c r="BL25" i="1"/>
  <c r="O84" i="5"/>
  <c r="Y181" i="1"/>
  <c r="Q50" i="1"/>
  <c r="G12" i="15"/>
  <c r="G86" i="15"/>
  <c r="S62" i="5"/>
  <c r="Y5" i="6"/>
  <c r="K5" i="6" s="1"/>
  <c r="G41" i="15"/>
  <c r="M83" i="5"/>
  <c r="G39" i="15"/>
  <c r="M82" i="5"/>
  <c r="N76" i="5"/>
  <c r="S59" i="5"/>
  <c r="S118" i="5"/>
  <c r="AC179" i="1"/>
  <c r="S101" i="5"/>
  <c r="S80" i="5"/>
  <c r="O76" i="5"/>
  <c r="S77" i="5"/>
  <c r="S97" i="5"/>
  <c r="S76" i="5"/>
  <c r="W180" i="1"/>
  <c r="M115" i="5"/>
  <c r="U115" i="5" s="1"/>
  <c r="S112" i="5"/>
  <c r="F30" i="6"/>
  <c r="D183" i="1" s="1"/>
  <c r="E183" i="1" s="1"/>
  <c r="M112" i="5"/>
  <c r="V112" i="5" s="1"/>
  <c r="S91" i="5"/>
  <c r="S67" i="5"/>
  <c r="AQ13" i="1"/>
  <c r="BA13" i="1" s="1"/>
  <c r="L66" i="5"/>
  <c r="S110" i="5"/>
  <c r="S109" i="5"/>
  <c r="L77" i="5"/>
  <c r="AD181" i="1"/>
  <c r="G45" i="15"/>
  <c r="S108" i="5"/>
  <c r="G86" i="5"/>
  <c r="S64" i="5"/>
  <c r="G89" i="15"/>
  <c r="G87" i="15"/>
  <c r="S106" i="5"/>
  <c r="R77" i="1"/>
  <c r="K73" i="5"/>
  <c r="W73" i="5"/>
  <c r="U73" i="5"/>
  <c r="V73" i="5"/>
  <c r="O73" i="5"/>
  <c r="D70" i="5"/>
  <c r="N73" i="5"/>
  <c r="G70" i="5"/>
  <c r="J70" i="5" s="1"/>
  <c r="L73" i="5"/>
  <c r="G57" i="15"/>
  <c r="M72" i="5"/>
  <c r="V72" i="5" s="1"/>
  <c r="X174" i="1"/>
  <c r="G101" i="15"/>
  <c r="O66" i="5"/>
  <c r="O71" i="5"/>
  <c r="M66" i="5"/>
  <c r="K66" i="5" s="1"/>
  <c r="Z184" i="1"/>
  <c r="AE24" i="18" s="1"/>
  <c r="U33" i="18" s="1"/>
  <c r="U46" i="18" s="1"/>
  <c r="N71" i="5"/>
  <c r="G100" i="15"/>
  <c r="K22" i="5"/>
  <c r="O70" i="5"/>
  <c r="BM26" i="1"/>
  <c r="G25" i="15"/>
  <c r="N70" i="5"/>
  <c r="M70" i="5"/>
  <c r="F28" i="6"/>
  <c r="D181" i="1" s="1"/>
  <c r="E181" i="1" s="1"/>
  <c r="M76" i="5"/>
  <c r="W76" i="5" s="1"/>
  <c r="L70" i="5"/>
  <c r="G64" i="5"/>
  <c r="L76" i="5"/>
  <c r="N72" i="5"/>
  <c r="N74" i="5"/>
  <c r="G37" i="15"/>
  <c r="N100" i="5"/>
  <c r="M74" i="5"/>
  <c r="AQ6" i="1"/>
  <c r="BA6" i="1" s="1"/>
  <c r="U186" i="1"/>
  <c r="V186" i="1" s="1"/>
  <c r="L82" i="5"/>
  <c r="L72" i="5"/>
  <c r="L74" i="5"/>
  <c r="G21" i="15"/>
  <c r="L98" i="5"/>
  <c r="N84" i="5"/>
  <c r="X184" i="1"/>
  <c r="AC24" i="18" s="1"/>
  <c r="BH27" i="1"/>
  <c r="G18" i="15"/>
  <c r="M60" i="5"/>
  <c r="O72" i="5"/>
  <c r="G32" i="15"/>
  <c r="S113" i="5"/>
  <c r="N95" i="5"/>
  <c r="L60" i="5"/>
  <c r="G78" i="15"/>
  <c r="O113" i="5"/>
  <c r="O94" i="5"/>
  <c r="X172" i="1"/>
  <c r="AC12" i="18" s="1"/>
  <c r="G75" i="15"/>
  <c r="N59" i="5"/>
  <c r="Y6" i="6"/>
  <c r="K6" i="6" s="1"/>
  <c r="R48" i="1"/>
  <c r="AD176" i="1"/>
  <c r="S74" i="5"/>
  <c r="S83" i="5"/>
  <c r="AC176" i="1"/>
  <c r="G29" i="15"/>
  <c r="G16" i="15"/>
  <c r="S58" i="5"/>
  <c r="E24" i="6"/>
  <c r="R78" i="1"/>
  <c r="F63" i="18"/>
  <c r="J103" i="5"/>
  <c r="I103" i="5"/>
  <c r="H103" i="5"/>
  <c r="V91" i="5"/>
  <c r="W91" i="5"/>
  <c r="I112" i="5"/>
  <c r="J112" i="5"/>
  <c r="H112" i="5"/>
  <c r="S65" i="5"/>
  <c r="P79" i="18"/>
  <c r="O92" i="5"/>
  <c r="V92" i="5" s="1"/>
  <c r="M116" i="5"/>
  <c r="U116" i="5" s="1"/>
  <c r="M94" i="5"/>
  <c r="V94" i="5" s="1"/>
  <c r="M92" i="5"/>
  <c r="K92" i="5" s="1"/>
  <c r="N116" i="5"/>
  <c r="Y184" i="1"/>
  <c r="AD24" i="18" s="1"/>
  <c r="L115" i="5"/>
  <c r="L92" i="5"/>
  <c r="O119" i="5"/>
  <c r="W168" i="1"/>
  <c r="Z8" i="18" s="1"/>
  <c r="G32" i="18" s="1"/>
  <c r="DH19" i="1"/>
  <c r="G24" i="15"/>
  <c r="N91" i="5"/>
  <c r="W186" i="1"/>
  <c r="Z26" i="18" s="1"/>
  <c r="W32" i="18" s="1"/>
  <c r="M79" i="18"/>
  <c r="DH16" i="1"/>
  <c r="O115" i="5"/>
  <c r="AB183" i="1"/>
  <c r="Z186" i="1"/>
  <c r="AE26" i="18" s="1"/>
  <c r="W33" i="18" s="1"/>
  <c r="W39" i="18" s="1"/>
  <c r="AC168" i="1"/>
  <c r="G98" i="15"/>
  <c r="S90" i="5"/>
  <c r="O117" i="5"/>
  <c r="AB168" i="1"/>
  <c r="J7" i="6"/>
  <c r="K7" i="6" s="1"/>
  <c r="BN27" i="1"/>
  <c r="G23" i="15"/>
  <c r="J90" i="5"/>
  <c r="G97" i="15"/>
  <c r="G42" i="15"/>
  <c r="E90" i="5"/>
  <c r="H79" i="18"/>
  <c r="O114" i="5"/>
  <c r="F82" i="5"/>
  <c r="AD171" i="1"/>
  <c r="V79" i="18"/>
  <c r="AE168" i="1"/>
  <c r="G96" i="15"/>
  <c r="S98" i="5"/>
  <c r="S87" i="5"/>
  <c r="T63" i="18"/>
  <c r="M114" i="5"/>
  <c r="U114" i="5" s="1"/>
  <c r="AB171" i="1"/>
  <c r="N62" i="5"/>
  <c r="S63" i="18"/>
  <c r="O116" i="5"/>
  <c r="H82" i="5"/>
  <c r="Z171" i="1"/>
  <c r="N118" i="5"/>
  <c r="M90" i="5"/>
  <c r="F173" i="1"/>
  <c r="S96" i="5"/>
  <c r="M62" i="5"/>
  <c r="H63" i="18"/>
  <c r="AE171" i="1"/>
  <c r="S95" i="5"/>
  <c r="S71" i="5"/>
  <c r="L62" i="5"/>
  <c r="G63" i="18"/>
  <c r="Y8" i="6"/>
  <c r="K8" i="6" s="1"/>
  <c r="D82" i="5"/>
  <c r="Z168" i="1"/>
  <c r="Y171" i="1"/>
  <c r="AA171" i="1"/>
  <c r="N113" i="5"/>
  <c r="BG26" i="1"/>
  <c r="G51" i="15"/>
  <c r="E82" i="5"/>
  <c r="L119" i="5"/>
  <c r="I82" i="5"/>
  <c r="E48" i="18"/>
  <c r="L114" i="5"/>
  <c r="L79" i="18"/>
  <c r="S82" i="5"/>
  <c r="L113" i="5"/>
  <c r="I94" i="5"/>
  <c r="AE180" i="1"/>
  <c r="W185" i="1"/>
  <c r="E189" i="1"/>
  <c r="N189" i="1" s="1"/>
  <c r="N79" i="18"/>
  <c r="M117" i="5"/>
  <c r="K117" i="5" s="1"/>
  <c r="F28" i="4"/>
  <c r="F24" i="25" s="1"/>
  <c r="U169" i="1"/>
  <c r="V169" i="1" s="1"/>
  <c r="G93" i="15"/>
  <c r="S119" i="5"/>
  <c r="L103" i="5"/>
  <c r="AA168" i="1"/>
  <c r="I79" i="18"/>
  <c r="AC171" i="1"/>
  <c r="N117" i="5"/>
  <c r="H94" i="5"/>
  <c r="X170" i="1"/>
  <c r="AD180" i="1"/>
  <c r="AE176" i="1"/>
  <c r="AE185" i="1"/>
  <c r="DH18" i="1"/>
  <c r="G102" i="15"/>
  <c r="S104" i="5"/>
  <c r="S68" i="5"/>
  <c r="N115" i="5"/>
  <c r="AD185" i="1"/>
  <c r="M113" i="5"/>
  <c r="Y176" i="1"/>
  <c r="G103" i="15"/>
  <c r="G28" i="15"/>
  <c r="M104" i="5"/>
  <c r="S60" i="5"/>
  <c r="AD168" i="1"/>
  <c r="N114" i="5"/>
  <c r="L118" i="5"/>
  <c r="M58" i="5"/>
  <c r="K58" i="5" s="1"/>
  <c r="S107" i="5"/>
  <c r="AC185" i="1"/>
  <c r="AH25" i="18" s="1"/>
  <c r="AU25" i="1"/>
  <c r="AS50" i="1" s="1"/>
  <c r="D6" i="8" s="1"/>
  <c r="G26" i="15"/>
  <c r="S116" i="5"/>
  <c r="L104" i="5"/>
  <c r="N94" i="5"/>
  <c r="N60" i="5"/>
  <c r="L64" i="5"/>
  <c r="R59" i="1"/>
  <c r="G186" i="1"/>
  <c r="B24" i="25"/>
  <c r="D28" i="4"/>
  <c r="D24" i="25" s="1"/>
  <c r="B23" i="25"/>
  <c r="B21" i="25"/>
  <c r="X175" i="1"/>
  <c r="U184" i="1"/>
  <c r="V184" i="1" s="1"/>
  <c r="AC181" i="1"/>
  <c r="AC180" i="1"/>
  <c r="AH20" i="18" s="1"/>
  <c r="X180" i="1"/>
  <c r="AC20" i="18" s="1"/>
  <c r="AB179" i="1"/>
  <c r="U179" i="1"/>
  <c r="V179" i="1" s="1"/>
  <c r="Z170" i="1"/>
  <c r="AA169" i="1"/>
  <c r="U168" i="1"/>
  <c r="V168" i="1" s="1"/>
  <c r="AW27" i="1"/>
  <c r="AU50" i="1" s="1"/>
  <c r="F6" i="8" s="1"/>
  <c r="G85" i="15"/>
  <c r="G81" i="15"/>
  <c r="G72" i="15"/>
  <c r="G62" i="15"/>
  <c r="G43" i="15"/>
  <c r="G34" i="15"/>
  <c r="G27" i="15"/>
  <c r="G19" i="15"/>
  <c r="G15" i="15"/>
  <c r="G13" i="15"/>
  <c r="O98" i="5"/>
  <c r="L95" i="5"/>
  <c r="H90" i="5"/>
  <c r="D90" i="5"/>
  <c r="S86" i="5"/>
  <c r="F86" i="5"/>
  <c r="O82" i="5"/>
  <c r="S73" i="5"/>
  <c r="S70" i="5"/>
  <c r="AB181" i="1"/>
  <c r="X176" i="1"/>
  <c r="S103" i="5"/>
  <c r="O99" i="5"/>
  <c r="N98" i="5"/>
  <c r="S92" i="5"/>
  <c r="O86" i="5"/>
  <c r="L22" i="5"/>
  <c r="N64" i="5"/>
  <c r="E201" i="1"/>
  <c r="N201" i="1" s="1"/>
  <c r="E196" i="1"/>
  <c r="N196" i="1" s="1"/>
  <c r="AD184" i="1"/>
  <c r="Z179" i="1"/>
  <c r="U175" i="1"/>
  <c r="AV26" i="1"/>
  <c r="AV28" i="1" s="1"/>
  <c r="DH12" i="1"/>
  <c r="DH11" i="1"/>
  <c r="G94" i="15"/>
  <c r="G92" i="15"/>
  <c r="G90" i="15"/>
  <c r="G71" i="15"/>
  <c r="G67" i="15"/>
  <c r="G48" i="15"/>
  <c r="G44" i="15"/>
  <c r="G35" i="15"/>
  <c r="G31" i="15"/>
  <c r="G14" i="15"/>
  <c r="G10" i="15"/>
  <c r="O100" i="5"/>
  <c r="N99" i="5"/>
  <c r="M98" i="5"/>
  <c r="O97" i="5"/>
  <c r="O95" i="5"/>
  <c r="F90" i="5"/>
  <c r="S88" i="5"/>
  <c r="N103" i="5"/>
  <c r="G79" i="18"/>
  <c r="R75" i="1"/>
  <c r="T64" i="18"/>
  <c r="T80" i="18"/>
  <c r="R80" i="18"/>
  <c r="W73" i="18"/>
  <c r="Y90" i="18"/>
  <c r="W80" i="18"/>
  <c r="E49" i="18"/>
  <c r="N80" i="18"/>
  <c r="S80" i="18"/>
  <c r="F72" i="18"/>
  <c r="W79" i="18"/>
  <c r="V63" i="18"/>
  <c r="U63" i="18"/>
  <c r="Y101" i="18"/>
  <c r="V80" i="18"/>
  <c r="U80" i="18"/>
  <c r="F73" i="18"/>
  <c r="L80" i="18"/>
  <c r="R63" i="18"/>
  <c r="Q63" i="18"/>
  <c r="P63" i="18"/>
  <c r="M80" i="18"/>
  <c r="O63" i="18"/>
  <c r="K80" i="18"/>
  <c r="J80" i="18"/>
  <c r="I80" i="18"/>
  <c r="H80" i="18"/>
  <c r="N63" i="18"/>
  <c r="Y99" i="18"/>
  <c r="G80" i="18"/>
  <c r="M63" i="18"/>
  <c r="K63" i="18"/>
  <c r="E211" i="1"/>
  <c r="N211" i="1" s="1"/>
  <c r="Q209" i="1"/>
  <c r="B24" i="7" s="1"/>
  <c r="Q207" i="1"/>
  <c r="B22" i="7" s="1"/>
  <c r="Q205" i="1"/>
  <c r="B20" i="7" s="1"/>
  <c r="Z174" i="1"/>
  <c r="AD174" i="1"/>
  <c r="Y174" i="1"/>
  <c r="AC174" i="1"/>
  <c r="Q212" i="1"/>
  <c r="B27" i="7" s="1"/>
  <c r="AE174" i="1"/>
  <c r="U174" i="1"/>
  <c r="V174" i="1" s="1"/>
  <c r="AB174" i="1"/>
  <c r="Q206" i="1"/>
  <c r="W174" i="1"/>
  <c r="C22" i="6"/>
  <c r="M64" i="5"/>
  <c r="J22" i="5"/>
  <c r="F105" i="15"/>
  <c r="G105" i="15" s="1"/>
  <c r="G95" i="15"/>
  <c r="E205" i="1"/>
  <c r="N205" i="1" s="1"/>
  <c r="AA172" i="1"/>
  <c r="AB172" i="1"/>
  <c r="AG12" i="18" s="1"/>
  <c r="W172" i="1"/>
  <c r="Z12" i="18" s="1"/>
  <c r="K32" i="18" s="1"/>
  <c r="AD172" i="1"/>
  <c r="AE172" i="1"/>
  <c r="Z172" i="1"/>
  <c r="AC172" i="1"/>
  <c r="AH12" i="18" s="1"/>
  <c r="Y172" i="1"/>
  <c r="AD12" i="18" s="1"/>
  <c r="K79" i="5"/>
  <c r="U79" i="5"/>
  <c r="V79" i="5"/>
  <c r="AB177" i="1"/>
  <c r="W177" i="1"/>
  <c r="Z177" i="1"/>
  <c r="U177" i="1"/>
  <c r="V177" i="1" s="1"/>
  <c r="AC177" i="1"/>
  <c r="F79" i="18"/>
  <c r="E56" i="18"/>
  <c r="Q211" i="1"/>
  <c r="B26" i="7" s="1"/>
  <c r="AE186" i="1"/>
  <c r="X186" i="1"/>
  <c r="AC26" i="18" s="1"/>
  <c r="S99" i="5"/>
  <c r="S66" i="5"/>
  <c r="S117" i="5"/>
  <c r="U181" i="1"/>
  <c r="DH14" i="1"/>
  <c r="F22" i="6"/>
  <c r="D175" i="1" s="1"/>
  <c r="E175" i="1" s="1"/>
  <c r="Y4" i="6"/>
  <c r="K4" i="6" s="1"/>
  <c r="Y105" i="18"/>
  <c r="E193" i="1"/>
  <c r="N193" i="1" s="1"/>
  <c r="AD179" i="1"/>
  <c r="AE179" i="1"/>
  <c r="W179" i="1"/>
  <c r="G36" i="15"/>
  <c r="W184" i="1"/>
  <c r="Z24" i="18" s="1"/>
  <c r="U32" i="18" s="1"/>
  <c r="AQ16" i="1"/>
  <c r="BA16" i="1" s="1"/>
  <c r="G46" i="15"/>
  <c r="Q208" i="1"/>
  <c r="B23" i="7" s="1"/>
  <c r="N80" i="5"/>
  <c r="L78" i="5"/>
  <c r="M78" i="5"/>
  <c r="N78" i="5"/>
  <c r="L79" i="5"/>
  <c r="G56" i="15"/>
  <c r="D27" i="6"/>
  <c r="N90" i="5"/>
  <c r="AE177" i="1"/>
  <c r="AC184" i="1"/>
  <c r="AH24" i="18" s="1"/>
  <c r="F187" i="1"/>
  <c r="I34" i="6"/>
  <c r="AC186" i="1"/>
  <c r="AH26" i="18" s="1"/>
  <c r="AD177" i="1"/>
  <c r="AA186" i="1"/>
  <c r="AF26" i="18" s="1"/>
  <c r="W85" i="18" s="1"/>
  <c r="W92" i="18" s="1"/>
  <c r="AA183" i="1"/>
  <c r="AC178" i="1"/>
  <c r="AE170" i="1"/>
  <c r="BF25" i="1"/>
  <c r="AB186" i="1"/>
  <c r="AG26" i="18" s="1"/>
  <c r="AB184" i="1"/>
  <c r="Y177" i="1"/>
  <c r="AD170" i="1"/>
  <c r="AA184" i="1"/>
  <c r="AF24" i="18" s="1"/>
  <c r="U85" i="18" s="1"/>
  <c r="U99" i="18" s="1"/>
  <c r="X177" i="1"/>
  <c r="G28" i="4"/>
  <c r="G24" i="25" s="1"/>
  <c r="W183" i="1"/>
  <c r="Z23" i="18" s="1"/>
  <c r="T32" i="18" s="1"/>
  <c r="X183" i="1"/>
  <c r="U178" i="1"/>
  <c r="X178" i="1"/>
  <c r="Y178" i="1"/>
  <c r="AE178" i="1"/>
  <c r="Z178" i="1"/>
  <c r="AB178" i="1"/>
  <c r="Z175" i="1"/>
  <c r="AC170" i="1"/>
  <c r="G54" i="15"/>
  <c r="AB170" i="1"/>
  <c r="N106" i="5"/>
  <c r="L107" i="5"/>
  <c r="M107" i="5"/>
  <c r="O104" i="5"/>
  <c r="N107" i="5"/>
  <c r="L108" i="5"/>
  <c r="M108" i="5"/>
  <c r="N108" i="5"/>
  <c r="O108" i="5"/>
  <c r="N109" i="5"/>
  <c r="O109" i="5"/>
  <c r="N110" i="5"/>
  <c r="N104" i="5"/>
  <c r="E212" i="1"/>
  <c r="N212" i="1" s="1"/>
  <c r="AB175" i="1"/>
  <c r="AC175" i="1"/>
  <c r="AD175" i="1"/>
  <c r="AE175" i="1"/>
  <c r="W170" i="1"/>
  <c r="Z10" i="18" s="1"/>
  <c r="I32" i="18" s="1"/>
  <c r="AD186" i="1"/>
  <c r="U170" i="1"/>
  <c r="E191" i="1"/>
  <c r="N191" i="1" s="1"/>
  <c r="W178" i="1"/>
  <c r="Y168" i="1"/>
  <c r="AE183" i="1"/>
  <c r="K103" i="5"/>
  <c r="U103" i="5"/>
  <c r="V103" i="5"/>
  <c r="AD183" i="1"/>
  <c r="DH9" i="1"/>
  <c r="L58" i="5"/>
  <c r="C29" i="6"/>
  <c r="K9" i="6"/>
  <c r="O62" i="5"/>
  <c r="L99" i="5"/>
  <c r="N97" i="5"/>
  <c r="M97" i="5"/>
  <c r="O61" i="5"/>
  <c r="DH17" i="1"/>
  <c r="L97" i="5"/>
  <c r="N61" i="5"/>
  <c r="AB34" i="6"/>
  <c r="E18" i="6" s="1"/>
  <c r="E204" i="1"/>
  <c r="N204" i="1" s="1"/>
  <c r="W171" i="1"/>
  <c r="O101" i="5"/>
  <c r="L61" i="5"/>
  <c r="U171" i="1"/>
  <c r="N101" i="5"/>
  <c r="O96" i="5"/>
  <c r="AA34" i="6"/>
  <c r="D18" i="6" s="1"/>
  <c r="M101" i="5"/>
  <c r="N96" i="5"/>
  <c r="L101" i="5"/>
  <c r="M96" i="5"/>
  <c r="I73" i="18"/>
  <c r="H73" i="18"/>
  <c r="F68" i="18"/>
  <c r="F80" i="18"/>
  <c r="Q64" i="18"/>
  <c r="E55" i="18"/>
  <c r="V78" i="18"/>
  <c r="H78" i="18"/>
  <c r="T73" i="18"/>
  <c r="O64" i="18"/>
  <c r="N64" i="18"/>
  <c r="M64" i="18"/>
  <c r="L64" i="18"/>
  <c r="Y89" i="18"/>
  <c r="R78" i="18"/>
  <c r="W78" i="18"/>
  <c r="Q66" i="18"/>
  <c r="R66" i="18"/>
  <c r="F76" i="18"/>
  <c r="E88" i="10"/>
  <c r="I78" i="18"/>
  <c r="L78" i="18"/>
  <c r="F78" i="18"/>
  <c r="E54" i="18"/>
  <c r="U78" i="18"/>
  <c r="G78" i="18"/>
  <c r="H66" i="18"/>
  <c r="S66" i="18"/>
  <c r="Q80" i="18"/>
  <c r="Y106" i="18"/>
  <c r="P80" i="18"/>
  <c r="O77" i="18"/>
  <c r="P77" i="18"/>
  <c r="T78" i="18"/>
  <c r="Y103" i="18"/>
  <c r="M78" i="18"/>
  <c r="S78" i="18"/>
  <c r="K78" i="18"/>
  <c r="J78" i="18"/>
  <c r="E85" i="10"/>
  <c r="F88" i="10"/>
  <c r="AQ62" i="9"/>
  <c r="M77" i="18"/>
  <c r="N77" i="18"/>
  <c r="E39" i="18"/>
  <c r="T77" i="18"/>
  <c r="S77" i="18"/>
  <c r="V77" i="18"/>
  <c r="R77" i="18"/>
  <c r="Q77" i="18"/>
  <c r="G76" i="18"/>
  <c r="W77" i="18"/>
  <c r="U73" i="18"/>
  <c r="F70" i="18"/>
  <c r="G77" i="18"/>
  <c r="I60" i="18"/>
  <c r="S73" i="18"/>
  <c r="H60" i="18"/>
  <c r="R73" i="18"/>
  <c r="U77" i="18"/>
  <c r="H77" i="18"/>
  <c r="G60" i="18"/>
  <c r="Q73" i="18"/>
  <c r="E47" i="18"/>
  <c r="W60" i="18"/>
  <c r="P73" i="18"/>
  <c r="I77" i="18"/>
  <c r="U60" i="18"/>
  <c r="R60" i="18"/>
  <c r="J77" i="18"/>
  <c r="T60" i="18"/>
  <c r="K77" i="18"/>
  <c r="S60" i="18"/>
  <c r="E87" i="10"/>
  <c r="E86" i="10"/>
  <c r="Q75" i="18"/>
  <c r="J73" i="18"/>
  <c r="V73" i="18"/>
  <c r="W76" i="18"/>
  <c r="G73" i="18"/>
  <c r="N73" i="18"/>
  <c r="U76" i="18"/>
  <c r="O61" i="18"/>
  <c r="K73" i="18"/>
  <c r="T76" i="18"/>
  <c r="U66" i="18"/>
  <c r="E53" i="18"/>
  <c r="S76" i="18"/>
  <c r="R76" i="18"/>
  <c r="L73" i="18"/>
  <c r="U79" i="18"/>
  <c r="Q76" i="18"/>
  <c r="Y86" i="18"/>
  <c r="T79" i="18"/>
  <c r="P76" i="18"/>
  <c r="K75" i="18"/>
  <c r="F61" i="18"/>
  <c r="E37" i="18"/>
  <c r="S79" i="18"/>
  <c r="O76" i="18"/>
  <c r="V76" i="18"/>
  <c r="R79" i="18"/>
  <c r="N76" i="18"/>
  <c r="Q79" i="18"/>
  <c r="M76" i="18"/>
  <c r="J75" i="18"/>
  <c r="O73" i="18"/>
  <c r="L76" i="18"/>
  <c r="Q78" i="18"/>
  <c r="K76" i="18"/>
  <c r="P78" i="18"/>
  <c r="J76" i="18"/>
  <c r="I63" i="18"/>
  <c r="O78" i="18"/>
  <c r="I76" i="18"/>
  <c r="Y93" i="18"/>
  <c r="F6" i="10"/>
  <c r="DE21" i="1"/>
  <c r="DG21" i="1"/>
  <c r="Q62" i="18"/>
  <c r="O66" i="18"/>
  <c r="L63" i="18"/>
  <c r="R64" i="18"/>
  <c r="G66" i="18"/>
  <c r="P66" i="18"/>
  <c r="J63" i="18"/>
  <c r="N66" i="18"/>
  <c r="E46" i="18"/>
  <c r="F69" i="18"/>
  <c r="E44" i="18"/>
  <c r="K66" i="18"/>
  <c r="J66" i="18"/>
  <c r="I66" i="18"/>
  <c r="G65" i="18"/>
  <c r="K65" i="18"/>
  <c r="J65" i="18"/>
  <c r="W65" i="18"/>
  <c r="V65" i="18"/>
  <c r="U65" i="18"/>
  <c r="T65" i="18"/>
  <c r="R65" i="18"/>
  <c r="Q65" i="18"/>
  <c r="I65" i="18"/>
  <c r="Y92" i="18"/>
  <c r="F66" i="18"/>
  <c r="F36" i="10"/>
  <c r="E81" i="10"/>
  <c r="E40" i="10"/>
  <c r="L62" i="18"/>
  <c r="M62" i="18"/>
  <c r="K62" i="18"/>
  <c r="G62" i="18"/>
  <c r="O62" i="18"/>
  <c r="H62" i="18"/>
  <c r="I62" i="18"/>
  <c r="W62" i="18"/>
  <c r="V62" i="18"/>
  <c r="U62" i="18"/>
  <c r="J62" i="18"/>
  <c r="P62" i="18"/>
  <c r="T62" i="18"/>
  <c r="S62" i="18"/>
  <c r="N62" i="18"/>
  <c r="J61" i="18"/>
  <c r="K61" i="18"/>
  <c r="L61" i="18"/>
  <c r="M61" i="18"/>
  <c r="R61" i="18"/>
  <c r="N61" i="18"/>
  <c r="I61" i="18"/>
  <c r="U61" i="18"/>
  <c r="H61" i="18"/>
  <c r="S61" i="18"/>
  <c r="Q61" i="18"/>
  <c r="P61" i="18"/>
  <c r="V61" i="18"/>
  <c r="G61" i="18"/>
  <c r="T61" i="18"/>
  <c r="F62" i="18"/>
  <c r="AQ5" i="1"/>
  <c r="C40" i="6" s="1"/>
  <c r="AQ8" i="1"/>
  <c r="AY8" i="1" s="1"/>
  <c r="DH10" i="1"/>
  <c r="DH5" i="1"/>
  <c r="DH7" i="1"/>
  <c r="AQ7" i="1"/>
  <c r="BA7" i="1" s="1"/>
  <c r="E84" i="10"/>
  <c r="L75" i="18"/>
  <c r="M75" i="18"/>
  <c r="O75" i="18"/>
  <c r="W75" i="18"/>
  <c r="N75" i="18"/>
  <c r="P75" i="18"/>
  <c r="V75" i="18"/>
  <c r="S75" i="18"/>
  <c r="I75" i="18"/>
  <c r="R75" i="18"/>
  <c r="T75" i="18"/>
  <c r="E52" i="18"/>
  <c r="U75" i="18"/>
  <c r="G75" i="18"/>
  <c r="E32" i="10"/>
  <c r="E43" i="10"/>
  <c r="F31" i="10"/>
  <c r="E37" i="10"/>
  <c r="E42" i="10"/>
  <c r="Y87" i="18"/>
  <c r="V60" i="18"/>
  <c r="W64" i="18"/>
  <c r="F65" i="18"/>
  <c r="V64" i="18"/>
  <c r="E31" i="10"/>
  <c r="U64" i="18"/>
  <c r="Y97" i="18"/>
  <c r="P64" i="18"/>
  <c r="Y91" i="18"/>
  <c r="P60" i="18"/>
  <c r="K64" i="18"/>
  <c r="Q60" i="18"/>
  <c r="O60" i="18"/>
  <c r="J64" i="18"/>
  <c r="N60" i="18"/>
  <c r="W66" i="18"/>
  <c r="I64" i="18"/>
  <c r="M60" i="18"/>
  <c r="V66" i="18"/>
  <c r="H64" i="18"/>
  <c r="L60" i="18"/>
  <c r="T66" i="18"/>
  <c r="G64" i="18"/>
  <c r="E41" i="18"/>
  <c r="K60" i="18"/>
  <c r="M66" i="18"/>
  <c r="V172" i="1"/>
  <c r="E39" i="10"/>
  <c r="Y94" i="18"/>
  <c r="T34" i="10" l="1"/>
  <c r="X34" i="10"/>
  <c r="H34" i="10" s="1"/>
  <c r="R34" i="10"/>
  <c r="U34" i="10"/>
  <c r="S34" i="10"/>
  <c r="Q34" i="10"/>
  <c r="Y34" i="10"/>
  <c r="S36" i="10"/>
  <c r="U36" i="10"/>
  <c r="X36" i="10"/>
  <c r="H36" i="10" s="1"/>
  <c r="R36" i="10"/>
  <c r="Y36" i="10"/>
  <c r="T36" i="10"/>
  <c r="Q36" i="10"/>
  <c r="U31" i="10"/>
  <c r="X31" i="10"/>
  <c r="H31" i="10" s="1"/>
  <c r="R31" i="10"/>
  <c r="T31" i="10"/>
  <c r="S31" i="10"/>
  <c r="G32" i="10" s="1"/>
  <c r="Q31" i="10"/>
  <c r="Y31" i="10"/>
  <c r="Q35" i="10"/>
  <c r="U35" i="10"/>
  <c r="X35" i="10"/>
  <c r="H35" i="10" s="1"/>
  <c r="R35" i="10"/>
  <c r="T35" i="10"/>
  <c r="S35" i="10"/>
  <c r="Y35" i="10"/>
  <c r="S37" i="10"/>
  <c r="U37" i="10"/>
  <c r="X37" i="10"/>
  <c r="H37" i="10" s="1"/>
  <c r="Q37" i="10"/>
  <c r="R37" i="10"/>
  <c r="T37" i="10"/>
  <c r="Y37" i="10"/>
  <c r="R33" i="10"/>
  <c r="T33" i="10"/>
  <c r="S33" i="10"/>
  <c r="Q33" i="10"/>
  <c r="U33" i="10"/>
  <c r="X33" i="10"/>
  <c r="H33" i="10" s="1"/>
  <c r="Y33" i="10"/>
  <c r="G31" i="10"/>
  <c r="AL75" i="37"/>
  <c r="AL35" i="37"/>
  <c r="AL180" i="37"/>
  <c r="AL199" i="37"/>
  <c r="AL168" i="37"/>
  <c r="AL23" i="37"/>
  <c r="AL165" i="37"/>
  <c r="AL12" i="37"/>
  <c r="AL50" i="37"/>
  <c r="AL169" i="37"/>
  <c r="AL161" i="37"/>
  <c r="AL210" i="37"/>
  <c r="AL95" i="37"/>
  <c r="AL108" i="37"/>
  <c r="AL205" i="37"/>
  <c r="AL201" i="37"/>
  <c r="AL43" i="37"/>
  <c r="AL105" i="37"/>
  <c r="AL68" i="37"/>
  <c r="AL120" i="37"/>
  <c r="AL58" i="37"/>
  <c r="AL198" i="37"/>
  <c r="AL99" i="37"/>
  <c r="AL111" i="37"/>
  <c r="AL126" i="37"/>
  <c r="AL89" i="37"/>
  <c r="AL150" i="37"/>
  <c r="AL24" i="37"/>
  <c r="AL29" i="37"/>
  <c r="AL175" i="37"/>
  <c r="AL216" i="37"/>
  <c r="AL203" i="37"/>
  <c r="AL155" i="37"/>
  <c r="AL73" i="37"/>
  <c r="AL171" i="37"/>
  <c r="AL31" i="37"/>
  <c r="AL191" i="37"/>
  <c r="AL176" i="37"/>
  <c r="AL153" i="37"/>
  <c r="AL215" i="37"/>
  <c r="AL88" i="37"/>
  <c r="AL82" i="37"/>
  <c r="AL143" i="37"/>
  <c r="AL69" i="37"/>
  <c r="AL10" i="37"/>
  <c r="AL188" i="37"/>
  <c r="AL181" i="37"/>
  <c r="AL186" i="37"/>
  <c r="AL116" i="37"/>
  <c r="AL166" i="37"/>
  <c r="AL40" i="37"/>
  <c r="AL134" i="37"/>
  <c r="AL103" i="37"/>
  <c r="AL206" i="37"/>
  <c r="AL197" i="37"/>
  <c r="AL137" i="37"/>
  <c r="AL115" i="37"/>
  <c r="AL71" i="37"/>
  <c r="AL209" i="37"/>
  <c r="AL109" i="37"/>
  <c r="AL32" i="37"/>
  <c r="AL173" i="37"/>
  <c r="AL219" i="37"/>
  <c r="AL86" i="37"/>
  <c r="AL53" i="37"/>
  <c r="AL184" i="37"/>
  <c r="AL46" i="37"/>
  <c r="AL106" i="37"/>
  <c r="AL112" i="37"/>
  <c r="AL117" i="37"/>
  <c r="AL159" i="37"/>
  <c r="AL208" i="37"/>
  <c r="AL213" i="37"/>
  <c r="AL27" i="37"/>
  <c r="AL133" i="37"/>
  <c r="AL142" i="37"/>
  <c r="AL39" i="37"/>
  <c r="AL41" i="37"/>
  <c r="AL81" i="37"/>
  <c r="AL119" i="37"/>
  <c r="AL76" i="37"/>
  <c r="AL66" i="37"/>
  <c r="AL101" i="37"/>
  <c r="AL98" i="37"/>
  <c r="AL77" i="37"/>
  <c r="AL124" i="37"/>
  <c r="AL94" i="37"/>
  <c r="AL11" i="37"/>
  <c r="AL87" i="37"/>
  <c r="AL212" i="37"/>
  <c r="AL70" i="37"/>
  <c r="AL204" i="37"/>
  <c r="AL45" i="37"/>
  <c r="AL200" i="37"/>
  <c r="AL19" i="37"/>
  <c r="AL85" i="37"/>
  <c r="AL123" i="37"/>
  <c r="AL127" i="37"/>
  <c r="AL162" i="37"/>
  <c r="AL138" i="37"/>
  <c r="AL48" i="37"/>
  <c r="AL217" i="37"/>
  <c r="AL148" i="37"/>
  <c r="AL22" i="37"/>
  <c r="AL194" i="37"/>
  <c r="AL214" i="37"/>
  <c r="AL60" i="37"/>
  <c r="AL100" i="37"/>
  <c r="AL78" i="37"/>
  <c r="AL145" i="37"/>
  <c r="AL102" i="37"/>
  <c r="AL47" i="37"/>
  <c r="AL196" i="37"/>
  <c r="AL90" i="37"/>
  <c r="AL130" i="37"/>
  <c r="AL192" i="37"/>
  <c r="AL55" i="37"/>
  <c r="AL38" i="37"/>
  <c r="AL167" i="37"/>
  <c r="AL182" i="37"/>
  <c r="AL174" i="37"/>
  <c r="AL158" i="37"/>
  <c r="AL135" i="37"/>
  <c r="AL118" i="37"/>
  <c r="AL129" i="37"/>
  <c r="AL218" i="37"/>
  <c r="AL33" i="37"/>
  <c r="AL56" i="37"/>
  <c r="AL62" i="37"/>
  <c r="AL34" i="37"/>
  <c r="AL83" i="37"/>
  <c r="AL91" i="37"/>
  <c r="AL121" i="37"/>
  <c r="AL187" i="37"/>
  <c r="AL132" i="37"/>
  <c r="AL202" i="37"/>
  <c r="AL9" i="37"/>
  <c r="AL114" i="37"/>
  <c r="AL151" i="37"/>
  <c r="AL17" i="37"/>
  <c r="AL190" i="37"/>
  <c r="AL67" i="37"/>
  <c r="AL13" i="37"/>
  <c r="AL131" i="37"/>
  <c r="AL25" i="37"/>
  <c r="AL172" i="37"/>
  <c r="AL63" i="37"/>
  <c r="AL20" i="37"/>
  <c r="AL65" i="37"/>
  <c r="AL179" i="37"/>
  <c r="AL177" i="37"/>
  <c r="AL97" i="37"/>
  <c r="AL30" i="37"/>
  <c r="AL16" i="37"/>
  <c r="AL183" i="37"/>
  <c r="AL92" i="37"/>
  <c r="AL207" i="37"/>
  <c r="AL178" i="37"/>
  <c r="AL79" i="37"/>
  <c r="AL51" i="37"/>
  <c r="AL18" i="37"/>
  <c r="AL157" i="37"/>
  <c r="AL96" i="37"/>
  <c r="AL72" i="37"/>
  <c r="AL104" i="37"/>
  <c r="AL149" i="37"/>
  <c r="AL193" i="37"/>
  <c r="AL160" i="37"/>
  <c r="AL164" i="37"/>
  <c r="AL57" i="37"/>
  <c r="AL59" i="37"/>
  <c r="AL28" i="37"/>
  <c r="AL64" i="37"/>
  <c r="AL136" i="37"/>
  <c r="AL154" i="37"/>
  <c r="AL140" i="37"/>
  <c r="AL80" i="37"/>
  <c r="AL144" i="37"/>
  <c r="AL54" i="37"/>
  <c r="AL107" i="37"/>
  <c r="AL49" i="37"/>
  <c r="AL21" i="37"/>
  <c r="AL26" i="37"/>
  <c r="AL141" i="37"/>
  <c r="AL61" i="37"/>
  <c r="AL74" i="37"/>
  <c r="AL189" i="37"/>
  <c r="AL113" i="37"/>
  <c r="AL84" i="37"/>
  <c r="AL195" i="37"/>
  <c r="AL14" i="37"/>
  <c r="AL185" i="37"/>
  <c r="AL147" i="37"/>
  <c r="AL93" i="37"/>
  <c r="AL146" i="37"/>
  <c r="AL156" i="37"/>
  <c r="AL37" i="37"/>
  <c r="AL42" i="37"/>
  <c r="AL170" i="37"/>
  <c r="AL128" i="37"/>
  <c r="AL110" i="37"/>
  <c r="AL36" i="37"/>
  <c r="AL52" i="37"/>
  <c r="AL211" i="37"/>
  <c r="AL125" i="37"/>
  <c r="AL44" i="37"/>
  <c r="AL139" i="37"/>
  <c r="AL122" i="37"/>
  <c r="AL163" i="37"/>
  <c r="AL152" i="37"/>
  <c r="AL15" i="37"/>
  <c r="W78" i="38"/>
  <c r="V79" i="38"/>
  <c r="S79" i="38"/>
  <c r="T79" i="38"/>
  <c r="Q80" i="38" a="1"/>
  <c r="Q80" i="38" s="1"/>
  <c r="U79" i="38"/>
  <c r="BC11" i="1"/>
  <c r="BB15" i="1"/>
  <c r="R15" i="4" s="1"/>
  <c r="BC17" i="1"/>
  <c r="BB17" i="1"/>
  <c r="R17" i="4" s="1"/>
  <c r="BB18" i="1"/>
  <c r="R18" i="4" s="1"/>
  <c r="AZ9" i="1"/>
  <c r="T9" i="4" s="1"/>
  <c r="AR9" i="1"/>
  <c r="BE9" i="1" s="1"/>
  <c r="BD9" i="1"/>
  <c r="AW9" i="1"/>
  <c r="BN9" i="1"/>
  <c r="AY9" i="1"/>
  <c r="S9" i="4" s="1"/>
  <c r="BC9" i="1"/>
  <c r="BB9" i="1"/>
  <c r="R9" i="4" s="1"/>
  <c r="AR8" i="1"/>
  <c r="AZ6" i="1"/>
  <c r="T6" i="4" s="1"/>
  <c r="BC6" i="1"/>
  <c r="AR6" i="1"/>
  <c r="AZ7" i="1"/>
  <c r="T7" i="4" s="1"/>
  <c r="AR7" i="1"/>
  <c r="BC7" i="1"/>
  <c r="BB7" i="1"/>
  <c r="R7" i="4" s="1"/>
  <c r="AY7" i="1"/>
  <c r="S7" i="4" s="1"/>
  <c r="AY19" i="1"/>
  <c r="S19" i="4" s="1"/>
  <c r="AZ19" i="1"/>
  <c r="T19" i="4" s="1"/>
  <c r="BA19" i="1"/>
  <c r="U19" i="4" s="1"/>
  <c r="AR19" i="1"/>
  <c r="BC19" i="1"/>
  <c r="BC18" i="1"/>
  <c r="AZ18" i="1"/>
  <c r="T18" i="4" s="1"/>
  <c r="BA18" i="1"/>
  <c r="U18" i="4" s="1"/>
  <c r="AR18" i="1"/>
  <c r="AY17" i="1"/>
  <c r="S17" i="4" s="1"/>
  <c r="BA17" i="1"/>
  <c r="U17" i="4" s="1"/>
  <c r="AR17" i="1"/>
  <c r="BU17" i="1" s="1"/>
  <c r="AR16" i="1"/>
  <c r="AY15" i="1"/>
  <c r="S15" i="4" s="1"/>
  <c r="AZ15" i="1"/>
  <c r="T15" i="4" s="1"/>
  <c r="AR15" i="1"/>
  <c r="BA15" i="1"/>
  <c r="U15" i="4" s="1"/>
  <c r="AZ13" i="1"/>
  <c r="T13" i="4" s="1"/>
  <c r="AR13" i="1"/>
  <c r="BB13" i="1"/>
  <c r="R13" i="4" s="1"/>
  <c r="AY13" i="1"/>
  <c r="S13" i="4" s="1"/>
  <c r="BC13" i="1"/>
  <c r="BB14" i="1"/>
  <c r="R14" i="4" s="1"/>
  <c r="AR14" i="1"/>
  <c r="BA12" i="1"/>
  <c r="U12" i="4" s="1"/>
  <c r="AR12" i="1"/>
  <c r="BC12" i="1"/>
  <c r="AY12" i="1"/>
  <c r="S12" i="4" s="1"/>
  <c r="BB12" i="1"/>
  <c r="R12" i="4" s="1"/>
  <c r="AY11" i="1"/>
  <c r="S11" i="4" s="1"/>
  <c r="AR11" i="1"/>
  <c r="AZ11" i="1"/>
  <c r="T11" i="4" s="1"/>
  <c r="BB10" i="1"/>
  <c r="R10" i="4" s="1"/>
  <c r="BC10" i="1"/>
  <c r="AY10" i="1"/>
  <c r="S10" i="4" s="1"/>
  <c r="AZ10" i="1"/>
  <c r="T10" i="4" s="1"/>
  <c r="AS10" i="1"/>
  <c r="DC10" i="1"/>
  <c r="BJ10" i="1"/>
  <c r="BL10" i="1"/>
  <c r="AU10" i="1"/>
  <c r="BN10" i="1"/>
  <c r="AV10" i="1"/>
  <c r="BD10" i="1"/>
  <c r="BM10" i="1"/>
  <c r="AW10" i="1"/>
  <c r="AT10" i="1"/>
  <c r="BG10" i="1"/>
  <c r="BH10" i="1"/>
  <c r="BE10" i="1"/>
  <c r="BF10" i="1"/>
  <c r="BK10" i="1"/>
  <c r="BA10" i="1"/>
  <c r="U10" i="4" s="1"/>
  <c r="AR5" i="1"/>
  <c r="AZ8" i="1"/>
  <c r="T8" i="4" s="1"/>
  <c r="BC8" i="1"/>
  <c r="BB8" i="1"/>
  <c r="R8" i="4" s="1"/>
  <c r="BA8" i="1"/>
  <c r="U8" i="4" s="1"/>
  <c r="BC14" i="1"/>
  <c r="BA14" i="1"/>
  <c r="U14" i="4" s="1"/>
  <c r="AZ14" i="1"/>
  <c r="T14" i="4" s="1"/>
  <c r="BB6" i="1"/>
  <c r="R6" i="4" s="1"/>
  <c r="AY6" i="1"/>
  <c r="S6" i="4" s="1"/>
  <c r="BC16" i="1"/>
  <c r="BB16" i="1"/>
  <c r="R16" i="4" s="1"/>
  <c r="AY16" i="1"/>
  <c r="S16" i="4" s="1"/>
  <c r="BA5" i="1"/>
  <c r="U5" i="4" s="1"/>
  <c r="BC5" i="1"/>
  <c r="AY5" i="1"/>
  <c r="S5" i="4" s="1"/>
  <c r="AZ16" i="1"/>
  <c r="T16" i="4" s="1"/>
  <c r="AZ5" i="1"/>
  <c r="T5" i="4" s="1"/>
  <c r="BB5" i="1"/>
  <c r="R5" i="4" s="1"/>
  <c r="O6" i="7"/>
  <c r="C50" i="6"/>
  <c r="C54" i="6"/>
  <c r="R19" i="4"/>
  <c r="U7" i="4"/>
  <c r="U6" i="4"/>
  <c r="S8" i="4"/>
  <c r="T12" i="4"/>
  <c r="C46" i="6"/>
  <c r="R11" i="4"/>
  <c r="U11" i="4"/>
  <c r="U9" i="4"/>
  <c r="C49" i="6"/>
  <c r="S14" i="4"/>
  <c r="U16" i="4"/>
  <c r="T17" i="4"/>
  <c r="U13" i="4"/>
  <c r="C53" i="6"/>
  <c r="S18" i="4"/>
  <c r="C45" i="6"/>
  <c r="C44" i="6"/>
  <c r="C52" i="6"/>
  <c r="AH16" i="18"/>
  <c r="AG16" i="18"/>
  <c r="AC16" i="18"/>
  <c r="AD16" i="18"/>
  <c r="AE16" i="18"/>
  <c r="N33" i="18" s="1"/>
  <c r="N55" i="18" s="1"/>
  <c r="P212" i="1"/>
  <c r="P205" i="1"/>
  <c r="P211" i="1"/>
  <c r="P196" i="1"/>
  <c r="P189" i="1"/>
  <c r="P193" i="1"/>
  <c r="P204" i="1"/>
  <c r="P201" i="1"/>
  <c r="P191" i="1"/>
  <c r="O191" i="1"/>
  <c r="W176" i="1"/>
  <c r="AF176" i="1" s="1"/>
  <c r="X179" i="1"/>
  <c r="AC19" i="18" s="1"/>
  <c r="W175" i="1"/>
  <c r="AD15" i="18"/>
  <c r="P181" i="1"/>
  <c r="O181" i="1"/>
  <c r="O175" i="1"/>
  <c r="P175" i="1"/>
  <c r="O180" i="1"/>
  <c r="P180" i="1"/>
  <c r="O183" i="1"/>
  <c r="P183" i="1"/>
  <c r="O189" i="1"/>
  <c r="O204" i="1"/>
  <c r="O196" i="1"/>
  <c r="O201" i="1"/>
  <c r="O212" i="1"/>
  <c r="O193" i="1"/>
  <c r="O205" i="1"/>
  <c r="O211" i="1"/>
  <c r="H76" i="5"/>
  <c r="I76" i="5"/>
  <c r="K67" i="5"/>
  <c r="W67" i="5"/>
  <c r="V67" i="5"/>
  <c r="E83" i="10"/>
  <c r="V59" i="5"/>
  <c r="K65" i="5"/>
  <c r="C47" i="6"/>
  <c r="N11" i="5"/>
  <c r="K91" i="5"/>
  <c r="U65" i="5"/>
  <c r="W65" i="5"/>
  <c r="U68" i="5"/>
  <c r="U95" i="5"/>
  <c r="W68" i="5"/>
  <c r="C41" i="6"/>
  <c r="V68" i="5"/>
  <c r="W87" i="5"/>
  <c r="V95" i="5"/>
  <c r="K95" i="5"/>
  <c r="K100" i="5"/>
  <c r="W100" i="5"/>
  <c r="V100" i="5"/>
  <c r="U88" i="5"/>
  <c r="V91" i="18"/>
  <c r="V89" i="18"/>
  <c r="U59" i="5"/>
  <c r="W59" i="5"/>
  <c r="N10" i="5"/>
  <c r="W61" i="5"/>
  <c r="V61" i="5"/>
  <c r="V88" i="5"/>
  <c r="V103" i="18"/>
  <c r="V86" i="18"/>
  <c r="V104" i="18"/>
  <c r="W88" i="5"/>
  <c r="V87" i="5"/>
  <c r="K61" i="5"/>
  <c r="U87" i="5"/>
  <c r="AH23" i="18"/>
  <c r="V183" i="1"/>
  <c r="W105" i="5"/>
  <c r="J58" i="5"/>
  <c r="I58" i="5"/>
  <c r="V106" i="18"/>
  <c r="V90" i="18"/>
  <c r="V99" i="18"/>
  <c r="V88" i="18"/>
  <c r="U109" i="5"/>
  <c r="V119" i="5"/>
  <c r="AF169" i="1"/>
  <c r="V105" i="5"/>
  <c r="U105" i="5"/>
  <c r="V87" i="18"/>
  <c r="V101" i="18"/>
  <c r="V105" i="18"/>
  <c r="V92" i="18"/>
  <c r="AC23" i="18"/>
  <c r="V86" i="5"/>
  <c r="V50" i="18"/>
  <c r="V53" i="18"/>
  <c r="V39" i="18"/>
  <c r="K86" i="5"/>
  <c r="V44" i="18"/>
  <c r="V37" i="18"/>
  <c r="U86" i="5"/>
  <c r="AH169" i="1"/>
  <c r="K99" i="5"/>
  <c r="V77" i="5"/>
  <c r="W99" i="5"/>
  <c r="V99" i="5"/>
  <c r="AH181" i="1"/>
  <c r="U106" i="5"/>
  <c r="AC10" i="18"/>
  <c r="U76" i="5"/>
  <c r="AF181" i="1"/>
  <c r="V48" i="18"/>
  <c r="W110" i="5"/>
  <c r="V54" i="18"/>
  <c r="V110" i="5"/>
  <c r="V40" i="18"/>
  <c r="V52" i="18"/>
  <c r="K110" i="5"/>
  <c r="K119" i="5"/>
  <c r="K77" i="5"/>
  <c r="W77" i="5"/>
  <c r="U71" i="5"/>
  <c r="V106" i="5"/>
  <c r="W106" i="5"/>
  <c r="K71" i="5"/>
  <c r="AF185" i="1"/>
  <c r="V109" i="5"/>
  <c r="K112" i="5"/>
  <c r="V38" i="18"/>
  <c r="W71" i="5"/>
  <c r="AQ50" i="1"/>
  <c r="B6" i="8" s="1"/>
  <c r="V46" i="18"/>
  <c r="V55" i="18"/>
  <c r="AH180" i="1"/>
  <c r="AT28" i="1"/>
  <c r="V57" i="18"/>
  <c r="K109" i="5"/>
  <c r="V45" i="18"/>
  <c r="V41" i="18"/>
  <c r="V42" i="18"/>
  <c r="V49" i="18"/>
  <c r="K118" i="5"/>
  <c r="V56" i="18"/>
  <c r="V43" i="18"/>
  <c r="V118" i="5"/>
  <c r="W119" i="5"/>
  <c r="U118" i="5"/>
  <c r="G173" i="1"/>
  <c r="AH19" i="18"/>
  <c r="AF23" i="18"/>
  <c r="T85" i="18" s="1"/>
  <c r="T103" i="18" s="1"/>
  <c r="K80" i="5"/>
  <c r="AF180" i="1"/>
  <c r="U43" i="18"/>
  <c r="AE23" i="18"/>
  <c r="T33" i="18" s="1"/>
  <c r="T56" i="18" s="1"/>
  <c r="U49" i="18"/>
  <c r="U55" i="18"/>
  <c r="U47" i="18"/>
  <c r="W80" i="5"/>
  <c r="U44" i="18"/>
  <c r="U80" i="5"/>
  <c r="AH185" i="1"/>
  <c r="Z25" i="18"/>
  <c r="V32" i="18" s="1"/>
  <c r="W94" i="5"/>
  <c r="BL48" i="1"/>
  <c r="BN48" i="1" s="1"/>
  <c r="I28" i="4" s="1"/>
  <c r="I24" i="25" s="1"/>
  <c r="K114" i="5"/>
  <c r="AG23" i="18"/>
  <c r="N9" i="5"/>
  <c r="AE19" i="18"/>
  <c r="Q33" i="18" s="1"/>
  <c r="Q41" i="18" s="1"/>
  <c r="V76" i="5"/>
  <c r="K76" i="5"/>
  <c r="V117" i="5"/>
  <c r="W84" i="5"/>
  <c r="U84" i="5"/>
  <c r="V84" i="5"/>
  <c r="K84" i="5"/>
  <c r="G124" i="5" s="1"/>
  <c r="H173" i="1"/>
  <c r="N173" i="1" s="1"/>
  <c r="D121" i="5"/>
  <c r="U72" i="5"/>
  <c r="C25" i="5"/>
  <c r="AQ41" i="1" s="1"/>
  <c r="C48" i="6"/>
  <c r="J32" i="6"/>
  <c r="H185" i="1" s="1"/>
  <c r="N185" i="1" s="1"/>
  <c r="AG185" i="1"/>
  <c r="U82" i="5"/>
  <c r="W82" i="5"/>
  <c r="V82" i="5"/>
  <c r="K82" i="5"/>
  <c r="K83" i="5"/>
  <c r="U83" i="5"/>
  <c r="V83" i="5"/>
  <c r="W83" i="5"/>
  <c r="W112" i="5"/>
  <c r="N6" i="5"/>
  <c r="V115" i="5"/>
  <c r="W115" i="5"/>
  <c r="K115" i="5"/>
  <c r="E121" i="5"/>
  <c r="H86" i="5"/>
  <c r="J86" i="5"/>
  <c r="I86" i="5"/>
  <c r="AU28" i="1"/>
  <c r="N5" i="5"/>
  <c r="U92" i="5"/>
  <c r="U112" i="5"/>
  <c r="W117" i="5"/>
  <c r="V74" i="5"/>
  <c r="W74" i="5"/>
  <c r="U74" i="5"/>
  <c r="K74" i="5"/>
  <c r="U117" i="5"/>
  <c r="U58" i="5"/>
  <c r="U56" i="18"/>
  <c r="U57" i="18"/>
  <c r="U60" i="5"/>
  <c r="V60" i="5"/>
  <c r="W60" i="5"/>
  <c r="K60" i="5"/>
  <c r="U45" i="18"/>
  <c r="N15" i="5"/>
  <c r="H64" i="5"/>
  <c r="I64" i="5"/>
  <c r="J64" i="5"/>
  <c r="U41" i="18"/>
  <c r="U39" i="18"/>
  <c r="W66" i="5"/>
  <c r="U66" i="5"/>
  <c r="K70" i="5"/>
  <c r="U70" i="5"/>
  <c r="V70" i="5"/>
  <c r="W70" i="5"/>
  <c r="AG8" i="18"/>
  <c r="U42" i="18"/>
  <c r="I70" i="5"/>
  <c r="U50" i="18"/>
  <c r="AD19" i="18"/>
  <c r="U37" i="18"/>
  <c r="U53" i="18"/>
  <c r="W72" i="5"/>
  <c r="U48" i="18"/>
  <c r="K72" i="5"/>
  <c r="AC8" i="18"/>
  <c r="U40" i="18"/>
  <c r="U52" i="18"/>
  <c r="V66" i="5"/>
  <c r="U54" i="18"/>
  <c r="U38" i="18"/>
  <c r="H70" i="5"/>
  <c r="AH174" i="1"/>
  <c r="AF168" i="1"/>
  <c r="W49" i="18"/>
  <c r="AH168" i="1"/>
  <c r="W55" i="18"/>
  <c r="AG168" i="1"/>
  <c r="AF186" i="1"/>
  <c r="W40" i="18"/>
  <c r="AF171" i="1"/>
  <c r="W44" i="18"/>
  <c r="W54" i="18"/>
  <c r="AC9" i="18"/>
  <c r="W53" i="18"/>
  <c r="W52" i="18"/>
  <c r="AG19" i="18"/>
  <c r="W38" i="18"/>
  <c r="W41" i="18"/>
  <c r="W57" i="18"/>
  <c r="W45" i="18"/>
  <c r="W47" i="18"/>
  <c r="AE9" i="18"/>
  <c r="H33" i="18" s="1"/>
  <c r="H57" i="18" s="1"/>
  <c r="W48" i="18"/>
  <c r="AD9" i="18"/>
  <c r="W37" i="18"/>
  <c r="AG9" i="18"/>
  <c r="AH9" i="18"/>
  <c r="W43" i="18"/>
  <c r="W50" i="18"/>
  <c r="W46" i="18"/>
  <c r="AH21" i="18"/>
  <c r="W56" i="18"/>
  <c r="AF9" i="18"/>
  <c r="H85" i="18" s="1"/>
  <c r="H89" i="18" s="1"/>
  <c r="W42" i="18"/>
  <c r="V90" i="5"/>
  <c r="V93" i="5" s="1"/>
  <c r="J27" i="6" s="1"/>
  <c r="H180" i="1" s="1"/>
  <c r="N180" i="1" s="1"/>
  <c r="W90" i="5"/>
  <c r="U90" i="5"/>
  <c r="K90" i="5"/>
  <c r="W92" i="5"/>
  <c r="U113" i="5"/>
  <c r="V113" i="5"/>
  <c r="K113" i="5"/>
  <c r="W113" i="5"/>
  <c r="K104" i="5"/>
  <c r="U104" i="5"/>
  <c r="V104" i="5"/>
  <c r="W104" i="5"/>
  <c r="I25" i="5"/>
  <c r="AW41" i="1" s="1"/>
  <c r="AD8" i="18"/>
  <c r="AH11" i="18"/>
  <c r="AW28" i="1"/>
  <c r="AH8" i="18"/>
  <c r="AC15" i="18"/>
  <c r="W58" i="5"/>
  <c r="V58" i="5"/>
  <c r="AE8" i="18"/>
  <c r="G33" i="18" s="1"/>
  <c r="G52" i="18" s="1"/>
  <c r="V114" i="5"/>
  <c r="W114" i="5"/>
  <c r="K94" i="5"/>
  <c r="U94" i="5"/>
  <c r="AF8" i="18"/>
  <c r="G85" i="18" s="1"/>
  <c r="G103" i="18" s="1"/>
  <c r="AT50" i="1"/>
  <c r="E6" i="8" s="1"/>
  <c r="W62" i="5"/>
  <c r="K62" i="5"/>
  <c r="U62" i="5"/>
  <c r="V62" i="5"/>
  <c r="K116" i="5"/>
  <c r="V116" i="5"/>
  <c r="W116" i="5"/>
  <c r="F89" i="10"/>
  <c r="AC18" i="18"/>
  <c r="AG169" i="1"/>
  <c r="N14" i="5"/>
  <c r="K98" i="5"/>
  <c r="U98" i="5"/>
  <c r="W98" i="5"/>
  <c r="V98" i="5"/>
  <c r="V175" i="1"/>
  <c r="AE15" i="18"/>
  <c r="M33" i="18" s="1"/>
  <c r="M49" i="18" s="1"/>
  <c r="N13" i="5"/>
  <c r="N121" i="5"/>
  <c r="AH15" i="18"/>
  <c r="E25" i="5"/>
  <c r="AS41" i="1" s="1"/>
  <c r="F121" i="5"/>
  <c r="AD10" i="18"/>
  <c r="Z11" i="18"/>
  <c r="J32" i="18" s="1"/>
  <c r="AH172" i="1"/>
  <c r="AF172" i="1"/>
  <c r="AG171" i="1"/>
  <c r="AF174" i="1"/>
  <c r="AG10" i="18"/>
  <c r="V170" i="1"/>
  <c r="AE10" i="18"/>
  <c r="I33" i="18" s="1"/>
  <c r="I38" i="18" s="1"/>
  <c r="AG15" i="18"/>
  <c r="AH171" i="1"/>
  <c r="U91" i="18"/>
  <c r="AE12" i="18"/>
  <c r="K33" i="18" s="1"/>
  <c r="K44" i="18" s="1"/>
  <c r="U86" i="18"/>
  <c r="U103" i="18"/>
  <c r="U88" i="18"/>
  <c r="U89" i="18"/>
  <c r="W91" i="18"/>
  <c r="AD18" i="18"/>
  <c r="AG17" i="18"/>
  <c r="U92" i="18"/>
  <c r="U90" i="18"/>
  <c r="W101" i="18"/>
  <c r="W90" i="18"/>
  <c r="AD21" i="18"/>
  <c r="AG186" i="1"/>
  <c r="V181" i="1"/>
  <c r="W106" i="18"/>
  <c r="W104" i="18"/>
  <c r="AF177" i="1"/>
  <c r="AF179" i="1"/>
  <c r="AH183" i="1"/>
  <c r="AF170" i="1"/>
  <c r="U102" i="18"/>
  <c r="AG170" i="1"/>
  <c r="AH170" i="1"/>
  <c r="U104" i="18"/>
  <c r="AF10" i="18"/>
  <c r="I85" i="18" s="1"/>
  <c r="U106" i="18"/>
  <c r="AE14" i="18"/>
  <c r="L33" i="18" s="1"/>
  <c r="L47" i="18" s="1"/>
  <c r="AG183" i="1"/>
  <c r="AG184" i="1"/>
  <c r="AH178" i="1"/>
  <c r="AH177" i="1"/>
  <c r="AF184" i="1"/>
  <c r="AH17" i="18"/>
  <c r="AG21" i="18"/>
  <c r="AD14" i="18"/>
  <c r="AF178" i="1"/>
  <c r="AE11" i="18"/>
  <c r="J33" i="18" s="1"/>
  <c r="J50" i="18" s="1"/>
  <c r="AG11" i="18"/>
  <c r="AF11" i="18"/>
  <c r="J85" i="18" s="1"/>
  <c r="J103" i="18" s="1"/>
  <c r="AE17" i="18"/>
  <c r="O33" i="18" s="1"/>
  <c r="O39" i="18" s="1"/>
  <c r="AG14" i="18"/>
  <c r="W89" i="18"/>
  <c r="AE21" i="18"/>
  <c r="S33" i="18" s="1"/>
  <c r="S48" i="18" s="1"/>
  <c r="AD17" i="18"/>
  <c r="W87" i="18"/>
  <c r="AG172" i="1"/>
  <c r="AC21" i="18"/>
  <c r="W105" i="18"/>
  <c r="AC17" i="18"/>
  <c r="AD11" i="18"/>
  <c r="V171" i="1"/>
  <c r="AC14" i="18"/>
  <c r="U101" i="18"/>
  <c r="W86" i="18"/>
  <c r="AC11" i="18"/>
  <c r="U87" i="18"/>
  <c r="W99" i="18"/>
  <c r="U105" i="18"/>
  <c r="W103" i="18"/>
  <c r="AH14" i="18"/>
  <c r="AF183" i="1"/>
  <c r="G106" i="15"/>
  <c r="N4" i="5"/>
  <c r="L121" i="5"/>
  <c r="H25" i="5"/>
  <c r="K96" i="5"/>
  <c r="U96" i="5"/>
  <c r="V96" i="5"/>
  <c r="W96" i="5"/>
  <c r="K108" i="5"/>
  <c r="V108" i="5"/>
  <c r="U108" i="5"/>
  <c r="W108" i="5"/>
  <c r="F106" i="15"/>
  <c r="AF12" i="18"/>
  <c r="K85" i="18" s="1"/>
  <c r="K86" i="18" s="1"/>
  <c r="V178" i="1"/>
  <c r="AH18" i="18"/>
  <c r="AH184" i="1"/>
  <c r="AG24" i="18"/>
  <c r="G187" i="1"/>
  <c r="J34" i="6"/>
  <c r="H187" i="1" s="1"/>
  <c r="N187" i="1" s="1"/>
  <c r="K101" i="5"/>
  <c r="U101" i="5"/>
  <c r="V101" i="5"/>
  <c r="W101" i="5"/>
  <c r="F25" i="5"/>
  <c r="W97" i="5"/>
  <c r="U97" i="5"/>
  <c r="V97" i="5"/>
  <c r="K97" i="5"/>
  <c r="G25" i="5"/>
  <c r="N7" i="5"/>
  <c r="V64" i="5"/>
  <c r="W64" i="5"/>
  <c r="U64" i="5"/>
  <c r="K64" i="5"/>
  <c r="M121" i="5"/>
  <c r="V107" i="5"/>
  <c r="W107" i="5"/>
  <c r="U107" i="5"/>
  <c r="K107" i="5"/>
  <c r="AH186" i="1"/>
  <c r="O121" i="5"/>
  <c r="AH10" i="18"/>
  <c r="AE18" i="18"/>
  <c r="P33" i="18" s="1"/>
  <c r="P54" i="18" s="1"/>
  <c r="K78" i="5"/>
  <c r="U78" i="5"/>
  <c r="V78" i="5"/>
  <c r="W78" i="5"/>
  <c r="W88" i="18"/>
  <c r="W102" i="18"/>
  <c r="AG18" i="18"/>
  <c r="D25" i="5"/>
  <c r="C51" i="6"/>
  <c r="AH179" i="1"/>
  <c r="R56" i="18"/>
  <c r="R57" i="18"/>
  <c r="F86" i="10"/>
  <c r="AQ60" i="9"/>
  <c r="F87" i="10"/>
  <c r="AQ61" i="9"/>
  <c r="AQ10" i="9"/>
  <c r="F81" i="10"/>
  <c r="R53" i="18"/>
  <c r="C43" i="6"/>
  <c r="R44" i="18"/>
  <c r="R43" i="18"/>
  <c r="R55" i="18"/>
  <c r="R38" i="18"/>
  <c r="R50" i="18"/>
  <c r="R37" i="18"/>
  <c r="R42" i="18"/>
  <c r="R48" i="18"/>
  <c r="R47" i="18"/>
  <c r="R54" i="18"/>
  <c r="R40" i="18"/>
  <c r="DB20" i="1"/>
  <c r="R52" i="18"/>
  <c r="R46" i="18"/>
  <c r="R39" i="18"/>
  <c r="C42" i="6"/>
  <c r="R49" i="18"/>
  <c r="R45" i="18"/>
  <c r="F85" i="10"/>
  <c r="AQ59" i="9"/>
  <c r="AQ58" i="9"/>
  <c r="F84" i="10"/>
  <c r="AQ57" i="9"/>
  <c r="F83" i="10"/>
  <c r="F37" i="10"/>
  <c r="AQ11" i="9"/>
  <c r="F35" i="10"/>
  <c r="AQ9" i="9"/>
  <c r="F34" i="10"/>
  <c r="AQ8" i="9"/>
  <c r="AQ7" i="9"/>
  <c r="F33" i="10"/>
  <c r="AQ6" i="9"/>
  <c r="F32" i="10"/>
  <c r="G37" i="10" l="1"/>
  <c r="G36" i="10"/>
  <c r="G35" i="10"/>
  <c r="G33" i="10"/>
  <c r="W79" i="38"/>
  <c r="V80" i="38"/>
  <c r="S80" i="38"/>
  <c r="T80" i="38"/>
  <c r="Q81" i="38" a="1"/>
  <c r="Q81" i="38" s="1"/>
  <c r="U80" i="38"/>
  <c r="BG9" i="1"/>
  <c r="M44" i="6" s="1"/>
  <c r="AT9" i="1"/>
  <c r="F44" i="6" s="1"/>
  <c r="BJ9" i="1"/>
  <c r="O44" i="6" s="1"/>
  <c r="AV9" i="1"/>
  <c r="AU9" i="1"/>
  <c r="G44" i="6" s="1"/>
  <c r="BM9" i="1"/>
  <c r="R44" i="6" s="1"/>
  <c r="AS9" i="1"/>
  <c r="E44" i="6" s="1"/>
  <c r="BK9" i="1"/>
  <c r="DC9" i="1"/>
  <c r="BH9" i="1"/>
  <c r="BI9" i="1" s="1"/>
  <c r="AX9" i="1"/>
  <c r="DE9" i="1" s="1"/>
  <c r="BF9" i="1"/>
  <c r="L44" i="6" s="1"/>
  <c r="BL9" i="1"/>
  <c r="BO9" i="1" s="1"/>
  <c r="AU8" i="1"/>
  <c r="DC8" i="1"/>
  <c r="AV8" i="1"/>
  <c r="AW8" i="1"/>
  <c r="AS8" i="1"/>
  <c r="AT8" i="1"/>
  <c r="AV6" i="1"/>
  <c r="H41" i="6" s="1"/>
  <c r="DC6" i="1"/>
  <c r="AU6" i="1"/>
  <c r="G41" i="6" s="1"/>
  <c r="AT6" i="1"/>
  <c r="F41" i="6" s="1"/>
  <c r="AW6" i="1"/>
  <c r="AS6" i="1"/>
  <c r="BD7" i="1"/>
  <c r="DC7" i="1"/>
  <c r="AV7" i="1"/>
  <c r="BN7" i="1"/>
  <c r="AS7" i="1"/>
  <c r="AT7" i="1"/>
  <c r="BF7" i="1"/>
  <c r="AW7" i="1"/>
  <c r="BG7" i="1"/>
  <c r="BL7" i="1"/>
  <c r="BH7" i="1"/>
  <c r="BK7" i="1"/>
  <c r="AU7" i="1"/>
  <c r="BM7" i="1"/>
  <c r="BE7" i="1"/>
  <c r="BJ7" i="1"/>
  <c r="BK19" i="1"/>
  <c r="P54" i="6" s="1"/>
  <c r="DC19" i="1"/>
  <c r="BN19" i="1"/>
  <c r="BH19" i="1"/>
  <c r="BG19" i="1"/>
  <c r="BM19" i="1"/>
  <c r="BF19" i="1"/>
  <c r="BJ19" i="1"/>
  <c r="BL19" i="1"/>
  <c r="AS19" i="1"/>
  <c r="BD19" i="1"/>
  <c r="AW19" i="1"/>
  <c r="AT19" i="1"/>
  <c r="F54" i="6" s="1"/>
  <c r="BE19" i="1"/>
  <c r="AU19" i="1"/>
  <c r="G54" i="6" s="1"/>
  <c r="AV19" i="1"/>
  <c r="BM18" i="1"/>
  <c r="R53" i="6" s="1"/>
  <c r="DC18" i="1"/>
  <c r="BH18" i="1"/>
  <c r="AS18" i="1"/>
  <c r="BG18" i="1"/>
  <c r="M53" i="6" s="1"/>
  <c r="BE18" i="1"/>
  <c r="K53" i="6" s="1"/>
  <c r="BJ18" i="1"/>
  <c r="BF18" i="1"/>
  <c r="L53" i="6" s="1"/>
  <c r="AV18" i="1"/>
  <c r="H53" i="6" s="1"/>
  <c r="AW18" i="1"/>
  <c r="I53" i="6" s="1"/>
  <c r="BN18" i="1"/>
  <c r="BL18" i="1"/>
  <c r="AU18" i="1"/>
  <c r="G53" i="6" s="1"/>
  <c r="AT18" i="1"/>
  <c r="BD18" i="1"/>
  <c r="BI18" i="1" s="1"/>
  <c r="BK18" i="1"/>
  <c r="BK17" i="1"/>
  <c r="DC17" i="1"/>
  <c r="BL17" i="1"/>
  <c r="CY17" i="1" s="1"/>
  <c r="BH17" i="1"/>
  <c r="CV17" i="1" s="1"/>
  <c r="AT17" i="1"/>
  <c r="CC17" i="1" s="1"/>
  <c r="BM17" i="1"/>
  <c r="CZ17" i="1" s="1"/>
  <c r="AS17" i="1"/>
  <c r="AV17" i="1"/>
  <c r="CE17" i="1" s="1"/>
  <c r="BN17" i="1"/>
  <c r="DA17" i="1" s="1"/>
  <c r="BE17" i="1"/>
  <c r="CS17" i="1" s="1"/>
  <c r="BD17" i="1"/>
  <c r="CR17" i="1" s="1"/>
  <c r="AU17" i="1"/>
  <c r="CD17" i="1" s="1"/>
  <c r="BG17" i="1"/>
  <c r="CU17" i="1" s="1"/>
  <c r="BJ17" i="1"/>
  <c r="BO17" i="1" s="1"/>
  <c r="BF17" i="1"/>
  <c r="CT17" i="1" s="1"/>
  <c r="AW17" i="1"/>
  <c r="CF17" i="1" s="1"/>
  <c r="AV16" i="1"/>
  <c r="DC16" i="1"/>
  <c r="AT16" i="1"/>
  <c r="AS16" i="1"/>
  <c r="AW16" i="1"/>
  <c r="AU16" i="1"/>
  <c r="AT15" i="1"/>
  <c r="F50" i="6" s="1"/>
  <c r="DC15" i="1"/>
  <c r="BE15" i="1"/>
  <c r="AS15" i="1"/>
  <c r="E50" i="6" s="1"/>
  <c r="BG15" i="1"/>
  <c r="M50" i="6" s="1"/>
  <c r="BJ15" i="1"/>
  <c r="O50" i="6" s="1"/>
  <c r="BN15" i="1"/>
  <c r="S50" i="6" s="1"/>
  <c r="BK15" i="1"/>
  <c r="BF15" i="1"/>
  <c r="L50" i="6" s="1"/>
  <c r="BH15" i="1"/>
  <c r="AW15" i="1"/>
  <c r="I50" i="6" s="1"/>
  <c r="BD15" i="1"/>
  <c r="J50" i="6" s="1"/>
  <c r="AV15" i="1"/>
  <c r="BL15" i="1"/>
  <c r="BM15" i="1"/>
  <c r="AU15" i="1"/>
  <c r="G50" i="6" s="1"/>
  <c r="AT13" i="1"/>
  <c r="DC13" i="1"/>
  <c r="BM13" i="1"/>
  <c r="BJ13" i="1"/>
  <c r="BF13" i="1"/>
  <c r="BL13" i="1"/>
  <c r="BG13" i="1"/>
  <c r="AS13" i="1"/>
  <c r="BH13" i="1"/>
  <c r="BE13" i="1"/>
  <c r="BI13" i="1" s="1"/>
  <c r="AW13" i="1"/>
  <c r="BN13" i="1"/>
  <c r="BD13" i="1"/>
  <c r="BK13" i="1"/>
  <c r="AV13" i="1"/>
  <c r="AU13" i="1"/>
  <c r="AT14" i="1"/>
  <c r="F49" i="6" s="1"/>
  <c r="DC14" i="1"/>
  <c r="AS14" i="1"/>
  <c r="AU14" i="1"/>
  <c r="G49" i="6" s="1"/>
  <c r="AV14" i="1"/>
  <c r="H49" i="6" s="1"/>
  <c r="AW14" i="1"/>
  <c r="I49" i="6" s="1"/>
  <c r="BF12" i="1"/>
  <c r="DC12" i="1"/>
  <c r="AU12" i="1"/>
  <c r="BJ12" i="1"/>
  <c r="BE12" i="1"/>
  <c r="K47" i="6" s="1"/>
  <c r="AW12" i="1"/>
  <c r="AT12" i="1"/>
  <c r="F47" i="6" s="1"/>
  <c r="BD12" i="1"/>
  <c r="BH12" i="1"/>
  <c r="AV12" i="1"/>
  <c r="H47" i="6" s="1"/>
  <c r="AS12" i="1"/>
  <c r="BN12" i="1"/>
  <c r="BG12" i="1"/>
  <c r="BL12" i="1"/>
  <c r="BM12" i="1"/>
  <c r="R47" i="6" s="1"/>
  <c r="BK12" i="1"/>
  <c r="AT11" i="1"/>
  <c r="F46" i="6" s="1"/>
  <c r="DC11" i="1"/>
  <c r="BL11" i="1"/>
  <c r="BK11" i="1"/>
  <c r="BG11" i="1"/>
  <c r="BM11" i="1"/>
  <c r="BD11" i="1"/>
  <c r="AU11" i="1"/>
  <c r="BF11" i="1"/>
  <c r="L46" i="6" s="1"/>
  <c r="AW11" i="1"/>
  <c r="I46" i="6" s="1"/>
  <c r="AS11" i="1"/>
  <c r="BH11" i="1"/>
  <c r="AV11" i="1"/>
  <c r="H46" i="6" s="1"/>
  <c r="BJ11" i="1"/>
  <c r="O46" i="6" s="1"/>
  <c r="BE11" i="1"/>
  <c r="BN11" i="1"/>
  <c r="S46" i="6" s="1"/>
  <c r="AX10" i="1"/>
  <c r="DE10" i="1" s="1"/>
  <c r="BI10" i="1"/>
  <c r="BO10" i="1"/>
  <c r="CX17" i="1"/>
  <c r="AW5" i="1"/>
  <c r="DC5" i="1"/>
  <c r="AS5" i="1"/>
  <c r="AU5" i="1"/>
  <c r="AT5" i="1"/>
  <c r="F40" i="6" s="1"/>
  <c r="AV5" i="1"/>
  <c r="H40" i="6" s="1"/>
  <c r="BG8" i="1"/>
  <c r="BD8" i="1"/>
  <c r="BL8" i="1"/>
  <c r="BF8" i="1"/>
  <c r="BM8" i="1"/>
  <c r="BN8" i="1"/>
  <c r="BK8" i="1"/>
  <c r="BH8" i="1"/>
  <c r="BE8" i="1"/>
  <c r="BJ8" i="1"/>
  <c r="BL14" i="1"/>
  <c r="BJ14" i="1"/>
  <c r="BE14" i="1"/>
  <c r="BM14" i="1"/>
  <c r="BG14" i="1"/>
  <c r="BN14" i="1"/>
  <c r="BK14" i="1"/>
  <c r="BH14" i="1"/>
  <c r="BD14" i="1"/>
  <c r="BF14" i="1"/>
  <c r="BF6" i="1"/>
  <c r="BK6" i="1"/>
  <c r="BL6" i="1"/>
  <c r="BN6" i="1"/>
  <c r="BE6" i="1"/>
  <c r="BJ6" i="1"/>
  <c r="BG6" i="1"/>
  <c r="BM6" i="1"/>
  <c r="BD6" i="1"/>
  <c r="BH6" i="1"/>
  <c r="BK5" i="1"/>
  <c r="BJ5" i="1"/>
  <c r="BN5" i="1"/>
  <c r="BM5" i="1"/>
  <c r="BL5" i="1"/>
  <c r="BL16" i="1"/>
  <c r="BM16" i="1"/>
  <c r="BN16" i="1"/>
  <c r="BJ16" i="1"/>
  <c r="BK16" i="1"/>
  <c r="BE5" i="1"/>
  <c r="BH5" i="1"/>
  <c r="BF5" i="1"/>
  <c r="BD5" i="1"/>
  <c r="BG5" i="1"/>
  <c r="J16" i="4"/>
  <c r="BH16" i="1"/>
  <c r="BG16" i="1"/>
  <c r="BF16" i="1"/>
  <c r="BD16" i="1"/>
  <c r="BE16" i="1"/>
  <c r="F45" i="6"/>
  <c r="H45" i="6"/>
  <c r="L45" i="6"/>
  <c r="S45" i="6"/>
  <c r="E45" i="6"/>
  <c r="G45" i="6"/>
  <c r="K45" i="6"/>
  <c r="J5" i="4"/>
  <c r="J7" i="4"/>
  <c r="J8" i="4"/>
  <c r="J44" i="6"/>
  <c r="S44" i="6"/>
  <c r="I44" i="6"/>
  <c r="J6" i="4"/>
  <c r="J13" i="4"/>
  <c r="D52" i="6"/>
  <c r="BT9" i="1"/>
  <c r="D44" i="6"/>
  <c r="J19" i="4"/>
  <c r="BU9" i="1"/>
  <c r="J15" i="4"/>
  <c r="BT18" i="1"/>
  <c r="BT10" i="1"/>
  <c r="BU18" i="1"/>
  <c r="BU10" i="1"/>
  <c r="J10" i="4"/>
  <c r="D53" i="6"/>
  <c r="D46" i="6"/>
  <c r="J9" i="4"/>
  <c r="J12" i="4"/>
  <c r="D45" i="6"/>
  <c r="J11" i="4"/>
  <c r="J18" i="4"/>
  <c r="BT17" i="1"/>
  <c r="BT11" i="1"/>
  <c r="BU11" i="1"/>
  <c r="J14" i="4"/>
  <c r="J17" i="4"/>
  <c r="BT14" i="1"/>
  <c r="D49" i="6"/>
  <c r="BU14" i="1"/>
  <c r="D47" i="6"/>
  <c r="N38" i="18"/>
  <c r="N53" i="18"/>
  <c r="N39" i="18"/>
  <c r="N45" i="18"/>
  <c r="N54" i="18"/>
  <c r="N43" i="18"/>
  <c r="N40" i="18"/>
  <c r="N48" i="18"/>
  <c r="N46" i="18"/>
  <c r="N56" i="18"/>
  <c r="N42" i="18"/>
  <c r="N52" i="18"/>
  <c r="N57" i="18"/>
  <c r="N47" i="18"/>
  <c r="N44" i="18"/>
  <c r="N37" i="18"/>
  <c r="N49" i="18"/>
  <c r="N50" i="18"/>
  <c r="N41" i="18"/>
  <c r="AH176" i="1"/>
  <c r="AF175" i="1"/>
  <c r="AF195" i="1" s="1"/>
  <c r="AH175" i="1"/>
  <c r="D41" i="6"/>
  <c r="BU6" i="1"/>
  <c r="W89" i="5"/>
  <c r="M26" i="6" s="1"/>
  <c r="K179" i="1" s="1"/>
  <c r="BT6" i="1"/>
  <c r="V89" i="5"/>
  <c r="J26" i="6" s="1"/>
  <c r="H179" i="1" s="1"/>
  <c r="N179" i="1" s="1"/>
  <c r="E125" i="5"/>
  <c r="AS53" i="1" s="1"/>
  <c r="D9" i="8" s="1"/>
  <c r="U89" i="5"/>
  <c r="I26" i="6" s="1"/>
  <c r="G179" i="1" s="1"/>
  <c r="BU12" i="1"/>
  <c r="BT15" i="1"/>
  <c r="T44" i="18"/>
  <c r="T45" i="18"/>
  <c r="BU15" i="1"/>
  <c r="D50" i="6"/>
  <c r="T86" i="18"/>
  <c r="BT12" i="1"/>
  <c r="T106" i="18"/>
  <c r="U81" i="5"/>
  <c r="I24" i="6" s="1"/>
  <c r="G177" i="1" s="1"/>
  <c r="Q44" i="18"/>
  <c r="BU19" i="1"/>
  <c r="Q40" i="18"/>
  <c r="Q50" i="18"/>
  <c r="Q49" i="18"/>
  <c r="D125" i="5"/>
  <c r="AR53" i="1" s="1"/>
  <c r="C9" i="8" s="1"/>
  <c r="Q57" i="18"/>
  <c r="Q55" i="18"/>
  <c r="Q46" i="18"/>
  <c r="D54" i="6"/>
  <c r="Q53" i="18"/>
  <c r="Q42" i="18"/>
  <c r="Q56" i="18"/>
  <c r="Q52" i="18"/>
  <c r="Q39" i="18"/>
  <c r="Q43" i="18"/>
  <c r="V69" i="5"/>
  <c r="J22" i="6" s="1"/>
  <c r="H175" i="1" s="1"/>
  <c r="N175" i="1" s="1"/>
  <c r="Q45" i="18"/>
  <c r="T42" i="18"/>
  <c r="T50" i="18"/>
  <c r="T88" i="18"/>
  <c r="T37" i="18"/>
  <c r="T53" i="18"/>
  <c r="T104" i="18"/>
  <c r="T48" i="18"/>
  <c r="T89" i="18"/>
  <c r="T102" i="18"/>
  <c r="W81" i="5"/>
  <c r="M24" i="6" s="1"/>
  <c r="K177" i="1" s="1"/>
  <c r="T54" i="18"/>
  <c r="T52" i="18"/>
  <c r="H125" i="5"/>
  <c r="H126" i="5" s="1"/>
  <c r="H26" i="5" s="1"/>
  <c r="AV42" i="1" s="1"/>
  <c r="T41" i="18"/>
  <c r="U93" i="5"/>
  <c r="I27" i="6" s="1"/>
  <c r="G180" i="1" s="1"/>
  <c r="F125" i="5"/>
  <c r="AT53" i="1" s="1"/>
  <c r="E9" i="8" s="1"/>
  <c r="T38" i="18"/>
  <c r="T55" i="18"/>
  <c r="T47" i="18"/>
  <c r="T40" i="18"/>
  <c r="T91" i="18"/>
  <c r="T105" i="18"/>
  <c r="T39" i="18"/>
  <c r="T92" i="18"/>
  <c r="T43" i="18"/>
  <c r="T99" i="18"/>
  <c r="W75" i="5"/>
  <c r="M23" i="6" s="1"/>
  <c r="K176" i="1" s="1"/>
  <c r="BT19" i="1"/>
  <c r="T46" i="18"/>
  <c r="T87" i="18"/>
  <c r="U75" i="5"/>
  <c r="I23" i="6" s="1"/>
  <c r="G176" i="1" s="1"/>
  <c r="T49" i="18"/>
  <c r="T57" i="18"/>
  <c r="T90" i="18"/>
  <c r="T101" i="18"/>
  <c r="V81" i="5"/>
  <c r="J24" i="6" s="1"/>
  <c r="H177" i="1" s="1"/>
  <c r="N177" i="1" s="1"/>
  <c r="Q47" i="18"/>
  <c r="Q37" i="18"/>
  <c r="Q48" i="18"/>
  <c r="Q54" i="18"/>
  <c r="Q38" i="18"/>
  <c r="U63" i="5"/>
  <c r="I21" i="6" s="1"/>
  <c r="G174" i="1" s="1"/>
  <c r="G125" i="5"/>
  <c r="AU53" i="1" s="1"/>
  <c r="F9" i="8" s="1"/>
  <c r="AX50" i="1"/>
  <c r="I6" i="8"/>
  <c r="C124" i="5"/>
  <c r="AQ51" i="1" s="1"/>
  <c r="B7" i="8" s="1"/>
  <c r="D124" i="5"/>
  <c r="J121" i="5"/>
  <c r="W85" i="5"/>
  <c r="M25" i="6" s="1"/>
  <c r="K178" i="1" s="1"/>
  <c r="U69" i="5"/>
  <c r="I22" i="6" s="1"/>
  <c r="G175" i="1" s="1"/>
  <c r="AX28" i="1"/>
  <c r="H121" i="5"/>
  <c r="E124" i="5"/>
  <c r="W120" i="5"/>
  <c r="M30" i="6" s="1"/>
  <c r="K183" i="1" s="1"/>
  <c r="U120" i="5"/>
  <c r="I30" i="6" s="1"/>
  <c r="G183" i="1" s="1"/>
  <c r="F124" i="5"/>
  <c r="AT51" i="1" s="1"/>
  <c r="E7" i="8" s="1"/>
  <c r="V85" i="5"/>
  <c r="J25" i="6" s="1"/>
  <c r="H178" i="1" s="1"/>
  <c r="N178" i="1" s="1"/>
  <c r="D48" i="6"/>
  <c r="BT13" i="1"/>
  <c r="BU13" i="1"/>
  <c r="I121" i="5"/>
  <c r="U85" i="5"/>
  <c r="I25" i="6" s="1"/>
  <c r="G178" i="1" s="1"/>
  <c r="U111" i="5"/>
  <c r="I29" i="6" s="1"/>
  <c r="G182" i="1" s="1"/>
  <c r="R186" i="1"/>
  <c r="V75" i="5"/>
  <c r="J23" i="6" s="1"/>
  <c r="H176" i="1" s="1"/>
  <c r="N176" i="1" s="1"/>
  <c r="Q186" i="1"/>
  <c r="V63" i="5"/>
  <c r="J21" i="6" s="1"/>
  <c r="H174" i="1" s="1"/>
  <c r="N174" i="1" s="1"/>
  <c r="W63" i="5"/>
  <c r="M21" i="6" s="1"/>
  <c r="K174" i="1" s="1"/>
  <c r="W69" i="5"/>
  <c r="M22" i="6" s="1"/>
  <c r="K175" i="1" s="1"/>
  <c r="V111" i="5"/>
  <c r="J29" i="6" s="1"/>
  <c r="H182" i="1" s="1"/>
  <c r="N182" i="1" s="1"/>
  <c r="V120" i="5"/>
  <c r="J30" i="6" s="1"/>
  <c r="H183" i="1" s="1"/>
  <c r="N183" i="1" s="1"/>
  <c r="M53" i="18"/>
  <c r="H103" i="18"/>
  <c r="H92" i="18"/>
  <c r="H90" i="18"/>
  <c r="H54" i="18"/>
  <c r="H88" i="18"/>
  <c r="H52" i="18"/>
  <c r="M48" i="18"/>
  <c r="H53" i="18"/>
  <c r="M41" i="18"/>
  <c r="M56" i="18"/>
  <c r="H48" i="18"/>
  <c r="H55" i="18"/>
  <c r="H41" i="18"/>
  <c r="H49" i="18"/>
  <c r="H38" i="18"/>
  <c r="H47" i="18"/>
  <c r="H46" i="18"/>
  <c r="H39" i="18"/>
  <c r="H43" i="18"/>
  <c r="H42" i="18"/>
  <c r="H45" i="18"/>
  <c r="H44" i="18"/>
  <c r="H50" i="18"/>
  <c r="H40" i="18"/>
  <c r="H106" i="18"/>
  <c r="H87" i="18"/>
  <c r="G56" i="18"/>
  <c r="H86" i="18"/>
  <c r="H104" i="18"/>
  <c r="H99" i="18"/>
  <c r="H56" i="18"/>
  <c r="H101" i="18"/>
  <c r="H91" i="18"/>
  <c r="H105" i="18"/>
  <c r="H37" i="18"/>
  <c r="L56" i="18"/>
  <c r="L43" i="18"/>
  <c r="G44" i="18"/>
  <c r="L55" i="18"/>
  <c r="L49" i="18"/>
  <c r="L50" i="18"/>
  <c r="G86" i="18"/>
  <c r="I55" i="18"/>
  <c r="M39" i="18"/>
  <c r="G99" i="18"/>
  <c r="M37" i="18"/>
  <c r="I43" i="18"/>
  <c r="M44" i="18"/>
  <c r="L42" i="18"/>
  <c r="I57" i="18"/>
  <c r="M57" i="18"/>
  <c r="I42" i="18"/>
  <c r="M47" i="18"/>
  <c r="G45" i="18"/>
  <c r="M50" i="18"/>
  <c r="H102" i="18"/>
  <c r="G40" i="18"/>
  <c r="G102" i="18"/>
  <c r="G41" i="18"/>
  <c r="G46" i="18"/>
  <c r="G88" i="18"/>
  <c r="I47" i="18"/>
  <c r="M38" i="18"/>
  <c r="G39" i="18"/>
  <c r="G91" i="18"/>
  <c r="M46" i="18"/>
  <c r="M45" i="18"/>
  <c r="G50" i="18"/>
  <c r="C125" i="5"/>
  <c r="AQ53" i="1" s="1"/>
  <c r="W93" i="5"/>
  <c r="M27" i="6" s="1"/>
  <c r="K180" i="1" s="1"/>
  <c r="G92" i="18"/>
  <c r="M52" i="18"/>
  <c r="G106" i="18"/>
  <c r="W111" i="5"/>
  <c r="M29" i="6" s="1"/>
  <c r="K182" i="1" s="1"/>
  <c r="M40" i="18"/>
  <c r="G49" i="18"/>
  <c r="G89" i="18"/>
  <c r="G101" i="18"/>
  <c r="M54" i="18"/>
  <c r="G48" i="18"/>
  <c r="M42" i="18"/>
  <c r="G42" i="18"/>
  <c r="G54" i="18"/>
  <c r="G104" i="18"/>
  <c r="G55" i="18"/>
  <c r="M55" i="18"/>
  <c r="G57" i="18"/>
  <c r="G87" i="18"/>
  <c r="I125" i="5"/>
  <c r="M43" i="18"/>
  <c r="G105" i="18"/>
  <c r="G38" i="18"/>
  <c r="G43" i="18"/>
  <c r="G90" i="18"/>
  <c r="G47" i="18"/>
  <c r="G37" i="18"/>
  <c r="G53" i="18"/>
  <c r="I44" i="18"/>
  <c r="I54" i="18"/>
  <c r="S20" i="4"/>
  <c r="R20" i="4"/>
  <c r="D32" i="4" s="1"/>
  <c r="F32" i="4" s="1"/>
  <c r="AN18" i="1" s="1"/>
  <c r="T20" i="4"/>
  <c r="I53" i="18"/>
  <c r="I41" i="18"/>
  <c r="S40" i="18"/>
  <c r="S53" i="18"/>
  <c r="S41" i="18"/>
  <c r="I50" i="18"/>
  <c r="I39" i="18"/>
  <c r="I45" i="18"/>
  <c r="K41" i="18"/>
  <c r="I52" i="18"/>
  <c r="K56" i="18"/>
  <c r="K45" i="18"/>
  <c r="K47" i="18"/>
  <c r="K37" i="18"/>
  <c r="I46" i="18"/>
  <c r="I48" i="18"/>
  <c r="I40" i="18"/>
  <c r="K43" i="18"/>
  <c r="K50" i="18"/>
  <c r="L40" i="18"/>
  <c r="K39" i="18"/>
  <c r="K52" i="18"/>
  <c r="K40" i="18"/>
  <c r="K57" i="18"/>
  <c r="I37" i="18"/>
  <c r="K48" i="18"/>
  <c r="I49" i="18"/>
  <c r="I56" i="18"/>
  <c r="S54" i="18"/>
  <c r="L54" i="18"/>
  <c r="K49" i="18"/>
  <c r="L52" i="18"/>
  <c r="L53" i="18"/>
  <c r="K42" i="18"/>
  <c r="K55" i="18"/>
  <c r="K54" i="18"/>
  <c r="K46" i="18"/>
  <c r="K53" i="18"/>
  <c r="K38" i="18"/>
  <c r="J105" i="18"/>
  <c r="S38" i="18"/>
  <c r="K104" i="18"/>
  <c r="L37" i="18"/>
  <c r="S56" i="18"/>
  <c r="S55" i="18"/>
  <c r="S43" i="18"/>
  <c r="S45" i="18"/>
  <c r="S52" i="18"/>
  <c r="S46" i="18"/>
  <c r="L38" i="18"/>
  <c r="S57" i="18"/>
  <c r="S39" i="18"/>
  <c r="L46" i="18"/>
  <c r="J55" i="18"/>
  <c r="J46" i="18"/>
  <c r="I87" i="18"/>
  <c r="P47" i="18"/>
  <c r="I91" i="18"/>
  <c r="I104" i="18"/>
  <c r="I106" i="18"/>
  <c r="I102" i="18"/>
  <c r="J101" i="18"/>
  <c r="I101" i="18"/>
  <c r="I90" i="18"/>
  <c r="S47" i="18"/>
  <c r="L57" i="18"/>
  <c r="L39" i="18"/>
  <c r="J104" i="18"/>
  <c r="I88" i="18"/>
  <c r="I86" i="18"/>
  <c r="S49" i="18"/>
  <c r="J91" i="18"/>
  <c r="I99" i="18"/>
  <c r="I92" i="18"/>
  <c r="S42" i="18"/>
  <c r="O41" i="18"/>
  <c r="L41" i="18"/>
  <c r="K106" i="18"/>
  <c r="J88" i="18"/>
  <c r="S50" i="18"/>
  <c r="J37" i="18"/>
  <c r="I105" i="18"/>
  <c r="O37" i="18"/>
  <c r="I89" i="18"/>
  <c r="I103" i="18"/>
  <c r="J106" i="18"/>
  <c r="J41" i="18"/>
  <c r="J49" i="18"/>
  <c r="S44" i="18"/>
  <c r="O57" i="18"/>
  <c r="S37" i="18"/>
  <c r="O45" i="18"/>
  <c r="J48" i="18"/>
  <c r="O53" i="18"/>
  <c r="L44" i="18"/>
  <c r="J99" i="18"/>
  <c r="L45" i="18"/>
  <c r="L48" i="18"/>
  <c r="J57" i="18"/>
  <c r="J39" i="18"/>
  <c r="O50" i="18"/>
  <c r="J40" i="18"/>
  <c r="O48" i="18"/>
  <c r="J53" i="18"/>
  <c r="O40" i="18"/>
  <c r="P43" i="18"/>
  <c r="O43" i="18"/>
  <c r="J42" i="18"/>
  <c r="O56" i="18"/>
  <c r="J47" i="18"/>
  <c r="O44" i="18"/>
  <c r="J89" i="18"/>
  <c r="J102" i="18"/>
  <c r="O52" i="18"/>
  <c r="J87" i="18"/>
  <c r="J44" i="18"/>
  <c r="J45" i="18"/>
  <c r="O49" i="18"/>
  <c r="J92" i="18"/>
  <c r="O54" i="18"/>
  <c r="O38" i="18"/>
  <c r="J90" i="18"/>
  <c r="J38" i="18"/>
  <c r="J43" i="18"/>
  <c r="O42" i="18"/>
  <c r="J56" i="18"/>
  <c r="P57" i="18"/>
  <c r="O55" i="18"/>
  <c r="J54" i="18"/>
  <c r="O47" i="18"/>
  <c r="J86" i="18"/>
  <c r="K87" i="18"/>
  <c r="J52" i="18"/>
  <c r="O46" i="18"/>
  <c r="P38" i="18"/>
  <c r="K101" i="18"/>
  <c r="K105" i="18"/>
  <c r="AT41" i="1"/>
  <c r="P39" i="18"/>
  <c r="P46" i="18"/>
  <c r="BB20" i="1"/>
  <c r="P55" i="18"/>
  <c r="AU41" i="1"/>
  <c r="K88" i="18"/>
  <c r="P52" i="18"/>
  <c r="D40" i="6"/>
  <c r="P40" i="18"/>
  <c r="P53" i="18"/>
  <c r="P42" i="18"/>
  <c r="BT16" i="1"/>
  <c r="BU16" i="1"/>
  <c r="D51" i="6"/>
  <c r="BU5" i="1"/>
  <c r="P48" i="18"/>
  <c r="P56" i="18"/>
  <c r="P50" i="18"/>
  <c r="K90" i="18"/>
  <c r="AR41" i="1"/>
  <c r="W102" i="5"/>
  <c r="M28" i="6" s="1"/>
  <c r="K181" i="1" s="1"/>
  <c r="V102" i="5"/>
  <c r="J28" i="6" s="1"/>
  <c r="H181" i="1" s="1"/>
  <c r="N181" i="1" s="1"/>
  <c r="J25" i="5"/>
  <c r="AX41" i="1" s="1"/>
  <c r="U102" i="5"/>
  <c r="I28" i="6" s="1"/>
  <c r="G181" i="1" s="1"/>
  <c r="K89" i="18"/>
  <c r="D3" i="15"/>
  <c r="D5" i="15" s="1"/>
  <c r="K99" i="18"/>
  <c r="BC20" i="1"/>
  <c r="P44" i="18"/>
  <c r="AV41" i="1"/>
  <c r="BT5" i="1"/>
  <c r="K103" i="18"/>
  <c r="K102" i="18"/>
  <c r="K92" i="18"/>
  <c r="P41" i="18"/>
  <c r="P37" i="18"/>
  <c r="K91" i="18"/>
  <c r="P45" i="18"/>
  <c r="P49" i="18"/>
  <c r="AZ20" i="1"/>
  <c r="AY20" i="1"/>
  <c r="BU8" i="1"/>
  <c r="BT8" i="1"/>
  <c r="D43" i="6"/>
  <c r="BU7" i="1"/>
  <c r="D42" i="6"/>
  <c r="BT7" i="1"/>
  <c r="U20" i="4"/>
  <c r="T34" i="4" s="1"/>
  <c r="BA20" i="1"/>
  <c r="H52" i="6" l="1"/>
  <c r="W80" i="38"/>
  <c r="V81" i="38"/>
  <c r="S81" i="38"/>
  <c r="T81" i="38"/>
  <c r="Q82" i="38" a="1"/>
  <c r="Q82" i="38" s="1"/>
  <c r="U81" i="38"/>
  <c r="F52" i="6"/>
  <c r="Q44" i="6"/>
  <c r="I52" i="6"/>
  <c r="BO19" i="1"/>
  <c r="Q19" i="4" s="1"/>
  <c r="AX11" i="1"/>
  <c r="DE11" i="1" s="1"/>
  <c r="AX12" i="1"/>
  <c r="DE12" i="1" s="1"/>
  <c r="BO7" i="1"/>
  <c r="Q7" i="4" s="1"/>
  <c r="AX7" i="1"/>
  <c r="DE7" i="1" s="1"/>
  <c r="BI7" i="1"/>
  <c r="P7" i="4" s="1"/>
  <c r="AX19" i="1"/>
  <c r="DE19" i="1" s="1"/>
  <c r="BI19" i="1"/>
  <c r="P19" i="4" s="1"/>
  <c r="E54" i="6"/>
  <c r="BO18" i="1"/>
  <c r="Q18" i="4" s="1"/>
  <c r="J53" i="6"/>
  <c r="AX18" i="1"/>
  <c r="DE18" i="1" s="1"/>
  <c r="E53" i="6"/>
  <c r="M52" i="6"/>
  <c r="AX17" i="1"/>
  <c r="DE17" i="1" s="1"/>
  <c r="CW17" i="1"/>
  <c r="CB17" i="1"/>
  <c r="BI17" i="1"/>
  <c r="P17" i="4" s="1"/>
  <c r="BI15" i="1"/>
  <c r="P15" i="4" s="1"/>
  <c r="BO15" i="1"/>
  <c r="Q15" i="4" s="1"/>
  <c r="AX15" i="1"/>
  <c r="DE15" i="1" s="1"/>
  <c r="AX13" i="1"/>
  <c r="DE13" i="1" s="1"/>
  <c r="BO13" i="1"/>
  <c r="Q13" i="4" s="1"/>
  <c r="BO12" i="1"/>
  <c r="Q12" i="4" s="1"/>
  <c r="BI12" i="1"/>
  <c r="P12" i="4" s="1"/>
  <c r="E47" i="6"/>
  <c r="N47" i="6"/>
  <c r="Q47" i="6"/>
  <c r="BI11" i="1"/>
  <c r="P11" i="4" s="1"/>
  <c r="E46" i="6"/>
  <c r="BO11" i="1"/>
  <c r="Q11" i="4" s="1"/>
  <c r="CX6" i="1"/>
  <c r="CN6" i="1"/>
  <c r="BV6" i="1"/>
  <c r="BZ6" i="1"/>
  <c r="BY6" i="1"/>
  <c r="BW6" i="1"/>
  <c r="BX6" i="1"/>
  <c r="N41" i="6"/>
  <c r="CV6" i="1"/>
  <c r="CL6" i="1"/>
  <c r="J41" i="6"/>
  <c r="CR6" i="1"/>
  <c r="CH6" i="1"/>
  <c r="CB6" i="1"/>
  <c r="CD6" i="1"/>
  <c r="CE6" i="1"/>
  <c r="CF6" i="1"/>
  <c r="CC6" i="1"/>
  <c r="CP6" i="1"/>
  <c r="CZ6" i="1"/>
  <c r="CK6" i="1"/>
  <c r="CU6" i="1"/>
  <c r="CJ6" i="1"/>
  <c r="CT6" i="1"/>
  <c r="BO6" i="1"/>
  <c r="Q6" i="4" s="1"/>
  <c r="CM6" i="1"/>
  <c r="CW6" i="1"/>
  <c r="K41" i="6"/>
  <c r="CS6" i="1"/>
  <c r="CI6" i="1"/>
  <c r="S41" i="6"/>
  <c r="DA6" i="1"/>
  <c r="CQ6" i="1"/>
  <c r="Q41" i="6"/>
  <c r="CO6" i="1"/>
  <c r="CY6" i="1"/>
  <c r="DA8" i="1"/>
  <c r="CQ8" i="1"/>
  <c r="CH8" i="1"/>
  <c r="CR8" i="1"/>
  <c r="CY8" i="1"/>
  <c r="CO8" i="1"/>
  <c r="CP8" i="1"/>
  <c r="CZ8" i="1"/>
  <c r="CU8" i="1"/>
  <c r="CK8" i="1"/>
  <c r="CT8" i="1"/>
  <c r="CJ8" i="1"/>
  <c r="BO8" i="1"/>
  <c r="Q8" i="4" s="1"/>
  <c r="CW8" i="1"/>
  <c r="CM8" i="1"/>
  <c r="BI8" i="1"/>
  <c r="P8" i="4" s="1"/>
  <c r="CI8" i="1"/>
  <c r="CS8" i="1"/>
  <c r="CL8" i="1"/>
  <c r="CV8" i="1"/>
  <c r="BX8" i="1"/>
  <c r="BZ8" i="1"/>
  <c r="BY8" i="1"/>
  <c r="BV8" i="1"/>
  <c r="BW8" i="1"/>
  <c r="CD8" i="1"/>
  <c r="CE8" i="1"/>
  <c r="CC8" i="1"/>
  <c r="CF8" i="1"/>
  <c r="CB8" i="1"/>
  <c r="CN8" i="1"/>
  <c r="CX8" i="1"/>
  <c r="CY9" i="1"/>
  <c r="CW9" i="1"/>
  <c r="CV9" i="1"/>
  <c r="DA9" i="1"/>
  <c r="CR9" i="1"/>
  <c r="CF9" i="1"/>
  <c r="CT9" i="1"/>
  <c r="CS9" i="1"/>
  <c r="CD9" i="1"/>
  <c r="CU9" i="1"/>
  <c r="CB9" i="1"/>
  <c r="CC9" i="1"/>
  <c r="CZ9" i="1"/>
  <c r="CX9" i="1"/>
  <c r="CE9" i="1"/>
  <c r="BZ9" i="1"/>
  <c r="CO9" i="1"/>
  <c r="CM9" i="1"/>
  <c r="CL9" i="1"/>
  <c r="CQ9" i="1"/>
  <c r="CJ9" i="1"/>
  <c r="CH9" i="1"/>
  <c r="BX9" i="1"/>
  <c r="CK9" i="1"/>
  <c r="BV9" i="1"/>
  <c r="BW9" i="1"/>
  <c r="CI9" i="1"/>
  <c r="CN9" i="1"/>
  <c r="CP9" i="1"/>
  <c r="BY9" i="1"/>
  <c r="CF10" i="1"/>
  <c r="CW10" i="1"/>
  <c r="CS10" i="1"/>
  <c r="CY10" i="1"/>
  <c r="CX10" i="1"/>
  <c r="CU10" i="1"/>
  <c r="CR10" i="1"/>
  <c r="CD10" i="1"/>
  <c r="CB10" i="1"/>
  <c r="CT10" i="1"/>
  <c r="DA10" i="1"/>
  <c r="CC10" i="1"/>
  <c r="CE10" i="1"/>
  <c r="CZ10" i="1"/>
  <c r="CV10" i="1"/>
  <c r="CQ10" i="1"/>
  <c r="CH10" i="1"/>
  <c r="CI10" i="1"/>
  <c r="CO10" i="1"/>
  <c r="BZ10" i="1"/>
  <c r="CM10" i="1"/>
  <c r="CK10" i="1"/>
  <c r="CJ10" i="1"/>
  <c r="BV10" i="1"/>
  <c r="BX10" i="1"/>
  <c r="CN10" i="1"/>
  <c r="BY10" i="1"/>
  <c r="CP10" i="1"/>
  <c r="CL10" i="1"/>
  <c r="BW10" i="1"/>
  <c r="CX11" i="1"/>
  <c r="CE11" i="1"/>
  <c r="CD11" i="1"/>
  <c r="CY11" i="1"/>
  <c r="DA11" i="1"/>
  <c r="CS11" i="1"/>
  <c r="CT11" i="1"/>
  <c r="CR11" i="1"/>
  <c r="CC11" i="1"/>
  <c r="CW11" i="1"/>
  <c r="CF11" i="1"/>
  <c r="CV11" i="1"/>
  <c r="CB11" i="1"/>
  <c r="CZ11" i="1"/>
  <c r="CU11" i="1"/>
  <c r="CN11" i="1"/>
  <c r="CQ11" i="1"/>
  <c r="CO11" i="1"/>
  <c r="CI11" i="1"/>
  <c r="CP11" i="1"/>
  <c r="BX11" i="1"/>
  <c r="CH11" i="1"/>
  <c r="CM11" i="1"/>
  <c r="BW11" i="1"/>
  <c r="CL11" i="1"/>
  <c r="BV11" i="1"/>
  <c r="BZ11" i="1"/>
  <c r="CJ11" i="1"/>
  <c r="BY11" i="1"/>
  <c r="CK11" i="1"/>
  <c r="CS12" i="1"/>
  <c r="CV12" i="1"/>
  <c r="CC12" i="1"/>
  <c r="CE12" i="1"/>
  <c r="CF12" i="1"/>
  <c r="CU12" i="1"/>
  <c r="CB12" i="1"/>
  <c r="CD12" i="1"/>
  <c r="CX12" i="1"/>
  <c r="CZ12" i="1"/>
  <c r="CW12" i="1"/>
  <c r="CR12" i="1"/>
  <c r="CT12" i="1"/>
  <c r="DA12" i="1"/>
  <c r="CY12" i="1"/>
  <c r="BY12" i="1"/>
  <c r="BZ12" i="1"/>
  <c r="CN12" i="1"/>
  <c r="BW12" i="1"/>
  <c r="CH12" i="1"/>
  <c r="BV12" i="1"/>
  <c r="BX12" i="1"/>
  <c r="CP12" i="1"/>
  <c r="CM12" i="1"/>
  <c r="CJ12" i="1"/>
  <c r="CK12" i="1"/>
  <c r="CI12" i="1"/>
  <c r="CL12" i="1"/>
  <c r="CO12" i="1"/>
  <c r="CQ12" i="1"/>
  <c r="DA13" i="1"/>
  <c r="CW13" i="1"/>
  <c r="CX13" i="1"/>
  <c r="CE13" i="1"/>
  <c r="CD13" i="1"/>
  <c r="CT13" i="1"/>
  <c r="CF13" i="1"/>
  <c r="CC13" i="1"/>
  <c r="CR13" i="1"/>
  <c r="CB13" i="1"/>
  <c r="CU13" i="1"/>
  <c r="CZ13" i="1"/>
  <c r="CV13" i="1"/>
  <c r="CY13" i="1"/>
  <c r="CS13" i="1"/>
  <c r="CM13" i="1"/>
  <c r="BX13" i="1"/>
  <c r="CN13" i="1"/>
  <c r="BY13" i="1"/>
  <c r="BV13" i="1"/>
  <c r="CK13" i="1"/>
  <c r="BW13" i="1"/>
  <c r="CL13" i="1"/>
  <c r="CQ13" i="1"/>
  <c r="BZ13" i="1"/>
  <c r="CH13" i="1"/>
  <c r="CP13" i="1"/>
  <c r="CO13" i="1"/>
  <c r="CJ13" i="1"/>
  <c r="CI13" i="1"/>
  <c r="BZ15" i="1"/>
  <c r="BX15" i="1"/>
  <c r="BY15" i="1"/>
  <c r="CM15" i="1"/>
  <c r="CJ15" i="1"/>
  <c r="CL15" i="1"/>
  <c r="CH15" i="1"/>
  <c r="CP15" i="1"/>
  <c r="CK15" i="1"/>
  <c r="CI15" i="1"/>
  <c r="BW15" i="1"/>
  <c r="CO15" i="1"/>
  <c r="BV15" i="1"/>
  <c r="CQ15" i="1"/>
  <c r="CN15" i="1"/>
  <c r="CW15" i="1"/>
  <c r="CV15" i="1"/>
  <c r="CD15" i="1"/>
  <c r="CT15" i="1"/>
  <c r="CX15" i="1"/>
  <c r="CS15" i="1"/>
  <c r="CB15" i="1"/>
  <c r="CR15" i="1"/>
  <c r="CC15" i="1"/>
  <c r="CU15" i="1"/>
  <c r="DA15" i="1"/>
  <c r="CE15" i="1"/>
  <c r="CZ15" i="1"/>
  <c r="CF15" i="1"/>
  <c r="CY15" i="1"/>
  <c r="CQ16" i="1"/>
  <c r="DA16" i="1"/>
  <c r="CZ16" i="1"/>
  <c r="CP16" i="1"/>
  <c r="CO16" i="1"/>
  <c r="CY16" i="1"/>
  <c r="BY16" i="1"/>
  <c r="BV16" i="1"/>
  <c r="BX16" i="1"/>
  <c r="BZ16" i="1"/>
  <c r="BW16" i="1"/>
  <c r="CS16" i="1"/>
  <c r="CI16" i="1"/>
  <c r="CB16" i="1"/>
  <c r="CC16" i="1"/>
  <c r="CF16" i="1"/>
  <c r="CD16" i="1"/>
  <c r="CE16" i="1"/>
  <c r="CH16" i="1"/>
  <c r="CR16" i="1"/>
  <c r="CL16" i="1"/>
  <c r="CV16" i="1"/>
  <c r="CT16" i="1"/>
  <c r="CJ16" i="1"/>
  <c r="CX16" i="1"/>
  <c r="CN16" i="1"/>
  <c r="CU16" i="1"/>
  <c r="CK16" i="1"/>
  <c r="CW16" i="1"/>
  <c r="CM16" i="1"/>
  <c r="CP17" i="1"/>
  <c r="BX17" i="1"/>
  <c r="CN17" i="1"/>
  <c r="CH17" i="1"/>
  <c r="CJ17" i="1"/>
  <c r="BW17" i="1"/>
  <c r="CK17" i="1"/>
  <c r="CL17" i="1"/>
  <c r="CQ17" i="1"/>
  <c r="CI17" i="1"/>
  <c r="BY17" i="1"/>
  <c r="CO17" i="1"/>
  <c r="BZ17" i="1"/>
  <c r="CM17" i="1"/>
  <c r="BV17" i="1"/>
  <c r="CG17" i="1"/>
  <c r="CT18" i="1"/>
  <c r="CF18" i="1"/>
  <c r="CZ18" i="1"/>
  <c r="CW18" i="1"/>
  <c r="CY18" i="1"/>
  <c r="DA18" i="1"/>
  <c r="CS18" i="1"/>
  <c r="CV18" i="1"/>
  <c r="CE18" i="1"/>
  <c r="CX18" i="1"/>
  <c r="CC18" i="1"/>
  <c r="CR18" i="1"/>
  <c r="CU18" i="1"/>
  <c r="CB18" i="1"/>
  <c r="CD18" i="1"/>
  <c r="BZ18" i="1"/>
  <c r="CJ18" i="1"/>
  <c r="CO18" i="1"/>
  <c r="CI18" i="1"/>
  <c r="CP18" i="1"/>
  <c r="CM18" i="1"/>
  <c r="CQ18" i="1"/>
  <c r="BY18" i="1"/>
  <c r="CN18" i="1"/>
  <c r="CK18" i="1"/>
  <c r="CH18" i="1"/>
  <c r="BV18" i="1"/>
  <c r="BX18" i="1"/>
  <c r="BW18" i="1"/>
  <c r="CL18" i="1"/>
  <c r="CM19" i="1"/>
  <c r="CQ19" i="1"/>
  <c r="CH19" i="1"/>
  <c r="BZ19" i="1"/>
  <c r="CN19" i="1"/>
  <c r="CL19" i="1"/>
  <c r="CK19" i="1"/>
  <c r="BW19" i="1"/>
  <c r="CI19" i="1"/>
  <c r="BV19" i="1"/>
  <c r="BX19" i="1"/>
  <c r="CP19" i="1"/>
  <c r="CO19" i="1"/>
  <c r="CJ19" i="1"/>
  <c r="BY19" i="1"/>
  <c r="DA19" i="1"/>
  <c r="CW19" i="1"/>
  <c r="CU19" i="1"/>
  <c r="CV19" i="1"/>
  <c r="CR19" i="1"/>
  <c r="CF19" i="1"/>
  <c r="CS19" i="1"/>
  <c r="CX19" i="1"/>
  <c r="CC19" i="1"/>
  <c r="CZ19" i="1"/>
  <c r="CB19" i="1"/>
  <c r="CY19" i="1"/>
  <c r="CT19" i="1"/>
  <c r="CD19" i="1"/>
  <c r="CE19" i="1"/>
  <c r="CU14" i="1"/>
  <c r="CK14" i="1"/>
  <c r="CB14" i="1"/>
  <c r="CD14" i="1"/>
  <c r="CE14" i="1"/>
  <c r="CC14" i="1"/>
  <c r="CF14" i="1"/>
  <c r="CR14" i="1"/>
  <c r="CH14" i="1"/>
  <c r="CL14" i="1"/>
  <c r="CV14" i="1"/>
  <c r="BV14" i="1"/>
  <c r="BX14" i="1"/>
  <c r="BW14" i="1"/>
  <c r="BY14" i="1"/>
  <c r="BZ14" i="1"/>
  <c r="CN14" i="1"/>
  <c r="CX14" i="1"/>
  <c r="CP14" i="1"/>
  <c r="CZ14" i="1"/>
  <c r="K49" i="6"/>
  <c r="CI14" i="1"/>
  <c r="CS14" i="1"/>
  <c r="CY14" i="1"/>
  <c r="CO14" i="1"/>
  <c r="CW14" i="1"/>
  <c r="CM14" i="1"/>
  <c r="CJ14" i="1"/>
  <c r="CT14" i="1"/>
  <c r="DA14" i="1"/>
  <c r="CQ14" i="1"/>
  <c r="CY7" i="1"/>
  <c r="CE7" i="1"/>
  <c r="CD7" i="1"/>
  <c r="CW7" i="1"/>
  <c r="CZ7" i="1"/>
  <c r="CS7" i="1"/>
  <c r="DA7" i="1"/>
  <c r="CX7" i="1"/>
  <c r="CT7" i="1"/>
  <c r="CR7" i="1"/>
  <c r="CB7" i="1"/>
  <c r="CV7" i="1"/>
  <c r="CU7" i="1"/>
  <c r="CF7" i="1"/>
  <c r="CC7" i="1"/>
  <c r="BX7" i="1"/>
  <c r="CP7" i="1"/>
  <c r="CM7" i="1"/>
  <c r="CN7" i="1"/>
  <c r="CI7" i="1"/>
  <c r="CJ7" i="1"/>
  <c r="CO7" i="1"/>
  <c r="CH7" i="1"/>
  <c r="BV7" i="1"/>
  <c r="BY7" i="1"/>
  <c r="CQ7" i="1"/>
  <c r="CK7" i="1"/>
  <c r="BW7" i="1"/>
  <c r="CL7" i="1"/>
  <c r="BZ7" i="1"/>
  <c r="BZ5" i="1"/>
  <c r="BV5" i="1"/>
  <c r="BY5" i="1"/>
  <c r="BX5" i="1"/>
  <c r="BW5" i="1"/>
  <c r="CW5" i="1"/>
  <c r="CM5" i="1"/>
  <c r="CK5" i="1"/>
  <c r="CU5" i="1"/>
  <c r="CR5" i="1"/>
  <c r="CH5" i="1"/>
  <c r="CT5" i="1"/>
  <c r="CJ5" i="1"/>
  <c r="N40" i="6"/>
  <c r="CV5" i="1"/>
  <c r="CL5" i="1"/>
  <c r="CS5" i="1"/>
  <c r="CI5" i="1"/>
  <c r="CB5" i="1"/>
  <c r="CF5" i="1"/>
  <c r="CE5" i="1"/>
  <c r="CD5" i="1"/>
  <c r="CC5" i="1"/>
  <c r="Q40" i="6"/>
  <c r="CY5" i="1"/>
  <c r="CO5" i="1"/>
  <c r="CZ5" i="1"/>
  <c r="CP5" i="1"/>
  <c r="P40" i="6"/>
  <c r="CX5" i="1"/>
  <c r="CN5" i="1"/>
  <c r="DA5" i="1"/>
  <c r="CQ5" i="1"/>
  <c r="AX8" i="1"/>
  <c r="DE8" i="1" s="1"/>
  <c r="BI14" i="1"/>
  <c r="P14" i="4" s="1"/>
  <c r="AX14" i="1"/>
  <c r="DE14" i="1" s="1"/>
  <c r="BO14" i="1"/>
  <c r="Q14" i="4" s="1"/>
  <c r="AX6" i="1"/>
  <c r="DE6" i="1" s="1"/>
  <c r="BI6" i="1"/>
  <c r="P6" i="4" s="1"/>
  <c r="BI16" i="1"/>
  <c r="P16" i="4" s="1"/>
  <c r="BO5" i="1"/>
  <c r="Q5" i="4" s="1"/>
  <c r="AX16" i="1"/>
  <c r="DE16" i="1" s="1"/>
  <c r="BO16" i="1"/>
  <c r="Q16" i="4" s="1"/>
  <c r="BI5" i="1"/>
  <c r="P5" i="4" s="1"/>
  <c r="AX5" i="1"/>
  <c r="L47" i="6"/>
  <c r="N45" i="6"/>
  <c r="P45" i="6"/>
  <c r="M47" i="6"/>
  <c r="P47" i="6"/>
  <c r="P49" i="6"/>
  <c r="M54" i="6"/>
  <c r="Q49" i="6"/>
  <c r="R54" i="6"/>
  <c r="L54" i="6"/>
  <c r="J49" i="6"/>
  <c r="O47" i="6"/>
  <c r="Q46" i="6"/>
  <c r="R46" i="6"/>
  <c r="S54" i="6"/>
  <c r="R48" i="6"/>
  <c r="N46" i="6"/>
  <c r="M45" i="6"/>
  <c r="N50" i="6"/>
  <c r="M46" i="6"/>
  <c r="Q50" i="6"/>
  <c r="P46" i="6"/>
  <c r="K54" i="6"/>
  <c r="R50" i="6"/>
  <c r="J45" i="6"/>
  <c r="J46" i="6"/>
  <c r="P53" i="6"/>
  <c r="S53" i="6"/>
  <c r="N53" i="6"/>
  <c r="Q53" i="6"/>
  <c r="Q9" i="4"/>
  <c r="P9" i="4"/>
  <c r="H44" i="6"/>
  <c r="Q45" i="6"/>
  <c r="O53" i="6"/>
  <c r="K44" i="6"/>
  <c r="Q10" i="4"/>
  <c r="P18" i="4"/>
  <c r="P44" i="6"/>
  <c r="G46" i="6"/>
  <c r="F53" i="6"/>
  <c r="N44" i="6"/>
  <c r="I45" i="6"/>
  <c r="P10" i="4"/>
  <c r="O45" i="6"/>
  <c r="J47" i="6"/>
  <c r="E52" i="6"/>
  <c r="K46" i="6"/>
  <c r="R45" i="6"/>
  <c r="M49" i="6"/>
  <c r="N52" i="6"/>
  <c r="S52" i="6"/>
  <c r="G52" i="6"/>
  <c r="K52" i="6"/>
  <c r="P52" i="6"/>
  <c r="L52" i="6"/>
  <c r="S49" i="6"/>
  <c r="L49" i="6"/>
  <c r="R52" i="6"/>
  <c r="O52" i="6"/>
  <c r="N49" i="6"/>
  <c r="E49" i="6"/>
  <c r="Q52" i="6"/>
  <c r="J52" i="6"/>
  <c r="Q17" i="4"/>
  <c r="R49" i="6"/>
  <c r="O49" i="6"/>
  <c r="P41" i="6"/>
  <c r="J40" i="6"/>
  <c r="AH195" i="1"/>
  <c r="Q210" i="1"/>
  <c r="B25" i="7" s="1"/>
  <c r="O41" i="6"/>
  <c r="M41" i="6"/>
  <c r="L41" i="6"/>
  <c r="I41" i="6"/>
  <c r="E41" i="6"/>
  <c r="R41" i="6"/>
  <c r="E126" i="5"/>
  <c r="E26" i="5" s="1"/>
  <c r="E27" i="5" s="1"/>
  <c r="AS43" i="1" s="1"/>
  <c r="AS62" i="1" s="1"/>
  <c r="H50" i="6"/>
  <c r="S47" i="6"/>
  <c r="P50" i="6"/>
  <c r="I47" i="6"/>
  <c r="G47" i="6"/>
  <c r="O54" i="6"/>
  <c r="K50" i="6"/>
  <c r="AV53" i="1"/>
  <c r="AV54" i="1" s="1"/>
  <c r="AV61" i="1" s="1"/>
  <c r="H54" i="6"/>
  <c r="N54" i="6"/>
  <c r="Q54" i="6"/>
  <c r="I54" i="6"/>
  <c r="D126" i="5"/>
  <c r="D26" i="5" s="1"/>
  <c r="AR42" i="1" s="1"/>
  <c r="J54" i="6"/>
  <c r="AS51" i="1"/>
  <c r="D7" i="8" s="1"/>
  <c r="G126" i="5"/>
  <c r="G26" i="5" s="1"/>
  <c r="AU42" i="1" s="1"/>
  <c r="F126" i="5"/>
  <c r="F26" i="5" s="1"/>
  <c r="AT42" i="1" s="1"/>
  <c r="J124" i="5"/>
  <c r="AR51" i="1"/>
  <c r="C7" i="8" s="1"/>
  <c r="K48" i="6"/>
  <c r="H48" i="6"/>
  <c r="O48" i="6"/>
  <c r="J48" i="6"/>
  <c r="P13" i="4"/>
  <c r="L48" i="6"/>
  <c r="G48" i="6"/>
  <c r="N48" i="6"/>
  <c r="E48" i="6"/>
  <c r="S48" i="6"/>
  <c r="F48" i="6"/>
  <c r="Q48" i="6"/>
  <c r="I48" i="6"/>
  <c r="P48" i="6"/>
  <c r="M48" i="6"/>
  <c r="J125" i="5"/>
  <c r="C126" i="5"/>
  <c r="C26" i="5" s="1"/>
  <c r="T32" i="4"/>
  <c r="I126" i="5"/>
  <c r="I26" i="5" s="1"/>
  <c r="AW53" i="1"/>
  <c r="R40" i="6"/>
  <c r="BL20" i="1"/>
  <c r="BL28" i="1" s="1"/>
  <c r="F52" i="18"/>
  <c r="Y52" i="18" s="1"/>
  <c r="F57" i="18"/>
  <c r="E28" i="18" s="1"/>
  <c r="F28" i="18" s="1"/>
  <c r="G40" i="6"/>
  <c r="F44" i="18"/>
  <c r="E40" i="6"/>
  <c r="BN20" i="1"/>
  <c r="BN28" i="1" s="1"/>
  <c r="S40" i="6"/>
  <c r="K40" i="6"/>
  <c r="BJ20" i="1"/>
  <c r="BJ28" i="1" s="1"/>
  <c r="F55" i="18"/>
  <c r="E26" i="18" s="1"/>
  <c r="F26" i="18" s="1"/>
  <c r="F48" i="18"/>
  <c r="F37" i="18"/>
  <c r="Y37" i="18" s="1"/>
  <c r="F50" i="18"/>
  <c r="Y50" i="18" s="1"/>
  <c r="F54" i="18"/>
  <c r="E25" i="18" s="1"/>
  <c r="F25" i="18" s="1"/>
  <c r="F46" i="18"/>
  <c r="F45" i="18"/>
  <c r="E16" i="18" s="1"/>
  <c r="F16" i="18" s="1"/>
  <c r="F53" i="18"/>
  <c r="E24" i="18" s="1"/>
  <c r="F24" i="18" s="1"/>
  <c r="F39" i="18"/>
  <c r="E10" i="18" s="1"/>
  <c r="F10" i="18" s="1"/>
  <c r="F56" i="18"/>
  <c r="E27" i="18" s="1"/>
  <c r="F27" i="18" s="1"/>
  <c r="F47" i="18"/>
  <c r="F41" i="18"/>
  <c r="Y41" i="18" s="1"/>
  <c r="F43" i="18"/>
  <c r="Y43" i="18" s="1"/>
  <c r="F38" i="18"/>
  <c r="E9" i="18" s="1"/>
  <c r="F9" i="18" s="1"/>
  <c r="F42" i="18"/>
  <c r="E13" i="18" s="1"/>
  <c r="F13" i="18" s="1"/>
  <c r="F40" i="18"/>
  <c r="E11" i="18" s="1"/>
  <c r="F11" i="18" s="1"/>
  <c r="F49" i="18"/>
  <c r="H51" i="6"/>
  <c r="L51" i="6"/>
  <c r="N51" i="6"/>
  <c r="M51" i="6"/>
  <c r="L40" i="6"/>
  <c r="J51" i="6"/>
  <c r="K51" i="6"/>
  <c r="P51" i="6"/>
  <c r="H27" i="5"/>
  <c r="AV43" i="1" s="1"/>
  <c r="AV62" i="1" s="1"/>
  <c r="G51" i="6"/>
  <c r="I40" i="6"/>
  <c r="F51" i="6"/>
  <c r="E51" i="6"/>
  <c r="B9" i="8"/>
  <c r="Q51" i="6"/>
  <c r="S51" i="6"/>
  <c r="R51" i="6"/>
  <c r="I51" i="6"/>
  <c r="BG20" i="1"/>
  <c r="BG28" i="1" s="1"/>
  <c r="BK20" i="1"/>
  <c r="BK28" i="1" s="1"/>
  <c r="BF20" i="1"/>
  <c r="BF28" i="1" s="1"/>
  <c r="O51" i="6"/>
  <c r="AV20" i="1"/>
  <c r="AT48" i="1" s="1"/>
  <c r="O40" i="6"/>
  <c r="M40" i="6"/>
  <c r="E42" i="6"/>
  <c r="R43" i="6"/>
  <c r="N42" i="6"/>
  <c r="J43" i="6"/>
  <c r="E43" i="6"/>
  <c r="L42" i="6"/>
  <c r="R42" i="6"/>
  <c r="BH20" i="1"/>
  <c r="BH28" i="1" s="1"/>
  <c r="AS20" i="1"/>
  <c r="H42" i="6"/>
  <c r="P43" i="6"/>
  <c r="S42" i="6"/>
  <c r="G42" i="6"/>
  <c r="Q42" i="6"/>
  <c r="O43" i="6"/>
  <c r="K43" i="6"/>
  <c r="BE20" i="1"/>
  <c r="BE28" i="1" s="1"/>
  <c r="I42" i="6"/>
  <c r="I43" i="6"/>
  <c r="BM20" i="1"/>
  <c r="BM28" i="1" s="1"/>
  <c r="M42" i="6"/>
  <c r="Q43" i="6"/>
  <c r="F42" i="6"/>
  <c r="O42" i="6"/>
  <c r="L43" i="6"/>
  <c r="AU20" i="1"/>
  <c r="G43" i="6"/>
  <c r="P42" i="6"/>
  <c r="F43" i="6"/>
  <c r="AW20" i="1"/>
  <c r="M43" i="6"/>
  <c r="H43" i="6"/>
  <c r="K42" i="6"/>
  <c r="N43" i="6"/>
  <c r="BD20" i="1"/>
  <c r="AT20" i="1"/>
  <c r="J42" i="6"/>
  <c r="S43" i="6"/>
  <c r="W81" i="38" l="1"/>
  <c r="T82" i="38"/>
  <c r="S82" i="38"/>
  <c r="V82" i="38"/>
  <c r="Q83" i="38" a="1"/>
  <c r="Q83" i="38" s="1"/>
  <c r="U82" i="38"/>
  <c r="CG8" i="1"/>
  <c r="W8" i="4" s="1"/>
  <c r="CG13" i="1"/>
  <c r="W13" i="4" s="1"/>
  <c r="CA6" i="1"/>
  <c r="V6" i="4" s="1"/>
  <c r="CG6" i="1"/>
  <c r="W6" i="4" s="1"/>
  <c r="CA8" i="1"/>
  <c r="V8" i="4" s="1"/>
  <c r="CA9" i="1"/>
  <c r="V9" i="4" s="1"/>
  <c r="CG9" i="1"/>
  <c r="W9" i="4" s="1"/>
  <c r="CG10" i="1"/>
  <c r="W10" i="4" s="1"/>
  <c r="CA10" i="1"/>
  <c r="V10" i="4" s="1"/>
  <c r="CG11" i="1"/>
  <c r="W11" i="4" s="1"/>
  <c r="CA11" i="1"/>
  <c r="V11" i="4" s="1"/>
  <c r="CG12" i="1"/>
  <c r="W12" i="4" s="1"/>
  <c r="CA12" i="1"/>
  <c r="V12" i="4" s="1"/>
  <c r="CA13" i="1"/>
  <c r="V13" i="4" s="1"/>
  <c r="CA15" i="1"/>
  <c r="V15" i="4" s="1"/>
  <c r="CG15" i="1"/>
  <c r="W15" i="4" s="1"/>
  <c r="CG16" i="1"/>
  <c r="W16" i="4" s="1"/>
  <c r="CA16" i="1"/>
  <c r="V16" i="4" s="1"/>
  <c r="CA17" i="1"/>
  <c r="V17" i="4" s="1"/>
  <c r="CG18" i="1"/>
  <c r="W18" i="4" s="1"/>
  <c r="CA18" i="1"/>
  <c r="V18" i="4" s="1"/>
  <c r="CG19" i="1"/>
  <c r="W19" i="4" s="1"/>
  <c r="CA19" i="1"/>
  <c r="V19" i="4" s="1"/>
  <c r="CA14" i="1"/>
  <c r="V14" i="4" s="1"/>
  <c r="CG14" i="1"/>
  <c r="W14" i="4" s="1"/>
  <c r="CG7" i="1"/>
  <c r="W7" i="4" s="1"/>
  <c r="CA7" i="1"/>
  <c r="V7" i="4" s="1"/>
  <c r="O5" i="4"/>
  <c r="DE5" i="1"/>
  <c r="CG5" i="1"/>
  <c r="W5" i="4" s="1"/>
  <c r="CA5" i="1"/>
  <c r="V5" i="4" s="1"/>
  <c r="O12" i="4"/>
  <c r="DG12" i="1"/>
  <c r="O17" i="4"/>
  <c r="DG17" i="1"/>
  <c r="O11" i="4"/>
  <c r="DG11" i="1"/>
  <c r="O13" i="4"/>
  <c r="DG13" i="1"/>
  <c r="O6" i="4"/>
  <c r="DG6" i="1"/>
  <c r="O10" i="4"/>
  <c r="DG10" i="1"/>
  <c r="O7" i="4"/>
  <c r="DG7" i="1"/>
  <c r="O19" i="4"/>
  <c r="DG19" i="1"/>
  <c r="O14" i="4"/>
  <c r="DG14" i="1"/>
  <c r="O18" i="4"/>
  <c r="DG18" i="1"/>
  <c r="O9" i="4"/>
  <c r="DG9" i="1"/>
  <c r="O15" i="4"/>
  <c r="DG15" i="1"/>
  <c r="O8" i="4"/>
  <c r="DG8" i="1"/>
  <c r="O16" i="4"/>
  <c r="DG16" i="1"/>
  <c r="DG5" i="1"/>
  <c r="W17" i="4"/>
  <c r="CH20" i="1"/>
  <c r="AA180" i="1"/>
  <c r="AA175" i="1"/>
  <c r="AA176" i="1"/>
  <c r="AA177" i="1"/>
  <c r="AA178" i="1"/>
  <c r="AA179" i="1"/>
  <c r="AA181" i="1"/>
  <c r="O188" i="1"/>
  <c r="AA174" i="1"/>
  <c r="AS42" i="1"/>
  <c r="AX53" i="1"/>
  <c r="G9" i="8"/>
  <c r="F27" i="5"/>
  <c r="AT43" i="1" s="1"/>
  <c r="AT62" i="1" s="1"/>
  <c r="E15" i="8" s="1"/>
  <c r="D27" i="5"/>
  <c r="AR43" i="1" s="1"/>
  <c r="AR62" i="1" s="1"/>
  <c r="C15" i="8" s="1"/>
  <c r="I7" i="8"/>
  <c r="G27" i="5"/>
  <c r="AU43" i="1" s="1"/>
  <c r="AU62" i="1" s="1"/>
  <c r="AU65" i="1" s="1"/>
  <c r="AX51" i="1"/>
  <c r="J126" i="5"/>
  <c r="CI20" i="1"/>
  <c r="CO20" i="1"/>
  <c r="AW54" i="1"/>
  <c r="AW61" i="1" s="1"/>
  <c r="H9" i="8"/>
  <c r="P55" i="6"/>
  <c r="AW42" i="1"/>
  <c r="I27" i="5"/>
  <c r="AW43" i="1" s="1"/>
  <c r="AW62" i="1" s="1"/>
  <c r="CY20" i="1"/>
  <c r="R55" i="6"/>
  <c r="CF20" i="1"/>
  <c r="AU49" i="1" s="1"/>
  <c r="F4" i="8" s="1"/>
  <c r="J55" i="6"/>
  <c r="H55" i="6"/>
  <c r="Q55" i="6"/>
  <c r="BX20" i="1"/>
  <c r="K55" i="6"/>
  <c r="CS20" i="1"/>
  <c r="E23" i="18"/>
  <c r="F23" i="18" s="1"/>
  <c r="DA20" i="1"/>
  <c r="CD20" i="1"/>
  <c r="AS49" i="1" s="1"/>
  <c r="D4" i="8" s="1"/>
  <c r="G55" i="6"/>
  <c r="E12" i="18"/>
  <c r="F12" i="18" s="1"/>
  <c r="E14" i="18"/>
  <c r="F14" i="18" s="1"/>
  <c r="Y57" i="18"/>
  <c r="CT20" i="1"/>
  <c r="CL20" i="1"/>
  <c r="M55" i="6"/>
  <c r="E55" i="6"/>
  <c r="CU20" i="1"/>
  <c r="Y54" i="18"/>
  <c r="CK20" i="1"/>
  <c r="E19" i="18"/>
  <c r="F19" i="18" s="1"/>
  <c r="E15" i="18"/>
  <c r="F15" i="18" s="1"/>
  <c r="Y55" i="18"/>
  <c r="BO28" i="1"/>
  <c r="BO20" i="1"/>
  <c r="BZ20" i="1"/>
  <c r="BZ21" i="1" s="1"/>
  <c r="BZ22" i="1" s="1"/>
  <c r="E21" i="18"/>
  <c r="F21" i="18" s="1"/>
  <c r="Y56" i="18"/>
  <c r="Y39" i="18"/>
  <c r="E17" i="18"/>
  <c r="F17" i="18" s="1"/>
  <c r="E8" i="18"/>
  <c r="F8" i="18" s="1"/>
  <c r="Y53" i="18"/>
  <c r="Y38" i="18"/>
  <c r="Y42" i="18"/>
  <c r="E20" i="18"/>
  <c r="F20" i="18" s="1"/>
  <c r="E18" i="18"/>
  <c r="F18" i="18" s="1"/>
  <c r="Y40" i="18"/>
  <c r="CZ20" i="1"/>
  <c r="S55" i="6"/>
  <c r="D15" i="8"/>
  <c r="AS65" i="1"/>
  <c r="AV63" i="1"/>
  <c r="G14" i="8"/>
  <c r="CQ20" i="1"/>
  <c r="AQ42" i="1"/>
  <c r="J26" i="5"/>
  <c r="AX42" i="1" s="1"/>
  <c r="C27" i="5"/>
  <c r="CJ20" i="1"/>
  <c r="I55" i="6"/>
  <c r="CM20" i="1"/>
  <c r="CC20" i="1"/>
  <c r="AR49" i="1" s="1"/>
  <c r="C4" i="8" s="1"/>
  <c r="L55" i="6"/>
  <c r="F55" i="6"/>
  <c r="CP20" i="1"/>
  <c r="G15" i="8"/>
  <c r="AV65" i="1"/>
  <c r="CW20" i="1"/>
  <c r="P20" i="4"/>
  <c r="CV20" i="1"/>
  <c r="CR20" i="1"/>
  <c r="CE20" i="1"/>
  <c r="AT49" i="1" s="1"/>
  <c r="E4" i="8" s="1"/>
  <c r="BW20" i="1"/>
  <c r="BW21" i="1" s="1"/>
  <c r="BW22" i="1" s="1"/>
  <c r="N55" i="6"/>
  <c r="CN20" i="1"/>
  <c r="CX20" i="1"/>
  <c r="BY20" i="1"/>
  <c r="BY21" i="1" s="1"/>
  <c r="BY22" i="1" s="1"/>
  <c r="Q20" i="4"/>
  <c r="O55" i="6"/>
  <c r="BD28" i="1"/>
  <c r="BI20" i="1"/>
  <c r="AU48" i="1"/>
  <c r="AR48" i="1"/>
  <c r="AS48" i="1"/>
  <c r="AQ48" i="1"/>
  <c r="AX20" i="1"/>
  <c r="E3" i="8"/>
  <c r="BV20" i="1"/>
  <c r="CB20" i="1"/>
  <c r="AX21" i="1"/>
  <c r="W82" i="38" l="1"/>
  <c r="V83" i="38"/>
  <c r="S83" i="38"/>
  <c r="T83" i="38"/>
  <c r="Q84" i="38" a="1"/>
  <c r="Q84" i="38" s="1"/>
  <c r="U83" i="38"/>
  <c r="L32" i="18"/>
  <c r="R32" i="18"/>
  <c r="Q32" i="18"/>
  <c r="S32" i="18"/>
  <c r="M32" i="18"/>
  <c r="P32" i="18"/>
  <c r="O32" i="18"/>
  <c r="N32" i="18"/>
  <c r="AF18" i="18"/>
  <c r="P85" i="18" s="1"/>
  <c r="AG178" i="1"/>
  <c r="AF17" i="18"/>
  <c r="O85" i="18" s="1"/>
  <c r="AG177" i="1"/>
  <c r="AG181" i="1"/>
  <c r="AF21" i="18"/>
  <c r="S85" i="18" s="1"/>
  <c r="AF16" i="18"/>
  <c r="N85" i="18" s="1"/>
  <c r="AG176" i="1"/>
  <c r="AF19" i="18"/>
  <c r="Q85" i="18" s="1"/>
  <c r="AG179" i="1"/>
  <c r="AF15" i="18"/>
  <c r="M85" i="18" s="1"/>
  <c r="AG175" i="1"/>
  <c r="AF20" i="18"/>
  <c r="R85" i="18" s="1"/>
  <c r="AG180" i="1"/>
  <c r="AF14" i="18"/>
  <c r="L85" i="18" s="1"/>
  <c r="AG174" i="1"/>
  <c r="AX31" i="1"/>
  <c r="AR65" i="1"/>
  <c r="AT65" i="1"/>
  <c r="I9" i="8"/>
  <c r="BG29" i="1"/>
  <c r="M56" i="6" s="1"/>
  <c r="F15" i="8"/>
  <c r="BE29" i="1"/>
  <c r="K56" i="6" s="1"/>
  <c r="CF21" i="1"/>
  <c r="CF22" i="1" s="1"/>
  <c r="AW65" i="1"/>
  <c r="H15" i="8"/>
  <c r="CS22" i="1"/>
  <c r="K29" i="4" s="1"/>
  <c r="AU35" i="1"/>
  <c r="G56" i="6" s="1"/>
  <c r="CD21" i="1"/>
  <c r="CD22" i="1" s="1"/>
  <c r="AW63" i="1"/>
  <c r="H14" i="8"/>
  <c r="BL29" i="1"/>
  <c r="BX21" i="1"/>
  <c r="BX22" i="1" s="1"/>
  <c r="BH29" i="1"/>
  <c r="N56" i="6" s="1"/>
  <c r="BN29" i="1"/>
  <c r="BN30" i="1" s="1"/>
  <c r="E8" i="6" s="1"/>
  <c r="AJ20" i="6" s="1"/>
  <c r="AW35" i="1"/>
  <c r="I56" i="6" s="1"/>
  <c r="BJ29" i="1"/>
  <c r="O56" i="6" s="1"/>
  <c r="CX22" i="1"/>
  <c r="L29" i="4" s="1"/>
  <c r="BF29" i="1"/>
  <c r="BF30" i="1" s="1"/>
  <c r="D6" i="6" s="1"/>
  <c r="CN22" i="1"/>
  <c r="AH199" i="1" s="1"/>
  <c r="BD29" i="1"/>
  <c r="CI22" i="1"/>
  <c r="BM29" i="1"/>
  <c r="AQ43" i="1"/>
  <c r="AQ62" i="1" s="1"/>
  <c r="J27" i="5"/>
  <c r="AX43" i="1" s="1"/>
  <c r="AT35" i="1"/>
  <c r="F56" i="6" s="1"/>
  <c r="DG20" i="1"/>
  <c r="DG23" i="1" s="1"/>
  <c r="DE20" i="1"/>
  <c r="DE24" i="1" s="1"/>
  <c r="AV35" i="1"/>
  <c r="AV36" i="1" s="1"/>
  <c r="C7" i="6" s="1"/>
  <c r="BK29" i="1"/>
  <c r="CC21" i="1"/>
  <c r="CC22" i="1" s="1"/>
  <c r="AV66" i="1"/>
  <c r="G16" i="8"/>
  <c r="CE21" i="1"/>
  <c r="CE22" i="1" s="1"/>
  <c r="O20" i="4"/>
  <c r="AT54" i="1"/>
  <c r="AT61" i="1" s="1"/>
  <c r="E14" i="8" s="1"/>
  <c r="AQ49" i="1"/>
  <c r="AQ54" i="1" s="1"/>
  <c r="CB21" i="1"/>
  <c r="CA20" i="1"/>
  <c r="BV21" i="1"/>
  <c r="AS35" i="1"/>
  <c r="C3" i="8"/>
  <c r="AR54" i="1"/>
  <c r="AR61" i="1" s="1"/>
  <c r="D3" i="8"/>
  <c r="AS54" i="1"/>
  <c r="AS61" i="1" s="1"/>
  <c r="V20" i="4"/>
  <c r="B3" i="8"/>
  <c r="AX48" i="1"/>
  <c r="W20" i="4"/>
  <c r="CG20" i="1"/>
  <c r="F8" i="10"/>
  <c r="F3" i="8"/>
  <c r="AU54" i="1"/>
  <c r="AU61" i="1" s="1"/>
  <c r="BI28" i="1"/>
  <c r="W83" i="38" l="1"/>
  <c r="U84" i="38"/>
  <c r="S84" i="38"/>
  <c r="T84" i="38"/>
  <c r="Q85" i="38" a="1"/>
  <c r="Q85" i="38" s="1"/>
  <c r="V84" i="38"/>
  <c r="AG195" i="1"/>
  <c r="AG199" i="1" s="1"/>
  <c r="R105" i="18"/>
  <c r="R101" i="18"/>
  <c r="R89" i="18"/>
  <c r="R87" i="18"/>
  <c r="R92" i="18"/>
  <c r="R99" i="18"/>
  <c r="R106" i="18"/>
  <c r="R88" i="18"/>
  <c r="R103" i="18"/>
  <c r="R91" i="18"/>
  <c r="R102" i="18"/>
  <c r="R90" i="18"/>
  <c r="R104" i="18"/>
  <c r="R86" i="18"/>
  <c r="M102" i="18"/>
  <c r="M88" i="18"/>
  <c r="M87" i="18"/>
  <c r="M89" i="18"/>
  <c r="M91" i="18"/>
  <c r="M86" i="18"/>
  <c r="M101" i="18"/>
  <c r="M90" i="18"/>
  <c r="M92" i="18"/>
  <c r="M104" i="18"/>
  <c r="M106" i="18"/>
  <c r="M105" i="18"/>
  <c r="M103" i="18"/>
  <c r="M99" i="18"/>
  <c r="Q106" i="18"/>
  <c r="Q91" i="18"/>
  <c r="Q89" i="18"/>
  <c r="Q90" i="18"/>
  <c r="Q86" i="18"/>
  <c r="Q87" i="18"/>
  <c r="Q104" i="18"/>
  <c r="Q105" i="18"/>
  <c r="Q103" i="18"/>
  <c r="Q99" i="18"/>
  <c r="Q101" i="18"/>
  <c r="Q102" i="18"/>
  <c r="Q88" i="18"/>
  <c r="Q92" i="18"/>
  <c r="N90" i="18"/>
  <c r="N99" i="18"/>
  <c r="N88" i="18"/>
  <c r="N86" i="18"/>
  <c r="N105" i="18"/>
  <c r="N92" i="18"/>
  <c r="N106" i="18"/>
  <c r="N104" i="18"/>
  <c r="N103" i="18"/>
  <c r="N101" i="18"/>
  <c r="N89" i="18"/>
  <c r="N102" i="18"/>
  <c r="N91" i="18"/>
  <c r="N87" i="18"/>
  <c r="S90" i="18"/>
  <c r="S104" i="18"/>
  <c r="S99" i="18"/>
  <c r="S103" i="18"/>
  <c r="S89" i="18"/>
  <c r="S101" i="18"/>
  <c r="S87" i="18"/>
  <c r="S88" i="18"/>
  <c r="S92" i="18"/>
  <c r="S106" i="18"/>
  <c r="S105" i="18"/>
  <c r="S91" i="18"/>
  <c r="S102" i="18"/>
  <c r="S86" i="18"/>
  <c r="O87" i="18"/>
  <c r="O104" i="18"/>
  <c r="O92" i="18"/>
  <c r="O99" i="18"/>
  <c r="O88" i="18"/>
  <c r="O89" i="18"/>
  <c r="O90" i="18"/>
  <c r="O103" i="18"/>
  <c r="O91" i="18"/>
  <c r="O105" i="18"/>
  <c r="O106" i="18"/>
  <c r="O86" i="18"/>
  <c r="O101" i="18"/>
  <c r="O102" i="18"/>
  <c r="P87" i="18"/>
  <c r="P102" i="18"/>
  <c r="P104" i="18"/>
  <c r="P86" i="18"/>
  <c r="P89" i="18"/>
  <c r="P101" i="18"/>
  <c r="P105" i="18"/>
  <c r="P103" i="18"/>
  <c r="P99" i="18"/>
  <c r="P88" i="18"/>
  <c r="P91" i="18"/>
  <c r="P92" i="18"/>
  <c r="P106" i="18"/>
  <c r="P90" i="18"/>
  <c r="L101" i="18"/>
  <c r="L103" i="18"/>
  <c r="L89" i="18"/>
  <c r="L106" i="18"/>
  <c r="L105" i="18"/>
  <c r="L92" i="18"/>
  <c r="L99" i="18"/>
  <c r="L102" i="18"/>
  <c r="L90" i="18"/>
  <c r="L87" i="18"/>
  <c r="L88" i="18"/>
  <c r="L104" i="18"/>
  <c r="L86" i="18"/>
  <c r="L91" i="18"/>
  <c r="AU36" i="1"/>
  <c r="C6" i="6" s="1"/>
  <c r="BE30" i="1"/>
  <c r="D5" i="6" s="1"/>
  <c r="AI17" i="6" s="1"/>
  <c r="BG30" i="1"/>
  <c r="D7" i="6" s="1"/>
  <c r="AC19" i="6" s="1"/>
  <c r="S56" i="6"/>
  <c r="BL30" i="1"/>
  <c r="E6" i="6" s="1"/>
  <c r="Q56" i="6"/>
  <c r="AW66" i="1"/>
  <c r="H16" i="8"/>
  <c r="BH30" i="1"/>
  <c r="D8" i="6" s="1"/>
  <c r="BI29" i="1"/>
  <c r="L56" i="6"/>
  <c r="AW36" i="1"/>
  <c r="C8" i="6" s="1"/>
  <c r="Z20" i="6" s="1"/>
  <c r="BJ30" i="1"/>
  <c r="E4" i="6" s="1"/>
  <c r="BD30" i="1"/>
  <c r="D4" i="6" s="1"/>
  <c r="J56" i="6"/>
  <c r="AD20" i="6"/>
  <c r="BO29" i="1"/>
  <c r="AB33" i="6"/>
  <c r="AV20" i="6"/>
  <c r="AP20" i="6"/>
  <c r="AT36" i="1"/>
  <c r="C5" i="6" s="1"/>
  <c r="DG24" i="1"/>
  <c r="H56" i="6"/>
  <c r="AT63" i="1"/>
  <c r="E16" i="8" s="1"/>
  <c r="DE23" i="1"/>
  <c r="R56" i="6"/>
  <c r="BM30" i="1"/>
  <c r="E7" i="6" s="1"/>
  <c r="I3" i="8"/>
  <c r="P56" i="6"/>
  <c r="BK30" i="1"/>
  <c r="E5" i="6" s="1"/>
  <c r="AV73" i="1"/>
  <c r="G18" i="8"/>
  <c r="B15" i="8"/>
  <c r="I15" i="8" s="1"/>
  <c r="AX62" i="1"/>
  <c r="AQ65" i="1"/>
  <c r="AX65" i="1" s="1"/>
  <c r="F12" i="10" s="1"/>
  <c r="F14" i="8"/>
  <c r="AU63" i="1"/>
  <c r="CB22" i="1"/>
  <c r="CG22" i="1" s="1"/>
  <c r="J29" i="4" s="1"/>
  <c r="CG21" i="1"/>
  <c r="I29" i="4" s="1"/>
  <c r="AL19" i="6"/>
  <c r="Z19" i="6"/>
  <c r="AF19" i="6"/>
  <c r="AR19" i="6"/>
  <c r="BV22" i="1"/>
  <c r="CA22" i="1" s="1"/>
  <c r="CA21" i="1"/>
  <c r="AU18" i="6"/>
  <c r="AC18" i="6"/>
  <c r="AO18" i="6"/>
  <c r="AI18" i="6"/>
  <c r="E56" i="6"/>
  <c r="AX35" i="1"/>
  <c r="AS36" i="1"/>
  <c r="B4" i="8"/>
  <c r="I4" i="8" s="1"/>
  <c r="AX49" i="1"/>
  <c r="AX54" i="1" s="1"/>
  <c r="C14" i="8"/>
  <c r="AR63" i="1"/>
  <c r="AQ61" i="1"/>
  <c r="BA54" i="1"/>
  <c r="D14" i="8"/>
  <c r="AS63" i="1"/>
  <c r="H29" i="4"/>
  <c r="AX30" i="1"/>
  <c r="AR17" i="6" l="1"/>
  <c r="AS17" i="6" s="1"/>
  <c r="AT17" i="6" s="1"/>
  <c r="AR18" i="6"/>
  <c r="AS18" i="6" s="1"/>
  <c r="AT18" i="6" s="1"/>
  <c r="W84" i="38"/>
  <c r="T85" i="38"/>
  <c r="S85" i="38"/>
  <c r="V85" i="38"/>
  <c r="Q86" i="38" a="1"/>
  <c r="Q86" i="38" s="1"/>
  <c r="U85" i="38"/>
  <c r="E17" i="6"/>
  <c r="L17" i="6" s="1"/>
  <c r="J172" i="1" s="1"/>
  <c r="P172" i="1" s="1"/>
  <c r="F104" i="18"/>
  <c r="F87" i="18"/>
  <c r="F92" i="18"/>
  <c r="F101" i="18"/>
  <c r="F88" i="18"/>
  <c r="F99" i="18"/>
  <c r="F105" i="18"/>
  <c r="F103" i="18"/>
  <c r="F90" i="18"/>
  <c r="F106" i="18"/>
  <c r="F89" i="18"/>
  <c r="F102" i="18"/>
  <c r="F91" i="18"/>
  <c r="F86" i="18"/>
  <c r="Z18" i="6"/>
  <c r="AA18" i="6" s="1"/>
  <c r="AB18" i="6" s="1"/>
  <c r="AF18" i="6"/>
  <c r="AG18" i="6" s="1"/>
  <c r="AH18" i="6" s="1"/>
  <c r="AL18" i="6"/>
  <c r="AM18" i="6" s="1"/>
  <c r="AN18" i="6" s="1"/>
  <c r="DD22" i="1"/>
  <c r="G32" i="4" s="1"/>
  <c r="AU17" i="6"/>
  <c r="AO17" i="6"/>
  <c r="AC17" i="6"/>
  <c r="AI19" i="6"/>
  <c r="AU19" i="6"/>
  <c r="AO19" i="6"/>
  <c r="G27" i="4"/>
  <c r="G23" i="25" s="1"/>
  <c r="BI30" i="1"/>
  <c r="H18" i="8"/>
  <c r="AW73" i="1"/>
  <c r="AV18" i="6"/>
  <c r="AJ18" i="6"/>
  <c r="AD18" i="6"/>
  <c r="AP18" i="6"/>
  <c r="AR20" i="6"/>
  <c r="AS20" i="6" s="1"/>
  <c r="AT20" i="6" s="1"/>
  <c r="AC20" i="6"/>
  <c r="AO20" i="6"/>
  <c r="AI20" i="6"/>
  <c r="AA33" i="6"/>
  <c r="AU20" i="6"/>
  <c r="AL20" i="6"/>
  <c r="AM20" i="6" s="1"/>
  <c r="AN20" i="6" s="1"/>
  <c r="AF20" i="6"/>
  <c r="AG20" i="6" s="1"/>
  <c r="AH20" i="6" s="1"/>
  <c r="Z33" i="6"/>
  <c r="C17" i="6" s="1"/>
  <c r="V6" i="22" s="1"/>
  <c r="Z17" i="6"/>
  <c r="AA17" i="6" s="1"/>
  <c r="AB17" i="6" s="1"/>
  <c r="AF17" i="6"/>
  <c r="AG17" i="6" s="1"/>
  <c r="AH17" i="6" s="1"/>
  <c r="AL17" i="6"/>
  <c r="AM17" i="6" s="1"/>
  <c r="AN17" i="6" s="1"/>
  <c r="AT66" i="1"/>
  <c r="E18" i="8" s="1"/>
  <c r="F27" i="10"/>
  <c r="DD23" i="1"/>
  <c r="B27" i="10" s="1"/>
  <c r="BO30" i="1"/>
  <c r="AJ19" i="6"/>
  <c r="AD19" i="6"/>
  <c r="AV19" i="6"/>
  <c r="AP19" i="6"/>
  <c r="G25" i="8"/>
  <c r="AV75" i="1"/>
  <c r="G27" i="8" s="1"/>
  <c r="AJ17" i="6"/>
  <c r="AP17" i="6"/>
  <c r="AV17" i="6"/>
  <c r="AD17" i="6"/>
  <c r="B14" i="8"/>
  <c r="I14" i="8" s="1"/>
  <c r="AQ63" i="1"/>
  <c r="AX61" i="1"/>
  <c r="CG23" i="1"/>
  <c r="AF199" i="1"/>
  <c r="C4" i="6"/>
  <c r="AX36" i="1"/>
  <c r="AG19" i="6"/>
  <c r="AH19" i="6" s="1"/>
  <c r="AS19" i="6"/>
  <c r="AT19" i="6" s="1"/>
  <c r="AA19" i="6"/>
  <c r="AB19" i="6" s="1"/>
  <c r="C16" i="8"/>
  <c r="AR66" i="1"/>
  <c r="AD16" i="6"/>
  <c r="AP16" i="6"/>
  <c r="AV16" i="6"/>
  <c r="AJ16" i="6"/>
  <c r="AM19" i="6"/>
  <c r="AN19" i="6" s="1"/>
  <c r="AU66" i="1"/>
  <c r="F16" i="8"/>
  <c r="D16" i="8"/>
  <c r="AS66" i="1"/>
  <c r="AA20" i="6"/>
  <c r="AB20" i="6" s="1"/>
  <c r="AI16" i="6"/>
  <c r="AU16" i="6"/>
  <c r="AC16" i="6"/>
  <c r="AO16" i="6"/>
  <c r="W85" i="38" l="1"/>
  <c r="U86" i="38"/>
  <c r="S86" i="38"/>
  <c r="T86" i="38"/>
  <c r="Q87" i="38" a="1"/>
  <c r="Q87" i="38" s="1"/>
  <c r="S87" i="38" s="1"/>
  <c r="V86" i="38"/>
  <c r="BH47" i="1"/>
  <c r="BK47" i="1" s="1"/>
  <c r="L27" i="4" s="1"/>
  <c r="L23" i="25" s="1"/>
  <c r="D17" i="6"/>
  <c r="K17" i="6" s="1"/>
  <c r="BG47" i="1" s="1"/>
  <c r="BJ47" i="1" s="1"/>
  <c r="K27" i="4" s="1"/>
  <c r="K23" i="25" s="1"/>
  <c r="H17" i="6"/>
  <c r="AT73" i="1"/>
  <c r="AT75" i="1" s="1"/>
  <c r="E27" i="8" s="1"/>
  <c r="AO22" i="6"/>
  <c r="D15" i="6" s="1"/>
  <c r="K15" i="6" s="1"/>
  <c r="F25" i="4" s="1"/>
  <c r="F21" i="25" s="1"/>
  <c r="AC22" i="6"/>
  <c r="AU22" i="6"/>
  <c r="C27" i="4"/>
  <c r="C23" i="25" s="1"/>
  <c r="F27" i="4"/>
  <c r="F23" i="25" s="1"/>
  <c r="AW75" i="1"/>
  <c r="H27" i="8" s="1"/>
  <c r="H25" i="8"/>
  <c r="AI22" i="6"/>
  <c r="D14" i="6" s="1"/>
  <c r="K14" i="6" s="1"/>
  <c r="F24" i="4" s="1"/>
  <c r="F20" i="25" s="1"/>
  <c r="AJ22" i="6"/>
  <c r="E14" i="6" s="1"/>
  <c r="L14" i="6" s="1"/>
  <c r="G24" i="4" s="1"/>
  <c r="G20" i="25" s="1"/>
  <c r="AV22" i="6"/>
  <c r="AP22" i="6"/>
  <c r="E15" i="6" s="1"/>
  <c r="L15" i="6" s="1"/>
  <c r="G25" i="4" s="1"/>
  <c r="G21" i="25" s="1"/>
  <c r="AD22" i="6"/>
  <c r="C18" i="8"/>
  <c r="AR73" i="1"/>
  <c r="D18" i="8"/>
  <c r="AS73" i="1"/>
  <c r="AR16" i="6"/>
  <c r="Z16" i="6"/>
  <c r="AL16" i="6"/>
  <c r="AF16" i="6"/>
  <c r="F18" i="8"/>
  <c r="AU73" i="1"/>
  <c r="AX63" i="1"/>
  <c r="AQ66" i="1"/>
  <c r="B16" i="8"/>
  <c r="I16" i="8" s="1"/>
  <c r="W86" i="38" l="1"/>
  <c r="Q88" i="38" a="1"/>
  <c r="Q88" i="38" s="1"/>
  <c r="V87" i="38"/>
  <c r="W87" i="38" s="1"/>
  <c r="T87" i="38"/>
  <c r="U87" i="38"/>
  <c r="BH44" i="1"/>
  <c r="BK44" i="1" s="1"/>
  <c r="L24" i="4" s="1"/>
  <c r="L20" i="25" s="1"/>
  <c r="J169" i="1"/>
  <c r="P169" i="1" s="1"/>
  <c r="BG44" i="1"/>
  <c r="BJ44" i="1" s="1"/>
  <c r="K24" i="4" s="1"/>
  <c r="K20" i="25" s="1"/>
  <c r="I169" i="1"/>
  <c r="O169" i="1" s="1"/>
  <c r="BF47" i="1"/>
  <c r="BI47" i="1" s="1"/>
  <c r="H27" i="4" s="1"/>
  <c r="H23" i="25" s="1"/>
  <c r="J170" i="1"/>
  <c r="P170" i="1" s="1"/>
  <c r="BH45" i="1"/>
  <c r="BK45" i="1" s="1"/>
  <c r="L25" i="4" s="1"/>
  <c r="L21" i="25" s="1"/>
  <c r="BG45" i="1"/>
  <c r="BJ45" i="1" s="1"/>
  <c r="K25" i="4" s="1"/>
  <c r="K21" i="25" s="1"/>
  <c r="I170" i="1"/>
  <c r="O170" i="1" s="1"/>
  <c r="I172" i="1"/>
  <c r="O172" i="1" s="1"/>
  <c r="E13" i="6"/>
  <c r="L13" i="6" s="1"/>
  <c r="G23" i="4" s="1"/>
  <c r="G19" i="25" s="1"/>
  <c r="D16" i="6"/>
  <c r="K16" i="6" s="1"/>
  <c r="E16" i="6"/>
  <c r="L16" i="6" s="1"/>
  <c r="D13" i="6"/>
  <c r="K13" i="6" s="1"/>
  <c r="F23" i="4" s="1"/>
  <c r="F19" i="25" s="1"/>
  <c r="F172" i="1"/>
  <c r="I17" i="6"/>
  <c r="G172" i="1" s="1"/>
  <c r="E25" i="8"/>
  <c r="D27" i="4"/>
  <c r="D23" i="25" s="1"/>
  <c r="AX66" i="1"/>
  <c r="B18" i="8"/>
  <c r="I18" i="8" s="1"/>
  <c r="AQ73" i="1"/>
  <c r="F25" i="8"/>
  <c r="AU75" i="1"/>
  <c r="F27" i="8" s="1"/>
  <c r="AL22" i="6"/>
  <c r="C15" i="6" s="1"/>
  <c r="V4" i="22" s="1"/>
  <c r="AM16" i="6"/>
  <c r="Z22" i="6"/>
  <c r="AA16" i="6"/>
  <c r="AS16" i="6"/>
  <c r="AR22" i="6"/>
  <c r="AG16" i="6"/>
  <c r="AF22" i="6"/>
  <c r="C14" i="6" s="1"/>
  <c r="V3" i="22" s="1"/>
  <c r="AS75" i="1"/>
  <c r="D27" i="8" s="1"/>
  <c r="D25" i="8"/>
  <c r="C25" i="8"/>
  <c r="AR75" i="1"/>
  <c r="C27" i="8" s="1"/>
  <c r="H14" i="6" l="1"/>
  <c r="C24" i="4" s="1"/>
  <c r="C20" i="25" s="1"/>
  <c r="V88" i="38"/>
  <c r="S88" i="38"/>
  <c r="T88" i="38"/>
  <c r="U88" i="38"/>
  <c r="Q89" i="38" a="1"/>
  <c r="Q89" i="38" s="1"/>
  <c r="S89" i="38" s="1"/>
  <c r="J171" i="1"/>
  <c r="P171" i="1" s="1"/>
  <c r="G26" i="4"/>
  <c r="G22" i="25" s="1"/>
  <c r="I171" i="1"/>
  <c r="O171" i="1" s="1"/>
  <c r="F26" i="4"/>
  <c r="F22" i="25" s="1"/>
  <c r="H15" i="6"/>
  <c r="C25" i="4" s="1"/>
  <c r="C21" i="25" s="1"/>
  <c r="BH46" i="1"/>
  <c r="BK46" i="1" s="1"/>
  <c r="L26" i="4" s="1"/>
  <c r="L22" i="25" s="1"/>
  <c r="BG46" i="1"/>
  <c r="BJ46" i="1" s="1"/>
  <c r="K26" i="4" s="1"/>
  <c r="K22" i="25" s="1"/>
  <c r="BG43" i="1"/>
  <c r="BJ43" i="1" s="1"/>
  <c r="K23" i="4" s="1"/>
  <c r="K19" i="25" s="1"/>
  <c r="I168" i="1"/>
  <c r="O168" i="1" s="1"/>
  <c r="BH43" i="1"/>
  <c r="BK43" i="1" s="1"/>
  <c r="J168" i="1"/>
  <c r="P168" i="1" s="1"/>
  <c r="AE16" i="6"/>
  <c r="AE23" i="6" s="1"/>
  <c r="C13" i="6"/>
  <c r="V2" i="22" s="1"/>
  <c r="AW16" i="6"/>
  <c r="AU23" i="6" s="1"/>
  <c r="C16" i="6"/>
  <c r="V5" i="22" s="1"/>
  <c r="J17" i="6"/>
  <c r="H172" i="1" s="1"/>
  <c r="N172" i="1" s="1"/>
  <c r="BL47" i="1"/>
  <c r="BN47" i="1" s="1"/>
  <c r="I27" i="4" s="1"/>
  <c r="I23" i="25" s="1"/>
  <c r="E27" i="4"/>
  <c r="E23" i="25" s="1"/>
  <c r="AK21" i="6"/>
  <c r="AK18" i="6"/>
  <c r="AK17" i="6"/>
  <c r="AK19" i="6"/>
  <c r="AK20" i="6"/>
  <c r="AW21" i="6"/>
  <c r="AW18" i="6"/>
  <c r="AW20" i="6"/>
  <c r="AW19" i="6"/>
  <c r="AW17" i="6"/>
  <c r="AB16" i="6"/>
  <c r="AB22" i="6" s="1"/>
  <c r="J13" i="6" s="1"/>
  <c r="AA22" i="6"/>
  <c r="I13" i="6" s="1"/>
  <c r="AG22" i="6"/>
  <c r="I14" i="6" s="1"/>
  <c r="D24" i="4" s="1"/>
  <c r="D20" i="25" s="1"/>
  <c r="AH16" i="6"/>
  <c r="AH22" i="6" s="1"/>
  <c r="J14" i="6" s="1"/>
  <c r="E24" i="4" s="1"/>
  <c r="E20" i="25" s="1"/>
  <c r="AS22" i="6"/>
  <c r="I16" i="6" s="1"/>
  <c r="AT16" i="6"/>
  <c r="AT22" i="6" s="1"/>
  <c r="J16" i="6" s="1"/>
  <c r="AQ21" i="6"/>
  <c r="AQ18" i="6"/>
  <c r="AQ19" i="6"/>
  <c r="AQ17" i="6"/>
  <c r="AQ20" i="6"/>
  <c r="AQ75" i="1"/>
  <c r="B25" i="8"/>
  <c r="I25" i="8" s="1"/>
  <c r="AQ16" i="6"/>
  <c r="AK16" i="6"/>
  <c r="AE21" i="6"/>
  <c r="AE18" i="6"/>
  <c r="AE19" i="6"/>
  <c r="AE20" i="6"/>
  <c r="AE17" i="6"/>
  <c r="AM22" i="6"/>
  <c r="I15" i="6" s="1"/>
  <c r="D25" i="4" s="1"/>
  <c r="D21" i="25" s="1"/>
  <c r="AN16" i="6"/>
  <c r="AN22" i="6" s="1"/>
  <c r="J15" i="6" s="1"/>
  <c r="E25" i="4" s="1"/>
  <c r="E21" i="25" s="1"/>
  <c r="BF44" i="1" l="1"/>
  <c r="BI44" i="1" s="1"/>
  <c r="H24" i="4" s="1"/>
  <c r="H20" i="25" s="1"/>
  <c r="F169" i="1"/>
  <c r="W88" i="38"/>
  <c r="Q90" i="38" a="1"/>
  <c r="Q90" i="38" s="1"/>
  <c r="S90" i="38" s="1"/>
  <c r="U89" i="38"/>
  <c r="T89" i="38"/>
  <c r="V89" i="38"/>
  <c r="W89" i="38" s="1"/>
  <c r="O214" i="1"/>
  <c r="AG197" i="1" s="1"/>
  <c r="BM44" i="1"/>
  <c r="BO44" i="1" s="1"/>
  <c r="J24" i="4" s="1"/>
  <c r="J20" i="25" s="1"/>
  <c r="H169" i="1"/>
  <c r="N169" i="1" s="1"/>
  <c r="BL44" i="1"/>
  <c r="BN44" i="1" s="1"/>
  <c r="I24" i="4" s="1"/>
  <c r="I20" i="25" s="1"/>
  <c r="G169" i="1"/>
  <c r="P214" i="1"/>
  <c r="AH197" i="1" s="1"/>
  <c r="F170" i="1"/>
  <c r="BF45" i="1"/>
  <c r="BI45" i="1" s="1"/>
  <c r="H25" i="4" s="1"/>
  <c r="H21" i="25" s="1"/>
  <c r="BL45" i="1"/>
  <c r="BN45" i="1" s="1"/>
  <c r="I25" i="4" s="1"/>
  <c r="I21" i="25" s="1"/>
  <c r="G170" i="1"/>
  <c r="BM45" i="1"/>
  <c r="BO45" i="1" s="1"/>
  <c r="J25" i="4" s="1"/>
  <c r="J21" i="25" s="1"/>
  <c r="H170" i="1"/>
  <c r="N170" i="1" s="1"/>
  <c r="BK49" i="1"/>
  <c r="BO31" i="1" s="1"/>
  <c r="BO32" i="1" s="1"/>
  <c r="AW23" i="6"/>
  <c r="BJ49" i="1"/>
  <c r="BI31" i="1" s="1"/>
  <c r="BI32" i="1" s="1"/>
  <c r="L23" i="4"/>
  <c r="L19" i="25" s="1"/>
  <c r="AC23" i="6"/>
  <c r="BM47" i="1"/>
  <c r="BO47" i="1" s="1"/>
  <c r="J27" i="4" s="1"/>
  <c r="J23" i="25" s="1"/>
  <c r="H16" i="6"/>
  <c r="H13" i="6"/>
  <c r="C26" i="4"/>
  <c r="C22" i="25" s="1"/>
  <c r="G171" i="1"/>
  <c r="D26" i="4"/>
  <c r="D22" i="25" s="1"/>
  <c r="BL46" i="1"/>
  <c r="BN46" i="1" s="1"/>
  <c r="I26" i="4" s="1"/>
  <c r="I22" i="25" s="1"/>
  <c r="H171" i="1"/>
  <c r="N171" i="1" s="1"/>
  <c r="E26" i="4"/>
  <c r="E22" i="25" s="1"/>
  <c r="BM46" i="1"/>
  <c r="BO46" i="1" s="1"/>
  <c r="J26" i="4" s="1"/>
  <c r="J22" i="25" s="1"/>
  <c r="AW22" i="6"/>
  <c r="AE22" i="6"/>
  <c r="BM43" i="1"/>
  <c r="BO43" i="1" s="1"/>
  <c r="E23" i="4"/>
  <c r="E19" i="25" s="1"/>
  <c r="H168" i="1"/>
  <c r="N168" i="1" s="1"/>
  <c r="C23" i="4"/>
  <c r="C19" i="25" s="1"/>
  <c r="BL43" i="1"/>
  <c r="BN43" i="1" s="1"/>
  <c r="D23" i="4"/>
  <c r="D19" i="25" s="1"/>
  <c r="G168" i="1"/>
  <c r="AO28" i="6"/>
  <c r="AQ28" i="6"/>
  <c r="AC26" i="6"/>
  <c r="AE26" i="6"/>
  <c r="AC28" i="6"/>
  <c r="AE28" i="6"/>
  <c r="AQ25" i="6"/>
  <c r="AO25" i="6"/>
  <c r="AW26" i="6"/>
  <c r="AU26" i="6"/>
  <c r="AI27" i="6"/>
  <c r="AK27" i="6"/>
  <c r="AI23" i="6"/>
  <c r="AK23" i="6"/>
  <c r="AK22" i="6"/>
  <c r="AK25" i="6"/>
  <c r="AI25" i="6"/>
  <c r="AU24" i="6"/>
  <c r="AW24" i="6"/>
  <c r="AW27" i="6"/>
  <c r="AU27" i="6"/>
  <c r="AK26" i="6"/>
  <c r="AI26" i="6"/>
  <c r="AO23" i="6"/>
  <c r="AQ23" i="6"/>
  <c r="AQ22" i="6"/>
  <c r="AE24" i="6"/>
  <c r="AC24" i="6"/>
  <c r="AC27" i="6"/>
  <c r="AE27" i="6"/>
  <c r="AC25" i="6"/>
  <c r="AE25" i="6"/>
  <c r="AW25" i="6"/>
  <c r="AU25" i="6"/>
  <c r="AW28" i="6"/>
  <c r="AU28" i="6"/>
  <c r="AK24" i="6"/>
  <c r="AI24" i="6"/>
  <c r="B27" i="8"/>
  <c r="I27" i="8" s="1"/>
  <c r="AX75" i="1"/>
  <c r="AK28" i="6"/>
  <c r="AI28" i="6"/>
  <c r="AO27" i="6"/>
  <c r="AQ27" i="6"/>
  <c r="AQ24" i="6"/>
  <c r="AO24" i="6"/>
  <c r="AQ26" i="6"/>
  <c r="AO26" i="6"/>
  <c r="Q91" i="38" l="1" a="1"/>
  <c r="Q91" i="38" s="1"/>
  <c r="S91" i="38" s="1"/>
  <c r="U90" i="38"/>
  <c r="T90" i="38"/>
  <c r="V90" i="38"/>
  <c r="W90" i="38" s="1"/>
  <c r="AG196" i="1"/>
  <c r="AH196" i="1"/>
  <c r="F171" i="1"/>
  <c r="BF46" i="1"/>
  <c r="BI46" i="1" s="1"/>
  <c r="H26" i="4" s="1"/>
  <c r="H22" i="25" s="1"/>
  <c r="BF43" i="1"/>
  <c r="BI43" i="1" s="1"/>
  <c r="H23" i="4" s="1"/>
  <c r="H19" i="25" s="1"/>
  <c r="F168" i="1"/>
  <c r="AO29" i="6"/>
  <c r="P15" i="6" s="1"/>
  <c r="AQ29" i="6"/>
  <c r="M15" i="6" s="1"/>
  <c r="K170" i="1" s="1"/>
  <c r="AU29" i="6"/>
  <c r="P16" i="6" s="1"/>
  <c r="N214" i="1"/>
  <c r="AF196" i="1" s="1"/>
  <c r="AW29" i="6"/>
  <c r="M16" i="6" s="1"/>
  <c r="K171" i="1" s="1"/>
  <c r="AK29" i="6"/>
  <c r="M14" i="6" s="1"/>
  <c r="K169" i="1" s="1"/>
  <c r="AI29" i="6"/>
  <c r="P14" i="6" s="1"/>
  <c r="AC29" i="6"/>
  <c r="P13" i="6" s="1"/>
  <c r="AE29" i="6"/>
  <c r="M13" i="6" s="1"/>
  <c r="K168" i="1" s="1"/>
  <c r="I23" i="4"/>
  <c r="I19" i="25" s="1"/>
  <c r="BN49" i="1"/>
  <c r="AX68" i="1" s="1"/>
  <c r="J23" i="4"/>
  <c r="J19" i="25" s="1"/>
  <c r="BO49" i="1"/>
  <c r="AX77" i="1" s="1"/>
  <c r="I29" i="8" s="1"/>
  <c r="AX78" i="1" l="1"/>
  <c r="Q92" i="38" a="1"/>
  <c r="Q92" i="38" s="1"/>
  <c r="S92" i="38" s="1"/>
  <c r="V91" i="38"/>
  <c r="W91" i="38" s="1"/>
  <c r="T91" i="38"/>
  <c r="U91" i="38"/>
  <c r="AI196" i="1"/>
  <c r="BI49" i="1"/>
  <c r="AX29" i="1" s="1"/>
  <c r="AX32" i="1" s="1"/>
  <c r="AF197" i="1"/>
  <c r="I19" i="8"/>
  <c r="Q93" i="38" l="1" a="1"/>
  <c r="Q93" i="38" s="1"/>
  <c r="S93" i="38" s="1"/>
  <c r="U92" i="38"/>
  <c r="T92" i="38"/>
  <c r="V92" i="38"/>
  <c r="W92" i="38" s="1"/>
  <c r="AX55" i="1"/>
  <c r="I5" i="8" s="1"/>
  <c r="I10" i="8" s="1"/>
  <c r="AX33" i="1"/>
  <c r="F11" i="10" s="1"/>
  <c r="F10" i="10" s="1"/>
  <c r="F9" i="10"/>
  <c r="A11" i="6" l="1"/>
  <c r="Q94" i="38" a="1"/>
  <c r="Q94" i="38" s="1"/>
  <c r="S94" i="38" s="1"/>
  <c r="U93" i="38"/>
  <c r="T93" i="38"/>
  <c r="V93" i="38"/>
  <c r="W93" i="38" s="1"/>
  <c r="AX56" i="1"/>
  <c r="D33" i="4" s="1"/>
  <c r="O4" i="6" s="1"/>
  <c r="R27" i="6"/>
  <c r="F22" i="10"/>
  <c r="Q95" i="38" l="1" a="1"/>
  <c r="Q95" i="38" s="1"/>
  <c r="S95" i="38" s="1"/>
  <c r="U94" i="38"/>
  <c r="V94" i="38"/>
  <c r="W94" i="38" s="1"/>
  <c r="T94" i="38"/>
  <c r="F33" i="4"/>
  <c r="G33" i="4" s="1"/>
  <c r="Q96" i="38" l="1" a="1"/>
  <c r="Q96" i="38" s="1"/>
  <c r="S96" i="38" s="1"/>
  <c r="U95" i="38"/>
  <c r="T95" i="38"/>
  <c r="V95" i="38"/>
  <c r="W95" i="38" s="1"/>
  <c r="O6" i="6"/>
  <c r="Q97" i="38" l="1" a="1"/>
  <c r="Q97" i="38" s="1"/>
  <c r="S97" i="38" s="1"/>
  <c r="U96" i="38"/>
  <c r="T96" i="38"/>
  <c r="V96" i="38"/>
  <c r="W96" i="38" s="1"/>
  <c r="AX69" i="1"/>
  <c r="I21" i="8" s="1"/>
  <c r="Q98" i="38" l="1" a="1"/>
  <c r="Q98" i="38" s="1"/>
  <c r="S98" i="38" s="1"/>
  <c r="U97" i="38"/>
  <c r="V97" i="38"/>
  <c r="W97" i="38" s="1"/>
  <c r="T97" i="38"/>
  <c r="J66" i="9"/>
  <c r="I20" i="8"/>
  <c r="D34" i="4"/>
  <c r="F34" i="4" s="1"/>
  <c r="O4" i="7" s="1"/>
  <c r="F15" i="10"/>
  <c r="Q99" i="38" l="1" a="1"/>
  <c r="Q99" i="38" s="1"/>
  <c r="S99" i="38" s="1"/>
  <c r="U98" i="38"/>
  <c r="T98" i="38"/>
  <c r="V98" i="38"/>
  <c r="W98" i="38" s="1"/>
  <c r="AN21" i="1"/>
  <c r="G34" i="4" s="1"/>
  <c r="AN20" i="1"/>
  <c r="F14" i="10"/>
  <c r="AE200" i="1"/>
  <c r="I30" i="8"/>
  <c r="AF200" i="1"/>
  <c r="F16" i="10"/>
  <c r="I28" i="8"/>
  <c r="F13" i="10"/>
  <c r="AX79" i="1"/>
  <c r="AF198" i="1" s="1"/>
  <c r="F92" i="10"/>
  <c r="F23" i="10" l="1"/>
  <c r="H14" i="10" s="1"/>
  <c r="Q100" i="38" a="1"/>
  <c r="Q100" i="38" s="1"/>
  <c r="S100" i="38" s="1"/>
  <c r="U99" i="38"/>
  <c r="T99" i="38"/>
  <c r="V99" i="38"/>
  <c r="W99" i="38" s="1"/>
  <c r="Q101" i="38" l="1" a="1"/>
  <c r="Q101" i="38" s="1"/>
  <c r="S101" i="38" s="1"/>
  <c r="U100" i="38"/>
  <c r="V100" i="38"/>
  <c r="W100" i="38" s="1"/>
  <c r="T100" i="38"/>
  <c r="AO12" i="1"/>
  <c r="BI33" i="1"/>
  <c r="M64" i="9" s="1"/>
  <c r="N60" i="9" s="1"/>
  <c r="Q102" i="38" l="1" a="1"/>
  <c r="Q102" i="38" s="1"/>
  <c r="S102" i="38" s="1"/>
  <c r="U101" i="38"/>
  <c r="T101" i="38"/>
  <c r="V101" i="38"/>
  <c r="W101" i="38" s="1"/>
  <c r="M65" i="9"/>
  <c r="B26" i="10" s="1"/>
  <c r="Q103" i="38" l="1" a="1"/>
  <c r="Q103" i="38" s="1"/>
  <c r="S103" i="38" s="1"/>
  <c r="U102" i="38"/>
  <c r="V102" i="38"/>
  <c r="W102" i="38" s="1"/>
  <c r="T102" i="38"/>
  <c r="BO33" i="1"/>
  <c r="Q104" i="38" l="1" a="1"/>
  <c r="Q104" i="38" s="1"/>
  <c r="S104" i="38" s="1"/>
  <c r="U103" i="38"/>
  <c r="T103" i="38"/>
  <c r="V103" i="38"/>
  <c r="W103" i="38" s="1"/>
  <c r="Q105" i="38" l="1" a="1"/>
  <c r="Q105" i="38" s="1"/>
  <c r="S105" i="38" s="1"/>
  <c r="U104" i="38"/>
  <c r="T104" i="38"/>
  <c r="V104" i="38"/>
  <c r="W104" i="38" s="1"/>
  <c r="Q106" i="38" l="1" a="1"/>
  <c r="Q106" i="38" s="1"/>
  <c r="S106" i="38" s="1"/>
  <c r="U105" i="38"/>
  <c r="T105" i="38"/>
  <c r="V105" i="38"/>
  <c r="W105" i="38" s="1"/>
  <c r="Q107" i="38" l="1" a="1"/>
  <c r="Q107" i="38" s="1"/>
  <c r="S107" i="38" s="1"/>
  <c r="U106" i="38"/>
  <c r="T106" i="38"/>
  <c r="V106" i="38"/>
  <c r="W106" i="38" s="1"/>
  <c r="Q108" i="38" l="1" a="1"/>
  <c r="Q108" i="38" s="1"/>
  <c r="S108" i="38" s="1"/>
  <c r="U107" i="38"/>
  <c r="T107" i="38"/>
  <c r="V107" i="38"/>
  <c r="W107" i="38" s="1"/>
  <c r="Q109" i="38" l="1" a="1"/>
  <c r="Q109" i="38" s="1"/>
  <c r="S109" i="38" s="1"/>
  <c r="U108" i="38"/>
  <c r="T108" i="38"/>
  <c r="V108" i="38"/>
  <c r="W108" i="38" s="1"/>
  <c r="U109" i="38" l="1"/>
  <c r="T109" i="38"/>
  <c r="V109" i="38"/>
  <c r="W109" i="38" s="1"/>
  <c r="D15" i="38" l="1"/>
  <c r="J64" i="9"/>
  <c r="F90" i="10" l="1"/>
  <c r="Q203" i="1" l="1"/>
  <c r="B18" i="7" s="1"/>
  <c r="B17" i="36"/>
  <c r="P38" i="10" s="1"/>
  <c r="C44" i="10"/>
  <c r="M18" i="9"/>
  <c r="M23" i="9"/>
  <c r="C49" i="10"/>
  <c r="M30" i="9"/>
  <c r="C56" i="10"/>
  <c r="X23" i="9"/>
  <c r="C38" i="10"/>
  <c r="C47" i="10"/>
  <c r="M21" i="9"/>
  <c r="M19" i="9"/>
  <c r="C45" i="10"/>
  <c r="C59" i="10"/>
  <c r="M33" i="9"/>
  <c r="C43" i="10"/>
  <c r="M17" i="9"/>
  <c r="AP23" i="9"/>
  <c r="G23" i="9" s="1"/>
  <c r="C50" i="10"/>
  <c r="M24" i="9"/>
  <c r="C46" i="10"/>
  <c r="M20" i="9"/>
  <c r="M22" i="9"/>
  <c r="C48" i="10"/>
  <c r="M35" i="9"/>
  <c r="C61" i="10"/>
  <c r="C42" i="10"/>
  <c r="M16" i="9"/>
  <c r="J18" i="9"/>
  <c r="AQ18" i="9" s="1"/>
  <c r="AP18" i="9"/>
  <c r="G18" i="9" s="1"/>
  <c r="M13" i="9"/>
  <c r="C39" i="10"/>
  <c r="C52" i="10"/>
  <c r="M26" i="9"/>
  <c r="C53" i="10"/>
  <c r="M27" i="9"/>
  <c r="J24" i="9"/>
  <c r="AQ24" i="9" s="1"/>
  <c r="AP24" i="9"/>
  <c r="G24" i="9" s="1"/>
  <c r="B17" i="18"/>
  <c r="G69" i="18" s="1"/>
  <c r="C40" i="10"/>
  <c r="M14" i="9"/>
  <c r="M29" i="9"/>
  <c r="C55" i="10"/>
  <c r="M31" i="9"/>
  <c r="C57" i="10"/>
  <c r="J21" i="9"/>
  <c r="AQ21" i="9" s="1"/>
  <c r="AP21" i="9"/>
  <c r="G21" i="9" s="1"/>
  <c r="C41" i="10"/>
  <c r="M15" i="9"/>
  <c r="J23" i="9"/>
  <c r="F49" i="10" s="1"/>
  <c r="M32" i="9"/>
  <c r="C58" i="10"/>
  <c r="M12" i="9"/>
  <c r="C54" i="10"/>
  <c r="AP28" i="9"/>
  <c r="G28" i="9" s="1"/>
  <c r="M28" i="9"/>
  <c r="J28" i="9"/>
  <c r="AQ28" i="9" s="1"/>
  <c r="M25" i="9"/>
  <c r="C51" i="10"/>
  <c r="J29" i="9"/>
  <c r="AP29" i="9"/>
  <c r="G29" i="9" s="1"/>
  <c r="J31" i="9"/>
  <c r="AP31" i="9"/>
  <c r="G31" i="9" s="1"/>
  <c r="J22" i="9"/>
  <c r="AQ22" i="9" s="1"/>
  <c r="AP22" i="9"/>
  <c r="G22" i="9" s="1"/>
  <c r="J20" i="9"/>
  <c r="F46" i="10" s="1"/>
  <c r="AP20" i="9"/>
  <c r="G20" i="9" s="1"/>
  <c r="B16" i="18"/>
  <c r="O94" i="18" s="1"/>
  <c r="M34" i="9"/>
  <c r="C60" i="10"/>
  <c r="AP25" i="9"/>
  <c r="G25" i="9" s="1"/>
  <c r="J27" i="9"/>
  <c r="AQ27" i="9" s="1"/>
  <c r="AP27" i="9"/>
  <c r="G27" i="9" s="1"/>
  <c r="J25" i="9"/>
  <c r="F51" i="10" s="1"/>
  <c r="J13" i="9"/>
  <c r="AP13" i="9"/>
  <c r="G13" i="9" s="1"/>
  <c r="J26" i="9"/>
  <c r="AP26" i="9"/>
  <c r="G26" i="9" s="1"/>
  <c r="AP16" i="9"/>
  <c r="G16" i="9" s="1"/>
  <c r="AP15" i="9"/>
  <c r="G15" i="9" s="1"/>
  <c r="J15" i="9"/>
  <c r="AQ15" i="9" s="1"/>
  <c r="B18" i="18"/>
  <c r="U96" i="18" s="1"/>
  <c r="J35" i="9"/>
  <c r="AP35" i="9"/>
  <c r="G35" i="9" s="1"/>
  <c r="AP17" i="9"/>
  <c r="G17" i="9" s="1"/>
  <c r="J32" i="9"/>
  <c r="AQ32" i="9" s="1"/>
  <c r="AP32" i="9"/>
  <c r="G32" i="9" s="1"/>
  <c r="J19" i="9"/>
  <c r="F45" i="10" s="1"/>
  <c r="AP19" i="9"/>
  <c r="G19" i="9" s="1"/>
  <c r="J17" i="9"/>
  <c r="B20" i="18"/>
  <c r="Y49" i="18" s="1"/>
  <c r="J30" i="9"/>
  <c r="AQ30" i="9" s="1"/>
  <c r="AP30" i="9"/>
  <c r="G30" i="9" s="1"/>
  <c r="J14" i="9"/>
  <c r="F40" i="10" s="1"/>
  <c r="AP14" i="9"/>
  <c r="G14" i="9" s="1"/>
  <c r="J34" i="9"/>
  <c r="AP34" i="9"/>
  <c r="G34" i="9" s="1"/>
  <c r="AP12" i="9"/>
  <c r="G12" i="9" s="1"/>
  <c r="J16" i="9"/>
  <c r="F42" i="10" s="1"/>
  <c r="B19" i="18"/>
  <c r="J33" i="9"/>
  <c r="F59" i="10" s="1"/>
  <c r="AP33" i="9"/>
  <c r="G33" i="9" s="1"/>
  <c r="J12" i="9"/>
  <c r="B15" i="18"/>
  <c r="G98" i="18" l="1"/>
  <c r="O69" i="18"/>
  <c r="K69" i="18"/>
  <c r="P98" i="18"/>
  <c r="S69" i="18"/>
  <c r="Q72" i="18"/>
  <c r="G68" i="18"/>
  <c r="T98" i="18"/>
  <c r="I94" i="18"/>
  <c r="R72" i="18"/>
  <c r="J68" i="18"/>
  <c r="G96" i="18"/>
  <c r="M72" i="18"/>
  <c r="V38" i="10"/>
  <c r="T70" i="18"/>
  <c r="AJ17" i="36"/>
  <c r="AQ14" i="9"/>
  <c r="AQ25" i="9"/>
  <c r="F47" i="10"/>
  <c r="AQ23" i="9"/>
  <c r="F44" i="10"/>
  <c r="AQ20" i="9"/>
  <c r="F50" i="10"/>
  <c r="F57" i="10"/>
  <c r="AQ31" i="9"/>
  <c r="V95" i="18"/>
  <c r="F43" i="10"/>
  <c r="AQ17" i="9"/>
  <c r="AQ34" i="9"/>
  <c r="F60" i="10"/>
  <c r="R68" i="18"/>
  <c r="N68" i="18"/>
  <c r="P68" i="18"/>
  <c r="M68" i="18"/>
  <c r="N94" i="18"/>
  <c r="Q94" i="18"/>
  <c r="W94" i="18"/>
  <c r="O68" i="18"/>
  <c r="K94" i="18"/>
  <c r="L94" i="18"/>
  <c r="H68" i="18"/>
  <c r="L95" i="18"/>
  <c r="U68" i="18"/>
  <c r="P93" i="18"/>
  <c r="W67" i="18"/>
  <c r="Y44" i="18"/>
  <c r="S67" i="18"/>
  <c r="V94" i="18"/>
  <c r="F54" i="10"/>
  <c r="V69" i="18"/>
  <c r="K95" i="18"/>
  <c r="I69" i="18"/>
  <c r="R95" i="18"/>
  <c r="T95" i="18"/>
  <c r="T69" i="18"/>
  <c r="Q69" i="18"/>
  <c r="H95" i="18"/>
  <c r="W95" i="18"/>
  <c r="I95" i="18"/>
  <c r="Y46" i="18"/>
  <c r="P69" i="18"/>
  <c r="U69" i="18"/>
  <c r="R38" i="10"/>
  <c r="F53" i="10"/>
  <c r="S96" i="18"/>
  <c r="F58" i="10"/>
  <c r="O98" i="18"/>
  <c r="L70" i="18"/>
  <c r="AI17" i="36"/>
  <c r="Y38" i="10" s="1"/>
  <c r="AQ33" i="9"/>
  <c r="K72" i="18"/>
  <c r="O70" i="18"/>
  <c r="P70" i="18"/>
  <c r="F41" i="10"/>
  <c r="H98" i="18"/>
  <c r="I97" i="18"/>
  <c r="R71" i="18"/>
  <c r="I71" i="18"/>
  <c r="K97" i="18"/>
  <c r="W97" i="18"/>
  <c r="O97" i="18"/>
  <c r="R97" i="18"/>
  <c r="J71" i="18"/>
  <c r="P71" i="18"/>
  <c r="J97" i="18"/>
  <c r="U97" i="18"/>
  <c r="N97" i="18"/>
  <c r="Q71" i="18"/>
  <c r="P97" i="18"/>
  <c r="O71" i="18"/>
  <c r="H97" i="18"/>
  <c r="G71" i="18"/>
  <c r="W71" i="18"/>
  <c r="G97" i="18"/>
  <c r="V97" i="18"/>
  <c r="Q97" i="18"/>
  <c r="L97" i="18"/>
  <c r="S71" i="18"/>
  <c r="T97" i="18"/>
  <c r="V71" i="18"/>
  <c r="N71" i="18"/>
  <c r="M97" i="18"/>
  <c r="O93" i="18"/>
  <c r="P67" i="18"/>
  <c r="T67" i="18"/>
  <c r="K71" i="18"/>
  <c r="H67" i="18"/>
  <c r="K93" i="18"/>
  <c r="L67" i="18"/>
  <c r="AQ16" i="9"/>
  <c r="M71" i="18"/>
  <c r="F52" i="10"/>
  <c r="AQ26" i="9"/>
  <c r="U71" i="18"/>
  <c r="F48" i="10"/>
  <c r="V67" i="18"/>
  <c r="AQ13" i="9"/>
  <c r="F39" i="10"/>
  <c r="M63" i="9"/>
  <c r="T96" i="18"/>
  <c r="Y48" i="18"/>
  <c r="V93" i="18"/>
  <c r="I67" i="18"/>
  <c r="U67" i="18"/>
  <c r="Q93" i="18"/>
  <c r="R93" i="18"/>
  <c r="S93" i="18"/>
  <c r="N93" i="18"/>
  <c r="N67" i="18"/>
  <c r="T93" i="18"/>
  <c r="Q67" i="18"/>
  <c r="O67" i="18"/>
  <c r="G67" i="18"/>
  <c r="M67" i="18"/>
  <c r="G93" i="18"/>
  <c r="J93" i="18"/>
  <c r="J67" i="18"/>
  <c r="U93" i="18"/>
  <c r="K67" i="18"/>
  <c r="I93" i="18"/>
  <c r="H93" i="18"/>
  <c r="L93" i="18"/>
  <c r="AQ35" i="9"/>
  <c r="F61" i="10"/>
  <c r="AQ19" i="9"/>
  <c r="T71" i="18"/>
  <c r="R67" i="18"/>
  <c r="W93" i="18"/>
  <c r="S97" i="18"/>
  <c r="H71" i="18"/>
  <c r="J65" i="9"/>
  <c r="M93" i="18"/>
  <c r="AQ29" i="9"/>
  <c r="F55" i="10"/>
  <c r="H70" i="18"/>
  <c r="V96" i="18"/>
  <c r="Q96" i="18"/>
  <c r="I70" i="18"/>
  <c r="K96" i="18"/>
  <c r="Y47" i="18"/>
  <c r="M96" i="18"/>
  <c r="N70" i="18"/>
  <c r="S70" i="18"/>
  <c r="O96" i="18"/>
  <c r="W70" i="18"/>
  <c r="H96" i="18"/>
  <c r="U70" i="18"/>
  <c r="K70" i="18"/>
  <c r="R96" i="18"/>
  <c r="G70" i="18"/>
  <c r="J96" i="18"/>
  <c r="R70" i="18"/>
  <c r="L96" i="18"/>
  <c r="Q70" i="18"/>
  <c r="V70" i="18"/>
  <c r="M70" i="18"/>
  <c r="I96" i="18"/>
  <c r="P96" i="18"/>
  <c r="J70" i="18"/>
  <c r="W96" i="18"/>
  <c r="N96" i="18"/>
  <c r="L71" i="18"/>
  <c r="F38" i="10"/>
  <c r="AQ12" i="9"/>
  <c r="F56" i="10"/>
  <c r="J72" i="18"/>
  <c r="O72" i="18"/>
  <c r="W72" i="18"/>
  <c r="M98" i="18"/>
  <c r="H72" i="18"/>
  <c r="L69" i="18"/>
  <c r="O95" i="18"/>
  <c r="N69" i="18"/>
  <c r="M95" i="18"/>
  <c r="Y45" i="18"/>
  <c r="I68" i="18"/>
  <c r="M94" i="18"/>
  <c r="H94" i="18"/>
  <c r="R94" i="18"/>
  <c r="I98" i="18"/>
  <c r="U98" i="18"/>
  <c r="L98" i="18"/>
  <c r="G72" i="18"/>
  <c r="L72" i="18"/>
  <c r="I72" i="18"/>
  <c r="S98" i="18"/>
  <c r="N72" i="18"/>
  <c r="W69" i="18"/>
  <c r="Q95" i="18"/>
  <c r="N95" i="18"/>
  <c r="U95" i="18"/>
  <c r="Q68" i="18"/>
  <c r="T68" i="18"/>
  <c r="L68" i="18"/>
  <c r="P94" i="18"/>
  <c r="J98" i="18"/>
  <c r="G94" i="18"/>
  <c r="T72" i="18"/>
  <c r="N98" i="18"/>
  <c r="Q98" i="18"/>
  <c r="W98" i="18"/>
  <c r="P95" i="18"/>
  <c r="J95" i="18"/>
  <c r="M69" i="18"/>
  <c r="H69" i="18"/>
  <c r="J94" i="18"/>
  <c r="U94" i="18"/>
  <c r="S94" i="18"/>
  <c r="T94" i="18"/>
  <c r="K98" i="18"/>
  <c r="U72" i="18"/>
  <c r="P72" i="18"/>
  <c r="G95" i="18"/>
  <c r="V98" i="18"/>
  <c r="R98" i="18"/>
  <c r="S72" i="18"/>
  <c r="V72" i="18"/>
  <c r="J69" i="18"/>
  <c r="S95" i="18"/>
  <c r="R69" i="18"/>
  <c r="W68" i="18"/>
  <c r="S68" i="18"/>
  <c r="V68" i="18"/>
  <c r="K68" i="18"/>
  <c r="Q107" i="18" l="1"/>
  <c r="AJ19" i="18" s="1"/>
  <c r="I107" i="18"/>
  <c r="AJ10" i="18" s="1"/>
  <c r="H107" i="18"/>
  <c r="AJ9" i="18" s="1"/>
  <c r="Y58" i="18"/>
  <c r="AJ28" i="18" s="1"/>
  <c r="U38" i="10"/>
  <c r="T107" i="18"/>
  <c r="AJ23" i="18" s="1"/>
  <c r="X38" i="10"/>
  <c r="H38" i="10" s="1"/>
  <c r="T38" i="10"/>
  <c r="F98" i="18"/>
  <c r="S81" i="18"/>
  <c r="AA21" i="18" s="1"/>
  <c r="AI181" i="1" s="1"/>
  <c r="W34" i="18"/>
  <c r="P107" i="18"/>
  <c r="AJ18" i="18" s="1"/>
  <c r="O107" i="18"/>
  <c r="AJ17" i="18" s="1"/>
  <c r="Q38" i="10"/>
  <c r="F96" i="18"/>
  <c r="Y42" i="10"/>
  <c r="X40" i="10"/>
  <c r="H40" i="10" s="1"/>
  <c r="U39" i="10"/>
  <c r="Q43" i="10"/>
  <c r="Q77" i="10"/>
  <c r="Q50" i="10"/>
  <c r="U69" i="10"/>
  <c r="Q78" i="10"/>
  <c r="X61" i="10"/>
  <c r="H61" i="10" s="1"/>
  <c r="S61" i="10"/>
  <c r="T53" i="10"/>
  <c r="U79" i="10"/>
  <c r="S56" i="10"/>
  <c r="T50" i="10"/>
  <c r="X39" i="10"/>
  <c r="H39" i="10" s="1"/>
  <c r="T39" i="10"/>
  <c r="U43" i="10"/>
  <c r="R43" i="10"/>
  <c r="Q40" i="10"/>
  <c r="U73" i="10"/>
  <c r="T60" i="10"/>
  <c r="Y73" i="10"/>
  <c r="Y66" i="10"/>
  <c r="Q63" i="10"/>
  <c r="T57" i="10"/>
  <c r="Y74" i="10"/>
  <c r="T75" i="10"/>
  <c r="Y63" i="10"/>
  <c r="U74" i="10"/>
  <c r="Y68" i="10"/>
  <c r="R64" i="10"/>
  <c r="Y58" i="10"/>
  <c r="T79" i="10"/>
  <c r="X60" i="10"/>
  <c r="H60" i="10" s="1"/>
  <c r="X73" i="10"/>
  <c r="H73" i="10" s="1"/>
  <c r="X78" i="10"/>
  <c r="H78" i="10" s="1"/>
  <c r="S75" i="10"/>
  <c r="R46" i="10"/>
  <c r="T73" i="10"/>
  <c r="Q64" i="10"/>
  <c r="X80" i="10"/>
  <c r="H80" i="10" s="1"/>
  <c r="R63" i="10"/>
  <c r="R71" i="10"/>
  <c r="S79" i="10"/>
  <c r="Y70" i="10"/>
  <c r="Y54" i="10"/>
  <c r="U46" i="10"/>
  <c r="Y46" i="10"/>
  <c r="X71" i="10"/>
  <c r="H71" i="10" s="1"/>
  <c r="Y55" i="10"/>
  <c r="Y62" i="10"/>
  <c r="U47" i="10"/>
  <c r="R74" i="10"/>
  <c r="U67" i="10"/>
  <c r="R57" i="10"/>
  <c r="R67" i="10"/>
  <c r="R58" i="10"/>
  <c r="X46" i="10"/>
  <c r="H46" i="10" s="1"/>
  <c r="Q79" i="10"/>
  <c r="U66" i="10"/>
  <c r="Q75" i="10"/>
  <c r="X44" i="10"/>
  <c r="H44" i="10" s="1"/>
  <c r="Q51" i="10"/>
  <c r="Y53" i="10"/>
  <c r="T54" i="10"/>
  <c r="X52" i="10"/>
  <c r="H52" i="10" s="1"/>
  <c r="Y59" i="10"/>
  <c r="R65" i="10"/>
  <c r="Y40" i="10"/>
  <c r="U42" i="10"/>
  <c r="Y41" i="10"/>
  <c r="X43" i="10"/>
  <c r="H43" i="10" s="1"/>
  <c r="R53" i="10"/>
  <c r="S45" i="10"/>
  <c r="X65" i="10"/>
  <c r="H65" i="10" s="1"/>
  <c r="Q61" i="10"/>
  <c r="Q65" i="10"/>
  <c r="Q56" i="10"/>
  <c r="U76" i="10"/>
  <c r="R79" i="10"/>
  <c r="Y48" i="10"/>
  <c r="X69" i="10"/>
  <c r="H69" i="10" s="1"/>
  <c r="Q73" i="10"/>
  <c r="R60" i="10"/>
  <c r="Q76" i="10"/>
  <c r="U55" i="10"/>
  <c r="X48" i="10"/>
  <c r="H48" i="10" s="1"/>
  <c r="S48" i="10"/>
  <c r="S47" i="10"/>
  <c r="Y50" i="10"/>
  <c r="X41" i="10"/>
  <c r="H41" i="10" s="1"/>
  <c r="S43" i="10"/>
  <c r="U41" i="10"/>
  <c r="R40" i="10"/>
  <c r="U51" i="10"/>
  <c r="U61" i="10"/>
  <c r="S80" i="10"/>
  <c r="Y78" i="10"/>
  <c r="X45" i="10"/>
  <c r="H45" i="10" s="1"/>
  <c r="T47" i="10"/>
  <c r="T69" i="10"/>
  <c r="Q58" i="10"/>
  <c r="Q67" i="10"/>
  <c r="T76" i="10"/>
  <c r="U50" i="10"/>
  <c r="R56" i="10"/>
  <c r="Y60" i="10"/>
  <c r="X55" i="10"/>
  <c r="H55" i="10" s="1"/>
  <c r="T77" i="10"/>
  <c r="X68" i="10"/>
  <c r="H68" i="10" s="1"/>
  <c r="R73" i="10"/>
  <c r="Y75" i="10"/>
  <c r="U53" i="10"/>
  <c r="Y56" i="10"/>
  <c r="S74" i="10"/>
  <c r="Q60" i="10"/>
  <c r="S76" i="10"/>
  <c r="X70" i="10"/>
  <c r="H70" i="10" s="1"/>
  <c r="X59" i="10"/>
  <c r="H59" i="10" s="1"/>
  <c r="X77" i="10"/>
  <c r="H77" i="10" s="1"/>
  <c r="S52" i="10"/>
  <c r="X50" i="10"/>
  <c r="H50" i="10" s="1"/>
  <c r="Q49" i="10"/>
  <c r="U56" i="10"/>
  <c r="Y76" i="10"/>
  <c r="S41" i="10"/>
  <c r="U40" i="10"/>
  <c r="U71" i="10"/>
  <c r="R78" i="10"/>
  <c r="Y47" i="10"/>
  <c r="S58" i="10"/>
  <c r="T45" i="10"/>
  <c r="R47" i="10"/>
  <c r="R59" i="10"/>
  <c r="S66" i="10"/>
  <c r="U58" i="10"/>
  <c r="Q66" i="10"/>
  <c r="R45" i="10"/>
  <c r="T51" i="10"/>
  <c r="Y80" i="10"/>
  <c r="U49" i="10"/>
  <c r="U59" i="10"/>
  <c r="X74" i="10"/>
  <c r="H74" i="10" s="1"/>
  <c r="S42" i="10"/>
  <c r="T43" i="10"/>
  <c r="Q39" i="10"/>
  <c r="R42" i="10"/>
  <c r="R61" i="10"/>
  <c r="S62" i="10"/>
  <c r="T65" i="10"/>
  <c r="R54" i="10"/>
  <c r="T44" i="10"/>
  <c r="T46" i="10"/>
  <c r="R77" i="10"/>
  <c r="Q54" i="10"/>
  <c r="Y67" i="10"/>
  <c r="Y77" i="10"/>
  <c r="U45" i="10"/>
  <c r="R48" i="10"/>
  <c r="U52" i="10"/>
  <c r="S53" i="10"/>
  <c r="Q62" i="10"/>
  <c r="R76" i="10"/>
  <c r="S72" i="10"/>
  <c r="S59" i="10"/>
  <c r="U63" i="10"/>
  <c r="U78" i="10"/>
  <c r="U64" i="10"/>
  <c r="U72" i="10"/>
  <c r="T56" i="10"/>
  <c r="S73" i="10"/>
  <c r="X63" i="10"/>
  <c r="H63" i="10" s="1"/>
  <c r="X54" i="10"/>
  <c r="H54" i="10" s="1"/>
  <c r="Y52" i="10"/>
  <c r="T62" i="10"/>
  <c r="U62" i="10"/>
  <c r="Y57" i="10"/>
  <c r="R39" i="10"/>
  <c r="Q42" i="10"/>
  <c r="Y39" i="10"/>
  <c r="Y69" i="10"/>
  <c r="Q44" i="10"/>
  <c r="X75" i="10"/>
  <c r="H75" i="10" s="1"/>
  <c r="U75" i="10"/>
  <c r="X49" i="10"/>
  <c r="H49" i="10" s="1"/>
  <c r="Q55" i="10"/>
  <c r="R68" i="10"/>
  <c r="R66" i="10"/>
  <c r="Y71" i="10"/>
  <c r="T66" i="10"/>
  <c r="T64" i="10"/>
  <c r="S70" i="10"/>
  <c r="Y64" i="10"/>
  <c r="X47" i="10"/>
  <c r="H47" i="10" s="1"/>
  <c r="S65" i="10"/>
  <c r="S77" i="10"/>
  <c r="Y44" i="10"/>
  <c r="R70" i="10"/>
  <c r="U80" i="10"/>
  <c r="S39" i="10"/>
  <c r="T70" i="10"/>
  <c r="U68" i="10"/>
  <c r="X67" i="10"/>
  <c r="H67" i="10" s="1"/>
  <c r="S49" i="10"/>
  <c r="Y45" i="10"/>
  <c r="R50" i="10"/>
  <c r="S63" i="10"/>
  <c r="S71" i="10"/>
  <c r="Y72" i="10"/>
  <c r="S46" i="10"/>
  <c r="Q59" i="10"/>
  <c r="T68" i="10"/>
  <c r="Q57" i="10"/>
  <c r="X66" i="10"/>
  <c r="H66" i="10" s="1"/>
  <c r="Q74" i="10"/>
  <c r="T80" i="10"/>
  <c r="R80" i="10"/>
  <c r="R52" i="10"/>
  <c r="T55" i="10"/>
  <c r="S54" i="10"/>
  <c r="S57" i="10"/>
  <c r="T72" i="10"/>
  <c r="T67" i="10"/>
  <c r="T41" i="10"/>
  <c r="R75" i="10"/>
  <c r="S50" i="10"/>
  <c r="Q71" i="10"/>
  <c r="T49" i="10"/>
  <c r="U44" i="10"/>
  <c r="S44" i="10"/>
  <c r="X62" i="10"/>
  <c r="H62" i="10" s="1"/>
  <c r="T74" i="10"/>
  <c r="Q41" i="10"/>
  <c r="T71" i="10"/>
  <c r="S60" i="10"/>
  <c r="Q80" i="10"/>
  <c r="T59" i="10"/>
  <c r="Y65" i="10"/>
  <c r="U57" i="10"/>
  <c r="X76" i="10"/>
  <c r="H76" i="10" s="1"/>
  <c r="R55" i="10"/>
  <c r="S51" i="10"/>
  <c r="Y49" i="10"/>
  <c r="Q69" i="10"/>
  <c r="S67" i="10"/>
  <c r="R69" i="10"/>
  <c r="U65" i="10"/>
  <c r="S55" i="10"/>
  <c r="U60" i="10"/>
  <c r="X53" i="10"/>
  <c r="H53" i="10" s="1"/>
  <c r="X79" i="10"/>
  <c r="H79" i="10" s="1"/>
  <c r="X58" i="10"/>
  <c r="H58" i="10" s="1"/>
  <c r="R41" i="10"/>
  <c r="R44" i="10"/>
  <c r="X64" i="10"/>
  <c r="H64" i="10" s="1"/>
  <c r="S40" i="10"/>
  <c r="U70" i="10"/>
  <c r="R62" i="10"/>
  <c r="Q70" i="10"/>
  <c r="Q68" i="10"/>
  <c r="U54" i="10"/>
  <c r="Y51" i="10"/>
  <c r="Y61" i="10"/>
  <c r="T61" i="10"/>
  <c r="X56" i="10"/>
  <c r="H56" i="10" s="1"/>
  <c r="U48" i="10"/>
  <c r="X51" i="10"/>
  <c r="H51" i="10" s="1"/>
  <c r="T42" i="10"/>
  <c r="Q47" i="10"/>
  <c r="T52" i="10"/>
  <c r="Y43" i="10"/>
  <c r="X72" i="10"/>
  <c r="H72" i="10" s="1"/>
  <c r="U77" i="10"/>
  <c r="R72" i="10"/>
  <c r="Q45" i="10"/>
  <c r="Q48" i="10"/>
  <c r="X42" i="10"/>
  <c r="H42" i="10" s="1"/>
  <c r="S69" i="10"/>
  <c r="T63" i="10"/>
  <c r="S64" i="10"/>
  <c r="T78" i="10"/>
  <c r="Q72" i="10"/>
  <c r="Q46" i="10"/>
  <c r="Y79" i="10"/>
  <c r="S68" i="10"/>
  <c r="R51" i="10"/>
  <c r="T48" i="10"/>
  <c r="Q52" i="10"/>
  <c r="T40" i="10"/>
  <c r="X57" i="10"/>
  <c r="H57" i="10" s="1"/>
  <c r="R49" i="10"/>
  <c r="Q53" i="10"/>
  <c r="S78" i="10"/>
  <c r="T58" i="10"/>
  <c r="S38" i="10"/>
  <c r="AI21" i="18"/>
  <c r="AB21" i="18"/>
  <c r="P34" i="18"/>
  <c r="P81" i="18"/>
  <c r="AA18" i="18" s="1"/>
  <c r="V107" i="18"/>
  <c r="AJ25" i="18" s="1"/>
  <c r="K81" i="18"/>
  <c r="AA12" i="18" s="1"/>
  <c r="K34" i="18"/>
  <c r="I81" i="18"/>
  <c r="AA10" i="18" s="1"/>
  <c r="I34" i="18"/>
  <c r="F97" i="18"/>
  <c r="AQ63" i="9"/>
  <c r="F7" i="10" s="1"/>
  <c r="W81" i="18"/>
  <c r="AA26" i="18" s="1"/>
  <c r="K107" i="18"/>
  <c r="M107" i="18"/>
  <c r="AJ15" i="18" s="1"/>
  <c r="J34" i="18"/>
  <c r="J81" i="18"/>
  <c r="AA11" i="18" s="1"/>
  <c r="N34" i="18"/>
  <c r="N81" i="18"/>
  <c r="AA16" i="18" s="1"/>
  <c r="H34" i="18"/>
  <c r="H81" i="18"/>
  <c r="AA9" i="18" s="1"/>
  <c r="G34" i="18"/>
  <c r="G81" i="18"/>
  <c r="AA8" i="18" s="1"/>
  <c r="F94" i="18"/>
  <c r="J67" i="9"/>
  <c r="F17" i="10"/>
  <c r="F91" i="10"/>
  <c r="AG28" i="18"/>
  <c r="J107" i="18"/>
  <c r="G107" i="18"/>
  <c r="F93" i="18"/>
  <c r="AO11" i="1"/>
  <c r="AG27" i="18"/>
  <c r="M66" i="9"/>
  <c r="N66" i="9" s="1"/>
  <c r="W107" i="18"/>
  <c r="AJ26" i="18" s="1"/>
  <c r="O34" i="18"/>
  <c r="O81" i="18"/>
  <c r="AA17" i="18" s="1"/>
  <c r="U34" i="18"/>
  <c r="U81" i="18"/>
  <c r="AA24" i="18" s="1"/>
  <c r="V34" i="18"/>
  <c r="V81" i="18"/>
  <c r="AA25" i="18" s="1"/>
  <c r="F95" i="18"/>
  <c r="R34" i="18"/>
  <c r="R81" i="18"/>
  <c r="AA20" i="18" s="1"/>
  <c r="Q81" i="18"/>
  <c r="AA19" i="18" s="1"/>
  <c r="Q34" i="18"/>
  <c r="L34" i="18"/>
  <c r="L81" i="18"/>
  <c r="AA14" i="18" s="1"/>
  <c r="U107" i="18"/>
  <c r="AJ24" i="18" s="1"/>
  <c r="N107" i="18"/>
  <c r="AJ16" i="18" s="1"/>
  <c r="S107" i="18"/>
  <c r="AJ21" i="18" s="1"/>
  <c r="S34" i="18"/>
  <c r="L107" i="18"/>
  <c r="M34" i="18"/>
  <c r="M81" i="18"/>
  <c r="AA15" i="18" s="1"/>
  <c r="R107" i="18"/>
  <c r="AJ20" i="18" s="1"/>
  <c r="T34" i="18"/>
  <c r="T81" i="18"/>
  <c r="AA23" i="18" s="1"/>
  <c r="G63" i="10" l="1"/>
  <c r="G38" i="10"/>
  <c r="AI12" i="18"/>
  <c r="AI172" i="1"/>
  <c r="AB12" i="18"/>
  <c r="AJ8" i="18"/>
  <c r="Y107" i="18"/>
  <c r="AJ27" i="18" s="1"/>
  <c r="AI174" i="1"/>
  <c r="AI14" i="18"/>
  <c r="AB14" i="18"/>
  <c r="AB9" i="18"/>
  <c r="AI9" i="18"/>
  <c r="AI169" i="1"/>
  <c r="AB26" i="18"/>
  <c r="AI186" i="1"/>
  <c r="AI26" i="18"/>
  <c r="AI178" i="1"/>
  <c r="AB18" i="18"/>
  <c r="AI18" i="18"/>
  <c r="AB8" i="18"/>
  <c r="AI168" i="1"/>
  <c r="AI8" i="18"/>
  <c r="AI177" i="1"/>
  <c r="AI17" i="18"/>
  <c r="AB17" i="18"/>
  <c r="AI15" i="18"/>
  <c r="AB15" i="18"/>
  <c r="AI175" i="1"/>
  <c r="F107" i="18"/>
  <c r="AI19" i="18"/>
  <c r="AI179" i="1"/>
  <c r="AB19" i="18"/>
  <c r="AB16" i="18"/>
  <c r="AI16" i="18"/>
  <c r="AI176" i="1"/>
  <c r="AB23" i="18"/>
  <c r="AI23" i="18"/>
  <c r="AI183" i="1"/>
  <c r="O5" i="7"/>
  <c r="N63" i="9"/>
  <c r="F19" i="10"/>
  <c r="AI24" i="18"/>
  <c r="AB24" i="18"/>
  <c r="AI184" i="1"/>
  <c r="AJ14" i="18"/>
  <c r="Z107" i="18"/>
  <c r="AJ11" i="18"/>
  <c r="AJ12" i="18"/>
  <c r="AI20" i="18"/>
  <c r="AB20" i="18"/>
  <c r="AI180" i="1"/>
  <c r="AI25" i="18"/>
  <c r="AB25" i="18"/>
  <c r="AI185" i="1"/>
  <c r="O3" i="7"/>
  <c r="F18" i="10"/>
  <c r="C67" i="9"/>
  <c r="F93" i="10"/>
  <c r="D35" i="4"/>
  <c r="AI11" i="18"/>
  <c r="AI171" i="1"/>
  <c r="AB11" i="18"/>
  <c r="AI170" i="1"/>
  <c r="AB10" i="18"/>
  <c r="AI10" i="18"/>
  <c r="F24" i="10" l="1"/>
  <c r="F25" i="10"/>
  <c r="AA29" i="18"/>
  <c r="Q201" i="1"/>
  <c r="Q194" i="1"/>
  <c r="Q190" i="1"/>
  <c r="Q196" i="1"/>
  <c r="Q189" i="1"/>
  <c r="Q191" i="1"/>
  <c r="Q197" i="1"/>
  <c r="Q195" i="1"/>
  <c r="Q188" i="1"/>
  <c r="Q200" i="1"/>
  <c r="Q193" i="1"/>
  <c r="B21" i="7" s="1"/>
  <c r="Q198" i="1"/>
  <c r="Q199" i="1"/>
  <c r="Q202" i="1"/>
  <c r="Q192" i="1"/>
  <c r="EH12" i="9"/>
  <c r="E35" i="4"/>
  <c r="B93" i="10"/>
  <c r="B4" i="7" l="1"/>
  <c r="B6" i="7"/>
  <c r="B8" i="7"/>
  <c r="B5" i="7"/>
  <c r="B11" i="7"/>
  <c r="B9" i="7"/>
  <c r="B3" i="7"/>
  <c r="B12" i="7"/>
  <c r="B17" i="7"/>
  <c r="B16" i="7"/>
  <c r="B15" i="7"/>
  <c r="B13" i="7"/>
  <c r="B14" i="7"/>
  <c r="B10" i="7"/>
  <c r="B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A10" authorId="0" shapeId="0" xr:uid="{00000000-0006-0000-0100-000001000000}">
      <text>
        <r>
          <rPr>
            <b/>
            <sz val="9"/>
            <color indexed="81"/>
            <rFont val="Segoe UI"/>
            <family val="2"/>
          </rPr>
          <t>Es werden Flächen in einem Nitratrisikogebiet gem. Anlage 5 NAPV bewirtschaftet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Kriegner-Schramml Simon</author>
    <author/>
  </authors>
  <commentList>
    <comment ref="C4" authorId="0" shapeId="0" xr:uid="{00000000-0006-0000-0200-000001000000}">
      <text>
        <r>
          <rPr>
            <sz val="9"/>
            <color indexed="81"/>
            <rFont val="Segoe UI"/>
            <family val="2"/>
          </rPr>
          <t xml:space="preserve">Nicht enthaltene Kulturen müssen gem. unten stehender Tabelle händisch eingetragen werden.
</t>
        </r>
      </text>
    </comment>
    <comment ref="G4" authorId="0" shapeId="0" xr:uid="{00000000-0006-0000-0200-000002000000}">
      <text>
        <r>
          <rPr>
            <b/>
            <sz val="8"/>
            <color indexed="81"/>
            <rFont val="Segoe UI"/>
            <family val="2"/>
          </rPr>
          <t>Die Angabe in m3 ist im Namen der Kultur enthalten 
oder in der Ertragslage angeführt</t>
        </r>
      </text>
    </comment>
    <comment ref="F5" authorId="1" shapeId="0" xr:uid="{00000000-0006-0000-0200-000003000000}">
      <text>
        <r>
          <rPr>
            <sz val="10"/>
            <color rgb="FF000000"/>
            <rFont val="Arial"/>
            <family val="2"/>
          </rPr>
          <t>Wählen Sie eine Ertragslage aus!</t>
        </r>
      </text>
    </comment>
    <comment ref="G5" authorId="0" shapeId="0" xr:uid="{00000000-0006-0000-0200-000004000000}">
      <text>
        <r>
          <rPr>
            <b/>
            <sz val="9"/>
            <color indexed="81"/>
            <rFont val="Segoe UI"/>
            <family val="2"/>
          </rPr>
          <t>Ertragslage in t/ha</t>
        </r>
      </text>
    </comment>
    <comment ref="H5" authorId="1" shapeId="0" xr:uid="{00000000-0006-0000-0200-000005000000}">
      <text>
        <r>
          <rPr>
            <sz val="8"/>
            <color rgb="FF000000"/>
            <rFont val="Tahoma"/>
            <family val="2"/>
          </rPr>
          <t>Wird der N-Bedarfswert nicht automatisch eingespielt, muss er hier eigenhändig eingetragen werden (bei allen eingetippten Kulturen).</t>
        </r>
      </text>
    </comment>
    <comment ref="G57" authorId="0" shapeId="0" xr:uid="{00000000-0006-0000-0200-000006000000}">
      <text>
        <r>
          <rPr>
            <b/>
            <sz val="9"/>
            <color indexed="81"/>
            <rFont val="Segoe UI"/>
            <family val="2"/>
          </rPr>
          <t>Ertragslage in t/ha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3" authorId="0" shapeId="0" xr:uid="{00000000-0006-0000-0400-000001000000}">
      <text>
        <r>
          <rPr>
            <sz val="10"/>
            <rFont val="Arial"/>
            <family val="2"/>
          </rPr>
          <t>Geben Sie dem Dünger in dieser Lagerstätte einen Namen!</t>
        </r>
      </text>
    </comment>
    <comment ref="F13" authorId="0" shapeId="0" xr:uid="{00000000-0006-0000-0400-000002000000}">
      <text>
        <r>
          <rPr>
            <sz val="10"/>
            <rFont val="Arial"/>
            <family val="2"/>
          </rPr>
          <t>Schätzen Sie den Jahresanfall ab und tragen diesen hier ein.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A13" authorId="0" shapeId="0" xr:uid="{00000000-0006-0000-0800-000001000000}">
      <text>
        <r>
          <rPr>
            <b/>
            <sz val="9"/>
            <color indexed="81"/>
            <rFont val="Segoe UI"/>
            <family val="2"/>
          </rPr>
          <t>Dieser Wert wird automatisch in die Eingabetabelle übernommen.</t>
        </r>
      </text>
    </comment>
    <comment ref="H17" authorId="0" shapeId="0" xr:uid="{00000000-0006-0000-0800-000002000000}">
      <text>
        <r>
          <rPr>
            <b/>
            <sz val="9"/>
            <color indexed="81"/>
            <rFont val="Segoe UI"/>
            <family val="2"/>
          </rPr>
          <t>Der Nitratgehalt wird ausgelesen und kann je Zeile manuell verändert werden. Der ursprüngliche Wert kann anhand des DropDown Aufrufes wieder aufgerufen werden.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C9" authorId="0" shapeId="0" xr:uid="{00000000-0006-0000-0900-000001000000}">
      <text>
        <r>
          <rPr>
            <b/>
            <sz val="10"/>
            <color indexed="81"/>
            <rFont val="Segoe UI"/>
            <family val="2"/>
          </rPr>
          <t>Hier wir entweder eine Einheit vorgeschlagen. Im Falle, dass mehrere Einheiten wählbar sind, muss eine Einheit ausgewählt werden.</t>
        </r>
      </text>
    </comment>
    <comment ref="AK9" authorId="0" shapeId="0" xr:uid="{00000000-0006-0000-0900-000002000000}">
      <text>
        <r>
          <rPr>
            <b/>
            <sz val="10"/>
            <color indexed="81"/>
            <rFont val="Segoe UI"/>
            <family val="2"/>
          </rPr>
          <t>Hier wir entweder eine Einheit vorgeschlagen. Im Falle, dass mehrere Einheiten wählbar sind, muss eine Einheit ausgewählt werden.</t>
        </r>
      </text>
    </comment>
    <comment ref="C10" authorId="0" shapeId="0" xr:uid="{00000000-0006-0000-0900-000003000000}">
      <text>
        <r>
          <rPr>
            <b/>
            <sz val="9"/>
            <color indexed="81"/>
            <rFont val="Segoe UI"/>
            <family val="2"/>
          </rPr>
          <t>Bitte Art der Mengeneingabe wählen</t>
        </r>
      </text>
    </comment>
    <comment ref="AK10" authorId="0" shapeId="0" xr:uid="{00000000-0006-0000-0900-000004000000}">
      <text>
        <r>
          <rPr>
            <b/>
            <sz val="9"/>
            <color indexed="81"/>
            <rFont val="Segoe UI"/>
            <family val="2"/>
          </rPr>
          <t>Bitte Art der Mengeneingabe wählen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G3" authorId="0" shapeId="0" xr:uid="{00000000-0006-0000-0A00-000001000000}">
      <text>
        <r>
          <rPr>
            <b/>
            <sz val="8"/>
            <color indexed="81"/>
            <rFont val="Segoe UI"/>
            <family val="2"/>
          </rPr>
          <t>Sofern ein Hektolitergewicht eingetragen wurde, kann die Tonnage errechent werden.</t>
        </r>
      </text>
    </comment>
    <comment ref="G13" authorId="0" shapeId="0" xr:uid="{00000000-0006-0000-0A00-000002000000}">
      <text>
        <r>
          <rPr>
            <b/>
            <sz val="8"/>
            <color indexed="81"/>
            <rFont val="Segoe UI"/>
            <family val="2"/>
          </rPr>
          <t>Sofern ein Hektolitergewicht eingetragen wurde, kann die Tonnage errechent werden.</t>
        </r>
      </text>
    </comment>
    <comment ref="G23" authorId="0" shapeId="0" xr:uid="{00000000-0006-0000-0A00-000003000000}">
      <text>
        <r>
          <rPr>
            <b/>
            <sz val="8"/>
            <color indexed="81"/>
            <rFont val="Segoe UI"/>
            <family val="2"/>
          </rPr>
          <t>Sofern ein Hektolitergewicht eingetragen wurde, kann die Tonnage errechent werden.</t>
        </r>
      </text>
    </comment>
    <comment ref="G33" authorId="0" shapeId="0" xr:uid="{00000000-0006-0000-0A00-000004000000}">
      <text>
        <r>
          <rPr>
            <b/>
            <sz val="8"/>
            <color indexed="81"/>
            <rFont val="Segoe UI"/>
            <family val="2"/>
          </rPr>
          <t>Sofern ein Hektolitergewicht eingetragen wurde, kann die Tonnage errechent werden.</t>
        </r>
      </text>
    </comment>
    <comment ref="G43" authorId="0" shapeId="0" xr:uid="{00000000-0006-0000-0A00-000005000000}">
      <text>
        <r>
          <rPr>
            <b/>
            <sz val="8"/>
            <color indexed="81"/>
            <rFont val="Segoe UI"/>
            <family val="2"/>
          </rPr>
          <t>Sofern ein Hektolitergewicht eingetragen wurde, kann die Tonnage errechent werden.</t>
        </r>
      </text>
    </comment>
    <comment ref="F56" authorId="0" shapeId="0" xr:uid="{00000000-0006-0000-0A00-000006000000}">
      <text>
        <r>
          <rPr>
            <sz val="8"/>
            <color indexed="81"/>
            <rFont val="Segoe UI"/>
            <family val="2"/>
          </rPr>
          <t>Achtung!
Wenn hier die Anzahl gleicher Silozellen eingegeben wird, dann können im Tabellenblatt Ertragsermittlung bei den Lagerstätten die Silos/Silozellen nur in ihrer Gesamtheit (also mit der Gesamtkubatur) ausgewählt werden!</t>
        </r>
        <r>
          <rPr>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R30" authorId="0" shapeId="0" xr:uid="{00000000-0006-0000-0B00-000001000000}">
      <text>
        <r>
          <rPr>
            <b/>
            <sz val="10"/>
            <color indexed="81"/>
            <rFont val="Segoe UI"/>
            <family val="2"/>
          </rPr>
          <t>Hier wir entweder eine Einheit vorgeschlagen. Im Falle, dass mehrere Einheiten wählbar sind, muss eine Einheit ausgewählt werden.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A6" authorId="0" shapeId="0" xr:uid="{00000000-0006-0000-0C00-000001000000}">
      <text>
        <r>
          <rPr>
            <sz val="8"/>
            <color rgb="FF000000"/>
            <rFont val="Segoe UI"/>
            <family val="2"/>
          </rPr>
          <t>Bitte geben Sie hier die Daten des Wirtschaftsdüngerabnehmers ein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D6" authorId="0" shapeId="0" xr:uid="{00000000-0006-0000-1000-000001000000}">
      <text>
        <r>
          <rPr>
            <b/>
            <sz val="9"/>
            <color indexed="81"/>
            <rFont val="Segoe UI"/>
            <family val="2"/>
          </rPr>
          <t>Auswahl aus DropDown oder manuelle Eingabe möglich</t>
        </r>
      </text>
    </comment>
  </commentList>
</comments>
</file>

<file path=xl/sharedStrings.xml><?xml version="1.0" encoding="utf-8"?>
<sst xmlns="http://schemas.openxmlformats.org/spreadsheetml/2006/main" count="10661" uniqueCount="3053">
  <si>
    <t xml:space="preserve">diese Planung ist nicht verpflichtend! </t>
  </si>
  <si>
    <t>&lt; 5,5</t>
  </si>
  <si>
    <t>6,5 - 9,5</t>
  </si>
  <si>
    <t xml:space="preserve"> -</t>
  </si>
  <si>
    <t>Amaranth</t>
  </si>
  <si>
    <t>1,0 - 1,5</t>
  </si>
  <si>
    <t>1,5 - 2,0</t>
  </si>
  <si>
    <t>2,0 - 2,5</t>
  </si>
  <si>
    <t>2,0 - 4,5</t>
  </si>
  <si>
    <t>4,5 - 5,0</t>
  </si>
  <si>
    <t>5,0 - 5,5</t>
  </si>
  <si>
    <t>&gt; 5,5</t>
  </si>
  <si>
    <t>Buchweizen</t>
  </si>
  <si>
    <t>3,0 - 4,5</t>
  </si>
  <si>
    <t>Gingko</t>
  </si>
  <si>
    <t>Grünmais</t>
  </si>
  <si>
    <t>Grünschnittroggen</t>
  </si>
  <si>
    <t>Hanf</t>
  </si>
  <si>
    <t>Iberischer Drachenkopf</t>
  </si>
  <si>
    <t>Kanariensaat</t>
  </si>
  <si>
    <t>&gt; 4,5</t>
  </si>
  <si>
    <t>4,0 - 6,0</t>
  </si>
  <si>
    <t>6,0 - 6,5</t>
  </si>
  <si>
    <t>Leindotter</t>
  </si>
  <si>
    <t>Mais-Käferbohne</t>
  </si>
  <si>
    <t>&lt; 1,5</t>
  </si>
  <si>
    <t>Öllein</t>
  </si>
  <si>
    <t>Ölrettich</t>
  </si>
  <si>
    <t>Phacelia</t>
  </si>
  <si>
    <t>2,5 - 4,5</t>
  </si>
  <si>
    <t>Quinoa</t>
  </si>
  <si>
    <t>Rollrasen</t>
  </si>
  <si>
    <t>Saatgutvermehrung Zuckerrübe</t>
  </si>
  <si>
    <t>&lt; 3,0</t>
  </si>
  <si>
    <t>Senf</t>
  </si>
  <si>
    <t>Sommermenggetreide</t>
  </si>
  <si>
    <t>3,5 - 6,0</t>
  </si>
  <si>
    <t>Wintermenggetreide</t>
  </si>
  <si>
    <t>80 - 100</t>
  </si>
  <si>
    <t>70 - 80</t>
  </si>
  <si>
    <t>140 - 160</t>
  </si>
  <si>
    <t>Obst und Hopfen:</t>
  </si>
  <si>
    <t>Brombeere</t>
  </si>
  <si>
    <t>Energieholz ohne Robinie</t>
  </si>
  <si>
    <t>Energieholz  Robinie</t>
  </si>
  <si>
    <t>Heidelbeere</t>
  </si>
  <si>
    <t>Himbeere</t>
  </si>
  <si>
    <t>Holunder</t>
  </si>
  <si>
    <t>Hopfen</t>
  </si>
  <si>
    <t>1,5 - 1,8</t>
  </si>
  <si>
    <t>&gt; 1,8</t>
  </si>
  <si>
    <t>Kirschen</t>
  </si>
  <si>
    <t>Marille</t>
  </si>
  <si>
    <t>Anderes Obst</t>
  </si>
  <si>
    <t>Preiselbeere</t>
  </si>
  <si>
    <t>Johannisbeere</t>
  </si>
  <si>
    <t>Apfelbeere, Aronia</t>
  </si>
  <si>
    <t>Stachelbeere</t>
  </si>
  <si>
    <t>Wein (inkl. Schnittweingarten):</t>
  </si>
  <si>
    <t>Ackerstiefmütterchen</t>
  </si>
  <si>
    <t>Alant</t>
  </si>
  <si>
    <t>Anis</t>
  </si>
  <si>
    <t>Arnika (Berg-)</t>
  </si>
  <si>
    <t>Artemisia-Arten</t>
  </si>
  <si>
    <t>Baldrian</t>
  </si>
  <si>
    <t xml:space="preserve">Basilikum </t>
  </si>
  <si>
    <t>Bibernelle</t>
  </si>
  <si>
    <t>Bockshornklee</t>
  </si>
  <si>
    <t>Bohnenkraut</t>
  </si>
  <si>
    <t>Borretsch</t>
  </si>
  <si>
    <t>Brennnessel</t>
  </si>
  <si>
    <t>Eibisch</t>
  </si>
  <si>
    <t>Engelwurz</t>
  </si>
  <si>
    <t>Fingerhut</t>
  </si>
  <si>
    <t>Flohsamen</t>
  </si>
  <si>
    <t>Gewürzfenchel</t>
  </si>
  <si>
    <t>Ginseng</t>
  </si>
  <si>
    <t>Goldmelisse</t>
  </si>
  <si>
    <t>Johanniskraut</t>
  </si>
  <si>
    <t>Kamille</t>
  </si>
  <si>
    <t>Klatschmohn</t>
  </si>
  <si>
    <t>Königskerze</t>
  </si>
  <si>
    <t>Koriander</t>
  </si>
  <si>
    <t>Kornblume</t>
  </si>
  <si>
    <t>Lavendel</t>
  </si>
  <si>
    <t>Liebstöckel</t>
  </si>
  <si>
    <t>Majoran</t>
  </si>
  <si>
    <t xml:space="preserve">Malve (incl. Stockmalve) </t>
  </si>
  <si>
    <t>Maralwurzel</t>
  </si>
  <si>
    <t>Minze</t>
  </si>
  <si>
    <t>Mutterkraut</t>
  </si>
  <si>
    <t>Nachtkerze</t>
  </si>
  <si>
    <t>Oregano</t>
  </si>
  <si>
    <t>Rainfarn</t>
  </si>
  <si>
    <t>Ringelblume</t>
  </si>
  <si>
    <t>Saflor</t>
  </si>
  <si>
    <t>Salbei</t>
  </si>
  <si>
    <t>Schabzigerklee</t>
  </si>
  <si>
    <t>Schafgarbe</t>
  </si>
  <si>
    <t>Schisandra</t>
  </si>
  <si>
    <t>Schlüsselblume</t>
  </si>
  <si>
    <t>Schöllkraut</t>
  </si>
  <si>
    <t>Schwarzkümmel</t>
  </si>
  <si>
    <t>Sonnenhut</t>
  </si>
  <si>
    <t>Spitzwegerich</t>
  </si>
  <si>
    <t>Stechapfel</t>
  </si>
  <si>
    <t>Steinklee</t>
  </si>
  <si>
    <t>Studentenblume</t>
  </si>
  <si>
    <t>Thymian</t>
  </si>
  <si>
    <t>Timothe</t>
  </si>
  <si>
    <t>Tollkirsche</t>
  </si>
  <si>
    <t>Wallwurz</t>
  </si>
  <si>
    <t>Weidenröschen</t>
  </si>
  <si>
    <t>Ysop</t>
  </si>
  <si>
    <t>Zitronenmelisse</t>
  </si>
  <si>
    <t>Sonstige Nutzungen:</t>
  </si>
  <si>
    <t>3) Keine Düngung, Rückführung von Phosphor aus Wirtschaftsdüngern möglich.</t>
  </si>
  <si>
    <t>4) Differenzierte Anweisungen zur Einzelpflanzendüngung und zur Interpretation von Nadelanalysen sind den "Empfehlungen für die sachgerechte Düngung von Christbaumkulturen" des Fachbeirates für Bodenfruchtbarkeit und Bodenschutz in der geltenden Fassung zu entnehmen.</t>
  </si>
  <si>
    <t>2,0 - 3,0</t>
  </si>
  <si>
    <t>&gt; 3,0</t>
  </si>
  <si>
    <t>3,0 - 4,0</t>
  </si>
  <si>
    <t>4,0 - 5,0</t>
  </si>
  <si>
    <t>&lt; 60</t>
  </si>
  <si>
    <t>&lt; 1,0</t>
  </si>
  <si>
    <t>1,5 - 1,7</t>
  </si>
  <si>
    <t>&gt; 1,9</t>
  </si>
  <si>
    <t>&lt; 0,6</t>
  </si>
  <si>
    <t>0,6 - 0,8</t>
  </si>
  <si>
    <t>0,8 - 0,9</t>
  </si>
  <si>
    <t>&gt; 0,8</t>
  </si>
  <si>
    <t>Ertragslage</t>
  </si>
  <si>
    <t>In den blauen Spalten wird die Dauer des offenen (nicht begrünten) Boden angezeigt. Wird dort ein 
Rautezechen (#) angezeigt - bedeutet das, dass noch ein Umbruchs- oder Anbaudatum fehlen.</t>
  </si>
  <si>
    <t>zur Tierliste</t>
  </si>
  <si>
    <t>Masthendl</t>
  </si>
  <si>
    <t>Tabelle zur Errechnung des durchschnittlichen Tierbestandes</t>
  </si>
  <si>
    <t>Durchschnittlicher Tierbestand</t>
  </si>
  <si>
    <t>Küken und Junghennen</t>
  </si>
  <si>
    <t>während eines Jahres  © 2004 by VLV</t>
  </si>
  <si>
    <t>Nährstoffbestimmender Tierbestand</t>
  </si>
  <si>
    <t>Bestandsveränderungen</t>
  </si>
  <si>
    <t>Bedienungshinweise</t>
  </si>
  <si>
    <t>Zugang</t>
  </si>
  <si>
    <t>Abgang</t>
  </si>
  <si>
    <t>Aktueller Bestand</t>
  </si>
  <si>
    <t>Tage Diff</t>
  </si>
  <si>
    <t>Bestand*Diff</t>
  </si>
  <si>
    <t>Anfangsbestand</t>
  </si>
  <si>
    <r>
      <t xml:space="preserve">Tierart auswählen und  Anfangstierbestand in Zelle </t>
    </r>
    <r>
      <rPr>
        <b/>
        <sz val="12"/>
        <rFont val="Arial"/>
        <family val="2"/>
      </rPr>
      <t>'D9'</t>
    </r>
    <r>
      <rPr>
        <sz val="12"/>
        <rFont val="Arial"/>
        <family val="2"/>
      </rPr>
      <t xml:space="preserve"> eintragen</t>
    </r>
  </si>
  <si>
    <t>Der Durchschnittsbestand wird automatisch für ein Jahr ab diesem Datum berechnet</t>
  </si>
  <si>
    <t>Die Eintragungen haben in chronolgischer Reihenfolge zu erfolgen</t>
  </si>
  <si>
    <t>Leerzeilen sind zu vermeiden</t>
  </si>
  <si>
    <t>Zu jeder Erfassung eines Zu- und Abganges ist die Erfassung des zugehörigen Datums notwendig</t>
  </si>
  <si>
    <t>Für Programmfehler wird keine Haftung übernommen!</t>
  </si>
  <si>
    <t>Verbesserungsvorschläge werden gerne entgegengenommen.</t>
  </si>
  <si>
    <t>N ab Lager = Stickstoffanfall nach Abzug der Stall- und Lagerverluste</t>
  </si>
  <si>
    <t>Tierart</t>
  </si>
  <si>
    <t>Mist        Anteil</t>
  </si>
  <si>
    <t xml:space="preserve">Tiefstall-  mist             </t>
  </si>
  <si>
    <t>Mist Anteil</t>
  </si>
  <si>
    <t xml:space="preserve">Tiefstall mist             </t>
  </si>
  <si>
    <r>
      <t>Gülle</t>
    </r>
    <r>
      <rPr>
        <b/>
        <vertAlign val="superscript"/>
        <sz val="12"/>
        <rFont val="Arial"/>
        <family val="2"/>
      </rPr>
      <t>3)</t>
    </r>
    <r>
      <rPr>
        <sz val="12"/>
        <rFont val="Arial"/>
        <family val="2"/>
      </rPr>
      <t xml:space="preserve"> uvb.*  </t>
    </r>
  </si>
  <si>
    <r>
      <t>Jauche</t>
    </r>
    <r>
      <rPr>
        <b/>
        <vertAlign val="superscript"/>
        <sz val="12"/>
        <rFont val="Arial"/>
        <family val="2"/>
      </rPr>
      <t xml:space="preserve">2) </t>
    </r>
    <r>
      <rPr>
        <sz val="12"/>
        <rFont val="Arial"/>
        <family val="2"/>
      </rPr>
      <t>uvb.*</t>
    </r>
  </si>
  <si>
    <r>
      <t>Mist</t>
    </r>
    <r>
      <rPr>
        <b/>
        <vertAlign val="superscript"/>
        <sz val="12"/>
        <rFont val="Arial"/>
        <family val="2"/>
      </rPr>
      <t>1)</t>
    </r>
  </si>
  <si>
    <r>
      <t>Tiefstallmist</t>
    </r>
    <r>
      <rPr>
        <b/>
        <vertAlign val="superscript"/>
        <sz val="12"/>
        <rFont val="Arial"/>
        <family val="2"/>
      </rPr>
      <t>4)</t>
    </r>
    <r>
      <rPr>
        <b/>
        <sz val="12"/>
        <rFont val="Arial"/>
        <family val="2"/>
      </rPr>
      <t xml:space="preserve">  </t>
    </r>
  </si>
  <si>
    <t>Jungrinder</t>
  </si>
  <si>
    <t>Kälber und Jungrinder unter 1/2 Jahr</t>
  </si>
  <si>
    <t>andere Kälber und Jungrinder unter 1/2 Jahr</t>
  </si>
  <si>
    <t>Jungvieh 1/2 bis 1 Jahr</t>
  </si>
  <si>
    <r>
      <t>Aufteilung bei Stiermast</t>
    </r>
    <r>
      <rPr>
        <sz val="8"/>
        <rFont val="Arial"/>
        <family val="2"/>
      </rPr>
      <t>:</t>
    </r>
  </si>
  <si>
    <t>Jungvieh 1 bis 2 Jahr</t>
  </si>
  <si>
    <t xml:space="preserve">Rinder ab 2 Jahre </t>
  </si>
  <si>
    <t>Ochsen, Stiere</t>
  </si>
  <si>
    <t>Kalbinnen</t>
  </si>
  <si>
    <t>Milchkühe ohne Nachzucht</t>
  </si>
  <si>
    <t>Milchleistung  Kuh = gelieferte u. direkt vermarktete zuzüglich 320 kg je Kuh für verfütterte u. verbrauchte Milch</t>
  </si>
  <si>
    <t>Milch- bzw. Mutterkühe (3000 kg Milch)</t>
  </si>
  <si>
    <t>Milchkühe (5000 kg Milch)</t>
  </si>
  <si>
    <t>Milch- bzw. Ammenkühe (4000 kg Milch)</t>
  </si>
  <si>
    <t>von 3.500 - 4.499</t>
  </si>
  <si>
    <t>Milchkühe (6000 kg Milch)</t>
  </si>
  <si>
    <t>von 4.500 - 5.499</t>
  </si>
  <si>
    <t>Milchkühe (7000 kg Milch)</t>
  </si>
  <si>
    <t>von 5.500 - 6.499</t>
  </si>
  <si>
    <t>Milchkühe (8000 kg Milch)</t>
  </si>
  <si>
    <t>von 6.500 - 7.499</t>
  </si>
  <si>
    <t>Milchkühe (9000 kg Milch)</t>
  </si>
  <si>
    <t>von 7.500 - 8.499</t>
  </si>
  <si>
    <t>Milchkühe (&gt; 10.000 kg Milch)</t>
  </si>
  <si>
    <t>von 8.500 - 9.499</t>
  </si>
  <si>
    <t>Mutter- und Ammenkühe ohne Nachzucht</t>
  </si>
  <si>
    <t>ab   9.500</t>
  </si>
  <si>
    <t>Mutter- und Ammenkühe</t>
  </si>
  <si>
    <t>Ferkel</t>
  </si>
  <si>
    <t>Ferkelanzahl =</t>
  </si>
  <si>
    <t>Ferkel 8 bis 32 kg Lebendgewicht (LG) Standard-Fütterung</t>
  </si>
  <si>
    <t>für unter 18 verkaufte Ferkel gilt Zuchtsauen x 2,6</t>
  </si>
  <si>
    <t>Ferkel 8 bis 32 kg Lebendgewicht (LG) N-reduzierte-Fütterung</t>
  </si>
  <si>
    <t>für 18 bis 20 verkaufte Ferkel gilt Zuchtsauen x 2,9</t>
  </si>
  <si>
    <t>Mastschweine und Jungsauen auf der Basis von 2,5 Zyklen pro Jahr</t>
  </si>
  <si>
    <t xml:space="preserve">für über 20 verkaufte Ferkel gilt Zuchtsauen x 3,2 </t>
  </si>
  <si>
    <t>Mastschweine und Jungsauen</t>
  </si>
  <si>
    <t>ab 32 kg LG bis Mastende/Belegung</t>
  </si>
  <si>
    <t>Tierliste x 1,26</t>
  </si>
  <si>
    <t>ab 32 kg LG bis Mastende/Belegung -N-reduzierte-Fütterung</t>
  </si>
  <si>
    <t>ab 32 kg LG bis Mastende/Belegung - stark-N-reduzierte-Fütterung</t>
  </si>
  <si>
    <t>Zuchtschweine (ab Belegung) inkl. Ferkel bis 8 kg</t>
  </si>
  <si>
    <t>Zuchtschweine - Standard-Fütterung</t>
  </si>
  <si>
    <t>Zuchtschweine - N-reduzierte Fütterung</t>
  </si>
  <si>
    <t>Eber</t>
  </si>
  <si>
    <t>Zuchteber - Standard-Fütterung</t>
  </si>
  <si>
    <t>Zuchteber - N-reduzierte Fütterung</t>
  </si>
  <si>
    <r>
      <t xml:space="preserve">Gülle </t>
    </r>
    <r>
      <rPr>
        <sz val="7"/>
        <rFont val="Arial"/>
        <family val="2"/>
      </rPr>
      <t xml:space="preserve">(pumpfähig) </t>
    </r>
  </si>
  <si>
    <t>130 Haltetage pro Umtrieb &gt;&gt; 2,0 Umtriebe</t>
  </si>
  <si>
    <t>Legehennen, Hähne</t>
  </si>
  <si>
    <t>40 Haltetage pro Umtrieb &gt;&gt; 7,0 Umtriebe</t>
  </si>
  <si>
    <t>Truthühner (Puten)</t>
  </si>
  <si>
    <t>150 Haltetage pro Umtrieb &gt;&gt; 2,0 Umtriebe</t>
  </si>
  <si>
    <r>
      <t>Kleinpferde (</t>
    </r>
    <r>
      <rPr>
        <sz val="7"/>
        <rFont val="Arial"/>
        <family val="2"/>
      </rPr>
      <t xml:space="preserve">Widerristhöhe bis 1,48 m) </t>
    </r>
    <r>
      <rPr>
        <b/>
        <sz val="7"/>
        <rFont val="Arial"/>
        <family val="2"/>
      </rPr>
      <t xml:space="preserve"> Endgewicht &lt; 300 kg</t>
    </r>
  </si>
  <si>
    <r>
      <t>Kleinpferde</t>
    </r>
    <r>
      <rPr>
        <b/>
        <vertAlign val="superscript"/>
        <sz val="10"/>
        <rFont val="Arial"/>
        <family val="2"/>
      </rPr>
      <t>5)</t>
    </r>
    <r>
      <rPr>
        <b/>
        <sz val="10"/>
        <rFont val="Arial"/>
        <family val="2"/>
      </rPr>
      <t xml:space="preserve"> incl. Ponys, Esel, Maultiere,   - Endgewicht &lt; 300 kg</t>
    </r>
  </si>
  <si>
    <t>1/2 bis 3 Jahre</t>
  </si>
  <si>
    <t>&gt; 3 Jahre incl. Fohlen bis 1/2 Jahr</t>
  </si>
  <si>
    <r>
      <t>Kleinpferde (</t>
    </r>
    <r>
      <rPr>
        <sz val="7"/>
        <rFont val="Arial"/>
        <family val="2"/>
      </rPr>
      <t>Widerristhöhe bis 1,48 m)</t>
    </r>
    <r>
      <rPr>
        <b/>
        <sz val="7"/>
        <rFont val="Arial"/>
        <family val="2"/>
      </rPr>
      <t xml:space="preserve"> über 300 kg - Endgewicht &gt; 300 kg</t>
    </r>
  </si>
  <si>
    <r>
      <t>Kleinpferde</t>
    </r>
    <r>
      <rPr>
        <b/>
        <vertAlign val="superscript"/>
        <sz val="10"/>
        <rFont val="Arial"/>
        <family val="2"/>
      </rPr>
      <t>5)</t>
    </r>
    <r>
      <rPr>
        <b/>
        <sz val="10"/>
        <rFont val="Arial"/>
        <family val="2"/>
      </rPr>
      <t xml:space="preserve"> über 300 kg - Haflinger, Reitponys, ... - Endgewicht &gt; 300 kg</t>
    </r>
  </si>
  <si>
    <r>
      <t>Pferde (</t>
    </r>
    <r>
      <rPr>
        <sz val="7"/>
        <rFont val="Arial"/>
        <family val="2"/>
      </rPr>
      <t>Widerristhöhe &gt; 1,48 m)</t>
    </r>
    <r>
      <rPr>
        <b/>
        <sz val="7"/>
        <rFont val="Arial"/>
        <family val="2"/>
      </rPr>
      <t xml:space="preserve"> - Endgewicht &gt; 500 kg</t>
    </r>
  </si>
  <si>
    <r>
      <t>Pferde</t>
    </r>
    <r>
      <rPr>
        <b/>
        <vertAlign val="superscript"/>
        <sz val="10"/>
        <rFont val="Arial"/>
        <family val="2"/>
      </rPr>
      <t>6)</t>
    </r>
    <r>
      <rPr>
        <b/>
        <sz val="10"/>
        <rFont val="Arial"/>
        <family val="2"/>
      </rPr>
      <t xml:space="preserve"> - Endgewicht &gt; 500 kg</t>
    </r>
  </si>
  <si>
    <t>Schafe</t>
  </si>
  <si>
    <t>Anzahl = Mutterschafe x Faktor (aufgezogene Lämmer x Haltedauer dividiert durch 12 Monate)</t>
  </si>
  <si>
    <t>Lämmer bis 1/2 Jahr</t>
  </si>
  <si>
    <t>ab 1/2 Jahr bis 1,5 Jahre</t>
  </si>
  <si>
    <t>15 - 25 % Nachzucht im Normalfall</t>
  </si>
  <si>
    <t>Ziegen</t>
  </si>
  <si>
    <t>ab 1/2 Jahr</t>
  </si>
  <si>
    <t>wie bei den Schafen</t>
  </si>
  <si>
    <t>Damwild, Lamas, Alpacas, ...</t>
  </si>
  <si>
    <t>Alttier inkl. Nachzucht bis 14 Monate:</t>
  </si>
  <si>
    <t>Hirsch:</t>
  </si>
  <si>
    <t>Rotwild:</t>
  </si>
  <si>
    <t xml:space="preserve">Hirsch: </t>
  </si>
  <si>
    <t>Kaninchen</t>
  </si>
  <si>
    <t>Kaninchenmast </t>
  </si>
  <si>
    <t>6,89 Umtriebe zu je 53 Aufmasttagen</t>
  </si>
  <si>
    <t>Häsin (inkl.Hasen bis Absetzen)</t>
  </si>
  <si>
    <t>Strauße</t>
  </si>
  <si>
    <t>Straußenküken bis 1/2 Jahr</t>
  </si>
  <si>
    <t>Jungstrauße 0,5 - 1,5 Jahre</t>
  </si>
  <si>
    <t>Zuchtstraußenhenne &gt; 1,5 Jahre</t>
  </si>
  <si>
    <t>Zuchtstraußenhahn &gt; 1,5 Jahre</t>
  </si>
  <si>
    <t>Zwergzebu und andere Zwergrinder</t>
  </si>
  <si>
    <t xml:space="preserve">Zwergrind - andere Kälber und Jungrinder unter 1/2 Jahr </t>
  </si>
  <si>
    <t xml:space="preserve">Zwergrind - Jungvieh 1/2 bis 1 Jahr </t>
  </si>
  <si>
    <t xml:space="preserve">Zwergrind - Jungvieh 1 bis 2 Jahr </t>
  </si>
  <si>
    <t>Zwergrind - Ochsen, Stiere</t>
  </si>
  <si>
    <t xml:space="preserve">Zwergrind - Kalbinnen </t>
  </si>
  <si>
    <t xml:space="preserve">Zwergrind - Milch- bzw. Mutterkühe (3000 kg Milch)  </t>
  </si>
  <si>
    <t xml:space="preserve">Zwergrind - Mutter- und Ammenkühe </t>
  </si>
  <si>
    <t xml:space="preserve">Zwergrind - Milch- bzw. Ammenkühe (4000 kg Milch) </t>
  </si>
  <si>
    <t xml:space="preserve">Zwergrind - Milchkühe (5000 kg Milch) </t>
  </si>
  <si>
    <t xml:space="preserve">Zwergrind - Milchkühe (6000 kg Milch) </t>
  </si>
  <si>
    <t>Zwergrind - Milchkühe (7000 kg Milch)</t>
  </si>
  <si>
    <t>Zwergrind - Milchkühe (8000 kg Milch)</t>
  </si>
  <si>
    <t>Zwergrind - Milchkühe (9000 kg Milch)</t>
  </si>
  <si>
    <t>* “uvb“ = unverdünnt berechnet: das heißt, dass  die Jauche bzw. die Gülle nicht oder nur geringfügig durch in die Grube eingeleitete Spül- und Reinigungswässer verdünnt ist</t>
  </si>
  <si>
    <t>1) Stallmist: Stallmist ist ein Gemisch aus Kot, Einstreu und geringen Mengen an Harn aus  der Anbinde-  und Boxenhaltung.</t>
  </si>
  <si>
    <t>2) Jauche: Jauche ist der mit Kot und Einstreuteilchen (mitunter auch mit Spülwasser) versetzte Harn der   Tiere.</t>
  </si>
  <si>
    <t>3) Gülle: Gülle ist ein Gemisch aus Kot, Harn, Wasser, Einstreu- und Futterresten.</t>
  </si>
  <si>
    <t>4) Tiefstallmist: Tiefstallmist ist das in Freilaufhaltung anfallende Gemisch aus tierischen Ausscheidungen und hohen Einstreumengen. Das Gemisch wird von den Tieren selbst festgetreten und feucht gehalten, wodurch über die Verdunstung ein erheblicher Teil des Wassergehaltes verloren geht.</t>
  </si>
  <si>
    <t>5) Kleinpferde mit Widerristhöhe bis 1,48 m</t>
  </si>
  <si>
    <t>6) Pferde mit einer Widerristhöhe &gt; 1,48 m</t>
  </si>
  <si>
    <t xml:space="preserve">Mutterkühe </t>
  </si>
  <si>
    <t>Ammenkühe</t>
  </si>
  <si>
    <t>Ferkel 8 bis 32 kg Lebendgewicht (LG), P-Standardfütterung</t>
  </si>
  <si>
    <t>Ferkel 8 bis 32 kg Lebendgewicht (LG), P-reduzierte Fütterung</t>
  </si>
  <si>
    <r>
      <t>Mastschweine und Jungsauen auf der Basis von 2,5 Zyklen pro Jahr</t>
    </r>
    <r>
      <rPr>
        <sz val="11"/>
        <rFont val="Trebuchet MS"/>
        <family val="2"/>
      </rPr>
      <t> </t>
    </r>
  </si>
  <si>
    <t>ab 32 kg LG bis Mastende/Belegung, P-Standardfütterung</t>
  </si>
  <si>
    <t>ab 32 kg LG bis Mastende/Belegung, P-reduzierte Fütterung</t>
  </si>
  <si>
    <t>Zuchtschweine - P-Standardfütterung</t>
  </si>
  <si>
    <t>Zuchtschweine - P-reduzierte Fütterung</t>
  </si>
  <si>
    <t>Zuchteber - P-Standardfütterung</t>
  </si>
  <si>
    <t>Zuchteber - P-reduzierte Fütterung</t>
  </si>
  <si>
    <t xml:space="preserve">Küken u. Junghennen für Legezwecke </t>
  </si>
  <si>
    <t>Mastküken und Jungmasthühner</t>
  </si>
  <si>
    <t xml:space="preserve">Kleinpferde incl. Ponys, Esel, Maultiere, ... </t>
  </si>
  <si>
    <t>Widerristhöhe bis 1,48 m, Endgewicht &lt; 300 kg</t>
  </si>
  <si>
    <t xml:space="preserve">Kleinpferde über 300 kg - Haflinger, Reitponys, ... </t>
  </si>
  <si>
    <t>Widerristhöhe bis 1,48 m, Endgewicht &gt; 300 kg</t>
  </si>
  <si>
    <t>Widerristhöhe &gt; 1,48 m, Endgewicht &gt; 500 kg</t>
  </si>
  <si>
    <t>Durchschnittstierbestand für Schweine und Geflügel</t>
  </si>
  <si>
    <t>seit (Datum):</t>
  </si>
  <si>
    <r>
      <t xml:space="preserve">Das Anfangsdatum für den Berechnungszeitraum ist in der Zelle </t>
    </r>
    <r>
      <rPr>
        <b/>
        <sz val="12"/>
        <rFont val="Arial"/>
        <family val="2"/>
      </rPr>
      <t>'D2'</t>
    </r>
    <r>
      <rPr>
        <sz val="12"/>
        <rFont val="Arial"/>
        <family val="2"/>
      </rPr>
      <t xml:space="preserve"> einzutragen. </t>
    </r>
  </si>
  <si>
    <t>im Durchschnitt zB. 4 Kälber 12 Wochen, 
oder 8 Kälber nur 6 Wochen am Betrieb</t>
  </si>
  <si>
    <t>20 % Kälber, 40 % Jungvieh 1/2 bis 1 Jahr, 
40 % 1 bis 2 Jahre</t>
  </si>
  <si>
    <t>Jahresbestand inkl. durchschnittl. 
Leerstehzeit von 14 Tagen</t>
  </si>
  <si>
    <t>Achtung Biobetriebe! Für die angegebenen Tiere wird nach EU Bio-Verordnung ungefähr folgende Fläche (ha) benötigt:</t>
  </si>
  <si>
    <t>Dünger am Betrieb</t>
  </si>
  <si>
    <t>Ertrags-lage</t>
  </si>
  <si>
    <t>max. 
N kg</t>
  </si>
  <si>
    <t>Saldo</t>
  </si>
  <si>
    <t>N jw geplant</t>
  </si>
  <si>
    <t>Sonstige organische Dünger</t>
  </si>
  <si>
    <t>N ab
Lager</t>
  </si>
  <si>
    <r>
      <t xml:space="preserve">N -
</t>
    </r>
    <r>
      <rPr>
        <sz val="8"/>
        <color indexed="8"/>
        <rFont val="Arial"/>
        <family val="2"/>
      </rPr>
      <t>feldfall.</t>
    </r>
  </si>
  <si>
    <t>schnell 
wirk.</t>
  </si>
  <si>
    <t>Menge
kg / m³</t>
  </si>
  <si>
    <t>Verplante Menge x ha</t>
  </si>
  <si>
    <t>verpl. Menge</t>
  </si>
  <si>
    <t xml:space="preserve">   Menge x N jw</t>
  </si>
  <si>
    <t>Mengensumme</t>
  </si>
  <si>
    <t>Geplante / vorhandene Mineraldünger</t>
  </si>
  <si>
    <t>Anmerkungen</t>
  </si>
  <si>
    <t xml:space="preserve">   Menge x  P x ha</t>
  </si>
  <si>
    <t>Summe P gesamt</t>
  </si>
  <si>
    <r>
      <rPr>
        <sz val="9"/>
        <color indexed="8"/>
        <rFont val="Arial"/>
        <family val="2"/>
      </rPr>
      <t>geplante</t>
    </r>
    <r>
      <rPr>
        <b/>
        <sz val="9"/>
        <color indexed="8"/>
        <rFont val="Arial"/>
        <family val="2"/>
      </rPr>
      <t xml:space="preserve">
Phosphor
Menge kg</t>
    </r>
  </si>
  <si>
    <t>geplante Mengen</t>
  </si>
  <si>
    <r>
      <rPr>
        <sz val="8"/>
        <rFont val="Arial"/>
        <family val="2"/>
      </rPr>
      <t>geplante</t>
    </r>
    <r>
      <rPr>
        <sz val="9"/>
        <rFont val="Arial"/>
        <family val="2"/>
      </rPr>
      <t xml:space="preserve">
Menge</t>
    </r>
  </si>
  <si>
    <t>geplante Dünger</t>
  </si>
  <si>
    <t>org. Dünger</t>
  </si>
  <si>
    <r>
      <rPr>
        <b/>
        <sz val="11"/>
        <rFont val="Arial"/>
        <family val="2"/>
      </rPr>
      <t>Ackerkulturen</t>
    </r>
    <r>
      <rPr>
        <b/>
        <sz val="9"/>
        <rFont val="Arial"/>
        <family val="2"/>
      </rPr>
      <t xml:space="preserve"> </t>
    </r>
    <r>
      <rPr>
        <sz val="9"/>
        <rFont val="Arial"/>
        <family val="2"/>
      </rPr>
      <t xml:space="preserve">
laut Tab. N-Bedarf</t>
    </r>
  </si>
  <si>
    <t xml:space="preserve">Mist  </t>
  </si>
  <si>
    <r>
      <rPr>
        <sz val="10"/>
        <color indexed="8"/>
        <rFont val="Arial"/>
        <family val="2"/>
      </rPr>
      <t>verplante</t>
    </r>
    <r>
      <rPr>
        <b/>
        <sz val="11"/>
        <color indexed="8"/>
        <rFont val="Arial"/>
        <family val="2"/>
      </rPr>
      <t>Menge</t>
    </r>
  </si>
  <si>
    <t>Füllen Sie zuerst die Tabellenblätter "N-Bedarf", bei Tierhaltung auch "Tiere" und "Hofdung" aus, dann kann geplant werden!</t>
  </si>
  <si>
    <t>Stickstoff-Bedarf der Kulturen:</t>
  </si>
  <si>
    <t>Summe N verplant</t>
  </si>
  <si>
    <t>Phosphor Bedarf der Kulturen:</t>
  </si>
  <si>
    <r>
      <t>Geplante Düngegaben in kg oder m</t>
    </r>
    <r>
      <rPr>
        <b/>
        <vertAlign val="superscript"/>
        <sz val="11"/>
        <rFont val="Arial"/>
        <family val="2"/>
      </rPr>
      <t>3</t>
    </r>
    <r>
      <rPr>
        <b/>
        <sz val="11"/>
        <rFont val="Arial"/>
        <family val="2"/>
      </rPr>
      <t xml:space="preserve"> je ha - </t>
    </r>
    <r>
      <rPr>
        <sz val="10"/>
        <rFont val="Arial"/>
        <family val="2"/>
      </rPr>
      <t>Achtung der Saldo darf nicht größer als Null sein!</t>
    </r>
  </si>
  <si>
    <r>
      <t xml:space="preserve">Differenz
zum 
</t>
    </r>
    <r>
      <rPr>
        <b/>
        <sz val="9"/>
        <color indexed="8"/>
        <rFont val="Arial"/>
        <family val="2"/>
      </rPr>
      <t>Bestand</t>
    </r>
  </si>
  <si>
    <t>Hilfsblatt für die Düngeplanung</t>
  </si>
  <si>
    <r>
      <t xml:space="preserve">Geplante / vorhandene </t>
    </r>
    <r>
      <rPr>
        <b/>
        <sz val="12"/>
        <rFont val="Arial"/>
        <family val="2"/>
      </rPr>
      <t>Dünger</t>
    </r>
  </si>
  <si>
    <t>Diese Blatt ist als Hilfe bei der Düngeplanung gedacht! Sie 
können nach der Anbauplanung (am N-Bedarf) hier die 
Wirtschaftsdünger - zuerst am Blatt "Hofdung" die Menge 
abschätzen - auf die düngebedürftigen Kulturen aufteilen 
und dann überlegen welche Mineral- oder organischen 
Dünger noch gebraucht werden.</t>
  </si>
  <si>
    <r>
      <rPr>
        <b/>
        <sz val="10"/>
        <rFont val="Arial"/>
        <family val="2"/>
      </rPr>
      <t xml:space="preserve">Stickstoff-Einsatz </t>
    </r>
    <r>
      <rPr>
        <b/>
        <sz val="9"/>
        <rFont val="Arial"/>
        <family val="2"/>
      </rPr>
      <t xml:space="preserve">
lt. Planung</t>
    </r>
    <r>
      <rPr>
        <sz val="9"/>
        <rFont val="Arial"/>
        <family val="2"/>
      </rPr>
      <t xml:space="preserve"> (incl VF) </t>
    </r>
  </si>
  <si>
    <t xml:space="preserve">Phosphor-Einsatz 
laut Planung * </t>
  </si>
  <si>
    <t>Junghennenaufzucht</t>
  </si>
  <si>
    <t xml:space="preserve">42 Haltetage pro Umtrieb – 5,0 Umtriebe </t>
  </si>
  <si>
    <t>42 Haltetage pro Umtrieb – 5,0 Umtriebe – (= 210 Belegtage je Platz und Jahr) &gt;&gt; Faktor 1,7 nährstoffbest.</t>
  </si>
  <si>
    <t>Mastkücken u. Jungmasthühner - 40 Haltetage pro Umtrieb &gt;&gt; 7,0 Umtriebe &gt;&gt; Faktor 1,3 nährstoffbest.</t>
  </si>
  <si>
    <r>
      <t xml:space="preserve">N </t>
    </r>
    <r>
      <rPr>
        <b/>
        <sz val="11"/>
        <color indexed="8"/>
        <rFont val="Arial"/>
        <family val="2"/>
      </rPr>
      <t xml:space="preserve"> </t>
    </r>
    <r>
      <rPr>
        <sz val="11"/>
        <color indexed="8"/>
        <rFont val="Arial"/>
        <family val="2"/>
      </rPr>
      <t>jw</t>
    </r>
  </si>
  <si>
    <t>mineral. Phosphor</t>
  </si>
  <si>
    <t>Es wurden ungültige Werte eingegeben, wie zB. 10 Stück, Hektar, Kilogramm usw.  
Excel kann nur mit Zahlen rechnen, nicht aber mit Wörtern wie Stück usw. 
Es dürfen nur  Zahlen bei Mengenangaben eingegeben werden! Wird statt 
einem Komma ein Punkt geschrieben, wird aus dieser Zahl ein Datum!</t>
  </si>
  <si>
    <r>
      <rPr>
        <b/>
        <sz val="14"/>
        <rFont val="Arial"/>
        <family val="2"/>
      </rPr>
      <t xml:space="preserve">Störungen durch Verschieben von Zellen können nur mit dem 
Bearbeitungs-Befehl  "Rückgängig" korrigiert werden!  </t>
    </r>
    <r>
      <rPr>
        <b/>
        <sz val="12"/>
        <rFont val="Arial"/>
        <family val="2"/>
      </rPr>
      <t xml:space="preserve">
</t>
    </r>
    <r>
      <rPr>
        <sz val="12"/>
        <rFont val="Arial"/>
        <family val="2"/>
      </rPr>
      <t>Sobald gespeichert wurde, ist die Datei nicht mehr korrigierbar und muss neu 
angelegt werden. Machen Sie daher gelegentlich Sicherungskopien von 
ihrer Datei. 
Tauchen in Berechnungsfeldern Fehlerzeichen, wie #NV (= nicht vorhanden) auf, 
kann die Ursache im Fehlen oder Änderungen von Grunddaten liegen. 
Wählen Sie die zugrunde liegenden Kulturen, Dünger etc. noch einmal neu aus 
und der Fehler wird meist wieder  behoben sein.</t>
    </r>
  </si>
  <si>
    <t>zu "Hofdung"</t>
  </si>
  <si>
    <t>zu "Mineral"</t>
  </si>
  <si>
    <t>Junghennenaufzucht (bis 6 Wochen)</t>
  </si>
  <si>
    <t>Körnerhirse/-sorghum</t>
  </si>
  <si>
    <t>Weizen &lt; 14 % Rohprotein</t>
  </si>
  <si>
    <t>Triticale</t>
  </si>
  <si>
    <t>https://www.ama.at/Fachliche-Informationen/Oepul/Listen</t>
  </si>
  <si>
    <t>Die AMA hat auf www.ama.at ein Formular zur Berechnung 
des durchschnittlichen Tierbestandes zur Verfügung gestellt.</t>
  </si>
  <si>
    <t>siehe auch:</t>
  </si>
  <si>
    <r>
      <t xml:space="preserve">1a  </t>
    </r>
    <r>
      <rPr>
        <b/>
        <sz val="11"/>
        <rFont val="Arial"/>
        <family val="2"/>
      </rPr>
      <t>Die gesamte landwirtschaftliche Nutzfläche des Betriebes</t>
    </r>
  </si>
  <si>
    <r>
      <t xml:space="preserve">2a  </t>
    </r>
    <r>
      <rPr>
        <b/>
        <sz val="11"/>
        <rFont val="Arial"/>
        <family val="2"/>
      </rPr>
      <t xml:space="preserve">Stickstoff </t>
    </r>
    <r>
      <rPr>
        <sz val="9"/>
        <rFont val="Arial"/>
        <family val="2"/>
      </rPr>
      <t>ab Lager</t>
    </r>
    <r>
      <rPr>
        <b/>
        <sz val="9"/>
        <rFont val="Arial"/>
        <family val="2"/>
      </rPr>
      <t xml:space="preserve">  </t>
    </r>
    <r>
      <rPr>
        <b/>
        <sz val="11"/>
        <rFont val="Arial"/>
        <family val="2"/>
      </rPr>
      <t>aus der eigenen Tierhaltung</t>
    </r>
  </si>
  <si>
    <r>
      <t xml:space="preserve">2b  </t>
    </r>
    <r>
      <rPr>
        <b/>
        <sz val="11"/>
        <rFont val="Arial"/>
        <family val="2"/>
      </rPr>
      <t xml:space="preserve">Wirtschaftsdüngerstickstoff </t>
    </r>
    <r>
      <rPr>
        <sz val="9"/>
        <rFont val="Arial"/>
        <family val="2"/>
      </rPr>
      <t>ab Lager</t>
    </r>
    <r>
      <rPr>
        <b/>
        <sz val="9"/>
        <rFont val="Arial"/>
        <family val="2"/>
      </rPr>
      <t xml:space="preserve"> - </t>
    </r>
    <r>
      <rPr>
        <b/>
        <sz val="10"/>
        <rFont val="Arial"/>
        <family val="2"/>
      </rPr>
      <t>der an andere Betriebe 
       abgegeben oder von anderen übernommen wurde</t>
    </r>
    <r>
      <rPr>
        <b/>
        <sz val="9"/>
        <rFont val="Arial"/>
        <family val="2"/>
      </rPr>
      <t xml:space="preserve"> </t>
    </r>
  </si>
  <si>
    <r>
      <t xml:space="preserve">2c  </t>
    </r>
    <r>
      <rPr>
        <b/>
        <sz val="11"/>
        <rFont val="Arial"/>
        <family val="2"/>
      </rPr>
      <t xml:space="preserve">Wirtschaftsdüngerstickstoff </t>
    </r>
    <r>
      <rPr>
        <sz val="9"/>
        <rFont val="Arial"/>
        <family val="2"/>
      </rPr>
      <t>ab Lager</t>
    </r>
    <r>
      <rPr>
        <sz val="11"/>
        <rFont val="Arial"/>
        <family val="2"/>
      </rPr>
      <t xml:space="preserve"> 
      </t>
    </r>
    <r>
      <rPr>
        <b/>
        <sz val="11"/>
        <rFont val="Arial"/>
        <family val="2"/>
      </rPr>
      <t>der am Betrieb ausgebracht wurde</t>
    </r>
  </si>
  <si>
    <r>
      <t xml:space="preserve">3a  </t>
    </r>
    <r>
      <rPr>
        <b/>
        <sz val="11"/>
        <rFont val="Arial"/>
        <family val="2"/>
      </rPr>
      <t xml:space="preserve">Stickstoff aus organischen Düngern </t>
    </r>
    <r>
      <rPr>
        <sz val="9"/>
        <rFont val="Arial"/>
        <family val="2"/>
      </rPr>
      <t>feldfallend</t>
    </r>
    <r>
      <rPr>
        <b/>
        <sz val="11"/>
        <rFont val="Arial"/>
        <family val="2"/>
      </rPr>
      <t xml:space="preserve">, </t>
    </r>
    <r>
      <rPr>
        <sz val="11"/>
        <rFont val="Arial"/>
        <family val="2"/>
      </rPr>
      <t>nichttierischer Herkunft</t>
    </r>
  </si>
  <si>
    <r>
      <t xml:space="preserve">3b  </t>
    </r>
    <r>
      <rPr>
        <b/>
        <sz val="11"/>
        <rFont val="Arial"/>
        <family val="2"/>
      </rPr>
      <t xml:space="preserve">Stickstoff aus mineralischen Handelsdüngern </t>
    </r>
    <r>
      <rPr>
        <sz val="9"/>
        <rFont val="Arial"/>
        <family val="2"/>
      </rPr>
      <t>feldfallend</t>
    </r>
  </si>
  <si>
    <r>
      <t xml:space="preserve">3c  </t>
    </r>
    <r>
      <rPr>
        <b/>
        <sz val="11"/>
        <rFont val="Arial"/>
        <family val="2"/>
      </rPr>
      <t xml:space="preserve">Gesamter feldfallender Stickstoffeinsatz </t>
    </r>
    <r>
      <rPr>
        <sz val="11"/>
        <rFont val="Arial"/>
        <family val="2"/>
      </rPr>
      <t>am Betrieb</t>
    </r>
  </si>
  <si>
    <r>
      <t xml:space="preserve">3d  </t>
    </r>
    <r>
      <rPr>
        <b/>
        <sz val="11"/>
        <rFont val="Arial"/>
        <family val="2"/>
      </rPr>
      <t>Gesamter jahreswirksamer Stickstoffeinsatz</t>
    </r>
    <r>
      <rPr>
        <sz val="11"/>
        <rFont val="Arial"/>
        <family val="2"/>
      </rPr>
      <t xml:space="preserve"> am Betrieb</t>
    </r>
  </si>
  <si>
    <r>
      <t xml:space="preserve">7.  </t>
    </r>
    <r>
      <rPr>
        <b/>
        <sz val="11"/>
        <rFont val="Arial"/>
        <family val="2"/>
      </rPr>
      <t>Stickstoffbedarf der Kulturen</t>
    </r>
    <r>
      <rPr>
        <sz val="11"/>
        <rFont val="Arial"/>
        <family val="2"/>
      </rPr>
      <t xml:space="preserve"> am Betrieb minus Vorfruchtwirkung</t>
    </r>
  </si>
  <si>
    <t>8.  N-Saldo - Gegenüberstellung N-Einsatz und N-Bedarf</t>
  </si>
  <si>
    <t>9.  P-Saldo - Gegenüberstellung P-Einsatz und P-Bedarf</t>
  </si>
  <si>
    <t>* Durch eine P-reduzierte Fütterung von Geflügel kann der Phosphatgehalt je nach Tiergruppe in einem Ausmaß zwischen 13% und 39% gesenkt werden.</t>
  </si>
  <si>
    <r>
      <t>P</t>
    </r>
    <r>
      <rPr>
        <b/>
        <vertAlign val="subscript"/>
        <sz val="11"/>
        <rFont val="Trebuchet MS"/>
        <family val="2"/>
      </rPr>
      <t>2</t>
    </r>
    <r>
      <rPr>
        <b/>
        <sz val="11"/>
        <rFont val="Trebuchet MS"/>
        <family val="2"/>
      </rPr>
      <t>O</t>
    </r>
    <r>
      <rPr>
        <b/>
        <vertAlign val="subscript"/>
        <sz val="11"/>
        <rFont val="Trebuchet MS"/>
        <family val="2"/>
      </rPr>
      <t xml:space="preserve">5 </t>
    </r>
    <r>
      <rPr>
        <b/>
        <sz val="14"/>
        <rFont val="Trebuchet MS"/>
        <family val="2"/>
      </rPr>
      <t>*</t>
    </r>
  </si>
  <si>
    <t xml:space="preserve">Zwergrind - Kälber und Jungrinder unter 1/2 Jahr </t>
  </si>
  <si>
    <t xml:space="preserve">Zwergrind -Kälber und Jungrinder unter 1/2 Jahr </t>
  </si>
  <si>
    <t>N-Bedarf
je ha</t>
  </si>
  <si>
    <t>N-Bedarf 
je Kultur</t>
  </si>
  <si>
    <t>abzüglich Stickstoffnachlieferung aus Vorfrüchten (siehe nebenan)</t>
  </si>
  <si>
    <t>Phosphor je ha</t>
  </si>
  <si>
    <t>Vorfruchtwirkung</t>
  </si>
  <si>
    <t>landw. Nutzfläche lt. Tabellenblatt "Betrieb"</t>
  </si>
  <si>
    <t>Grünland lt. Tabellenblatt "Betrieb"</t>
  </si>
  <si>
    <t xml:space="preserve">Summe Grünland 
laut Kulturliste: </t>
  </si>
  <si>
    <t>Kultur hier auswählen oder händisch laut unteren Tabellen eintragen</t>
  </si>
  <si>
    <r>
      <t xml:space="preserve">Lagerraumbedarf </t>
    </r>
    <r>
      <rPr>
        <sz val="10"/>
        <color indexed="9"/>
        <rFont val="Arial"/>
        <family val="2"/>
      </rPr>
      <t xml:space="preserve">für 6 Monate gemäß Aktionsprogramm </t>
    </r>
  </si>
  <si>
    <t>Durchschnittstierliste der Tiere am Betrieb</t>
  </si>
  <si>
    <t>* Die Nährstoffausscheidungen auf Almen und Weiden werden nicht zu den Hofdüngern gezählt, sondern werden in Zeile29 extra angeführt!</t>
  </si>
  <si>
    <t>bitte eine 
Bezeichnung eingeben!</t>
  </si>
  <si>
    <t>Name 
des Produktes</t>
  </si>
  <si>
    <t>……</t>
  </si>
  <si>
    <t>…..</t>
  </si>
  <si>
    <t>Feststoff 1</t>
  </si>
  <si>
    <t>….</t>
  </si>
  <si>
    <t xml:space="preserve">Nährstoffe aus Biogas und sek. Rohstoffen und org. Zukaufsdüngern: </t>
  </si>
  <si>
    <r>
      <t>Raumgewicht</t>
    </r>
    <r>
      <rPr>
        <sz val="12"/>
        <color indexed="8"/>
        <rFont val="Profile-RegularItalic"/>
        <family val="4"/>
      </rPr>
      <t xml:space="preserve"> von Wirtschaftsdüngern und Komposten laut Tabelle 50 SGD</t>
    </r>
  </si>
  <si>
    <r>
      <t xml:space="preserve">N-Anfall feldfallend         </t>
    </r>
    <r>
      <rPr>
        <sz val="12"/>
        <color indexed="9"/>
        <rFont val="Arial"/>
        <family val="2"/>
      </rPr>
      <t xml:space="preserve"> je Platz</t>
    </r>
  </si>
  <si>
    <r>
      <t xml:space="preserve">Wirtschaftsdüngeranfallsmengen in 6 Monate                       </t>
    </r>
    <r>
      <rPr>
        <sz val="11"/>
        <color indexed="9"/>
        <rFont val="Arial"/>
        <family val="2"/>
      </rPr>
      <t>je Stallplatz in m3 &gt;&gt; entspricht vorgeschriebene Lagerkapazität</t>
    </r>
  </si>
  <si>
    <r>
      <t>Anfallsmengen an P</t>
    </r>
    <r>
      <rPr>
        <b/>
        <vertAlign val="subscript"/>
        <sz val="11"/>
        <color indexed="9"/>
        <rFont val="Trebuchet MS"/>
        <family val="2"/>
      </rPr>
      <t>2</t>
    </r>
    <r>
      <rPr>
        <b/>
        <sz val="11"/>
        <color indexed="9"/>
        <rFont val="Trebuchet MS"/>
        <family val="2"/>
      </rPr>
      <t>O</t>
    </r>
    <r>
      <rPr>
        <b/>
        <vertAlign val="subscript"/>
        <sz val="11"/>
        <color indexed="9"/>
        <rFont val="Trebuchet MS"/>
        <family val="2"/>
      </rPr>
      <t>5</t>
    </r>
    <r>
      <rPr>
        <b/>
        <sz val="11"/>
        <color indexed="9"/>
        <rFont val="Trebuchet MS"/>
        <family val="2"/>
      </rPr>
      <t xml:space="preserve"> und K</t>
    </r>
    <r>
      <rPr>
        <b/>
        <vertAlign val="subscript"/>
        <sz val="11"/>
        <color indexed="9"/>
        <rFont val="Trebuchet MS"/>
        <family val="2"/>
      </rPr>
      <t>2</t>
    </r>
    <r>
      <rPr>
        <b/>
        <sz val="11"/>
        <color indexed="9"/>
        <rFont val="Trebuchet MS"/>
        <family val="2"/>
      </rPr>
      <t>O aus der Tierhaltung (in kg je Stallplatz und Jahr)</t>
    </r>
  </si>
  <si>
    <t>Stickstoff-Anfall nach Abzug der Verluste im Stall und am Lager = N ab Lager</t>
  </si>
  <si>
    <t>Angaben können nur in den gelben Zellen eingetragen werden</t>
  </si>
  <si>
    <t>Nährstoffe aus Mineraldünger</t>
  </si>
  <si>
    <t>Saldo P-Bedarf</t>
  </si>
  <si>
    <t>N-feld-fallend je ha</t>
  </si>
  <si>
    <t>P mineralisch je ha</t>
  </si>
  <si>
    <r>
      <t>% P</t>
    </r>
    <r>
      <rPr>
        <b/>
        <vertAlign val="subscript"/>
        <sz val="11"/>
        <rFont val="Arial"/>
        <family val="2"/>
      </rPr>
      <t>2</t>
    </r>
    <r>
      <rPr>
        <b/>
        <sz val="11"/>
        <rFont val="Arial"/>
        <family val="2"/>
      </rPr>
      <t>O</t>
    </r>
    <r>
      <rPr>
        <b/>
        <vertAlign val="subscript"/>
        <sz val="11"/>
        <rFont val="Arial"/>
        <family val="2"/>
      </rPr>
      <t>5</t>
    </r>
  </si>
  <si>
    <r>
      <t>% K</t>
    </r>
    <r>
      <rPr>
        <b/>
        <vertAlign val="subscript"/>
        <sz val="11"/>
        <rFont val="Arial"/>
        <family val="2"/>
      </rPr>
      <t>2</t>
    </r>
    <r>
      <rPr>
        <b/>
        <sz val="11"/>
        <rFont val="Arial"/>
        <family val="2"/>
      </rPr>
      <t>O</t>
    </r>
  </si>
  <si>
    <r>
      <t>kg P</t>
    </r>
    <r>
      <rPr>
        <b/>
        <vertAlign val="subscript"/>
        <sz val="11"/>
        <rFont val="Arial"/>
        <family val="2"/>
      </rPr>
      <t>2</t>
    </r>
    <r>
      <rPr>
        <b/>
        <sz val="11"/>
        <rFont val="Arial"/>
        <family val="2"/>
      </rPr>
      <t>O</t>
    </r>
    <r>
      <rPr>
        <b/>
        <vertAlign val="subscript"/>
        <sz val="11"/>
        <rFont val="Arial"/>
        <family val="2"/>
      </rPr>
      <t>5</t>
    </r>
  </si>
  <si>
    <r>
      <t>kg K</t>
    </r>
    <r>
      <rPr>
        <b/>
        <vertAlign val="subscript"/>
        <sz val="11"/>
        <rFont val="Arial"/>
        <family val="2"/>
      </rPr>
      <t>2</t>
    </r>
    <r>
      <rPr>
        <b/>
        <sz val="11"/>
        <rFont val="Arial"/>
        <family val="2"/>
      </rPr>
      <t>O</t>
    </r>
  </si>
  <si>
    <r>
      <t xml:space="preserve">LK-Dünger-
</t>
    </r>
    <r>
      <rPr>
        <b/>
        <sz val="18"/>
        <color indexed="9"/>
        <rFont val="Arial"/>
        <family val="2"/>
      </rPr>
      <t>Aufzeichnungsprogramm</t>
    </r>
  </si>
  <si>
    <t>Achtung!
Wird Mist kurz vor der Ausbringung verflüssigt, so behält er seine Schnellwirksamkeit von 15%.
In diesem Fall kann er einer leeren Grube zugeordet werden. Beim Einmischen in eine andere Gülle oder Jauche wird das gewichtete Mittel der Schnellwirksamkeit berechnet.
Wird Mist regelmaßig verflüssigt müssen die Tiere auf Gülle eingegeben werden, denn es stellt sich eine Dynamik wie bei Gülle ein!</t>
  </si>
  <si>
    <t>* Eine Fruchtfolge ist stickstoffzehrend, wenn 2/3 der Ackerfläche nicht mit Leguminosen, Braugerste, Sonnenblumen oder Öllein bebaut ist</t>
  </si>
  <si>
    <t>Ackerkultur / Nutzung</t>
  </si>
  <si>
    <t>…</t>
  </si>
  <si>
    <t xml:space="preserve">Stapelhöhe: </t>
  </si>
  <si>
    <t xml:space="preserve">Mist-Stapelfläche: </t>
  </si>
  <si>
    <r>
      <t xml:space="preserve">Mit dem Ausdruck des Tabellenblattes "Ergebnis" sind die verpflichtenden Aufzeichnungen dokumentiert. 
</t>
    </r>
    <r>
      <rPr>
        <sz val="10"/>
        <color indexed="8"/>
        <rFont val="Arial"/>
        <family val="2"/>
      </rPr>
      <t xml:space="preserve">Die Plausibilität des Ergebnisses kann mit den Blättern "Betrieb", "N_Bedarf", "Tiere", "Mineral", und eventuell "Organ_Dü" untermauert werden. </t>
    </r>
  </si>
  <si>
    <t>Aufzeichungsblatt  - Bodennahe Ausbringung flüssiger Wirtschaftsdünger und Biogasgülle</t>
  </si>
  <si>
    <t>Düngerart</t>
  </si>
  <si>
    <t>Verfahren</t>
  </si>
  <si>
    <r>
      <t>Menge 
je ha 
in m</t>
    </r>
    <r>
      <rPr>
        <b/>
        <vertAlign val="superscript"/>
        <sz val="11"/>
        <rFont val="Arial"/>
        <family val="2"/>
      </rPr>
      <t>3</t>
    </r>
  </si>
  <si>
    <t>Winterweizen</t>
  </si>
  <si>
    <t>x</t>
  </si>
  <si>
    <t>(Datum bzw. Zeitraum, Anzahl der Tiere und Kennzeichnung):</t>
  </si>
  <si>
    <t>wie z.B. Witterungsextreme, Verkaufsvorbereitung, Tierschauen, Abkalbung, Brunst, Krankheit</t>
  </si>
  <si>
    <t>Hinderungen, Unterbrechungen und besondere Vorkommnisse</t>
  </si>
  <si>
    <t>Name, Adresse</t>
  </si>
  <si>
    <t>Fremdweiden und Almen, auf die aufgetrieben wird:</t>
  </si>
  <si>
    <r>
      <t xml:space="preserve">weibliche
Ziegen
</t>
    </r>
    <r>
      <rPr>
        <sz val="10"/>
        <rFont val="Arial"/>
        <family val="2"/>
      </rPr>
      <t>ab 1 Jahr</t>
    </r>
  </si>
  <si>
    <r>
      <t xml:space="preserve">weibliche
Schafe
</t>
    </r>
    <r>
      <rPr>
        <sz val="10"/>
        <rFont val="Arial"/>
        <family val="2"/>
      </rPr>
      <t>ab 1 Jahr</t>
    </r>
  </si>
  <si>
    <r>
      <t xml:space="preserve">weibliche
Rinder
</t>
    </r>
    <r>
      <rPr>
        <sz val="10"/>
        <rFont val="Arial"/>
        <family val="2"/>
      </rPr>
      <t>ab 2 Jahr</t>
    </r>
  </si>
  <si>
    <r>
      <t xml:space="preserve">weibliche
Jungrinder
</t>
    </r>
    <r>
      <rPr>
        <sz val="9"/>
        <rFont val="Arial"/>
        <family val="2"/>
      </rPr>
      <t xml:space="preserve">1/2 bis &lt;2 J </t>
    </r>
  </si>
  <si>
    <r>
      <t xml:space="preserve">männliche
Rinder
</t>
    </r>
    <r>
      <rPr>
        <sz val="10"/>
        <rFont val="Arial"/>
        <family val="2"/>
      </rPr>
      <t>ab 1/2 Jahr</t>
    </r>
  </si>
  <si>
    <r>
      <t xml:space="preserve">Weideort
</t>
    </r>
    <r>
      <rPr>
        <sz val="11"/>
        <rFont val="Arial"/>
        <family val="2"/>
      </rPr>
      <t>(Feldstück)</t>
    </r>
  </si>
  <si>
    <t>Datum
bis</t>
  </si>
  <si>
    <t>Datum
von</t>
  </si>
  <si>
    <t>Programmbeschreibung</t>
  </si>
  <si>
    <t xml:space="preserve">Betriebs-Nr.: </t>
  </si>
  <si>
    <t>MFA:</t>
  </si>
  <si>
    <t>Betriebs-Nr.:</t>
  </si>
  <si>
    <t>Küken u. Junghennen für Legezw. bis 1/2 Jahr</t>
  </si>
  <si>
    <t>Mastküken und Jungmasthühner auf der Basis von 7 Umtrieben pro Jahr</t>
  </si>
  <si>
    <t>Stickstoff auf Weiden und Almen:</t>
  </si>
  <si>
    <r>
      <t>kg P</t>
    </r>
    <r>
      <rPr>
        <vertAlign val="subscript"/>
        <sz val="10"/>
        <color indexed="8"/>
        <rFont val="Arial"/>
        <family val="2"/>
      </rPr>
      <t>2</t>
    </r>
    <r>
      <rPr>
        <sz val="11"/>
        <color indexed="8"/>
        <rFont val="Arial"/>
        <family val="2"/>
      </rPr>
      <t>O</t>
    </r>
    <r>
      <rPr>
        <vertAlign val="subscript"/>
        <sz val="10"/>
        <color indexed="8"/>
        <rFont val="Arial"/>
        <family val="2"/>
      </rPr>
      <t xml:space="preserve">5
</t>
    </r>
    <r>
      <rPr>
        <sz val="11"/>
        <color indexed="8"/>
        <rFont val="Arial"/>
        <family val="2"/>
      </rPr>
      <t>je m³ / t</t>
    </r>
  </si>
  <si>
    <r>
      <t>kg K</t>
    </r>
    <r>
      <rPr>
        <vertAlign val="subscript"/>
        <sz val="10"/>
        <color indexed="8"/>
        <rFont val="Arial"/>
        <family val="2"/>
      </rPr>
      <t>2</t>
    </r>
    <r>
      <rPr>
        <sz val="11"/>
        <color indexed="8"/>
        <rFont val="Arial"/>
        <family val="2"/>
      </rPr>
      <t>O
je m³ / t</t>
    </r>
  </si>
  <si>
    <t xml:space="preserve">kg Nges
je m³ oder t </t>
  </si>
  <si>
    <t>Entzugs-
wert nach Anhang P</t>
  </si>
  <si>
    <t>Sommerbraugerste</t>
  </si>
  <si>
    <t>Winterraps</t>
  </si>
  <si>
    <t>Dauerweide</t>
  </si>
  <si>
    <r>
      <t xml:space="preserve">LK-Düngerrechner </t>
    </r>
    <r>
      <rPr>
        <b/>
        <sz val="20"/>
        <color indexed="9"/>
        <rFont val="Arial"/>
        <family val="2"/>
      </rPr>
      <t xml:space="preserve">
</t>
    </r>
    <r>
      <rPr>
        <sz val="14"/>
        <color indexed="9"/>
        <rFont val="Arial"/>
        <family val="2"/>
      </rPr>
      <t>für</t>
    </r>
    <r>
      <rPr>
        <b/>
        <sz val="14"/>
        <color indexed="9"/>
        <rFont val="Arial"/>
        <family val="2"/>
      </rPr>
      <t xml:space="preserve"> </t>
    </r>
    <r>
      <rPr>
        <sz val="14"/>
        <color indexed="9"/>
        <rFont val="Arial"/>
        <family val="2"/>
      </rPr>
      <t>betriebsbezogene Aufzeichnungen</t>
    </r>
  </si>
  <si>
    <t>siehe Begleitschein</t>
  </si>
  <si>
    <t>N-Äquivalent</t>
  </si>
  <si>
    <t>x AO</t>
  </si>
  <si>
    <t>Rinder</t>
  </si>
  <si>
    <t>kg N pro Tier/Platz und Jahr</t>
  </si>
  <si>
    <t>m³-anfall pro Tier/Platz und Jahr</t>
  </si>
  <si>
    <t>nährstoff-best.</t>
  </si>
  <si>
    <t>kg P2O5 pro Tier/Platz und Jahr</t>
  </si>
  <si>
    <t>kg K2O pro Tier/Platz und Jahr</t>
  </si>
  <si>
    <t>P2O4</t>
  </si>
  <si>
    <t>P2O5 reduziert</t>
  </si>
  <si>
    <t>- Ausbringverluste</t>
  </si>
  <si>
    <t>BIO-VO Tierzahl</t>
  </si>
  <si>
    <r>
      <t xml:space="preserve">BIO </t>
    </r>
    <r>
      <rPr>
        <sz val="8"/>
        <rFont val="Arial"/>
        <family val="2"/>
      </rPr>
      <t>Kontrolle</t>
    </r>
  </si>
  <si>
    <t>Bio VO</t>
  </si>
  <si>
    <t>Tiere I</t>
  </si>
  <si>
    <t>Tiere auf Dauerweiden und Almen</t>
  </si>
  <si>
    <t>P und K auf Weiden</t>
  </si>
  <si>
    <t>P und K auf Almen</t>
  </si>
  <si>
    <t>R-Gülle</t>
  </si>
  <si>
    <t>S-Gülle</t>
  </si>
  <si>
    <t>G-Gülle</t>
  </si>
  <si>
    <t>Jauche</t>
  </si>
  <si>
    <t>Mist</t>
  </si>
  <si>
    <t>Gülle</t>
  </si>
  <si>
    <t>GVE</t>
  </si>
  <si>
    <t>Bestand</t>
  </si>
  <si>
    <t>Stück</t>
  </si>
  <si>
    <t>nährstoffbest. Bestand</t>
  </si>
  <si>
    <t>kg N je Tier / Platz</t>
  </si>
  <si>
    <t>N aus</t>
  </si>
  <si>
    <t>Lagerraumbedarf je Tier / Platz</t>
  </si>
  <si>
    <t>OPUL</t>
  </si>
  <si>
    <t>Phosphor</t>
  </si>
  <si>
    <t>Kali</t>
  </si>
  <si>
    <t>K2O</t>
  </si>
  <si>
    <t>Anzahl aufgtr. Tiere</t>
  </si>
  <si>
    <t>Tage auf Weide</t>
  </si>
  <si>
    <t>Tage auf Almen</t>
  </si>
  <si>
    <t>Ausscheidung</t>
  </si>
  <si>
    <t>N auf Weiden</t>
  </si>
  <si>
    <t>N auf</t>
  </si>
  <si>
    <t>N auf Almen</t>
  </si>
  <si>
    <r>
      <t>P</t>
    </r>
    <r>
      <rPr>
        <b/>
        <vertAlign val="subscript"/>
        <sz val="11"/>
        <rFont val="Trebuchet MS"/>
        <family val="2"/>
      </rPr>
      <t>2</t>
    </r>
    <r>
      <rPr>
        <b/>
        <sz val="11"/>
        <rFont val="Trebuchet MS"/>
        <family val="2"/>
      </rPr>
      <t>O</t>
    </r>
    <r>
      <rPr>
        <b/>
        <vertAlign val="subscript"/>
        <sz val="11"/>
        <rFont val="Trebuchet MS"/>
        <family val="2"/>
      </rPr>
      <t xml:space="preserve">5 </t>
    </r>
  </si>
  <si>
    <r>
      <t>K</t>
    </r>
    <r>
      <rPr>
        <b/>
        <vertAlign val="subscript"/>
        <sz val="11"/>
        <rFont val="Trebuchet MS"/>
        <family val="2"/>
      </rPr>
      <t>2</t>
    </r>
    <r>
      <rPr>
        <b/>
        <sz val="11"/>
        <rFont val="Trebuchet MS"/>
        <family val="2"/>
      </rPr>
      <t>O</t>
    </r>
  </si>
  <si>
    <r>
      <t>P</t>
    </r>
    <r>
      <rPr>
        <b/>
        <vertAlign val="subscript"/>
        <sz val="11"/>
        <rFont val="Trebuchet MS"/>
        <family val="2"/>
      </rPr>
      <t>2</t>
    </r>
    <r>
      <rPr>
        <b/>
        <sz val="11"/>
        <rFont val="Trebuchet MS"/>
        <family val="2"/>
      </rPr>
      <t>O</t>
    </r>
    <r>
      <rPr>
        <b/>
        <vertAlign val="subscript"/>
        <sz val="11"/>
        <rFont val="Trebuchet MS"/>
        <family val="2"/>
      </rPr>
      <t>5</t>
    </r>
  </si>
  <si>
    <t>ÖPUL</t>
  </si>
  <si>
    <t>nähr
stoff
best. Bestand</t>
  </si>
  <si>
    <t xml:space="preserve"> BIO Tiere Obergrenze</t>
  </si>
  <si>
    <t>Austria Biokontrolle</t>
  </si>
  <si>
    <t>Liste_JA</t>
  </si>
  <si>
    <t>Anzahl</t>
  </si>
  <si>
    <t>Tierh.</t>
  </si>
  <si>
    <t xml:space="preserve"> = % Weide</t>
  </si>
  <si>
    <t xml:space="preserve"> = % Alm</t>
  </si>
  <si>
    <t>Weiden</t>
  </si>
  <si>
    <t>Alm</t>
  </si>
  <si>
    <t>GVE auf Alm</t>
  </si>
  <si>
    <t>Anzahl zulässig</t>
  </si>
  <si>
    <t>ha für BIO</t>
  </si>
  <si>
    <t>JA</t>
  </si>
  <si>
    <t>andere Kälber und Jungrinder unter 1/2 Jahr - Gülle</t>
  </si>
  <si>
    <t>NEIN</t>
  </si>
  <si>
    <t>andere Kälber und Jungrinder unter 1/2 Jahr - Mist/Jauche</t>
  </si>
  <si>
    <t>andere Kälber und Jungrinder unter 1/2 Jahr - Tiefstallmist</t>
  </si>
  <si>
    <t>AO8</t>
  </si>
  <si>
    <t>Maßnahmen ja=1</t>
  </si>
  <si>
    <t>Jungvieh 1/2 bis 1 Jahr - Gülle</t>
  </si>
  <si>
    <t>AO9</t>
  </si>
  <si>
    <t>Jungvieh 1/2 bis 1 Jahr - Mist/Jauche</t>
  </si>
  <si>
    <t>AO10</t>
  </si>
  <si>
    <t>Jungvieh 1/2 bis 1 Jahr - Tiefstallmist</t>
  </si>
  <si>
    <t>AO11</t>
  </si>
  <si>
    <t>P-Saldo</t>
  </si>
  <si>
    <t>Jungvieh 1 bis 2 Jahr - Gülle</t>
  </si>
  <si>
    <t>AO12</t>
  </si>
  <si>
    <t>kein P-min.</t>
  </si>
  <si>
    <t>Jungvieh 1 bis 2 Jahr - Mist/Jauche</t>
  </si>
  <si>
    <t>AO13</t>
  </si>
  <si>
    <t>P Mindeststandart</t>
  </si>
  <si>
    <t>Jungvieh 1 bis 2 Jahr - Tiefstallmist</t>
  </si>
  <si>
    <t>AO14</t>
  </si>
  <si>
    <t>Ochsen, Stiere - Gülle</t>
  </si>
  <si>
    <t>AO15</t>
  </si>
  <si>
    <t>Phosphor-Werte 
bei C-Versorgung</t>
  </si>
  <si>
    <r>
      <t xml:space="preserve">Vergleich der Flächenangaben
</t>
    </r>
    <r>
      <rPr>
        <sz val="14"/>
        <rFont val="Arial"/>
        <family val="2"/>
      </rPr>
      <t>dient nur zur Orientierung</t>
    </r>
  </si>
  <si>
    <r>
      <t xml:space="preserve">Meine Fruchtfolge ist stickstoffzehrend! </t>
    </r>
    <r>
      <rPr>
        <b/>
        <sz val="20"/>
        <rFont val="Arial"/>
        <family val="2"/>
      </rPr>
      <t>*</t>
    </r>
  </si>
  <si>
    <r>
      <t>Gesamtbetriebliche Aufzeichnungen</t>
    </r>
    <r>
      <rPr>
        <b/>
        <sz val="11"/>
        <rFont val="Arial"/>
        <family val="2"/>
      </rPr>
      <t xml:space="preserve"> </t>
    </r>
    <r>
      <rPr>
        <sz val="11"/>
        <rFont val="Arial"/>
        <family val="2"/>
      </rPr>
      <t>laut Nitrat-Aktionsprogramm-Verordnung</t>
    </r>
  </si>
  <si>
    <r>
      <t>P</t>
    </r>
    <r>
      <rPr>
        <b/>
        <vertAlign val="subscript"/>
        <sz val="11"/>
        <rFont val="Arial"/>
        <family val="2"/>
      </rPr>
      <t>2</t>
    </r>
    <r>
      <rPr>
        <b/>
        <sz val="11"/>
        <rFont val="Arial"/>
        <family val="2"/>
      </rPr>
      <t>O</t>
    </r>
    <r>
      <rPr>
        <b/>
        <vertAlign val="subscript"/>
        <sz val="11"/>
        <rFont val="Arial"/>
        <family val="2"/>
      </rPr>
      <t>5</t>
    </r>
    <r>
      <rPr>
        <b/>
        <sz val="11"/>
        <rFont val="Arial"/>
        <family val="2"/>
      </rPr>
      <t xml:space="preserve"> / m³</t>
    </r>
  </si>
  <si>
    <r>
      <t>K</t>
    </r>
    <r>
      <rPr>
        <b/>
        <vertAlign val="subscript"/>
        <sz val="11"/>
        <rFont val="Arial"/>
        <family val="2"/>
      </rPr>
      <t>2</t>
    </r>
    <r>
      <rPr>
        <b/>
        <sz val="11"/>
        <rFont val="Arial"/>
        <family val="2"/>
      </rPr>
      <t>O / m³</t>
    </r>
  </si>
  <si>
    <r>
      <t>kg NH</t>
    </r>
    <r>
      <rPr>
        <b/>
        <vertAlign val="subscript"/>
        <sz val="11"/>
        <rFont val="Arial"/>
        <family val="2"/>
      </rPr>
      <t>4</t>
    </r>
    <r>
      <rPr>
        <b/>
        <sz val="11"/>
        <rFont val="Arial"/>
        <family val="2"/>
      </rPr>
      <t>-N</t>
    </r>
  </si>
  <si>
    <r>
      <t>NH</t>
    </r>
    <r>
      <rPr>
        <b/>
        <vertAlign val="subscript"/>
        <sz val="11"/>
        <rFont val="Arial"/>
        <family val="2"/>
      </rPr>
      <t>4</t>
    </r>
    <r>
      <rPr>
        <b/>
        <sz val="11"/>
        <rFont val="Arial"/>
        <family val="2"/>
      </rPr>
      <t>-N</t>
    </r>
  </si>
  <si>
    <r>
      <t>P</t>
    </r>
    <r>
      <rPr>
        <b/>
        <vertAlign val="subscript"/>
        <sz val="10"/>
        <rFont val="Arial"/>
        <family val="2"/>
      </rPr>
      <t>2</t>
    </r>
    <r>
      <rPr>
        <b/>
        <sz val="10"/>
        <rFont val="Arial"/>
        <family val="2"/>
      </rPr>
      <t>O</t>
    </r>
    <r>
      <rPr>
        <b/>
        <vertAlign val="subscript"/>
        <sz val="10"/>
        <rFont val="Arial"/>
        <family val="2"/>
      </rPr>
      <t xml:space="preserve">5                 </t>
    </r>
    <r>
      <rPr>
        <b/>
        <sz val="10"/>
        <rFont val="Arial"/>
        <family val="2"/>
      </rPr>
      <t xml:space="preserve"> je  m³ / t</t>
    </r>
  </si>
  <si>
    <r>
      <t>K</t>
    </r>
    <r>
      <rPr>
        <b/>
        <vertAlign val="subscript"/>
        <sz val="10"/>
        <rFont val="Arial"/>
        <family val="2"/>
      </rPr>
      <t>2</t>
    </r>
    <r>
      <rPr>
        <b/>
        <sz val="10"/>
        <rFont val="Arial"/>
        <family val="2"/>
      </rPr>
      <t>O         je m³ / t</t>
    </r>
  </si>
  <si>
    <r>
      <t>W</t>
    </r>
    <r>
      <rPr>
        <b/>
        <vertAlign val="subscript"/>
        <sz val="10"/>
        <rFont val="Arial"/>
        <family val="2"/>
      </rPr>
      <t>irksamkeit 
zB wie</t>
    </r>
  </si>
  <si>
    <r>
      <t>wie Rindergülle</t>
    </r>
    <r>
      <rPr>
        <sz val="10"/>
        <rFont val="Arial"/>
        <family val="2"/>
      </rPr>
      <t xml:space="preserve">   </t>
    </r>
    <r>
      <rPr>
        <sz val="12"/>
        <rFont val="Arial"/>
        <family val="2"/>
      </rPr>
      <t xml:space="preserve">   </t>
    </r>
    <r>
      <rPr>
        <sz val="14"/>
        <rFont val="Arial"/>
        <family val="2"/>
      </rPr>
      <t xml:space="preserve">             </t>
    </r>
    <r>
      <rPr>
        <sz val="11"/>
        <rFont val="Arial"/>
        <family val="2"/>
      </rPr>
      <t xml:space="preserve">  ( weniger als 15% TS) </t>
    </r>
  </si>
  <si>
    <r>
      <t xml:space="preserve">wie Stallmist </t>
    </r>
    <r>
      <rPr>
        <sz val="10"/>
        <rFont val="Arial"/>
        <family val="2"/>
      </rPr>
      <t xml:space="preserve"> </t>
    </r>
    <r>
      <rPr>
        <sz val="12"/>
        <rFont val="Arial"/>
        <family val="2"/>
      </rPr>
      <t xml:space="preserve">                      (org. Handelsdünger mit mehr als 15% TM)</t>
    </r>
  </si>
  <si>
    <r>
      <t>Ø</t>
    </r>
    <r>
      <rPr>
        <sz val="9"/>
        <rFont val="Arial"/>
        <family val="2"/>
      </rPr>
      <t xml:space="preserve"> 
</t>
    </r>
    <r>
      <rPr>
        <b/>
        <sz val="9"/>
        <rFont val="Arial"/>
        <family val="2"/>
      </rPr>
      <t>Stück</t>
    </r>
    <r>
      <rPr>
        <sz val="9"/>
        <rFont val="Arial"/>
        <family val="2"/>
      </rPr>
      <t xml:space="preserve">/
</t>
    </r>
    <r>
      <rPr>
        <sz val="8"/>
        <rFont val="Arial"/>
        <family val="2"/>
      </rPr>
      <t>Stallplätze</t>
    </r>
  </si>
  <si>
    <r>
      <t>Anzahl</t>
    </r>
    <r>
      <rPr>
        <b/>
        <sz val="9"/>
        <rFont val="Arial"/>
        <family val="2"/>
      </rPr>
      <t xml:space="preserve"> Tiere</t>
    </r>
  </si>
  <si>
    <r>
      <t xml:space="preserve">Anzahl </t>
    </r>
    <r>
      <rPr>
        <b/>
        <sz val="9"/>
        <rFont val="Arial"/>
        <family val="2"/>
      </rPr>
      <t>Tage</t>
    </r>
  </si>
  <si>
    <r>
      <t>P</t>
    </r>
    <r>
      <rPr>
        <b/>
        <vertAlign val="subscript"/>
        <sz val="9"/>
        <rFont val="Trebuchet MS"/>
        <family val="2"/>
      </rPr>
      <t>2</t>
    </r>
    <r>
      <rPr>
        <b/>
        <sz val="9"/>
        <rFont val="Trebuchet MS"/>
        <family val="2"/>
      </rPr>
      <t>O</t>
    </r>
    <r>
      <rPr>
        <b/>
        <vertAlign val="subscript"/>
        <sz val="9"/>
        <rFont val="Trebuchet MS"/>
        <family val="2"/>
      </rPr>
      <t>5</t>
    </r>
  </si>
  <si>
    <r>
      <t>K</t>
    </r>
    <r>
      <rPr>
        <b/>
        <vertAlign val="subscript"/>
        <sz val="9"/>
        <rFont val="Trebuchet MS"/>
        <family val="2"/>
      </rPr>
      <t>2</t>
    </r>
    <r>
      <rPr>
        <b/>
        <sz val="9"/>
        <rFont val="Trebuchet MS"/>
        <family val="2"/>
      </rPr>
      <t>O</t>
    </r>
  </si>
  <si>
    <r>
      <t xml:space="preserve">N </t>
    </r>
    <r>
      <rPr>
        <sz val="9"/>
        <rFont val="Arial"/>
        <family val="2"/>
      </rPr>
      <t>Lager</t>
    </r>
  </si>
  <si>
    <r>
      <t>P</t>
    </r>
    <r>
      <rPr>
        <b/>
        <vertAlign val="subscript"/>
        <sz val="9"/>
        <rFont val="Arial"/>
        <family val="2"/>
      </rPr>
      <t>2</t>
    </r>
    <r>
      <rPr>
        <b/>
        <sz val="9"/>
        <rFont val="Arial"/>
        <family val="2"/>
      </rPr>
      <t>O</t>
    </r>
    <r>
      <rPr>
        <b/>
        <vertAlign val="subscript"/>
        <sz val="9"/>
        <rFont val="Arial"/>
        <family val="2"/>
      </rPr>
      <t>5</t>
    </r>
  </si>
  <si>
    <r>
      <t xml:space="preserve">N </t>
    </r>
    <r>
      <rPr>
        <sz val="9"/>
        <rFont val="Arial"/>
        <family val="2"/>
      </rPr>
      <t>/ m³</t>
    </r>
    <r>
      <rPr>
        <b/>
        <sz val="9"/>
        <rFont val="Arial"/>
        <family val="2"/>
      </rPr>
      <t xml:space="preserve"> 
</t>
    </r>
    <r>
      <rPr>
        <sz val="8"/>
        <rFont val="Arial"/>
        <family val="2"/>
      </rPr>
      <t>ab Lager</t>
    </r>
  </si>
  <si>
    <r>
      <t xml:space="preserve">N </t>
    </r>
    <r>
      <rPr>
        <sz val="9"/>
        <rFont val="Arial"/>
        <family val="2"/>
      </rPr>
      <t xml:space="preserve">/ m³
</t>
    </r>
    <r>
      <rPr>
        <sz val="8"/>
        <rFont val="Arial"/>
        <family val="2"/>
      </rPr>
      <t>feldfallend</t>
    </r>
  </si>
  <si>
    <r>
      <t>N</t>
    </r>
    <r>
      <rPr>
        <sz val="9"/>
        <rFont val="Arial"/>
        <family val="2"/>
      </rPr>
      <t xml:space="preserve"> / m³
</t>
    </r>
    <r>
      <rPr>
        <sz val="8"/>
        <rFont val="Arial"/>
        <family val="2"/>
      </rPr>
      <t>jahresw.</t>
    </r>
  </si>
  <si>
    <r>
      <t>P</t>
    </r>
    <r>
      <rPr>
        <b/>
        <vertAlign val="subscript"/>
        <sz val="9"/>
        <rFont val="Arial"/>
        <family val="2"/>
      </rPr>
      <t>2</t>
    </r>
    <r>
      <rPr>
        <b/>
        <sz val="9"/>
        <rFont val="Arial"/>
        <family val="2"/>
      </rPr>
      <t>O</t>
    </r>
    <r>
      <rPr>
        <b/>
        <vertAlign val="subscript"/>
        <sz val="9"/>
        <rFont val="Arial"/>
        <family val="2"/>
      </rPr>
      <t xml:space="preserve">5
</t>
    </r>
    <r>
      <rPr>
        <sz val="8"/>
        <rFont val="Arial"/>
        <family val="2"/>
      </rPr>
      <t>je m³</t>
    </r>
  </si>
  <si>
    <r>
      <t xml:space="preserve">Kali
</t>
    </r>
    <r>
      <rPr>
        <sz val="9"/>
        <rFont val="Arial"/>
        <family val="2"/>
      </rPr>
      <t>je m³</t>
    </r>
  </si>
  <si>
    <r>
      <t xml:space="preserve">Menge N 
</t>
    </r>
    <r>
      <rPr>
        <sz val="9"/>
        <rFont val="Arial"/>
        <family val="2"/>
      </rPr>
      <t>ab Lager</t>
    </r>
  </si>
  <si>
    <r>
      <t xml:space="preserve">Menge 
</t>
    </r>
    <r>
      <rPr>
        <sz val="9"/>
        <rFont val="Arial"/>
        <family val="2"/>
      </rPr>
      <t>N jw</t>
    </r>
  </si>
  <si>
    <r>
      <t>Menge
P</t>
    </r>
    <r>
      <rPr>
        <vertAlign val="subscript"/>
        <sz val="8"/>
        <rFont val="Arial"/>
        <family val="2"/>
      </rPr>
      <t>2</t>
    </r>
    <r>
      <rPr>
        <sz val="8"/>
        <rFont val="Arial"/>
        <family val="2"/>
      </rPr>
      <t>O</t>
    </r>
    <r>
      <rPr>
        <vertAlign val="subscript"/>
        <sz val="8"/>
        <rFont val="Arial"/>
        <family val="2"/>
      </rPr>
      <t xml:space="preserve">5 </t>
    </r>
  </si>
  <si>
    <r>
      <t>Menge
K</t>
    </r>
    <r>
      <rPr>
        <vertAlign val="subscript"/>
        <sz val="8"/>
        <rFont val="Arial"/>
        <family val="2"/>
      </rPr>
      <t>2</t>
    </r>
    <r>
      <rPr>
        <sz val="8"/>
        <rFont val="Arial"/>
        <family val="2"/>
      </rPr>
      <t>O</t>
    </r>
  </si>
  <si>
    <r>
      <t>N-Anfall am Lager -</t>
    </r>
    <r>
      <rPr>
        <sz val="10"/>
        <rFont val="Arial"/>
        <family val="2"/>
      </rPr>
      <t>170 kg N aus WD</t>
    </r>
  </si>
  <si>
    <t>Ochsen, Stiere - Mist/Jauche</t>
  </si>
  <si>
    <t>AO16</t>
  </si>
  <si>
    <t>Ochsen, Stiere - Tiefstallmist</t>
  </si>
  <si>
    <t>Kalbinnen - Gülle</t>
  </si>
  <si>
    <t>AK18 - GVE</t>
  </si>
  <si>
    <t>Kalbinnen - Mist/Jauche</t>
  </si>
  <si>
    <t>AK19</t>
  </si>
  <si>
    <t>Kalbinnen - Tiefstallmist</t>
  </si>
  <si>
    <t>AK20 - WRG!!</t>
  </si>
  <si>
    <t>Summen</t>
  </si>
  <si>
    <t>N ab lager</t>
  </si>
  <si>
    <t>Milch- bzw. Mutterkühe (3000 kg Milch)  - Gülle</t>
  </si>
  <si>
    <t>AK21 - WRG</t>
  </si>
  <si>
    <t>feldfallend</t>
  </si>
  <si>
    <t>Teilsumme P auf Weiden</t>
  </si>
  <si>
    <t>Teilsumme K auf Weiden</t>
  </si>
  <si>
    <t>Teilsumme P auf Almen</t>
  </si>
  <si>
    <t>Teilsumme K auf Almen</t>
  </si>
  <si>
    <t>Fläche Betrieb</t>
  </si>
  <si>
    <t>Milch- bzw. Mutterkühe (3000 kg Milch)  - Mist / Jauche</t>
  </si>
  <si>
    <t>Wirtschaftsdüngerkauf   Bezeichnung</t>
  </si>
  <si>
    <t>N / m³ / t</t>
  </si>
  <si>
    <t>P/ m³ / t</t>
  </si>
  <si>
    <t>K / m³ / t</t>
  </si>
  <si>
    <t>m³ / t</t>
  </si>
  <si>
    <t>Jahreswirksam</t>
  </si>
  <si>
    <t xml:space="preserve"> - - -</t>
  </si>
  <si>
    <t>Milch- bzw. Mutterkühe (3000 kg Milch)  - Tiefstallmist</t>
  </si>
  <si>
    <t>Liste Ertragslage</t>
  </si>
  <si>
    <t>Rinder-Gülle</t>
  </si>
  <si>
    <t>Summe N jahresw auf Weiden und Almen</t>
  </si>
  <si>
    <t>&gt; 2,5</t>
  </si>
  <si>
    <t>3)</t>
  </si>
  <si>
    <t>&gt; 4,0</t>
  </si>
  <si>
    <t>&lt; 4,0</t>
  </si>
  <si>
    <t>&lt; 6,0</t>
  </si>
  <si>
    <t>6,0 - 8,0</t>
  </si>
  <si>
    <t>&lt; 9,5</t>
  </si>
  <si>
    <t>&gt; 9,5</t>
  </si>
  <si>
    <t>&lt; 11,0</t>
  </si>
  <si>
    <t>&gt; 11,0</t>
  </si>
  <si>
    <t>&gt; 12,5</t>
  </si>
  <si>
    <t>&lt; 0,1</t>
  </si>
  <si>
    <t>0,1 - 0,4</t>
  </si>
  <si>
    <t>&gt; 0,4</t>
  </si>
  <si>
    <t>Bedarf nach Fachliteratur</t>
  </si>
  <si>
    <t>&lt; 0,2</t>
  </si>
  <si>
    <t>0,2 - 0,7</t>
  </si>
  <si>
    <t>&gt; 0,7</t>
  </si>
  <si>
    <t>&lt; 0,3</t>
  </si>
  <si>
    <t>0,3 - 0,5</t>
  </si>
  <si>
    <t>&gt; 0,5</t>
  </si>
  <si>
    <t>Milch- bzw. Ammenkühe (4000 kg Milch)  - Gülle</t>
  </si>
  <si>
    <t>hoch 1</t>
  </si>
  <si>
    <t>Schweine-Gülle</t>
  </si>
  <si>
    <t>bis</t>
  </si>
  <si>
    <t>Milch- bzw. Ammenkühe (4000 kg Milch)  - Mist / Jauche</t>
  </si>
  <si>
    <t>mittel</t>
  </si>
  <si>
    <t>Geflügel-Gülle</t>
  </si>
  <si>
    <t>Milch- bzw. Ammenkühe (4000 kg Milch)  - Tiefstallmist</t>
  </si>
  <si>
    <t>Milchkühe (5000 kg Milch) - Gülle</t>
  </si>
  <si>
    <t>P</t>
  </si>
  <si>
    <t>K</t>
  </si>
  <si>
    <t>Milchkühe (5000 kg Milch) - Mist/Jauche</t>
  </si>
  <si>
    <t>Wirtschaftsdüngerzukauf</t>
  </si>
  <si>
    <t>P und K plus Zukauf</t>
  </si>
  <si>
    <t>Milchkühe (5000 kg Milch) - Tiefstallmist</t>
  </si>
  <si>
    <t>Wirtschaftsdüngerabgang</t>
  </si>
  <si>
    <t>siehe Tabelle Wirtschaftsdüngerverkauf Zelle BF 49</t>
  </si>
  <si>
    <t>P und K auf Weiden und Almen</t>
  </si>
  <si>
    <t>Milchkühe (6000 kg Milch) - Gülle</t>
  </si>
  <si>
    <t>Wirtschaftsdüngerabgang auf Almen</t>
  </si>
  <si>
    <t>siehe  Zelle CD 20</t>
  </si>
  <si>
    <t>Summen abzueglich Weide und Alm</t>
  </si>
  <si>
    <t>Milchkühe (6000 kg Milch) - Mist/Jauche</t>
  </si>
  <si>
    <t>Wirtschaftsdüngeranteil aus org. Düngern</t>
  </si>
  <si>
    <t>siehe unten</t>
  </si>
  <si>
    <t>P incl. Zu- und Verkauf - Weide u. Alm</t>
  </si>
  <si>
    <t>K incl. Zu- und Verkauf -Weide u. Alm</t>
  </si>
  <si>
    <t>Summen abzueglich Weide, Alm und Verkauf</t>
  </si>
  <si>
    <t>Milchkühe (6000 kg Milch) - Tiefstallmist</t>
  </si>
  <si>
    <t>Wirtschaftsdüngerzu- und -abgang</t>
  </si>
  <si>
    <t>P incl. Zu- und Verkauf ohne  Alm</t>
  </si>
  <si>
    <t>P aus Tierhaltung ohne Alm</t>
  </si>
  <si>
    <t>Milchkühe (7000 kg Milch) - Gülle</t>
  </si>
  <si>
    <t>Wirtschaftsdüngerstickstoff ab Lager der am eigenen Betrieb ausgebracht wurde</t>
  </si>
  <si>
    <t>N ab Lager</t>
  </si>
  <si>
    <t>P für Saldo</t>
  </si>
  <si>
    <t>Milchkühe (7000 kg Milch) - Mist/Jauche</t>
  </si>
  <si>
    <t>Milchkühe (7000 kg Milch) - Tiefstallmist</t>
  </si>
  <si>
    <t>Stickstoff auf Weiden und Almen</t>
  </si>
  <si>
    <t>für Grubenberechnung Tab Hofdung Zellen C4-8</t>
  </si>
  <si>
    <t>Milchkühe (8000 kg Milch) - Gülle</t>
  </si>
  <si>
    <t>Summe Tierhaltung + Zukauf abzügl. Weide u Alm</t>
  </si>
  <si>
    <t>Milchkühe (8000 kg Milch) - Mist/Jauche</t>
  </si>
  <si>
    <t>Milchkühe (8000 kg Milch) - Tiefstallmist</t>
  </si>
  <si>
    <t>Milchkühe (9000 kg Milch) - Gülle</t>
  </si>
  <si>
    <t>N gesamt aus Bio-gas und org. Roh-stoffen getrennt in</t>
  </si>
  <si>
    <t>Milchkühe (9000 kg Milch) - Mist/Jauche</t>
  </si>
  <si>
    <t>Rinder gülle</t>
  </si>
  <si>
    <t>Schweine-gülle</t>
  </si>
  <si>
    <t>Geflügel-gülle</t>
  </si>
  <si>
    <t>Jauche Anteil</t>
  </si>
  <si>
    <t>Rotte-   mist</t>
  </si>
  <si>
    <t>Kompost</t>
  </si>
  <si>
    <t>Menge</t>
  </si>
  <si>
    <t>Milchkühe (9000 kg Milch) - Tiefstallmist</t>
  </si>
  <si>
    <t>N aus org Düngern</t>
  </si>
  <si>
    <t>Wirtschaftsdüngerverkauf</t>
  </si>
  <si>
    <t>Nährstoffmengen ab Lager</t>
  </si>
  <si>
    <t xml:space="preserve">        Mengen</t>
  </si>
  <si>
    <t>Milchkühe (&gt; 10.000 kg Milch) - Gülle</t>
  </si>
  <si>
    <t>tierischen Anteil</t>
  </si>
  <si>
    <t>aus:</t>
  </si>
  <si>
    <t>t od.m³</t>
  </si>
  <si>
    <t>P je m³</t>
  </si>
  <si>
    <t>K je m³</t>
  </si>
  <si>
    <t>N</t>
  </si>
  <si>
    <t>N ff.</t>
  </si>
  <si>
    <t>N jw.</t>
  </si>
  <si>
    <t>N-ff</t>
  </si>
  <si>
    <t>Milchkühe (&gt; 10.000 kg Milch) - Mist/Jauche</t>
  </si>
  <si>
    <t>nicht tier. Anteil</t>
  </si>
  <si>
    <t>Grube 1</t>
  </si>
  <si>
    <t>Milchkühe (&gt; 10.000 kg Milch) - Tiefstallmist</t>
  </si>
  <si>
    <t>P2O4 Standard</t>
  </si>
  <si>
    <t xml:space="preserve"> P-reduziert</t>
  </si>
  <si>
    <t>Grube 2</t>
  </si>
  <si>
    <t>Schweine</t>
  </si>
  <si>
    <t>Grube 3</t>
  </si>
  <si>
    <t>Ferkel 8 bis 32 kg Lebendgewicht (LG) Standard-Fütterung - Gülle</t>
  </si>
  <si>
    <t xml:space="preserve">     Ferkel sind bei der Zuchtsau berücksichtigt</t>
  </si>
  <si>
    <t>N-Anfall ab Lager aus Wirtschaftsdüngern</t>
  </si>
  <si>
    <t>Grube 4</t>
  </si>
  <si>
    <t>Ferkel 8 bis 32 kg Lebendgewicht (LG) Standard-Fütterung - Mist/Jauche</t>
  </si>
  <si>
    <t>RG</t>
  </si>
  <si>
    <t>SG</t>
  </si>
  <si>
    <t>GG</t>
  </si>
  <si>
    <t>Rotte-M</t>
  </si>
  <si>
    <t>Mist 1</t>
  </si>
  <si>
    <t>Ferkel 8 bis 32 kg Lebendgewicht (LG) Standard-Fütterung - Tiefstallmist</t>
  </si>
  <si>
    <t>N ab Lager aus eigener Tierhaltung</t>
  </si>
  <si>
    <t>Gesamtumme</t>
  </si>
  <si>
    <t>Mist 2</t>
  </si>
  <si>
    <t>Ferkel 8 bis 32 kg Lebendgewicht (LG) N-reduzierte-Fütterung - Gülle</t>
  </si>
  <si>
    <t>Stickstoffabgang durch Alpung</t>
  </si>
  <si>
    <t>Ferkel 8 bis 32 kg Lebendgewicht (LG) N-reduzierte-Fütterung - Mist/Jauche</t>
  </si>
  <si>
    <r>
      <t>Wirtschaftsdünger-</t>
    </r>
    <r>
      <rPr>
        <b/>
        <sz val="11"/>
        <color indexed="8"/>
        <rFont val="Arial"/>
        <family val="2"/>
      </rPr>
      <t>Kauf:</t>
    </r>
  </si>
  <si>
    <t>Ferkel 8 bis 32 kg Lebendgewicht (LG) N-reduzierte-Fütterung - Tiefstallmist</t>
  </si>
  <si>
    <t>Wirtschaftsdüngeranteil aus Biogasgüllen</t>
  </si>
  <si>
    <t xml:space="preserve">MS + JS ab 32 kg LG bis Mastende/Belegung - Gülle </t>
  </si>
  <si>
    <t>Wi-düanteil aus Biogasgüllen Feststoff</t>
  </si>
  <si>
    <t xml:space="preserve">MS + JS ab 32 kg LG bis Mastende/Belegung - Mist/Jauche </t>
  </si>
  <si>
    <t>Wi-dü-anteil aus Sekundären Rohstoffen</t>
  </si>
  <si>
    <t xml:space="preserve">MS + JS ab 32 kg LG bis Mastende/Belegung - Tiefstallmist </t>
  </si>
  <si>
    <t>N (ab Lager) aus der Tierh. + Zukauf</t>
  </si>
  <si>
    <t>Quersumme</t>
  </si>
  <si>
    <t xml:space="preserve">MS + JS ab 32 kg LG bis Mastende/Belegung -N-reduzierte-Fütterung - Gülle </t>
  </si>
  <si>
    <t>N aus Wirtschaftsdünger-Abgabe laut seitlicher Tabellen</t>
  </si>
  <si>
    <t>Abgabe</t>
  </si>
  <si>
    <t xml:space="preserve">MS + JS ab 32 kg LG bis Mastende/Belegung -N-reduzierte-Fütterung - Mist/Jauche </t>
  </si>
  <si>
    <t>N (ab Lager) aus der Tierh. Incl. aller Zu- und Verkäufe</t>
  </si>
  <si>
    <t xml:space="preserve">MS + JS ab 32 kg LG bis Mastende/Belegung -N-reduzierte-Fütterung - Tiefstallmist </t>
  </si>
  <si>
    <t>-</t>
  </si>
  <si>
    <t>(N ab Lager ohne Weide + Alm)</t>
  </si>
  <si>
    <t xml:space="preserve">MS + JS ab 32 kg LG bis Mastende/Belegung - stark-N-reduzierte-Fütterung - Gülle </t>
  </si>
  <si>
    <t xml:space="preserve">MS + JS ab 32 kg LG bis Mastende/Belegung - stark-N-reduzierte-Fütterung - Mist/Jauche </t>
  </si>
  <si>
    <t>Feldfallender organischer Stickstoff</t>
  </si>
  <si>
    <t xml:space="preserve">MS + JS ab 32 kg LG bis Mastende/Belegung - stark-N-reduzierte-Fütterung - Tiefstallmist </t>
  </si>
  <si>
    <t>Zuchtschweine - Standard-Fütterung - Gülle</t>
  </si>
  <si>
    <t>N-ab Lager aus der Tierh. incl. Zukauf</t>
  </si>
  <si>
    <t>Zuchtschweine - Standard-Fütterung - Mist/Jauche</t>
  </si>
  <si>
    <t>nicht-tier. org. N, wie Biogas-G, Komp., KS, org. Hadü., etc</t>
  </si>
  <si>
    <t>N nichttierisch</t>
  </si>
  <si>
    <t>Zuchtschweine - Standard-Fütterung - Tiefstallmist</t>
  </si>
  <si>
    <t>Organischer N-Anfall ab Lager am Betrieb</t>
  </si>
  <si>
    <t>Summe Org N-Anfall</t>
  </si>
  <si>
    <t>Zuchtschweine - N-reduzierte Fütterung - Gülle</t>
  </si>
  <si>
    <t>Abzugsfaktoren für Ausbringungsverlust</t>
  </si>
  <si>
    <t>Abzugsfaktoren für Ausbringungsverlust  (13 % bei Güllen und  Jauche, 9 % bei Mist und Kompost)</t>
  </si>
  <si>
    <t>Zuchtschweine - N-reduzierte Fütterung - Mist/Jauche</t>
  </si>
  <si>
    <t xml:space="preserve">   &gt; organ. nicht tierisch feldfallend</t>
  </si>
  <si>
    <t>Zuchtschweine - N-reduzierte Fütterung - Tiefstallmist</t>
  </si>
  <si>
    <t>Organischer N-feldfallend</t>
  </si>
  <si>
    <t>Zuchteber - Standard-Fütterung - Gülle</t>
  </si>
  <si>
    <t>N-Einsatz aus Mineraldünger</t>
  </si>
  <si>
    <t>Zuchteber - Standard-Fütterung - Mist/Jauche</t>
  </si>
  <si>
    <t>N feldf.aus Wirtschaftsdünger-Abgabe laut seitlicher Tabellen</t>
  </si>
  <si>
    <t>Zuchteber - Standard-Fütterung - Tiefstallmist</t>
  </si>
  <si>
    <t>N feldfallend am Betrieb Incl. aller Zu- und Abgänge</t>
  </si>
  <si>
    <t>N ff. am Betrieb Gesamtsumme</t>
  </si>
  <si>
    <t>Zuchteber - N-reduzierte Fütterung - Gülle</t>
  </si>
  <si>
    <t>Zuchteber - N-reduzierte Fütterung - Mist/Jauche</t>
  </si>
  <si>
    <t>Jahreswirksamer Stickstoff für alle</t>
  </si>
  <si>
    <t>Zuchteber - N-reduzierte Fütterung - Tiefstallmist</t>
  </si>
  <si>
    <t>Geflügel</t>
  </si>
  <si>
    <t xml:space="preserve">Kücken u. Junghennen für Legezw. bis 1/2 Jahr - Gülle </t>
  </si>
  <si>
    <t>Faktoren Jahreswirksamkeit</t>
  </si>
  <si>
    <t xml:space="preserve">Kücken u. Junghennen für Legezw. bis 1/2 Jahr - Tiefstallmist  </t>
  </si>
  <si>
    <t>Organischer N-jw. in kg</t>
  </si>
  <si>
    <t>Legehennen, Hähne - Gülle</t>
  </si>
  <si>
    <t>N-Einsatz aus Mineraldüngern in kg</t>
  </si>
  <si>
    <t>Legehennen, Hähne - Tiefstallmist</t>
  </si>
  <si>
    <t>N jahresw.aus Wirtschaftsdünger-Abgabe lt. seitlicher Tabellen</t>
  </si>
  <si>
    <t xml:space="preserve"> abzüglich des jahreswirksamen Stickstoffes aus Abgabe</t>
  </si>
  <si>
    <t xml:space="preserve">Mastkücken und Jungmasthühner - 7 Umtriebe </t>
  </si>
  <si>
    <t>N jahreswirksam am Betrieb Incl. aller Zu- und Verkäufe</t>
  </si>
  <si>
    <t>Jahreswirksamer Stickstoff am Betrieb in kg (nach ÖPUL)</t>
  </si>
  <si>
    <t>Zwerghühner, Wachteln; ausgewachsen</t>
  </si>
  <si>
    <t>Jahreswirksamer Stickstoff für Schläge (kein Weide-N)</t>
  </si>
  <si>
    <t>Gänse</t>
  </si>
  <si>
    <t>Enten</t>
  </si>
  <si>
    <t xml:space="preserve">Truthühner (Puten) </t>
  </si>
  <si>
    <t>Pferde, Schafe, Ziegen</t>
  </si>
  <si>
    <t>Kleinpferde (&lt;300 kg, bis 148 cm) 1/2 bis 3 Jahre</t>
  </si>
  <si>
    <t>Kleinpferde (&lt;300 kg) 1/2 bis 3 Jahre</t>
  </si>
  <si>
    <t>Kleinpferde (&lt;300 kg) &gt; 3 Jahre incl. Fohlen bis 1/2 Jahr</t>
  </si>
  <si>
    <t>Kleinpferde (&gt;300 kg, bis 148 cm) 1/2 bis 3 Jahre</t>
  </si>
  <si>
    <t>Kleinpferde (&gt;300 kg) 1/2 bis 3 Jahre</t>
  </si>
  <si>
    <t>Kleinpferde (&gt;300 kg) &gt; 3 Jahre incl. Fohlen bis 1/2 Jahr</t>
  </si>
  <si>
    <t>Pferde (&gt;500 kg, über 148 cm) 1/2 bis 3 Jahre</t>
  </si>
  <si>
    <t>Pferde (&gt;500 kg) 1/2 bis 3 Jahre</t>
  </si>
  <si>
    <t>Pferde (&gt;500 kg)&gt; 3 Jahre incl. Fohlen bis 1/2 Jahr</t>
  </si>
  <si>
    <t>Schafe Lämmer bis 1/2 Jahr</t>
  </si>
  <si>
    <t>Schafe ab 1/2 Jahr bis 1,5 Jahre</t>
  </si>
  <si>
    <t>Mutterschafe</t>
  </si>
  <si>
    <t>Ziegen bis 1/2 Jahr</t>
  </si>
  <si>
    <t>Ziegen ab 1/2 Jahr bis 1,5 Jahre</t>
  </si>
  <si>
    <t>Mutterziegen</t>
  </si>
  <si>
    <t>Weitere Tierarten</t>
  </si>
  <si>
    <t>Rotwild Alttier inkl. Nachzucht bis 14 Monate</t>
  </si>
  <si>
    <t>Rotwild Hirsche</t>
  </si>
  <si>
    <t>Dammwild, Lamas Alpacas - Alttiere inkl. Nachzucht bis 14 Monate</t>
  </si>
  <si>
    <t>Dammwild, Lama, Alpacas Hirsche</t>
  </si>
  <si>
    <t>Straußenküken bis 1/2 Jahr Gülle</t>
  </si>
  <si>
    <t>Straußenküken bis 1/2 Jahr Mist</t>
  </si>
  <si>
    <t>Jungstraußen 0,5 - 1,5 Jahre Gülle</t>
  </si>
  <si>
    <t>Jungstraußen 0,5 - 1,5 Jahre Mist</t>
  </si>
  <si>
    <t>Zuchtstraußenhenne - Gülle</t>
  </si>
  <si>
    <t>Zuchtstraußenhenne - Mist</t>
  </si>
  <si>
    <t>Zuchtstraußenhahn - Gülle</t>
  </si>
  <si>
    <t>Zuchtstraußenhahn - Mist</t>
  </si>
  <si>
    <t>Mastkaninchen - Gülle</t>
  </si>
  <si>
    <t>Mastkaninchen - Tiefstall</t>
  </si>
  <si>
    <t>Zuchtkaninchen - Gülle</t>
  </si>
  <si>
    <t>Zwergrinder</t>
  </si>
  <si>
    <t>Zwergrind - andere Kälber und Jungrinder unter 1/2 Jahr - Gülle = N abLager</t>
  </si>
  <si>
    <t>Zwergrind - andere Kälber und Jungrinder unter 1/2 Jahr - Gülle</t>
  </si>
  <si>
    <t>Zwergrind - andere Kälber und Jungrinder unter 1/2 Jahr - Mist/Jauche</t>
  </si>
  <si>
    <t>Zwergrind - andere Kälber und Jungrinder unter 1/2 Jahr - Tiefstallmist</t>
  </si>
  <si>
    <t>Zwergrind - Jungvieh 1/2 bis 1 Jahr - Gülle</t>
  </si>
  <si>
    <t>Zwergrind - Jungvieh 1/2 bis 1 Jahr - Mist/Jauche</t>
  </si>
  <si>
    <t>Zwergrind - Jungvieh 1/2 bis 1 Jahr - Tiefstallmist</t>
  </si>
  <si>
    <t>Zwergrind - Jungvieh 1 bis 2 Jahr - Gülle</t>
  </si>
  <si>
    <t>Zwergrind - Jungvieh 1 bis 2 Jahr - Mist/Jauche</t>
  </si>
  <si>
    <t>Zwergrind - Jungvieh 1 bis 2 Jahr - Tiefstallmist</t>
  </si>
  <si>
    <t>Zwergrind - Ochsen, Stiere - Gülle</t>
  </si>
  <si>
    <t>Zwergrind - Ochsen, Stiere - Mist/Jauche</t>
  </si>
  <si>
    <t>Zwergrind - Ochsen, Stiere - Tiefstallmist</t>
  </si>
  <si>
    <t>Zwergrind - Kalbinnen - Gülle</t>
  </si>
  <si>
    <t>Zwergrind - Kalbinnen - Mist/Jauche</t>
  </si>
  <si>
    <t>Zwergrind - Kalbinnen - Tiefstallmist</t>
  </si>
  <si>
    <t>Zwergrind - Milch- bzw. Mutterkühe (3000 kg Milch)  - Gülle</t>
  </si>
  <si>
    <t>Zwergrind - Milch- bzw. Mutterkühe (3000 kg Milch)  - Mist / Jauche</t>
  </si>
  <si>
    <t>Zwergrind - Milch- bzw. Mutterkühe (3000 kg Milch)  - Tiefstallmist</t>
  </si>
  <si>
    <t>Zwergrind - Milch- bzw. Ammenkühe (4000 kg Milch)  - Gülle</t>
  </si>
  <si>
    <t>Zwergrind - Milch- bzw. Ammenkühe (4000 kg Milch)  - Mist / Jauche</t>
  </si>
  <si>
    <t>Zwergrind - Milch- bzw. Ammenkühe (4000 kg Milch)  - Tiefstallmist</t>
  </si>
  <si>
    <t>Zwergrind - Milchkühe (5000 kg Milch) - Gülle</t>
  </si>
  <si>
    <t>Zwergrind - Milchkühe (5000 kg Milch) - Mist/Jauche</t>
  </si>
  <si>
    <t>Zwergrind - Milchkühe (5000 kg Milch) - Tiefstallmist</t>
  </si>
  <si>
    <t>Zwergrind - Milchkühe (6000 kg Milch) - Gülle</t>
  </si>
  <si>
    <t>Zwergrind - Milchkühe (6000 kg Milch) - Mist/Jauche</t>
  </si>
  <si>
    <t>Zwergrind - Milchkühe (6000 kg Milch) - Tiefstallmist</t>
  </si>
  <si>
    <t>Zwergrind - Milchkühe (7000 kg Milch) - Gülle</t>
  </si>
  <si>
    <t>Zwergrind - Milchkühe (7000 kg Milch) - Mist/Jauche</t>
  </si>
  <si>
    <t>Zwergrind - Milchkühe (7000 kg Milch) - Tiefstallmist</t>
  </si>
  <si>
    <t>Zwergrind - Milchkühe (8000 kg Milch) - Gülle</t>
  </si>
  <si>
    <t>Zwergrind - Milchkühe (8000 kg Milch) - Mist/Jauche</t>
  </si>
  <si>
    <t>Zwergrind - Milchkühe (8000 kg Milch) - Tiefstallmist</t>
  </si>
  <si>
    <t>Zwergrind - Milchkühe (9000 kg Milch) - Gülle</t>
  </si>
  <si>
    <t>Zwergrind - Milchkühe (9000 kg Milch) - Mist/Jauche</t>
  </si>
  <si>
    <t>Zwergrind - Milchkühe (9000 kg Milch) - Tiefstallmist</t>
  </si>
  <si>
    <t>Zwergrind - Milchkühe (&gt; 10.000 kg Milch) - Gülle</t>
  </si>
  <si>
    <t>Zwergrind - Milchkühe (&gt; 10.000 kg Milch) - Mist/Jauche</t>
  </si>
  <si>
    <t>Zwergrind - Milchkühe (&gt; 10.000 kg Milch) - Tiefstallmist</t>
  </si>
  <si>
    <t>Durch eine P-reduzierte Fütterung von Geflügel kann der Phosphatgehalt je nach Tiergruppe in einem Ausmaß zwischen 13% und 39% gesenkt werden.</t>
  </si>
  <si>
    <t>Düngerauswahl</t>
  </si>
  <si>
    <t>Menge abz. Abgabe</t>
  </si>
  <si>
    <t>N - feld-fallend</t>
  </si>
  <si>
    <r>
      <t xml:space="preserve"> N </t>
    </r>
    <r>
      <rPr>
        <sz val="9"/>
        <color indexed="8"/>
        <rFont val="Arial"/>
        <family val="2"/>
      </rPr>
      <t>jahresw.</t>
    </r>
  </si>
  <si>
    <t>schnell wirksam</t>
  </si>
  <si>
    <t>tier. Anteil</t>
  </si>
  <si>
    <t>Zu-ord-nung</t>
  </si>
  <si>
    <t>Summe N</t>
  </si>
  <si>
    <t>Summe P</t>
  </si>
  <si>
    <t>Summe K</t>
  </si>
  <si>
    <t>Düngertabelle</t>
  </si>
  <si>
    <t>Menge   kg od. m³</t>
  </si>
  <si>
    <t>N - feldfall.</t>
  </si>
  <si>
    <t>N jahresw.</t>
  </si>
  <si>
    <t>P    jahresw.</t>
  </si>
  <si>
    <t>K   jahresw.</t>
  </si>
  <si>
    <t>WD</t>
  </si>
  <si>
    <t>P org</t>
  </si>
  <si>
    <t>K org</t>
  </si>
  <si>
    <t>HD</t>
  </si>
  <si>
    <t>Prüfungen:</t>
  </si>
  <si>
    <t xml:space="preserve">kleiner =-10; gleich=0; größer = 3 </t>
  </si>
  <si>
    <t>Differenz</t>
  </si>
  <si>
    <t>angelegte Dünger im Vergleich zu N_Berechnung ohne W+A</t>
  </si>
  <si>
    <t>0 = Ok!</t>
  </si>
  <si>
    <t xml:space="preserve">N / P / K angelegt + Weide </t>
  </si>
  <si>
    <t>N jw</t>
  </si>
  <si>
    <t>sw.</t>
  </si>
  <si>
    <t>Summen:</t>
  </si>
  <si>
    <t xml:space="preserve">  ►</t>
  </si>
  <si>
    <t>http://www.ooe.lko.at/</t>
  </si>
  <si>
    <t>Nutzungshinweise:</t>
  </si>
  <si>
    <t>Änderungen</t>
  </si>
  <si>
    <t>Versionshinweise</t>
  </si>
  <si>
    <t>Es wird von den Landwirtschaftskammern, dem Ersteller und dem Agrarnet keinerlei Haftung  bezüglich Softwareproblemen, Berechnungsfehler usw. und eventuellen Sanktionen durch die AMA wegen fehlerhafter Berechnungen übernommen.</t>
  </si>
  <si>
    <t>Häufige Fragen!</t>
  </si>
  <si>
    <t xml:space="preserve">Trotz sorgfältiger Prüfung aller Tabellen und Rechnungsschritte sind Fehler nicht ausgeschlossen, das Ergebnis ist ohne Gewähr, es wird keinerlei Haftung übernommen und es lässt sich durch diese Berechnungen kein Anspruch auf Einhaltung der ÖPUL-Richtlinien ableiten. </t>
  </si>
  <si>
    <t>Blattschutz</t>
  </si>
  <si>
    <t>Pass- oder Kennwort?</t>
  </si>
  <si>
    <t>Es wird zum Gebrauch dieses Programmes kein Passwort oder Kennwort benötigt. 
Sollten sich keine Eingaben machen lassen und ein Kennwort verlangt werden, 
ist die Datei vielleicht schreibgeschützt oder es sind mehrere Tabellenblätter markiert. 
Nach dem Aufheben des Schreibschutzes oder der Mehrfach-Markierungen müsste eine Bearbeitung wieder möglich sein.</t>
  </si>
  <si>
    <t>Fragen und Anregungen an:</t>
  </si>
  <si>
    <t xml:space="preserve">Steiermark:  heinrich.holzner@lk-stmk.at </t>
  </si>
  <si>
    <t>NÖ: josef.springer@lk-noe.at</t>
  </si>
  <si>
    <t>Drucken</t>
  </si>
  <si>
    <t>Es sind auf allen Tabellenblättern Druckbereiche festgelegt. Diese können über die Befehle "Druckbereich festlegen oder aufheben" verändert werden. Diese Befehle sind im Menü Seitenlayout bzw.  im alten Excel im Menü Datei / Druckbereich zu finden.</t>
  </si>
  <si>
    <t>Hinweise zur Orientierung</t>
  </si>
  <si>
    <t>Stellen Sie auf den Blättern über das Menü Ansicht &gt; Zoom jenen Zoomfaktor ein, der Ihnen ein gutes Arbeiten erlaubt.</t>
  </si>
  <si>
    <t>Daten ins nächste Jahr übertragen?</t>
  </si>
  <si>
    <t>in den blauen Zellen sind Berechnungsergebnisse</t>
  </si>
  <si>
    <t>Fehlermeldungen</t>
  </si>
  <si>
    <t>Fehlerbehebung</t>
  </si>
  <si>
    <t>Wichtige Zellen wurden gelöscht oder verschoben, das Programm kann den Bezug zu diesen Zellen nicht mehr herstellen und daher nicht mehr berechnen.</t>
  </si>
  <si>
    <t>#NV bedeutet "Nicht vorhanden", das heißt es fehlen Angaben, oder sind wieder gelöscht oder verändert  worden und sind jetzt nicht mehr vorhanden!</t>
  </si>
  <si>
    <t>◄</t>
  </si>
  <si>
    <t>►</t>
  </si>
  <si>
    <t>Erntejahr</t>
  </si>
  <si>
    <t>Gesamte LN laut MFA-Flächennutzung:</t>
  </si>
  <si>
    <t>ha</t>
  </si>
  <si>
    <t>Teilnahme Maßnahme Bio</t>
  </si>
  <si>
    <t>Summe aller Ackerflächen</t>
  </si>
  <si>
    <t>Summe des Dauergrün- und Dauerweidelandes</t>
  </si>
  <si>
    <t>Summe aller Dauer- und Spezialkulturen, wie Obst, Hopfen, Wein, Reb- und Baumschulen und Energieholzflächen</t>
  </si>
  <si>
    <t>Andere gedüngte Flächen, die nicht ÖPUL-LN sind  (wie zB. Energieholzflächen oder Christbaumkulturen)</t>
  </si>
  <si>
    <t>Kurzanleitung</t>
  </si>
  <si>
    <t xml:space="preserve">Summe landwirtschaftliche Nutzfläche in ha    </t>
  </si>
  <si>
    <t xml:space="preserve"> Nährstoffanfall ab Lager aus der Tierhaltung   </t>
  </si>
  <si>
    <t>Anmerkung zur Berechnung des Durchschnittstierbestandes</t>
  </si>
  <si>
    <r>
      <t xml:space="preserve">     davon sind auf</t>
    </r>
    <r>
      <rPr>
        <b/>
        <sz val="9"/>
        <rFont val="Arial"/>
        <family val="2"/>
      </rPr>
      <t xml:space="preserve"> Dauerweiden und Almen</t>
    </r>
  </si>
  <si>
    <t>nährstoff-best. Bestand</t>
  </si>
  <si>
    <t xml:space="preserve">N </t>
  </si>
  <si>
    <t>Lagerraumbedarf für</t>
  </si>
  <si>
    <t>Stickstoff auf</t>
  </si>
  <si>
    <t>Ein Kalb ergibt sich aus im Durchschnitt zB. 4 Kälber 12 Wochen, oder 8 Kälber nur 6 Wochen am Betrieb</t>
  </si>
  <si>
    <t>Dauerweiden</t>
  </si>
  <si>
    <t>auf Almen</t>
  </si>
  <si>
    <t>ab Lager aus der Tierhaltung</t>
  </si>
  <si>
    <t>Dauer-weiden</t>
  </si>
  <si>
    <t>Almen</t>
  </si>
  <si>
    <r>
      <t>Aufteilung bei Stiermast</t>
    </r>
    <r>
      <rPr>
        <sz val="10"/>
        <color indexed="8"/>
        <rFont val="Arial"/>
        <family val="2"/>
      </rPr>
      <t>: 20 % Kälber, 40 % Jungvieh 1/2 bis 1 Jahr, 40 % 1 bis 2 Jahre</t>
    </r>
  </si>
  <si>
    <t>Die Milchleistung reicht bei 4.000 kg von 3.500 - 4.499 usw…</t>
  </si>
  <si>
    <t>Die Ferkelanzahl ergibt sich bei :</t>
  </si>
  <si>
    <t xml:space="preserve">unter 18 verkaufte Ferkel = Zuchtsauen x 2,6    </t>
  </si>
  <si>
    <t>18 - 20 Ferkel = Zuchtsauen x 2,9</t>
  </si>
  <si>
    <t>über 20 Ferkel = Zuchtsauen x 3,2</t>
  </si>
  <si>
    <t>Bei Mastschweinen:</t>
  </si>
  <si>
    <t>ist der Jahresdurchschnittstierbestand anzugeben, siehe Tabellenblatt "Schw_Geflügel"</t>
  </si>
  <si>
    <t>oder Durchschnittstierbestand = belegte Stallplätze x Umtriebe x Haltedauer in Tage / 365</t>
  </si>
  <si>
    <t>Der Nährstoffbestimmende Bestand beim Mastschwein ist Tierliste x 1,26</t>
  </si>
  <si>
    <t>Bei Geflügel gilt:</t>
  </si>
  <si>
    <t>Kücken u. Junghennen  - 130 Haltetage pro Umtrieb &gt;&gt; 2,0 Umtriebe</t>
  </si>
  <si>
    <t>Legehennen und Hähne - Jahresbestand inkl. Ø  Leerstehzeit von 14 Tagen</t>
  </si>
  <si>
    <t xml:space="preserve">Summe Nährstoffe aus der Tierhaltung: </t>
  </si>
  <si>
    <t>Truthühner -  150 Haltetage pro Umtrieb &gt;&gt; 2,0 Umtriebe</t>
  </si>
  <si>
    <t>* bitte am Tabellenblatt "Hofdung" die Mengen berechnen und eingeben</t>
  </si>
  <si>
    <t>Menge
N feldf.</t>
  </si>
  <si>
    <t>Wirtschaftsdünger Zukauf</t>
  </si>
  <si>
    <t>Nährstoffe je m³ oder t</t>
  </si>
  <si>
    <t>Nährstoffe gesamt</t>
  </si>
  <si>
    <t>Die Anzahl der Lämmer ergibt sich aus Mutterschafe x Faktor (aufgezogene Lämmer x Haltedauer  dividiert durch 12 Monate)</t>
  </si>
  <si>
    <t>Ziegenlämmer werden wie  Schafe gerechnet</t>
  </si>
  <si>
    <t>Kaninchen - 6,89 Umtriebe zu je 53 Aufmasttagen</t>
  </si>
  <si>
    <t>Wirtschaftsdüngerabgang durch Alpung und Fremdweiden</t>
  </si>
  <si>
    <t>Kennzahlen</t>
  </si>
  <si>
    <t>GVE je ha</t>
  </si>
  <si>
    <t>Vorhandener Lagerraum</t>
  </si>
  <si>
    <t>Summe GVE</t>
  </si>
  <si>
    <t>Gülle  und Jauche:</t>
  </si>
  <si>
    <t>m³</t>
  </si>
  <si>
    <t>Gülle / Jauche</t>
  </si>
  <si>
    <t>kg N     &gt;</t>
  </si>
  <si>
    <t>Stickstoffeinsatz feldfallend</t>
  </si>
  <si>
    <t xml:space="preserve">m² </t>
  </si>
  <si>
    <t>m²</t>
  </si>
  <si>
    <t>Saldo N-Bedarf</t>
  </si>
  <si>
    <t xml:space="preserve">m </t>
  </si>
  <si>
    <t>Einbindung  von Biogasgülle und Sekundärrohstoffen</t>
  </si>
  <si>
    <t>Biogasgüllen</t>
  </si>
  <si>
    <t>Wirksamkeit je nach Ammoniumanteil</t>
  </si>
  <si>
    <t>Ermittlung des N-Gehaltes von Komposten etc..</t>
  </si>
  <si>
    <t>Klärung ob Angaben in t oder m³</t>
  </si>
  <si>
    <t>N / m³</t>
  </si>
  <si>
    <t>% aus Tierhaltung</t>
  </si>
  <si>
    <t>N ges</t>
  </si>
  <si>
    <t>Phos-phor</t>
  </si>
  <si>
    <t>Wirksamkeit</t>
  </si>
  <si>
    <t>Die Angaben auf Untersuchungszeugnissen sind je nach Labor unterschiedlich.</t>
  </si>
  <si>
    <t>Zu beachten ist, ob der Stickstoff in kg oder % der TM oder FM angegeben ist.</t>
  </si>
  <si>
    <t>Trockensubstanz (TS) = Trockenmasse (TM), bzw Frischsubstanz (FS) = Frischmasse (FM)</t>
  </si>
  <si>
    <t>Angaben in % in der Trockenmasse ™ und Feuchtdichte</t>
  </si>
  <si>
    <t>TS in %</t>
  </si>
  <si>
    <r>
      <t>N</t>
    </r>
    <r>
      <rPr>
        <vertAlign val="subscript"/>
        <sz val="12"/>
        <color indexed="8"/>
        <rFont val="Arial"/>
        <family val="2"/>
      </rPr>
      <t>ges</t>
    </r>
    <r>
      <rPr>
        <sz val="12"/>
        <color indexed="8"/>
        <rFont val="Arial"/>
        <family val="2"/>
      </rPr>
      <t xml:space="preserve"> in % TM</t>
    </r>
  </si>
  <si>
    <t>N in FS</t>
  </si>
  <si>
    <t>kg N / t</t>
  </si>
  <si>
    <t>Feuchtdichte</t>
  </si>
  <si>
    <t>kg N / m³</t>
  </si>
  <si>
    <t>Biogas - Feststoffseparat</t>
  </si>
  <si>
    <t>Angaben in % in der Trockenmasse (TM)</t>
  </si>
  <si>
    <t>Raumgewicht</t>
  </si>
  <si>
    <t>Sekundäre Rohstoffe</t>
  </si>
  <si>
    <t>wie zB. Klärschlamm, Biokompost, etc…</t>
  </si>
  <si>
    <t>Angaben in % in der Frischmasse (FM)</t>
  </si>
  <si>
    <r>
      <t>N</t>
    </r>
    <r>
      <rPr>
        <vertAlign val="subscript"/>
        <sz val="12"/>
        <color indexed="8"/>
        <rFont val="Arial"/>
        <family val="2"/>
      </rPr>
      <t>ges</t>
    </r>
    <r>
      <rPr>
        <sz val="12"/>
        <color indexed="8"/>
        <rFont val="Arial"/>
        <family val="2"/>
      </rPr>
      <t xml:space="preserve"> in % FM</t>
    </r>
  </si>
  <si>
    <t>in % FM</t>
  </si>
  <si>
    <t>g/kg FM</t>
  </si>
  <si>
    <t>weitere Einträge für organische Dünger und Stoffe</t>
  </si>
  <si>
    <t>Menge      m³ / t</t>
  </si>
  <si>
    <t>N   je      m³ / t</t>
  </si>
  <si>
    <t xml:space="preserve">t / m³ </t>
  </si>
  <si>
    <t xml:space="preserve">m³ / t </t>
  </si>
  <si>
    <t>zB. Klärschlamm flüssig, org. Handelsdünger &lt; 15% TS</t>
  </si>
  <si>
    <t xml:space="preserve">Flüssige Wirtschaftsdünger </t>
  </si>
  <si>
    <t>zB. Carbokalk, Klär-schlamm abgepresst, Kartoffelrestfrucht-wasser, Biofert, Organofert, etc..</t>
  </si>
  <si>
    <t xml:space="preserve">Pferdemist </t>
  </si>
  <si>
    <t xml:space="preserve">Rindermist </t>
  </si>
  <si>
    <t>zB. Klärschlamm-kompost</t>
  </si>
  <si>
    <t>wie Kompost</t>
  </si>
  <si>
    <t xml:space="preserve">Schweinemist </t>
  </si>
  <si>
    <t xml:space="preserve">Hähnchen- und Putenmist </t>
  </si>
  <si>
    <t xml:space="preserve">Hühnertrockenkot (mit 50 % TS) </t>
  </si>
  <si>
    <t xml:space="preserve">Schaf- und Ziegenmist </t>
  </si>
  <si>
    <t xml:space="preserve">Stallmistkompost </t>
  </si>
  <si>
    <t xml:space="preserve">Bio- und Grünschnittkompost </t>
  </si>
  <si>
    <t xml:space="preserve">Je nach Einstreumenge können vor allem die Raumgewichte von Festmisten in der Praxis sehr stark variieren. </t>
  </si>
  <si>
    <t>Organische Stickstoffquelle</t>
  </si>
  <si>
    <t>Nges =&gt; N feldfallend</t>
  </si>
  <si>
    <t>Nges =&gt; N schnell wirksam</t>
  </si>
  <si>
    <t>Nff =&gt; Njahresw.
(CC)</t>
  </si>
  <si>
    <t>Einstufung wie</t>
  </si>
  <si>
    <t>Anmerkung</t>
  </si>
  <si>
    <r>
      <t>Biogasgülle / Gärrückstand  &lt; 55% NH</t>
    </r>
    <r>
      <rPr>
        <vertAlign val="subscript"/>
        <sz val="10"/>
        <color indexed="8"/>
        <rFont val="Arial"/>
        <family val="2"/>
      </rPr>
      <t>4</t>
    </r>
    <r>
      <rPr>
        <sz val="10"/>
        <color indexed="8"/>
        <rFont val="Arial"/>
        <family val="2"/>
      </rPr>
      <t>-N *)</t>
    </r>
  </si>
  <si>
    <t>Rindergülle</t>
  </si>
  <si>
    <r>
      <t>Biogasgülle / Gärrückstand 55 bis &lt; 62,5% NH</t>
    </r>
    <r>
      <rPr>
        <vertAlign val="subscript"/>
        <sz val="10"/>
        <color indexed="8"/>
        <rFont val="Arial"/>
        <family val="2"/>
      </rPr>
      <t>4</t>
    </r>
    <r>
      <rPr>
        <sz val="10"/>
        <color indexed="8"/>
        <rFont val="Arial"/>
        <family val="2"/>
      </rPr>
      <t>-N *)</t>
    </r>
  </si>
  <si>
    <t>Legehennengülle</t>
  </si>
  <si>
    <r>
      <t>Biogasgülle / Gärrückstand 62,5% bis 77,5% NH</t>
    </r>
    <r>
      <rPr>
        <vertAlign val="subscript"/>
        <sz val="10"/>
        <color indexed="8"/>
        <rFont val="Arial"/>
        <family val="2"/>
      </rPr>
      <t>4</t>
    </r>
    <r>
      <rPr>
        <sz val="10"/>
        <color indexed="8"/>
        <rFont val="Arial"/>
        <family val="2"/>
      </rPr>
      <t>-N *)</t>
    </r>
  </si>
  <si>
    <t>Schweinegülle</t>
  </si>
  <si>
    <r>
      <t>Biogasgülle / Gärrückstand &gt; 77,5% NH</t>
    </r>
    <r>
      <rPr>
        <vertAlign val="subscript"/>
        <sz val="10"/>
        <color indexed="8"/>
        <rFont val="Arial"/>
        <family val="2"/>
      </rPr>
      <t>4</t>
    </r>
    <r>
      <rPr>
        <sz val="10"/>
        <color indexed="8"/>
        <rFont val="Arial"/>
        <family val="2"/>
      </rPr>
      <t>-N *)</t>
    </r>
  </si>
  <si>
    <t>Rinderjauche</t>
  </si>
  <si>
    <t>Carbokalk  (0,03 / 0,09 / 0)</t>
  </si>
  <si>
    <t>Stallmist</t>
  </si>
  <si>
    <t>Carbokalk Basiswerte</t>
  </si>
  <si>
    <t>Kartoffelrestfruchtwasser</t>
  </si>
  <si>
    <t>20 kg / t</t>
  </si>
  <si>
    <t>Klärschlamm abgepresst, krümelig &gt; 15% TS</t>
  </si>
  <si>
    <t>Klärschlamm flüssig &lt; 15% TS</t>
  </si>
  <si>
    <t>Klärschlamm flüssig, aerob stabilisiert</t>
  </si>
  <si>
    <t>Klärschlammkompost</t>
  </si>
  <si>
    <t>Stallmistkompost</t>
  </si>
  <si>
    <t>Molke</t>
  </si>
  <si>
    <t>Org. Handelsdünger &lt; 15% TM</t>
  </si>
  <si>
    <t>Org. Handelsdünger &gt; 15% TM</t>
  </si>
  <si>
    <t>Restmelasse</t>
  </si>
  <si>
    <t>Rübenschwänze Rübenbruchstücke</t>
  </si>
  <si>
    <t>Rübenbruchstücke</t>
  </si>
  <si>
    <t>Schlempe mit 90 % TS</t>
  </si>
  <si>
    <t>Schlempe</t>
  </si>
  <si>
    <t>Senkgrubengrauwasser</t>
  </si>
  <si>
    <t>0,2 kg / m³</t>
  </si>
  <si>
    <t>Vinasse</t>
  </si>
  <si>
    <r>
      <t xml:space="preserve">*) </t>
    </r>
    <r>
      <rPr>
        <b/>
        <sz val="10"/>
        <color indexed="8"/>
        <rFont val="Arial"/>
        <family val="2"/>
      </rPr>
      <t>Die Einstufung nach dem NH</t>
    </r>
    <r>
      <rPr>
        <b/>
        <vertAlign val="subscript"/>
        <sz val="10"/>
        <color indexed="8"/>
        <rFont val="Arial"/>
        <family val="2"/>
      </rPr>
      <t>4</t>
    </r>
    <r>
      <rPr>
        <b/>
        <sz val="10"/>
        <color indexed="8"/>
        <rFont val="Arial"/>
        <family val="2"/>
      </rPr>
      <t>-N-Gehalt</t>
    </r>
    <r>
      <rPr>
        <sz val="11"/>
        <color indexed="8"/>
        <rFont val="Arial"/>
        <family val="2"/>
      </rPr>
      <t xml:space="preserve"> gilt auch für Flüssigphasen aus der Gülleseparierung</t>
    </r>
  </si>
  <si>
    <t xml:space="preserve">Wenn die Warenbegleitscheine keine anderen Nährstoffgehalte </t>
  </si>
  <si>
    <t>Nges … Gesamt-N (Kjeldahl) laut Analyse</t>
  </si>
  <si>
    <t xml:space="preserve">ausweisen, kann mit obigen Basiswerten gerechnet werden!       </t>
  </si>
  <si>
    <t>Nff ……. feldfallender N</t>
  </si>
  <si>
    <t>Nll ……. leicht löslicher = rasch wirksamer N</t>
  </si>
  <si>
    <t>Njw …… jahreswirksamer N</t>
  </si>
  <si>
    <t>Nährstoffe aus Tierhaltung</t>
  </si>
  <si>
    <t>Nährstoffe aus Nawaros.</t>
  </si>
  <si>
    <t>wirksam</t>
  </si>
  <si>
    <t>feld-fallend</t>
  </si>
  <si>
    <t>jahres-wirksam</t>
  </si>
  <si>
    <t>schnell-wirksam</t>
  </si>
  <si>
    <t>schnell w</t>
  </si>
  <si>
    <t>UBAG</t>
  </si>
  <si>
    <t>N tier</t>
  </si>
  <si>
    <t>aktuelle Jahres-W</t>
  </si>
  <si>
    <t>Biogasgülle 1</t>
  </si>
  <si>
    <r>
      <t>wie Schweinegülle, weil  NH</t>
    </r>
    <r>
      <rPr>
        <vertAlign val="subscript"/>
        <sz val="14"/>
        <color indexed="10"/>
        <rFont val="Arial"/>
        <family val="2"/>
      </rPr>
      <t>4</t>
    </r>
    <r>
      <rPr>
        <sz val="10"/>
        <color indexed="10"/>
        <rFont val="Arial"/>
        <family val="2"/>
      </rPr>
      <t xml:space="preserve"> fehlt</t>
    </r>
  </si>
  <si>
    <t>wie Rindergülle</t>
  </si>
  <si>
    <t>Y 58</t>
  </si>
  <si>
    <t>wie Geflügelgülle</t>
  </si>
  <si>
    <t>Y 59</t>
  </si>
  <si>
    <t>wie Schweinegülle</t>
  </si>
  <si>
    <t>Y 60</t>
  </si>
  <si>
    <t>wie Jauche</t>
  </si>
  <si>
    <t>Y 61</t>
  </si>
  <si>
    <t>wie Mist</t>
  </si>
  <si>
    <t>Y 62</t>
  </si>
  <si>
    <t>wie Rottemist</t>
  </si>
  <si>
    <t>Y 63</t>
  </si>
  <si>
    <t>Biogasgülle 2</t>
  </si>
  <si>
    <t>Y 64</t>
  </si>
  <si>
    <t>Biogasgülle 3</t>
  </si>
  <si>
    <t>Biogasgülle 4</t>
  </si>
  <si>
    <t>Biogasmist 1</t>
  </si>
  <si>
    <r>
      <t>wie Rindergülle, weil  NH</t>
    </r>
    <r>
      <rPr>
        <vertAlign val="subscript"/>
        <sz val="14"/>
        <color indexed="10"/>
        <rFont val="Arial"/>
        <family val="2"/>
      </rPr>
      <t>4</t>
    </r>
    <r>
      <rPr>
        <sz val="10"/>
        <color indexed="10"/>
        <rFont val="Arial"/>
        <family val="2"/>
      </rPr>
      <t xml:space="preserve"> fehlt</t>
    </r>
  </si>
  <si>
    <t>Biogasmist 2</t>
  </si>
  <si>
    <t>Biogasmist 3</t>
  </si>
  <si>
    <t>Sekundäre Rohstoffe 1</t>
  </si>
  <si>
    <t>als Rindergülle</t>
  </si>
  <si>
    <t>Sekundäre Rohstoffe 2</t>
  </si>
  <si>
    <t>Sekundäre Rohstoffe 3</t>
  </si>
  <si>
    <t>Rotte-mist</t>
  </si>
  <si>
    <t>Biogas</t>
  </si>
  <si>
    <t>sek Rohst.</t>
  </si>
  <si>
    <t>tier. Anteil gesamt</t>
  </si>
  <si>
    <t>Hilfsblatt zur Berechnung der Nährstoffgehalte der Wirtschaftsdünger (kg pro m³)</t>
  </si>
  <si>
    <t xml:space="preserve"> Aufteilung von Gülle, Jauche und Mist auf die Lagerstätten                     </t>
  </si>
  <si>
    <t>Wirtschaftsdüngeraufteilung</t>
  </si>
  <si>
    <t>kg N
pro Jahr</t>
  </si>
  <si>
    <r>
      <t>kg P</t>
    </r>
    <r>
      <rPr>
        <vertAlign val="subscript"/>
        <sz val="10"/>
        <color indexed="8"/>
        <rFont val="Arial"/>
        <family val="2"/>
      </rPr>
      <t>2</t>
    </r>
    <r>
      <rPr>
        <sz val="11"/>
        <color indexed="8"/>
        <rFont val="Arial"/>
        <family val="2"/>
      </rPr>
      <t>O</t>
    </r>
    <r>
      <rPr>
        <vertAlign val="subscript"/>
        <sz val="10"/>
        <color indexed="8"/>
        <rFont val="Arial"/>
        <family val="2"/>
      </rPr>
      <t xml:space="preserve">5
</t>
    </r>
    <r>
      <rPr>
        <sz val="11"/>
        <color indexed="8"/>
        <rFont val="Arial"/>
        <family val="2"/>
      </rPr>
      <t>pro Jahr</t>
    </r>
  </si>
  <si>
    <r>
      <t>kg K</t>
    </r>
    <r>
      <rPr>
        <vertAlign val="subscript"/>
        <sz val="11"/>
        <color indexed="8"/>
        <rFont val="Arial"/>
        <family val="2"/>
      </rPr>
      <t>2</t>
    </r>
    <r>
      <rPr>
        <sz val="11"/>
        <color indexed="8"/>
        <rFont val="Arial"/>
        <family val="2"/>
      </rPr>
      <t xml:space="preserve">O
</t>
    </r>
    <r>
      <rPr>
        <sz val="8"/>
        <color indexed="8"/>
        <rFont val="Arial"/>
        <family val="2"/>
      </rPr>
      <t>pro Jahr</t>
    </r>
  </si>
  <si>
    <t>Mist lager</t>
  </si>
  <si>
    <t>Verteilung</t>
  </si>
  <si>
    <r>
      <t xml:space="preserve">N-Anfall </t>
    </r>
    <r>
      <rPr>
        <sz val="8"/>
        <color indexed="8"/>
        <rFont val="Arial"/>
        <family val="2"/>
      </rPr>
      <t>am Lager</t>
    </r>
  </si>
  <si>
    <r>
      <t>Faktoren</t>
    </r>
    <r>
      <rPr>
        <b/>
        <sz val="10"/>
        <rFont val="Arial"/>
        <family val="2"/>
      </rPr>
      <t xml:space="preserve"> von
ab Lager zu</t>
    </r>
  </si>
  <si>
    <t>feld
fallend</t>
  </si>
  <si>
    <t>aktuelle  Jahres-wirkung</t>
  </si>
  <si>
    <t>schnell
wirksam</t>
  </si>
  <si>
    <t>Zu ordnung</t>
  </si>
  <si>
    <t>Pruefung Verteilung</t>
  </si>
  <si>
    <t>je ha:</t>
  </si>
  <si>
    <r>
      <t>wie</t>
    </r>
    <r>
      <rPr>
        <b/>
        <sz val="10"/>
        <rFont val="Arial"/>
        <family val="2"/>
      </rPr>
      <t xml:space="preserve"> Schweine</t>
    </r>
    <r>
      <rPr>
        <sz val="10"/>
        <rFont val="Arial"/>
        <family val="2"/>
      </rPr>
      <t>gülle</t>
    </r>
  </si>
  <si>
    <t>Geflügelgülle</t>
  </si>
  <si>
    <t>Mist - Standardlager</t>
  </si>
  <si>
    <r>
      <t xml:space="preserve">Mist - Extralager </t>
    </r>
    <r>
      <rPr>
        <sz val="10"/>
        <color indexed="8"/>
        <rFont val="Arial"/>
        <family val="2"/>
      </rPr>
      <t>(zB Geflügelmist)</t>
    </r>
  </si>
  <si>
    <t xml:space="preserve"> zur händischen Eingabe, wenn zB. Geflügelmist getrennt gelagert / ausgebracht wird !</t>
  </si>
  <si>
    <r>
      <t xml:space="preserve">Berechnung N </t>
    </r>
    <r>
      <rPr>
        <b/>
        <vertAlign val="subscript"/>
        <sz val="14"/>
        <rFont val="Arial"/>
        <family val="2"/>
      </rPr>
      <t xml:space="preserve">jahreswirksam
         </t>
    </r>
    <r>
      <rPr>
        <b/>
        <sz val="14"/>
        <rFont val="Arial"/>
        <family val="2"/>
      </rPr>
      <t xml:space="preserve">            </t>
    </r>
    <r>
      <rPr>
        <b/>
        <sz val="10"/>
        <color indexed="10"/>
        <rFont val="Arial"/>
        <family val="2"/>
      </rPr>
      <t xml:space="preserve">Name des Düngers </t>
    </r>
    <r>
      <rPr>
        <sz val="10"/>
        <rFont val="Arial"/>
        <family val="2"/>
      </rPr>
      <t xml:space="preserve">  </t>
    </r>
  </si>
  <si>
    <r>
      <t>kg P</t>
    </r>
    <r>
      <rPr>
        <b/>
        <vertAlign val="subscript"/>
        <sz val="10"/>
        <rFont val="Arial"/>
        <family val="2"/>
      </rPr>
      <t>2</t>
    </r>
    <r>
      <rPr>
        <b/>
        <sz val="10"/>
        <rFont val="Arial"/>
        <family val="2"/>
      </rPr>
      <t>O</t>
    </r>
    <r>
      <rPr>
        <b/>
        <vertAlign val="subscript"/>
        <sz val="10"/>
        <rFont val="Arial"/>
        <family val="2"/>
      </rPr>
      <t xml:space="preserve">5
</t>
    </r>
    <r>
      <rPr>
        <b/>
        <sz val="10"/>
        <rFont val="Arial"/>
        <family val="2"/>
      </rPr>
      <t>pro Jahr</t>
    </r>
  </si>
  <si>
    <r>
      <t>kg K</t>
    </r>
    <r>
      <rPr>
        <b/>
        <vertAlign val="subscript"/>
        <sz val="8"/>
        <rFont val="Arial"/>
        <family val="2"/>
      </rPr>
      <t>2</t>
    </r>
    <r>
      <rPr>
        <b/>
        <sz val="8"/>
        <rFont val="Arial"/>
        <family val="2"/>
      </rPr>
      <t>O
pro Jahr</t>
    </r>
  </si>
  <si>
    <r>
      <t xml:space="preserve">Jahres-anfall
</t>
    </r>
    <r>
      <rPr>
        <b/>
        <sz val="10"/>
        <color indexed="10"/>
        <rFont val="Arial"/>
        <family val="2"/>
      </rPr>
      <t>m³</t>
    </r>
  </si>
  <si>
    <r>
      <t>Wi-Dü Abgabe
m</t>
    </r>
    <r>
      <rPr>
        <b/>
        <vertAlign val="superscript"/>
        <sz val="10"/>
        <color indexed="10"/>
        <rFont val="Arial"/>
        <family val="2"/>
      </rPr>
      <t>3</t>
    </r>
  </si>
  <si>
    <r>
      <t xml:space="preserve">kg N/m³ 
</t>
    </r>
    <r>
      <rPr>
        <sz val="10"/>
        <color indexed="8"/>
        <rFont val="Arial"/>
        <family val="2"/>
      </rPr>
      <t>am Lager</t>
    </r>
  </si>
  <si>
    <t>kg N/m³ 
feld-fallend</t>
  </si>
  <si>
    <r>
      <t xml:space="preserve">kg N/m³
</t>
    </r>
    <r>
      <rPr>
        <sz val="9"/>
        <color indexed="8"/>
        <rFont val="Arial"/>
        <family val="2"/>
      </rPr>
      <t>jahres-wirksam</t>
    </r>
  </si>
  <si>
    <r>
      <t>kg P</t>
    </r>
    <r>
      <rPr>
        <vertAlign val="subscript"/>
        <sz val="10"/>
        <color indexed="8"/>
        <rFont val="Arial"/>
        <family val="2"/>
      </rPr>
      <t>2</t>
    </r>
    <r>
      <rPr>
        <sz val="11"/>
        <color indexed="8"/>
        <rFont val="Arial"/>
        <family val="2"/>
      </rPr>
      <t>O</t>
    </r>
    <r>
      <rPr>
        <vertAlign val="subscript"/>
        <sz val="10"/>
        <color indexed="8"/>
        <rFont val="Arial"/>
        <family val="2"/>
      </rPr>
      <t xml:space="preserve">5
 </t>
    </r>
    <r>
      <rPr>
        <sz val="11"/>
        <color indexed="8"/>
        <rFont val="Arial"/>
        <family val="2"/>
      </rPr>
      <t>je m³</t>
    </r>
  </si>
  <si>
    <r>
      <t>kg
K</t>
    </r>
    <r>
      <rPr>
        <vertAlign val="subscript"/>
        <sz val="10"/>
        <color indexed="8"/>
        <rFont val="Arial"/>
        <family val="2"/>
      </rPr>
      <t>2</t>
    </r>
    <r>
      <rPr>
        <sz val="11"/>
        <color indexed="8"/>
        <rFont val="Arial"/>
        <family val="2"/>
      </rPr>
      <t>O
 je m³</t>
    </r>
  </si>
  <si>
    <r>
      <t>Zu-</t>
    </r>
    <r>
      <rPr>
        <sz val="8"/>
        <color indexed="8"/>
        <rFont val="Arial"/>
        <family val="2"/>
      </rPr>
      <t xml:space="preserve"> ordnung</t>
    </r>
  </si>
  <si>
    <r>
      <t xml:space="preserve">Faktor
jahres
</t>
    </r>
    <r>
      <rPr>
        <sz val="8"/>
        <rFont val="Arial"/>
        <family val="2"/>
      </rPr>
      <t>wirksam</t>
    </r>
  </si>
  <si>
    <t>UBAG oder CC:</t>
  </si>
  <si>
    <t>N Lager</t>
  </si>
  <si>
    <t>N ff</t>
  </si>
  <si>
    <t>Anteil</t>
  </si>
  <si>
    <t>aus G 1</t>
  </si>
  <si>
    <t>Mistlager</t>
  </si>
  <si>
    <t>aus G 2</t>
  </si>
  <si>
    <t>extra Mistlager</t>
  </si>
  <si>
    <t>aus G 3</t>
  </si>
  <si>
    <t>aus G 4</t>
  </si>
  <si>
    <t>Biogas und Sekundäre Rohstoffe</t>
  </si>
  <si>
    <r>
      <t xml:space="preserve">N
</t>
    </r>
    <r>
      <rPr>
        <b/>
        <sz val="8"/>
        <rFont val="Arial"/>
        <family val="2"/>
      </rPr>
      <t>gesamt</t>
    </r>
  </si>
  <si>
    <r>
      <t xml:space="preserve">P
</t>
    </r>
    <r>
      <rPr>
        <b/>
        <sz val="8"/>
        <rFont val="Arial"/>
        <family val="2"/>
      </rPr>
      <t>gesamt</t>
    </r>
  </si>
  <si>
    <r>
      <t xml:space="preserve">K
</t>
    </r>
    <r>
      <rPr>
        <b/>
        <sz val="8"/>
        <rFont val="Arial"/>
        <family val="2"/>
      </rPr>
      <t>gesamt</t>
    </r>
  </si>
  <si>
    <r>
      <t xml:space="preserve">kg N/m³
</t>
    </r>
    <r>
      <rPr>
        <sz val="8"/>
        <color indexed="8"/>
        <rFont val="Arial"/>
        <family val="2"/>
      </rPr>
      <t>am Lager</t>
    </r>
  </si>
  <si>
    <r>
      <t xml:space="preserve">kg N/m³
</t>
    </r>
    <r>
      <rPr>
        <sz val="8"/>
        <color indexed="8"/>
        <rFont val="Arial"/>
        <family val="2"/>
      </rPr>
      <t>feldf.</t>
    </r>
  </si>
  <si>
    <r>
      <t xml:space="preserve">kg N/m³ 
</t>
    </r>
    <r>
      <rPr>
        <sz val="9"/>
        <color indexed="8"/>
        <rFont val="Arial"/>
        <family val="2"/>
      </rPr>
      <t>jahresw.</t>
    </r>
  </si>
  <si>
    <r>
      <t>P</t>
    </r>
    <r>
      <rPr>
        <vertAlign val="subscript"/>
        <sz val="10"/>
        <color indexed="8"/>
        <rFont val="Arial"/>
        <family val="2"/>
      </rPr>
      <t>2</t>
    </r>
    <r>
      <rPr>
        <sz val="11"/>
        <color indexed="8"/>
        <rFont val="Arial"/>
        <family val="2"/>
      </rPr>
      <t>O</t>
    </r>
    <r>
      <rPr>
        <vertAlign val="subscript"/>
        <sz val="10"/>
        <color indexed="8"/>
        <rFont val="Arial"/>
        <family val="2"/>
      </rPr>
      <t xml:space="preserve">5 
 </t>
    </r>
    <r>
      <rPr>
        <sz val="11"/>
        <color indexed="8"/>
        <rFont val="Arial"/>
        <family val="2"/>
      </rPr>
      <t>je m³</t>
    </r>
  </si>
  <si>
    <r>
      <t>K</t>
    </r>
    <r>
      <rPr>
        <vertAlign val="subscript"/>
        <sz val="10"/>
        <color indexed="8"/>
        <rFont val="Arial"/>
        <family val="2"/>
      </rPr>
      <t>2</t>
    </r>
    <r>
      <rPr>
        <sz val="11"/>
        <color indexed="8"/>
        <rFont val="Arial"/>
        <family val="2"/>
      </rPr>
      <t>O 
 je m³</t>
    </r>
  </si>
  <si>
    <r>
      <t xml:space="preserve">Faktor </t>
    </r>
    <r>
      <rPr>
        <sz val="8"/>
        <rFont val="Arial"/>
        <family val="2"/>
      </rPr>
      <t>jahresw.</t>
    </r>
  </si>
  <si>
    <t>aus Mist 1</t>
  </si>
  <si>
    <t>aus Mist 2</t>
  </si>
  <si>
    <t>Summe</t>
  </si>
  <si>
    <t>Schwein</t>
  </si>
  <si>
    <t>Biogasfeststoff 1</t>
  </si>
  <si>
    <t>Biogasfeststoff 2</t>
  </si>
  <si>
    <t>Biogasfeststoff 3</t>
  </si>
  <si>
    <t>Sek. Rohstoffe 1</t>
  </si>
  <si>
    <t>Sek. Rohstoffe 2</t>
  </si>
  <si>
    <t>j-w</t>
  </si>
  <si>
    <t>s-w</t>
  </si>
  <si>
    <t>Sek. Rohstoffe 3</t>
  </si>
  <si>
    <t>weitere org. Dünger u. Rohstoffe</t>
  </si>
  <si>
    <t>Mistlager 1</t>
  </si>
  <si>
    <t>Mistlager 2</t>
  </si>
  <si>
    <t>Tierliste</t>
  </si>
  <si>
    <r>
      <t xml:space="preserve">Ø Stück/
</t>
    </r>
    <r>
      <rPr>
        <sz val="9"/>
        <rFont val="Arial"/>
        <family val="2"/>
      </rPr>
      <t>Stallplätze</t>
    </r>
  </si>
  <si>
    <t xml:space="preserve">Summen:  </t>
  </si>
  <si>
    <t xml:space="preserve">Orientierungswerte für Nährstoffgehalte von in der Praxis vorkommenden Wirtschaftsdüngern in m³ </t>
  </si>
  <si>
    <r>
      <t>Anmerkung:</t>
    </r>
    <r>
      <rPr>
        <sz val="9"/>
        <rFont val="Arial"/>
        <family val="2"/>
      </rPr>
      <t xml:space="preserve"> Die Zahlen dieser Tabelle stellen Mittelwerte dar, die stark schwanken können. Die vorrangige Möglichkeit stellt die betriebsspezifische Ermittlung des N-Gehalts dar (Berechnungsvorgang: N-Anfall aus der Tierhaltung je nach Wirtschaftsdüngersystem durch die anfallende Wirtschaftsdüngermenge dividiert = Nährstoffgehalt pro m³).</t>
    </r>
  </si>
  <si>
    <t>Art der Tiere und des Wirtschaftsdüngers</t>
  </si>
  <si>
    <t>TM-Gehalt
Gew %</t>
  </si>
  <si>
    <r>
      <t xml:space="preserve">N </t>
    </r>
    <r>
      <rPr>
        <b/>
        <vertAlign val="subscript"/>
        <sz val="9"/>
        <rFont val="Arial"/>
        <family val="2"/>
      </rPr>
      <t>ab</t>
    </r>
    <r>
      <rPr>
        <b/>
        <sz val="9"/>
        <rFont val="Arial"/>
        <family val="2"/>
      </rPr>
      <t xml:space="preserve"> Lager</t>
    </r>
  </si>
  <si>
    <r>
      <t>N</t>
    </r>
    <r>
      <rPr>
        <b/>
        <vertAlign val="subscript"/>
        <sz val="9"/>
        <rFont val="Arial"/>
        <family val="2"/>
      </rPr>
      <t>feld</t>
    </r>
    <r>
      <rPr>
        <b/>
        <sz val="9"/>
        <rFont val="Arial"/>
        <family val="2"/>
      </rPr>
      <t>-fallend</t>
    </r>
  </si>
  <si>
    <r>
      <t>P</t>
    </r>
    <r>
      <rPr>
        <b/>
        <vertAlign val="subscript"/>
        <sz val="9"/>
        <rFont val="Arial"/>
        <family val="2"/>
      </rPr>
      <t>2</t>
    </r>
    <r>
      <rPr>
        <b/>
        <sz val="9"/>
        <rFont val="Arial"/>
        <family val="2"/>
      </rPr>
      <t>0</t>
    </r>
    <r>
      <rPr>
        <b/>
        <vertAlign val="subscript"/>
        <sz val="9"/>
        <rFont val="Arial"/>
        <family val="2"/>
      </rPr>
      <t>5</t>
    </r>
  </si>
  <si>
    <r>
      <t>K</t>
    </r>
    <r>
      <rPr>
        <b/>
        <vertAlign val="subscript"/>
        <sz val="9"/>
        <rFont val="Arial"/>
        <family val="2"/>
      </rPr>
      <t>2</t>
    </r>
    <r>
      <rPr>
        <b/>
        <sz val="9"/>
        <rFont val="Arial"/>
        <family val="2"/>
      </rPr>
      <t>0</t>
    </r>
  </si>
  <si>
    <r>
      <t xml:space="preserve">org. </t>
    </r>
    <r>
      <rPr>
        <sz val="9"/>
        <color indexed="8"/>
        <rFont val="Arial"/>
        <family val="2"/>
      </rPr>
      <t>Substanz</t>
    </r>
  </si>
  <si>
    <r>
      <t>kg/m</t>
    </r>
    <r>
      <rPr>
        <vertAlign val="superscript"/>
        <sz val="10"/>
        <color indexed="8"/>
        <rFont val="Arial"/>
        <family val="2"/>
      </rPr>
      <t>3</t>
    </r>
  </si>
  <si>
    <t>Milchkühe (inkl. Nachzucht)</t>
  </si>
  <si>
    <t>Rottemist</t>
  </si>
  <si>
    <t>25-40</t>
  </si>
  <si>
    <t>35-60</t>
  </si>
  <si>
    <t>Stallmist (einstreuarm)</t>
  </si>
  <si>
    <t>20-25</t>
  </si>
  <si>
    <t>Jauche (”unverdünnt")</t>
  </si>
  <si>
    <t>Gülle (1:1 verdünnt)</t>
  </si>
  <si>
    <t>Gülle (unverdünnt)</t>
  </si>
  <si>
    <r>
      <t>Mastrinde</t>
    </r>
    <r>
      <rPr>
        <sz val="10"/>
        <rFont val="Arial"/>
        <family val="2"/>
      </rPr>
      <t>r (Maissilage)</t>
    </r>
  </si>
  <si>
    <t>Mastkälber</t>
  </si>
  <si>
    <r>
      <t>Schafe</t>
    </r>
    <r>
      <rPr>
        <sz val="10"/>
        <rFont val="Arial"/>
        <family val="2"/>
      </rPr>
      <t xml:space="preserve"> (inkl. Lämmer)</t>
    </r>
  </si>
  <si>
    <t>Tiefstallmist</t>
  </si>
  <si>
    <t>25-30</t>
  </si>
  <si>
    <t>Pferde</t>
  </si>
  <si>
    <r>
      <t xml:space="preserve">Schweine </t>
    </r>
    <r>
      <rPr>
        <sz val="10"/>
        <rFont val="Arial"/>
        <family val="2"/>
      </rPr>
      <t>(bei Phasenfütterung bzw. N- und P-reduzierter Fütterung sind die entsprechenden N- und P</t>
    </r>
    <r>
      <rPr>
        <vertAlign val="subscript"/>
        <sz val="10"/>
        <rFont val="Arial"/>
        <family val="2"/>
      </rPr>
      <t>2</t>
    </r>
    <r>
      <rPr>
        <sz val="10"/>
        <rFont val="Arial"/>
        <family val="2"/>
      </rPr>
      <t>O</t>
    </r>
    <r>
      <rPr>
        <vertAlign val="subscript"/>
        <sz val="10"/>
        <rFont val="Arial"/>
        <family val="2"/>
      </rPr>
      <t>5</t>
    </r>
    <r>
      <rPr>
        <sz val="10"/>
        <rFont val="Arial"/>
        <family val="2"/>
      </rPr>
      <t>-Gehalte um 20 % zu reduzieren)</t>
    </r>
  </si>
  <si>
    <t>Zuchtsauen</t>
  </si>
  <si>
    <t>Mastschweine</t>
  </si>
  <si>
    <r>
      <t xml:space="preserve">Gülle </t>
    </r>
    <r>
      <rPr>
        <sz val="10"/>
        <color indexed="8"/>
        <rFont val="Arial"/>
        <family val="2"/>
      </rPr>
      <t>(Futtergrundlage MKS-CCM)</t>
    </r>
  </si>
  <si>
    <r>
      <t>Gülle</t>
    </r>
    <r>
      <rPr>
        <sz val="10"/>
        <color indexed="8"/>
        <rFont val="Arial"/>
        <family val="2"/>
      </rPr>
      <t xml:space="preserve"> (Futtergrundlage Getreide)</t>
    </r>
  </si>
  <si>
    <t>Legehennen</t>
  </si>
  <si>
    <t>Frischkot (= unverd. Gülle)</t>
  </si>
  <si>
    <t>Trockenkot</t>
  </si>
  <si>
    <t>Masthähnchen (Broiler)</t>
  </si>
  <si>
    <t>Festmist</t>
  </si>
  <si>
    <t>Puten</t>
  </si>
  <si>
    <t>Mineraldünger</t>
  </si>
  <si>
    <t>Wirksam-keit</t>
  </si>
  <si>
    <t>Superphosphat</t>
  </si>
  <si>
    <t>Stickstoff</t>
  </si>
  <si>
    <t>Hyperkali</t>
  </si>
  <si>
    <r>
      <t>Nährstoffeinsatz aus Mineraldünger in kg</t>
    </r>
    <r>
      <rPr>
        <sz val="12"/>
        <rFont val="Arial"/>
        <family val="2"/>
      </rPr>
      <t xml:space="preserve"> </t>
    </r>
  </si>
  <si>
    <t xml:space="preserve">*AHL hat ein höheres spezifisches Gewicht als Wasser, 100 l AHL wiegen 127 kg, 
</t>
  </si>
  <si>
    <t xml:space="preserve"> darin sind 34,3 kg N (in 100 kg AHL sind 27 kg N)!</t>
  </si>
  <si>
    <t>Stickstoffberechnung</t>
  </si>
  <si>
    <t>N-Anfall ab Lager</t>
  </si>
  <si>
    <t>Rinder-gülle</t>
  </si>
  <si>
    <t>Kom-post</t>
  </si>
  <si>
    <t>N-Anfall (ab Lager) aus eigener Tierhaltung</t>
  </si>
  <si>
    <t>Wirtschaftsdüngerabgang durch Alpung</t>
  </si>
  <si>
    <t xml:space="preserve">Wirtschaftsdüngerabgabe </t>
  </si>
  <si>
    <t>Wirtschaftsdüngerzugang</t>
  </si>
  <si>
    <t>Wirtschaftsdüngeranteil aus Biogasfeststoff</t>
  </si>
  <si>
    <t>Wirtschaftsdüngeranteil aus Sekundären Rohstoffen</t>
  </si>
  <si>
    <t>N-Anfall (ab Lager) aus der Tierhaltung incl. Wirtschaftsdüngertransfer</t>
  </si>
  <si>
    <t xml:space="preserve">Feldfallender organischer Stickstoff </t>
  </si>
  <si>
    <t>N-feldfallend</t>
  </si>
  <si>
    <t>N-Anfall (ab Lager) aus der Tierhaltung incl. Wirtschaftsdüngerzukauf</t>
  </si>
  <si>
    <t>Stickstoff aus nicht tierischen org. Quellen, wie Bio-gasgülle, Kompost, KS, org. Handels-düngern usw.</t>
  </si>
  <si>
    <t>Abzugsfaktoren für Ausbringungsverluste 
(13 % bei Güllen und Jauche, 9 % bei Mist und Kompost)</t>
  </si>
  <si>
    <t xml:space="preserve">Organischer N-feldfallend </t>
  </si>
  <si>
    <t>N-feldfallend aus Wirtschaftsdünger-Abgabe mit den gewichteten Abzugsfaktoren</t>
  </si>
  <si>
    <t>kg N feldfallend am Betrieb</t>
  </si>
  <si>
    <t>Jahreswirksamer Stickstoff</t>
  </si>
  <si>
    <t>N-jahreswirksam</t>
  </si>
  <si>
    <t>Schweine gülle</t>
  </si>
  <si>
    <t xml:space="preserve">organischer N-feldfallend in kg </t>
  </si>
  <si>
    <t>Faktoren für Jahreswirkung im Umweltprogramm</t>
  </si>
  <si>
    <t>Organischer N-jahreswirksam in kg 
(= org. N-feldfallend x Faktor)</t>
  </si>
  <si>
    <t>N-jahreswirksam aus Wirtschaftsdünger-Abgabe</t>
  </si>
  <si>
    <t>Jahreswirksamer Stickstoff am Betrieb in kg</t>
  </si>
  <si>
    <t>Kulturbezogener Stickstoff-und Phosphor-Bedarf</t>
  </si>
  <si>
    <t>Phosphor-Bedarfswerte für Acker und Grünland</t>
  </si>
  <si>
    <t>Kali-Bedarfswerte für Acker und Grünland</t>
  </si>
  <si>
    <t>Kulturen und Ertragslage auswählen oder laut untenstehenden Tabellen eintragen</t>
  </si>
  <si>
    <t>Stickstoff aus Vorfrucht</t>
  </si>
  <si>
    <t>Liste_Kulturen</t>
  </si>
  <si>
    <t>Liste_N_Bedarf</t>
  </si>
  <si>
    <t>Liste_P_Bedarf</t>
  </si>
  <si>
    <t>Kultur-fläche</t>
  </si>
  <si>
    <t>maximale N-Bedarfswerte</t>
  </si>
  <si>
    <t>N-Menge
je Kultur</t>
  </si>
  <si>
    <t>P-Menge    je Kultur</t>
  </si>
  <si>
    <t>Fläche</t>
  </si>
  <si>
    <t>Rück-lieferung</t>
  </si>
  <si>
    <t>Ertragslagen</t>
  </si>
  <si>
    <t>Flächen 
mit N
Bedarf</t>
  </si>
  <si>
    <t>Entzugs-wert</t>
  </si>
  <si>
    <t>Ausgabe N_Bedarf</t>
  </si>
  <si>
    <t>Ausgabe P_Bedarf</t>
  </si>
  <si>
    <t>Ausgabe K_Bedarf</t>
  </si>
  <si>
    <t>niedrig</t>
  </si>
  <si>
    <t>hoch 2</t>
  </si>
  <si>
    <t>hoch 3</t>
  </si>
  <si>
    <t>Getreide-Stroh-
abfuhr</t>
  </si>
  <si>
    <t>Stroh am Feld</t>
  </si>
  <si>
    <t>niedrig - hoch 3</t>
  </si>
  <si>
    <t>händisch</t>
  </si>
  <si>
    <t>kg</t>
  </si>
  <si>
    <t>vorge-
geben</t>
  </si>
  <si>
    <t>kg N / ha</t>
  </si>
  <si>
    <t>N gesamt</t>
  </si>
  <si>
    <t>kg P/ha</t>
  </si>
  <si>
    <t>kg K/ha</t>
  </si>
  <si>
    <t>a</t>
  </si>
  <si>
    <t>Ackerbohne, Körnererbse</t>
  </si>
  <si>
    <t>b</t>
  </si>
  <si>
    <t>Wintergerste</t>
  </si>
  <si>
    <t>c</t>
  </si>
  <si>
    <t>Körnermais</t>
  </si>
  <si>
    <t>d</t>
  </si>
  <si>
    <t>e</t>
  </si>
  <si>
    <t>f</t>
  </si>
  <si>
    <t>g</t>
  </si>
  <si>
    <t>Sommerfuttergerste</t>
  </si>
  <si>
    <t>h</t>
  </si>
  <si>
    <t>i</t>
  </si>
  <si>
    <t>j</t>
  </si>
  <si>
    <t>k</t>
  </si>
  <si>
    <t>l</t>
  </si>
  <si>
    <t>m</t>
  </si>
  <si>
    <t>n</t>
  </si>
  <si>
    <t>Grünland</t>
  </si>
  <si>
    <t>o</t>
  </si>
  <si>
    <t>p</t>
  </si>
  <si>
    <t>q</t>
  </si>
  <si>
    <t>r</t>
  </si>
  <si>
    <t>s</t>
  </si>
  <si>
    <t>t</t>
  </si>
  <si>
    <t>Gesamtbetrieblicher maximaler N-Bedarf in kg</t>
  </si>
  <si>
    <t>max P-Bedarf</t>
  </si>
  <si>
    <t>Summe Flächen N-Bedarf</t>
  </si>
  <si>
    <t>Jahreswirksamer Stickstoff am Betrieb</t>
  </si>
  <si>
    <t>P am Betrieb</t>
  </si>
  <si>
    <t>Liste_ja</t>
  </si>
  <si>
    <t>Liste_
Ertrag</t>
  </si>
  <si>
    <t>Liste_
Grünland</t>
  </si>
  <si>
    <t>N-Saldo:</t>
  </si>
  <si>
    <t>ja</t>
  </si>
  <si>
    <t>nein</t>
  </si>
  <si>
    <t>hoch</t>
  </si>
  <si>
    <t>Ölkürbis</t>
  </si>
  <si>
    <t>diverse Grünbrachen zB Biodiv.</t>
  </si>
  <si>
    <t>Grünland (Überschrift)</t>
  </si>
  <si>
    <t>Streuwiese</t>
  </si>
  <si>
    <t>Grünlandbrache</t>
  </si>
  <si>
    <t>Datum</t>
  </si>
  <si>
    <t>Betriebsnummer</t>
  </si>
  <si>
    <t>je ha</t>
  </si>
  <si>
    <t>gesamtbetrieblich</t>
  </si>
  <si>
    <t>gesamt-betrieblich</t>
  </si>
  <si>
    <t>eingehalten
ja / nein</t>
  </si>
  <si>
    <t>• Gesamtbegrenzung des Ausbringens von Stickstoff auf maximal 175 kg 
  bzw. 210 kg N im Ø der LN                                   (siehe oben  Nr. 3c)</t>
  </si>
  <si>
    <t>• Der N-Bedarf der Kulturen muss über dem N-Einsatz liegen</t>
  </si>
  <si>
    <t>Ackerflächen und Spezialkulturen</t>
  </si>
  <si>
    <t>Kultur
fläche</t>
  </si>
  <si>
    <t>Ertrags
lage</t>
  </si>
  <si>
    <t>abzüglich Stickstoffnachlieferung aus Vorfrüchten</t>
  </si>
  <si>
    <t xml:space="preserve">System Immergrün - Begrünung der Ackerflächen mit mindestens 85%                                  </t>
  </si>
  <si>
    <t>HF</t>
  </si>
  <si>
    <t>ja HF</t>
  </si>
  <si>
    <t>nicht dauerhaft begrünt</t>
  </si>
  <si>
    <r>
      <t xml:space="preserve">System Immergrün - </t>
    </r>
    <r>
      <rPr>
        <sz val="16"/>
        <rFont val="Arial"/>
        <family val="2"/>
      </rPr>
      <t>Ausfüllanleitung</t>
    </r>
  </si>
  <si>
    <t>Betriebsnummer:</t>
  </si>
  <si>
    <t>ZWF</t>
  </si>
  <si>
    <t>ja ZWF</t>
  </si>
  <si>
    <t>Summe Ackerfläche</t>
  </si>
  <si>
    <t>Der Berechnungs- und Aufzeichnungszeitraum reicht vom 1. Jänner bis zum 31. Dezember des Jahres laut MFA.
Dementsprechend können nur Tage des MFA's laut Tabellenblatt Betrieb eingegeben werden.
Das Datum des Herbstanbaues im Vorjahr muss bzw. kann nicht eingegeben werden, 
hier genügt ein "ja HF" oder "ja ZWF" in der Spalte "begrünt am 1. Jänner".</t>
  </si>
  <si>
    <t>System Immergrün gilt als eingehalten, wenn an jedem Tag des Jahres mindestens 85 %  als begrünt gelten!</t>
  </si>
  <si>
    <t>Summe eingegebene Ackerfläche</t>
  </si>
  <si>
    <t xml:space="preserve">Das heißt, es dürfen nicht mehr als 15 % der Ackerfläche am gleichen Tag (zB Frühjahr oder Herbst) eine Fehlermeldung haben! </t>
  </si>
  <si>
    <t>Fläche nicht begrünt</t>
  </si>
  <si>
    <t>FS- Nr.</t>
  </si>
  <si>
    <t>Schlag- Nr.</t>
  </si>
  <si>
    <t>Schlag-
fläche</t>
  </si>
  <si>
    <t>begrünt
am 1.Jän.</t>
  </si>
  <si>
    <r>
      <t>Datum</t>
    </r>
    <r>
      <rPr>
        <sz val="9"/>
        <rFont val="Arial"/>
        <family val="2"/>
      </rPr>
      <t xml:space="preserve"> Umbruch/ </t>
    </r>
    <r>
      <rPr>
        <sz val="10"/>
        <rFont val="Arial"/>
        <family val="2"/>
      </rPr>
      <t xml:space="preserve">Ernte 
</t>
    </r>
    <r>
      <rPr>
        <sz val="9"/>
        <rFont val="Arial"/>
        <family val="2"/>
      </rPr>
      <t xml:space="preserve">ZW-
</t>
    </r>
    <r>
      <rPr>
        <sz val="10"/>
        <rFont val="Arial"/>
        <family val="2"/>
      </rPr>
      <t>Frucht</t>
    </r>
  </si>
  <si>
    <t>Boden offen</t>
  </si>
  <si>
    <t>Hauptfrucht laut MFA</t>
  </si>
  <si>
    <r>
      <t>Anbau</t>
    </r>
    <r>
      <rPr>
        <sz val="11"/>
        <rFont val="Arial"/>
        <family val="2"/>
      </rPr>
      <t xml:space="preserve">  </t>
    </r>
    <r>
      <rPr>
        <b/>
        <sz val="11"/>
        <rFont val="Arial"/>
        <family val="2"/>
      </rPr>
      <t>Folgefrucht 1</t>
    </r>
  </si>
  <si>
    <r>
      <t>Anbau</t>
    </r>
    <r>
      <rPr>
        <sz val="11"/>
        <rFont val="Arial"/>
        <family val="2"/>
      </rPr>
      <t xml:space="preserve">  </t>
    </r>
    <r>
      <rPr>
        <b/>
        <sz val="11"/>
        <rFont val="Arial"/>
        <family val="2"/>
      </rPr>
      <t>Folgefrucht 2</t>
    </r>
  </si>
  <si>
    <r>
      <t>Anbau</t>
    </r>
    <r>
      <rPr>
        <sz val="11"/>
        <rFont val="Arial"/>
        <family val="2"/>
      </rPr>
      <t xml:space="preserve">  </t>
    </r>
    <r>
      <rPr>
        <b/>
        <sz val="11"/>
        <rFont val="Arial"/>
        <family val="2"/>
      </rPr>
      <t>Folgefrucht 3</t>
    </r>
  </si>
  <si>
    <t xml:space="preserve">System Immergrün </t>
  </si>
  <si>
    <t>aktueller
MFA</t>
  </si>
  <si>
    <t>Boden offen, oder zu kurz, zu spät …</t>
  </si>
  <si>
    <t>ZWF Dauer</t>
  </si>
  <si>
    <t>Anbau Begrünung nach 1. Okt</t>
  </si>
  <si>
    <t>Herbst-umbruch</t>
  </si>
  <si>
    <r>
      <t xml:space="preserve">System </t>
    </r>
    <r>
      <rPr>
        <sz val="8"/>
        <rFont val="Arial"/>
        <family val="2"/>
      </rPr>
      <t>Immergrün</t>
    </r>
  </si>
  <si>
    <t>Tage offener Boden</t>
  </si>
  <si>
    <t>30 oder 50 Tage</t>
  </si>
  <si>
    <t>zu lang offen</t>
  </si>
  <si>
    <t>Herbstumbruch</t>
  </si>
  <si>
    <t>Anbaudauer</t>
  </si>
  <si>
    <t>zu kurz</t>
  </si>
  <si>
    <t>zu spät</t>
  </si>
  <si>
    <t>Frühjahrs-</t>
  </si>
  <si>
    <t>Ernte/…</t>
  </si>
  <si>
    <t>Anbau</t>
  </si>
  <si>
    <t>Umbruch</t>
  </si>
  <si>
    <t>Tage</t>
  </si>
  <si>
    <t>Kultur</t>
  </si>
  <si>
    <t>HF/
ZWF</t>
  </si>
  <si>
    <t>begrünt</t>
  </si>
  <si>
    <t>zu lange =1</t>
  </si>
  <si>
    <t>zu kurz=1</t>
  </si>
  <si>
    <t>zu spät =1</t>
  </si>
  <si>
    <t>ja=1</t>
  </si>
  <si>
    <t>ja=0 /nein=1</t>
  </si>
  <si>
    <t>vHK</t>
  </si>
  <si>
    <t>nHK</t>
  </si>
  <si>
    <t>n1.F</t>
  </si>
  <si>
    <t>n2.F</t>
  </si>
  <si>
    <t>n3.F</t>
  </si>
  <si>
    <t>Ergebnis</t>
  </si>
  <si>
    <t>Erg.</t>
  </si>
  <si>
    <t>1. Folgek</t>
  </si>
  <si>
    <t>2. Folgek</t>
  </si>
  <si>
    <t>3. Folgek</t>
  </si>
  <si>
    <t>Folge1</t>
  </si>
  <si>
    <t>Folge2</t>
  </si>
  <si>
    <t>Folge3</t>
  </si>
  <si>
    <t>Wirtschaftsdünger           
Verkauf *</t>
  </si>
  <si>
    <t>A</t>
  </si>
  <si>
    <t>B</t>
  </si>
  <si>
    <t>D</t>
  </si>
  <si>
    <t>E</t>
  </si>
  <si>
    <t>Ackerkulturen:</t>
  </si>
  <si>
    <t>t/ha</t>
  </si>
  <si>
    <t>&lt; 4,5</t>
  </si>
  <si>
    <t>4,5 - 6,0</t>
  </si>
  <si>
    <t>6,0 - 7,5</t>
  </si>
  <si>
    <t>7,5 - 9,0</t>
  </si>
  <si>
    <t>&gt; 9,0</t>
  </si>
  <si>
    <t>1)</t>
  </si>
  <si>
    <t>2)</t>
  </si>
  <si>
    <t>5)</t>
  </si>
  <si>
    <t>5,5 - 6,75</t>
  </si>
  <si>
    <t>3,5 - 5,0</t>
  </si>
  <si>
    <t>&gt; 7,5</t>
  </si>
  <si>
    <t>&lt; 3,5</t>
  </si>
  <si>
    <t>3,5 - 5,5</t>
  </si>
  <si>
    <t>5,5 - 6,5</t>
  </si>
  <si>
    <t>6,5 - 7,5</t>
  </si>
  <si>
    <t>Winterroggen</t>
  </si>
  <si>
    <t>5,5 - 7,0</t>
  </si>
  <si>
    <t>7,0 - 8,5</t>
  </si>
  <si>
    <t>&gt; 8,5</t>
  </si>
  <si>
    <t>5,0 - 6,5</t>
  </si>
  <si>
    <t>6,5 - 8,0</t>
  </si>
  <si>
    <t>&gt; 8,0</t>
  </si>
  <si>
    <t>&lt; 8,0</t>
  </si>
  <si>
    <t>8,0 - 10,0</t>
  </si>
  <si>
    <t>11,5 - 13,0</t>
  </si>
  <si>
    <t>&gt; 13,0</t>
  </si>
  <si>
    <t>57,5 - 65,0</t>
  </si>
  <si>
    <t>&gt; 65,0</t>
  </si>
  <si>
    <t>&lt; 6,5</t>
  </si>
  <si>
    <t>8,0 - 9,5</t>
  </si>
  <si>
    <t>&lt; 55</t>
  </si>
  <si>
    <t>&lt; 2,5</t>
  </si>
  <si>
    <t>3,5 - 4,25</t>
  </si>
  <si>
    <t>4,25 - 5,0</t>
  </si>
  <si>
    <t>&gt; 5,0</t>
  </si>
  <si>
    <t>&lt; 2,0</t>
  </si>
  <si>
    <t>2,0 - 3,5</t>
  </si>
  <si>
    <t>Die Zellen in dieser Excel-Datei sind bis auf die hellgelben und hellgrünen Zellen gesperrt, 
damit Daten, Berechnungsformeln und Verknüpfungen geschützt sind.  Achtung - auch 
das Verschieben von Zellen führt zu Störungen. Die Durchrechnung wird in so einem Fall 
unmöglich und es taucht überall das Fehlerzeichen " # Bezug! " auf!</t>
  </si>
  <si>
    <t>Mit dieser Exceldatei können die Daten nicht in ein neues Aufzeichnungsjahr übernommen werden. Es muss jedes Jahr eine neue Excel-Datei angelegt werden. Es ist ratsam, eine neue aktualisierte Datei aus dem Internet herunterzuladen. Tier- und Flächenlisten aus der alten Datei können durch Kopieren und Einfügen in die neue Datei übertragen werden.</t>
  </si>
  <si>
    <t>Vorfrucht-wirkung</t>
  </si>
  <si>
    <t>Vorf.-wirkung</t>
  </si>
  <si>
    <t>Vorf.-W:</t>
  </si>
  <si>
    <t>Milchviehgülle</t>
  </si>
  <si>
    <t>I. Ziel</t>
  </si>
  <si>
    <t>II. Wirtschaftsdünger- und Nährstoffmengen</t>
  </si>
  <si>
    <t>III. Vertragsdauer</t>
  </si>
  <si>
    <t>IV. Transport und Ausbringung</t>
  </si>
  <si>
    <t>V. Entgelt</t>
  </si>
  <si>
    <t>VI. Vertragsänderungen</t>
  </si>
  <si>
    <t>VII. Sonstiges</t>
  </si>
  <si>
    <t>Ort, Datum</t>
  </si>
  <si>
    <t>Wirtschaftsdünger-Abgeber</t>
  </si>
  <si>
    <t>…………………………………………</t>
  </si>
  <si>
    <t>Gesamtnährstoffmengen</t>
  </si>
  <si>
    <t>Vertrag über Abgabe und Annahme von Wirtschaftsdünger</t>
  </si>
  <si>
    <t>Zwischen abgebendem Betrieb</t>
  </si>
  <si>
    <t>Name des Bewirtschafter:</t>
  </si>
  <si>
    <t>Anschrift:</t>
  </si>
  <si>
    <t>und abnehmendem Betrieb</t>
  </si>
  <si>
    <t>Ziel dieses Vertrages ist der ordnungsgemäße Einsatz des im abgebenden Betrieb nicht verwendeten
 Wirtschaftsdüngers durch den abnehmenden Betrieb unter Beachtung der jeweils geltenden Rechtsvorschriften, Umweltprogramme und sonstigen Düngungseinschränkungen.</t>
  </si>
  <si>
    <t>Der abgebende Betrieb verpflichtet sich zur Abgabe, der abnehmende Betrieb verpflichtet sich zur Abnahme
folgender Menge an Wirtschaftsdünger* im natürlich vorliegenden Verdünnungszustand mit den angegebenen
Nährstoffgehalten und damit Nährstoffmengen:</t>
  </si>
  <si>
    <t>Angaben lt. Düngerrechner</t>
  </si>
  <si>
    <t>Menge* in t oder m³</t>
  </si>
  <si>
    <r>
      <t xml:space="preserve">Menge 
</t>
    </r>
    <r>
      <rPr>
        <b/>
        <sz val="9"/>
        <rFont val="Arial"/>
        <family val="2"/>
      </rPr>
      <t>N</t>
    </r>
    <r>
      <rPr>
        <sz val="9"/>
        <rFont val="Arial"/>
        <family val="2"/>
      </rPr>
      <t xml:space="preserve"> ab Lager</t>
    </r>
  </si>
  <si>
    <r>
      <t xml:space="preserve">Menge
</t>
    </r>
    <r>
      <rPr>
        <b/>
        <sz val="9"/>
        <rFont val="Arial"/>
        <family val="2"/>
      </rPr>
      <t>N</t>
    </r>
    <r>
      <rPr>
        <sz val="9"/>
        <rFont val="Arial"/>
        <family val="2"/>
      </rPr>
      <t xml:space="preserve"> feldf.</t>
    </r>
  </si>
  <si>
    <r>
      <t xml:space="preserve">Menge 
</t>
    </r>
    <r>
      <rPr>
        <b/>
        <sz val="9"/>
        <rFont val="Arial"/>
        <family val="2"/>
      </rPr>
      <t>N</t>
    </r>
    <r>
      <rPr>
        <sz val="9"/>
        <rFont val="Arial"/>
        <family val="2"/>
      </rPr>
      <t xml:space="preserve"> jw</t>
    </r>
  </si>
  <si>
    <r>
      <t>Menge
P</t>
    </r>
    <r>
      <rPr>
        <vertAlign val="subscript"/>
        <sz val="9"/>
        <rFont val="Arial"/>
        <family val="2"/>
      </rPr>
      <t>2</t>
    </r>
    <r>
      <rPr>
        <sz val="9"/>
        <rFont val="Arial"/>
        <family val="2"/>
      </rPr>
      <t>O</t>
    </r>
    <r>
      <rPr>
        <vertAlign val="subscript"/>
        <sz val="9"/>
        <rFont val="Arial"/>
        <family val="2"/>
      </rPr>
      <t xml:space="preserve">5 </t>
    </r>
  </si>
  <si>
    <r>
      <t>Menge
K</t>
    </r>
    <r>
      <rPr>
        <vertAlign val="subscript"/>
        <sz val="9"/>
        <rFont val="Arial"/>
        <family val="2"/>
      </rPr>
      <t>2</t>
    </r>
    <r>
      <rPr>
        <sz val="9"/>
        <rFont val="Arial"/>
        <family val="2"/>
      </rPr>
      <t>O</t>
    </r>
  </si>
  <si>
    <r>
      <rPr>
        <vertAlign val="superscript"/>
        <sz val="10"/>
        <color theme="1"/>
        <rFont val="Arial"/>
        <family val="2"/>
      </rPr>
      <t>*)</t>
    </r>
    <r>
      <rPr>
        <sz val="10"/>
        <color theme="1"/>
        <rFont val="Arial"/>
        <family val="2"/>
      </rPr>
      <t xml:space="preserve"> Angaben zu Düngerart und Mengen laut LK-Düngerrechner</t>
    </r>
  </si>
  <si>
    <r>
      <t xml:space="preserve">Die Zuständigkeit für den Transport und die Ausbringung der Wirtschaftsdünger obliegt dem Abnehmer / Abgeber </t>
    </r>
    <r>
      <rPr>
        <i/>
        <sz val="10"/>
        <color theme="1"/>
        <rFont val="Arial"/>
        <family val="2"/>
      </rPr>
      <t xml:space="preserve"> (Nichtzutreffendes bitte streichen)</t>
    </r>
    <r>
      <rPr>
        <i/>
        <sz val="11"/>
        <color theme="1"/>
        <rFont val="Arial"/>
        <family val="2"/>
      </rPr>
      <t>.</t>
    </r>
  </si>
  <si>
    <t>Vom Vertrag abweichende Abgabemengen gelten auf jeden Fall als Vertragsänderung. Falls die Tierhaltung am abgebenden Betrieb eingestellt oder so eingeschränkt wird, dass die vertragsgegenständlichen
 Wirtschaftsdüngermengen überhaupt nicht oder nicht mehr zur Gänze anfallen, ist dieser Vertrag entsprechend der tatsächlichen Wirtschaftsdünger und Nährstoffmengen zu korrigieren.</t>
  </si>
  <si>
    <t>…………………………………………………………………………………………………………………….....</t>
  </si>
  <si>
    <r>
      <t>je m</t>
    </r>
    <r>
      <rPr>
        <b/>
        <vertAlign val="superscript"/>
        <sz val="10"/>
        <rFont val="Arial"/>
        <family val="2"/>
      </rPr>
      <t>3</t>
    </r>
  </si>
  <si>
    <t>Ertragsermittlung für Veredelungsbetriebe</t>
  </si>
  <si>
    <t>Anleitung Eingabe Lagerstätten</t>
  </si>
  <si>
    <t>Ø</t>
  </si>
  <si>
    <t>Zur Berechnung der Silobehälter!</t>
  </si>
  <si>
    <r>
      <t>m</t>
    </r>
    <r>
      <rPr>
        <vertAlign val="superscript"/>
        <sz val="12"/>
        <rFont val="Arial"/>
        <family val="2"/>
      </rPr>
      <t>3</t>
    </r>
    <r>
      <rPr>
        <sz val="12"/>
        <rFont val="Arial"/>
        <family val="2"/>
      </rPr>
      <t xml:space="preserve"> / ha</t>
    </r>
  </si>
  <si>
    <t>kg / hl</t>
  </si>
  <si>
    <t>t / ha</t>
  </si>
  <si>
    <t>Kultur 1</t>
  </si>
  <si>
    <t>Fläche 
(ha)</t>
  </si>
  <si>
    <t>Hektoliter-gewicht (kg/hl)</t>
  </si>
  <si>
    <t>Gesamt-
menge in m³</t>
  </si>
  <si>
    <t>Menge 
m³ / ha</t>
  </si>
  <si>
    <t>Durum - Sommerhartweizen</t>
  </si>
  <si>
    <t>Lagerstätten 
(Name)</t>
  </si>
  <si>
    <t>Kubatur
berchnet</t>
  </si>
  <si>
    <t>Kubatur
händisch</t>
  </si>
  <si>
    <t>Füllstand
(%)</t>
  </si>
  <si>
    <t>Menge 
(m³)</t>
  </si>
  <si>
    <t xml:space="preserve">Anleitung Hektolitergewicht </t>
  </si>
  <si>
    <t>Triticale GPS</t>
  </si>
  <si>
    <t>Hafer</t>
  </si>
  <si>
    <t>Ergebnis in:</t>
  </si>
  <si>
    <t>Umrechnung auf kg / Liter</t>
  </si>
  <si>
    <t>Umrechnung auf Hektoliter</t>
  </si>
  <si>
    <t>Gramm</t>
  </si>
  <si>
    <t>zB.  650 g pro Liter</t>
  </si>
  <si>
    <t>g : 1000 = kg</t>
  </si>
  <si>
    <t xml:space="preserve"> = 0,65 kg / l</t>
  </si>
  <si>
    <r>
      <rPr>
        <b/>
        <sz val="11"/>
        <rFont val="Arial"/>
        <family val="2"/>
      </rPr>
      <t xml:space="preserve">0,65 kg   x 100
</t>
    </r>
    <r>
      <rPr>
        <sz val="10"/>
        <rFont val="Arial"/>
        <family val="2"/>
      </rPr>
      <t>(100 Liter = 1 Hektoliter)</t>
    </r>
  </si>
  <si>
    <t>= 65kg / hl</t>
  </si>
  <si>
    <t>Körnermais GKS</t>
  </si>
  <si>
    <t>Körnermais MKS</t>
  </si>
  <si>
    <t>Dekagramm</t>
  </si>
  <si>
    <t>zB.  65 dag pro Liter</t>
  </si>
  <si>
    <t>dag : 100 = kg</t>
  </si>
  <si>
    <t>Kultur 2</t>
  </si>
  <si>
    <r>
      <t>Hektoliter-</t>
    </r>
    <r>
      <rPr>
        <sz val="9"/>
        <rFont val="Arial"/>
        <family val="2"/>
      </rPr>
      <t>gewicht</t>
    </r>
  </si>
  <si>
    <t>Kilogramm</t>
  </si>
  <si>
    <t>zB.  0,65 kg pro Liter</t>
  </si>
  <si>
    <t>Silomais frisch</t>
  </si>
  <si>
    <t>Silomaissilage</t>
  </si>
  <si>
    <t>Silohirse</t>
  </si>
  <si>
    <t>Füllstand (%)</t>
  </si>
  <si>
    <t>Auswahlliste Silos</t>
  </si>
  <si>
    <t>Raumgröße</t>
  </si>
  <si>
    <t>Kultur 3</t>
  </si>
  <si>
    <t>Kultur 4</t>
  </si>
  <si>
    <t>Kultur 5</t>
  </si>
  <si>
    <t>Kubaturrenrechner (Hilfestellung)</t>
  </si>
  <si>
    <r>
      <t xml:space="preserve">Lagerstätten
</t>
    </r>
    <r>
      <rPr>
        <sz val="10"/>
        <color theme="1"/>
        <rFont val="Arial"/>
        <family val="2"/>
      </rPr>
      <t>(Bezeichnung)</t>
    </r>
  </si>
  <si>
    <t>Höhe</t>
  </si>
  <si>
    <t>Durch-messer</t>
  </si>
  <si>
    <r>
      <t xml:space="preserve">Anzahl 
gleicher Silozellen
</t>
    </r>
    <r>
      <rPr>
        <sz val="10"/>
        <color theme="1"/>
        <rFont val="Arial"/>
        <family val="2"/>
      </rPr>
      <t>(optional)</t>
    </r>
  </si>
  <si>
    <t>Kubatur (m³)</t>
  </si>
  <si>
    <t>Silo Rund</t>
  </si>
  <si>
    <t>Silo Rund 
(inkl. Trichter unten)</t>
  </si>
  <si>
    <t>Höhe 1
Silo</t>
  </si>
  <si>
    <t>Höhe 2
Trichter</t>
  </si>
  <si>
    <t>Silo Eckig/Flachlager</t>
  </si>
  <si>
    <t>Länge</t>
  </si>
  <si>
    <t>Breite</t>
  </si>
  <si>
    <t>Höhe 
durchschnittlicheSchütthöhe*</t>
  </si>
  <si>
    <t>* Bei Flachlager</t>
  </si>
  <si>
    <t>Silo Eckig 
(inkl. Trichter unten)</t>
  </si>
  <si>
    <t>Höhe1
Silo</t>
  </si>
  <si>
    <t>Höhe2
Trichter</t>
  </si>
  <si>
    <t>Traunsteinsilo</t>
  </si>
  <si>
    <t>Breite
Unten</t>
  </si>
  <si>
    <t>Breite
Oben</t>
  </si>
  <si>
    <r>
      <t xml:space="preserve">Anzahl 
gleicher Silos
</t>
    </r>
    <r>
      <rPr>
        <sz val="10"/>
        <color theme="1"/>
        <rFont val="Arial"/>
        <family val="2"/>
      </rPr>
      <t>(optional)</t>
    </r>
  </si>
  <si>
    <r>
      <rPr>
        <b/>
        <sz val="10"/>
        <rFont val="Arial"/>
        <family val="2"/>
      </rPr>
      <t xml:space="preserve">NEU: </t>
    </r>
    <r>
      <rPr>
        <sz val="10"/>
        <rFont val="Arial"/>
        <family val="2"/>
      </rPr>
      <t xml:space="preserve"> WD-Vertrag und Ertragsermittlung</t>
    </r>
  </si>
  <si>
    <t>simon.kriegner-schramml@lk-ooe.at</t>
  </si>
  <si>
    <r>
      <t>m</t>
    </r>
    <r>
      <rPr>
        <b/>
        <vertAlign val="superscript"/>
        <sz val="12"/>
        <rFont val="Arial"/>
        <family val="2"/>
      </rPr>
      <t>3</t>
    </r>
    <r>
      <rPr>
        <b/>
        <sz val="12"/>
        <rFont val="Arial"/>
        <family val="2"/>
      </rPr>
      <t xml:space="preserve"> / ha</t>
    </r>
  </si>
  <si>
    <t>&lt; 4,3</t>
  </si>
  <si>
    <t>&lt; 7,1</t>
  </si>
  <si>
    <t>&lt; 110</t>
  </si>
  <si>
    <t>&lt; 180</t>
  </si>
  <si>
    <t>&gt; 11,3</t>
  </si>
  <si>
    <t>&gt; 9,3</t>
  </si>
  <si>
    <t>&gt; 13,4</t>
  </si>
  <si>
    <t>&gt; 120,0</t>
  </si>
  <si>
    <t>&gt; 11,8</t>
  </si>
  <si>
    <t>&gt; 16,3</t>
  </si>
  <si>
    <t>&gt; 180</t>
  </si>
  <si>
    <t>&gt; 90</t>
  </si>
  <si>
    <t>7,8 - 9,4</t>
  </si>
  <si>
    <t>9,5 - 11,3</t>
  </si>
  <si>
    <t>4,3 - 5,6</t>
  </si>
  <si>
    <t>8,4 - 10,4</t>
  </si>
  <si>
    <t>10,5 - 12,5</t>
  </si>
  <si>
    <t>7,7 - 9,7</t>
  </si>
  <si>
    <t>9,8 - 11,8</t>
  </si>
  <si>
    <t>7,2 - 10,2</t>
  </si>
  <si>
    <t>10,3 - 13,3</t>
  </si>
  <si>
    <t>13,4 - 16,3</t>
  </si>
  <si>
    <t>110 - 140</t>
  </si>
  <si>
    <t>160 - 180</t>
  </si>
  <si>
    <t>55 - 70</t>
  </si>
  <si>
    <t>80 - 90</t>
  </si>
  <si>
    <t>180 - 225</t>
  </si>
  <si>
    <t>225 - 255</t>
  </si>
  <si>
    <t>60 - 80</t>
  </si>
  <si>
    <t>100 - 120</t>
  </si>
  <si>
    <t>vom abgebenden Betrieb verbracht. Der Vertrag soll jährlich abgeschlossen werden.</t>
  </si>
  <si>
    <t xml:space="preserve">  (Monat/Jahr) </t>
  </si>
  <si>
    <t>(Monat/Jahr) bis</t>
  </si>
  <si>
    <t xml:space="preserve">Dieser Vertrag wird nur für die angeführte Menge abgeschlossen. Oben angeführte Wirtschaftsdüngermenge wird
</t>
  </si>
  <si>
    <t xml:space="preserve">im Zeitraum vom   </t>
  </si>
  <si>
    <t xml:space="preserve"> Es wird folgendes Entgelt vereinbart:</t>
  </si>
  <si>
    <t>Wirtschaftsdünger-Abnehmer</t>
  </si>
  <si>
    <r>
      <t xml:space="preserve">1b  </t>
    </r>
    <r>
      <rPr>
        <b/>
        <sz val="11"/>
        <rFont val="Arial"/>
        <family val="2"/>
      </rPr>
      <t>Die Fläche der Kulturen, die einen Stickstoffbedarf haben (Mehrfachnutzung)</t>
    </r>
  </si>
  <si>
    <t>NEU:  PSM Tabelle aktualisiert + PSM Bestände neu</t>
  </si>
  <si>
    <t>Getreideprobe in ein Gefäß mit einem Volumen von 1 Liter füllen. Entsprechende Masse des Getreides mit einer Waage ermitteln. Leergewicht des Gefäßes abziehen bzw. die Waage vor Befüllen des Gefäßes tarieren. 
Je nach Waage erhält man ein Ergebnis in Gramm (g), Dekagramm (dag) oder Kilogramm (kg)</t>
  </si>
  <si>
    <t>Damwild, Lamas, Alpacas - Alttiere inkl. Nachzucht bis 14 Monate</t>
  </si>
  <si>
    <t>Damwild, Lama, Alpacas Hirsche</t>
  </si>
  <si>
    <t>&gt; 12,0</t>
  </si>
  <si>
    <t>Ausgabe 
Ertragslage 
Tonnage</t>
  </si>
  <si>
    <t>landw. Nutzfläche lt. Kulturliste (siehe nebenan)</t>
  </si>
  <si>
    <t>≥ 2,5</t>
  </si>
  <si>
    <t>≥ 5,5</t>
  </si>
  <si>
    <t>≥ 8,0</t>
  </si>
  <si>
    <t>≥ 9,5</t>
  </si>
  <si>
    <t>≥ 11,0</t>
  </si>
  <si>
    <t>≥ 12,5</t>
  </si>
  <si>
    <t>≥ 2,0</t>
  </si>
  <si>
    <t>&gt; 2,0</t>
  </si>
  <si>
    <t>4,0 - 5,5</t>
  </si>
  <si>
    <t>&gt; 10,0</t>
  </si>
  <si>
    <t>&gt; 3,5</t>
  </si>
  <si>
    <t>Auswahl HF/ZWF
 in Spalte N wählen</t>
  </si>
  <si>
    <t>Auswahl HF/ZWF
 in Spalte S eingeben</t>
  </si>
  <si>
    <t>Auswahl HF/ZWF
 in Spalte X wählen</t>
  </si>
  <si>
    <t>Keine Winterbegrünung!</t>
  </si>
  <si>
    <t>Boden zu lang offen!</t>
  </si>
  <si>
    <t>Begrünungsanbau zu spät!</t>
  </si>
  <si>
    <t>Begrünungszeitraum ist zu kurz!</t>
  </si>
  <si>
    <t>In den folgenden Spalten sind von links nach rechts alle weiteren Anbau- und Erntedaten samt Kulturen chronologisch einzugeben, wobei der Zusatz Hauptfrucht (HF) oder Zwischenfrucht (ZWF) wichtig ist 
für die korrekte Berechnung.</t>
  </si>
  <si>
    <t>Ganz rechts in den Spalten AA und AB wird angezeigt, ob die Fläche als begrünt gilt, 
bzw ob der Boden zu lange nicht begrünt (offen) war, ein Anbau zu spät, die Anbaudauer zu kurz war, 
oder der Boden offen in den Winter geht.</t>
  </si>
  <si>
    <t>In der Spalte AA wird der %-Anteil der nicht begrünt geltenden Flächen angezeigt - zum gleichen Zeitpunkt dürfen nicht mehr als 15% als nicht begrünt gelten!
Zum Beispiel könnte eine Fläche des Betriebes im Frühjahr brach liegen, nach einem späten Maisdrusch im Vorjahr und eine andere Fläche im Herbst nicht mehr begrünt werden, nach später Ernte. Das System Immergrün gilt als eingehalten, wenn keine der beiden Flächen über 15% der Betriebsfläche ausmachen, weil sich die beiden Brachezeiten nicht überschneiden!</t>
  </si>
  <si>
    <t>Alpung/ 
Weide</t>
  </si>
  <si>
    <t>Alpung</t>
  </si>
  <si>
    <t>Weide</t>
  </si>
  <si>
    <t>Drop Down</t>
  </si>
  <si>
    <t>Berechnung Weide</t>
  </si>
  <si>
    <t>Berechnung Alpung</t>
  </si>
  <si>
    <t>Anzeige Tage in Spalte E</t>
  </si>
  <si>
    <r>
      <t xml:space="preserve">weiter zu Tabellenblatt
 WD-Vertrag </t>
    </r>
    <r>
      <rPr>
        <b/>
        <sz val="12"/>
        <color theme="0"/>
        <rFont val="Arial"/>
        <family val="2"/>
      </rPr>
      <t>►</t>
    </r>
  </si>
  <si>
    <t>Anpassung GVE Zahl Junghennenaufzucht; Überarbeitung System Immergrün; Formeländerung Weideblatt, PW-Wechsel</t>
  </si>
  <si>
    <t>Ackerkulturen</t>
  </si>
  <si>
    <t>Suchformel</t>
  </si>
  <si>
    <t>Handelsdünger</t>
  </si>
  <si>
    <t>C5</t>
  </si>
  <si>
    <t>C6</t>
  </si>
  <si>
    <t>C7</t>
  </si>
  <si>
    <t>C8</t>
  </si>
  <si>
    <t>C9</t>
  </si>
  <si>
    <t>C10</t>
  </si>
  <si>
    <t>C11</t>
  </si>
  <si>
    <t>C12</t>
  </si>
  <si>
    <t>C13</t>
  </si>
  <si>
    <t>C14</t>
  </si>
  <si>
    <t>C15</t>
  </si>
  <si>
    <t>C16</t>
  </si>
  <si>
    <t>C17</t>
  </si>
  <si>
    <t>Suchformel2</t>
  </si>
  <si>
    <t>Suchformel3</t>
  </si>
  <si>
    <t>Suchformel4</t>
  </si>
  <si>
    <t>Suchformel5</t>
  </si>
  <si>
    <t>Suchformel6</t>
  </si>
  <si>
    <t>Suchformel7</t>
  </si>
  <si>
    <t>Suchformel8</t>
  </si>
  <si>
    <t>Suchformel9</t>
  </si>
  <si>
    <t>Suchformel10</t>
  </si>
  <si>
    <t>Suchformel11</t>
  </si>
  <si>
    <t>Suchformel12</t>
  </si>
  <si>
    <t>Suchformel13</t>
  </si>
  <si>
    <t>C20</t>
  </si>
  <si>
    <t>C21</t>
  </si>
  <si>
    <t>C22</t>
  </si>
  <si>
    <t>C23</t>
  </si>
  <si>
    <t>C24</t>
  </si>
  <si>
    <t>C25</t>
  </si>
  <si>
    <t>Suchformel14</t>
  </si>
  <si>
    <t>Suchformel15</t>
  </si>
  <si>
    <t>B5</t>
  </si>
  <si>
    <t>B6</t>
  </si>
  <si>
    <t>B7</t>
  </si>
  <si>
    <t>B8</t>
  </si>
  <si>
    <t>B9</t>
  </si>
  <si>
    <t>B10</t>
  </si>
  <si>
    <t>B11</t>
  </si>
  <si>
    <t>B12</t>
  </si>
  <si>
    <t>B13</t>
  </si>
  <si>
    <t>B14</t>
  </si>
  <si>
    <t>B15</t>
  </si>
  <si>
    <t>B16</t>
  </si>
  <si>
    <t>B17</t>
  </si>
  <si>
    <t>B18</t>
  </si>
  <si>
    <t>B19</t>
  </si>
  <si>
    <t>A3</t>
  </si>
  <si>
    <t>A4</t>
  </si>
  <si>
    <t>A5</t>
  </si>
  <si>
    <t>A6</t>
  </si>
  <si>
    <t>A7</t>
  </si>
  <si>
    <t>A8</t>
  </si>
  <si>
    <t>A9</t>
  </si>
  <si>
    <t>A10</t>
  </si>
  <si>
    <t>A11</t>
  </si>
  <si>
    <t>A12</t>
  </si>
  <si>
    <t>A13</t>
  </si>
  <si>
    <t>A14</t>
  </si>
  <si>
    <t>A15</t>
  </si>
  <si>
    <t>A16</t>
  </si>
  <si>
    <t>A17</t>
  </si>
  <si>
    <t>Tiere gesamt</t>
  </si>
  <si>
    <t>Zuchtkaninchen - Tiefstall</t>
  </si>
  <si>
    <t xml:space="preserve">phosphorreduzierte Fütterung in der Schweinehaltung ? </t>
  </si>
  <si>
    <t>Schafe, Ziegen</t>
  </si>
  <si>
    <t>▼</t>
  </si>
  <si>
    <t>zuzüglich 320 kg je Kuh für verfütterter und verbrauchter Milch,</t>
  </si>
  <si>
    <t>…………………………………..</t>
  </si>
  <si>
    <r>
      <t>Nährstoffgehalte (kg/m</t>
    </r>
    <r>
      <rPr>
        <vertAlign val="superscript"/>
        <sz val="11"/>
        <color theme="1"/>
        <rFont val="Arial"/>
        <family val="2"/>
      </rPr>
      <t>3</t>
    </r>
    <r>
      <rPr>
        <sz val="11"/>
        <color theme="1"/>
        <rFont val="Arial"/>
        <family val="2"/>
      </rPr>
      <t>)</t>
    </r>
  </si>
  <si>
    <r>
      <rPr>
        <sz val="22"/>
        <color indexed="12"/>
        <rFont val="Arial"/>
        <family val="2"/>
      </rPr>
      <t xml:space="preserve">◄ </t>
    </r>
    <r>
      <rPr>
        <sz val="12"/>
        <color indexed="12"/>
        <rFont val="Arial"/>
        <family val="2"/>
      </rPr>
      <t>zurück zum Tabellenblatt Hofdung</t>
    </r>
  </si>
  <si>
    <t>Zählenwenn für ha</t>
  </si>
  <si>
    <t>Acker</t>
  </si>
  <si>
    <t>Name</t>
  </si>
  <si>
    <t>Strasse</t>
  </si>
  <si>
    <t>PLZ + Ort</t>
  </si>
  <si>
    <t>Ergänzung bedingter Formatierungen - Bedienungsroutine; Drop Down mit Suchfunktion</t>
  </si>
  <si>
    <t>12.10.2021 + 04.11.2021 + 10.12.2021 + 25.04.2022</t>
  </si>
  <si>
    <t>Ackerbohne-Getreide Gemenge</t>
  </si>
  <si>
    <t>Bitterlupine</t>
  </si>
  <si>
    <t>Blumen u. Zierpflanzen</t>
  </si>
  <si>
    <t>Elefantengras</t>
  </si>
  <si>
    <t>Einkorn (Sommerung)</t>
  </si>
  <si>
    <t>Emmer (Sommerung)</t>
  </si>
  <si>
    <t>Einkorn (Winterung)</t>
  </si>
  <si>
    <t>Emmer (Winterung)</t>
  </si>
  <si>
    <t>Erbsen-Getreide Gemenge</t>
  </si>
  <si>
    <t>Erdbeere</t>
  </si>
  <si>
    <t>Flachs (Faserlein)</t>
  </si>
  <si>
    <t>Frühkartoffel</t>
  </si>
  <si>
    <t>Futterkartoffel</t>
  </si>
  <si>
    <t>Futterrübe (Runkelrübe, Burgund Kohlrübe)</t>
  </si>
  <si>
    <t>Futter-Zwischenfrucht (&gt; 60% Legum.)</t>
  </si>
  <si>
    <t>Futter-Zwischenfrucht (&lt; 60% Legum.)</t>
  </si>
  <si>
    <t>Grünbrache - kleereich (&gt; 60% Legum.)</t>
  </si>
  <si>
    <t>Grünbrache - Luzerne</t>
  </si>
  <si>
    <t>Grünbrache</t>
  </si>
  <si>
    <t>Kichererbse</t>
  </si>
  <si>
    <t>Mais Corn-Cob-Mix (CCM)</t>
  </si>
  <si>
    <t>Mariendistel</t>
  </si>
  <si>
    <t>Platterbse</t>
  </si>
  <si>
    <t>Saatkartoffel, Pflanzkartoffel</t>
  </si>
  <si>
    <t>Sojabohne</t>
  </si>
  <si>
    <t>Sommerdinkel (Spelzenanteil ca. 30 %)</t>
  </si>
  <si>
    <t xml:space="preserve">Sommerhafer </t>
  </si>
  <si>
    <t>Sommerhartweizen (Durum)</t>
  </si>
  <si>
    <t>Sommerkümmel</t>
  </si>
  <si>
    <t>Sommermohn</t>
  </si>
  <si>
    <t>Sommerraps</t>
  </si>
  <si>
    <t>Sommerroggen</t>
  </si>
  <si>
    <t>Sommerrübse</t>
  </si>
  <si>
    <t>Sommertriticale</t>
  </si>
  <si>
    <t>Sommerwicke</t>
  </si>
  <si>
    <t>Sonnenblume</t>
  </si>
  <si>
    <t>Speiseindustrie-Kartoffel</t>
  </si>
  <si>
    <t>Speise-Kartoffel</t>
  </si>
  <si>
    <t>Stärkeindustrie-Kartoffel</t>
  </si>
  <si>
    <t>Süßlupine</t>
  </si>
  <si>
    <t>Wicken-Getreide Gemenge</t>
  </si>
  <si>
    <t>Winterdinkel (Spelzenanteil ca.30 %)</t>
  </si>
  <si>
    <t xml:space="preserve">Winterhafer </t>
  </si>
  <si>
    <t>Winterhartweizen (Durum)</t>
  </si>
  <si>
    <t>Winterkümmel</t>
  </si>
  <si>
    <t>Wintermohn</t>
  </si>
  <si>
    <t>Winterrübse</t>
  </si>
  <si>
    <t>Wintertriticale</t>
  </si>
  <si>
    <t>Winterweichweizen &lt; 14 % Rohprotein</t>
  </si>
  <si>
    <t>Winterwicke</t>
  </si>
  <si>
    <t>Zuckerrübe</t>
  </si>
  <si>
    <t>Silomais frisch (m3)</t>
  </si>
  <si>
    <t>Silomais-Silage gelagert (m3)</t>
  </si>
  <si>
    <t>Mais-Ganzkorn frisch (m3)</t>
  </si>
  <si>
    <t>Mais-Ganzkornsilage gelagert (m3)</t>
  </si>
  <si>
    <t>Maiskornschrot frisch (m3)</t>
  </si>
  <si>
    <t>Maiskornschrot gelagert (m3)</t>
  </si>
  <si>
    <t>Silohirse/Sudangras frisch (m3)</t>
  </si>
  <si>
    <t>Gelber Enzian 1.Jahr</t>
  </si>
  <si>
    <t>Gelber Enzian 2.Jahr</t>
  </si>
  <si>
    <t>Gelber Enzian 3.Jahr</t>
  </si>
  <si>
    <t>Düngewerte für Phosphor*</t>
  </si>
  <si>
    <t>Düngewerte für Kalium (Empfehlung)</t>
  </si>
  <si>
    <t>Phosphor-Gehaltsklassen</t>
  </si>
  <si>
    <t>Kalium-Gehaltsklassen</t>
  </si>
  <si>
    <t>Ertrag</t>
  </si>
  <si>
    <t>C</t>
  </si>
  <si>
    <t>nach Ertragslage</t>
  </si>
  <si>
    <t>kg N/ha 
Nitratrisiko-
Gebiet</t>
  </si>
  <si>
    <t>kg N/ha
Nitratrisiko-
Gebiet</t>
  </si>
  <si>
    <t>&lt; 15,0</t>
  </si>
  <si>
    <t>15,0 - 20,0</t>
  </si>
  <si>
    <t>20,0 - 25,0</t>
  </si>
  <si>
    <t>25,0 - 30,0</t>
  </si>
  <si>
    <t>&gt; 30,0</t>
  </si>
  <si>
    <t>&lt; 10,0</t>
  </si>
  <si>
    <t>10,0 - 18,0</t>
  </si>
  <si>
    <t>&gt; 18,0</t>
  </si>
  <si>
    <t/>
  </si>
  <si>
    <t>10,0 - 12,0</t>
  </si>
  <si>
    <t>12,0 - 14,0</t>
  </si>
  <si>
    <t>14,0 - 15,0</t>
  </si>
  <si>
    <t>&gt; 15,0</t>
  </si>
  <si>
    <t>&gt; 20,0</t>
  </si>
  <si>
    <t>&lt; 60,0</t>
  </si>
  <si>
    <t>60,0 - 100,0</t>
  </si>
  <si>
    <t>&gt; 100,0</t>
  </si>
  <si>
    <t xml:space="preserve"> - </t>
  </si>
  <si>
    <t>&lt; 40,0</t>
  </si>
  <si>
    <t>40,0 - 50,0</t>
  </si>
  <si>
    <t>50,0 - 57,5</t>
  </si>
  <si>
    <t>&lt; 0,8</t>
  </si>
  <si>
    <t>0,8 - 1,0</t>
  </si>
  <si>
    <t>&gt; 1,0</t>
  </si>
  <si>
    <t>3,0 - 3,5</t>
  </si>
  <si>
    <t>3,5 - 4,0</t>
  </si>
  <si>
    <t>4,0 - 4,5</t>
  </si>
  <si>
    <t>9,5 - 10,5</t>
  </si>
  <si>
    <t>&gt; 10,5</t>
  </si>
  <si>
    <t>&lt; 8,5</t>
  </si>
  <si>
    <t>8,5 - 10,5</t>
  </si>
  <si>
    <t>10,5 - 12,0</t>
  </si>
  <si>
    <t>12,0 - 13,5</t>
  </si>
  <si>
    <t>&gt; 13,5</t>
  </si>
  <si>
    <t>Kresse</t>
  </si>
  <si>
    <t>3,0 - 5,0</t>
  </si>
  <si>
    <t>2,5 - 3,0</t>
  </si>
  <si>
    <t>Sommerackerbohnen</t>
  </si>
  <si>
    <t>4,0 - 5,25</t>
  </si>
  <si>
    <t>5,25 - 6,5</t>
  </si>
  <si>
    <t>6,5 - 7,75</t>
  </si>
  <si>
    <t>&gt; 7,75</t>
  </si>
  <si>
    <t>Sommerkörnererbsen</t>
  </si>
  <si>
    <t>1,5 - 2,5</t>
  </si>
  <si>
    <t>Sommerlinsen</t>
  </si>
  <si>
    <t>1,0 - 1,2</t>
  </si>
  <si>
    <t>&gt; 1,2</t>
  </si>
  <si>
    <t>&lt; 5,0</t>
  </si>
  <si>
    <t>5,0 - 6,0</t>
  </si>
  <si>
    <t>Sommerweichweizen &lt; 14 % Rohprotein</t>
  </si>
  <si>
    <t>Sommerweichweizen ≥ 14 % Rohprotein</t>
  </si>
  <si>
    <t>6,75 - 8,0</t>
  </si>
  <si>
    <t>&lt; 25,0</t>
  </si>
  <si>
    <t>25,0 - 35,0</t>
  </si>
  <si>
    <t>35,0 - 45,0</t>
  </si>
  <si>
    <t>45,0 - 55,0</t>
  </si>
  <si>
    <t>&gt; 55,0</t>
  </si>
  <si>
    <t>sonstige Ackerfläche</t>
  </si>
  <si>
    <t>Sonstige Ackerkulturen</t>
  </si>
  <si>
    <t>&lt; 33,0</t>
  </si>
  <si>
    <t>33,0 - 45,0</t>
  </si>
  <si>
    <t>55,0 - 65,0</t>
  </si>
  <si>
    <t>Topinambur, Süßkartoffel</t>
  </si>
  <si>
    <t>Winterackerbohnen</t>
  </si>
  <si>
    <t>Winterbraugerste</t>
  </si>
  <si>
    <t>4,5 - 5,5</t>
  </si>
  <si>
    <t>Winterkörnererbsen</t>
  </si>
  <si>
    <t>1,7 - 1,9</t>
  </si>
  <si>
    <t>Winterlinsen</t>
  </si>
  <si>
    <t>0,9 - 1,0</t>
  </si>
  <si>
    <t>Winterweichweizen ≥ 14 % Rohprotein</t>
  </si>
  <si>
    <t>&lt; 55,0</t>
  </si>
  <si>
    <t>55,0 - 75,0</t>
  </si>
  <si>
    <t>75,0 - 85,0</t>
  </si>
  <si>
    <t>85,0 - 95,0</t>
  </si>
  <si>
    <t>&gt; 95,0</t>
  </si>
  <si>
    <t>&lt; 110,0</t>
  </si>
  <si>
    <t>110,0 - 140,0</t>
  </si>
  <si>
    <t>140,0 - 160,0</t>
  </si>
  <si>
    <t>160,0 - 180,0</t>
  </si>
  <si>
    <t>&gt; 180,0</t>
  </si>
  <si>
    <t>55,0 - 70,0</t>
  </si>
  <si>
    <t>70,0 - 80,0</t>
  </si>
  <si>
    <t>80,0 - 90,0</t>
  </si>
  <si>
    <t>&gt; 90,0</t>
  </si>
  <si>
    <t>11,0 - 13,7</t>
  </si>
  <si>
    <t>13,8 - 15,6</t>
  </si>
  <si>
    <t>15,7 - 17,6</t>
  </si>
  <si>
    <t>&gt; 17,6</t>
  </si>
  <si>
    <t>&lt; 10,3</t>
  </si>
  <si>
    <t>10,3 - 12,7</t>
  </si>
  <si>
    <t>12,8 - 14,6</t>
  </si>
  <si>
    <t>14,7 - 16,4</t>
  </si>
  <si>
    <t>&gt; 16,4</t>
  </si>
  <si>
    <t>&lt; 9,2</t>
  </si>
  <si>
    <t>9,2 - 11,4</t>
  </si>
  <si>
    <t>13,1 - 14,6</t>
  </si>
  <si>
    <t>&gt; 14,6</t>
  </si>
  <si>
    <t>&lt; 8,7</t>
  </si>
  <si>
    <t>8,7 - 10,8</t>
  </si>
  <si>
    <t>10,9 - 12,3</t>
  </si>
  <si>
    <t>12,4 - 13,9</t>
  </si>
  <si>
    <t>&gt; 13,9</t>
  </si>
  <si>
    <t>&lt; 180,0</t>
  </si>
  <si>
    <t>180,0 - 225,0</t>
  </si>
  <si>
    <t>225,0 - 255,0</t>
  </si>
  <si>
    <t>255,0 - 285,0</t>
  </si>
  <si>
    <t>&gt; 285,0</t>
  </si>
  <si>
    <t>Triticale GPS frisch (m3)</t>
  </si>
  <si>
    <t>60,0 - 80,0</t>
  </si>
  <si>
    <t>80,0 - 100,0</t>
  </si>
  <si>
    <t>100,0 - 120,0</t>
  </si>
  <si>
    <t>Sonstige Weinfläche</t>
  </si>
  <si>
    <t>Wein - Triebwachstum schwach - begrünter Boden ohne Leg.</t>
  </si>
  <si>
    <t>≥ 5,0</t>
  </si>
  <si>
    <t xml:space="preserve">Wein - Triebwachstum schwach </t>
  </si>
  <si>
    <t>Wein - Triebwachstum mittel - begrünter Boden ohne Leg.</t>
  </si>
  <si>
    <t xml:space="preserve">Wein - Triebwachstum mittel </t>
  </si>
  <si>
    <t>Wein - Triebwachstum stark - begrünter Boden ohne Legum.</t>
  </si>
  <si>
    <t xml:space="preserve">Wein - Triebwachstum stark </t>
  </si>
  <si>
    <t>Heil- und Gewürzpflanzen:</t>
  </si>
  <si>
    <t>&lt; 12,0</t>
  </si>
  <si>
    <t>&gt; 40,0</t>
  </si>
  <si>
    <t>8,0 - 12,0</t>
  </si>
  <si>
    <t>6,0 - 10,0</t>
  </si>
  <si>
    <t>Grünland- und Ackerfutternutzungen (Klee, Kleegras, 
Wechselwiese, Futtergräser, Luzerne, Sonstiges Feldfutter, 
Energiegras), Sämereienvermehrung</t>
  </si>
  <si>
    <t>Bergmähder</t>
  </si>
  <si>
    <t>&lt; 9,0</t>
  </si>
  <si>
    <t>≥ 9,0</t>
  </si>
  <si>
    <t>Dauerwiese 1 Schnitt</t>
  </si>
  <si>
    <t>Dauerwiese 2 Schnitt</t>
  </si>
  <si>
    <t>≥ 4,0</t>
  </si>
  <si>
    <t>Dauerwiese 3 Schnitte, gräserbetont (&lt;40% Legum.)</t>
  </si>
  <si>
    <t>Dauerwiese 3 Schnitte, kleereich (&gt;40% Legum.)</t>
  </si>
  <si>
    <t>Dauerwiese 4 Schnitte, gräserbetont (&lt;40% Legum.)</t>
  </si>
  <si>
    <t>Dauerwiese 4 Schnitte, kleereich (&gt;40% Legum.)</t>
  </si>
  <si>
    <t>Dauerwiese 5 Schnitte, gräserbetont (&lt;40% Legum.)</t>
  </si>
  <si>
    <t>≥ 11</t>
  </si>
  <si>
    <t>Dauerwiese 5 Schnitte, kleereich (&gt;40% Legum.)</t>
  </si>
  <si>
    <t>Dauerwiese 6 Schnitte, gräserbetont (&lt;40% Legum.)</t>
  </si>
  <si>
    <t>Dauerwiese 6 Schnitte, kleereich (&gt;40% Legum.)</t>
  </si>
  <si>
    <t>Sonstige Grünlandfläche</t>
  </si>
  <si>
    <t>Sonstige Hutweidefläche</t>
  </si>
  <si>
    <t>Energiegras 1 Nutzung (&lt;10% Legum.)</t>
  </si>
  <si>
    <t>Energiegras 2 Nutzungen (&lt;10% Legum.)</t>
  </si>
  <si>
    <t>Energiegras 3 Nutzungen (&lt;10% Legum.)</t>
  </si>
  <si>
    <t>≥ 12,0</t>
  </si>
  <si>
    <t>Energiegras 4 Nutzungen (&lt;10% Legum.)</t>
  </si>
  <si>
    <t>Energiegras 5 Nutzungen (&lt;10% Legum.)</t>
  </si>
  <si>
    <t>Energiegras 6 Nutzungen (&lt;10% Legum.)</t>
  </si>
  <si>
    <t>Futtergräser 1 Nutzung (&lt;10% Legum.)</t>
  </si>
  <si>
    <t>Futtergräser 2 Nutzungen (&lt;10% Legum.)</t>
  </si>
  <si>
    <t>Futtergräser 3 Nutzungen (&lt;10% Legum.)</t>
  </si>
  <si>
    <t>Futtergräser 4 Nutzungen (&lt;10% Legum.)</t>
  </si>
  <si>
    <t>Futtergräser 5 Nutzungen (&lt;10% Legum.)</t>
  </si>
  <si>
    <t>Futtergräser 6 Nutzungen (&lt;10% Legum.)</t>
  </si>
  <si>
    <t>Klee 1 Nutzung (&gt;90% Legum.)</t>
  </si>
  <si>
    <t>Klee 2 Nutzungen (&gt;90% Legum.)</t>
  </si>
  <si>
    <t>Klee 3 Nutzungen (&gt;90% Legum.)</t>
  </si>
  <si>
    <t>Klee 4 Nutzungen (&gt;90% Legum.)</t>
  </si>
  <si>
    <t>Klee 5 Nutzungen (&gt;90% Legum.)</t>
  </si>
  <si>
    <t>Klee 6 Nutzungen (&gt;90% Legum.)</t>
  </si>
  <si>
    <t>Kleegras 1 Nutzung (&gt;60-90% Legum.)</t>
  </si>
  <si>
    <t>Kleegras 2 Nutzungen (60-90% Legum.)</t>
  </si>
  <si>
    <t>Kleegras 3 Nutzungen (60-90% Legum.)</t>
  </si>
  <si>
    <t>Kleegras 4 Nutzungen (60-90% Legum.)</t>
  </si>
  <si>
    <t>Kleegras 5 Nutzungen (60-90% Legum.)</t>
  </si>
  <si>
    <t>Kleegras 6 Nutzungen (60-90% Legum.)</t>
  </si>
  <si>
    <t xml:space="preserve">Luzerne 1 Nutzung (&gt;90% Legum.) </t>
  </si>
  <si>
    <t>Luzerne 2 Nutzungen (&gt;90% Legum.)</t>
  </si>
  <si>
    <t>Luzerne 3 Nutzungen (&gt;90% Legum.)</t>
  </si>
  <si>
    <t xml:space="preserve">Luzerne 4 Nutzungen (&gt;90% Legum.) </t>
  </si>
  <si>
    <t>Luzerne 5 Nutzungen (&gt;90% Legum.)</t>
  </si>
  <si>
    <t xml:space="preserve">Luzerne 6 Nutzungen (&gt;90% Legum.) </t>
  </si>
  <si>
    <t>Sämereienvermehrung - Alpingräser</t>
  </si>
  <si>
    <t>Sämereienvermehrung - Gräser</t>
  </si>
  <si>
    <t>Sämereienvermehrung - Rotklee</t>
  </si>
  <si>
    <t>Sonstiges Feldfutter 1 Nutzung, gräserreich (&lt;40% Leg.)</t>
  </si>
  <si>
    <t>Sonstiges Feldfutter 1 Nutzung, kleereich (40-90% Legum.)</t>
  </si>
  <si>
    <t>Sonstiges Feldfutter 2 Nutzungen, gräserreich (&lt;40% Legum.)</t>
  </si>
  <si>
    <t>Sonstiges Feldfutter 2 Nutzungen, kleereich (40-90% Legum.)</t>
  </si>
  <si>
    <t>Sonstiges Feldfutter 3 Nutzungen, gräserreich (&lt;40% Legum.)</t>
  </si>
  <si>
    <t>Sonstiges Feldfutter 3 Nutzungen, kleereich (40-90% Legum.)</t>
  </si>
  <si>
    <t>Sonstiges Feldfutter 4 Nutzungen, gräserreich (&lt;40% Legum.)</t>
  </si>
  <si>
    <t>Sonstiges Feldfutter 4 Nutzungen, kleereich (40-90% Legum.)</t>
  </si>
  <si>
    <t>Sonstiges Feldfutter 5 Nutzungen, gräserreich (&lt;40% Legum.)</t>
  </si>
  <si>
    <t>Sonstiges Feldfutter 5 Nutzungen, kleereich (40-90% Legum.)</t>
  </si>
  <si>
    <t>Sonstiges Feldfutter 6 Nutzungen, gräserreich (&lt;40% Legum.)</t>
  </si>
  <si>
    <t>Sonstiges Feldfutter 6 Nutzungen, kleereich (40-90% Legum.)</t>
  </si>
  <si>
    <t>Wechselwiese 1 Nutzung</t>
  </si>
  <si>
    <t>Wechselwiese 2 Nutzungen</t>
  </si>
  <si>
    <t>Wechselwiese 3 Nutzungen, gräserreich (&lt;40% Legum.)</t>
  </si>
  <si>
    <t>Wechselwiese 3 Nutzungen, kleereich (40-60% Legum.)</t>
  </si>
  <si>
    <t>Wechselwiese 4 Nutzungen, gräserreich (&lt;40% Legum.)</t>
  </si>
  <si>
    <t>Wechselwiese 4 Nutzungen, kleereich (40-60% Legum.)</t>
  </si>
  <si>
    <t>Wechselwiese 5 Nutzungen, gräserreich (&lt;40% Legum.)</t>
  </si>
  <si>
    <t>Wechselwiese 5 Nutzungen, kleereich (40-60% Legum.)</t>
  </si>
  <si>
    <t>Wechselwiese 6 Nutzungen, gräserreich (&lt;40% Legum.)</t>
  </si>
  <si>
    <t>Wechselwiese 6 Nutzungen, kleereich (40-60% Legum.)</t>
  </si>
  <si>
    <t>8,0 - 14,0</t>
  </si>
  <si>
    <t>&gt; 14,0</t>
  </si>
  <si>
    <t>Edelkastanie</t>
  </si>
  <si>
    <t>5,0 - 8,0</t>
  </si>
  <si>
    <t>10,0 - 15,0</t>
  </si>
  <si>
    <t>Nektarine</t>
  </si>
  <si>
    <t>30,0 - 40,0</t>
  </si>
  <si>
    <t>Pfirsich</t>
  </si>
  <si>
    <t>Pflaume</t>
  </si>
  <si>
    <t>Quitte</t>
  </si>
  <si>
    <t>0,5 - 4,0</t>
  </si>
  <si>
    <t>Sonstige Spezialkulturfläche</t>
  </si>
  <si>
    <t>Tafelapfel</t>
  </si>
  <si>
    <t>Tafelbirne</t>
  </si>
  <si>
    <t>Weichsel</t>
  </si>
  <si>
    <t>Walnüsse</t>
  </si>
  <si>
    <t>Zwetschke</t>
  </si>
  <si>
    <t>Christbäume - Tanne/Fichte - 1 Jahr Kulturalter 4)</t>
  </si>
  <si>
    <t>Christbäume - Tanne/Fichte - 2 Jahre Kulturalter 4)</t>
  </si>
  <si>
    <t>Christbäume - Tanne/Fichte - 3 Jahre Kulturalter 4)</t>
  </si>
  <si>
    <t>Christbäume - Tanne - 4 Jahre Kulturalter 4)</t>
  </si>
  <si>
    <t>Christbäume - Tanne - 5 Jahre Kulturalter 4)</t>
  </si>
  <si>
    <t>Christbäume - Tanne - 6 Jahre Kulturalter 4)</t>
  </si>
  <si>
    <t>Christbäume - Tanne - 7 Jahre Kulturalter 4)</t>
  </si>
  <si>
    <t>Christbäume - Tanne - 8 Jahre Kulturalter 4)</t>
  </si>
  <si>
    <t>Christbäume - Tanne - 9 Jahre Kulturalter 4)</t>
  </si>
  <si>
    <t>Christbäume - Tanne - 10 Jahre Kulturalter 4)</t>
  </si>
  <si>
    <t>Christbäume - Tanne - älter als 10 Jahre 4)</t>
  </si>
  <si>
    <t>Christbäume - Fichte - 4 Jahre Kulturalter 4)</t>
  </si>
  <si>
    <t>Christbäume - Fichte - 5 Jahre Kulturalter 4)</t>
  </si>
  <si>
    <t>Christbäume - Fichte - 6 Jahre Kulturalter 4)</t>
  </si>
  <si>
    <t>Christbäume - Fichte - 7 Jahre Kulturalter 4)</t>
  </si>
  <si>
    <t>Christbäume - Fichte - 8 Jahre Kulturalter 4)</t>
  </si>
  <si>
    <t>Christbäume - Fichte - 9 Jahre Kulturalter 4)</t>
  </si>
  <si>
    <t>Christbäume - Fichte - 10 Jahre Kulturalter 4)</t>
  </si>
  <si>
    <t>Christbäume - Fichte - älter als 10 Jahre 4)</t>
  </si>
  <si>
    <t>5) Abschlag von 50 % des Wertes der mittleren Ertragslage möglich; keine mineralische Düngung zu Getreide; Nährstoffe aus hofeigenen Wirtschaftsdüngern sind in der Höhe des Pflanzenentzuges tolerierbar.</t>
  </si>
  <si>
    <t>niedrig Nitratrisikogebiet</t>
  </si>
  <si>
    <t>mittel Nitratrisikogebiet</t>
  </si>
  <si>
    <t>hoch 1 Nitratrisikogebiet</t>
  </si>
  <si>
    <t>hoch 2 Nitratrisikogebiet</t>
  </si>
  <si>
    <t>hoch 3 Nitratrisikogebiet</t>
  </si>
  <si>
    <t>Saatmais (gereinigte Ware)</t>
  </si>
  <si>
    <t>ID</t>
  </si>
  <si>
    <t>Silohirse/Sudangras frisch</t>
  </si>
  <si>
    <t>Trticale GPS frisch</t>
  </si>
  <si>
    <t>Almfutterfläche</t>
  </si>
  <si>
    <t>Mähweide (1 Schnitt + 1 bis 2 Weidegänge)</t>
  </si>
  <si>
    <t>Mähweide (2 Schnitte + 1 Weidegang)</t>
  </si>
  <si>
    <t>Mähweide (2 Schnitte + 2 oder mehr Weidegänge)</t>
  </si>
  <si>
    <t>Hutweide</t>
  </si>
  <si>
    <t>BIO</t>
  </si>
  <si>
    <t>N [%]</t>
  </si>
  <si>
    <t>P2O5 [%]</t>
  </si>
  <si>
    <t>K2O [%]</t>
  </si>
  <si>
    <t>S [%]</t>
  </si>
  <si>
    <t>CaO [%]</t>
  </si>
  <si>
    <t>MgO [%]</t>
  </si>
  <si>
    <t>Löslichkeit</t>
  </si>
  <si>
    <t>Agro Hi Bor</t>
  </si>
  <si>
    <t>Agro Hi N</t>
  </si>
  <si>
    <t>leicht</t>
  </si>
  <si>
    <t>Agrobiosol</t>
  </si>
  <si>
    <t>Agrosol</t>
  </si>
  <si>
    <t>Agrosol liquid</t>
  </si>
  <si>
    <t>AH - Lösung 27%</t>
  </si>
  <si>
    <t>AH - Lösung 30%</t>
  </si>
  <si>
    <t>AKRA Azoarcus N-Bakterien</t>
  </si>
  <si>
    <t>AKRA Azotobacter N-Bakterien</t>
  </si>
  <si>
    <t>AKRA Blatt</t>
  </si>
  <si>
    <t>AKRA Kombi</t>
  </si>
  <si>
    <t>AKRA Magnesia</t>
  </si>
  <si>
    <t>AKRA Magnesia +S</t>
  </si>
  <si>
    <t>AKRA MSB</t>
  </si>
  <si>
    <t>AKRA organ. Flüssigdünger</t>
  </si>
  <si>
    <t>AKRA Plus 9</t>
  </si>
  <si>
    <t>AKRA Saat</t>
  </si>
  <si>
    <t>AKRA Start</t>
  </si>
  <si>
    <t>AKRA Stroh R. + P</t>
  </si>
  <si>
    <t>AKRA WD</t>
  </si>
  <si>
    <t>AlgoVital Plus</t>
  </si>
  <si>
    <t>ALPIFERT</t>
  </si>
  <si>
    <t>langsam</t>
  </si>
  <si>
    <t>Alzon 46</t>
  </si>
  <si>
    <t>ALZON neo-N</t>
  </si>
  <si>
    <t>Amalgerol</t>
  </si>
  <si>
    <t>Aminosol-PS</t>
  </si>
  <si>
    <t>AminoVital</t>
  </si>
  <si>
    <t>Ammonsulfat 21% (SSA)</t>
  </si>
  <si>
    <t>Ammonsulfatsalpeter (ASS)</t>
  </si>
  <si>
    <t>ASPANGER GLIMMER MICA G</t>
  </si>
  <si>
    <t>AZO - Speed</t>
  </si>
  <si>
    <t>B&amp;P Kräuterextrakt</t>
  </si>
  <si>
    <t>Bactiva</t>
  </si>
  <si>
    <t>Bactosol</t>
  </si>
  <si>
    <t>Basaltmehl</t>
  </si>
  <si>
    <t>Bayfolan S</t>
  </si>
  <si>
    <t>Bio Bokashi Terra</t>
  </si>
  <si>
    <t>Bio Braunkorn Plus</t>
  </si>
  <si>
    <t>BIOADUSOL</t>
  </si>
  <si>
    <t>BIOADUSOL flüssig</t>
  </si>
  <si>
    <t>BioAgenasol</t>
  </si>
  <si>
    <t>BioAktiv für Gülle</t>
  </si>
  <si>
    <t>BioAktiv für Kompost</t>
  </si>
  <si>
    <t>BioAktiv-Pflanze</t>
  </si>
  <si>
    <t>Bio-Aminosol</t>
  </si>
  <si>
    <t>Biofert</t>
  </si>
  <si>
    <t>Biolit</t>
  </si>
  <si>
    <t>BIO-LIT Steinmehl ultrafein</t>
  </si>
  <si>
    <t>BIOLUNDER+</t>
  </si>
  <si>
    <t>Biosol</t>
  </si>
  <si>
    <t>Biovin flüssig</t>
  </si>
  <si>
    <t>Biovin rein organischer Dünger</t>
  </si>
  <si>
    <t>Biplantol agrar</t>
  </si>
  <si>
    <t>Biplantol mykos V forte</t>
  </si>
  <si>
    <t>Biplantol X2 forte</t>
  </si>
  <si>
    <t>Bittersalz</t>
  </si>
  <si>
    <t>Borax 10% Bor</t>
  </si>
  <si>
    <t>Bor-Max</t>
  </si>
  <si>
    <t>BOR-NAC 26:0:0</t>
  </si>
  <si>
    <t>Branntkalk</t>
  </si>
  <si>
    <t>Carbo-Eco Fe</t>
  </si>
  <si>
    <t>Carbo-Eco Mn</t>
  </si>
  <si>
    <t>Citrosol</t>
  </si>
  <si>
    <t>Citrosteep (Maisquellwasser schwer)</t>
  </si>
  <si>
    <t>Complesal plus 15:5:16 +4MgO</t>
  </si>
  <si>
    <t>COMPLEX 12/12/17+2MgO+12S+B+Zn</t>
  </si>
  <si>
    <t>COMPLEX 14/10/20+10S</t>
  </si>
  <si>
    <t>COMPLEX 15/15/15+8S+Zn</t>
  </si>
  <si>
    <t>COMPLEX 15/5/18+2,5MgO+10S+B+Zn</t>
  </si>
  <si>
    <t>COMPLEX 18/28+Zn</t>
  </si>
  <si>
    <t>COMPLEX 20/10/8+12S</t>
  </si>
  <si>
    <t>COMPLEX 20/20+7S+Zn</t>
  </si>
  <si>
    <t>COMPLEX 20/8/8+3MgO+4S</t>
  </si>
  <si>
    <t>COMPLEX 24/14+7S</t>
  </si>
  <si>
    <t>COMPLEX SOP 12/12/17+2MgO+12S+B+Zn</t>
  </si>
  <si>
    <t>COMPLEX SOP 15/5/18+2,5MgO+25S+B+Zn</t>
  </si>
  <si>
    <t>Cuprofor flow</t>
  </si>
  <si>
    <t>CutiSan</t>
  </si>
  <si>
    <t>DC - 44 0:10:30</t>
  </si>
  <si>
    <t>DC - 45 neu 0:12:20</t>
  </si>
  <si>
    <t>DC - classic 0:15:30 + 3S</t>
  </si>
  <si>
    <t>DC - Fit 0:10:30 + 0,1B + 11S</t>
  </si>
  <si>
    <t>DC - Frucht 12:5:15</t>
  </si>
  <si>
    <t>DC - ROT 10:8:20 +13S +0,1B</t>
  </si>
  <si>
    <t>DC - Rübe 0:10:30 + 0,2B + 6S</t>
  </si>
  <si>
    <t>DC 15:5:5 + 18S</t>
  </si>
  <si>
    <t>DC 28 14:7:7</t>
  </si>
  <si>
    <t>DC 35 10:10:15</t>
  </si>
  <si>
    <t>DC 36 0:18:18</t>
  </si>
  <si>
    <t xml:space="preserve">DC 37 12:10:15 </t>
  </si>
  <si>
    <t>DC 39 9:15:15</t>
  </si>
  <si>
    <t>DC 4 x 12</t>
  </si>
  <si>
    <t>DC 42 6:14:24</t>
  </si>
  <si>
    <t>DC Borstart 6:10:16 +0,1B</t>
  </si>
  <si>
    <t>DC NPK</t>
  </si>
  <si>
    <t>DC PK 0:12:20</t>
  </si>
  <si>
    <t>DC Stabil Sp. 9:9:15+2</t>
  </si>
  <si>
    <t>DC Superphosphat</t>
  </si>
  <si>
    <t>DC Top 15:5:0</t>
  </si>
  <si>
    <t>DC Vital 6:8:20+2 MgO + 15 SContent</t>
  </si>
  <si>
    <t>DC-Naturphosphat</t>
  </si>
  <si>
    <t>Diabas Urgesteinsmehl</t>
  </si>
  <si>
    <t>Dialit</t>
  </si>
  <si>
    <t>Diammoniumphosphat DAP</t>
  </si>
  <si>
    <t>DolLit / Dolo 40</t>
  </si>
  <si>
    <t>Dolokorn</t>
  </si>
  <si>
    <t>Dolophos 15 / Dolophos 26</t>
  </si>
  <si>
    <t>Dolophos 15 gran.</t>
  </si>
  <si>
    <t>Dolosol</t>
  </si>
  <si>
    <t>Ecovigor</t>
  </si>
  <si>
    <t>Eifelgold Urgesteinsmehl</t>
  </si>
  <si>
    <t>Eisen Chelat 6,5%</t>
  </si>
  <si>
    <t>Eisenchelat 3%</t>
  </si>
  <si>
    <t>Eisen-II-Sulfat</t>
  </si>
  <si>
    <t>EM Keramikpulver</t>
  </si>
  <si>
    <t>eMB Aktiv</t>
  </si>
  <si>
    <t>eMB Urlösung</t>
  </si>
  <si>
    <t>EMIKO MikroDünger</t>
  </si>
  <si>
    <t>ENTEC 26</t>
  </si>
  <si>
    <t>Epiflor Ca - ultrafein</t>
  </si>
  <si>
    <t>Epiflor Mg - ultrafein</t>
  </si>
  <si>
    <t>Epso Combitop</t>
  </si>
  <si>
    <t>Epso Microtop</t>
  </si>
  <si>
    <t>Epso Top</t>
  </si>
  <si>
    <t>Equisetum Plus</t>
  </si>
  <si>
    <t>ESTA Kieserit gran.</t>
  </si>
  <si>
    <t>Fermentierter Pflanzenextrakt</t>
  </si>
  <si>
    <t>Ferrogranul 20</t>
  </si>
  <si>
    <t>Fertileader AZUR (Ca)</t>
  </si>
  <si>
    <t>Fertileader Gold (BMo)</t>
  </si>
  <si>
    <t>Fertileader OPAL</t>
  </si>
  <si>
    <t>Feuchtkalk</t>
  </si>
  <si>
    <t>Foliarel 21% Bor</t>
  </si>
  <si>
    <t>Foliarel Flüssigbor 14% Bor</t>
  </si>
  <si>
    <t>Folifert super</t>
  </si>
  <si>
    <t>Graukalk</t>
  </si>
  <si>
    <t>Graukorn</t>
  </si>
  <si>
    <t>GreenFit CaCO3 92%</t>
  </si>
  <si>
    <t>Grundkorn 10:15:20+3</t>
  </si>
  <si>
    <t>GÜLLE2000</t>
  </si>
  <si>
    <t>Güllekalk</t>
  </si>
  <si>
    <t>Harnstoff 46:0:0</t>
  </si>
  <si>
    <t>Harnstoff flü.</t>
  </si>
  <si>
    <t>Hyperkalisulfat 18:18</t>
  </si>
  <si>
    <t>Hyperkorn 26</t>
  </si>
  <si>
    <t>Hyperkorn mehlfein</t>
  </si>
  <si>
    <t>Hyperphosphat</t>
  </si>
  <si>
    <t>IPUSagro B100, 110</t>
  </si>
  <si>
    <t>IPUSagro L 900</t>
  </si>
  <si>
    <t>IPUSagro Quattro P 400</t>
  </si>
  <si>
    <t>K&amp;A Decide</t>
  </si>
  <si>
    <t>K&amp;A Frontiere</t>
  </si>
  <si>
    <t>Kali 40 0:0:40+6 MgO</t>
  </si>
  <si>
    <t>Kali 50 % schwefels.ges.+18 SContent</t>
  </si>
  <si>
    <t>Kali 60 0:0:60</t>
  </si>
  <si>
    <t>Kali PK 5:55</t>
  </si>
  <si>
    <t>Kalinitrat</t>
  </si>
  <si>
    <t>Kalisop 50%</t>
  </si>
  <si>
    <t>Kalksalpeter (CalciNit)</t>
  </si>
  <si>
    <t>Kalkstickstoff 20:0:0</t>
  </si>
  <si>
    <t>Kalzium-Schwefeldünger</t>
  </si>
  <si>
    <t>KaPhos</t>
  </si>
  <si>
    <t>KM 8000</t>
  </si>
  <si>
    <t>Kohlensaurer Kalk</t>
  </si>
  <si>
    <t>Kohlensaurer Magnesiumkalk</t>
  </si>
  <si>
    <t>Kohlensaurer Magnesiumkalk (S)</t>
  </si>
  <si>
    <t>Kohlensaurer Magnesiumkalk, Dolomitkalk</t>
  </si>
  <si>
    <t>KOKA = Kohlensaurer Kalk</t>
  </si>
  <si>
    <t>KOKA Mg = Kohlensaurer Magnesiumkalk</t>
  </si>
  <si>
    <t>KomBioflor®-b</t>
  </si>
  <si>
    <t>KOMPOST2000</t>
  </si>
  <si>
    <t>Konverterkalk</t>
  </si>
  <si>
    <t>Kupfer-Chelat flüssig</t>
  </si>
  <si>
    <t>Kupfersulfat</t>
  </si>
  <si>
    <t>Lebosol Bor</t>
  </si>
  <si>
    <t>Lebosol®-Magnesium 400 SC</t>
  </si>
  <si>
    <t>Lebosol®-Molybdän</t>
  </si>
  <si>
    <t>Lebosol®-Zink 700 SC</t>
  </si>
  <si>
    <t>LithoSoil</t>
  </si>
  <si>
    <t>Magnesia Kainit</t>
  </si>
  <si>
    <t>Magnesium Mischkalk 60</t>
  </si>
  <si>
    <t>Magnesium Mischkalk 65</t>
  </si>
  <si>
    <t>Magnesiumnitrat</t>
  </si>
  <si>
    <t>Magnisol</t>
  </si>
  <si>
    <t>Maltaflor Bio Spezial</t>
  </si>
  <si>
    <t>Maltaflor Bio Symbio</t>
  </si>
  <si>
    <t>Mangan-Chelat flüssig</t>
  </si>
  <si>
    <t>Mangansulfat</t>
  </si>
  <si>
    <t>Meerkalk</t>
  </si>
  <si>
    <t>Mischkalk</t>
  </si>
  <si>
    <t>MK 5</t>
  </si>
  <si>
    <t>mOlnasa®</t>
  </si>
  <si>
    <t>Monoammoniumph. 12:52:0</t>
  </si>
  <si>
    <t>Multikraft Effektive Mikroorganismen Aktiv</t>
  </si>
  <si>
    <t>Multikraft Effektive Mikroorganismen Urlösung</t>
  </si>
  <si>
    <t>NAC 24% 24:0:0+6 S</t>
  </si>
  <si>
    <t>NAC 25% 25:0:0+5 MgO</t>
  </si>
  <si>
    <t>NAC 27% 27:0:0</t>
  </si>
  <si>
    <t>NAC+S 26 N +13 SO3</t>
  </si>
  <si>
    <t>NaturalGreen</t>
  </si>
  <si>
    <t>Naturgips / Naturgipskorn</t>
  </si>
  <si>
    <t>Naturphosphat 26%</t>
  </si>
  <si>
    <t>Nitrophoska Mg plus 12:5:17+5</t>
  </si>
  <si>
    <t>Nitrophoska perfekt 15:5:20+2</t>
  </si>
  <si>
    <t>Nitrophoska spezial 12:5:17+2</t>
  </si>
  <si>
    <t>Nitrophoska suprem 20:5:10+3</t>
  </si>
  <si>
    <t>NPK 12/12/17+9S</t>
  </si>
  <si>
    <t>NPK 13/6/16+9S</t>
  </si>
  <si>
    <t>NPK 14/10/20</t>
  </si>
  <si>
    <t>NPK 15/15/15</t>
  </si>
  <si>
    <t>NPK 18/8/8</t>
  </si>
  <si>
    <t>NPK 20/10/10</t>
  </si>
  <si>
    <t>Nutribor</t>
  </si>
  <si>
    <t>Nutrimix fluid</t>
  </si>
  <si>
    <t>Organic Plant Feed (OPF) 4-2-8</t>
  </si>
  <si>
    <t>Organic Plant Feed (OPF) 5-2-5</t>
  </si>
  <si>
    <t>Organic Plant Feed (OPF) 7-2-3</t>
  </si>
  <si>
    <t>Organic Plant Feed (OPF) granular 11-0-5</t>
  </si>
  <si>
    <t>Patentkali 0:0:30</t>
  </si>
  <si>
    <t>Phosfik</t>
  </si>
  <si>
    <t>Physiomax</t>
  </si>
  <si>
    <t>Physiomax 975</t>
  </si>
  <si>
    <t>Phytoamin</t>
  </si>
  <si>
    <t>Piamon S33</t>
  </si>
  <si>
    <t>Piasan 28</t>
  </si>
  <si>
    <t>Piasan G 20/8</t>
  </si>
  <si>
    <t>Piasan S 25/6</t>
  </si>
  <si>
    <t>Pischelsdorfer Düngerschlempe</t>
  </si>
  <si>
    <t>Pischelsdorfer Düngerschlempe feucht</t>
  </si>
  <si>
    <t>Plonvit Kali</t>
  </si>
  <si>
    <t>Plonvit nitro</t>
  </si>
  <si>
    <t>Plonvit Phospho</t>
  </si>
  <si>
    <t>PottaSol</t>
  </si>
  <si>
    <t>Pressgold 100% organische Hühnermistpellets aus Ö</t>
  </si>
  <si>
    <t>Pressgold BIO 100% organische Hühnermistpellets aus Ö</t>
  </si>
  <si>
    <t>ProLiq® AminoCalcio</t>
  </si>
  <si>
    <t>ProLiq® Calcium LQ</t>
  </si>
  <si>
    <t>Radam extra 520</t>
  </si>
  <si>
    <t>Resistance</t>
  </si>
  <si>
    <t>RhizoFlor ZEO ultrafein</t>
  </si>
  <si>
    <t>Rübenbruchstücke / Rübengrün</t>
  </si>
  <si>
    <t>SCHWEDOKAL® 90 Granulat</t>
  </si>
  <si>
    <t>SCHWEFAL flüssig</t>
  </si>
  <si>
    <t>SCHWEFAL-Schwefel-Linsen</t>
  </si>
  <si>
    <t>Sedumin Regenwurmhumus</t>
  </si>
  <si>
    <t>Sedumin® Algen-Extrakt</t>
  </si>
  <si>
    <t>Sedumin® Bio-Ferrol</t>
  </si>
  <si>
    <t>Sedumin® Bio-Hühnermist-Pellets</t>
  </si>
  <si>
    <t>Sedumin® Carbofert</t>
  </si>
  <si>
    <t>Sedumin® Element-S Biofluid</t>
  </si>
  <si>
    <t>Sedumin® Haarmehlpellets 14% N</t>
  </si>
  <si>
    <t>Sedumin® MicroVital 313</t>
  </si>
  <si>
    <t>Sedumin® Soilfeed Bio - flüssig</t>
  </si>
  <si>
    <t>Sedumin® Vegipur 402 M</t>
  </si>
  <si>
    <t>Sedumin® Vegipur 412</t>
  </si>
  <si>
    <t>Sedumin® Vegipur BIOMIX</t>
  </si>
  <si>
    <t>Sedumin® Vinasse 305</t>
  </si>
  <si>
    <t>Sergomil L60</t>
  </si>
  <si>
    <t>SOJALL MICRO POWER</t>
  </si>
  <si>
    <t>Solubor</t>
  </si>
  <si>
    <t>solufit FG®/ solufit TG®/ solufit WE®</t>
  </si>
  <si>
    <t>Spower BioN +(A)</t>
  </si>
  <si>
    <t>StyriaFert N flüssig</t>
  </si>
  <si>
    <t>StyriaFert N+</t>
  </si>
  <si>
    <t>StyriaFert N105</t>
  </si>
  <si>
    <t>StyriaFert N14</t>
  </si>
  <si>
    <t>StyriaFert NK</t>
  </si>
  <si>
    <t>StyriaFert NPK</t>
  </si>
  <si>
    <t>StyriaFert Powerkorn</t>
  </si>
  <si>
    <t>StyriaFert Veggie Basis</t>
  </si>
  <si>
    <t>StyriaFert Veggie Bio</t>
  </si>
  <si>
    <t>StyriaFert Veggie eM</t>
  </si>
  <si>
    <t>StyriaFert Veggie Plus</t>
  </si>
  <si>
    <t>Sulfammo 23 N</t>
  </si>
  <si>
    <t>Sulfammo 26 NContent PRO</t>
  </si>
  <si>
    <t>Sulfammo 30 N</t>
  </si>
  <si>
    <t>Sulfogran®</t>
  </si>
  <si>
    <t>Sulfogranulat</t>
  </si>
  <si>
    <t>Sulfogüll® plus</t>
  </si>
  <si>
    <t>Sulfomax</t>
  </si>
  <si>
    <t>Superk. DC 36 0:18:18</t>
  </si>
  <si>
    <t>Terrafert Blatt</t>
  </si>
  <si>
    <t>Terrafert Boden</t>
  </si>
  <si>
    <t>Thomaskali 10:20 + 3MgO</t>
  </si>
  <si>
    <t>Thomaskorn</t>
  </si>
  <si>
    <t>Thomasmehl 0:15:0</t>
  </si>
  <si>
    <t>Thomasphosphat</t>
  </si>
  <si>
    <t>Timac Agro Hyperkorn 26%</t>
  </si>
  <si>
    <t>Timac Agro Hyperphosphat mehlfein 29%</t>
  </si>
  <si>
    <t>Timac Agro Naturphosphat 26 %, granuliert</t>
  </si>
  <si>
    <t>Triplephosphat 0:45:0</t>
  </si>
  <si>
    <t>UAN 30 NContent 30:0:0</t>
  </si>
  <si>
    <t>Unser Bio HTK-Pellets 4-3-3</t>
  </si>
  <si>
    <t>UREA 46 NContent 46:0:0</t>
  </si>
  <si>
    <t>Urea S</t>
  </si>
  <si>
    <t>Vario 18/11/11+2S</t>
  </si>
  <si>
    <t>Vario 20/7/7+17S</t>
  </si>
  <si>
    <t>Vario 21/5/5+20S</t>
  </si>
  <si>
    <t>VARIO 23 N + 25 S</t>
  </si>
  <si>
    <t>Vermesfluid</t>
  </si>
  <si>
    <t>VERMIGRAND Regenwurmhumus</t>
  </si>
  <si>
    <t>VERMIGRAND Wagramkompost</t>
  </si>
  <si>
    <t>Vinasse C</t>
  </si>
  <si>
    <t>Vinasse Team F</t>
  </si>
  <si>
    <t>Weicherdiges Rohphosphat (Naturphosphat)</t>
  </si>
  <si>
    <t>Wigor S</t>
  </si>
  <si>
    <t>Wuxal Boron Plus</t>
  </si>
  <si>
    <t>Wuxal Calcium</t>
  </si>
  <si>
    <t>Wuxal Combi B Plus</t>
  </si>
  <si>
    <t>Wuxal Magnesium</t>
  </si>
  <si>
    <t>Wuxal P Profi</t>
  </si>
  <si>
    <t>Wuxal Schwefel</t>
  </si>
  <si>
    <t>Wuxal super</t>
  </si>
  <si>
    <t>Wuxal Top N</t>
  </si>
  <si>
    <t>YaraBela ASS 26+14</t>
  </si>
  <si>
    <t>YaraVera AMIDAS</t>
  </si>
  <si>
    <t>Zink-Chelat flüssig</t>
  </si>
  <si>
    <t>Zinksulfat</t>
  </si>
  <si>
    <t>Domamon L 26</t>
  </si>
  <si>
    <t>konv.</t>
  </si>
  <si>
    <t>Wirksam wie</t>
  </si>
  <si>
    <t>Zulasssung</t>
  </si>
  <si>
    <t>Nff</t>
  </si>
  <si>
    <t>Njw</t>
  </si>
  <si>
    <t>Drop Down eigene Dünger</t>
  </si>
  <si>
    <t>Min. Dünger</t>
  </si>
  <si>
    <t xml:space="preserve"> % N (gesamt)</t>
  </si>
  <si>
    <t>sonstige Dünger</t>
  </si>
  <si>
    <t>Nff berechnet</t>
  </si>
  <si>
    <t>Njw Berechnet</t>
  </si>
  <si>
    <t>kg Njw</t>
  </si>
  <si>
    <t>kg Nff</t>
  </si>
  <si>
    <t>N-Einsatz aus Handelsdüngern</t>
  </si>
  <si>
    <t>N-Einsatz aus Handelsdüngern in kg</t>
  </si>
  <si>
    <t>Liste_Ertrag A5</t>
  </si>
  <si>
    <t>konv. DropDown</t>
  </si>
  <si>
    <t>BIO DropDown</t>
  </si>
  <si>
    <t>Futter ZWF  &gt;60% Leguminosen</t>
  </si>
  <si>
    <t>ZWF &gt;60% Leguminosen</t>
  </si>
  <si>
    <r>
      <t xml:space="preserve">Luzerne als Grünbrache </t>
    </r>
    <r>
      <rPr>
        <b/>
        <u/>
        <sz val="11"/>
        <rFont val="Arial"/>
        <family val="2"/>
      </rPr>
      <t>einjährig nach Umbruch</t>
    </r>
  </si>
  <si>
    <r>
      <t xml:space="preserve">Luzerne als Grünbrache  und Grünbrachen &gt;60% Leg </t>
    </r>
    <r>
      <rPr>
        <b/>
        <u/>
        <sz val="11"/>
        <rFont val="Arial"/>
        <family val="2"/>
      </rPr>
      <t>mehrjährig nach Umbruch</t>
    </r>
  </si>
  <si>
    <t>Die Düngung ist auf langjährige Durchschnittserträge abzustimmen. 
Es gelten für alle Betriebe die Düngezahlen des Aktionsprogramm Nitrat.
Die Erträge müssen zu Nachweiszwecken einer plausiblen Ertragslageneinschätzung aufgezeichnet werden. Hierzu können Ertragsschätzungen (siehe Tabellenblatt "Ertragsermittlung") oder Wiegebelege herangezogen werden.
Ertragslagen mit der Ergänzung "Nitratrisikogebiet" steht für die reduzierten Düngehöhen in Gebieten gem. Anlange 5 der Nitrat Aktionsprogramm Verordnung.</t>
  </si>
  <si>
    <t>Liste_N_GL</t>
  </si>
  <si>
    <t>DIV Acker</t>
  </si>
  <si>
    <t>Brache Acker</t>
  </si>
  <si>
    <t>Almfutterfläche**</t>
  </si>
  <si>
    <t>Hutweide**</t>
  </si>
  <si>
    <t xml:space="preserve">1) Grundsätzlich keine mineralische Düngung empfohlen; bei niedriger Wasserlöslichkeit ist eine Düngung in der Höhe von 50 % des Wertes der mittleren Ertragslage möglich; 
bei Böden über 15 % Tongehalt ist eine Unterfußdüngung bis zu 50 % des Wertes der mittleren Ertragslage möglich; </t>
  </si>
  <si>
    <t xml:space="preserve">    Nährstoffzufuhr durch hofeigene Wirtschaftsdünger sind in der Höhe des Pflanzenentzuges tolerierbar.</t>
  </si>
  <si>
    <t>2) Eine weitere Nährstoffzufuhr ist nicht zu empfehlen; Nährstoffzufuhr durch hofeigene Wirtschaftsdünger sind in der Höhe des Pflanzenentzuges tolerierbar.</t>
  </si>
  <si>
    <t>Werte gem. SGD 8 und NAPV (2023)</t>
  </si>
  <si>
    <t>maximale Mengen in kg N / ha
 in jahreswirksamer Form</t>
  </si>
  <si>
    <t>t/ha bzw. m3/ha</t>
  </si>
  <si>
    <t>kg 
N/ha</t>
  </si>
  <si>
    <t>kg P2O5/ha</t>
  </si>
  <si>
    <t>kg K2O/ha****</t>
  </si>
  <si>
    <t>Trockenreis</t>
  </si>
  <si>
    <t>Haselnüsse und andere Schalenfrüchte</t>
  </si>
  <si>
    <t>Ackerweide</t>
  </si>
  <si>
    <t>Winterweichweizen &lt; 14 % RP</t>
  </si>
  <si>
    <t>Winterweichweizen ≥ 14 % RP</t>
  </si>
  <si>
    <t>Sommerweichweizen ≥ 14% RP</t>
  </si>
  <si>
    <t>Sommerweichweizen &lt; 14% RP</t>
  </si>
  <si>
    <r>
      <rPr>
        <b/>
        <sz val="24"/>
        <color indexed="9"/>
        <rFont val="Arial"/>
        <family val="2"/>
      </rPr>
      <t xml:space="preserve">LK-Düngerrechner </t>
    </r>
    <r>
      <rPr>
        <b/>
        <sz val="22"/>
        <color indexed="9"/>
        <rFont val="Arial"/>
        <family val="2"/>
      </rPr>
      <t xml:space="preserve">
</t>
    </r>
    <r>
      <rPr>
        <b/>
        <sz val="14"/>
        <color indexed="9"/>
        <rFont val="Arial"/>
        <family val="2"/>
      </rPr>
      <t>für ÖPUL und die gesetzliche Aufzeichnungspflicht ab 2023</t>
    </r>
  </si>
  <si>
    <t>Teilnahme am ÖPUL 2023</t>
  </si>
  <si>
    <t>Saatmais (gereinigte Ware)*</t>
  </si>
  <si>
    <t>Ackerweide***</t>
  </si>
  <si>
    <t>Dauerweide***</t>
  </si>
  <si>
    <t>Mähweide (1 Schnitt + 1 bis 2 Weidegänge)***</t>
  </si>
  <si>
    <t>Mähweide (2 Schnitte + 1 Weidegang)***</t>
  </si>
  <si>
    <t>Mähweide (2 Schnitte + 2 oder mehr Weidegänge)***</t>
  </si>
  <si>
    <t>DropDown Tierart</t>
  </si>
  <si>
    <t>Auswahl Tier- Unterkategorie</t>
  </si>
  <si>
    <t>Zuchtschweine - stark-N-reduzierte Fütterung - Gülle</t>
  </si>
  <si>
    <t>Zuchtschweine - stark-N-reduzierte Fütterung - Mist/Jauche</t>
  </si>
  <si>
    <t>Zuchtschweine - stark-N-reduzierte Fütterung - Tiefstallmist</t>
  </si>
  <si>
    <t>Zuchteber - stark-N-reduzierte Fütterung - Gülle</t>
  </si>
  <si>
    <t>Zuchteber - stark-N-reduzierte Fütterung - Mist/Jauche</t>
  </si>
  <si>
    <t>Zuchteber - stark-N-reduzierte Fütterung - Tiefstallmist</t>
  </si>
  <si>
    <t>Ferkel 8 bis 32 kg Lebendgewicht (LG) - stark-N-reduzierte-Fütterung - Gülle</t>
  </si>
  <si>
    <t>Ferkel 8 bis 32 kg Lebendgewicht (LG) - stark-N-reduzierte-Fütterung - Mist/Jauche</t>
  </si>
  <si>
    <t>Ferkel 8 bis 32 kg Lebendgewicht (LG) - stark-N-reduzierte-Fütterung - Tiefstallmist</t>
  </si>
  <si>
    <t>Summe 
Zukauf
O173 - P186</t>
  </si>
  <si>
    <t>C18</t>
  </si>
  <si>
    <t>C19</t>
  </si>
  <si>
    <t>Auswahl Tierart</t>
  </si>
  <si>
    <t>Tierauswahl vollständig</t>
  </si>
  <si>
    <t>Einhaltung der Vorgaben zum P-Saldo gem. GLÖZ 10</t>
  </si>
  <si>
    <t>• § 7 Aktionsprogramm: Die Begrenzung des Ausbringens von Stickstoff 
  aus Wirtschaftsdüngern auf maximal 170 kg N                (siehe Nr. 2c)</t>
  </si>
  <si>
    <r>
      <t xml:space="preserve">Gesamtbetriebliche Düngerberechnung
</t>
    </r>
    <r>
      <rPr>
        <b/>
        <sz val="12"/>
        <rFont val="Arial"/>
        <family val="2"/>
      </rPr>
      <t>(</t>
    </r>
    <r>
      <rPr>
        <sz val="12"/>
        <rFont val="Arial"/>
        <family val="2"/>
      </rPr>
      <t>§ 8 Aktionsprogramm Nitrat und Wasserrechtsgesetz §32 (A2, f)</t>
    </r>
    <r>
      <rPr>
        <b/>
        <sz val="12"/>
        <rFont val="Arial"/>
        <family val="2"/>
      </rPr>
      <t>)</t>
    </r>
  </si>
  <si>
    <t>Dieses Excel-Programm berechnet den gesamtbetrieblichen Nährstoffanfall 
und stellt diesen dem Stickstoff- und Phosphorbedarf der Kulturen gegenüber. 
Dies ist in der Nitrat-Aktionsprogramm-Verordnung ab 2023 für alle 
landwirtschaftlichen Betriebe vorgeschrieben - Ausnahmen siehe nächste Seite.</t>
  </si>
  <si>
    <t>Ertragsdokumentaion gem. NAPV §8, Punkt 6</t>
  </si>
  <si>
    <t>Liste Einheit</t>
  </si>
  <si>
    <t>Ertrag / ha</t>
  </si>
  <si>
    <r>
      <t xml:space="preserve">Grünland, Ackerfutterflächen, Klee, Kleegras, Grünbrachen &gt;10% Leg., Futterluzerne </t>
    </r>
    <r>
      <rPr>
        <b/>
        <u/>
        <sz val="11"/>
        <rFont val="Arial"/>
        <family val="2"/>
      </rPr>
      <t>einjährig</t>
    </r>
    <r>
      <rPr>
        <sz val="11"/>
        <rFont val="Arial"/>
        <family val="2"/>
      </rPr>
      <t xml:space="preserve"> nach Umbruch</t>
    </r>
  </si>
  <si>
    <r>
      <t xml:space="preserve">Grünland, Wechselwiese, Grünbrachen &gt;10% Leg. </t>
    </r>
    <r>
      <rPr>
        <b/>
        <u/>
        <sz val="11"/>
        <rFont val="Arial"/>
        <family val="2"/>
      </rPr>
      <t>mehrjährig</t>
    </r>
    <r>
      <rPr>
        <sz val="11"/>
        <rFont val="Arial"/>
        <family val="2"/>
      </rPr>
      <t xml:space="preserve"> nach Umbruch</t>
    </r>
  </si>
  <si>
    <r>
      <t>t bzw. m</t>
    </r>
    <r>
      <rPr>
        <vertAlign val="superscript"/>
        <sz val="11"/>
        <rFont val="Arial"/>
        <family val="2"/>
      </rPr>
      <t>3</t>
    </r>
    <r>
      <rPr>
        <sz val="11"/>
        <rFont val="Arial"/>
        <family val="2"/>
      </rPr>
      <t xml:space="preserve"> /ha</t>
    </r>
  </si>
  <si>
    <t>Menge
t / ha</t>
  </si>
  <si>
    <t xml:space="preserve"> 11,0 - 13,7</t>
  </si>
  <si>
    <t xml:space="preserve"> 13,8 - 15,6</t>
  </si>
  <si>
    <t xml:space="preserve"> 15,7 - 17,6</t>
  </si>
  <si>
    <t xml:space="preserve"> 10,3 - 12,7</t>
  </si>
  <si>
    <t xml:space="preserve"> 12,8 - 14,6</t>
  </si>
  <si>
    <t xml:space="preserve"> 14,7 - 16,4</t>
  </si>
  <si>
    <t>Körnermais - Maiskornschrot frisch</t>
  </si>
  <si>
    <t xml:space="preserve"> 11,5 - 13,0</t>
  </si>
  <si>
    <t xml:space="preserve"> 13,1 - 14,6</t>
  </si>
  <si>
    <t>Körnermais - Maiskornschrot gelagert</t>
  </si>
  <si>
    <t xml:space="preserve"> 8,7 - 10,8</t>
  </si>
  <si>
    <t xml:space="preserve"> 10,9 - 12,3</t>
  </si>
  <si>
    <t xml:space="preserve"> 12,4 - 13,9</t>
  </si>
  <si>
    <t>255 - 275</t>
  </si>
  <si>
    <t>&gt; 275</t>
  </si>
  <si>
    <t>&gt; 120</t>
  </si>
  <si>
    <t xml:space="preserve"> &lt; 6,3</t>
  </si>
  <si>
    <t>6,3 - 7,7</t>
  </si>
  <si>
    <t>6,4 - 9,7</t>
  </si>
  <si>
    <t xml:space="preserve"> &gt; 11,8</t>
  </si>
  <si>
    <t>&lt; 6,4</t>
  </si>
  <si>
    <t>6,4 - 7,9</t>
  </si>
  <si>
    <t>10,1 - 12,1</t>
  </si>
  <si>
    <t xml:space="preserve"> &gt; 12,1</t>
  </si>
  <si>
    <t xml:space="preserve"> &lt; 4,9</t>
  </si>
  <si>
    <t>6,1 - 9,0</t>
  </si>
  <si>
    <t>9,1 - 11,1</t>
  </si>
  <si>
    <t xml:space="preserve"> &gt; 11,1</t>
  </si>
  <si>
    <t xml:space="preserve"> &lt; 5,0</t>
  </si>
  <si>
    <t>5,1 - 7,1</t>
  </si>
  <si>
    <t>7,2 - 9,3</t>
  </si>
  <si>
    <t>9,4 - 11,4</t>
  </si>
  <si>
    <t xml:space="preserve"> &gt; 11,4</t>
  </si>
  <si>
    <t>&lt; 8,8</t>
  </si>
  <si>
    <t>8,9 - 13,8</t>
  </si>
  <si>
    <t>13,9 - 16,3</t>
  </si>
  <si>
    <t>16,4 - 18,8</t>
  </si>
  <si>
    <t>&gt; 18,8</t>
  </si>
  <si>
    <t>&lt;8,5</t>
  </si>
  <si>
    <t>8,6 - 13,4</t>
  </si>
  <si>
    <t>13,5 - 15,9</t>
  </si>
  <si>
    <t>16,0 - 18,3</t>
  </si>
  <si>
    <t>&gt; 18,3</t>
  </si>
  <si>
    <t>&lt; 7,3</t>
  </si>
  <si>
    <t>7,3 - 8,7</t>
  </si>
  <si>
    <t>8,8 - 10,9</t>
  </si>
  <si>
    <t>11,0 - 13,0</t>
  </si>
  <si>
    <t>&lt; 6,8</t>
  </si>
  <si>
    <t>6,8 - 9,1</t>
  </si>
  <si>
    <t>11,5 - 13,6</t>
  </si>
  <si>
    <t>&gt; 13,6</t>
  </si>
  <si>
    <t>&lt; 5,6</t>
  </si>
  <si>
    <t>5,6 - 7,8</t>
  </si>
  <si>
    <t>7,9 - 9,9</t>
  </si>
  <si>
    <t>9,9 - 12,7</t>
  </si>
  <si>
    <t>&gt; 12,7</t>
  </si>
  <si>
    <t>6,0 - 8,2</t>
  </si>
  <si>
    <t>8,3 - 10,5</t>
  </si>
  <si>
    <t>10,5 - 13,4</t>
  </si>
  <si>
    <t>&lt;7,1</t>
  </si>
  <si>
    <t>&lt; 6,9</t>
  </si>
  <si>
    <t>6,9 - 9,8</t>
  </si>
  <si>
    <t>9,9 - 12,8</t>
  </si>
  <si>
    <t>12,9 - 15,7</t>
  </si>
  <si>
    <t>&gt; 15,7</t>
  </si>
  <si>
    <t>5,6 - 7,6</t>
  </si>
  <si>
    <t>5,7 - 7,7</t>
  </si>
  <si>
    <t>7,7 - 9,3</t>
  </si>
  <si>
    <t>&lt; 4,6</t>
  </si>
  <si>
    <t>4,6 - 6,1</t>
  </si>
  <si>
    <t>6,2 - 7,7</t>
  </si>
  <si>
    <t>6,4 - 7,7</t>
  </si>
  <si>
    <t>7,8 - 9,6</t>
  </si>
  <si>
    <t>9,7 - 11,5</t>
  </si>
  <si>
    <t>&gt; 11,5</t>
  </si>
  <si>
    <t>&lt; 5,1</t>
  </si>
  <si>
    <t>5,1 - 7,0</t>
  </si>
  <si>
    <t>7,1 - 8,5</t>
  </si>
  <si>
    <t>8,5 - 10,1</t>
  </si>
  <si>
    <t>&gt; 10,1</t>
  </si>
  <si>
    <t>8,6 - 10,1</t>
  </si>
  <si>
    <t>&lt; 7,5</t>
  </si>
  <si>
    <t>7,6 - 10,0</t>
  </si>
  <si>
    <t>10,1 - 15,0</t>
  </si>
  <si>
    <t>15,1 - 18,8</t>
  </si>
  <si>
    <t>7,2 - 10,7</t>
  </si>
  <si>
    <t>10,8 - 14,3</t>
  </si>
  <si>
    <t>14,4 - 17,9</t>
  </si>
  <si>
    <t>&gt; 17,9</t>
  </si>
  <si>
    <t>6,9 - 8,3</t>
  </si>
  <si>
    <t>m³/ha</t>
  </si>
  <si>
    <r>
      <t>Ertrags-
lage gem. (m</t>
    </r>
    <r>
      <rPr>
        <b/>
        <vertAlign val="superscript"/>
        <sz val="10"/>
        <rFont val="Arial"/>
        <family val="2"/>
      </rPr>
      <t>3</t>
    </r>
    <r>
      <rPr>
        <b/>
        <sz val="10"/>
        <rFont val="Arial"/>
        <family val="2"/>
      </rPr>
      <t>/ha)</t>
    </r>
  </si>
  <si>
    <t>Körnermais - GKS gelagert</t>
  </si>
  <si>
    <t>W-Dinkel (Spelzenanteil ca. 30 %)</t>
  </si>
  <si>
    <t>W-Futtergerste gereinigt</t>
  </si>
  <si>
    <t>W-Futtergerste feldfallend</t>
  </si>
  <si>
    <t>S-Futtergerste gereinigt</t>
  </si>
  <si>
    <t>S-Futtergerste feldfallend</t>
  </si>
  <si>
    <t>S-Hafer (mit Spelzen)</t>
  </si>
  <si>
    <t>W-Hafer (mit Spelzen)</t>
  </si>
  <si>
    <t>Emmer mit Spelzen</t>
  </si>
  <si>
    <t>Einkorn mit Spelzen</t>
  </si>
  <si>
    <t>W-Braugerste gereinigt</t>
  </si>
  <si>
    <t>W-Braugerste feldfallend</t>
  </si>
  <si>
    <t>S-Braugerste gereinigt</t>
  </si>
  <si>
    <t>S-Braugerste feldfallend</t>
  </si>
  <si>
    <t>Einschätzung der Ertragslage nach SGD 8; Tabelle 27; Seite 60-62</t>
  </si>
  <si>
    <t>S-Dinkel (Spelzenanteil ca. 30 %)</t>
  </si>
  <si>
    <t>Ø 36 kg/hl</t>
  </si>
  <si>
    <t>Ø 72 kg/hl</t>
  </si>
  <si>
    <t>Ø 77 kg/hl</t>
  </si>
  <si>
    <t>Ø 92 kg/hl</t>
  </si>
  <si>
    <t>Ø 83 kg/hl</t>
  </si>
  <si>
    <t>Ø 98 kg/hl</t>
  </si>
  <si>
    <t>34 kg/hl</t>
  </si>
  <si>
    <t>Ø 30 kg/hl</t>
  </si>
  <si>
    <t>64 - 77 kg/hl</t>
  </si>
  <si>
    <t>63 - 77 kg/hl</t>
  </si>
  <si>
    <t>33 - 44 kg/hl</t>
  </si>
  <si>
    <t>35 - 45 kg/hl</t>
  </si>
  <si>
    <t>60 - 75 kg/hl</t>
  </si>
  <si>
    <t>58 - 72 kg/hl</t>
  </si>
  <si>
    <t>62 - 76 kg/hl</t>
  </si>
  <si>
    <t>59 - 73 kg/hl</t>
  </si>
  <si>
    <t>36 - 46 kg/hl</t>
  </si>
  <si>
    <t>35 - 42 kg/hl</t>
  </si>
  <si>
    <t>73 - 87 kg/hl</t>
  </si>
  <si>
    <t>71 - 86 kg/hl</t>
  </si>
  <si>
    <t>70 - 85 kg/hl</t>
  </si>
  <si>
    <t>74 - 86 kg/hl</t>
  </si>
  <si>
    <t>64 - 78 kg/hl</t>
  </si>
  <si>
    <t>43 - 56 kg/hl</t>
  </si>
  <si>
    <t>40 - 56 kg/hl</t>
  </si>
  <si>
    <t>74 - 85 kg/hl</t>
  </si>
  <si>
    <t>70 - 84 kg/hl</t>
  </si>
  <si>
    <t>Bandbreite | Ø</t>
  </si>
  <si>
    <t>Silomais-Silage gelagert</t>
  </si>
  <si>
    <t>Körnermais - Ganzkorn frisch</t>
  </si>
  <si>
    <r>
      <t xml:space="preserve">Mit Hilfe des Kubaturrechners können die Kubaturen von Silos, Flachlager, etc. bestimmt werden. Diese Lagerstätten stehen dann links in den hellgrünen Zellen zur Auswahl (DropDown). Sollte die Kubatur einer Lagerstätte bereits bekannt sein (z.B. Silosack), so kann der Name (in der hellgrünen Zelle) und die Kubatur händisch (in die dunkelgelbe Zelle) eingetragen werden.
</t>
    </r>
    <r>
      <rPr>
        <b/>
        <sz val="10"/>
        <rFont val="Arial"/>
        <family val="2"/>
      </rPr>
      <t>Die Erträge können in m</t>
    </r>
    <r>
      <rPr>
        <b/>
        <vertAlign val="superscript"/>
        <sz val="10"/>
        <rFont val="Arial"/>
        <family val="2"/>
      </rPr>
      <t>3</t>
    </r>
    <r>
      <rPr>
        <b/>
        <sz val="10"/>
        <rFont val="Arial"/>
        <family val="2"/>
      </rPr>
      <t xml:space="preserve"> oder in Tonnen je ha errechnet werden. Die Ergebnisse können dann in das Tabellenblatt "Ertragsdokumentation" händisch übertragen werden.</t>
    </r>
  </si>
  <si>
    <t>Kulturenliste</t>
  </si>
  <si>
    <t>Sommerweichweizen &lt; 14 % RP</t>
  </si>
  <si>
    <t>Sommerweichweizen ≥ 14 % RP</t>
  </si>
  <si>
    <t>Einheit wählbar?</t>
  </si>
  <si>
    <t>Art der Mengeneingabe DROPDOWN</t>
  </si>
  <si>
    <t>Ertrag gem. Ertrags-dokumenation</t>
  </si>
  <si>
    <t>m3 / ha</t>
  </si>
  <si>
    <t>&lt; 5,0 t</t>
  </si>
  <si>
    <t>&lt; 4,0 t</t>
  </si>
  <si>
    <t>&lt; 3,5 t</t>
  </si>
  <si>
    <t>5,0 - 6,0 t</t>
  </si>
  <si>
    <t>3,5 - 5,5 t</t>
  </si>
  <si>
    <t>8,5 - 10,5 t</t>
  </si>
  <si>
    <t>7,5 - 9,0 t</t>
  </si>
  <si>
    <t>&gt; 9,0 t</t>
  </si>
  <si>
    <t>&gt; 8,0 t</t>
  </si>
  <si>
    <t>6,0 - 7,5 t</t>
  </si>
  <si>
    <t>5,5 - 7,0 t</t>
  </si>
  <si>
    <t>&lt; 60,0 t</t>
  </si>
  <si>
    <t>geschätzte Ertragslage t bzw. m3 /ha</t>
  </si>
  <si>
    <t>&gt; 8,5 t</t>
  </si>
  <si>
    <t>&gt; 13,5 t</t>
  </si>
  <si>
    <t>&gt; 2,5 t</t>
  </si>
  <si>
    <t>&gt; 3,0 t</t>
  </si>
  <si>
    <t>&gt; 1,2 t</t>
  </si>
  <si>
    <t>&gt; 1,0 t</t>
  </si>
  <si>
    <t>&gt; 15,0 t</t>
  </si>
  <si>
    <t>&gt; 55,0 t</t>
  </si>
  <si>
    <t>≥ 2,5 t</t>
  </si>
  <si>
    <t>≥ 4,0 t</t>
  </si>
  <si>
    <t>≥ 12,0 t</t>
  </si>
  <si>
    <t>≥ 8,0 t</t>
  </si>
  <si>
    <t>≥ 9,5 t</t>
  </si>
  <si>
    <t>≥ 11 t</t>
  </si>
  <si>
    <t>≥ 12,5 t</t>
  </si>
  <si>
    <t>&gt; 9,5 t</t>
  </si>
  <si>
    <t>&gt; 11,0 t</t>
  </si>
  <si>
    <t>&gt; 12,5 t</t>
  </si>
  <si>
    <t>≥ 11,0 t</t>
  </si>
  <si>
    <t>&gt; 0,4 t</t>
  </si>
  <si>
    <t>&gt; 0,7 t</t>
  </si>
  <si>
    <t>&gt; 0,5 t</t>
  </si>
  <si>
    <t>≥ 5,5 t</t>
  </si>
  <si>
    <t>≥ 9,0 t</t>
  </si>
  <si>
    <t>&gt; 3,5 t</t>
  </si>
  <si>
    <t>&gt; 1,9 t</t>
  </si>
  <si>
    <t>&gt; 0,8 t</t>
  </si>
  <si>
    <t>&gt; 20,0 t</t>
  </si>
  <si>
    <t>&gt; 65,0 t</t>
  </si>
  <si>
    <t>&gt; 5,0 t</t>
  </si>
  <si>
    <t>&gt; 10,5 t</t>
  </si>
  <si>
    <t>&gt; 180,0 m3</t>
  </si>
  <si>
    <t>&gt; 90,0 m3</t>
  </si>
  <si>
    <t>&gt; 16,4 m3</t>
  </si>
  <si>
    <t>&gt; 17,6 m3</t>
  </si>
  <si>
    <t>&gt; 14,6 m3</t>
  </si>
  <si>
    <t>&gt; 120,0 m3</t>
  </si>
  <si>
    <t>&gt; 285,0 m3</t>
  </si>
  <si>
    <t>&gt; 5,5 t</t>
  </si>
  <si>
    <t>&gt; 95,0 t</t>
  </si>
  <si>
    <t>5,5 - 6,5 t |
13,8 - 16,3 m3</t>
  </si>
  <si>
    <t>3,5 - 5,5 t |
8,9 - 13,8 m3</t>
  </si>
  <si>
    <t>4,0 - 5,25 t |
4,3 - 5,6 m3</t>
  </si>
  <si>
    <t>5,25 - 6,5 t |
5,6 - 7,7 m3</t>
  </si>
  <si>
    <t>6,5 - 7,75 t |
7,7 - 9,3 m3</t>
  </si>
  <si>
    <t>6,5 - 7,5 t |
16,3 - 18,8 m3</t>
  </si>
  <si>
    <t>3,5 - 5,0 t |
5 - 6 m3</t>
  </si>
  <si>
    <t>&lt; 3,5 t | &lt; 5 m3</t>
  </si>
  <si>
    <t>4,0 - 5,5 t |
5,6 - 7,8 m3</t>
  </si>
  <si>
    <t>5,0 - 6,5 t |
6 - 9 m3</t>
  </si>
  <si>
    <t>5,5 - 7,0 t |
7,8 - 9,9 m3</t>
  </si>
  <si>
    <t>7,0 - 8,5 t |
9,9 - 12,7 m3</t>
  </si>
  <si>
    <t>6,5 - 8,0 t |
9 - 11,1 m3</t>
  </si>
  <si>
    <t>&lt;4,0 t | &lt;5,6 m3</t>
  </si>
  <si>
    <t>4,0 - 5,5 t |
5,6 - 7,6 m3</t>
  </si>
  <si>
    <t>5,5 - 7,0 t |
7,7 - 9,7 m3</t>
  </si>
  <si>
    <t>7,0 - 8,5 t |
9,7 - 11,8 m3</t>
  </si>
  <si>
    <t>6,5 - 8,0 t | 13,3 - 16,3 m3</t>
  </si>
  <si>
    <t>5,0 - 6,5 t |
10,1 - 13,3 m3</t>
  </si>
  <si>
    <t>3,5 - 5,0 t |
7,1 - 10,2 m3</t>
  </si>
  <si>
    <t>&lt; 3,5 t  | &lt; 7,1 m3</t>
  </si>
  <si>
    <t>&gt; 7,5 t |
&gt;17,9 m3</t>
  </si>
  <si>
    <t>6,0 - 7,5 t |
14,3 - 17,9 m3</t>
  </si>
  <si>
    <t>4,5 - 6,0 t |
10,7 - 14,3 m3</t>
  </si>
  <si>
    <r>
      <t>3,0 - 4,5 t |
7,1 - 10,7 m</t>
    </r>
    <r>
      <rPr>
        <vertAlign val="superscript"/>
        <sz val="10"/>
        <rFont val="Arial"/>
        <family val="2"/>
      </rPr>
      <t>3</t>
    </r>
  </si>
  <si>
    <r>
      <t>&lt; 3,0 t | &lt;7,1 m</t>
    </r>
    <r>
      <rPr>
        <vertAlign val="superscript"/>
        <sz val="10"/>
        <rFont val="Arial"/>
        <family val="2"/>
      </rPr>
      <t>3</t>
    </r>
  </si>
  <si>
    <r>
      <t>&lt; 3,0 | &lt;7,5 m</t>
    </r>
    <r>
      <rPr>
        <vertAlign val="superscript"/>
        <sz val="10"/>
        <rFont val="Arial"/>
        <family val="2"/>
      </rPr>
      <t>3</t>
    </r>
  </si>
  <si>
    <r>
      <t>3,0 - 4,5 t |
7,5 - 10 m</t>
    </r>
    <r>
      <rPr>
        <vertAlign val="superscript"/>
        <sz val="10"/>
        <rFont val="Arial"/>
        <family val="2"/>
      </rPr>
      <t>3</t>
    </r>
  </si>
  <si>
    <t>4,5 - 6,0 t |
10 - 15 m3</t>
  </si>
  <si>
    <t>6,0 - 7,5 t |
15 - 18,8 m3</t>
  </si>
  <si>
    <t>&gt; 7,5 t |
&gt;18,8 m3</t>
  </si>
  <si>
    <t>&lt; 8,5 t</t>
  </si>
  <si>
    <t>&lt; 11,0 m3</t>
  </si>
  <si>
    <t>&lt; 10,3 m3</t>
  </si>
  <si>
    <t>&lt; 9,2 m3</t>
  </si>
  <si>
    <t>&lt; 8,7 m3</t>
  </si>
  <si>
    <t>&lt; 110,0 m3</t>
  </si>
  <si>
    <t>&lt; 55,0 m3</t>
  </si>
  <si>
    <t>&lt; 40,0 t</t>
  </si>
  <si>
    <t>&lt; 3,0 t</t>
  </si>
  <si>
    <t>&lt; 6,5 t</t>
  </si>
  <si>
    <t>&lt; 180,0 m3</t>
  </si>
  <si>
    <t>&lt; 2,0 t</t>
  </si>
  <si>
    <t>3,0 - 3,5 t</t>
  </si>
  <si>
    <t>2,0 - 3,0 t</t>
  </si>
  <si>
    <t>2,0 - 3,5 t</t>
  </si>
  <si>
    <t>4,25 - 5,0 t</t>
  </si>
  <si>
    <t>3,5 - 4,25 t</t>
  </si>
  <si>
    <t>180,0 - 225,0 m3</t>
  </si>
  <si>
    <t>225,0 - 255,0 m3</t>
  </si>
  <si>
    <t>255,0 - 285,0 m3</t>
  </si>
  <si>
    <t>8,0 - 9,5 t</t>
  </si>
  <si>
    <t>3,0 - 5,0 t</t>
  </si>
  <si>
    <t>6,5 - 8,0 t</t>
  </si>
  <si>
    <t>40,0 - 50,0 t</t>
  </si>
  <si>
    <t>50,0 - 57,5 t</t>
  </si>
  <si>
    <t>57,5 - 65,0 t</t>
  </si>
  <si>
    <t>80,0 - 90,0 m3</t>
  </si>
  <si>
    <t>160,0 - 180,0 m3</t>
  </si>
  <si>
    <t>140,0 - 160,0 m3</t>
  </si>
  <si>
    <t>70,0 - 80,0 m3</t>
  </si>
  <si>
    <t>55,0 - 70,0 m3</t>
  </si>
  <si>
    <t>110,0 - 140,0 m3</t>
  </si>
  <si>
    <t>10,5 - 12,0 t</t>
  </si>
  <si>
    <t>12,0 - 13,5 t</t>
  </si>
  <si>
    <t>&gt; 13,9 m3</t>
  </si>
  <si>
    <t>12,4 - 13,9 m3</t>
  </si>
  <si>
    <t>10,9 - 12,3 m3</t>
  </si>
  <si>
    <t>8,7 - 10,8 m3</t>
  </si>
  <si>
    <t>5,0 - 6,5 t</t>
  </si>
  <si>
    <t>7,0 - 8,5 t</t>
  </si>
  <si>
    <t>&lt; 55,0 t</t>
  </si>
  <si>
    <t xml:space="preserve"> &lt; 15,0 t</t>
  </si>
  <si>
    <t>&lt; 33,0 t</t>
  </si>
  <si>
    <t>&lt; 15,0 t</t>
  </si>
  <si>
    <t>&lt; 10,0 t</t>
  </si>
  <si>
    <t>&lt; 0,6 t</t>
  </si>
  <si>
    <t>&lt; 1,0 t</t>
  </si>
  <si>
    <t>&lt; 1,5 t</t>
  </si>
  <si>
    <t>&lt; 0,8 t</t>
  </si>
  <si>
    <t>&lt; 25,0 t</t>
  </si>
  <si>
    <t>&lt; 2,5 t</t>
  </si>
  <si>
    <t>&lt; 12,0 t</t>
  </si>
  <si>
    <t>&lt; 6,0 t</t>
  </si>
  <si>
    <t>&lt; 9,5 t</t>
  </si>
  <si>
    <t>&lt; 11,0 t</t>
  </si>
  <si>
    <t xml:space="preserve"> &lt; 6,0 t</t>
  </si>
  <si>
    <t>&lt; 0,1 t</t>
  </si>
  <si>
    <t>&lt; 0,2 t</t>
  </si>
  <si>
    <t>&lt; 0,3 t</t>
  </si>
  <si>
    <t>&lt; 5,5 t</t>
  </si>
  <si>
    <t>&lt; 8,0 t</t>
  </si>
  <si>
    <t>&lt; 9,0 t</t>
  </si>
  <si>
    <t>2,0 - 4,5 t</t>
  </si>
  <si>
    <t>4,0 - 6,0 t</t>
  </si>
  <si>
    <t>60,0 - 100,0 t</t>
  </si>
  <si>
    <t>55,0 - 75,0 t</t>
  </si>
  <si>
    <t>3,0 - 4,0 t</t>
  </si>
  <si>
    <t>15,0 - 20,0 t</t>
  </si>
  <si>
    <t>33,0 - 45,0 t</t>
  </si>
  <si>
    <t>3,5 - 6,0 t</t>
  </si>
  <si>
    <t>10,0 - 18,0 t</t>
  </si>
  <si>
    <t>0,6 - 0,8 t</t>
  </si>
  <si>
    <t>1,0 - 1,5 t</t>
  </si>
  <si>
    <t>1,5 - 2,5 t</t>
  </si>
  <si>
    <t>11,0 - 13,7 m3</t>
  </si>
  <si>
    <t>10,3 - 12,7 m3</t>
  </si>
  <si>
    <t>9,2 - 11,4 m3</t>
  </si>
  <si>
    <t>10,0 - 12,0 t</t>
  </si>
  <si>
    <t>1,5 - 2,0 t</t>
  </si>
  <si>
    <t>0,8 - 1,0 t</t>
  </si>
  <si>
    <t>25,0 - 35,0 t</t>
  </si>
  <si>
    <t>35,0 - 45,0 t</t>
  </si>
  <si>
    <t>2,0 - 2,5 t</t>
  </si>
  <si>
    <t>12,0 - 14,0 t</t>
  </si>
  <si>
    <t>0,8 - 0,9 t</t>
  </si>
  <si>
    <t>1,5 - 1,7 t</t>
  </si>
  <si>
    <t>2,5 - 3,0 t</t>
  </si>
  <si>
    <t>&gt; 18,0 t</t>
  </si>
  <si>
    <t>45,0 - 55,0 t</t>
  </si>
  <si>
    <t>4,0 - 4,5 t</t>
  </si>
  <si>
    <t>75,0 - 85,0 t</t>
  </si>
  <si>
    <t>&gt; 100,0 t</t>
  </si>
  <si>
    <t>6,0 - 6,5 t</t>
  </si>
  <si>
    <t>4,5 - 5,0 t</t>
  </si>
  <si>
    <t>6,5 - 9,5 t</t>
  </si>
  <si>
    <t>6,0 - 8,0 t</t>
  </si>
  <si>
    <t xml:space="preserve"> &lt; 9,5 t</t>
  </si>
  <si>
    <t>0,3 - 0,5 t</t>
  </si>
  <si>
    <t>0,2 - 0,7 t</t>
  </si>
  <si>
    <t>0,1 - 0,4 t</t>
  </si>
  <si>
    <t>1,0 - 1,2 t</t>
  </si>
  <si>
    <t>0,9 - 1,0 t</t>
  </si>
  <si>
    <t>14,0 - 15,0 t</t>
  </si>
  <si>
    <t>55,0 - 65,0 t</t>
  </si>
  <si>
    <t>85,0 - 95,0 t</t>
  </si>
  <si>
    <t>4,0 - 5,0 t</t>
  </si>
  <si>
    <t>5,0 - 5,5 t</t>
  </si>
  <si>
    <t>≥ 2,0 t</t>
  </si>
  <si>
    <t>&gt; 2,0 t</t>
  </si>
  <si>
    <t>Erreichte Ertragslage</t>
  </si>
  <si>
    <t>13,8 - 15,6 m3</t>
  </si>
  <si>
    <t>12,8 - 14,6 m3</t>
  </si>
  <si>
    <t>11,5 - 13,0 m3</t>
  </si>
  <si>
    <t>15,7 - 17,6 m3</t>
  </si>
  <si>
    <t>14,7 - 16,4 m3</t>
  </si>
  <si>
    <t>13,1 - 14,6 m3</t>
  </si>
  <si>
    <t>hoch1</t>
  </si>
  <si>
    <t>hoch2</t>
  </si>
  <si>
    <t>hoch3</t>
  </si>
  <si>
    <t>5,0 - 6,0 t |
6,4 - 7,8 m3</t>
  </si>
  <si>
    <t>6,0 - 7,5 t |
7,8 - 9,5 m3</t>
  </si>
  <si>
    <t>7,5 - 9,0 t |
9,5 - 11,3 m3</t>
  </si>
  <si>
    <t>4,0 - 5,5 t |
5,1 - 7,1 m3</t>
  </si>
  <si>
    <t>5,5 - 6,75 t |
7,1 - 8,6 m3</t>
  </si>
  <si>
    <t>4,0 - 5,25 t |
4,6 - 6,2 m3</t>
  </si>
  <si>
    <t>5,25 - 6,5 t |
6,2 - 7,7 m3</t>
  </si>
  <si>
    <t>&lt; 5,0 t | &lt; 6,4 m3</t>
  </si>
  <si>
    <t>&lt; 4,0 t | &lt; 5,1 m3</t>
  </si>
  <si>
    <t>&lt; 4,0 t | &lt; 4,6 m3</t>
  </si>
  <si>
    <t>&lt;4,0 t | &lt; 4,3 m3</t>
  </si>
  <si>
    <t>&lt;3,5 t | &lt; 8,9 m3</t>
  </si>
  <si>
    <t>6,0 - 7,5 t |
7,8 - 9,7 m3</t>
  </si>
  <si>
    <t>7,5 - 9,0 t |
9,7 - 11,5 m3</t>
  </si>
  <si>
    <t>5,5 - 6,75 t |
7,1 - 8,5 m3</t>
  </si>
  <si>
    <t>6,75 - 8,0 t |
8,5 - 10,1 m3</t>
  </si>
  <si>
    <t>&lt; 4,5 t | &lt; 6,3 m3</t>
  </si>
  <si>
    <t>4,5 - 5,5 t |
6,3 - 7,7 m3</t>
  </si>
  <si>
    <t>5,5 - 7,0 t |
7,7 - 9,8 m3</t>
  </si>
  <si>
    <t>7,0 - 8,5 t |
9,8 - 11,8 m3</t>
  </si>
  <si>
    <t>&lt; 5,0 t | &lt; 7,3 m3</t>
  </si>
  <si>
    <t>5,0 - 6,0 t |
7,3 - 8,8 m3</t>
  </si>
  <si>
    <t>6,0 - 7,5 t |
8,8 - 11,0 m3</t>
  </si>
  <si>
    <t>7,5 - 9,0 t |
11,0 - 13,0 m3</t>
  </si>
  <si>
    <t>&lt; 4,0 t | &lt; 5,6 m3</t>
  </si>
  <si>
    <t>&lt; 60,0 m3</t>
  </si>
  <si>
    <t>60,0 - 80,0 m3</t>
  </si>
  <si>
    <t>80,0 - 100,0 m3</t>
  </si>
  <si>
    <t>100,0 - 120,0 m3</t>
  </si>
  <si>
    <t>&lt; 5,0 t | &lt; 6,9 m3</t>
  </si>
  <si>
    <t>5,0 - 6,0 t |
6,9 - 8,4 m3</t>
  </si>
  <si>
    <t>6,0 - 7,5 t |
8,4 - 10,5 m3</t>
  </si>
  <si>
    <t>7,5 - 9,0 t |
10,5 - 12,5 m3</t>
  </si>
  <si>
    <t>&lt; 3,5 t | &lt; 8,6 m3</t>
  </si>
  <si>
    <t>3,5 - 5,5 t |
8,6 - 13,5 m3</t>
  </si>
  <si>
    <t>5,5 - 6,5 t |
13,5 - 16,0 m3</t>
  </si>
  <si>
    <t>6,5 - 7,5 t |
16,0 - 18,3 m3</t>
  </si>
  <si>
    <t>4,0 - 5,5 t |
5,6 - 7,7 m3</t>
  </si>
  <si>
    <t>&lt; 3,5 t | &lt; 6,9 m3</t>
  </si>
  <si>
    <t>3,5 - 5,0 t |
6,9 - 9,9 m3</t>
  </si>
  <si>
    <t>5,0 - 6,5 t |
9,9 -12,9 m3</t>
  </si>
  <si>
    <t>6,5 - 8,0 t |
12,9 - 15,7 m3</t>
  </si>
  <si>
    <t>&gt; 9,0 t |
&gt; 11,3 m3</t>
  </si>
  <si>
    <t>&gt; 7,75 t |
&gt; 9,3 m3</t>
  </si>
  <si>
    <t>&gt; 8,0 t |
&gt; 10,1 m3</t>
  </si>
  <si>
    <t>&gt; 7,5 t |
&gt; 18,3 m3</t>
  </si>
  <si>
    <t>&gt; 7,5 t |
&gt; 18,8 m3</t>
  </si>
  <si>
    <t>&gt; 9,0 t |
&gt; 11,5 m3</t>
  </si>
  <si>
    <t>&gt; 9,0 t |
&gt; 13,0 m3</t>
  </si>
  <si>
    <t>&gt; 8,5 t |
&gt; 11,8 m3</t>
  </si>
  <si>
    <t>&gt; 8,0 t |
&gt; 11,1 m3</t>
  </si>
  <si>
    <t>&gt; 8,5 t |
&gt; 12,7 m3</t>
  </si>
  <si>
    <t>&gt; 9,0 t |
&gt; 12,5 m3</t>
  </si>
  <si>
    <t>&gt; 8,0 t |
&gt; 15,7 m3</t>
  </si>
  <si>
    <t>&gt; 8,0 t |
&gt;16,3 m3</t>
  </si>
  <si>
    <r>
      <t xml:space="preserve">Grünland, Ackerfutter, Klee, Kleegras, Grünbrachen &gt;60%Leg. Futterluzerne </t>
    </r>
    <r>
      <rPr>
        <b/>
        <u/>
        <sz val="11"/>
        <rFont val="Arial"/>
        <family val="2"/>
      </rPr>
      <t>mehrjährig</t>
    </r>
    <r>
      <rPr>
        <sz val="11"/>
        <rFont val="Arial"/>
        <family val="2"/>
      </rPr>
      <t xml:space="preserve"> nach Umbruch</t>
    </r>
  </si>
  <si>
    <r>
      <rPr>
        <b/>
        <sz val="14"/>
        <color theme="1"/>
        <rFont val="Arial"/>
        <family val="2"/>
      </rPr>
      <t>Tabelle Düngewerte für die Nährstoffe 
N, P und K in kg je ha</t>
    </r>
    <r>
      <rPr>
        <b/>
        <sz val="11"/>
        <color theme="1"/>
        <rFont val="Arial"/>
        <family val="2"/>
      </rPr>
      <t xml:space="preserve">
</t>
    </r>
    <r>
      <rPr>
        <sz val="11"/>
        <color theme="1"/>
        <rFont val="Arial"/>
        <family val="2"/>
      </rPr>
      <t>nach Ertragserwartung
und Bodengehaltsklassen</t>
    </r>
  </si>
  <si>
    <r>
      <t>Einheit Tonnen oder m</t>
    </r>
    <r>
      <rPr>
        <b/>
        <vertAlign val="superscript"/>
        <sz val="12"/>
        <rFont val="Arial"/>
        <family val="2"/>
      </rPr>
      <t>3</t>
    </r>
    <r>
      <rPr>
        <b/>
        <sz val="12"/>
        <rFont val="Arial"/>
        <family val="2"/>
      </rPr>
      <t xml:space="preserve"> je ha</t>
    </r>
  </si>
  <si>
    <t>1,7 - 1,9 t</t>
  </si>
  <si>
    <t>Erntejahr:</t>
  </si>
  <si>
    <t>Bewirtschafter:</t>
  </si>
  <si>
    <r>
      <t xml:space="preserve">Der Stickstoffbedarf der einzelnen Kulturen
</t>
    </r>
    <r>
      <rPr>
        <sz val="12"/>
        <rFont val="Arial"/>
        <family val="2"/>
      </rPr>
      <t>laut § 8 Absatz 1, Punkt 5 und Ertragsdokumentation gem. § 8, Punkt 6</t>
    </r>
  </si>
  <si>
    <t>Schleppschuh</t>
  </si>
  <si>
    <t>Schleppschlauch</t>
  </si>
  <si>
    <t>Ertragsdoku erforderlich?</t>
  </si>
  <si>
    <r>
      <rPr>
        <b/>
        <sz val="12"/>
        <rFont val="Arial"/>
        <family val="2"/>
      </rPr>
      <t>Dokumentation von Erntemenge</t>
    </r>
    <r>
      <rPr>
        <sz val="12"/>
        <rFont val="Arial"/>
        <family val="2"/>
      </rPr>
      <t xml:space="preserve"> von Ackerflächen samt Belegen (Wiegebelegen) bzw. aus der Ertragsermittlung über 
(Silo-)Kubatur für Kulturen, </t>
    </r>
    <r>
      <rPr>
        <b/>
        <u/>
        <sz val="12"/>
        <rFont val="Arial"/>
        <family val="2"/>
      </rPr>
      <t>ab Düngung in Ertragslage Hoch1</t>
    </r>
    <r>
      <rPr>
        <b/>
        <sz val="12"/>
        <rFont val="Arial"/>
        <family val="2"/>
      </rPr>
      <t>, gem. NAPV § 8, Punkt 6.</t>
    </r>
  </si>
  <si>
    <t>MFA</t>
  </si>
  <si>
    <t>Betrieb:</t>
  </si>
  <si>
    <r>
      <t xml:space="preserve">Summe der Ackerfläche lt. MFA </t>
    </r>
    <r>
      <rPr>
        <sz val="14"/>
        <rFont val="Arial"/>
        <family val="2"/>
      </rPr>
      <t>in ha:</t>
    </r>
  </si>
  <si>
    <t>Summe der eingegebenen Ackerflächen in ha:</t>
  </si>
  <si>
    <r>
      <t xml:space="preserve">Feldstück 
</t>
    </r>
    <r>
      <rPr>
        <sz val="11"/>
        <rFont val="Arial"/>
        <family val="2"/>
      </rPr>
      <t>Bezeichnung</t>
    </r>
  </si>
  <si>
    <t>Begrünung später als 15. Oktober</t>
  </si>
  <si>
    <t>Fehlermeldung(en)</t>
  </si>
  <si>
    <t>zulässige Jahreseingaben</t>
  </si>
  <si>
    <r>
      <t xml:space="preserve">Datumseingabe: Tag Bindestrich Monat (Bindestrich Jahr) oder Tag Punkt Monat (Punkt Jahr)
                      z.B.: </t>
    </r>
    <r>
      <rPr>
        <b/>
        <u/>
        <sz val="10"/>
        <color rgb="FFFF0000"/>
        <rFont val="Arial"/>
        <family val="2"/>
      </rPr>
      <t>01-10-2023</t>
    </r>
    <r>
      <rPr>
        <b/>
        <sz val="10"/>
        <color rgb="FFFF0000"/>
        <rFont val="Arial"/>
        <family val="2"/>
      </rPr>
      <t xml:space="preserve"> oder </t>
    </r>
    <r>
      <rPr>
        <b/>
        <u/>
        <sz val="10"/>
        <color rgb="FFFF0000"/>
        <rFont val="Arial"/>
        <family val="2"/>
      </rPr>
      <t>01.10.2023</t>
    </r>
    <r>
      <rPr>
        <b/>
        <sz val="10"/>
        <color rgb="FFFF0000"/>
        <rFont val="Arial"/>
        <family val="2"/>
      </rPr>
      <t xml:space="preserve"> für das Datum 1. Oktober 2023</t>
    </r>
  </si>
  <si>
    <r>
      <rPr>
        <b/>
        <u/>
        <sz val="10"/>
        <rFont val="Arial"/>
        <family val="2"/>
      </rPr>
      <t>Laufende schlagbezogene Aufzeichnungen über folgende Termine sind notwendig:</t>
    </r>
    <r>
      <rPr>
        <sz val="10"/>
        <rFont val="Arial"/>
        <family val="2"/>
      </rPr>
      <t xml:space="preserve">
- Ernte Hauptfrucht
- Anlage und Umbruch Zwischenfrucht (Begrünung)
- Anlage Nachfolge-Hauptfrucht</t>
    </r>
  </si>
  <si>
    <r>
      <t>Alle Ackerflächen, auf denen ein Umbruch oder Anbau vorgenommen wird, müssen also aufgezeichnet werden! 
In den Spalten "</t>
    </r>
    <r>
      <rPr>
        <b/>
        <sz val="10"/>
        <rFont val="Arial"/>
        <family val="2"/>
      </rPr>
      <t>Folgefrucht 1 - 3</t>
    </r>
    <r>
      <rPr>
        <sz val="10"/>
        <rFont val="Arial"/>
        <family val="2"/>
      </rPr>
      <t>" sind alle Folgekulturen, die im Betrachtungszeitraum angebaut werden, 
einzutragen, das sind weitere Hauptkulturen, wie zB Buchweizen mit Mähdrusch, oder Gemüseanbau 
mit mehreren Sätzen, oder Sommer- und Winterbegrünungen und der Anbau von Winterungen für das Folgejahr.</t>
    </r>
  </si>
  <si>
    <r>
      <t xml:space="preserve">Eine Fläche gilt als begrünt, wenn der maximale Zeitraum zwischen:
 - Ernte Hauptfrucht – Anlage Zwischenfrucht: 30 Tage
 - Umbruch Zwischenfrucht – Anbau Hauptfrucht: 30 Tage
 - Ernte Hauptfrucht – Anbau Hauptfrucht: 50 Tage nicht übersteigt
Die </t>
    </r>
    <r>
      <rPr>
        <b/>
        <sz val="10"/>
        <rFont val="Arial"/>
        <family val="2"/>
      </rPr>
      <t>Anlage von Zwischenfrüchten hat bis spätestens 15. 10.</t>
    </r>
    <r>
      <rPr>
        <sz val="10"/>
        <rFont val="Arial"/>
        <family val="2"/>
      </rPr>
      <t xml:space="preserve"> zu erfolgen,
die </t>
    </r>
    <r>
      <rPr>
        <b/>
        <sz val="10"/>
        <rFont val="Arial"/>
        <family val="2"/>
      </rPr>
      <t>Mindestanlagedauer</t>
    </r>
    <r>
      <rPr>
        <sz val="10"/>
        <rFont val="Arial"/>
        <family val="2"/>
      </rPr>
      <t xml:space="preserve"> von Zwischenfrüchten muss mindestens </t>
    </r>
    <r>
      <rPr>
        <b/>
        <sz val="10"/>
        <rFont val="Arial"/>
        <family val="2"/>
      </rPr>
      <t>42 Tage</t>
    </r>
    <r>
      <rPr>
        <sz val="10"/>
        <rFont val="Arial"/>
        <family val="2"/>
      </rPr>
      <t xml:space="preserve"> betragen.</t>
    </r>
  </si>
  <si>
    <t>In der nächsten Spalte ist das Datum der Beseitigung der Zwischenfucht, oder der Umbruch 
zB eines Feldfutters einzutragen. Zwischen Umbruch Zwischenfrucht und Anbau MFA Hauptfrucht 
dürfen nicht mehr als 30 Tage liegen. War das Feldfutter im letzten MFA eine Hauptfrucht dürfen 
zwischen Umbruch und Neu-Anbau nicht mehr als 50 Tage liegen.</t>
  </si>
  <si>
    <r>
      <t xml:space="preserve">Nach dem </t>
    </r>
    <r>
      <rPr>
        <b/>
        <sz val="10"/>
        <rFont val="Arial"/>
        <family val="2"/>
      </rPr>
      <t>20. September bis spätestens am 15. Oktober</t>
    </r>
    <r>
      <rPr>
        <sz val="10"/>
        <rFont val="Arial"/>
        <family val="2"/>
      </rPr>
      <t xml:space="preserve"> angelegte </t>
    </r>
    <r>
      <rPr>
        <b/>
        <sz val="10"/>
        <rFont val="Arial"/>
        <family val="2"/>
      </rPr>
      <t>Zwischenfrüchte können auch in Reinsaat angelegt werden, müssen jedoch winterhart sein</t>
    </r>
    <r>
      <rPr>
        <sz val="10"/>
        <rFont val="Arial"/>
        <family val="2"/>
      </rPr>
      <t xml:space="preserve"> und dürfen frühestens am 15. Februar des Folgejahres umgebrochen werden. Der Umbruch der Zwischenfrucht ist im Formular des Folgejahres zu erfassen.</t>
    </r>
  </si>
  <si>
    <t>Einheit Vorschlag</t>
  </si>
  <si>
    <r>
      <t xml:space="preserve">
Hier wird ein Link bei Auswahl in m</t>
    </r>
    <r>
      <rPr>
        <vertAlign val="superscript"/>
        <sz val="10"/>
        <rFont val="Arial"/>
        <family val="2"/>
      </rPr>
      <t>3</t>
    </r>
    <r>
      <rPr>
        <sz val="10"/>
        <rFont val="Arial"/>
        <family val="2"/>
      </rPr>
      <t xml:space="preserve">/ha automatisiert angezeigt
</t>
    </r>
    <r>
      <rPr>
        <sz val="20"/>
        <rFont val="Arial"/>
        <family val="2"/>
      </rPr>
      <t>▼</t>
    </r>
  </si>
  <si>
    <t xml:space="preserve">
Der Ausdruck kann unter Seitenlayout "Druckbereich aufheben" verändert werden!
Unter Datei "Drucken" bitte eintragen welche Seiten gedruckt werden sollen: Seiten: 1 bis  ?
Als Standard sind 6 Druckseiten eingestellt.</t>
  </si>
  <si>
    <t xml:space="preserve">Update 2023 - NAPV/SGD 8 /ÖPUL ab 2023:
Ertragsdokumentation, AMA-Düngewerttabelle implementiert, Stammdatenabgeich mit dem ÖDüPlan, Maske Tiere - Neugestaltung der Bedienung, Berechnungsmodi an NAPV 2023 angepasst, Aufzeichnungserfordernisse angepasst. </t>
  </si>
  <si>
    <t xml:space="preserve">   Flächen im Nitratrisikogebiet</t>
  </si>
  <si>
    <r>
      <t xml:space="preserve">Über die Bewirtschaftung sind ab 1. Jänner 2023 folgende Daten zu dokumentieren:
1. die Größe der landwirtschaftlichen Nutzfläche;
2. die Stickstoffmenge aus Wirtschaftsdünger nach Abzug der Stall- und 
    Lagerverluste, die
a) am Betrieb anfiel, 
b) an andere Betriebe abgegeben oder von anderen Betrieben übernommen wurde
c)  und auf der eigenen landwirtschaftlichen Nutzfläche ausgebracht wurde; 
3. die auf der eigenen Nutzfläche ausgebrachte Stickstoffmenge aus allen Düngern
    in feldfallender und jahreswirksamer Menge; 
4. der Stickstoffbedarf der angebauten Kulturen unter Berücksichtigung der 
    Vorfruchtwirkung und der Größe der Anbaufläche. 
5. Bewässerungsmenge sowie die mit dem Bewässerungswasser
     zugeführte Stickstoffmenge
6. Erntemenge von Ackerflächen (Wiegebelege/ Kubaturschätzung) welche
    entsprechend einer Ertragslage höher als mittel gedüngt wurden (ausgenommen
     Ackerfutterflächen) im betreffenden Jahr;
• </t>
    </r>
    <r>
      <rPr>
        <b/>
        <sz val="11"/>
        <color indexed="8"/>
        <rFont val="Arial"/>
        <family val="2"/>
      </rPr>
      <t>Ausgenommen sind Betriebe:</t>
    </r>
    <r>
      <rPr>
        <sz val="11"/>
        <color indexed="8"/>
        <rFont val="Arial"/>
        <family val="2"/>
      </rPr>
      <t xml:space="preserve"> 
  mit höchstens 15 Hektar, wenn auf weniger als 2 ha Gemüse angebaut 
  wird und alle Betriebe deren Nutzfläche (ohne Alm)  zu mehr als 90% als
  Dauergrünland oder Ackerfutterfläche genutzt wird. 
• Die Daten sind bis längstens 31. Jänner für das jeweils vorangegangene Jahr zu 
  dokumentieren.
</t>
    </r>
    <r>
      <rPr>
        <b/>
        <sz val="11"/>
        <color indexed="10"/>
        <rFont val="Arial"/>
        <family val="2"/>
      </rPr>
      <t>Abweichend davon sind in Gebieten mit verstärkten Aktionen zum Schutz der Gewässer schlagbezogene Aufzeichnungen zu führen.</t>
    </r>
  </si>
  <si>
    <t>www.oedueplanplus.at</t>
  </si>
  <si>
    <t>Der ÖDüPlan Plus ist unter folgendem Link erreichbar:</t>
  </si>
  <si>
    <r>
      <t>Füllen Sie die Tabellenblätter "Betrieb", "N-Bedarf",  "Tiere", "Hofdung", "Organ-Dü", "Mineral" und "Ertragsdokumentation" nacheinander aus! 
Am Tabellenblatt "Ergebnis" werden nun alle Daten dokumentiert die laut Aktionsprogramme 2023 § 8 (5 und 6) erforderlich sind. 
• Bei Teilnahme am System Immergrün ist das Blatt 
  "System I" auszufüllen. 
• Bei Teilnahme an der Maßnahme "bodennahe Ausbringung flüssiger Wirtschaftsdünger und Gülleseparation" bitte das Tabellenblatt "Bodennah" verwenden
• Die im Rahmen der Lebensmittelsicherheit vorgeschriebenen 
  Aufzeichnungen können Sie am Tabellenblatt "Pfl_Schutz"  
  dokumentieren.
Schlagbezogene Aufzeichnungen für in Nitratrisikogebiten gelegene Betriebe und Teilnehmer an der ÖPUL Maßnahme "Vorbeugender Grundwasserschutz Acker", steht das kostenpflichtige EDV-Aufzeichnungsprogramm "</t>
    </r>
    <r>
      <rPr>
        <b/>
        <u/>
        <sz val="11"/>
        <color theme="3"/>
        <rFont val="Arial"/>
        <family val="2"/>
      </rPr>
      <t>ÖDüPlan Plus</t>
    </r>
    <r>
      <rPr>
        <sz val="11"/>
        <rFont val="Arial"/>
        <family val="2"/>
      </rPr>
      <t>" zu Verfügung. Mit diesem lassen sich alle wesentlichen Aufzeichnungen und Überprüfungen, die aufgrund der gesetzlichen Richtlinien der neuen GAP und des ÖPUL 2023 erforderlich sind, durchführen.</t>
    </r>
  </si>
  <si>
    <t xml:space="preserve"> Summe kg N aus Vorfrucht:</t>
  </si>
  <si>
    <t>Hier werden alle Kulturen gelistet (siehe Tabellenblatt "N_Bedarf"). Ertragsabschätzung in Kubikmeter über Silokubaturen und Füllstand/Füllstände kann über das Tabellenblatt "Ertragsschätzung m3" erfolgen. Die errechneten Werte können hier in die Liste händisch übernommen werden. Die Ertragsdokumentation kann direkt über dieses Tabellenblatt ausgedruckt werden. Die einzelnen Werte werden auch auf dem Tabellenblatt "Ergebnis" dargestellt.</t>
  </si>
  <si>
    <t>ÖPUL 2023: Tierwohl - Weide</t>
  </si>
  <si>
    <t>eigener Dünger 4</t>
  </si>
  <si>
    <t>eigener Dünger 5</t>
  </si>
  <si>
    <t>eigener Dünger 6</t>
  </si>
  <si>
    <t>eigener Dünger 7</t>
  </si>
  <si>
    <t>eigener Dünger 8</t>
  </si>
  <si>
    <t>eigener Dünger 9</t>
  </si>
  <si>
    <t>■ Die Einhaltung der Düngevorschriften (Konditionalitäten)</t>
  </si>
  <si>
    <t>eigener Dünger 10</t>
  </si>
  <si>
    <r>
      <rPr>
        <b/>
        <sz val="16"/>
        <color theme="0"/>
        <rFont val="Arial"/>
        <family val="2"/>
      </rPr>
      <t>Aufzeichnungsblatt zu Bewässerungsmenge sowie die mit dem Bewässerungswasser zugeführte Stickstoffmenge</t>
    </r>
    <r>
      <rPr>
        <b/>
        <sz val="10"/>
        <color theme="0"/>
        <rFont val="Arial"/>
        <family val="2"/>
      </rPr>
      <t xml:space="preserve">
 gemäß NAPV 2023, Anlage 3 Abschnitt IV</t>
    </r>
  </si>
  <si>
    <t>Bei Bewässerung von Kulturen ist die mit dem Bewässerungswasser zugeführte Stickstoffmenge in Abhängigkeit von Bewässerungsmenge und dem Nitratgehalt des Grundwasserkörpers ab einer Menge von 10 kg N/ha abzuziehen.</t>
  </si>
  <si>
    <t>In diesem Aufzeichnungsblatt stehen alle Kulturen, welche im Tabellenblatt "N_Bedarf" angeführt werden in Form eines Drop Down Menüs zur Auswahl.</t>
  </si>
  <si>
    <t>Feldstücksname</t>
  </si>
  <si>
    <t>Kultur*</t>
  </si>
  <si>
    <t>Bewässerungsmenge*
 [mm]</t>
  </si>
  <si>
    <t>errechnete Stickstoffmenge
[kg N/ha]</t>
  </si>
  <si>
    <t>DropDown Kulturen</t>
  </si>
  <si>
    <t>gemessener Nitratgehalt:</t>
  </si>
  <si>
    <t>Flächenbezeichnung
(FS / Schlag)</t>
  </si>
  <si>
    <t>Fläche
[ha]</t>
  </si>
  <si>
    <t>FS Name</t>
  </si>
  <si>
    <t>Summe N-Menge aus Beregnung
[kg N / ha]</t>
  </si>
  <si>
    <t>Kulturen</t>
  </si>
  <si>
    <t>Beregnungsmenge</t>
  </si>
  <si>
    <t>Summe Bewässerrungsmenge
 je erfasster Fläche
[mm]</t>
  </si>
  <si>
    <t>Feldstücksnummer bzw. Flächenbezeichnung*</t>
  </si>
  <si>
    <t>Schlagnummer(n)</t>
  </si>
  <si>
    <t>Zur korrekten Berechnung der über die Bewässerung zugeführten Stickstoffmengen sind die Pflichtfelder mit * gekennzeichneten.</t>
  </si>
  <si>
    <t>Zusammenfassung je Schlag/Kultur</t>
  </si>
  <si>
    <t>Fläche
[ha]*</t>
  </si>
  <si>
    <t>Bedienungsanleitung:</t>
  </si>
  <si>
    <r>
      <t>Die Aufzeichnungen können auf</t>
    </r>
    <r>
      <rPr>
        <b/>
        <sz val="10"/>
        <rFont val="Arial"/>
        <family val="2"/>
      </rPr>
      <t xml:space="preserve"> Ebene einzelner Schläge bzw. gleich bewirtschafteter Flächen einer Kultur</t>
    </r>
    <r>
      <rPr>
        <sz val="10"/>
        <rFont val="Arial"/>
        <family val="2"/>
      </rPr>
      <t xml:space="preserve"> geführt werden (z.B.: alle Maisflächen summieren oder jeden Schlag einzeln eintragen).</t>
    </r>
  </si>
  <si>
    <r>
      <t xml:space="preserve">Die Bewässerungsmengen je Schlag/ Kultur können entweder </t>
    </r>
    <r>
      <rPr>
        <b/>
        <sz val="10"/>
        <rFont val="Arial"/>
        <family val="2"/>
      </rPr>
      <t>als Summe der gesamten Bewässerungsmenge innerhalb eines Wirtschaftsjahres oder als einzelne Einträge je Bewässerungsvorgang</t>
    </r>
    <r>
      <rPr>
        <sz val="10"/>
        <rFont val="Arial"/>
        <family val="2"/>
      </rPr>
      <t xml:space="preserve"> eigegeben werden.</t>
    </r>
  </si>
  <si>
    <t>Die einzelnen Mengen werden in der Tabelle RECHTS neben der Eingabetabelle als Summe je Schlag/ Kultur angeführt. Ab einer gesamten Stickstoffmenge von 10 kg / ha auf dem betreffenden Schlag, wird die zugeführte N-Menge dem gesamtbetrieblichen Anfall an N in jahreswirksamer Form hinzu gerechnet.</t>
  </si>
  <si>
    <t>Hilfstabelle</t>
  </si>
  <si>
    <t>Bei der Flächeneingabe ist bei mehrmaliger Eingabe ein und dessselben Schlages darauf zu achten, dass die Fläche übereinstimmt - ansonsten kann der oberhalb gelistete Wert ausgelsen werden.</t>
  </si>
  <si>
    <t>Wird ein Wert bei "gemessener Nitratgehalt" eingetragen, so wird dieser Wert bei Ersteingabe einer Zeile automatisiert übernommen.</t>
  </si>
  <si>
    <t>Flächenbezeichnung
(FS / Schlag bzw. Kultur)</t>
  </si>
  <si>
    <t>gesamtbetrieblich anzurechnende N-Menge in kg N:</t>
  </si>
  <si>
    <t>anzurechnender
N-Mengen
[kg Njw]</t>
  </si>
  <si>
    <r>
      <t>Nitratgehalt *
[mg NO</t>
    </r>
    <r>
      <rPr>
        <b/>
        <vertAlign val="subscript"/>
        <sz val="11"/>
        <rFont val="Arial"/>
        <family val="2"/>
      </rPr>
      <t>3</t>
    </r>
    <r>
      <rPr>
        <b/>
        <sz val="11"/>
        <rFont val="Arial"/>
        <family val="2"/>
      </rPr>
      <t xml:space="preserve"> / l]</t>
    </r>
  </si>
  <si>
    <t>abzüglich mit dem Bewässerungswasser zugeführte Stickstoffmenge (siehe Tabellenblatt "Beregnung")</t>
  </si>
  <si>
    <t xml:space="preserve">   abzüglich zugeführte N-Menge über Bewässerung</t>
  </si>
  <si>
    <r>
      <t>[mg NO</t>
    </r>
    <r>
      <rPr>
        <b/>
        <vertAlign val="subscript"/>
        <sz val="12"/>
        <rFont val="Arial"/>
        <family val="2"/>
      </rPr>
      <t>3</t>
    </r>
    <r>
      <rPr>
        <b/>
        <sz val="12"/>
        <rFont val="Arial"/>
        <family val="2"/>
      </rPr>
      <t xml:space="preserve"> / l]</t>
    </r>
  </si>
  <si>
    <t>Programmierung Beregnungstabelle;
Veröffentlichung LK Düngerrechner NAPV 2023</t>
  </si>
  <si>
    <t>Das LK-Düngeberechnungsprogramm soll nur von Personen verwendet werden, die über den aktuellen Stand der Richtlinien geschult sind. 
Die Tabellenblätter sollen bei Kontrollen nur in Papierform vorgelegt werden. 
Falsche Ergebnisse können auch durch fehlerhafte Eingaben auftreten!</t>
  </si>
  <si>
    <t xml:space="preserve">       die grünen Zellen sind Auswahlzellen, Sie können Tiere, Dünger, Kulturen etc. über eine Dropdown-Liste auswählen. Bei Eingabe einzelner Buchtsaben wird bei anschließendem Öffnen des DropDown Menüs die Auswahlmöglichkeit reduziert. Bei Auswahl von Tieren geschieht eine abgestufte Auswahl mittels Tierart und Tierunterkategorie.</t>
  </si>
  <si>
    <t>6,75 - 8,0 t |
8,6 - 10,1 m3</t>
  </si>
  <si>
    <t>DropDown WD Düngerart</t>
  </si>
  <si>
    <t>Drop Down Biogasgülle</t>
  </si>
  <si>
    <t>Gülleinjektion</t>
  </si>
  <si>
    <t>DropDown Auswahl bzw. manuelle Eingabe</t>
  </si>
  <si>
    <t>Maßnahme Bodennahe Ausbringung flüssiger Wirtschaftsdünger und 
Gülleseparation</t>
  </si>
  <si>
    <t>Zunächst muss angegeben werden, ob der Schlag am 1. Jänner mit einer Hauptfrucht (ja HF) oder einer Zwischenfrucht (ja ZWF) begrünt, oder nicht begrünt (nein) ist.
In der nächsten Spalte ist das Datum der Beseitigung der Zwischenfucht, oder der Umbruch 
zB eines Feldfutters einzutragen. Zwischen Umbruch Zwischenfrucht und Anbau MFA Hauptfrucht 
dürfen nicht mehr als 30 Tage liegen. War das Feldfutter im letzten MFA eine Hauptfrucht dürfen 
zwischen Umbruch und Neu-Anbau nicht mehr als 50 Tage liegen.</t>
  </si>
  <si>
    <r>
      <t xml:space="preserve">Aufzeichungsblatt zur ÖPUl Maßnahme "Bodennahe Ausbringung flüssiger Wirtschaftsdünger und Gülleseparation" -  </t>
    </r>
    <r>
      <rPr>
        <b/>
        <u/>
        <sz val="14"/>
        <color indexed="9"/>
        <rFont val="Arial"/>
        <family val="2"/>
      </rPr>
      <t>Rindergülleseparierung</t>
    </r>
  </si>
  <si>
    <t>Maßnahme Bodennahe Ausbringung flüssiger Wirtschaftsdünger und Gülleseparation</t>
  </si>
  <si>
    <r>
      <rPr>
        <b/>
        <u/>
        <sz val="14"/>
        <rFont val="Arial"/>
        <family val="2"/>
      </rPr>
      <t>Verpflichtungen:</t>
    </r>
    <r>
      <rPr>
        <b/>
        <sz val="11"/>
        <rFont val="Arial"/>
        <family val="2"/>
      </rPr>
      <t xml:space="preserve">
</t>
    </r>
    <r>
      <rPr>
        <sz val="11"/>
        <rFont val="Arial"/>
        <family val="2"/>
      </rPr>
      <t xml:space="preserve">Im folgenden können die Details zur </t>
    </r>
    <r>
      <rPr>
        <b/>
        <u/>
        <sz val="11"/>
        <rFont val="Arial"/>
        <family val="2"/>
      </rPr>
      <t>Gülleseparation</t>
    </r>
    <r>
      <rPr>
        <sz val="11"/>
        <rFont val="Arial"/>
        <family val="2"/>
      </rPr>
      <t xml:space="preserve"> dokumentiert werden.</t>
    </r>
    <r>
      <rPr>
        <sz val="11"/>
        <color indexed="8"/>
        <rFont val="Arial"/>
        <family val="2"/>
      </rPr>
      <t xml:space="preserve"> 
Es muss </t>
    </r>
    <r>
      <rPr>
        <b/>
        <u/>
        <sz val="11"/>
        <color indexed="8"/>
        <rFont val="Arial"/>
        <family val="2"/>
      </rPr>
      <t>nicht</t>
    </r>
    <r>
      <rPr>
        <sz val="11"/>
        <color indexed="8"/>
        <rFont val="Arial"/>
        <family val="2"/>
      </rPr>
      <t xml:space="preserve"> die gesamte am Betrieb anfallende Rindergülle separiert werden, förderbar sind jedoch nur die tatsächlich separierten Mengen. Weiters ist die Gülleseparation nicht mit der bodennahen Ausbringung verknüpft – die Ausbringung kann auch mit herkömmlicher Technik erfolgen.
</t>
    </r>
    <r>
      <rPr>
        <b/>
        <u/>
        <sz val="14"/>
        <color indexed="8"/>
        <rFont val="Arial"/>
        <family val="2"/>
      </rPr>
      <t>Aufzeichnungsverpflichtungen:</t>
    </r>
    <r>
      <rPr>
        <sz val="11"/>
        <color indexed="8"/>
        <rFont val="Arial"/>
        <family val="2"/>
      </rPr>
      <t xml:space="preserve">
Über das </t>
    </r>
    <r>
      <rPr>
        <b/>
        <sz val="11"/>
        <color indexed="8"/>
        <rFont val="Arial"/>
        <family val="2"/>
      </rPr>
      <t>Datum der Gülleseparierung</t>
    </r>
    <r>
      <rPr>
        <sz val="11"/>
        <color indexed="8"/>
        <rFont val="Arial"/>
        <family val="2"/>
      </rPr>
      <t xml:space="preserve"> und die </t>
    </r>
    <r>
      <rPr>
        <b/>
        <sz val="11"/>
        <color indexed="8"/>
        <rFont val="Arial"/>
        <family val="2"/>
      </rPr>
      <t>Menge des separierten flüssigen Wirtschaftsdüngers</t>
    </r>
    <r>
      <rPr>
        <sz val="11"/>
        <color indexed="8"/>
        <rFont val="Arial"/>
        <family val="2"/>
      </rPr>
      <t xml:space="preserve"> sind Aufzeichnungen zu führen.
Im Fall des Einsatzes betriebsfremder Geräte am Betrieb ist der Nachweis durch Rechnungen oder andere geeignete Unterlagen erforderlich.
Bei gemeinschaftlich angeschafften Geräten muss der Separator entweder am Betrieb vorhanden sein oder auf einem anderen beteiligten Betrieb kontrolliert werden können. Die Rechnung für den angeschafften Separator muss an die teilnehmenden Betriebe ausgestellt sein und vorgewiesen werden können. Der Einsatz am Betrieb ist idealerweise anhand eines fortlaufenden Einsatzstunden- oder Kubikmeterzählers in einem Betriebsbuch zu dokumentieren</t>
    </r>
  </si>
  <si>
    <t xml:space="preserve">Datum </t>
  </si>
  <si>
    <r>
      <t>Menge je Ausbringung 
= ha x m</t>
    </r>
    <r>
      <rPr>
        <b/>
        <sz val="14"/>
        <rFont val="Arial"/>
        <family val="2"/>
      </rPr>
      <t>³</t>
    </r>
  </si>
  <si>
    <r>
      <t>Ausbringverfahren
(</t>
    </r>
    <r>
      <rPr>
        <sz val="11"/>
        <rFont val="Arial"/>
        <family val="2"/>
      </rPr>
      <t>Schleppschlauch, Schleppschuh, Gülleinjektion)</t>
    </r>
  </si>
  <si>
    <t>1/2,2/5,3/6 bzw. 
Hausfeld-2, Hausacker-5, Hauslus-6</t>
  </si>
  <si>
    <r>
      <t>Separierte Menge
[m</t>
    </r>
    <r>
      <rPr>
        <b/>
        <vertAlign val="superscript"/>
        <sz val="11"/>
        <rFont val="Arial"/>
        <family val="2"/>
      </rPr>
      <t>3</t>
    </r>
    <r>
      <rPr>
        <b/>
        <sz val="11"/>
        <rFont val="Arial"/>
        <family val="2"/>
      </rPr>
      <t>]</t>
    </r>
  </si>
  <si>
    <r>
      <t>Zählerstand m</t>
    </r>
    <r>
      <rPr>
        <vertAlign val="superscript"/>
        <sz val="10"/>
        <rFont val="Arial"/>
        <family val="2"/>
      </rPr>
      <t>3</t>
    </r>
    <r>
      <rPr>
        <sz val="10"/>
        <rFont val="Arial"/>
        <family val="2"/>
      </rPr>
      <t>/ Betriebsstunden zu Beginn (optional)</t>
    </r>
  </si>
  <si>
    <r>
      <t>Zählerstand m</t>
    </r>
    <r>
      <rPr>
        <vertAlign val="superscript"/>
        <sz val="10"/>
        <rFont val="Arial"/>
        <family val="2"/>
      </rPr>
      <t>3</t>
    </r>
    <r>
      <rPr>
        <sz val="10"/>
        <rFont val="Arial"/>
        <family val="2"/>
      </rPr>
      <t>/ Betriebsstunden zum Ende der Separierung (optional)</t>
    </r>
  </si>
  <si>
    <r>
      <t>Summe separierte Rindergülle in m</t>
    </r>
    <r>
      <rPr>
        <b/>
        <vertAlign val="superscript"/>
        <sz val="10"/>
        <rFont val="Arial"/>
        <family val="2"/>
      </rPr>
      <t>3</t>
    </r>
    <r>
      <rPr>
        <b/>
        <sz val="10"/>
        <rFont val="Arial"/>
        <family val="2"/>
      </rPr>
      <t>:</t>
    </r>
  </si>
  <si>
    <r>
      <t>4526,5 m</t>
    </r>
    <r>
      <rPr>
        <vertAlign val="superscript"/>
        <sz val="8"/>
        <color indexed="8"/>
        <rFont val="Arial"/>
        <family val="2"/>
      </rPr>
      <t>3</t>
    </r>
  </si>
  <si>
    <r>
      <t>4527,5 m</t>
    </r>
    <r>
      <rPr>
        <vertAlign val="superscript"/>
        <sz val="8"/>
        <color indexed="8"/>
        <rFont val="Arial"/>
        <family val="2"/>
      </rPr>
      <t>3</t>
    </r>
  </si>
  <si>
    <t>Neues Tabellenblatt Separierung, Umbau des Tabellenbalttes Bodennah (Bedieung und Aufzeichnungszeitraum), Korrektur im Tabellenblatt System Immergrün und DropDown Tiere - Formelbezüge</t>
  </si>
  <si>
    <t>Datum der
Ausbringung</t>
  </si>
  <si>
    <r>
      <t xml:space="preserve">Feldstücksnummer(n) und Schlagnummer(n)*
</t>
    </r>
    <r>
      <rPr>
        <sz val="10"/>
        <rFont val="Arial"/>
        <family val="2"/>
      </rPr>
      <t>(Feldstücksname optional)</t>
    </r>
  </si>
  <si>
    <t>Gülle / 
Jauche**</t>
  </si>
  <si>
    <t>Düngerart**</t>
  </si>
  <si>
    <t>Biogasgülle**</t>
  </si>
  <si>
    <t>DropDown Düngeplanung</t>
  </si>
  <si>
    <t>Name:</t>
  </si>
  <si>
    <t>Adresse:</t>
  </si>
  <si>
    <r>
      <t xml:space="preserve">Neuwelt-
kamele 
</t>
    </r>
    <r>
      <rPr>
        <sz val="10"/>
        <rFont val="Arial"/>
        <family val="2"/>
      </rPr>
      <t>ab 1 Jahr</t>
    </r>
  </si>
  <si>
    <r>
      <t xml:space="preserve">Equiden
</t>
    </r>
    <r>
      <rPr>
        <sz val="10"/>
        <rFont val="Arial"/>
        <family val="2"/>
      </rPr>
      <t>ab 1/2 Jahr</t>
    </r>
  </si>
  <si>
    <t>DropDown Mineraldünger</t>
  </si>
  <si>
    <t>Korrektur Berechnung Tonnen im Tabellenblatt Ertragsschätzung m3</t>
  </si>
  <si>
    <t>Die Milchleistung je Kuh berechnet sich aus gelieferter u. direkt vermarkteter,</t>
  </si>
  <si>
    <t>Korrektur Düngeplanung Zellbezug in Tabelle 1  und geplante Menge am Tabellenbaltt Mineral</t>
  </si>
  <si>
    <t>Kubikmeter via Schleppschlauch</t>
  </si>
  <si>
    <t>Kubikmeter via Schleppschuh</t>
  </si>
  <si>
    <t>Kubikmeter via Injektion</t>
  </si>
  <si>
    <t>Summenfunktion bodennahe Ausbringung eingefügt</t>
  </si>
  <si>
    <t>Ertragsdokumentation erforderlich?</t>
  </si>
  <si>
    <t>Ertragsdoku höher mittel ?</t>
  </si>
  <si>
    <r>
      <rPr>
        <sz val="11"/>
        <rFont val="Arial"/>
        <family val="2"/>
      </rPr>
      <t xml:space="preserve">
Im folgenden können die Details zur bodennahen Ausbrigung flüssiger Wirtschaftsdünger und Biogasgülle dokumentiert werden.</t>
    </r>
    <r>
      <rPr>
        <sz val="11"/>
        <color indexed="8"/>
        <rFont val="Arial"/>
        <family val="2"/>
      </rPr>
      <t xml:space="preserve"> 
</t>
    </r>
    <r>
      <rPr>
        <b/>
        <u/>
        <sz val="11"/>
        <color indexed="8"/>
        <rFont val="Arial"/>
        <family val="2"/>
      </rPr>
      <t>Die Aufzeichnungen müssen folgende Punkte beinhalten:</t>
    </r>
    <r>
      <rPr>
        <sz val="11"/>
        <color indexed="8"/>
        <rFont val="Arial"/>
        <family val="2"/>
      </rPr>
      <t xml:space="preserve">
• Datum der Ausbringung
</t>
    </r>
    <r>
      <rPr>
        <b/>
        <sz val="11"/>
        <color indexed="8"/>
        <rFont val="Arial"/>
        <family val="2"/>
      </rPr>
      <t>• Feldstücks-Nr.*
• Schlag-Nr.*</t>
    </r>
    <r>
      <rPr>
        <sz val="11"/>
        <color indexed="8"/>
        <rFont val="Arial"/>
        <family val="2"/>
      </rPr>
      <t xml:space="preserve">
• Kultur im Wirtschaftsjahr
</t>
    </r>
    <r>
      <rPr>
        <b/>
        <sz val="11"/>
        <color indexed="8"/>
        <rFont val="Arial"/>
        <family val="2"/>
      </rPr>
      <t>• ausgebrachte Düngerart (Biogasgülle, Schweinegülle, Rinderjauche...)**</t>
    </r>
    <r>
      <rPr>
        <sz val="11"/>
        <color indexed="8"/>
        <rFont val="Arial"/>
        <family val="2"/>
      </rPr>
      <t xml:space="preserve">
• Ausbringungsverfahren (Schleppschlauch, Schleppschuh, Injektionsverfahren)
• Fläche in ha
• ausgebrachte Menge in m³ auf dem gesamten Schlag
</t>
    </r>
    <r>
      <rPr>
        <b/>
        <sz val="11"/>
        <color indexed="8"/>
        <rFont val="Arial"/>
        <family val="2"/>
      </rPr>
      <t>* Ein Zusammenfassen mehrerer Schläge ist bei gleicher Kultur, gleicher Düngerart, gleicher Menge, gleichem Ausbringdatum und gleichem Ausbringungsverfahren möglich. Werden mehrere Schläge zusammengefasst, müssen die Schlaggrößen addiert werden.
**Bei bodennaher Ausbringung von gemischten Düngern ist die entsprechende Mischung bspw.: Rinder-Schweinegülle anzugeben. Es besteht eine manuelle Eingabemöglichkeit. Beachten Sie bei manueller Eingabe, dass Düngerart und Tierart(en) angeführt sind. Die DropDown Einträge können am Tabellenblatt "Hofdung" angepasst werden.</t>
    </r>
    <r>
      <rPr>
        <sz val="11"/>
        <color indexed="8"/>
        <rFont val="Arial"/>
        <family val="2"/>
      </rPr>
      <t xml:space="preserve">
Die Ausbringung durch nicht im Eigentum befindlicher Geräte muss durch Rechnungen belegt werden. 
Über die bodennah ausgebrachte Menge an flüssigen Wirtschaftsdüngern / Biogasgülle und über die gedüngten Flächen sind schlagbezogene Aufzeichnungen zu führen.
</t>
    </r>
    <r>
      <rPr>
        <b/>
        <u/>
        <sz val="11"/>
        <color indexed="8"/>
        <rFont val="Arial"/>
        <family val="2"/>
      </rPr>
      <t>Bitte beachten Sie:</t>
    </r>
    <r>
      <rPr>
        <sz val="11"/>
        <color indexed="8"/>
        <rFont val="Arial"/>
        <family val="2"/>
      </rPr>
      <t xml:space="preserve">
Es sind die allgemein gültigen Vorgaben gem. Nitrat Aktionsprogramm-Verordnung und Ammoniakreduktionsverordnung hinsichtlich Einarbeitungverpflichtungen, Düngeverbotszeiträumen und sonstigen Düngegeboten und Düngeverboten einzuhalten. 
Die Aufzeichnungen für den Bereich Gülleseparation können im Tabellenblatt Separierung geführt werden.</t>
    </r>
  </si>
  <si>
    <t>Dokumentationsverpflichtung JA/NEIN
1=JA, 2=NEIN</t>
  </si>
  <si>
    <t>Kohlrabi</t>
  </si>
  <si>
    <t>Suchformel16</t>
  </si>
  <si>
    <t>Suchformel17</t>
  </si>
  <si>
    <t>Suchformel19</t>
  </si>
  <si>
    <t>Suchformel18</t>
  </si>
  <si>
    <t>Suchformel20</t>
  </si>
  <si>
    <t>Suchformel21</t>
  </si>
  <si>
    <t>Suchformel22</t>
  </si>
  <si>
    <t>C26</t>
  </si>
  <si>
    <t>C27</t>
  </si>
  <si>
    <t>Suchformel23</t>
  </si>
  <si>
    <t>C28</t>
  </si>
  <si>
    <t>Suchformel 24</t>
  </si>
  <si>
    <t>C29</t>
  </si>
  <si>
    <t>Suchformel 25</t>
  </si>
  <si>
    <r>
      <rPr>
        <b/>
        <u/>
        <sz val="11"/>
        <rFont val="Arial"/>
        <family val="2"/>
      </rPr>
      <t>Vorfruchtwert aus dem Feldgemüseba</t>
    </r>
    <r>
      <rPr>
        <u/>
        <sz val="11"/>
        <rFont val="Arial"/>
        <family val="2"/>
      </rPr>
      <t>u</t>
    </r>
    <r>
      <rPr>
        <sz val="11"/>
        <rFont val="Arial"/>
        <family val="2"/>
      </rPr>
      <t xml:space="preserve"> aus dem vorangegangenen Wirtschaftsjahr (</t>
    </r>
    <r>
      <rPr>
        <b/>
        <u/>
        <sz val="11"/>
        <rFont val="Arial"/>
        <family val="2"/>
      </rPr>
      <t xml:space="preserve">Summe in kg Njw </t>
    </r>
    <r>
      <rPr>
        <sz val="11"/>
        <rFont val="Arial"/>
        <family val="2"/>
      </rPr>
      <t>eintragen, da kein Flächennezug gegeben)</t>
    </r>
  </si>
  <si>
    <t>Feldgemüsebau</t>
  </si>
  <si>
    <t>C32</t>
  </si>
  <si>
    <t>C33</t>
  </si>
  <si>
    <t>C34</t>
  </si>
  <si>
    <t>C35</t>
  </si>
  <si>
    <t>C36</t>
  </si>
  <si>
    <t>C37</t>
  </si>
  <si>
    <t>Artischocke</t>
  </si>
  <si>
    <t>Blattsalate 7 Wochen</t>
  </si>
  <si>
    <t>Blattsalate 10 Wochen</t>
  </si>
  <si>
    <t>Brokkoli</t>
  </si>
  <si>
    <t>Buschbohne (gepflückt)</t>
  </si>
  <si>
    <t>Chicoree</t>
  </si>
  <si>
    <t>Chinakohl (12 Wochen, gesät)</t>
  </si>
  <si>
    <t>Dill</t>
  </si>
  <si>
    <t>Eissalat</t>
  </si>
  <si>
    <t>Endivie</t>
  </si>
  <si>
    <t>Grünkohl</t>
  </si>
  <si>
    <t>Grünsoja</t>
  </si>
  <si>
    <t>Karfiol</t>
  </si>
  <si>
    <t>Karotte (Bund)</t>
  </si>
  <si>
    <t>Karotte (Lager)</t>
  </si>
  <si>
    <t>Knoblauch (Frühjahr)</t>
  </si>
  <si>
    <t>Knoblauch (Herbst)</t>
  </si>
  <si>
    <t>Knollenfenchel</t>
  </si>
  <si>
    <t>Kohl (Herbst)</t>
  </si>
  <si>
    <t>Kohlrabi (Industrie)</t>
  </si>
  <si>
    <t>Kraut (früh, Vlies)</t>
  </si>
  <si>
    <t>Kraut (Herbst)</t>
  </si>
  <si>
    <t>Kraut (Industrie, früh)</t>
  </si>
  <si>
    <t>Kraut (Industrie, spät)</t>
  </si>
  <si>
    <t>Kraut (Lager)</t>
  </si>
  <si>
    <t>Kraut (Sommer)</t>
  </si>
  <si>
    <t>Kren</t>
  </si>
  <si>
    <t>Mangold</t>
  </si>
  <si>
    <t>Melone</t>
  </si>
  <si>
    <t>Pastinake</t>
  </si>
  <si>
    <t>Petersilie (Wurzel)</t>
  </si>
  <si>
    <t>Porree (Herbst, Winter)</t>
  </si>
  <si>
    <t>Porree (früh, Folie)</t>
  </si>
  <si>
    <t>Porree (Hybrid)</t>
  </si>
  <si>
    <t>Radicchio</t>
  </si>
  <si>
    <t>Rettich, schwarz</t>
  </si>
  <si>
    <t>Bierrettich (8 Wochen)</t>
  </si>
  <si>
    <t>Rhabarber Pflanzjahr</t>
  </si>
  <si>
    <t>Rhabarber 2. Standjahr</t>
  </si>
  <si>
    <t>Rhabarber 3. Standjahr</t>
  </si>
  <si>
    <t>Rhabarber ab 4. Standjahr</t>
  </si>
  <si>
    <t>Rote Rübe (Industrie)</t>
  </si>
  <si>
    <t>Rote Rübe (Frischmarkt)</t>
  </si>
  <si>
    <t>Rucola</t>
  </si>
  <si>
    <t>Schwarzwurzel</t>
  </si>
  <si>
    <t>Sellerie (Knollen)</t>
  </si>
  <si>
    <t>Sellerie (Stangen-, Bleich-)</t>
  </si>
  <si>
    <t>Spargel 2. Standjahr</t>
  </si>
  <si>
    <t>Spargel 3. Standjahr</t>
  </si>
  <si>
    <t>Spargel (Ertragsanlage)</t>
  </si>
  <si>
    <t>Spinat (Frühjahr)</t>
  </si>
  <si>
    <t>Spinat (Herbst)</t>
  </si>
  <si>
    <t>Stangenbohne, Käferbohne (frisch)</t>
  </si>
  <si>
    <t>Stangenbohne, Käferbohne (trocken)</t>
  </si>
  <si>
    <t>Zucchini</t>
  </si>
  <si>
    <t>Zuckerhut</t>
  </si>
  <si>
    <t>Zuckermais (Kolben)</t>
  </si>
  <si>
    <t>Zwiebel (Bund)</t>
  </si>
  <si>
    <t>Zwiebel (Sommer), trocken</t>
  </si>
  <si>
    <t>Petersilie (Schnitt)</t>
  </si>
  <si>
    <t>Schnittlauch</t>
  </si>
  <si>
    <t>Spargel Pflanzjahr</t>
  </si>
  <si>
    <t>eigener Dünger 1</t>
  </si>
  <si>
    <t>eigener Dünger 2</t>
  </si>
  <si>
    <t>eigener Dünger 3</t>
  </si>
  <si>
    <t>Anpassung der Fehlermeldungen zu GLÖZ 10 an GAP Strategieplan (vormals auf Basis des AMA Merkblattes programmiert)</t>
  </si>
  <si>
    <t>Chinakohl (8 Wochen)</t>
  </si>
  <si>
    <t>Einlegegurke</t>
  </si>
  <si>
    <t>Grünerbse</t>
  </si>
  <si>
    <t>Feldgurke</t>
  </si>
  <si>
    <t>Karotte (Industrie)</t>
  </si>
  <si>
    <t>Kochsalat (Romana-Salate)</t>
  </si>
  <si>
    <t>Kopfsalat</t>
  </si>
  <si>
    <t>Kürbis (Speisekürbis)</t>
  </si>
  <si>
    <t>Radieschen</t>
  </si>
  <si>
    <t>Spinat (Überwinterung)</t>
  </si>
  <si>
    <t>Vogerlsalat (Rapunzel)</t>
  </si>
  <si>
    <t>andere Schalenfrüchte</t>
  </si>
  <si>
    <t>anderes Obst</t>
  </si>
  <si>
    <t>Kornelkirsche</t>
  </si>
  <si>
    <t>sonstige Spezialkulturfläche</t>
  </si>
  <si>
    <t>Haselnuss</t>
  </si>
  <si>
    <t>Walnuss</t>
  </si>
  <si>
    <t>Mandel</t>
  </si>
  <si>
    <t>Konditionalitäten vom 27.11.2025 - Feldgemüse</t>
  </si>
  <si>
    <t>Ertragsdokumentation und neue Gemüsezahlen implementiert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</si>
</sst>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4" formatCode="_-&quot;€&quot;\ * #,##0.00_-;\-&quot;€&quot;\ * #,##0.00_-;_-&quot;€&quot;\ * &quot;-&quot;??_-;_-@_-"/>
    <numFmt numFmtId="43" formatCode="_-* #,##0.00_-;\-* #,##0.00_-;_-* &quot;-&quot;??_-;_-@_-"/>
    <numFmt numFmtId="164" formatCode="#,##0.00\ ;\-#,##0.00\ ;&quot; -&quot;#\ ;@\ "/>
    <numFmt numFmtId="165" formatCode="* #,##0.00\ ;\-* #,##0.00\ ;* \-#\ ;@\ "/>
    <numFmt numFmtId="166" formatCode="0.0"/>
    <numFmt numFmtId="167" formatCode="#,##0.0"/>
    <numFmt numFmtId="168" formatCode="0.0%"/>
    <numFmt numFmtId="169" formatCode="#,##0.0\ ;\-#,##0.0\ ;&quot; -&quot;#\ ;@\ "/>
    <numFmt numFmtId="170" formatCode="* #,##0.0\ ;\-* #,##0.0\ ;* \-#\ ;@\ "/>
    <numFmt numFmtId="171" formatCode="dd/mm/yy;@"/>
    <numFmt numFmtId="172" formatCode="0.00&quot; ha&quot;"/>
    <numFmt numFmtId="173" formatCode="d/m/yyyy"/>
    <numFmt numFmtId="174" formatCode="#,##0.000"/>
    <numFmt numFmtId="175" formatCode="0.000"/>
    <numFmt numFmtId="176" formatCode="_-&quot;€ &quot;* #,##0.00_-;&quot;-€ &quot;* #,##0.00_-;_-&quot;€ &quot;* \-??_-;_-@_-"/>
    <numFmt numFmtId="177" formatCode="_-* #,##0.0\ [$€-407]_-;\-* #,##0.0\ [$€-407]_-;_-* &quot;-&quot;??\ [$€-407]_-;_-@_-"/>
    <numFmt numFmtId="178" formatCode="0.000000000000"/>
  </numFmts>
  <fonts count="250">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indexed="8"/>
      <name val="Arial"/>
      <family val="2"/>
    </font>
    <font>
      <sz val="11"/>
      <color indexed="8"/>
      <name val="Arial"/>
      <family val="2"/>
    </font>
    <font>
      <sz val="11"/>
      <color indexed="8"/>
      <name val="Arial"/>
      <family val="2"/>
    </font>
    <font>
      <sz val="11"/>
      <color indexed="8"/>
      <name val="Arial"/>
      <family val="2"/>
    </font>
    <font>
      <sz val="11"/>
      <color indexed="8"/>
      <name val="Arial"/>
      <family val="2"/>
    </font>
    <font>
      <sz val="11"/>
      <color indexed="8"/>
      <name val="Arial"/>
      <family val="2"/>
    </font>
    <font>
      <sz val="11"/>
      <color indexed="8"/>
      <name val="Arial"/>
      <family val="2"/>
    </font>
    <font>
      <sz val="11"/>
      <color indexed="8"/>
      <name val="Arial"/>
      <family val="2"/>
    </font>
    <font>
      <sz val="11"/>
      <color indexed="8"/>
      <name val="Arial"/>
      <family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0"/>
      <name val="Mangal"/>
      <family val="2"/>
    </font>
    <font>
      <sz val="11"/>
      <color indexed="60"/>
      <name val="Arial"/>
      <family val="2"/>
    </font>
    <font>
      <sz val="11"/>
      <color indexed="20"/>
      <name val="Arial"/>
      <family val="2"/>
    </font>
    <font>
      <sz val="11"/>
      <color indexed="8"/>
      <name val="Arial"/>
      <family val="2"/>
    </font>
    <font>
      <sz val="11"/>
      <color indexed="52"/>
      <name val="Arial"/>
      <family val="2"/>
    </font>
    <font>
      <sz val="11"/>
      <color indexed="10"/>
      <name val="Arial"/>
      <family val="2"/>
    </font>
    <font>
      <b/>
      <sz val="11"/>
      <color indexed="9"/>
      <name val="Arial"/>
      <family val="2"/>
    </font>
    <font>
      <b/>
      <sz val="18"/>
      <color indexed="62"/>
      <name val="Cambria"/>
      <family val="2"/>
    </font>
    <font>
      <b/>
      <sz val="15"/>
      <color indexed="62"/>
      <name val="Arial"/>
      <family val="2"/>
    </font>
    <font>
      <b/>
      <sz val="13"/>
      <color indexed="62"/>
      <name val="Arial"/>
      <family val="2"/>
    </font>
    <font>
      <b/>
      <sz val="11"/>
      <color indexed="62"/>
      <name val="Arial"/>
      <family val="2"/>
    </font>
    <font>
      <b/>
      <sz val="12"/>
      <color indexed="8"/>
      <name val="Arial"/>
      <family val="2"/>
    </font>
    <font>
      <b/>
      <sz val="12"/>
      <color indexed="10"/>
      <name val="Arial"/>
      <family val="2"/>
    </font>
    <font>
      <sz val="8"/>
      <color indexed="10"/>
      <name val="Arial"/>
      <family val="2"/>
    </font>
    <font>
      <sz val="8"/>
      <name val="Arial"/>
      <family val="2"/>
    </font>
    <font>
      <b/>
      <sz val="11"/>
      <name val="Arial"/>
      <family val="2"/>
    </font>
    <font>
      <b/>
      <sz val="10"/>
      <name val="Arial"/>
      <family val="2"/>
    </font>
    <font>
      <sz val="9"/>
      <color indexed="8"/>
      <name val="Arial"/>
      <family val="2"/>
    </font>
    <font>
      <sz val="10"/>
      <color indexed="8"/>
      <name val="Arial"/>
      <family val="2"/>
    </font>
    <font>
      <b/>
      <vertAlign val="subscript"/>
      <sz val="11"/>
      <name val="Trebuchet MS"/>
      <family val="2"/>
    </font>
    <font>
      <b/>
      <sz val="11"/>
      <name val="Trebuchet MS"/>
      <family val="2"/>
    </font>
    <font>
      <sz val="9"/>
      <name val="Arial"/>
      <family val="2"/>
    </font>
    <font>
      <sz val="11"/>
      <color indexed="48"/>
      <name val="Arial"/>
      <family val="2"/>
    </font>
    <font>
      <b/>
      <sz val="10"/>
      <color indexed="12"/>
      <name val="Arial"/>
      <family val="2"/>
    </font>
    <font>
      <b/>
      <sz val="12"/>
      <color indexed="12"/>
      <name val="Arial"/>
      <family val="2"/>
    </font>
    <font>
      <b/>
      <sz val="12"/>
      <name val="Arial"/>
      <family val="2"/>
    </font>
    <font>
      <sz val="11"/>
      <name val="Arial"/>
      <family val="2"/>
    </font>
    <font>
      <sz val="12"/>
      <name val="Arial"/>
      <family val="2"/>
    </font>
    <font>
      <b/>
      <sz val="11"/>
      <color indexed="10"/>
      <name val="Arial"/>
      <family val="2"/>
    </font>
    <font>
      <b/>
      <sz val="9"/>
      <name val="Arial"/>
      <family val="2"/>
    </font>
    <font>
      <sz val="11"/>
      <name val="Trebuchet MS"/>
      <family val="2"/>
    </font>
    <font>
      <i/>
      <sz val="10"/>
      <name val="Arial"/>
      <family val="2"/>
    </font>
    <font>
      <b/>
      <u/>
      <sz val="12"/>
      <color indexed="8"/>
      <name val="Arial"/>
      <family val="2"/>
    </font>
    <font>
      <sz val="14"/>
      <name val="Arial"/>
      <family val="2"/>
    </font>
    <font>
      <b/>
      <sz val="14"/>
      <name val="Arial"/>
      <family val="2"/>
    </font>
    <font>
      <b/>
      <sz val="60"/>
      <color indexed="21"/>
      <name val="Calibri"/>
      <family val="2"/>
    </font>
    <font>
      <u/>
      <sz val="10"/>
      <color indexed="12"/>
      <name val="Arial"/>
      <family val="2"/>
    </font>
    <font>
      <u/>
      <sz val="18"/>
      <color indexed="12"/>
      <name val="Arial"/>
      <family val="2"/>
    </font>
    <font>
      <b/>
      <sz val="16"/>
      <name val="Arial"/>
      <family val="2"/>
    </font>
    <font>
      <sz val="16"/>
      <name val="Arial"/>
      <family val="2"/>
    </font>
    <font>
      <sz val="14"/>
      <color indexed="8"/>
      <name val="Arial"/>
      <family val="2"/>
    </font>
    <font>
      <b/>
      <sz val="14"/>
      <color indexed="8"/>
      <name val="Arial"/>
      <family val="2"/>
    </font>
    <font>
      <sz val="12"/>
      <color indexed="8"/>
      <name val="Arial"/>
      <family val="2"/>
    </font>
    <font>
      <u/>
      <sz val="12"/>
      <color indexed="12"/>
      <name val="Arial"/>
      <family val="2"/>
    </font>
    <font>
      <sz val="36"/>
      <color indexed="12"/>
      <name val="Arial"/>
      <family val="2"/>
    </font>
    <font>
      <b/>
      <sz val="10"/>
      <color indexed="8"/>
      <name val="Arial"/>
      <family val="2"/>
    </font>
    <font>
      <sz val="12"/>
      <color indexed="10"/>
      <name val="Arial"/>
      <family val="2"/>
    </font>
    <font>
      <b/>
      <sz val="9"/>
      <color indexed="8"/>
      <name val="Arial"/>
      <family val="2"/>
    </font>
    <font>
      <b/>
      <sz val="8"/>
      <name val="Arial"/>
      <family val="2"/>
    </font>
    <font>
      <b/>
      <vertAlign val="subscript"/>
      <sz val="9"/>
      <name val="Arial"/>
      <family val="2"/>
    </font>
    <font>
      <sz val="9"/>
      <color indexed="10"/>
      <name val="Arial"/>
      <family val="2"/>
    </font>
    <font>
      <b/>
      <sz val="10"/>
      <color indexed="10"/>
      <name val="Arial"/>
      <family val="2"/>
    </font>
    <font>
      <sz val="9"/>
      <name val="Times New Roman"/>
      <family val="1"/>
    </font>
    <font>
      <sz val="7"/>
      <name val="Arial"/>
      <family val="2"/>
    </font>
    <font>
      <b/>
      <sz val="16"/>
      <color indexed="8"/>
      <name val="Arial"/>
      <family val="2"/>
    </font>
    <font>
      <b/>
      <sz val="14"/>
      <color indexed="12"/>
      <name val="Arial"/>
      <family val="2"/>
    </font>
    <font>
      <sz val="16"/>
      <color indexed="12"/>
      <name val="Arial"/>
      <family val="2"/>
    </font>
    <font>
      <vertAlign val="subscript"/>
      <sz val="11"/>
      <color indexed="8"/>
      <name val="Arial"/>
      <family val="2"/>
    </font>
    <font>
      <vertAlign val="subscript"/>
      <sz val="12"/>
      <color indexed="8"/>
      <name val="Arial"/>
      <family val="2"/>
    </font>
    <font>
      <sz val="12"/>
      <color indexed="8"/>
      <name val="Profile-RegularItalic"/>
      <family val="4"/>
    </font>
    <font>
      <sz val="10"/>
      <color indexed="10"/>
      <name val="Arial"/>
      <family val="2"/>
    </font>
    <font>
      <vertAlign val="subscript"/>
      <sz val="10"/>
      <color indexed="8"/>
      <name val="Arial"/>
      <family val="2"/>
    </font>
    <font>
      <b/>
      <vertAlign val="subscript"/>
      <sz val="10"/>
      <color indexed="8"/>
      <name val="Arial"/>
      <family val="2"/>
    </font>
    <font>
      <vertAlign val="subscript"/>
      <sz val="14"/>
      <color indexed="10"/>
      <name val="Arial"/>
      <family val="2"/>
    </font>
    <font>
      <b/>
      <sz val="16"/>
      <color indexed="12"/>
      <name val="Arial"/>
      <family val="2"/>
    </font>
    <font>
      <sz val="28"/>
      <color indexed="12"/>
      <name val="Arial"/>
      <family val="2"/>
    </font>
    <font>
      <sz val="8"/>
      <color indexed="8"/>
      <name val="Arial"/>
      <family val="2"/>
    </font>
    <font>
      <b/>
      <vertAlign val="subscript"/>
      <sz val="14"/>
      <name val="Arial"/>
      <family val="2"/>
    </font>
    <font>
      <b/>
      <vertAlign val="subscript"/>
      <sz val="10"/>
      <name val="Arial"/>
      <family val="2"/>
    </font>
    <font>
      <b/>
      <vertAlign val="subscript"/>
      <sz val="8"/>
      <name val="Arial"/>
      <family val="2"/>
    </font>
    <font>
      <b/>
      <vertAlign val="superscript"/>
      <sz val="10"/>
      <color indexed="10"/>
      <name val="Arial"/>
      <family val="2"/>
    </font>
    <font>
      <u/>
      <sz val="9"/>
      <name val="Arial"/>
      <family val="2"/>
    </font>
    <font>
      <vertAlign val="superscript"/>
      <sz val="10"/>
      <color indexed="8"/>
      <name val="Arial"/>
      <family val="2"/>
    </font>
    <font>
      <vertAlign val="subscript"/>
      <sz val="10"/>
      <name val="Arial"/>
      <family val="2"/>
    </font>
    <font>
      <sz val="22"/>
      <color indexed="12"/>
      <name val="Arial"/>
      <family val="2"/>
    </font>
    <font>
      <sz val="12"/>
      <color indexed="12"/>
      <name val="Arial"/>
      <family val="2"/>
    </font>
    <font>
      <b/>
      <sz val="8"/>
      <color indexed="8"/>
      <name val="Arial"/>
      <family val="2"/>
    </font>
    <font>
      <sz val="24"/>
      <color indexed="12"/>
      <name val="Arial"/>
      <family val="2"/>
    </font>
    <font>
      <b/>
      <sz val="10"/>
      <name val="Mangal"/>
      <family val="1"/>
    </font>
    <font>
      <b/>
      <vertAlign val="superscript"/>
      <sz val="11"/>
      <name val="Arial"/>
      <family val="2"/>
    </font>
    <font>
      <b/>
      <vertAlign val="superscript"/>
      <sz val="12"/>
      <name val="Arial"/>
      <family val="2"/>
    </font>
    <font>
      <b/>
      <sz val="7"/>
      <name val="Arial"/>
      <family val="2"/>
    </font>
    <font>
      <b/>
      <i/>
      <sz val="7"/>
      <name val="Arial"/>
      <family val="2"/>
    </font>
    <font>
      <b/>
      <i/>
      <sz val="12"/>
      <name val="Arial"/>
      <family val="2"/>
    </font>
    <font>
      <b/>
      <vertAlign val="superscript"/>
      <sz val="10"/>
      <name val="Arial"/>
      <family val="2"/>
    </font>
    <font>
      <sz val="10"/>
      <name val="Arial"/>
      <family val="2"/>
    </font>
    <font>
      <b/>
      <sz val="10"/>
      <color indexed="17"/>
      <name val="Arial"/>
      <family val="2"/>
    </font>
    <font>
      <b/>
      <sz val="10"/>
      <color indexed="48"/>
      <name val="Arial"/>
      <family val="2"/>
    </font>
    <font>
      <b/>
      <sz val="11"/>
      <color indexed="48"/>
      <name val="Arial"/>
      <family val="2"/>
    </font>
    <font>
      <b/>
      <sz val="12"/>
      <color indexed="10"/>
      <name val="Arial"/>
      <family val="2"/>
    </font>
    <font>
      <b/>
      <sz val="12"/>
      <name val="Arial"/>
      <family val="2"/>
      <charset val="1"/>
    </font>
    <font>
      <b/>
      <sz val="14"/>
      <name val="Arial"/>
      <family val="2"/>
      <charset val="1"/>
    </font>
    <font>
      <sz val="10"/>
      <name val="Arial"/>
      <family val="2"/>
      <charset val="1"/>
    </font>
    <font>
      <sz val="10"/>
      <name val="Mangal"/>
      <family val="2"/>
      <charset val="1"/>
    </font>
    <font>
      <sz val="12"/>
      <name val="Arial"/>
      <family val="2"/>
      <charset val="1"/>
    </font>
    <font>
      <sz val="10"/>
      <name val="Arial"/>
      <family val="2"/>
    </font>
    <font>
      <b/>
      <sz val="14"/>
      <name val="Trebuchet MS"/>
      <family val="2"/>
    </font>
    <font>
      <sz val="10"/>
      <name val="Arial"/>
      <family val="2"/>
    </font>
    <font>
      <sz val="6"/>
      <name val="Arial"/>
      <family val="2"/>
    </font>
    <font>
      <i/>
      <sz val="12"/>
      <name val="Arial"/>
      <family val="2"/>
    </font>
    <font>
      <sz val="10"/>
      <color indexed="9"/>
      <name val="Arial"/>
      <family val="2"/>
    </font>
    <font>
      <b/>
      <sz val="14"/>
      <color indexed="9"/>
      <name val="Arial"/>
      <family val="2"/>
    </font>
    <font>
      <sz val="12"/>
      <color indexed="9"/>
      <name val="Arial"/>
      <family val="2"/>
    </font>
    <font>
      <b/>
      <sz val="11"/>
      <color indexed="9"/>
      <name val="Trebuchet MS"/>
      <family val="2"/>
    </font>
    <font>
      <b/>
      <vertAlign val="subscript"/>
      <sz val="11"/>
      <color indexed="9"/>
      <name val="Trebuchet MS"/>
      <family val="2"/>
    </font>
    <font>
      <sz val="9"/>
      <name val="Trebuchet MS"/>
      <family val="2"/>
    </font>
    <font>
      <sz val="14"/>
      <color indexed="9"/>
      <name val="Arial"/>
      <family val="2"/>
    </font>
    <font>
      <b/>
      <sz val="12"/>
      <color indexed="9"/>
      <name val="Arial"/>
      <family val="2"/>
    </font>
    <font>
      <b/>
      <sz val="18"/>
      <color indexed="9"/>
      <name val="Arial"/>
      <family val="2"/>
    </font>
    <font>
      <b/>
      <sz val="22"/>
      <color indexed="9"/>
      <name val="Arial"/>
      <family val="2"/>
    </font>
    <font>
      <b/>
      <sz val="20"/>
      <color indexed="9"/>
      <name val="Arial"/>
      <family val="2"/>
    </font>
    <font>
      <b/>
      <vertAlign val="subscript"/>
      <sz val="11"/>
      <name val="Arial"/>
      <family val="2"/>
    </font>
    <font>
      <b/>
      <sz val="24"/>
      <color indexed="9"/>
      <name val="Arial"/>
      <family val="2"/>
    </font>
    <font>
      <b/>
      <sz val="12"/>
      <color indexed="21"/>
      <name val="Arial"/>
      <family val="2"/>
    </font>
    <font>
      <sz val="12"/>
      <color indexed="21"/>
      <name val="Arial"/>
      <family val="2"/>
    </font>
    <font>
      <sz val="12"/>
      <color indexed="9"/>
      <name val="Arial"/>
      <family val="2"/>
    </font>
    <font>
      <b/>
      <sz val="16"/>
      <color indexed="9"/>
      <name val="Arial"/>
      <family val="2"/>
    </font>
    <font>
      <sz val="9"/>
      <color indexed="21"/>
      <name val="Arial"/>
      <family val="2"/>
    </font>
    <font>
      <b/>
      <sz val="12"/>
      <color indexed="9"/>
      <name val="Arial"/>
      <family val="2"/>
    </font>
    <font>
      <b/>
      <vertAlign val="subscript"/>
      <sz val="9"/>
      <color indexed="9"/>
      <name val="Arial"/>
      <family val="2"/>
    </font>
    <font>
      <sz val="9"/>
      <color indexed="9"/>
      <name val="Arial"/>
      <family val="2"/>
    </font>
    <font>
      <b/>
      <sz val="18"/>
      <color indexed="9"/>
      <name val="Arial"/>
      <family val="2"/>
    </font>
    <font>
      <b/>
      <sz val="9"/>
      <color indexed="9"/>
      <name val="Arial"/>
      <family val="2"/>
    </font>
    <font>
      <b/>
      <sz val="12"/>
      <color indexed="12"/>
      <name val="Arial"/>
      <family val="2"/>
    </font>
    <font>
      <sz val="11"/>
      <color indexed="12"/>
      <name val="Arial"/>
      <family val="2"/>
    </font>
    <font>
      <sz val="12"/>
      <color indexed="12"/>
      <name val="Arial"/>
      <family val="2"/>
    </font>
    <font>
      <sz val="10"/>
      <color indexed="9"/>
      <name val="Arial"/>
      <family val="2"/>
    </font>
    <font>
      <b/>
      <sz val="14"/>
      <color indexed="9"/>
      <name val="Arial"/>
      <family val="2"/>
    </font>
    <font>
      <b/>
      <sz val="22"/>
      <color indexed="9"/>
      <name val="Arial"/>
      <family val="2"/>
    </font>
    <font>
      <b/>
      <sz val="20"/>
      <color indexed="9"/>
      <name val="Arial"/>
      <family val="2"/>
    </font>
    <font>
      <b/>
      <sz val="48"/>
      <color indexed="9"/>
      <name val="Calibri"/>
      <family val="2"/>
    </font>
    <font>
      <b/>
      <sz val="10"/>
      <color indexed="9"/>
      <name val="Arial"/>
      <family val="2"/>
    </font>
    <font>
      <b/>
      <sz val="11"/>
      <color indexed="9"/>
      <name val="Trebuchet MS"/>
      <family val="2"/>
    </font>
    <font>
      <sz val="26"/>
      <color indexed="12"/>
      <name val="Arial"/>
      <family val="2"/>
    </font>
    <font>
      <sz val="16"/>
      <color indexed="8"/>
      <name val="Arial"/>
      <family val="2"/>
    </font>
    <font>
      <b/>
      <u/>
      <sz val="14"/>
      <color indexed="12"/>
      <name val="Arial"/>
      <family val="2"/>
    </font>
    <font>
      <b/>
      <u/>
      <sz val="14"/>
      <name val="Arial"/>
      <family val="2"/>
    </font>
    <font>
      <b/>
      <sz val="20"/>
      <name val="Arial"/>
      <family val="2"/>
    </font>
    <font>
      <b/>
      <sz val="9"/>
      <name val="Trebuchet MS"/>
      <family val="2"/>
    </font>
    <font>
      <b/>
      <vertAlign val="subscript"/>
      <sz val="9"/>
      <name val="Trebuchet MS"/>
      <family val="2"/>
    </font>
    <font>
      <vertAlign val="subscript"/>
      <sz val="8"/>
      <name val="Arial"/>
      <family val="2"/>
    </font>
    <font>
      <vertAlign val="superscript"/>
      <sz val="12"/>
      <name val="Arial"/>
      <family val="2"/>
    </font>
    <font>
      <b/>
      <sz val="9"/>
      <color indexed="10"/>
      <name val="Arial"/>
      <family val="2"/>
    </font>
    <font>
      <b/>
      <sz val="20"/>
      <color indexed="12"/>
      <name val="Arial"/>
      <family val="2"/>
    </font>
    <font>
      <sz val="11"/>
      <color theme="1"/>
      <name val="Arial"/>
      <family val="2"/>
    </font>
    <font>
      <b/>
      <sz val="11"/>
      <color rgb="FF333399"/>
      <name val="Arial"/>
      <family val="2"/>
      <charset val="1"/>
    </font>
    <font>
      <u/>
      <sz val="10"/>
      <color rgb="FF0000FF"/>
      <name val="Arial"/>
      <family val="2"/>
      <charset val="1"/>
    </font>
    <font>
      <b/>
      <sz val="11"/>
      <color rgb="FF0000FF"/>
      <name val="Arial"/>
      <family val="2"/>
    </font>
    <font>
      <b/>
      <sz val="11"/>
      <color theme="1"/>
      <name val="Arial"/>
      <family val="2"/>
    </font>
    <font>
      <sz val="10"/>
      <color theme="1"/>
      <name val="Arial"/>
      <family val="2"/>
    </font>
    <font>
      <sz val="9"/>
      <color theme="1"/>
      <name val="Arial"/>
      <family val="2"/>
    </font>
    <font>
      <vertAlign val="superscript"/>
      <sz val="10"/>
      <color theme="1"/>
      <name val="Arial"/>
      <family val="2"/>
    </font>
    <font>
      <b/>
      <sz val="12"/>
      <color theme="1"/>
      <name val="Arial"/>
      <family val="2"/>
    </font>
    <font>
      <vertAlign val="subscript"/>
      <sz val="9"/>
      <name val="Arial"/>
      <family val="2"/>
    </font>
    <font>
      <i/>
      <sz val="10"/>
      <color theme="1"/>
      <name val="Arial"/>
      <family val="2"/>
    </font>
    <font>
      <i/>
      <sz val="11"/>
      <color theme="1"/>
      <name val="Arial"/>
      <family val="2"/>
    </font>
    <font>
      <sz val="12"/>
      <color theme="1"/>
      <name val="Arial"/>
      <family val="2"/>
    </font>
    <font>
      <b/>
      <sz val="16"/>
      <color rgb="FFFF0000"/>
      <name val="Arial"/>
      <family val="2"/>
    </font>
    <font>
      <b/>
      <sz val="14"/>
      <name val="Calibri"/>
      <family val="2"/>
      <scheme val="minor"/>
    </font>
    <font>
      <b/>
      <sz val="12"/>
      <name val="Calibri"/>
      <family val="2"/>
      <scheme val="minor"/>
    </font>
    <font>
      <b/>
      <sz val="10"/>
      <name val="Calibri"/>
      <family val="2"/>
      <scheme val="minor"/>
    </font>
    <font>
      <b/>
      <sz val="14"/>
      <color rgb="FFFF0000"/>
      <name val="Arial"/>
      <family val="2"/>
    </font>
    <font>
      <b/>
      <sz val="15"/>
      <color indexed="9"/>
      <name val="Arial"/>
      <family val="2"/>
    </font>
    <font>
      <b/>
      <sz val="10"/>
      <color theme="1"/>
      <name val="Arial"/>
      <family val="2"/>
    </font>
    <font>
      <b/>
      <sz val="8"/>
      <color theme="1"/>
      <name val="Arial"/>
      <family val="2"/>
    </font>
    <font>
      <b/>
      <sz val="16"/>
      <name val="Calibri"/>
      <family val="2"/>
      <scheme val="minor"/>
    </font>
    <font>
      <sz val="8"/>
      <color rgb="FF000000"/>
      <name val="Segoe UI"/>
      <family val="2"/>
    </font>
    <font>
      <sz val="8"/>
      <color rgb="FF000000"/>
      <name val="Tahoma"/>
      <family val="2"/>
    </font>
    <font>
      <sz val="10"/>
      <color rgb="FF000000"/>
      <name val="Arial"/>
      <family val="2"/>
    </font>
    <font>
      <b/>
      <u/>
      <sz val="12"/>
      <name val="Arial"/>
      <family val="2"/>
    </font>
    <font>
      <b/>
      <sz val="18"/>
      <name val="Arial"/>
      <family val="2"/>
    </font>
    <font>
      <b/>
      <u/>
      <sz val="10"/>
      <name val="Arial"/>
      <family val="2"/>
    </font>
    <font>
      <b/>
      <sz val="9"/>
      <color indexed="81"/>
      <name val="Segoe UI"/>
      <family val="2"/>
    </font>
    <font>
      <sz val="12"/>
      <color rgb="FFFF0000"/>
      <name val="Arial"/>
      <family val="2"/>
    </font>
    <font>
      <b/>
      <sz val="10"/>
      <color rgb="FFFF0000"/>
      <name val="Arial"/>
      <family val="2"/>
    </font>
    <font>
      <b/>
      <u/>
      <sz val="10"/>
      <color rgb="FFFF0000"/>
      <name val="Arial"/>
      <family val="2"/>
    </font>
    <font>
      <b/>
      <sz val="11"/>
      <color rgb="FFFF0000"/>
      <name val="Arial"/>
      <family val="2"/>
    </font>
    <font>
      <b/>
      <sz val="12"/>
      <color theme="0"/>
      <name val="Arial"/>
      <family val="2"/>
    </font>
    <font>
      <b/>
      <u/>
      <sz val="10"/>
      <color theme="0"/>
      <name val="Arial"/>
      <family val="2"/>
    </font>
    <font>
      <u/>
      <sz val="10"/>
      <color theme="0"/>
      <name val="Arial"/>
      <family val="2"/>
    </font>
    <font>
      <u/>
      <sz val="12"/>
      <color rgb="FF0070C0"/>
      <name val="Arial"/>
      <family val="2"/>
    </font>
    <font>
      <b/>
      <u/>
      <sz val="11"/>
      <color theme="3"/>
      <name val="Arial"/>
      <family val="2"/>
    </font>
    <font>
      <b/>
      <sz val="10"/>
      <color theme="0"/>
      <name val="Arial"/>
      <family val="2"/>
    </font>
    <font>
      <sz val="10"/>
      <color theme="1"/>
      <name val="Arial"/>
      <family val="2"/>
    </font>
    <font>
      <sz val="9"/>
      <color indexed="8"/>
      <name val="Segoe UI Symbol"/>
      <family val="2"/>
    </font>
    <font>
      <sz val="10"/>
      <color theme="1"/>
      <name val="Arial"/>
      <family val="2"/>
    </font>
    <font>
      <vertAlign val="superscript"/>
      <sz val="11"/>
      <color theme="1"/>
      <name val="Arial"/>
      <family val="2"/>
    </font>
    <font>
      <sz val="10"/>
      <color theme="1"/>
      <name val="Arial"/>
      <family val="2"/>
    </font>
    <font>
      <b/>
      <sz val="8"/>
      <color indexed="81"/>
      <name val="Segoe UI"/>
      <family val="2"/>
    </font>
    <font>
      <b/>
      <u/>
      <sz val="11"/>
      <name val="Arial"/>
      <family val="2"/>
    </font>
    <font>
      <b/>
      <sz val="14"/>
      <color theme="1"/>
      <name val="Arial"/>
      <family val="2"/>
    </font>
    <font>
      <b/>
      <sz val="16"/>
      <color theme="1"/>
      <name val="Arial"/>
      <family val="2"/>
    </font>
    <font>
      <vertAlign val="superscript"/>
      <sz val="11"/>
      <name val="Arial"/>
      <family val="2"/>
    </font>
    <font>
      <vertAlign val="superscript"/>
      <sz val="10"/>
      <name val="Arial"/>
      <family val="2"/>
    </font>
    <font>
      <sz val="9"/>
      <color indexed="81"/>
      <name val="Segoe UI"/>
      <family val="2"/>
    </font>
    <font>
      <sz val="8"/>
      <color indexed="81"/>
      <name val="Segoe UI"/>
      <family val="2"/>
    </font>
    <font>
      <b/>
      <sz val="14"/>
      <color theme="0"/>
      <name val="Arial"/>
      <family val="2"/>
    </font>
    <font>
      <b/>
      <sz val="12"/>
      <name val="Calibri"/>
      <family val="2"/>
    </font>
    <font>
      <b/>
      <sz val="18"/>
      <name val="Arial"/>
      <family val="2"/>
      <charset val="1"/>
    </font>
    <font>
      <sz val="9"/>
      <color rgb="FFFF0000"/>
      <name val="Arial"/>
      <family val="2"/>
    </font>
    <font>
      <sz val="10"/>
      <color rgb="FF0000FF"/>
      <name val="Arial"/>
      <family val="2"/>
    </font>
    <font>
      <sz val="11"/>
      <color rgb="FF0000FF"/>
      <name val="Arial"/>
      <family val="2"/>
    </font>
    <font>
      <b/>
      <sz val="14"/>
      <color rgb="FF008000"/>
      <name val="Arial"/>
      <family val="2"/>
    </font>
    <font>
      <sz val="8"/>
      <color rgb="FFFF0000"/>
      <name val="Arial"/>
      <family val="2"/>
    </font>
    <font>
      <sz val="13"/>
      <color rgb="FFFF0000"/>
      <name val="Arial"/>
      <family val="2"/>
    </font>
    <font>
      <sz val="20"/>
      <name val="Arial"/>
      <family val="2"/>
    </font>
    <font>
      <b/>
      <sz val="10"/>
      <color indexed="81"/>
      <name val="Segoe UI"/>
      <family val="2"/>
    </font>
    <font>
      <sz val="20"/>
      <color theme="1"/>
      <name val="Calibri"/>
      <family val="2"/>
      <scheme val="minor"/>
    </font>
    <font>
      <b/>
      <sz val="16"/>
      <color theme="0"/>
      <name val="Arial"/>
      <family val="2"/>
    </font>
    <font>
      <sz val="12"/>
      <color rgb="FF333333"/>
      <name val="Verdana"/>
      <family val="2"/>
    </font>
    <font>
      <sz val="10"/>
      <color theme="1"/>
      <name val="Arial"/>
      <family val="2"/>
    </font>
    <font>
      <b/>
      <vertAlign val="subscript"/>
      <sz val="12"/>
      <name val="Arial"/>
      <family val="2"/>
    </font>
    <font>
      <b/>
      <u/>
      <sz val="14"/>
      <color indexed="9"/>
      <name val="Arial"/>
      <family val="2"/>
    </font>
    <font>
      <i/>
      <sz val="9"/>
      <name val="Arial"/>
      <family val="2"/>
    </font>
    <font>
      <b/>
      <u/>
      <sz val="11"/>
      <color indexed="8"/>
      <name val="Arial"/>
      <family val="2"/>
    </font>
    <font>
      <b/>
      <u/>
      <sz val="14"/>
      <color indexed="8"/>
      <name val="Arial"/>
      <family val="2"/>
    </font>
    <font>
      <i/>
      <sz val="8"/>
      <name val="Arial"/>
      <family val="2"/>
    </font>
    <font>
      <vertAlign val="superscript"/>
      <sz val="8"/>
      <color indexed="8"/>
      <name val="Arial"/>
      <family val="2"/>
    </font>
    <font>
      <sz val="12"/>
      <color indexed="8"/>
      <name val="Arial"/>
      <family val="2"/>
    </font>
    <font>
      <b/>
      <sz val="10"/>
      <color theme="0"/>
      <name val="Arial"/>
      <family val="2"/>
    </font>
    <font>
      <u/>
      <sz val="11"/>
      <name val="Arial"/>
      <family val="2"/>
    </font>
    <font>
      <sz val="12"/>
      <name val="Arial"/>
      <family val="2"/>
    </font>
    <font>
      <sz val="12"/>
      <color indexed="8"/>
      <name val="Arial"/>
      <family val="2"/>
    </font>
  </fonts>
  <fills count="106">
    <fill>
      <patternFill patternType="none"/>
    </fill>
    <fill>
      <patternFill patternType="gray125"/>
    </fill>
    <fill>
      <patternFill patternType="solid">
        <fgColor indexed="49"/>
        <bgColor indexed="57"/>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4"/>
        <bgColor indexed="24"/>
      </patternFill>
    </fill>
    <fill>
      <patternFill patternType="solid">
        <fgColor indexed="13"/>
        <bgColor indexed="51"/>
      </patternFill>
    </fill>
    <fill>
      <patternFill patternType="solid">
        <fgColor indexed="27"/>
        <bgColor indexed="41"/>
      </patternFill>
    </fill>
    <fill>
      <patternFill patternType="solid">
        <fgColor indexed="26"/>
        <bgColor indexed="16"/>
      </patternFill>
    </fill>
    <fill>
      <patternFill patternType="solid">
        <fgColor indexed="26"/>
        <bgColor indexed="37"/>
      </patternFill>
    </fill>
    <fill>
      <patternFill patternType="solid">
        <fgColor indexed="14"/>
        <bgColor indexed="20"/>
      </patternFill>
    </fill>
    <fill>
      <patternFill patternType="solid">
        <fgColor indexed="55"/>
        <bgColor indexed="23"/>
      </patternFill>
    </fill>
    <fill>
      <patternFill patternType="solid">
        <fgColor indexed="22"/>
        <bgColor indexed="46"/>
      </patternFill>
    </fill>
    <fill>
      <patternFill patternType="solid">
        <fgColor indexed="9"/>
        <bgColor indexed="28"/>
      </patternFill>
    </fill>
    <fill>
      <patternFill patternType="solid">
        <fgColor indexed="61"/>
        <bgColor indexed="38"/>
      </patternFill>
    </fill>
    <fill>
      <patternFill patternType="solid">
        <fgColor indexed="61"/>
        <bgColor indexed="64"/>
      </patternFill>
    </fill>
    <fill>
      <patternFill patternType="solid">
        <fgColor indexed="27"/>
        <bgColor indexed="64"/>
      </patternFill>
    </fill>
    <fill>
      <patternFill patternType="solid">
        <fgColor indexed="26"/>
        <bgColor indexed="64"/>
      </patternFill>
    </fill>
    <fill>
      <patternFill patternType="solid">
        <fgColor indexed="9"/>
        <bgColor indexed="64"/>
      </patternFill>
    </fill>
    <fill>
      <patternFill patternType="solid">
        <fgColor indexed="27"/>
        <bgColor indexed="42"/>
      </patternFill>
    </fill>
    <fill>
      <patternFill patternType="solid">
        <fgColor indexed="46"/>
        <bgColor indexed="60"/>
      </patternFill>
    </fill>
    <fill>
      <patternFill patternType="solid">
        <fgColor indexed="27"/>
        <bgColor indexed="15"/>
      </patternFill>
    </fill>
    <fill>
      <patternFill patternType="solid">
        <fgColor indexed="61"/>
        <bgColor indexed="46"/>
      </patternFill>
    </fill>
    <fill>
      <patternFill patternType="solid">
        <fgColor indexed="61"/>
        <bgColor indexed="23"/>
      </patternFill>
    </fill>
    <fill>
      <patternFill patternType="solid">
        <fgColor indexed="61"/>
        <bgColor indexed="15"/>
      </patternFill>
    </fill>
    <fill>
      <patternFill patternType="solid">
        <fgColor indexed="21"/>
        <bgColor indexed="15"/>
      </patternFill>
    </fill>
    <fill>
      <patternFill patternType="solid">
        <fgColor indexed="61"/>
        <bgColor indexed="16"/>
      </patternFill>
    </fill>
    <fill>
      <patternFill patternType="solid">
        <fgColor indexed="42"/>
        <bgColor indexed="15"/>
      </patternFill>
    </fill>
    <fill>
      <patternFill patternType="solid">
        <fgColor indexed="35"/>
        <bgColor indexed="64"/>
      </patternFill>
    </fill>
    <fill>
      <patternFill patternType="solid">
        <fgColor indexed="61"/>
        <bgColor indexed="41"/>
      </patternFill>
    </fill>
    <fill>
      <patternFill patternType="solid">
        <fgColor indexed="55"/>
        <bgColor indexed="64"/>
      </patternFill>
    </fill>
    <fill>
      <patternFill patternType="solid">
        <fgColor indexed="55"/>
        <bgColor indexed="56"/>
      </patternFill>
    </fill>
    <fill>
      <patternFill patternType="solid">
        <fgColor indexed="55"/>
        <bgColor indexed="61"/>
      </patternFill>
    </fill>
    <fill>
      <patternFill patternType="solid">
        <fgColor indexed="22"/>
        <bgColor indexed="59"/>
      </patternFill>
    </fill>
    <fill>
      <patternFill patternType="solid">
        <fgColor indexed="42"/>
        <bgColor indexed="64"/>
      </patternFill>
    </fill>
    <fill>
      <patternFill patternType="solid">
        <fgColor indexed="9"/>
        <bgColor indexed="58"/>
      </patternFill>
    </fill>
    <fill>
      <patternFill patternType="solid">
        <fgColor indexed="22"/>
        <bgColor indexed="64"/>
      </patternFill>
    </fill>
    <fill>
      <patternFill patternType="solid">
        <fgColor indexed="55"/>
        <bgColor indexed="38"/>
      </patternFill>
    </fill>
    <fill>
      <patternFill patternType="solid">
        <fgColor indexed="55"/>
        <bgColor indexed="46"/>
      </patternFill>
    </fill>
    <fill>
      <patternFill patternType="solid">
        <fgColor indexed="55"/>
        <bgColor indexed="24"/>
      </patternFill>
    </fill>
    <fill>
      <patternFill patternType="solid">
        <fgColor indexed="22"/>
        <bgColor indexed="38"/>
      </patternFill>
    </fill>
    <fill>
      <patternFill patternType="solid">
        <fgColor indexed="48"/>
        <bgColor indexed="64"/>
      </patternFill>
    </fill>
    <fill>
      <patternFill patternType="solid">
        <fgColor indexed="48"/>
        <bgColor indexed="28"/>
      </patternFill>
    </fill>
    <fill>
      <patternFill patternType="solid">
        <fgColor indexed="48"/>
        <bgColor indexed="46"/>
      </patternFill>
    </fill>
    <fill>
      <patternFill patternType="solid">
        <fgColor indexed="22"/>
        <bgColor indexed="61"/>
      </patternFill>
    </fill>
    <fill>
      <patternFill patternType="solid">
        <fgColor indexed="41"/>
        <bgColor indexed="41"/>
      </patternFill>
    </fill>
    <fill>
      <patternFill patternType="solid">
        <fgColor indexed="22"/>
        <bgColor indexed="41"/>
      </patternFill>
    </fill>
    <fill>
      <patternFill patternType="solid">
        <fgColor indexed="41"/>
        <bgColor indexed="64"/>
      </patternFill>
    </fill>
    <fill>
      <patternFill patternType="solid">
        <fgColor indexed="61"/>
        <bgColor indexed="28"/>
      </patternFill>
    </fill>
    <fill>
      <patternFill patternType="solid">
        <fgColor theme="0" tint="-0.249977111117893"/>
        <bgColor indexed="46"/>
      </patternFill>
    </fill>
    <fill>
      <patternFill patternType="solid">
        <fgColor theme="0" tint="-0.249977111117893"/>
        <bgColor indexed="15"/>
      </patternFill>
    </fill>
    <fill>
      <patternFill patternType="solid">
        <fgColor rgb="FFFF9999"/>
        <bgColor indexed="46"/>
      </patternFill>
    </fill>
    <fill>
      <patternFill patternType="solid">
        <fgColor rgb="FFFF9999"/>
        <bgColor indexed="28"/>
      </patternFill>
    </fill>
    <fill>
      <patternFill patternType="solid">
        <fgColor theme="0" tint="-0.249977111117893"/>
        <bgColor indexed="64"/>
      </patternFill>
    </fill>
    <fill>
      <patternFill patternType="solid">
        <fgColor theme="0" tint="-0.14999847407452621"/>
        <bgColor indexed="28"/>
      </patternFill>
    </fill>
    <fill>
      <patternFill patternType="solid">
        <fgColor theme="0" tint="-0.14999847407452621"/>
        <bgColor indexed="64"/>
      </patternFill>
    </fill>
    <fill>
      <patternFill patternType="solid">
        <fgColor theme="0" tint="-0.14999847407452621"/>
        <bgColor indexed="16"/>
      </patternFill>
    </fill>
    <fill>
      <patternFill patternType="solid">
        <fgColor theme="0" tint="-0.14999847407452621"/>
        <bgColor indexed="38"/>
      </patternFill>
    </fill>
    <fill>
      <patternFill patternType="solid">
        <fgColor theme="0" tint="-0.14999847407452621"/>
        <bgColor indexed="59"/>
      </patternFill>
    </fill>
    <fill>
      <patternFill patternType="solid">
        <fgColor theme="0" tint="-0.14999847407452621"/>
        <bgColor indexed="61"/>
      </patternFill>
    </fill>
    <fill>
      <patternFill patternType="solid">
        <fgColor theme="0" tint="-0.14999847407452621"/>
        <bgColor indexed="56"/>
      </patternFill>
    </fill>
    <fill>
      <patternFill patternType="solid">
        <fgColor theme="0" tint="-0.14999847407452621"/>
        <bgColor indexed="15"/>
      </patternFill>
    </fill>
    <fill>
      <patternFill patternType="solid">
        <fgColor theme="0" tint="-0.14999847407452621"/>
        <bgColor indexed="22"/>
      </patternFill>
    </fill>
    <fill>
      <patternFill patternType="solid">
        <fgColor rgb="FFFFFFCC"/>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CCFFCC"/>
        <bgColor indexed="64"/>
      </patternFill>
    </fill>
    <fill>
      <patternFill patternType="solid">
        <fgColor theme="0"/>
        <bgColor indexed="64"/>
      </patternFill>
    </fill>
    <fill>
      <patternFill patternType="solid">
        <fgColor rgb="FFCCFFFF"/>
        <bgColor indexed="64"/>
      </patternFill>
    </fill>
    <fill>
      <patternFill patternType="solid">
        <fgColor rgb="FFFFC00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lightUp">
        <fgColor theme="1"/>
        <bgColor theme="0"/>
      </patternFill>
    </fill>
    <fill>
      <patternFill patternType="solid">
        <fgColor rgb="FFD9D9D9"/>
        <bgColor theme="0"/>
      </patternFill>
    </fill>
    <fill>
      <patternFill patternType="solid">
        <fgColor rgb="FFFFFFCC"/>
        <bgColor theme="0"/>
      </patternFill>
    </fill>
    <fill>
      <patternFill patternType="solid">
        <fgColor theme="8" tint="0.79998168889431442"/>
        <bgColor indexed="38"/>
      </patternFill>
    </fill>
    <fill>
      <patternFill patternType="solid">
        <fgColor rgb="FFCCFF99"/>
        <bgColor indexed="64"/>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theme="5"/>
        <bgColor theme="5"/>
      </patternFill>
    </fill>
    <fill>
      <patternFill patternType="solid">
        <fgColor theme="5" tint="0.59999389629810485"/>
        <bgColor theme="5" tint="0.59999389629810485"/>
      </patternFill>
    </fill>
    <fill>
      <patternFill patternType="solid">
        <fgColor theme="5" tint="0.79998168889431442"/>
        <bgColor theme="5" tint="0.79998168889431442"/>
      </patternFill>
    </fill>
    <fill>
      <patternFill patternType="solid">
        <fgColor rgb="FFCCFFCC"/>
        <bgColor indexed="16"/>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gradientFill degree="90">
        <stop position="0">
          <color theme="0"/>
        </stop>
        <stop position="1">
          <color rgb="FFFFC000"/>
        </stop>
      </gradientFill>
    </fill>
    <fill>
      <gradientFill degree="90">
        <stop position="0">
          <color theme="0"/>
        </stop>
        <stop position="1">
          <color theme="6"/>
        </stop>
      </gradientFill>
    </fill>
    <fill>
      <patternFill patternType="solid">
        <fgColor theme="6"/>
        <bgColor theme="6"/>
      </patternFill>
    </fill>
    <fill>
      <patternFill patternType="solid">
        <fgColor theme="6" tint="0.59996337778862885"/>
        <bgColor indexed="64"/>
      </patternFill>
    </fill>
    <fill>
      <patternFill patternType="solid">
        <fgColor rgb="FF3366FF"/>
        <bgColor indexed="64"/>
      </patternFill>
    </fill>
    <fill>
      <patternFill patternType="solid">
        <fgColor theme="0" tint="-0.14999847407452621"/>
        <bgColor indexed="46"/>
      </patternFill>
    </fill>
    <fill>
      <patternFill patternType="solid">
        <fgColor theme="0" tint="-0.14999847407452621"/>
        <bgColor indexed="31"/>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CCFFFF"/>
        <bgColor indexed="27"/>
      </patternFill>
    </fill>
    <fill>
      <gradientFill degree="90">
        <stop position="0">
          <color rgb="FFCCFFFF"/>
        </stop>
        <stop position="1">
          <color rgb="FFFFFFCC"/>
        </stop>
      </gradientFill>
    </fill>
    <fill>
      <patternFill patternType="solid">
        <fgColor rgb="FFFFFFCC"/>
        <bgColor auto="1"/>
      </patternFill>
    </fill>
    <fill>
      <patternFill patternType="solid">
        <fgColor rgb="FFCCFFFF"/>
        <bgColor indexed="38"/>
      </patternFill>
    </fill>
    <fill>
      <patternFill patternType="solid">
        <fgColor rgb="FFCCFFFF"/>
        <bgColor indexed="61"/>
      </patternFill>
    </fill>
    <fill>
      <gradientFill degree="90">
        <stop position="0">
          <color rgb="FFFFFFCC"/>
        </stop>
        <stop position="1">
          <color rgb="FFCCFFCC"/>
        </stop>
      </gradientFill>
    </fill>
    <fill>
      <patternFill patternType="solid">
        <fgColor theme="0" tint="-0.14996795556505021"/>
        <bgColor indexed="64"/>
      </patternFill>
    </fill>
  </fills>
  <borders count="47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thin">
        <color indexed="8"/>
      </right>
      <top style="thin">
        <color indexed="8"/>
      </top>
      <bottom/>
      <diagonal/>
    </border>
    <border>
      <left style="medium">
        <color indexed="8"/>
      </left>
      <right style="thin">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style="thin">
        <color indexed="8"/>
      </right>
      <top/>
      <bottom style="thin">
        <color indexed="8"/>
      </bottom>
      <diagonal/>
    </border>
    <border>
      <left style="thin">
        <color indexed="8"/>
      </left>
      <right/>
      <top/>
      <bottom/>
      <diagonal/>
    </border>
    <border>
      <left/>
      <right style="thin">
        <color indexed="8"/>
      </right>
      <top/>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top style="thin">
        <color indexed="8"/>
      </top>
      <bottom/>
      <diagonal/>
    </border>
    <border>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medium">
        <color indexed="8"/>
      </top>
      <bottom style="medium">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thin">
        <color indexed="8"/>
      </left>
      <right style="thin">
        <color indexed="8"/>
      </right>
      <top style="thin">
        <color indexed="8"/>
      </top>
      <bottom style="hair">
        <color indexed="8"/>
      </bottom>
      <diagonal/>
    </border>
    <border>
      <left/>
      <right style="medium">
        <color indexed="8"/>
      </right>
      <top/>
      <bottom style="thin">
        <color indexed="8"/>
      </bottom>
      <diagonal/>
    </border>
    <border diagonalUp="1">
      <left style="thin">
        <color indexed="8"/>
      </left>
      <right style="medium">
        <color indexed="8"/>
      </right>
      <top style="thin">
        <color indexed="8"/>
      </top>
      <bottom style="thin">
        <color indexed="8"/>
      </bottom>
      <diagonal style="thin">
        <color indexed="8"/>
      </diagonal>
    </border>
    <border diagonalUp="1">
      <left style="medium">
        <color indexed="8"/>
      </left>
      <right style="thin">
        <color indexed="8"/>
      </right>
      <top style="thin">
        <color indexed="8"/>
      </top>
      <bottom style="thin">
        <color indexed="8"/>
      </bottom>
      <diagonal style="thin">
        <color indexed="8"/>
      </diagonal>
    </border>
    <border diagonalUp="1">
      <left style="medium">
        <color indexed="8"/>
      </left>
      <right/>
      <top style="thin">
        <color indexed="8"/>
      </top>
      <bottom style="thin">
        <color indexed="8"/>
      </bottom>
      <diagonal style="thin">
        <color indexed="8"/>
      </diagonal>
    </border>
    <border diagonalUp="1">
      <left style="medium">
        <color indexed="8"/>
      </left>
      <right/>
      <top style="thin">
        <color indexed="8"/>
      </top>
      <bottom style="medium">
        <color indexed="8"/>
      </bottom>
      <diagonal style="thin">
        <color indexed="8"/>
      </diagonal>
    </border>
    <border diagonalUp="1">
      <left style="thin">
        <color indexed="8"/>
      </left>
      <right style="medium">
        <color indexed="8"/>
      </right>
      <top style="thin">
        <color indexed="8"/>
      </top>
      <bottom style="medium">
        <color indexed="8"/>
      </bottom>
      <diagonal style="thin">
        <color indexed="8"/>
      </diagonal>
    </border>
    <border diagonalUp="1">
      <left style="medium">
        <color indexed="8"/>
      </left>
      <right style="thin">
        <color indexed="8"/>
      </right>
      <top style="thin">
        <color indexed="8"/>
      </top>
      <bottom style="medium">
        <color indexed="8"/>
      </bottom>
      <diagonal style="thin">
        <color indexed="8"/>
      </diagonal>
    </border>
    <border>
      <left/>
      <right style="medium">
        <color indexed="8"/>
      </right>
      <top style="thin">
        <color indexed="8"/>
      </top>
      <bottom style="medium">
        <color indexed="8"/>
      </bottom>
      <diagonal/>
    </border>
    <border>
      <left/>
      <right/>
      <top style="medium">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8"/>
      </left>
      <right style="medium">
        <color indexed="8"/>
      </right>
      <top style="thin">
        <color indexed="8"/>
      </top>
      <bottom style="medium">
        <color indexed="8"/>
      </bottom>
      <diagonal/>
    </border>
    <border>
      <left style="hair">
        <color indexed="8"/>
      </left>
      <right style="hair">
        <color indexed="8"/>
      </right>
      <top style="hair">
        <color indexed="8"/>
      </top>
      <bottom style="hair">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23"/>
      </right>
      <top style="thin">
        <color indexed="23"/>
      </top>
      <bottom style="thin">
        <color indexed="23"/>
      </bottom>
      <diagonal/>
    </border>
    <border>
      <left style="thin">
        <color indexed="23"/>
      </left>
      <right/>
      <top/>
      <bottom/>
      <diagonal/>
    </border>
    <border>
      <left style="thin">
        <color indexed="8"/>
      </left>
      <right style="thin">
        <color indexed="8"/>
      </right>
      <top/>
      <bottom/>
      <diagonal/>
    </border>
    <border>
      <left/>
      <right style="thin">
        <color indexed="23"/>
      </right>
      <top/>
      <bottom/>
      <diagonal/>
    </border>
    <border>
      <left/>
      <right/>
      <top style="thin">
        <color indexed="64"/>
      </top>
      <bottom style="thin">
        <color indexed="64"/>
      </bottom>
      <diagonal/>
    </border>
    <border>
      <left style="medium">
        <color indexed="64"/>
      </left>
      <right/>
      <top style="medium">
        <color indexed="64"/>
      </top>
      <bottom/>
      <diagonal/>
    </border>
    <border>
      <left/>
      <right/>
      <top style="thin">
        <color indexed="64"/>
      </top>
      <bottom/>
      <diagonal/>
    </border>
    <border>
      <left style="medium">
        <color indexed="8"/>
      </left>
      <right/>
      <top style="medium">
        <color indexed="8"/>
      </top>
      <bottom style="medium">
        <color indexed="8"/>
      </bottom>
      <diagonal/>
    </border>
    <border>
      <left style="medium">
        <color indexed="8"/>
      </left>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style="medium">
        <color indexed="8"/>
      </right>
      <top style="thin">
        <color indexed="8"/>
      </top>
      <bottom/>
      <diagonal/>
    </border>
    <border diagonalUp="1">
      <left style="thin">
        <color indexed="8"/>
      </left>
      <right style="thin">
        <color indexed="8"/>
      </right>
      <top/>
      <bottom style="thin">
        <color indexed="8"/>
      </bottom>
      <diagonal style="thin">
        <color indexed="8"/>
      </diagonal>
    </border>
    <border>
      <left/>
      <right/>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medium">
        <color indexed="64"/>
      </left>
      <right style="medium">
        <color indexed="8"/>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8"/>
      </right>
      <top style="medium">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8"/>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medium">
        <color indexed="64"/>
      </bottom>
      <diagonal/>
    </border>
    <border>
      <left style="medium">
        <color indexed="8"/>
      </left>
      <right/>
      <top/>
      <bottom/>
      <diagonal/>
    </border>
    <border>
      <left/>
      <right style="medium">
        <color indexed="8"/>
      </right>
      <top/>
      <bottom/>
      <diagonal/>
    </border>
    <border>
      <left/>
      <right style="thin">
        <color indexed="64"/>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64"/>
      </bottom>
      <diagonal/>
    </border>
    <border>
      <left/>
      <right style="thin">
        <color indexed="64"/>
      </right>
      <top style="thin">
        <color indexed="8"/>
      </top>
      <bottom style="thin">
        <color indexed="8"/>
      </bottom>
      <diagonal/>
    </border>
    <border>
      <left style="thin">
        <color indexed="64"/>
      </left>
      <right style="thin">
        <color indexed="8"/>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diagonal/>
    </border>
    <border>
      <left/>
      <right style="medium">
        <color indexed="8"/>
      </right>
      <top/>
      <bottom style="medium">
        <color indexed="8"/>
      </bottom>
      <diagonal/>
    </border>
    <border diagonalUp="1">
      <left style="medium">
        <color indexed="8"/>
      </left>
      <right style="thin">
        <color indexed="8"/>
      </right>
      <top style="medium">
        <color indexed="8"/>
      </top>
      <bottom style="thin">
        <color indexed="8"/>
      </bottom>
      <diagonal style="thin">
        <color indexed="8"/>
      </diagonal>
    </border>
    <border diagonalUp="1">
      <left style="thin">
        <color indexed="8"/>
      </left>
      <right style="thin">
        <color indexed="8"/>
      </right>
      <top style="medium">
        <color indexed="8"/>
      </top>
      <bottom style="thin">
        <color indexed="8"/>
      </bottom>
      <diagonal style="thin">
        <color indexed="8"/>
      </diagonal>
    </border>
    <border diagonalUp="1">
      <left style="thin">
        <color indexed="8"/>
      </left>
      <right style="thin">
        <color indexed="8"/>
      </right>
      <top style="thin">
        <color indexed="8"/>
      </top>
      <bottom style="medium">
        <color indexed="8"/>
      </bottom>
      <diagonal style="thin">
        <color indexed="8"/>
      </diagonal>
    </border>
    <border>
      <left style="thin">
        <color indexed="8"/>
      </left>
      <right style="medium">
        <color indexed="8"/>
      </right>
      <top style="thin">
        <color indexed="8"/>
      </top>
      <bottom/>
      <diagonal/>
    </border>
    <border>
      <left style="medium">
        <color indexed="64"/>
      </left>
      <right style="medium">
        <color indexed="64"/>
      </right>
      <top/>
      <bottom style="medium">
        <color indexed="64"/>
      </bottom>
      <diagonal/>
    </border>
    <border>
      <left style="medium">
        <color indexed="8"/>
      </left>
      <right/>
      <top/>
      <bottom style="thin">
        <color indexed="8"/>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23"/>
      </left>
      <right/>
      <top style="thin">
        <color indexed="23"/>
      </top>
      <bottom style="thin">
        <color indexed="23"/>
      </bottom>
      <diagonal/>
    </border>
    <border>
      <left style="thin">
        <color indexed="64"/>
      </left>
      <right style="thin">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8"/>
      </left>
      <right/>
      <top style="thin">
        <color indexed="8"/>
      </top>
      <bottom style="thin">
        <color indexed="64"/>
      </bottom>
      <diagonal/>
    </border>
    <border>
      <left style="medium">
        <color indexed="8"/>
      </left>
      <right style="thin">
        <color indexed="8"/>
      </right>
      <top/>
      <bottom/>
      <diagonal/>
    </border>
    <border>
      <left/>
      <right style="medium">
        <color indexed="8"/>
      </right>
      <top style="thin">
        <color indexed="8"/>
      </top>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23"/>
      </left>
      <right/>
      <top style="thin">
        <color indexed="23"/>
      </top>
      <bottom/>
      <diagonal/>
    </border>
    <border>
      <left/>
      <right/>
      <top style="thin">
        <color indexed="23"/>
      </top>
      <bottom style="thin">
        <color indexed="23"/>
      </bottom>
      <diagonal/>
    </border>
    <border diagonalUp="1">
      <left style="medium">
        <color indexed="8"/>
      </left>
      <right/>
      <top style="medium">
        <color indexed="8"/>
      </top>
      <bottom style="thin">
        <color indexed="8"/>
      </bottom>
      <diagonal style="thin">
        <color indexed="8"/>
      </diagonal>
    </border>
    <border diagonalUp="1">
      <left/>
      <right style="thin">
        <color indexed="8"/>
      </right>
      <top style="medium">
        <color indexed="8"/>
      </top>
      <bottom style="thin">
        <color indexed="8"/>
      </bottom>
      <diagonal style="thin">
        <color indexed="8"/>
      </diagonal>
    </border>
    <border diagonalUp="1">
      <left/>
      <right style="thin">
        <color indexed="8"/>
      </right>
      <top style="thin">
        <color indexed="8"/>
      </top>
      <bottom style="thin">
        <color indexed="8"/>
      </bottom>
      <diagonal style="thin">
        <color indexed="8"/>
      </diagonal>
    </border>
    <border diagonalUp="1">
      <left/>
      <right style="thin">
        <color indexed="8"/>
      </right>
      <top style="thin">
        <color indexed="8"/>
      </top>
      <bottom style="medium">
        <color indexed="8"/>
      </bottom>
      <diagonal style="thin">
        <color indexed="8"/>
      </diagonal>
    </border>
    <border>
      <left style="thin">
        <color indexed="8"/>
      </left>
      <right style="thin">
        <color indexed="8"/>
      </right>
      <top style="medium">
        <color indexed="8"/>
      </top>
      <bottom/>
      <diagonal/>
    </border>
    <border>
      <left style="thin">
        <color indexed="64"/>
      </left>
      <right style="thin">
        <color indexed="64"/>
      </right>
      <top style="thin">
        <color indexed="8"/>
      </top>
      <bottom style="thin">
        <color indexed="8"/>
      </bottom>
      <diagonal/>
    </border>
    <border>
      <left/>
      <right style="thin">
        <color indexed="23"/>
      </right>
      <top/>
      <bottom style="thin">
        <color indexed="23"/>
      </bottom>
      <diagonal/>
    </border>
    <border>
      <left style="medium">
        <color indexed="64"/>
      </left>
      <right style="thin">
        <color indexed="64"/>
      </right>
      <top/>
      <bottom style="thin">
        <color indexed="64"/>
      </bottom>
      <diagonal/>
    </border>
    <border>
      <left style="thin">
        <color indexed="23"/>
      </left>
      <right style="thin">
        <color indexed="23"/>
      </right>
      <top style="thin">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medium">
        <color auto="1"/>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indexed="64"/>
      </left>
      <right/>
      <top/>
      <bottom style="thin">
        <color auto="1"/>
      </bottom>
      <diagonal/>
    </border>
    <border>
      <left/>
      <right style="thin">
        <color auto="1"/>
      </right>
      <top/>
      <bottom style="thin">
        <color auto="1"/>
      </bottom>
      <diagonal/>
    </border>
    <border>
      <left/>
      <right/>
      <top/>
      <bottom style="thin">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auto="1"/>
      </left>
      <right style="thin">
        <color indexed="64"/>
      </right>
      <top style="thin">
        <color indexed="64"/>
      </top>
      <bottom style="thin">
        <color indexed="64"/>
      </bottom>
      <diagonal/>
    </border>
    <border>
      <left style="thin">
        <color indexed="23"/>
      </left>
      <right style="thin">
        <color indexed="23"/>
      </right>
      <top style="thin">
        <color indexed="23"/>
      </top>
      <bottom/>
      <diagonal/>
    </border>
    <border>
      <left style="thin">
        <color auto="1"/>
      </left>
      <right style="thin">
        <color indexed="64"/>
      </right>
      <top/>
      <bottom style="thin">
        <color indexed="64"/>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style="thin">
        <color theme="0"/>
      </left>
      <right/>
      <top style="thin">
        <color theme="0"/>
      </top>
      <bottom style="thin">
        <color theme="0"/>
      </bottom>
      <diagonal/>
    </border>
    <border>
      <left style="thin">
        <color theme="0"/>
      </left>
      <right style="thin">
        <color theme="0"/>
      </right>
      <top/>
      <bottom style="thick">
        <color theme="0"/>
      </bottom>
      <diagonal/>
    </border>
    <border>
      <left style="thin">
        <color theme="0"/>
      </left>
      <right style="thin">
        <color theme="0"/>
      </right>
      <top/>
      <bottom/>
      <diagonal/>
    </border>
    <border>
      <left style="thin">
        <color theme="0"/>
      </left>
      <right/>
      <top style="medium">
        <color indexed="64"/>
      </top>
      <bottom/>
      <diagonal/>
    </border>
    <border>
      <left/>
      <right style="thin">
        <color theme="0"/>
      </right>
      <top/>
      <bottom/>
      <diagonal/>
    </border>
    <border>
      <left/>
      <right style="thin">
        <color indexed="64"/>
      </right>
      <top style="thin">
        <color indexed="64"/>
      </top>
      <bottom/>
      <diagonal/>
    </border>
    <border>
      <left style="thin">
        <color theme="0"/>
      </left>
      <right/>
      <top style="thin">
        <color indexed="64"/>
      </top>
      <bottom/>
      <diagonal/>
    </border>
    <border>
      <left/>
      <right style="thin">
        <color indexed="8"/>
      </right>
      <top/>
      <bottom style="medium">
        <color indexed="8"/>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top style="thin">
        <color indexed="8"/>
      </top>
      <bottom style="medium">
        <color indexed="8"/>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auto="1"/>
      </left>
      <right/>
      <top/>
      <bottom/>
      <diagonal/>
    </border>
    <border>
      <left style="thin">
        <color auto="1"/>
      </left>
      <right/>
      <top style="thin">
        <color auto="1"/>
      </top>
      <bottom style="thin">
        <color auto="1"/>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23"/>
      </left>
      <right style="thin">
        <color indexed="23"/>
      </right>
      <top/>
      <bottom style="thin">
        <color indexed="23"/>
      </bottom>
      <diagonal/>
    </border>
    <border>
      <left style="thin">
        <color indexed="23"/>
      </left>
      <right style="thin">
        <color indexed="23"/>
      </right>
      <top/>
      <bottom/>
      <diagonal/>
    </border>
    <border>
      <left/>
      <right/>
      <top style="thin">
        <color auto="1"/>
      </top>
      <bottom/>
      <diagonal/>
    </border>
    <border>
      <left/>
      <right style="thin">
        <color indexed="64"/>
      </right>
      <top style="thin">
        <color auto="1"/>
      </top>
      <bottom/>
      <diagonal/>
    </border>
    <border>
      <left style="thin">
        <color auto="1"/>
      </left>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auto="1"/>
      </top>
      <bottom style="thin">
        <color auto="1"/>
      </bottom>
      <diagonal/>
    </border>
    <border>
      <left style="thick">
        <color indexed="64"/>
      </left>
      <right style="thin">
        <color auto="1"/>
      </right>
      <top style="thin">
        <color auto="1"/>
      </top>
      <bottom/>
      <diagonal/>
    </border>
    <border>
      <left style="thin">
        <color auto="1"/>
      </left>
      <right style="thick">
        <color indexed="64"/>
      </right>
      <top style="thin">
        <color auto="1"/>
      </top>
      <bottom/>
      <diagonal/>
    </border>
    <border>
      <left style="thick">
        <color indexed="64"/>
      </left>
      <right style="thin">
        <color indexed="64"/>
      </right>
      <top/>
      <bottom style="thin">
        <color indexed="64"/>
      </bottom>
      <diagonal/>
    </border>
    <border>
      <left style="thin">
        <color auto="1"/>
      </left>
      <right style="thick">
        <color indexed="64"/>
      </right>
      <top/>
      <bottom style="thin">
        <color indexed="64"/>
      </bottom>
      <diagonal/>
    </border>
    <border>
      <left style="thick">
        <color indexed="64"/>
      </left>
      <right/>
      <top style="thin">
        <color auto="1"/>
      </top>
      <bottom/>
      <diagonal/>
    </border>
    <border>
      <left style="thick">
        <color indexed="64"/>
      </left>
      <right/>
      <top/>
      <bottom style="thin">
        <color auto="1"/>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23"/>
      </top>
      <bottom style="thin">
        <color indexed="23"/>
      </bottom>
      <diagonal/>
    </border>
    <border>
      <left/>
      <right/>
      <top/>
      <bottom style="thin">
        <color indexed="23"/>
      </bottom>
      <diagonal/>
    </border>
    <border>
      <left/>
      <right/>
      <top style="thin">
        <color indexed="23"/>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diagonal/>
    </border>
    <border>
      <left style="thick">
        <color indexed="64"/>
      </left>
      <right style="thin">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thick">
        <color indexed="64"/>
      </right>
      <top/>
      <bottom style="thin">
        <color indexed="64"/>
      </bottom>
      <diagonal/>
    </border>
    <border>
      <left style="medium">
        <color indexed="64"/>
      </left>
      <right style="thin">
        <color indexed="64"/>
      </right>
      <top/>
      <bottom style="thin">
        <color indexed="64"/>
      </bottom>
      <diagonal/>
    </border>
    <border>
      <left style="thick">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n">
        <color indexed="64"/>
      </top>
      <bottom style="thick">
        <color indexed="64"/>
      </bottom>
      <diagonal/>
    </border>
    <border>
      <left/>
      <right/>
      <top/>
      <bottom style="thick">
        <color indexed="64"/>
      </bottom>
      <diagonal/>
    </border>
    <border>
      <left/>
      <right/>
      <top style="thin">
        <color indexed="64"/>
      </top>
      <bottom style="thick">
        <color indexed="64"/>
      </bottom>
      <diagonal/>
    </border>
    <border>
      <left/>
      <right/>
      <top style="thin">
        <color indexed="23"/>
      </top>
      <bottom/>
      <diagonal/>
    </border>
    <border>
      <left/>
      <right/>
      <top style="thin">
        <color indexed="64"/>
      </top>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theme="0"/>
      </left>
      <right/>
      <top/>
      <bottom style="thick">
        <color theme="0"/>
      </bottom>
      <diagonal/>
    </border>
    <border>
      <left style="thin">
        <color auto="1"/>
      </left>
      <right/>
      <top/>
      <bottom style="thin">
        <color indexed="64"/>
      </bottom>
      <diagonal/>
    </border>
    <border>
      <left/>
      <right style="thin">
        <color indexed="64"/>
      </right>
      <top/>
      <bottom style="thin">
        <color indexed="64"/>
      </bottom>
      <diagonal/>
    </border>
    <border>
      <left style="medium">
        <color indexed="8"/>
      </left>
      <right/>
      <top style="thin">
        <color indexed="8"/>
      </top>
      <bottom/>
      <diagonal/>
    </border>
    <border>
      <left/>
      <right style="medium">
        <color indexed="8"/>
      </right>
      <top/>
      <bottom style="thin">
        <color indexed="8"/>
      </bottom>
      <diagonal/>
    </border>
    <border>
      <left style="thin">
        <color indexed="8"/>
      </left>
      <right style="thin">
        <color indexed="8"/>
      </right>
      <top style="medium">
        <color indexed="8"/>
      </top>
      <bottom style="medium">
        <color indexed="8"/>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theme="0"/>
      </right>
      <top style="thin">
        <color theme="0"/>
      </top>
      <bottom style="thin">
        <color theme="0"/>
      </bottom>
      <diagonal/>
    </border>
    <border>
      <left/>
      <right style="thin">
        <color theme="0"/>
      </right>
      <top style="thick">
        <color theme="0"/>
      </top>
      <bottom style="thin">
        <color theme="0"/>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8"/>
      </bottom>
      <diagonal/>
    </border>
    <border>
      <left style="thin">
        <color indexed="8"/>
      </left>
      <right style="thin">
        <color indexed="8"/>
      </right>
      <top/>
      <bottom style="thin">
        <color indexed="8"/>
      </bottom>
      <diagonal/>
    </border>
    <border>
      <left style="medium">
        <color indexed="64"/>
      </left>
      <right/>
      <top style="medium">
        <color indexed="64"/>
      </top>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23"/>
      </top>
      <bottom style="thin">
        <color indexed="23"/>
      </bottom>
      <diagonal/>
    </border>
    <border>
      <left style="thin">
        <color auto="1"/>
      </left>
      <right style="thin">
        <color auto="1"/>
      </right>
      <top style="thin">
        <color auto="1"/>
      </top>
      <bottom style="thin">
        <color auto="1"/>
      </bottom>
      <diagonal/>
    </border>
    <border>
      <left style="thick">
        <color indexed="64"/>
      </left>
      <right/>
      <top/>
      <bottom style="medium">
        <color indexed="64"/>
      </bottom>
      <diagonal/>
    </border>
    <border>
      <left style="thick">
        <color indexed="64"/>
      </left>
      <right style="medium">
        <color indexed="64"/>
      </right>
      <top/>
      <bottom style="medium">
        <color indexed="64"/>
      </bottom>
      <diagonal/>
    </border>
    <border>
      <left/>
      <right style="thin">
        <color auto="1"/>
      </right>
      <top style="medium">
        <color auto="1"/>
      </top>
      <bottom style="thin">
        <color auto="1"/>
      </bottom>
      <diagonal/>
    </border>
    <border>
      <left style="thin">
        <color auto="1"/>
      </left>
      <right style="thin">
        <color indexed="64"/>
      </right>
      <top style="thin">
        <color indexed="64"/>
      </top>
      <bottom style="medium">
        <color auto="1"/>
      </bottom>
      <diagonal/>
    </border>
    <border>
      <left/>
      <right style="thin">
        <color auto="1"/>
      </right>
      <top style="thin">
        <color auto="1"/>
      </top>
      <bottom style="medium">
        <color auto="1"/>
      </bottom>
      <diagonal/>
    </border>
    <border>
      <left style="thin">
        <color indexed="8"/>
      </left>
      <right style="thin">
        <color indexed="8"/>
      </right>
      <top style="thin">
        <color indexed="64"/>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bottom style="thin">
        <color auto="1"/>
      </bottom>
      <diagonal/>
    </border>
    <border>
      <left/>
      <right style="medium">
        <color auto="1"/>
      </right>
      <top/>
      <bottom style="thin">
        <color auto="1"/>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style="thin">
        <color indexed="64"/>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auto="1"/>
      </right>
      <top style="thin">
        <color auto="1"/>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medium">
        <color auto="1"/>
      </right>
      <top style="thin">
        <color auto="1"/>
      </top>
      <bottom style="thin">
        <color auto="1"/>
      </bottom>
      <diagonal/>
    </border>
    <border>
      <left style="medium">
        <color indexed="64"/>
      </left>
      <right/>
      <top style="thin">
        <color indexed="8"/>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medium">
        <color indexed="64"/>
      </right>
      <top/>
      <bottom style="thin">
        <color auto="1"/>
      </bottom>
      <diagonal/>
    </border>
    <border>
      <left style="medium">
        <color indexed="64"/>
      </left>
      <right/>
      <top/>
      <bottom style="thin">
        <color indexed="8"/>
      </bottom>
      <diagonal/>
    </border>
    <border>
      <left/>
      <right/>
      <top style="thin">
        <color indexed="8"/>
      </top>
      <bottom/>
      <diagonal/>
    </border>
    <border>
      <left/>
      <right style="medium">
        <color indexed="64"/>
      </right>
      <top style="thin">
        <color indexed="8"/>
      </top>
      <bottom/>
      <diagonal/>
    </border>
    <border>
      <left style="medium">
        <color indexed="64"/>
      </left>
      <right style="thin">
        <color indexed="8"/>
      </right>
      <top/>
      <bottom/>
      <diagonal/>
    </border>
    <border>
      <left style="thin">
        <color indexed="8"/>
      </left>
      <right style="medium">
        <color indexed="64"/>
      </right>
      <top/>
      <bottom/>
      <diagonal/>
    </border>
    <border>
      <left style="thin">
        <color auto="1"/>
      </left>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8"/>
      </right>
      <top style="thin">
        <color indexed="64"/>
      </top>
      <bottom/>
      <diagonal/>
    </border>
    <border>
      <left style="medium">
        <color auto="1"/>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auto="1"/>
      </right>
      <top/>
      <bottom/>
      <diagonal/>
    </border>
    <border>
      <left style="thin">
        <color indexed="8"/>
      </left>
      <right/>
      <top/>
      <bottom style="thin">
        <color indexed="8"/>
      </bottom>
      <diagonal/>
    </border>
    <border>
      <left/>
      <right style="thin">
        <color indexed="8"/>
      </right>
      <top/>
      <bottom/>
      <diagonal/>
    </border>
    <border>
      <left style="medium">
        <color indexed="64"/>
      </left>
      <right style="medium">
        <color indexed="64"/>
      </right>
      <top style="medium">
        <color indexed="64"/>
      </top>
      <bottom/>
      <diagonal/>
    </border>
    <border>
      <left/>
      <right/>
      <top/>
      <bottom style="thin">
        <color indexed="8"/>
      </bottom>
      <diagonal/>
    </border>
    <border>
      <left/>
      <right/>
      <top style="medium">
        <color indexed="64"/>
      </top>
      <bottom/>
      <diagonal/>
    </border>
    <border>
      <left/>
      <right style="medium">
        <color indexed="64"/>
      </right>
      <top style="medium">
        <color indexed="64"/>
      </top>
      <bottom/>
      <diagonal/>
    </border>
    <border>
      <left/>
      <right style="thin">
        <color indexed="8"/>
      </right>
      <top/>
      <bottom style="thin">
        <color indexed="8"/>
      </bottom>
      <diagonal/>
    </border>
    <border>
      <left/>
      <right style="thin">
        <color auto="1"/>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8"/>
      </right>
      <top/>
      <bottom style="thin">
        <color indexed="64"/>
      </bottom>
      <diagonal/>
    </border>
    <border>
      <left/>
      <right style="thin">
        <color indexed="64"/>
      </right>
      <top/>
      <bottom/>
      <diagonal/>
    </border>
    <border>
      <left style="medium">
        <color indexed="64"/>
      </left>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top style="medium">
        <color indexed="8"/>
      </top>
      <bottom style="medium">
        <color indexed="64"/>
      </bottom>
      <diagonal/>
    </border>
    <border>
      <left/>
      <right style="medium">
        <color indexed="64"/>
      </right>
      <top style="medium">
        <color indexed="8"/>
      </top>
      <bottom style="medium">
        <color indexed="64"/>
      </bottom>
      <diagonal/>
    </border>
    <border>
      <left/>
      <right style="thin">
        <color auto="1"/>
      </right>
      <top style="thin">
        <color auto="1"/>
      </top>
      <bottom style="thin">
        <color auto="1"/>
      </bottom>
      <diagonal/>
    </border>
    <border>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thin">
        <color indexed="64"/>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top style="thin">
        <color indexed="23"/>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auto="1"/>
      </left>
      <right/>
      <top style="thin">
        <color auto="1"/>
      </top>
      <bottom/>
      <diagonal/>
    </border>
    <border>
      <left style="thin">
        <color auto="1"/>
      </left>
      <right style="thick">
        <color auto="1"/>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medium">
        <color auto="1"/>
      </right>
      <top style="thin">
        <color indexed="64"/>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628">
    <xf numFmtId="0" fontId="0" fillId="0" borderId="0"/>
    <xf numFmtId="0" fontId="20" fillId="2" borderId="0" applyNumberFormat="0" applyBorder="0" applyProtection="0"/>
    <xf numFmtId="0" fontId="20" fillId="3" borderId="0" applyNumberFormat="0" applyBorder="0" applyProtection="0"/>
    <xf numFmtId="0" fontId="20" fillId="4" borderId="0" applyNumberFormat="0" applyBorder="0" applyProtection="0"/>
    <xf numFmtId="0" fontId="20" fillId="5" borderId="0" applyNumberFormat="0" applyBorder="0" applyProtection="0"/>
    <xf numFmtId="0" fontId="20" fillId="2" borderId="0" applyNumberFormat="0" applyBorder="0" applyProtection="0"/>
    <xf numFmtId="0" fontId="20" fillId="6" borderId="0" applyNumberFormat="0" applyBorder="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1" fillId="7" borderId="1"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2" fillId="7" borderId="2" applyNumberFormat="0" applyProtection="0"/>
    <xf numFmtId="0" fontId="27" fillId="0" borderId="0" applyNumberFormat="0" applyFill="0" applyBorder="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3" fillId="8" borderId="2" applyNumberFormat="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4" fillId="0" borderId="3" applyNumberFormat="0" applyFill="0" applyProtection="0"/>
    <xf numFmtId="0" fontId="25" fillId="0" borderId="0" applyNumberFormat="0" applyFill="0" applyBorder="0" applyProtection="0"/>
    <xf numFmtId="0" fontId="172" fillId="0" borderId="0" applyBorder="0" applyProtection="0"/>
    <xf numFmtId="0" fontId="27" fillId="0" borderId="0" applyNumberFormat="0" applyFill="0" applyBorder="0" applyProtection="0"/>
    <xf numFmtId="0" fontId="26" fillId="9" borderId="0" applyNumberFormat="0" applyBorder="0" applyProtection="0"/>
    <xf numFmtId="0" fontId="63" fillId="0" borderId="0" applyNumberFormat="0" applyFill="0" applyBorder="0" applyProtection="0"/>
    <xf numFmtId="0" fontId="63" fillId="0" borderId="0" applyNumberFormat="0" applyFill="0" applyBorder="0" applyProtection="0"/>
    <xf numFmtId="0" fontId="173" fillId="0" borderId="0" applyBorder="0" applyProtection="0"/>
    <xf numFmtId="0" fontId="27" fillId="0" borderId="0" applyNumberFormat="0" applyFill="0" applyBorder="0" applyProtection="0"/>
    <xf numFmtId="43" fontId="14" fillId="0" borderId="0" applyFont="0" applyFill="0" applyBorder="0" applyAlignment="0" applyProtection="0"/>
    <xf numFmtId="164" fontId="112" fillId="0" borderId="0" applyFill="0" applyBorder="0" applyProtection="0"/>
    <xf numFmtId="165" fontId="112" fillId="0" borderId="0" applyFill="0" applyBorder="0" applyProtection="0"/>
    <xf numFmtId="164" fontId="112" fillId="0" borderId="0" applyFill="0" applyBorder="0" applyProtection="0"/>
    <xf numFmtId="0" fontId="27" fillId="0" borderId="0" applyNumberFormat="0" applyFill="0" applyBorder="0" applyProtection="0"/>
    <xf numFmtId="0" fontId="27" fillId="0" borderId="0" applyNumberFormat="0" applyFill="0" applyBorder="0" applyProtection="0"/>
    <xf numFmtId="43" fontId="19"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27" fillId="0" borderId="0" applyNumberFormat="0" applyFill="0" applyBorder="0" applyProtection="0"/>
    <xf numFmtId="43" fontId="18"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20" fillId="0" borderId="0" applyBorder="0" applyProtection="0"/>
    <xf numFmtId="0" fontId="28" fillId="8" borderId="0" applyNumberFormat="0" applyBorder="0" applyProtection="0"/>
    <xf numFmtId="0" fontId="112" fillId="10" borderId="4" applyNumberFormat="0" applyProtection="0"/>
    <xf numFmtId="0" fontId="112" fillId="11"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1" borderId="4" applyNumberFormat="0" applyProtection="0"/>
    <xf numFmtId="0" fontId="112" fillId="11" borderId="4" applyNumberFormat="0" applyProtection="0"/>
    <xf numFmtId="0" fontId="112" fillId="11"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0" borderId="4" applyNumberFormat="0" applyProtection="0"/>
    <xf numFmtId="0" fontId="112" fillId="11" borderId="4" applyNumberFormat="0" applyProtection="0"/>
    <xf numFmtId="0" fontId="112" fillId="11" borderId="4" applyNumberFormat="0" applyProtection="0"/>
    <xf numFmtId="0" fontId="27" fillId="0" borderId="0" applyNumberFormat="0" applyFill="0" applyBorder="0" applyProtection="0"/>
    <xf numFmtId="9" fontId="112" fillId="0" borderId="0" applyFill="0" applyBorder="0" applyProtection="0"/>
    <xf numFmtId="0" fontId="27" fillId="0" borderId="0" applyNumberFormat="0" applyFill="0" applyBorder="0" applyProtection="0"/>
    <xf numFmtId="0" fontId="27" fillId="0" borderId="0" applyNumberFormat="0" applyFill="0" applyBorder="0" applyProtection="0"/>
    <xf numFmtId="0" fontId="27" fillId="0" borderId="0" applyNumberFormat="0" applyFill="0" applyBorder="0" applyProtection="0"/>
    <xf numFmtId="0" fontId="120" fillId="0" borderId="0" applyBorder="0" applyProtection="0"/>
    <xf numFmtId="0" fontId="27" fillId="0" borderId="0" applyNumberFormat="0" applyFill="0" applyBorder="0" applyProtection="0"/>
    <xf numFmtId="0" fontId="29" fillId="12" borderId="0" applyNumberFormat="0" applyBorder="0" applyProtection="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22" fillId="0" borderId="0"/>
    <xf numFmtId="0" fontId="112" fillId="0" borderId="0"/>
    <xf numFmtId="0" fontId="124" fillId="0" borderId="0"/>
    <xf numFmtId="0" fontId="112" fillId="0" borderId="0"/>
    <xf numFmtId="0" fontId="171" fillId="0" borderId="0"/>
    <xf numFmtId="0" fontId="171" fillId="0" borderId="0"/>
    <xf numFmtId="0" fontId="171" fillId="0" borderId="0"/>
    <xf numFmtId="0" fontId="112" fillId="0" borderId="0"/>
    <xf numFmtId="0" fontId="112" fillId="0" borderId="0"/>
    <xf numFmtId="0" fontId="119" fillId="0" borderId="0"/>
    <xf numFmtId="0" fontId="112" fillId="0" borderId="0"/>
    <xf numFmtId="0" fontId="112" fillId="0" borderId="0"/>
    <xf numFmtId="0" fontId="30" fillId="0" borderId="0"/>
    <xf numFmtId="0" fontId="30" fillId="0" borderId="0"/>
    <xf numFmtId="0" fontId="30" fillId="0" borderId="0"/>
    <xf numFmtId="0" fontId="30" fillId="0" borderId="0"/>
    <xf numFmtId="0" fontId="112" fillId="0" borderId="0"/>
    <xf numFmtId="0" fontId="30" fillId="0" borderId="0"/>
    <xf numFmtId="0" fontId="112"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12" fillId="0" borderId="0"/>
    <xf numFmtId="0" fontId="34" fillId="0" borderId="0" applyNumberFormat="0" applyFill="0" applyBorder="0" applyProtection="0"/>
    <xf numFmtId="0" fontId="35" fillId="0" borderId="5" applyNumberFormat="0" applyFill="0" applyProtection="0"/>
    <xf numFmtId="0" fontId="34" fillId="0" borderId="0" applyNumberFormat="0" applyFill="0" applyBorder="0" applyProtection="0"/>
    <xf numFmtId="0" fontId="36" fillId="0" borderId="6" applyNumberFormat="0" applyFill="0" applyProtection="0"/>
    <xf numFmtId="0" fontId="37" fillId="0" borderId="7" applyNumberFormat="0" applyFill="0" applyProtection="0"/>
    <xf numFmtId="0" fontId="37" fillId="0" borderId="7" applyNumberFormat="0" applyFill="0" applyProtection="0"/>
    <xf numFmtId="0" fontId="37" fillId="0" borderId="0" applyNumberFormat="0" applyFill="0" applyBorder="0" applyProtection="0"/>
    <xf numFmtId="0" fontId="31" fillId="0" borderId="8" applyNumberFormat="0" applyFill="0" applyProtection="0"/>
    <xf numFmtId="44" fontId="112" fillId="0" borderId="0" applyFont="0" applyFill="0" applyBorder="0" applyAlignment="0" applyProtection="0"/>
    <xf numFmtId="176" fontId="119" fillId="0" borderId="0" applyBorder="0" applyProtection="0"/>
    <xf numFmtId="44" fontId="112" fillId="0" borderId="0" applyFont="0" applyFill="0" applyBorder="0" applyAlignment="0" applyProtection="0"/>
    <xf numFmtId="0" fontId="32" fillId="0" borderId="0" applyNumberFormat="0" applyFill="0" applyBorder="0" applyProtection="0"/>
    <xf numFmtId="0" fontId="33" fillId="13" borderId="9" applyNumberFormat="0" applyProtection="0"/>
    <xf numFmtId="0" fontId="9" fillId="0" borderId="0"/>
    <xf numFmtId="0" fontId="7" fillId="0" borderId="0"/>
    <xf numFmtId="0" fontId="6" fillId="0" borderId="0"/>
    <xf numFmtId="0" fontId="4" fillId="0" borderId="0"/>
    <xf numFmtId="0" fontId="2" fillId="0" borderId="0"/>
  </cellStyleXfs>
  <cellXfs count="3121">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0" fillId="0" borderId="10" xfId="0" applyBorder="1" applyAlignment="1">
      <alignment horizontal="center" vertical="center"/>
    </xf>
    <xf numFmtId="0" fontId="0" fillId="14" borderId="10" xfId="0" applyFill="1" applyBorder="1" applyAlignment="1">
      <alignment horizontal="center" vertical="center"/>
    </xf>
    <xf numFmtId="0" fontId="0" fillId="14" borderId="11" xfId="0" applyFill="1" applyBorder="1" applyAlignment="1">
      <alignment horizontal="center" vertical="center"/>
    </xf>
    <xf numFmtId="0" fontId="0" fillId="14" borderId="15" xfId="0" applyFill="1" applyBorder="1" applyAlignment="1">
      <alignment horizontal="center" vertical="center"/>
    </xf>
    <xf numFmtId="0" fontId="0" fillId="14" borderId="16" xfId="0" applyFill="1" applyBorder="1"/>
    <xf numFmtId="0" fontId="0" fillId="14" borderId="17" xfId="0" applyFill="1" applyBorder="1"/>
    <xf numFmtId="0" fontId="0" fillId="14" borderId="18" xfId="0" applyFill="1" applyBorder="1" applyAlignment="1">
      <alignment horizontal="center"/>
    </xf>
    <xf numFmtId="0" fontId="0" fillId="14" borderId="16" xfId="0" applyFill="1" applyBorder="1" applyAlignment="1">
      <alignment horizontal="center" vertical="center"/>
    </xf>
    <xf numFmtId="0" fontId="0" fillId="14" borderId="18" xfId="0" applyFill="1" applyBorder="1" applyAlignment="1">
      <alignment horizontal="center" vertical="center"/>
    </xf>
    <xf numFmtId="0" fontId="0" fillId="14" borderId="19" xfId="0" applyFill="1" applyBorder="1" applyAlignment="1">
      <alignment horizontal="center" vertical="center"/>
    </xf>
    <xf numFmtId="0" fontId="24" fillId="0" borderId="10" xfId="0" applyFont="1" applyBorder="1" applyAlignment="1">
      <alignment horizontal="center" vertical="center"/>
    </xf>
    <xf numFmtId="0" fontId="0" fillId="14" borderId="20" xfId="0" applyFill="1" applyBorder="1" applyAlignment="1">
      <alignment horizontal="center" vertical="center"/>
    </xf>
    <xf numFmtId="0" fontId="0" fillId="14" borderId="21" xfId="0" applyFill="1" applyBorder="1" applyAlignment="1">
      <alignment horizontal="center" vertical="center"/>
    </xf>
    <xf numFmtId="0" fontId="0" fillId="14" borderId="17" xfId="0" applyFill="1" applyBorder="1" applyAlignment="1">
      <alignment horizontal="center"/>
    </xf>
    <xf numFmtId="0" fontId="0" fillId="0" borderId="10" xfId="0" applyBorder="1" applyAlignment="1">
      <alignment horizontal="left" vertical="center"/>
    </xf>
    <xf numFmtId="3" fontId="0" fillId="0" borderId="10" xfId="0" applyNumberFormat="1" applyBorder="1" applyAlignment="1">
      <alignment horizontal="center" vertical="center"/>
    </xf>
    <xf numFmtId="3" fontId="0" fillId="0" borderId="20" xfId="0" applyNumberFormat="1" applyBorder="1" applyAlignment="1">
      <alignment horizontal="center" vertical="center"/>
    </xf>
    <xf numFmtId="1" fontId="0" fillId="0" borderId="22" xfId="0" applyNumberFormat="1" applyBorder="1" applyAlignment="1">
      <alignment horizontal="center" vertical="center"/>
    </xf>
    <xf numFmtId="1" fontId="0" fillId="0" borderId="21" xfId="0" applyNumberFormat="1" applyBorder="1" applyAlignment="1">
      <alignment horizontal="center" vertical="center"/>
    </xf>
    <xf numFmtId="1" fontId="0" fillId="0" borderId="10" xfId="0" applyNumberFormat="1" applyBorder="1" applyAlignment="1">
      <alignment horizontal="center" vertical="center"/>
    </xf>
    <xf numFmtId="1" fontId="0" fillId="0" borderId="11" xfId="0" applyNumberFormat="1" applyBorder="1" applyAlignment="1">
      <alignment horizontal="center" vertical="center"/>
    </xf>
    <xf numFmtId="3" fontId="0" fillId="0" borderId="23" xfId="0" applyNumberFormat="1" applyBorder="1" applyAlignment="1">
      <alignment horizontal="center" vertical="center"/>
    </xf>
    <xf numFmtId="166" fontId="0" fillId="0" borderId="21" xfId="0" applyNumberFormat="1" applyBorder="1" applyAlignment="1">
      <alignment horizontal="center" vertical="center"/>
    </xf>
    <xf numFmtId="166" fontId="0" fillId="0" borderId="10" xfId="0" applyNumberFormat="1" applyBorder="1" applyAlignment="1">
      <alignment horizontal="center" vertical="center"/>
    </xf>
    <xf numFmtId="166" fontId="0" fillId="0" borderId="11" xfId="0" applyNumberFormat="1" applyBorder="1" applyAlignment="1">
      <alignment horizontal="center" vertical="center"/>
    </xf>
    <xf numFmtId="166" fontId="0" fillId="0" borderId="24" xfId="0" applyNumberFormat="1" applyBorder="1" applyAlignment="1">
      <alignment horizontal="center" vertical="center"/>
    </xf>
    <xf numFmtId="3" fontId="0" fillId="0" borderId="24" xfId="0" applyNumberFormat="1" applyBorder="1" applyAlignment="1">
      <alignment horizontal="center" vertical="center"/>
    </xf>
    <xf numFmtId="0" fontId="0" fillId="0" borderId="21" xfId="0" applyBorder="1" applyAlignment="1">
      <alignment horizontal="center" vertical="center"/>
    </xf>
    <xf numFmtId="3" fontId="0" fillId="0" borderId="25" xfId="0" applyNumberFormat="1" applyBorder="1" applyAlignment="1">
      <alignment horizontal="center" vertical="center"/>
    </xf>
    <xf numFmtId="3" fontId="0" fillId="0" borderId="22" xfId="0" applyNumberFormat="1" applyBorder="1" applyAlignment="1">
      <alignment horizontal="center" vertical="center"/>
    </xf>
    <xf numFmtId="3" fontId="0" fillId="0" borderId="26" xfId="0" applyNumberFormat="1" applyBorder="1" applyAlignment="1">
      <alignment horizontal="center" vertical="center"/>
    </xf>
    <xf numFmtId="1" fontId="0" fillId="0" borderId="27" xfId="0" applyNumberFormat="1" applyBorder="1" applyAlignment="1">
      <alignment horizontal="center" vertical="center"/>
    </xf>
    <xf numFmtId="166" fontId="0" fillId="0" borderId="22" xfId="0" applyNumberFormat="1" applyBorder="1" applyAlignment="1">
      <alignment horizontal="center" vertical="center"/>
    </xf>
    <xf numFmtId="166" fontId="0" fillId="0" borderId="25" xfId="0" applyNumberFormat="1" applyBorder="1" applyAlignment="1">
      <alignment horizontal="center" vertical="center"/>
    </xf>
    <xf numFmtId="166" fontId="0" fillId="0" borderId="20" xfId="0" applyNumberFormat="1" applyBorder="1" applyAlignment="1">
      <alignment horizontal="center" vertical="center"/>
    </xf>
    <xf numFmtId="2" fontId="0" fillId="0" borderId="22" xfId="0" applyNumberFormat="1" applyBorder="1" applyAlignment="1">
      <alignment horizontal="center" vertical="center"/>
    </xf>
    <xf numFmtId="166" fontId="0" fillId="0" borderId="10" xfId="0" applyNumberFormat="1" applyBorder="1" applyAlignment="1">
      <alignment horizontal="center"/>
    </xf>
    <xf numFmtId="2" fontId="0" fillId="0" borderId="10" xfId="0" applyNumberFormat="1" applyBorder="1" applyAlignment="1">
      <alignment horizontal="center" vertical="center"/>
    </xf>
    <xf numFmtId="166" fontId="0" fillId="0" borderId="26" xfId="0" applyNumberFormat="1" applyBorder="1" applyAlignment="1">
      <alignment horizontal="center"/>
    </xf>
    <xf numFmtId="0" fontId="0" fillId="0" borderId="10" xfId="0" applyBorder="1"/>
    <xf numFmtId="0" fontId="45" fillId="0" borderId="20" xfId="0" applyFont="1" applyBorder="1"/>
    <xf numFmtId="0" fontId="0" fillId="0" borderId="10" xfId="0" applyBorder="1" applyAlignment="1">
      <alignment horizontal="center"/>
    </xf>
    <xf numFmtId="0" fontId="0" fillId="0" borderId="22" xfId="0" applyBorder="1" applyAlignment="1">
      <alignment horizontal="center" vertical="center"/>
    </xf>
    <xf numFmtId="0" fontId="0" fillId="0" borderId="26" xfId="0" applyBorder="1" applyAlignment="1">
      <alignment horizontal="center" vertical="center"/>
    </xf>
    <xf numFmtId="166" fontId="0" fillId="0" borderId="26" xfId="0" applyNumberFormat="1" applyBorder="1" applyAlignment="1">
      <alignment horizontal="center" vertical="center"/>
    </xf>
    <xf numFmtId="0" fontId="44" fillId="0" borderId="11" xfId="0" applyFont="1" applyBorder="1" applyAlignment="1">
      <alignment horizontal="left" vertical="center"/>
    </xf>
    <xf numFmtId="0" fontId="44" fillId="0" borderId="20" xfId="0" applyFont="1" applyBorder="1" applyAlignment="1">
      <alignment horizontal="center" vertical="center"/>
    </xf>
    <xf numFmtId="0" fontId="44" fillId="0" borderId="10" xfId="0" applyFont="1" applyBorder="1" applyAlignment="1">
      <alignment horizontal="center" vertical="center"/>
    </xf>
    <xf numFmtId="0" fontId="0" fillId="0" borderId="24" xfId="0" applyBorder="1" applyAlignment="1">
      <alignment horizontal="center" vertical="center"/>
    </xf>
    <xf numFmtId="0" fontId="24" fillId="0" borderId="10" xfId="0" applyFont="1" applyBorder="1" applyAlignment="1">
      <alignment horizontal="left" vertical="center"/>
    </xf>
    <xf numFmtId="0" fontId="41" fillId="0" borderId="10" xfId="0" applyFont="1" applyBorder="1" applyAlignment="1">
      <alignment horizontal="center" vertical="center"/>
    </xf>
    <xf numFmtId="0" fontId="50" fillId="0" borderId="10" xfId="0" applyFont="1" applyBorder="1" applyAlignment="1">
      <alignment horizontal="center"/>
    </xf>
    <xf numFmtId="0" fontId="0" fillId="0" borderId="28" xfId="0" applyBorder="1" applyAlignment="1">
      <alignment horizontal="center" vertical="center"/>
    </xf>
    <xf numFmtId="0" fontId="0" fillId="0" borderId="21" xfId="0" applyBorder="1" applyAlignment="1">
      <alignment horizontal="left" vertical="center"/>
    </xf>
    <xf numFmtId="3" fontId="50" fillId="0" borderId="21" xfId="0" applyNumberFormat="1" applyFont="1" applyBorder="1" applyAlignment="1">
      <alignment horizontal="center"/>
    </xf>
    <xf numFmtId="0" fontId="50" fillId="0" borderId="21" xfId="0" applyFont="1" applyBorder="1" applyAlignment="1">
      <alignment horizontal="center"/>
    </xf>
    <xf numFmtId="0" fontId="41" fillId="15" borderId="0" xfId="578" applyFont="1" applyFill="1"/>
    <xf numFmtId="0" fontId="0" fillId="0" borderId="0" xfId="0" applyAlignment="1">
      <alignment horizontal="left" vertical="center"/>
    </xf>
    <xf numFmtId="167" fontId="0" fillId="14" borderId="30" xfId="0" applyNumberFormat="1" applyFill="1" applyBorder="1" applyAlignment="1">
      <alignment horizontal="center" vertical="center"/>
    </xf>
    <xf numFmtId="167" fontId="0" fillId="14" borderId="12" xfId="0" applyNumberFormat="1" applyFill="1" applyBorder="1" applyAlignment="1">
      <alignment horizontal="center" vertical="center"/>
    </xf>
    <xf numFmtId="167" fontId="0" fillId="14" borderId="13" xfId="0" applyNumberFormat="1" applyFill="1" applyBorder="1" applyAlignment="1">
      <alignment horizontal="center" vertical="center"/>
    </xf>
    <xf numFmtId="167" fontId="0" fillId="14" borderId="31" xfId="0" applyNumberFormat="1" applyFill="1" applyBorder="1" applyAlignment="1">
      <alignment horizontal="center" vertical="center"/>
    </xf>
    <xf numFmtId="167" fontId="0" fillId="14" borderId="14" xfId="0" applyNumberFormat="1" applyFill="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167" fontId="0" fillId="0" borderId="0" xfId="0" applyNumberFormat="1" applyAlignment="1">
      <alignment horizontal="center" vertical="center"/>
    </xf>
    <xf numFmtId="0" fontId="0" fillId="0" borderId="19" xfId="0" applyBorder="1" applyAlignment="1">
      <alignment horizontal="center" vertical="center"/>
    </xf>
    <xf numFmtId="0" fontId="0" fillId="13" borderId="11" xfId="0" applyFill="1" applyBorder="1" applyAlignment="1">
      <alignment horizontal="center" vertical="center"/>
    </xf>
    <xf numFmtId="0" fontId="0" fillId="13" borderId="21" xfId="0" applyFill="1" applyBorder="1" applyAlignment="1">
      <alignment horizontal="center" vertical="center"/>
    </xf>
    <xf numFmtId="0" fontId="43" fillId="0" borderId="10" xfId="0" applyFont="1"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vertical="center"/>
    </xf>
    <xf numFmtId="4" fontId="0" fillId="0" borderId="37" xfId="0" applyNumberFormat="1" applyBorder="1" applyAlignment="1">
      <alignment horizontal="center" vertical="center"/>
    </xf>
    <xf numFmtId="0" fontId="0" fillId="0" borderId="0" xfId="0" applyAlignment="1">
      <alignment horizontal="right" vertical="center"/>
    </xf>
    <xf numFmtId="0" fontId="0" fillId="0" borderId="20" xfId="0" applyBorder="1" applyAlignment="1">
      <alignment horizontal="center" vertical="center"/>
    </xf>
    <xf numFmtId="0" fontId="0" fillId="0" borderId="11" xfId="578" applyFont="1" applyBorder="1" applyAlignment="1">
      <alignment vertical="center"/>
    </xf>
    <xf numFmtId="0" fontId="43" fillId="0" borderId="20" xfId="0" applyFont="1" applyBorder="1" applyAlignment="1">
      <alignment horizontal="left" vertical="center"/>
    </xf>
    <xf numFmtId="0" fontId="0" fillId="0" borderId="21" xfId="0" applyBorder="1"/>
    <xf numFmtId="0" fontId="0" fillId="0" borderId="38" xfId="0" applyBorder="1" applyAlignment="1">
      <alignment horizontal="center" vertical="center"/>
    </xf>
    <xf numFmtId="0" fontId="0" fillId="0" borderId="39" xfId="0" applyBorder="1" applyAlignment="1">
      <alignment horizontal="center" vertical="center"/>
    </xf>
    <xf numFmtId="0" fontId="0" fillId="0" borderId="20" xfId="0" applyBorder="1" applyAlignment="1">
      <alignment horizontal="left" vertical="center"/>
    </xf>
    <xf numFmtId="0" fontId="0" fillId="16" borderId="21" xfId="0" applyFill="1" applyBorder="1" applyAlignment="1">
      <alignment horizontal="center" vertical="center"/>
    </xf>
    <xf numFmtId="0" fontId="0" fillId="16" borderId="10" xfId="0" applyFill="1" applyBorder="1" applyAlignment="1">
      <alignment horizontal="center" vertical="center"/>
    </xf>
    <xf numFmtId="1" fontId="0" fillId="16" borderId="10" xfId="0" applyNumberFormat="1" applyFill="1" applyBorder="1" applyAlignment="1">
      <alignment horizontal="center" vertical="center"/>
    </xf>
    <xf numFmtId="1" fontId="0" fillId="16" borderId="11" xfId="0" applyNumberFormat="1" applyFill="1" applyBorder="1" applyAlignment="1">
      <alignment horizontal="center" vertical="center"/>
    </xf>
    <xf numFmtId="0" fontId="0" fillId="14" borderId="24" xfId="0" applyFill="1" applyBorder="1" applyAlignment="1">
      <alignment horizontal="center" vertical="center"/>
    </xf>
    <xf numFmtId="0" fontId="0" fillId="14" borderId="25" xfId="0" applyFill="1" applyBorder="1" applyAlignment="1">
      <alignment horizontal="center" vertical="center"/>
    </xf>
    <xf numFmtId="0" fontId="43" fillId="0" borderId="0" xfId="0" applyFont="1" applyAlignment="1">
      <alignment horizontal="center"/>
    </xf>
    <xf numFmtId="0" fontId="0" fillId="16" borderId="39" xfId="0" applyFill="1" applyBorder="1" applyAlignment="1">
      <alignment horizontal="center" vertical="center"/>
    </xf>
    <xf numFmtId="0" fontId="0" fillId="0" borderId="11" xfId="0" applyBorder="1"/>
    <xf numFmtId="0" fontId="0" fillId="16" borderId="36" xfId="0" applyFill="1" applyBorder="1" applyAlignment="1">
      <alignment horizontal="center" vertical="center"/>
    </xf>
    <xf numFmtId="167" fontId="55" fillId="16" borderId="40" xfId="0" applyNumberFormat="1" applyFont="1" applyFill="1" applyBorder="1" applyAlignment="1">
      <alignment horizontal="center" vertical="center" shrinkToFit="1"/>
    </xf>
    <xf numFmtId="0" fontId="32" fillId="16" borderId="27" xfId="0" applyFont="1" applyFill="1" applyBorder="1" applyAlignment="1">
      <alignment horizontal="left" vertical="center"/>
    </xf>
    <xf numFmtId="0" fontId="24" fillId="0" borderId="0" xfId="0" applyFont="1"/>
    <xf numFmtId="0" fontId="56" fillId="15" borderId="0" xfId="578" applyFont="1" applyFill="1"/>
    <xf numFmtId="0" fontId="0" fillId="16" borderId="10" xfId="0" applyFill="1" applyBorder="1"/>
    <xf numFmtId="3" fontId="0" fillId="0" borderId="10" xfId="0" applyNumberFormat="1" applyBorder="1" applyAlignment="1">
      <alignment horizontal="center"/>
    </xf>
    <xf numFmtId="0" fontId="0" fillId="0" borderId="41" xfId="0" applyBorder="1" applyAlignment="1">
      <alignment horizontal="center" vertical="center"/>
    </xf>
    <xf numFmtId="0" fontId="0" fillId="0" borderId="42" xfId="0" applyBorder="1" applyAlignment="1">
      <alignment horizontal="center" vertical="center"/>
    </xf>
    <xf numFmtId="0" fontId="0" fillId="14" borderId="18" xfId="0" applyFill="1" applyBorder="1"/>
    <xf numFmtId="0" fontId="0" fillId="14" borderId="43" xfId="0" applyFill="1" applyBorder="1" applyAlignment="1">
      <alignment horizontal="left" vertical="center"/>
    </xf>
    <xf numFmtId="0" fontId="44" fillId="0" borderId="0" xfId="0" applyFont="1" applyAlignment="1">
      <alignment horizontal="center" vertical="center"/>
    </xf>
    <xf numFmtId="2" fontId="0" fillId="0" borderId="0" xfId="0" applyNumberFormat="1" applyAlignment="1">
      <alignment horizontal="center" vertical="center"/>
    </xf>
    <xf numFmtId="0" fontId="24" fillId="0" borderId="0" xfId="0" applyFont="1" applyAlignment="1">
      <alignment horizontal="left" vertical="center"/>
    </xf>
    <xf numFmtId="166" fontId="0" fillId="0" borderId="44" xfId="0" applyNumberFormat="1" applyBorder="1" applyAlignment="1">
      <alignment horizontal="center" vertical="center"/>
    </xf>
    <xf numFmtId="0" fontId="30" fillId="0" borderId="0" xfId="0" applyFont="1" applyAlignment="1">
      <alignment horizontal="left" vertical="center"/>
    </xf>
    <xf numFmtId="0" fontId="0" fillId="0" borderId="44" xfId="0" applyBorder="1" applyAlignment="1">
      <alignment horizontal="center" vertical="center"/>
    </xf>
    <xf numFmtId="166" fontId="24" fillId="0" borderId="45" xfId="0" applyNumberFormat="1" applyFont="1" applyBorder="1" applyAlignment="1">
      <alignment horizontal="center" vertical="center"/>
    </xf>
    <xf numFmtId="0" fontId="42" fillId="16" borderId="20" xfId="0" applyFont="1" applyFill="1" applyBorder="1" applyAlignment="1">
      <alignment horizontal="left" vertical="center"/>
    </xf>
    <xf numFmtId="0" fontId="0" fillId="16" borderId="11" xfId="0" applyFill="1" applyBorder="1"/>
    <xf numFmtId="0" fontId="0" fillId="16" borderId="11" xfId="0" applyFill="1" applyBorder="1" applyAlignment="1">
      <alignment horizontal="center" vertical="center"/>
    </xf>
    <xf numFmtId="0" fontId="55" fillId="16" borderId="26" xfId="0" applyFont="1" applyFill="1" applyBorder="1" applyAlignment="1">
      <alignment horizontal="left" vertical="center"/>
    </xf>
    <xf numFmtId="167" fontId="0" fillId="0" borderId="10" xfId="0" applyNumberFormat="1" applyBorder="1" applyAlignment="1">
      <alignment horizontal="center" vertical="center"/>
    </xf>
    <xf numFmtId="0" fontId="58" fillId="0" borderId="0" xfId="0" applyFont="1" applyAlignment="1">
      <alignment horizontal="left" vertical="center"/>
    </xf>
    <xf numFmtId="0" fontId="44" fillId="0" borderId="0" xfId="0" applyFont="1" applyAlignment="1">
      <alignment horizontal="left" vertical="center"/>
    </xf>
    <xf numFmtId="0" fontId="0" fillId="16" borderId="20" xfId="0" applyFill="1" applyBorder="1" applyAlignment="1">
      <alignment horizontal="left" vertical="center"/>
    </xf>
    <xf numFmtId="3" fontId="0" fillId="0" borderId="34" xfId="0" applyNumberFormat="1" applyBorder="1" applyAlignment="1">
      <alignment horizontal="center" vertical="center"/>
    </xf>
    <xf numFmtId="167" fontId="55" fillId="16" borderId="25" xfId="0" applyNumberFormat="1" applyFont="1" applyFill="1" applyBorder="1" applyAlignment="1">
      <alignment horizontal="center" vertical="center" shrinkToFit="1"/>
    </xf>
    <xf numFmtId="0" fontId="0" fillId="14" borderId="0" xfId="0" applyFill="1" applyAlignment="1">
      <alignment horizontal="center" vertical="center"/>
    </xf>
    <xf numFmtId="166" fontId="0" fillId="0" borderId="28" xfId="0" applyNumberFormat="1" applyBorder="1" applyAlignment="1">
      <alignment horizontal="center" vertical="center"/>
    </xf>
    <xf numFmtId="166" fontId="0" fillId="16" borderId="10" xfId="0" applyNumberFormat="1" applyFill="1" applyBorder="1" applyAlignment="1">
      <alignment horizontal="center"/>
    </xf>
    <xf numFmtId="0" fontId="45" fillId="0" borderId="10" xfId="0" applyFont="1" applyBorder="1"/>
    <xf numFmtId="0" fontId="45" fillId="0" borderId="28" xfId="0" applyFont="1" applyBorder="1"/>
    <xf numFmtId="0" fontId="44" fillId="0" borderId="46" xfId="0" applyFont="1" applyBorder="1" applyAlignment="1">
      <alignment horizontal="left" vertical="center"/>
    </xf>
    <xf numFmtId="0" fontId="45" fillId="0" borderId="34" xfId="0" applyFont="1" applyBorder="1"/>
    <xf numFmtId="166" fontId="0" fillId="0" borderId="34" xfId="0" applyNumberFormat="1" applyBorder="1" applyAlignment="1">
      <alignment horizontal="center"/>
    </xf>
    <xf numFmtId="0" fontId="0" fillId="0" borderId="34" xfId="0" applyBorder="1" applyAlignment="1">
      <alignment horizontal="center"/>
    </xf>
    <xf numFmtId="0" fontId="0" fillId="0" borderId="47" xfId="0" applyBorder="1" applyAlignment="1">
      <alignment horizontal="center"/>
    </xf>
    <xf numFmtId="0" fontId="0" fillId="0" borderId="41" xfId="0" applyBorder="1" applyAlignment="1">
      <alignment horizontal="center"/>
    </xf>
    <xf numFmtId="166" fontId="0" fillId="0" borderId="41" xfId="0" applyNumberFormat="1" applyBorder="1" applyAlignment="1">
      <alignment horizontal="center"/>
    </xf>
    <xf numFmtId="2" fontId="0" fillId="0" borderId="34" xfId="0" applyNumberFormat="1" applyBorder="1" applyAlignment="1">
      <alignment horizontal="center" vertical="center"/>
    </xf>
    <xf numFmtId="2" fontId="0" fillId="0" borderId="42" xfId="0" applyNumberFormat="1" applyBorder="1" applyAlignment="1">
      <alignment horizontal="center" vertical="center"/>
    </xf>
    <xf numFmtId="2" fontId="0" fillId="0" borderId="41" xfId="0" applyNumberFormat="1" applyBorder="1" applyAlignment="1">
      <alignment horizontal="center" vertical="center"/>
    </xf>
    <xf numFmtId="0" fontId="44" fillId="0" borderId="48" xfId="0" applyFont="1" applyBorder="1" applyAlignment="1">
      <alignment horizontal="left" vertical="center"/>
    </xf>
    <xf numFmtId="166" fontId="0" fillId="0" borderId="20" xfId="0" applyNumberFormat="1" applyBorder="1" applyAlignment="1">
      <alignment horizontal="center"/>
    </xf>
    <xf numFmtId="166" fontId="0" fillId="0" borderId="22" xfId="0" applyNumberFormat="1" applyBorder="1" applyAlignment="1">
      <alignment horizontal="center"/>
    </xf>
    <xf numFmtId="2" fontId="0" fillId="0" borderId="26" xfId="0" applyNumberFormat="1" applyBorder="1" applyAlignment="1">
      <alignment horizontal="center" vertical="center"/>
    </xf>
    <xf numFmtId="166" fontId="0" fillId="0" borderId="21" xfId="578" applyNumberFormat="1" applyFont="1" applyBorder="1" applyAlignment="1">
      <alignment horizontal="center" vertical="center"/>
    </xf>
    <xf numFmtId="166" fontId="0" fillId="0" borderId="11" xfId="578" applyNumberFormat="1" applyFont="1" applyBorder="1" applyAlignment="1">
      <alignment horizontal="center" vertical="center"/>
    </xf>
    <xf numFmtId="166" fontId="0" fillId="0" borderId="10" xfId="578" applyNumberFormat="1" applyFont="1" applyBorder="1" applyAlignment="1">
      <alignment horizontal="center" vertical="center"/>
    </xf>
    <xf numFmtId="0" fontId="0" fillId="15" borderId="10" xfId="0" applyFill="1" applyBorder="1" applyAlignment="1">
      <alignment horizontal="center" vertical="center"/>
    </xf>
    <xf numFmtId="0" fontId="112" fillId="15" borderId="0" xfId="578" applyFill="1"/>
    <xf numFmtId="0" fontId="0" fillId="15" borderId="0" xfId="0" applyFill="1"/>
    <xf numFmtId="0" fontId="54" fillId="15" borderId="0" xfId="578" applyFont="1" applyFill="1"/>
    <xf numFmtId="0" fontId="66" fillId="15" borderId="0" xfId="578" applyFont="1" applyFill="1" applyAlignment="1">
      <alignment vertical="center"/>
    </xf>
    <xf numFmtId="0" fontId="54" fillId="15" borderId="0" xfId="578" applyFont="1" applyFill="1" applyAlignment="1">
      <alignment horizontal="left" vertical="center" wrapText="1"/>
    </xf>
    <xf numFmtId="0" fontId="0" fillId="0" borderId="0" xfId="0" applyProtection="1">
      <protection locked="0"/>
    </xf>
    <xf numFmtId="0" fontId="54" fillId="15" borderId="0" xfId="578" applyFont="1" applyFill="1" applyAlignment="1">
      <alignment vertical="center"/>
    </xf>
    <xf numFmtId="0" fontId="45" fillId="0" borderId="0" xfId="0" applyFont="1"/>
    <xf numFmtId="0" fontId="45" fillId="15" borderId="0" xfId="0" applyFont="1" applyFill="1"/>
    <xf numFmtId="0" fontId="0" fillId="15" borderId="0" xfId="578" applyFont="1" applyFill="1"/>
    <xf numFmtId="0" fontId="43" fillId="15" borderId="0" xfId="578" applyFont="1" applyFill="1" applyAlignment="1">
      <alignment horizontal="left" vertical="center" wrapText="1"/>
    </xf>
    <xf numFmtId="0" fontId="0" fillId="15" borderId="0" xfId="578" applyFont="1" applyFill="1" applyAlignment="1">
      <alignment vertical="center"/>
    </xf>
    <xf numFmtId="0" fontId="0" fillId="0" borderId="0" xfId="578" applyFont="1"/>
    <xf numFmtId="0" fontId="44" fillId="0" borderId="0" xfId="0" applyFont="1"/>
    <xf numFmtId="0" fontId="52" fillId="0" borderId="0" xfId="578" applyFont="1" applyAlignment="1">
      <alignment vertical="center"/>
    </xf>
    <xf numFmtId="0" fontId="44" fillId="0" borderId="0" xfId="0" applyFont="1" applyAlignment="1">
      <alignment vertical="center"/>
    </xf>
    <xf numFmtId="0" fontId="0" fillId="0" borderId="0" xfId="578" applyFont="1" applyAlignment="1">
      <alignment vertical="center"/>
    </xf>
    <xf numFmtId="0" fontId="43" fillId="0" borderId="0" xfId="578" applyFont="1" applyAlignment="1">
      <alignment horizontal="left" vertical="center"/>
    </xf>
    <xf numFmtId="0" fontId="45" fillId="0" borderId="0" xfId="578" applyFont="1" applyAlignment="1">
      <alignment vertical="center"/>
    </xf>
    <xf numFmtId="0" fontId="45" fillId="0" borderId="0" xfId="578" applyFont="1" applyAlignment="1">
      <alignment horizontal="left" vertical="center"/>
    </xf>
    <xf numFmtId="0" fontId="43" fillId="0" borderId="0" xfId="578" applyFont="1" applyAlignment="1">
      <alignment vertical="center"/>
    </xf>
    <xf numFmtId="0" fontId="74" fillId="0" borderId="0" xfId="0" applyFont="1" applyAlignment="1">
      <alignment vertical="center"/>
    </xf>
    <xf numFmtId="0" fontId="45" fillId="0" borderId="0" xfId="0" applyFont="1" applyAlignment="1">
      <alignment vertical="center"/>
    </xf>
    <xf numFmtId="0" fontId="0" fillId="0" borderId="0" xfId="578" applyFont="1" applyAlignment="1">
      <alignment horizontal="left" vertical="center"/>
    </xf>
    <xf numFmtId="0" fontId="45" fillId="0" borderId="0" xfId="578" applyFont="1"/>
    <xf numFmtId="2" fontId="0" fillId="0" borderId="0" xfId="578" applyNumberFormat="1" applyFont="1" applyAlignment="1">
      <alignment vertical="center"/>
    </xf>
    <xf numFmtId="0" fontId="112" fillId="0" borderId="0" xfId="578"/>
    <xf numFmtId="0" fontId="0" fillId="14" borderId="0" xfId="0" applyFill="1"/>
    <xf numFmtId="2" fontId="0" fillId="15" borderId="10" xfId="0" applyNumberFormat="1" applyFill="1" applyBorder="1" applyAlignment="1">
      <alignment horizontal="center" vertical="center"/>
    </xf>
    <xf numFmtId="0" fontId="54" fillId="15" borderId="10" xfId="0" applyFont="1" applyFill="1" applyBorder="1" applyAlignment="1">
      <alignment horizontal="center" vertical="center"/>
    </xf>
    <xf numFmtId="0" fontId="30" fillId="15" borderId="10" xfId="0" applyFont="1" applyFill="1" applyBorder="1"/>
    <xf numFmtId="2" fontId="30" fillId="15" borderId="10" xfId="0" applyNumberFormat="1" applyFont="1" applyFill="1" applyBorder="1" applyAlignment="1">
      <alignment horizontal="center"/>
    </xf>
    <xf numFmtId="0" fontId="53" fillId="14" borderId="0" xfId="0" applyFont="1" applyFill="1" applyAlignment="1">
      <alignment horizontal="left" vertical="center"/>
    </xf>
    <xf numFmtId="0" fontId="0" fillId="15" borderId="0" xfId="0" applyFill="1" applyAlignment="1">
      <alignment wrapText="1"/>
    </xf>
    <xf numFmtId="0" fontId="30" fillId="14" borderId="0" xfId="167" applyNumberFormat="1" applyFont="1" applyFill="1" applyBorder="1" applyProtection="1"/>
    <xf numFmtId="9" fontId="30" fillId="15" borderId="10" xfId="547" applyFont="1" applyFill="1" applyBorder="1" applyAlignment="1" applyProtection="1">
      <alignment horizontal="center" vertical="center"/>
      <protection hidden="1"/>
    </xf>
    <xf numFmtId="0" fontId="45" fillId="14" borderId="0" xfId="0" applyFont="1" applyFill="1"/>
    <xf numFmtId="2" fontId="53" fillId="15" borderId="10" xfId="0" applyNumberFormat="1" applyFont="1" applyFill="1" applyBorder="1" applyAlignment="1">
      <alignment horizontal="center" vertical="center"/>
    </xf>
    <xf numFmtId="0" fontId="0" fillId="0" borderId="20" xfId="0" applyBorder="1"/>
    <xf numFmtId="0" fontId="43" fillId="0" borderId="10" xfId="0" applyFont="1" applyBorder="1" applyAlignment="1">
      <alignment horizontal="right"/>
    </xf>
    <xf numFmtId="0" fontId="53" fillId="0" borderId="0" xfId="0" applyFont="1" applyAlignment="1">
      <alignment horizontal="left" vertical="center"/>
    </xf>
    <xf numFmtId="0" fontId="54" fillId="0" borderId="10" xfId="0" applyFont="1" applyBorder="1" applyAlignment="1">
      <alignment horizontal="center" vertical="center"/>
    </xf>
    <xf numFmtId="1" fontId="53" fillId="0" borderId="21" xfId="0" applyNumberFormat="1" applyFont="1" applyBorder="1" applyAlignment="1">
      <alignment horizontal="center" vertical="center"/>
    </xf>
    <xf numFmtId="1" fontId="53" fillId="0" borderId="10" xfId="0" applyNumberFormat="1" applyFont="1" applyBorder="1" applyAlignment="1">
      <alignment horizontal="center" vertical="center"/>
    </xf>
    <xf numFmtId="9" fontId="30" fillId="0" borderId="10" xfId="547" applyFont="1" applyFill="1" applyBorder="1" applyAlignment="1" applyProtection="1">
      <alignment horizontal="center" vertical="center"/>
      <protection hidden="1"/>
    </xf>
    <xf numFmtId="1" fontId="53" fillId="15" borderId="10" xfId="0" applyNumberFormat="1" applyFont="1" applyFill="1" applyBorder="1" applyAlignment="1">
      <alignment horizontal="center" vertical="center"/>
    </xf>
    <xf numFmtId="1" fontId="53" fillId="15" borderId="21" xfId="0" applyNumberFormat="1" applyFont="1" applyFill="1" applyBorder="1" applyAlignment="1">
      <alignment horizontal="center" vertical="center"/>
    </xf>
    <xf numFmtId="1" fontId="53" fillId="15" borderId="34" xfId="0" applyNumberFormat="1" applyFont="1" applyFill="1" applyBorder="1" applyAlignment="1">
      <alignment horizontal="center" vertical="center"/>
    </xf>
    <xf numFmtId="9" fontId="30" fillId="0" borderId="28" xfId="547" applyFont="1" applyFill="1" applyBorder="1" applyAlignment="1" applyProtection="1">
      <alignment horizontal="center" vertical="center"/>
      <protection hidden="1"/>
    </xf>
    <xf numFmtId="1" fontId="53" fillId="15" borderId="28" xfId="0" applyNumberFormat="1" applyFont="1" applyFill="1" applyBorder="1" applyAlignment="1">
      <alignment horizontal="center" vertical="center"/>
    </xf>
    <xf numFmtId="9" fontId="30" fillId="15" borderId="28" xfId="547" applyFont="1" applyFill="1" applyBorder="1" applyAlignment="1" applyProtection="1">
      <alignment horizontal="center" vertical="center"/>
      <protection hidden="1"/>
    </xf>
    <xf numFmtId="1" fontId="53" fillId="15" borderId="20" xfId="0" applyNumberFormat="1" applyFont="1" applyFill="1" applyBorder="1" applyAlignment="1">
      <alignment horizontal="center" vertical="center"/>
    </xf>
    <xf numFmtId="0" fontId="0" fillId="14" borderId="28" xfId="0" applyFill="1" applyBorder="1"/>
    <xf numFmtId="1" fontId="53" fillId="15" borderId="39" xfId="0" applyNumberFormat="1" applyFont="1" applyFill="1" applyBorder="1" applyAlignment="1">
      <alignment horizontal="center" vertical="center"/>
    </xf>
    <xf numFmtId="0" fontId="24" fillId="14" borderId="40" xfId="0" applyFont="1" applyFill="1" applyBorder="1" applyAlignment="1">
      <alignment vertical="center"/>
    </xf>
    <xf numFmtId="166" fontId="53" fillId="15" borderId="16" xfId="0" applyNumberFormat="1" applyFont="1" applyFill="1" applyBorder="1" applyAlignment="1">
      <alignment horizontal="center" vertical="center"/>
    </xf>
    <xf numFmtId="166" fontId="53" fillId="15" borderId="50" xfId="0" applyNumberFormat="1" applyFont="1" applyFill="1" applyBorder="1" applyAlignment="1">
      <alignment horizontal="center" vertical="center"/>
    </xf>
    <xf numFmtId="166" fontId="53" fillId="15" borderId="18" xfId="0" applyNumberFormat="1" applyFont="1" applyFill="1" applyBorder="1" applyAlignment="1">
      <alignment horizontal="center" vertical="center"/>
    </xf>
    <xf numFmtId="9" fontId="0" fillId="15" borderId="44" xfId="0" applyNumberFormat="1" applyFill="1" applyBorder="1" applyAlignment="1">
      <alignment horizontal="center"/>
    </xf>
    <xf numFmtId="166" fontId="53" fillId="15" borderId="40" xfId="0" applyNumberFormat="1" applyFont="1" applyFill="1" applyBorder="1" applyAlignment="1">
      <alignment horizontal="center" vertical="center"/>
    </xf>
    <xf numFmtId="2" fontId="53" fillId="15" borderId="34" xfId="0" applyNumberFormat="1" applyFont="1" applyFill="1" applyBorder="1" applyAlignment="1">
      <alignment horizontal="center" vertical="center"/>
    </xf>
    <xf numFmtId="2" fontId="0" fillId="15" borderId="34" xfId="0" applyNumberFormat="1" applyFill="1" applyBorder="1" applyAlignment="1">
      <alignment horizontal="center"/>
    </xf>
    <xf numFmtId="0" fontId="53" fillId="15" borderId="34" xfId="0" applyFont="1" applyFill="1" applyBorder="1" applyAlignment="1">
      <alignment horizontal="center" vertical="center"/>
    </xf>
    <xf numFmtId="2" fontId="0" fillId="15" borderId="10" xfId="0" applyNumberFormat="1" applyFill="1" applyBorder="1" applyAlignment="1">
      <alignment horizontal="center"/>
    </xf>
    <xf numFmtId="0" fontId="53" fillId="15" borderId="10" xfId="0" applyFont="1" applyFill="1" applyBorder="1" applyAlignment="1">
      <alignment horizontal="center" vertical="center"/>
    </xf>
    <xf numFmtId="2" fontId="0" fillId="15" borderId="28" xfId="0" applyNumberFormat="1" applyFill="1" applyBorder="1" applyAlignment="1">
      <alignment horizontal="center"/>
    </xf>
    <xf numFmtId="9" fontId="53" fillId="15" borderId="51" xfId="547" applyFont="1" applyFill="1" applyBorder="1" applyAlignment="1" applyProtection="1">
      <alignment horizontal="center" vertical="center"/>
    </xf>
    <xf numFmtId="166" fontId="53" fillId="15" borderId="51" xfId="0" applyNumberFormat="1" applyFont="1" applyFill="1" applyBorder="1" applyAlignment="1">
      <alignment horizontal="center" vertical="center"/>
    </xf>
    <xf numFmtId="166" fontId="53" fillId="15" borderId="52" xfId="0" applyNumberFormat="1" applyFont="1" applyFill="1" applyBorder="1" applyAlignment="1">
      <alignment horizontal="center" vertical="center"/>
    </xf>
    <xf numFmtId="0" fontId="53" fillId="0" borderId="0" xfId="0" applyFont="1" applyAlignment="1">
      <alignment horizontal="right" vertical="center"/>
    </xf>
    <xf numFmtId="167" fontId="53" fillId="15" borderId="10" xfId="0" applyNumberFormat="1" applyFont="1" applyFill="1" applyBorder="1" applyAlignment="1">
      <alignment horizontal="center" vertical="center"/>
    </xf>
    <xf numFmtId="0" fontId="0" fillId="0" borderId="0" xfId="0" applyAlignment="1">
      <alignment shrinkToFit="1"/>
    </xf>
    <xf numFmtId="166" fontId="0" fillId="0" borderId="10" xfId="0" applyNumberFormat="1" applyBorder="1" applyAlignment="1">
      <alignment horizontal="center" vertical="center" wrapText="1"/>
    </xf>
    <xf numFmtId="166" fontId="0" fillId="0" borderId="53" xfId="0" applyNumberFormat="1" applyBorder="1" applyAlignment="1">
      <alignment horizontal="center" vertical="center" wrapText="1"/>
    </xf>
    <xf numFmtId="166" fontId="0" fillId="0" borderId="34" xfId="0" applyNumberFormat="1" applyBorder="1" applyAlignment="1">
      <alignment horizontal="center" vertical="center" wrapText="1"/>
    </xf>
    <xf numFmtId="166" fontId="0" fillId="0" borderId="0" xfId="0" applyNumberFormat="1" applyAlignment="1">
      <alignment horizontal="center" vertical="center" wrapText="1"/>
    </xf>
    <xf numFmtId="166" fontId="0" fillId="0" borderId="28" xfId="0" applyNumberFormat="1" applyBorder="1" applyAlignment="1">
      <alignment horizontal="center" vertical="center" wrapText="1"/>
    </xf>
    <xf numFmtId="0" fontId="0" fillId="0" borderId="28" xfId="0" applyBorder="1" applyAlignment="1">
      <alignment horizontal="center" vertical="center" wrapText="1"/>
    </xf>
    <xf numFmtId="0" fontId="44" fillId="15" borderId="0" xfId="0" applyFont="1" applyFill="1" applyAlignment="1">
      <alignment vertical="center" wrapText="1"/>
    </xf>
    <xf numFmtId="0" fontId="44" fillId="15" borderId="0" xfId="0" applyFont="1" applyFill="1" applyAlignment="1">
      <alignment horizontal="center" vertical="center"/>
    </xf>
    <xf numFmtId="0" fontId="44" fillId="15" borderId="0" xfId="0" applyFont="1" applyFill="1"/>
    <xf numFmtId="0" fontId="24" fillId="15" borderId="0" xfId="0" applyFont="1" applyFill="1" applyAlignment="1">
      <alignment horizontal="left" vertical="center" indent="1"/>
    </xf>
    <xf numFmtId="0" fontId="44" fillId="15" borderId="0" xfId="0" applyFont="1" applyFill="1" applyAlignment="1">
      <alignment horizontal="left" vertical="center" wrapText="1" indent="1"/>
    </xf>
    <xf numFmtId="0" fontId="44" fillId="15" borderId="0" xfId="0" applyFont="1" applyFill="1" applyAlignment="1">
      <alignment shrinkToFit="1"/>
    </xf>
    <xf numFmtId="0" fontId="24" fillId="15" borderId="0" xfId="0" applyFont="1" applyFill="1" applyAlignment="1">
      <alignment vertical="center"/>
    </xf>
    <xf numFmtId="0" fontId="50" fillId="14" borderId="0" xfId="0" applyFont="1" applyFill="1" applyAlignment="1">
      <alignment horizontal="center" vertical="center" wrapText="1"/>
    </xf>
    <xf numFmtId="0" fontId="0" fillId="0" borderId="0" xfId="0" applyAlignment="1">
      <alignment vertical="center"/>
    </xf>
    <xf numFmtId="0" fontId="42" fillId="15" borderId="0" xfId="0" applyFont="1" applyFill="1" applyAlignment="1">
      <alignment horizontal="left" vertical="center"/>
    </xf>
    <xf numFmtId="0" fontId="54" fillId="15" borderId="0" xfId="0" applyFont="1" applyFill="1" applyAlignment="1" applyProtection="1">
      <alignment horizontal="left" vertical="center"/>
      <protection locked="0"/>
    </xf>
    <xf numFmtId="0" fontId="43" fillId="15" borderId="0" xfId="0" applyFont="1" applyFill="1" applyAlignment="1">
      <alignment horizontal="left" vertical="center"/>
    </xf>
    <xf numFmtId="0" fontId="53" fillId="0" borderId="47" xfId="0" applyFont="1" applyBorder="1" applyAlignment="1">
      <alignment horizontal="left" vertical="center"/>
    </xf>
    <xf numFmtId="0" fontId="53" fillId="0" borderId="48" xfId="0" applyFont="1" applyBorder="1" applyAlignment="1">
      <alignment horizontal="left" vertical="center"/>
    </xf>
    <xf numFmtId="0" fontId="42" fillId="0" borderId="48" xfId="0" applyFont="1" applyBorder="1" applyAlignment="1">
      <alignment horizontal="center" vertical="center" wrapText="1"/>
    </xf>
    <xf numFmtId="0" fontId="53" fillId="0" borderId="20" xfId="0" applyFont="1" applyBorder="1" applyAlignment="1">
      <alignment vertical="center"/>
    </xf>
    <xf numFmtId="0" fontId="0" fillId="0" borderId="11" xfId="0" applyBorder="1" applyAlignment="1">
      <alignment horizontal="left" vertical="center" wrapText="1"/>
    </xf>
    <xf numFmtId="0" fontId="53" fillId="0" borderId="11" xfId="0" applyFont="1" applyBorder="1" applyAlignment="1">
      <alignment vertical="center" wrapText="1"/>
    </xf>
    <xf numFmtId="0" fontId="53" fillId="0" borderId="49" xfId="0" applyFont="1" applyBorder="1" applyAlignment="1">
      <alignment vertical="center" wrapText="1"/>
    </xf>
    <xf numFmtId="166" fontId="0" fillId="0" borderId="47" xfId="0" applyNumberFormat="1" applyBorder="1" applyAlignment="1">
      <alignment horizontal="right" vertical="center" indent="1"/>
    </xf>
    <xf numFmtId="166" fontId="48" fillId="0" borderId="20" xfId="0" applyNumberFormat="1" applyFont="1" applyBorder="1" applyAlignment="1">
      <alignment horizontal="center" vertical="center" wrapText="1"/>
    </xf>
    <xf numFmtId="0" fontId="53" fillId="0" borderId="20" xfId="0" applyFont="1" applyBorder="1" applyAlignment="1">
      <alignment horizontal="left" vertical="center"/>
    </xf>
    <xf numFmtId="0" fontId="0" fillId="0" borderId="11" xfId="0" applyBorder="1" applyAlignment="1">
      <alignment horizontal="center"/>
    </xf>
    <xf numFmtId="0" fontId="53" fillId="0" borderId="35" xfId="0" applyFont="1" applyBorder="1" applyAlignment="1">
      <alignment horizontal="left" vertical="center"/>
    </xf>
    <xf numFmtId="0" fontId="43" fillId="0" borderId="48" xfId="0" applyFont="1" applyBorder="1" applyAlignment="1">
      <alignment horizontal="left" vertical="center"/>
    </xf>
    <xf numFmtId="0" fontId="0" fillId="0" borderId="48" xfId="0" applyBorder="1"/>
    <xf numFmtId="0" fontId="0" fillId="0" borderId="48" xfId="0" applyBorder="1" applyAlignment="1">
      <alignment horizontal="center"/>
    </xf>
    <xf numFmtId="167" fontId="42" fillId="0" borderId="0" xfId="0" applyNumberFormat="1" applyFont="1" applyAlignment="1">
      <alignment horizontal="center" vertical="center"/>
    </xf>
    <xf numFmtId="0" fontId="53" fillId="0" borderId="10" xfId="578" applyFont="1" applyBorder="1" applyAlignment="1">
      <alignment horizontal="left" vertical="center" wrapText="1" indent="1"/>
    </xf>
    <xf numFmtId="166" fontId="53" fillId="0" borderId="10" xfId="578" applyNumberFormat="1" applyFont="1" applyBorder="1" applyAlignment="1">
      <alignment horizontal="center" vertical="center" wrapText="1"/>
    </xf>
    <xf numFmtId="0" fontId="53" fillId="0" borderId="10" xfId="578" applyFont="1" applyBorder="1" applyAlignment="1">
      <alignment horizontal="center" vertical="center" wrapText="1"/>
    </xf>
    <xf numFmtId="167" fontId="53" fillId="0" borderId="10" xfId="578" applyNumberFormat="1" applyFont="1" applyBorder="1" applyAlignment="1">
      <alignment horizontal="center" vertical="center" wrapText="1"/>
    </xf>
    <xf numFmtId="0" fontId="53" fillId="0" borderId="28" xfId="578" applyFont="1" applyBorder="1" applyAlignment="1">
      <alignment horizontal="left" vertical="center" wrapText="1" indent="1"/>
    </xf>
    <xf numFmtId="166" fontId="53" fillId="0" borderId="28" xfId="578" applyNumberFormat="1" applyFont="1" applyBorder="1" applyAlignment="1">
      <alignment horizontal="center" vertical="center" wrapText="1"/>
    </xf>
    <xf numFmtId="0" fontId="53" fillId="0" borderId="28" xfId="578" applyFont="1" applyBorder="1" applyAlignment="1">
      <alignment horizontal="center" vertical="center" wrapText="1"/>
    </xf>
    <xf numFmtId="167" fontId="53" fillId="0" borderId="28" xfId="578" applyNumberFormat="1" applyFont="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43" fillId="0" borderId="0" xfId="0" applyFont="1" applyAlignment="1">
      <alignment horizontal="center" vertical="center"/>
    </xf>
    <xf numFmtId="14" fontId="0" fillId="0" borderId="0" xfId="0" applyNumberFormat="1"/>
    <xf numFmtId="0" fontId="67" fillId="0" borderId="0" xfId="0" applyFont="1"/>
    <xf numFmtId="0" fontId="60" fillId="0" borderId="0" xfId="578" applyFont="1"/>
    <xf numFmtId="0" fontId="0" fillId="0" borderId="10" xfId="578" applyFont="1" applyBorder="1" applyAlignment="1" applyProtection="1">
      <alignment vertical="center"/>
      <protection locked="0"/>
    </xf>
    <xf numFmtId="2" fontId="0" fillId="0" borderId="10" xfId="578" applyNumberFormat="1" applyFont="1" applyBorder="1" applyAlignment="1" applyProtection="1">
      <alignment horizontal="center" vertical="center"/>
      <protection locked="0"/>
    </xf>
    <xf numFmtId="0" fontId="52" fillId="0" borderId="0" xfId="578" applyFont="1"/>
    <xf numFmtId="0" fontId="54" fillId="0" borderId="0" xfId="578" applyFont="1"/>
    <xf numFmtId="0" fontId="60" fillId="0" borderId="0" xfId="578" applyFont="1" applyAlignment="1">
      <alignment vertical="center"/>
    </xf>
    <xf numFmtId="0" fontId="0" fillId="0" borderId="28" xfId="578" applyFont="1" applyBorder="1" applyAlignment="1" applyProtection="1">
      <alignment vertical="center"/>
      <protection locked="0"/>
    </xf>
    <xf numFmtId="2" fontId="0" fillId="0" borderId="28" xfId="578" applyNumberFormat="1" applyFont="1" applyBorder="1" applyAlignment="1" applyProtection="1">
      <alignment horizontal="center" vertical="center"/>
      <protection locked="0"/>
    </xf>
    <xf numFmtId="0" fontId="60" fillId="0" borderId="0" xfId="578" applyFont="1" applyAlignment="1" applyProtection="1">
      <alignment horizontal="left"/>
      <protection locked="0" hidden="1"/>
    </xf>
    <xf numFmtId="0" fontId="60" fillId="0" borderId="0" xfId="578" applyFont="1" applyAlignment="1" applyProtection="1">
      <alignment horizontal="center"/>
      <protection locked="0" hidden="1"/>
    </xf>
    <xf numFmtId="0" fontId="60" fillId="0" borderId="0" xfId="578" applyFont="1" applyAlignment="1" applyProtection="1">
      <alignment horizontal="center"/>
      <protection hidden="1"/>
    </xf>
    <xf numFmtId="0" fontId="60" fillId="0" borderId="0" xfId="578" applyFont="1" applyProtection="1">
      <protection hidden="1"/>
    </xf>
    <xf numFmtId="0" fontId="0" fillId="0" borderId="10" xfId="578" applyFont="1" applyBorder="1" applyAlignment="1" applyProtection="1">
      <alignment horizontal="center" vertical="center"/>
      <protection hidden="1"/>
    </xf>
    <xf numFmtId="0" fontId="0" fillId="0" borderId="10" xfId="578" applyFont="1" applyBorder="1" applyAlignment="1" applyProtection="1">
      <alignment horizontal="center"/>
      <protection hidden="1"/>
    </xf>
    <xf numFmtId="1" fontId="0" fillId="0" borderId="10" xfId="578" applyNumberFormat="1" applyFont="1" applyBorder="1" applyAlignment="1" applyProtection="1">
      <alignment horizontal="center"/>
      <protection hidden="1"/>
    </xf>
    <xf numFmtId="0" fontId="54" fillId="0" borderId="0" xfId="578" applyFont="1" applyAlignment="1">
      <alignment vertical="center"/>
    </xf>
    <xf numFmtId="0" fontId="0" fillId="0" borderId="0" xfId="578" applyFont="1" applyAlignment="1" applyProtection="1">
      <alignment horizontal="center"/>
      <protection hidden="1"/>
    </xf>
    <xf numFmtId="1" fontId="0" fillId="0" borderId="12" xfId="578" applyNumberFormat="1" applyFont="1" applyBorder="1" applyAlignment="1" applyProtection="1">
      <alignment horizontal="center"/>
      <protection hidden="1"/>
    </xf>
    <xf numFmtId="0" fontId="0" fillId="0" borderId="12" xfId="578" applyFont="1" applyBorder="1" applyAlignment="1" applyProtection="1">
      <alignment horizontal="center"/>
      <protection hidden="1"/>
    </xf>
    <xf numFmtId="0" fontId="41" fillId="0" borderId="0" xfId="0" applyFont="1"/>
    <xf numFmtId="0" fontId="0" fillId="0" borderId="41" xfId="0" applyBorder="1" applyAlignment="1">
      <alignment wrapText="1"/>
    </xf>
    <xf numFmtId="0" fontId="43" fillId="0" borderId="49" xfId="0" applyFont="1" applyBorder="1" applyAlignment="1">
      <alignment horizontal="center"/>
    </xf>
    <xf numFmtId="0" fontId="43" fillId="0" borderId="54" xfId="0" applyFont="1" applyBorder="1" applyAlignment="1">
      <alignment horizontal="center"/>
    </xf>
    <xf numFmtId="166" fontId="43" fillId="0" borderId="10" xfId="0" applyNumberFormat="1" applyFont="1" applyBorder="1" applyAlignment="1">
      <alignment horizontal="center"/>
    </xf>
    <xf numFmtId="166" fontId="43" fillId="0" borderId="26" xfId="0" applyNumberFormat="1" applyFont="1" applyBorder="1" applyAlignment="1">
      <alignment horizontal="center"/>
    </xf>
    <xf numFmtId="167" fontId="52" fillId="0" borderId="25" xfId="0" applyNumberFormat="1" applyFont="1" applyBorder="1" applyAlignment="1">
      <alignment horizontal="center" vertical="center"/>
    </xf>
    <xf numFmtId="167" fontId="52" fillId="0" borderId="26" xfId="0" applyNumberFormat="1" applyFont="1" applyBorder="1" applyAlignment="1">
      <alignment horizontal="center" vertical="center"/>
    </xf>
    <xf numFmtId="167" fontId="52" fillId="0" borderId="22" xfId="0" applyNumberFormat="1" applyFont="1" applyBorder="1" applyAlignment="1">
      <alignment horizontal="center" vertical="center"/>
    </xf>
    <xf numFmtId="167" fontId="52" fillId="0" borderId="27" xfId="0" applyNumberFormat="1" applyFont="1" applyBorder="1" applyAlignment="1">
      <alignment horizontal="center" vertical="center"/>
    </xf>
    <xf numFmtId="0" fontId="0" fillId="0" borderId="22" xfId="0" applyBorder="1" applyAlignment="1">
      <alignment vertical="center"/>
    </xf>
    <xf numFmtId="0" fontId="75" fillId="0" borderId="0" xfId="0" applyFont="1"/>
    <xf numFmtId="0" fontId="0" fillId="0" borderId="22" xfId="0" applyBorder="1" applyAlignment="1">
      <alignment horizontal="left" vertical="center"/>
    </xf>
    <xf numFmtId="0" fontId="0" fillId="0" borderId="22" xfId="0" applyBorder="1" applyAlignment="1">
      <alignment horizontal="left"/>
    </xf>
    <xf numFmtId="166" fontId="43" fillId="0" borderId="54" xfId="0" applyNumberFormat="1" applyFont="1" applyBorder="1" applyAlignment="1">
      <alignment horizontal="center"/>
    </xf>
    <xf numFmtId="0" fontId="41" fillId="0" borderId="0" xfId="0" applyFont="1" applyAlignment="1">
      <alignment horizontal="center"/>
    </xf>
    <xf numFmtId="0" fontId="0" fillId="0" borderId="22" xfId="0" applyBorder="1" applyAlignment="1" applyProtection="1">
      <alignment horizontal="left"/>
      <protection hidden="1"/>
    </xf>
    <xf numFmtId="166" fontId="43" fillId="0" borderId="49" xfId="0" applyNumberFormat="1" applyFont="1" applyBorder="1" applyAlignment="1">
      <alignment horizontal="center"/>
    </xf>
    <xf numFmtId="0" fontId="54" fillId="0" borderId="22" xfId="0" applyFont="1" applyBorder="1" applyAlignment="1">
      <alignment horizontal="left"/>
    </xf>
    <xf numFmtId="0" fontId="75" fillId="0" borderId="0" xfId="0" applyFont="1" applyAlignment="1">
      <alignment horizontal="left"/>
    </xf>
    <xf numFmtId="0" fontId="41" fillId="0" borderId="0" xfId="0" applyFont="1" applyAlignment="1">
      <alignment horizontal="left"/>
    </xf>
    <xf numFmtId="4" fontId="52" fillId="0" borderId="25" xfId="0" applyNumberFormat="1" applyFont="1" applyBorder="1" applyAlignment="1">
      <alignment horizontal="center" vertical="center"/>
    </xf>
    <xf numFmtId="4" fontId="52" fillId="0" borderId="26" xfId="0" applyNumberFormat="1" applyFont="1" applyBorder="1" applyAlignment="1">
      <alignment horizontal="center"/>
    </xf>
    <xf numFmtId="4" fontId="52" fillId="0" borderId="22" xfId="0" applyNumberFormat="1" applyFont="1" applyBorder="1" applyAlignment="1">
      <alignment horizontal="center"/>
    </xf>
    <xf numFmtId="4" fontId="52" fillId="0" borderId="27" xfId="0" applyNumberFormat="1" applyFont="1" applyBorder="1" applyAlignment="1">
      <alignment horizontal="center"/>
    </xf>
    <xf numFmtId="0" fontId="0" fillId="0" borderId="22" xfId="0" applyBorder="1" applyAlignment="1">
      <alignment wrapText="1"/>
    </xf>
    <xf numFmtId="0" fontId="48" fillId="0" borderId="41" xfId="0" applyFont="1" applyBorder="1" applyAlignment="1">
      <alignment wrapText="1"/>
    </xf>
    <xf numFmtId="4" fontId="52" fillId="0" borderId="27" xfId="0" applyNumberFormat="1" applyFont="1" applyBorder="1" applyAlignment="1">
      <alignment horizontal="center" vertical="center"/>
    </xf>
    <xf numFmtId="0" fontId="41" fillId="0" borderId="41" xfId="0" applyFont="1" applyBorder="1" applyAlignment="1">
      <alignment wrapText="1"/>
    </xf>
    <xf numFmtId="4" fontId="52" fillId="0" borderId="25" xfId="0" applyNumberFormat="1" applyFont="1" applyBorder="1" applyAlignment="1">
      <alignment horizontal="center"/>
    </xf>
    <xf numFmtId="0" fontId="70" fillId="0" borderId="0" xfId="412" applyNumberFormat="1" applyFont="1" applyFill="1" applyBorder="1" applyAlignment="1" applyProtection="1">
      <alignment horizontal="center" vertical="center"/>
    </xf>
    <xf numFmtId="174" fontId="52" fillId="0" borderId="25" xfId="0" applyNumberFormat="1" applyFont="1" applyBorder="1" applyAlignment="1">
      <alignment horizontal="center"/>
    </xf>
    <xf numFmtId="174" fontId="52" fillId="0" borderId="55" xfId="0" applyNumberFormat="1" applyFont="1" applyBorder="1" applyAlignment="1">
      <alignment horizontal="center"/>
    </xf>
    <xf numFmtId="174" fontId="52" fillId="0" borderId="56" xfId="0" applyNumberFormat="1" applyFont="1" applyBorder="1" applyAlignment="1">
      <alignment horizontal="center"/>
    </xf>
    <xf numFmtId="174" fontId="52" fillId="0" borderId="27" xfId="0" applyNumberFormat="1" applyFont="1" applyBorder="1" applyAlignment="1">
      <alignment horizontal="center"/>
    </xf>
    <xf numFmtId="0" fontId="52" fillId="0" borderId="55" xfId="0" applyFont="1" applyBorder="1" applyAlignment="1">
      <alignment horizontal="center"/>
    </xf>
    <xf numFmtId="0" fontId="52" fillId="0" borderId="56" xfId="0" applyFont="1" applyBorder="1" applyAlignment="1">
      <alignment horizontal="center"/>
    </xf>
    <xf numFmtId="2" fontId="43" fillId="0" borderId="26" xfId="0" applyNumberFormat="1" applyFont="1" applyBorder="1" applyAlignment="1">
      <alignment horizontal="center"/>
    </xf>
    <xf numFmtId="174" fontId="52" fillId="0" borderId="57" xfId="0" applyNumberFormat="1" applyFont="1" applyBorder="1" applyAlignment="1">
      <alignment horizontal="center"/>
    </xf>
    <xf numFmtId="2" fontId="43" fillId="0" borderId="54" xfId="0" applyNumberFormat="1" applyFont="1" applyBorder="1" applyAlignment="1">
      <alignment horizontal="center"/>
    </xf>
    <xf numFmtId="0" fontId="43" fillId="0" borderId="49" xfId="0" applyFont="1" applyBorder="1"/>
    <xf numFmtId="0" fontId="43" fillId="0" borderId="10" xfId="0" applyFont="1" applyBorder="1"/>
    <xf numFmtId="167" fontId="52" fillId="0" borderId="27" xfId="0" applyNumberFormat="1" applyFont="1" applyBorder="1" applyAlignment="1">
      <alignment horizontal="center"/>
    </xf>
    <xf numFmtId="0" fontId="0" fillId="0" borderId="22" xfId="0" applyBorder="1" applyAlignment="1">
      <alignment horizontal="left" wrapText="1"/>
    </xf>
    <xf numFmtId="0" fontId="43" fillId="0" borderId="21" xfId="0" applyFont="1" applyBorder="1"/>
    <xf numFmtId="0" fontId="43" fillId="0" borderId="27" xfId="0" applyFont="1" applyBorder="1" applyAlignment="1">
      <alignment horizontal="center"/>
    </xf>
    <xf numFmtId="174" fontId="52" fillId="0" borderId="58" xfId="0" applyNumberFormat="1" applyFont="1" applyBorder="1" applyAlignment="1">
      <alignment horizontal="center"/>
    </xf>
    <xf numFmtId="174" fontId="52" fillId="0" borderId="59" xfId="0" applyNumberFormat="1" applyFont="1" applyBorder="1" applyAlignment="1">
      <alignment horizontal="center"/>
    </xf>
    <xf numFmtId="174" fontId="52" fillId="0" borderId="60" xfId="0" applyNumberFormat="1" applyFont="1" applyBorder="1" applyAlignment="1">
      <alignment horizontal="center"/>
    </xf>
    <xf numFmtId="4" fontId="52" fillId="0" borderId="61" xfId="0" applyNumberFormat="1" applyFont="1" applyBorder="1" applyAlignment="1">
      <alignment horizontal="center"/>
    </xf>
    <xf numFmtId="0" fontId="0" fillId="0" borderId="30" xfId="0" applyBorder="1" applyAlignment="1">
      <alignment horizontal="left" wrapText="1"/>
    </xf>
    <xf numFmtId="0" fontId="0" fillId="0" borderId="62" xfId="0" applyBorder="1" applyAlignment="1">
      <alignment horizontal="left" wrapText="1"/>
    </xf>
    <xf numFmtId="0" fontId="43" fillId="0" borderId="34" xfId="0" applyFont="1" applyBorder="1"/>
    <xf numFmtId="2" fontId="43" fillId="0" borderId="49" xfId="0" applyNumberFormat="1" applyFont="1" applyBorder="1" applyAlignment="1">
      <alignment horizontal="center"/>
    </xf>
    <xf numFmtId="2" fontId="0" fillId="0" borderId="0" xfId="0" applyNumberFormat="1"/>
    <xf numFmtId="4" fontId="54" fillId="0" borderId="25" xfId="0" applyNumberFormat="1" applyFont="1" applyBorder="1" applyAlignment="1">
      <alignment horizontal="center" vertical="center"/>
    </xf>
    <xf numFmtId="174" fontId="54" fillId="0" borderId="26" xfId="0" applyNumberFormat="1" applyFont="1" applyBorder="1" applyAlignment="1">
      <alignment horizontal="center" vertical="center"/>
    </xf>
    <xf numFmtId="174" fontId="54" fillId="0" borderId="22" xfId="0" applyNumberFormat="1" applyFont="1" applyBorder="1" applyAlignment="1">
      <alignment horizontal="center" vertical="center"/>
    </xf>
    <xf numFmtId="4" fontId="54" fillId="0" borderId="27" xfId="0" applyNumberFormat="1" applyFont="1" applyBorder="1" applyAlignment="1">
      <alignment horizontal="center" vertical="center"/>
    </xf>
    <xf numFmtId="167" fontId="54" fillId="0" borderId="25" xfId="0" applyNumberFormat="1" applyFont="1" applyBorder="1" applyAlignment="1">
      <alignment horizontal="center" vertical="center"/>
    </xf>
    <xf numFmtId="4" fontId="54" fillId="0" borderId="26" xfId="0" applyNumberFormat="1" applyFont="1" applyBorder="1" applyAlignment="1">
      <alignment horizontal="center" vertical="center"/>
    </xf>
    <xf numFmtId="4" fontId="54" fillId="0" borderId="22" xfId="0" applyNumberFormat="1" applyFont="1" applyBorder="1" applyAlignment="1">
      <alignment horizontal="center" vertical="center"/>
    </xf>
    <xf numFmtId="167" fontId="54" fillId="0" borderId="27" xfId="0" applyNumberFormat="1" applyFont="1" applyBorder="1" applyAlignment="1">
      <alignment horizontal="center" vertical="center"/>
    </xf>
    <xf numFmtId="167" fontId="54" fillId="0" borderId="26" xfId="0" applyNumberFormat="1" applyFont="1" applyBorder="1" applyAlignment="1">
      <alignment horizontal="center" vertical="center"/>
    </xf>
    <xf numFmtId="167" fontId="54" fillId="0" borderId="22" xfId="0" applyNumberFormat="1" applyFont="1" applyBorder="1" applyAlignment="1">
      <alignment horizontal="center" vertical="center"/>
    </xf>
    <xf numFmtId="0" fontId="0" fillId="0" borderId="32" xfId="0" applyBorder="1" applyAlignment="1">
      <alignment wrapText="1"/>
    </xf>
    <xf numFmtId="0" fontId="47" fillId="0" borderId="10" xfId="0" applyFont="1" applyBorder="1"/>
    <xf numFmtId="0" fontId="47" fillId="0" borderId="10" xfId="0" applyFont="1" applyBorder="1" applyAlignment="1">
      <alignment horizontal="center" wrapText="1"/>
    </xf>
    <xf numFmtId="0" fontId="47" fillId="0" borderId="10" xfId="0" applyFont="1" applyBorder="1" applyAlignment="1">
      <alignment horizontal="center"/>
    </xf>
    <xf numFmtId="0" fontId="57" fillId="0" borderId="10" xfId="0" applyFont="1" applyBorder="1"/>
    <xf numFmtId="0" fontId="57" fillId="0" borderId="10" xfId="0" applyFont="1" applyBorder="1" applyAlignment="1">
      <alignment horizontal="center" wrapText="1"/>
    </xf>
    <xf numFmtId="0" fontId="57" fillId="0" borderId="10" xfId="0" applyFont="1" applyBorder="1" applyAlignment="1">
      <alignment horizontal="center"/>
    </xf>
    <xf numFmtId="0" fontId="57" fillId="0" borderId="10" xfId="0" applyFont="1" applyBorder="1" applyAlignment="1">
      <alignment wrapText="1"/>
    </xf>
    <xf numFmtId="2" fontId="57" fillId="0" borderId="10" xfId="0" applyNumberFormat="1" applyFont="1" applyBorder="1" applyAlignment="1">
      <alignment horizontal="center"/>
    </xf>
    <xf numFmtId="0" fontId="57" fillId="0" borderId="28" xfId="0" applyFont="1" applyBorder="1" applyAlignment="1">
      <alignment wrapText="1"/>
    </xf>
    <xf numFmtId="2" fontId="57" fillId="0" borderId="28" xfId="0" applyNumberFormat="1" applyFont="1" applyBorder="1" applyAlignment="1">
      <alignment horizontal="center" wrapText="1"/>
    </xf>
    <xf numFmtId="0" fontId="57" fillId="0" borderId="28" xfId="0" applyFont="1" applyBorder="1" applyAlignment="1">
      <alignment horizontal="center"/>
    </xf>
    <xf numFmtId="0" fontId="57" fillId="0" borderId="0" xfId="0" applyFont="1" applyAlignment="1">
      <alignment horizontal="left" vertical="center" wrapText="1"/>
    </xf>
    <xf numFmtId="166" fontId="0" fillId="0" borderId="54" xfId="0" applyNumberFormat="1" applyBorder="1" applyAlignment="1">
      <alignment horizontal="center"/>
    </xf>
    <xf numFmtId="1" fontId="0" fillId="0" borderId="10" xfId="0" applyNumberFormat="1" applyBorder="1" applyAlignment="1">
      <alignment horizontal="center"/>
    </xf>
    <xf numFmtId="0" fontId="0" fillId="17" borderId="0" xfId="0" applyFill="1"/>
    <xf numFmtId="168" fontId="27" fillId="0" borderId="0" xfId="546" applyNumberFormat="1" applyBorder="1" applyAlignment="1">
      <alignment horizontal="center" vertical="center"/>
    </xf>
    <xf numFmtId="1" fontId="0" fillId="0" borderId="68" xfId="0" applyNumberFormat="1" applyBorder="1" applyAlignment="1">
      <alignment horizontal="center" vertical="center"/>
    </xf>
    <xf numFmtId="1" fontId="0" fillId="0" borderId="69" xfId="0" applyNumberFormat="1" applyBorder="1" applyAlignment="1">
      <alignment horizontal="center" vertical="center"/>
    </xf>
    <xf numFmtId="0" fontId="0" fillId="0" borderId="68" xfId="0" applyBorder="1" applyAlignment="1">
      <alignment horizontal="center" vertical="center"/>
    </xf>
    <xf numFmtId="0" fontId="43" fillId="0" borderId="69" xfId="0" applyFont="1" applyBorder="1" applyAlignment="1">
      <alignment horizontal="center" vertical="center"/>
    </xf>
    <xf numFmtId="1" fontId="43" fillId="0" borderId="69" xfId="0" applyNumberFormat="1" applyFont="1" applyBorder="1" applyAlignment="1">
      <alignment horizontal="center" vertical="center"/>
    </xf>
    <xf numFmtId="166" fontId="41" fillId="0" borderId="64" xfId="0" applyNumberFormat="1" applyFont="1" applyBorder="1" applyAlignment="1">
      <alignment horizontal="center" vertical="center"/>
    </xf>
    <xf numFmtId="166" fontId="41" fillId="0" borderId="64" xfId="0" applyNumberFormat="1" applyFont="1" applyBorder="1" applyAlignment="1">
      <alignment horizontal="left" vertical="center" indent="1"/>
    </xf>
    <xf numFmtId="0" fontId="41" fillId="0" borderId="64" xfId="0" applyFont="1" applyBorder="1" applyAlignment="1">
      <alignment horizontal="center" vertical="center"/>
    </xf>
    <xf numFmtId="166" fontId="41" fillId="0" borderId="70" xfId="0" applyNumberFormat="1" applyFont="1" applyBorder="1" applyAlignment="1">
      <alignment horizontal="left" vertical="center" indent="1"/>
    </xf>
    <xf numFmtId="167" fontId="43" fillId="0" borderId="71" xfId="0" applyNumberFormat="1" applyFont="1" applyBorder="1" applyAlignment="1">
      <alignment horizontal="left" vertical="center" indent="1" shrinkToFit="1"/>
    </xf>
    <xf numFmtId="0" fontId="54" fillId="15" borderId="0" xfId="0" applyFont="1" applyFill="1"/>
    <xf numFmtId="166" fontId="41" fillId="0" borderId="0" xfId="0" applyNumberFormat="1" applyFont="1" applyAlignment="1">
      <alignment horizontal="center" vertical="center"/>
    </xf>
    <xf numFmtId="166" fontId="41" fillId="0" borderId="0" xfId="0" applyNumberFormat="1" applyFont="1" applyAlignment="1">
      <alignment horizontal="left" vertical="center" indent="1"/>
    </xf>
    <xf numFmtId="167" fontId="43" fillId="0" borderId="0" xfId="0" applyNumberFormat="1" applyFont="1" applyAlignment="1">
      <alignment horizontal="left" vertical="center" indent="1" shrinkToFit="1"/>
    </xf>
    <xf numFmtId="2" fontId="43" fillId="0" borderId="10" xfId="0" applyNumberFormat="1" applyFont="1" applyBorder="1" applyAlignment="1">
      <alignment horizontal="center"/>
    </xf>
    <xf numFmtId="0" fontId="38" fillId="15" borderId="0" xfId="0" applyFont="1" applyFill="1" applyAlignment="1">
      <alignment horizontal="left" vertical="center" indent="1"/>
    </xf>
    <xf numFmtId="0" fontId="0" fillId="20" borderId="0" xfId="0" applyFill="1"/>
    <xf numFmtId="0" fontId="117" fillId="21" borderId="10" xfId="578" applyFont="1" applyFill="1" applyBorder="1" applyAlignment="1">
      <alignment horizontal="center" vertical="center"/>
    </xf>
    <xf numFmtId="0" fontId="118" fillId="21" borderId="10" xfId="578" applyFont="1" applyFill="1" applyBorder="1" applyAlignment="1">
      <alignment horizontal="center" vertical="center"/>
    </xf>
    <xf numFmtId="0" fontId="50" fillId="0" borderId="0" xfId="0" applyFont="1" applyAlignment="1">
      <alignment horizontal="center" vertical="center" wrapText="1"/>
    </xf>
    <xf numFmtId="0" fontId="72" fillId="0" borderId="0" xfId="0" applyFont="1" applyAlignment="1">
      <alignment vertical="center"/>
    </xf>
    <xf numFmtId="0" fontId="58" fillId="0" borderId="0" xfId="0" applyFont="1" applyAlignment="1">
      <alignment horizontal="left" wrapText="1"/>
    </xf>
    <xf numFmtId="0" fontId="58" fillId="0" borderId="0" xfId="0" applyFont="1" applyAlignment="1">
      <alignment horizontal="left"/>
    </xf>
    <xf numFmtId="0" fontId="112" fillId="0" borderId="0" xfId="0" applyFont="1"/>
    <xf numFmtId="0" fontId="112" fillId="0" borderId="0" xfId="0" applyFont="1" applyAlignment="1">
      <alignment horizontal="center" vertical="center"/>
    </xf>
    <xf numFmtId="0" fontId="30" fillId="0" borderId="0" xfId="0" applyFont="1"/>
    <xf numFmtId="0" fontId="53" fillId="0" borderId="0" xfId="0" applyFont="1"/>
    <xf numFmtId="0" fontId="53" fillId="0" borderId="0" xfId="0" applyFont="1" applyAlignment="1">
      <alignment horizontal="center" vertical="center"/>
    </xf>
    <xf numFmtId="0" fontId="42" fillId="0" borderId="0" xfId="0" applyFont="1" applyAlignment="1">
      <alignment horizontal="center" vertical="center"/>
    </xf>
    <xf numFmtId="0" fontId="69" fillId="14" borderId="0" xfId="0" applyFont="1" applyFill="1"/>
    <xf numFmtId="166" fontId="43" fillId="0" borderId="10" xfId="0" applyNumberFormat="1" applyFont="1" applyBorder="1"/>
    <xf numFmtId="0" fontId="63" fillId="0" borderId="0" xfId="412"/>
    <xf numFmtId="0" fontId="52" fillId="0" borderId="0" xfId="0" applyFont="1" applyAlignment="1">
      <alignment vertical="center" wrapText="1"/>
    </xf>
    <xf numFmtId="0" fontId="69" fillId="0" borderId="0" xfId="0" applyFont="1"/>
    <xf numFmtId="0" fontId="116" fillId="0" borderId="0" xfId="0" applyFont="1" applyAlignment="1">
      <alignment vertical="center" wrapText="1"/>
    </xf>
    <xf numFmtId="0" fontId="38" fillId="0" borderId="0" xfId="0" applyFont="1"/>
    <xf numFmtId="0" fontId="41" fillId="15" borderId="0" xfId="0" applyFont="1" applyFill="1"/>
    <xf numFmtId="166" fontId="53" fillId="0" borderId="26" xfId="0" applyNumberFormat="1" applyFont="1" applyBorder="1" applyAlignment="1">
      <alignment horizontal="center" vertical="center"/>
    </xf>
    <xf numFmtId="166" fontId="53" fillId="0" borderId="10" xfId="0" applyNumberFormat="1" applyFont="1" applyBorder="1" applyAlignment="1">
      <alignment horizontal="center" vertical="center"/>
    </xf>
    <xf numFmtId="166" fontId="42" fillId="0" borderId="73" xfId="0" applyNumberFormat="1" applyFont="1" applyBorder="1" applyAlignment="1">
      <alignment horizontal="center" vertical="center"/>
    </xf>
    <xf numFmtId="166" fontId="42" fillId="0" borderId="20" xfId="0" applyNumberFormat="1" applyFont="1" applyBorder="1" applyAlignment="1">
      <alignment horizontal="center" vertical="center"/>
    </xf>
    <xf numFmtId="166" fontId="42" fillId="0" borderId="10" xfId="0" applyNumberFormat="1" applyFont="1" applyBorder="1" applyAlignment="1">
      <alignment horizontal="center" vertical="center"/>
    </xf>
    <xf numFmtId="166" fontId="42" fillId="0" borderId="26" xfId="0" applyNumberFormat="1" applyFont="1" applyBorder="1" applyAlignment="1">
      <alignment horizontal="center" vertical="center"/>
    </xf>
    <xf numFmtId="166" fontId="42" fillId="0" borderId="13" xfId="0" applyNumberFormat="1" applyFont="1" applyBorder="1" applyAlignment="1">
      <alignment horizontal="center" vertical="center"/>
    </xf>
    <xf numFmtId="166" fontId="53" fillId="0" borderId="12" xfId="0" applyNumberFormat="1" applyFont="1" applyBorder="1" applyAlignment="1">
      <alignment horizontal="center" vertical="center"/>
    </xf>
    <xf numFmtId="166" fontId="53" fillId="0" borderId="73" xfId="0" applyNumberFormat="1" applyFont="1" applyBorder="1" applyAlignment="1">
      <alignment horizontal="center" vertical="center"/>
    </xf>
    <xf numFmtId="166" fontId="42" fillId="0" borderId="12" xfId="0" applyNumberFormat="1" applyFont="1" applyBorder="1" applyAlignment="1">
      <alignment horizontal="center" vertical="center"/>
    </xf>
    <xf numFmtId="0" fontId="0" fillId="0" borderId="41" xfId="0" applyBorder="1" applyAlignment="1">
      <alignment vertical="center" wrapText="1"/>
    </xf>
    <xf numFmtId="0" fontId="57" fillId="0" borderId="10" xfId="573" applyFont="1" applyBorder="1" applyAlignment="1">
      <alignment horizontal="center" wrapText="1"/>
    </xf>
    <xf numFmtId="0" fontId="57" fillId="0" borderId="10" xfId="573" applyFont="1" applyBorder="1" applyAlignment="1">
      <alignment horizontal="center"/>
    </xf>
    <xf numFmtId="0" fontId="57" fillId="0" borderId="10" xfId="573" applyFont="1" applyBorder="1" applyAlignment="1">
      <alignment wrapText="1"/>
    </xf>
    <xf numFmtId="0" fontId="54" fillId="0" borderId="47" xfId="0" applyFont="1" applyBorder="1" applyAlignment="1">
      <alignment vertical="top"/>
    </xf>
    <xf numFmtId="0" fontId="54" fillId="0" borderId="20" xfId="0" applyFont="1" applyBorder="1" applyAlignment="1">
      <alignment vertical="top"/>
    </xf>
    <xf numFmtId="0" fontId="0" fillId="0" borderId="20" xfId="0" applyBorder="1" applyAlignment="1">
      <alignment horizontal="center"/>
    </xf>
    <xf numFmtId="0" fontId="125" fillId="0" borderId="0" xfId="0" applyFont="1"/>
    <xf numFmtId="0" fontId="42" fillId="0" borderId="0" xfId="564" applyFont="1" applyAlignment="1">
      <alignment horizontal="center" vertical="center"/>
    </xf>
    <xf numFmtId="0" fontId="0" fillId="0" borderId="64" xfId="0" applyBorder="1" applyAlignment="1">
      <alignment horizontal="center" vertical="center"/>
    </xf>
    <xf numFmtId="0" fontId="53" fillId="0" borderId="0" xfId="564" applyFont="1"/>
    <xf numFmtId="0" fontId="45" fillId="22" borderId="0" xfId="0" applyFont="1" applyFill="1"/>
    <xf numFmtId="0" fontId="52" fillId="0" borderId="0" xfId="0" applyFont="1" applyAlignment="1">
      <alignment horizontal="center" vertical="center"/>
    </xf>
    <xf numFmtId="0" fontId="54" fillId="0" borderId="0" xfId="0" applyFont="1" applyAlignment="1">
      <alignment horizontal="center" vertical="center"/>
    </xf>
    <xf numFmtId="0" fontId="54" fillId="0" borderId="0" xfId="0" applyFont="1" applyAlignment="1">
      <alignment horizontal="left" vertical="center" indent="1"/>
    </xf>
    <xf numFmtId="0" fontId="54" fillId="0" borderId="0" xfId="0" applyFont="1"/>
    <xf numFmtId="0" fontId="52" fillId="0" borderId="0" xfId="0" applyFont="1" applyAlignment="1">
      <alignment horizontal="left" vertical="center"/>
    </xf>
    <xf numFmtId="0" fontId="71" fillId="23" borderId="64" xfId="412" applyNumberFormat="1" applyFont="1" applyFill="1" applyBorder="1" applyAlignment="1" applyProtection="1">
      <alignment horizontal="center" vertical="center"/>
    </xf>
    <xf numFmtId="0" fontId="104" fillId="23" borderId="10" xfId="412" applyNumberFormat="1" applyFont="1" applyFill="1" applyBorder="1" applyAlignment="1" applyProtection="1">
      <alignment horizontal="center" vertical="center"/>
    </xf>
    <xf numFmtId="0" fontId="71" fillId="18" borderId="64" xfId="412" applyNumberFormat="1" applyFont="1" applyFill="1" applyBorder="1" applyAlignment="1" applyProtection="1">
      <alignment horizontal="center" vertical="center"/>
    </xf>
    <xf numFmtId="0" fontId="48" fillId="0" borderId="0" xfId="0" applyFont="1" applyAlignment="1">
      <alignment horizontal="center"/>
    </xf>
    <xf numFmtId="0" fontId="48" fillId="0" borderId="0" xfId="0" applyFont="1"/>
    <xf numFmtId="0" fontId="48" fillId="0" borderId="0" xfId="0" applyFont="1" applyProtection="1">
      <protection locked="0"/>
    </xf>
    <xf numFmtId="0" fontId="73" fillId="0" borderId="0" xfId="0" applyFont="1" applyAlignment="1">
      <alignment vertical="center" wrapText="1"/>
    </xf>
    <xf numFmtId="0" fontId="48" fillId="0" borderId="0" xfId="0" applyFont="1" applyAlignment="1">
      <alignment vertical="center"/>
    </xf>
    <xf numFmtId="0" fontId="76" fillId="0" borderId="0" xfId="0" applyFont="1" applyAlignment="1">
      <alignment horizontal="right" vertical="top"/>
    </xf>
    <xf numFmtId="0" fontId="48" fillId="0" borderId="0" xfId="0" applyFont="1" applyAlignment="1">
      <alignment horizontal="left" vertical="center"/>
    </xf>
    <xf numFmtId="0" fontId="79" fillId="0" borderId="0" xfId="0" applyFont="1" applyAlignment="1" applyProtection="1">
      <alignment horizontal="center"/>
      <protection hidden="1"/>
    </xf>
    <xf numFmtId="0" fontId="73" fillId="0" borderId="0" xfId="0" applyFont="1" applyAlignment="1">
      <alignment horizontal="left" vertical="center"/>
    </xf>
    <xf numFmtId="0" fontId="144" fillId="0" borderId="0" xfId="0" applyFont="1" applyProtection="1">
      <protection locked="0"/>
    </xf>
    <xf numFmtId="0" fontId="53" fillId="0" borderId="0" xfId="0" applyFont="1" applyProtection="1">
      <protection locked="0"/>
    </xf>
    <xf numFmtId="0" fontId="30" fillId="0" borderId="10" xfId="0" applyFont="1" applyBorder="1"/>
    <xf numFmtId="0" fontId="42" fillId="0" borderId="20" xfId="0" applyFont="1" applyBorder="1" applyAlignment="1">
      <alignment horizontal="left" vertical="center"/>
    </xf>
    <xf numFmtId="0" fontId="53" fillId="0" borderId="11" xfId="0" applyFont="1" applyBorder="1" applyAlignment="1">
      <alignment horizontal="left" vertical="center"/>
    </xf>
    <xf numFmtId="0" fontId="53" fillId="0" borderId="21" xfId="0" applyFont="1" applyBorder="1" applyAlignment="1">
      <alignment horizontal="left" vertical="center"/>
    </xf>
    <xf numFmtId="0" fontId="30" fillId="0" borderId="10" xfId="0" applyFont="1" applyBorder="1" applyAlignment="1">
      <alignment horizontal="center"/>
    </xf>
    <xf numFmtId="0" fontId="45" fillId="0" borderId="20" xfId="0" applyFont="1" applyBorder="1" applyAlignment="1">
      <alignment vertical="center" wrapText="1"/>
    </xf>
    <xf numFmtId="0" fontId="45" fillId="0" borderId="21" xfId="0" applyFont="1" applyBorder="1" applyAlignment="1">
      <alignment vertical="center" wrapText="1"/>
    </xf>
    <xf numFmtId="0" fontId="0" fillId="0" borderId="36" xfId="0" applyBorder="1"/>
    <xf numFmtId="0" fontId="30" fillId="0" borderId="20" xfId="0" applyFont="1" applyBorder="1" applyAlignment="1">
      <alignment horizontal="left" vertical="center"/>
    </xf>
    <xf numFmtId="0" fontId="0" fillId="0" borderId="49" xfId="0" applyBorder="1"/>
    <xf numFmtId="0" fontId="30" fillId="0" borderId="38" xfId="0" applyFont="1" applyBorder="1"/>
    <xf numFmtId="0" fontId="0" fillId="0" borderId="46" xfId="0" applyBorder="1"/>
    <xf numFmtId="0" fontId="43" fillId="0" borderId="35" xfId="0" applyFont="1" applyBorder="1"/>
    <xf numFmtId="0" fontId="0" fillId="0" borderId="36" xfId="0" applyBorder="1" applyAlignment="1">
      <alignment horizontal="right"/>
    </xf>
    <xf numFmtId="0" fontId="43" fillId="0" borderId="47" xfId="0" applyFont="1" applyBorder="1"/>
    <xf numFmtId="2" fontId="30" fillId="0" borderId="10" xfId="0" applyNumberFormat="1" applyFont="1" applyBorder="1" applyAlignment="1">
      <alignment horizontal="center"/>
    </xf>
    <xf numFmtId="0" fontId="30" fillId="0" borderId="28" xfId="0" applyFont="1" applyBorder="1"/>
    <xf numFmtId="0" fontId="0" fillId="0" borderId="28" xfId="0" applyBorder="1" applyAlignment="1">
      <alignment horizontal="center"/>
    </xf>
    <xf numFmtId="0" fontId="30" fillId="0" borderId="28" xfId="0" applyFont="1" applyBorder="1" applyAlignment="1">
      <alignment horizontal="center"/>
    </xf>
    <xf numFmtId="0" fontId="0" fillId="0" borderId="74" xfId="0" applyBorder="1"/>
    <xf numFmtId="0" fontId="54" fillId="0" borderId="0" xfId="0" applyFont="1" applyAlignment="1">
      <alignment horizontal="left"/>
    </xf>
    <xf numFmtId="0" fontId="43" fillId="0" borderId="62" xfId="0" applyFont="1" applyBorder="1" applyAlignment="1">
      <alignment horizontal="left"/>
    </xf>
    <xf numFmtId="0" fontId="65" fillId="0" borderId="62" xfId="0" applyFont="1" applyBorder="1" applyAlignment="1">
      <alignment horizontal="left"/>
    </xf>
    <xf numFmtId="0" fontId="42" fillId="0" borderId="2" xfId="0" applyFont="1" applyBorder="1" applyAlignment="1">
      <alignment horizontal="center" vertical="center"/>
    </xf>
    <xf numFmtId="0" fontId="0" fillId="0" borderId="75" xfId="0" applyBorder="1" applyAlignment="1">
      <alignment horizontal="center" vertical="center" wrapText="1"/>
    </xf>
    <xf numFmtId="1" fontId="45" fillId="0" borderId="2" xfId="0" applyNumberFormat="1" applyFont="1" applyBorder="1" applyAlignment="1">
      <alignment horizontal="center"/>
    </xf>
    <xf numFmtId="166" fontId="45" fillId="14" borderId="2" xfId="0" applyNumberFormat="1" applyFont="1" applyFill="1" applyBorder="1" applyAlignment="1">
      <alignment horizontal="center" vertical="center"/>
    </xf>
    <xf numFmtId="0" fontId="45" fillId="14" borderId="2" xfId="0" applyFont="1" applyFill="1" applyBorder="1" applyAlignment="1">
      <alignment horizontal="center" vertical="center"/>
    </xf>
    <xf numFmtId="0" fontId="45" fillId="14" borderId="2" xfId="0" applyFont="1" applyFill="1" applyBorder="1"/>
    <xf numFmtId="0" fontId="50" fillId="14" borderId="78" xfId="0" applyFont="1" applyFill="1" applyBorder="1" applyAlignment="1">
      <alignment horizontal="center" vertical="center" wrapText="1"/>
    </xf>
    <xf numFmtId="0" fontId="45" fillId="20" borderId="0" xfId="0" applyFont="1" applyFill="1"/>
    <xf numFmtId="0" fontId="0" fillId="0" borderId="10" xfId="0" applyBorder="1" applyAlignment="1">
      <alignment horizontal="center" vertical="center" wrapText="1"/>
    </xf>
    <xf numFmtId="0" fontId="0" fillId="0" borderId="53" xfId="0" applyBorder="1" applyAlignment="1">
      <alignment horizontal="center" vertical="center" wrapText="1"/>
    </xf>
    <xf numFmtId="0" fontId="0" fillId="0" borderId="34" xfId="0" applyBorder="1" applyAlignment="1">
      <alignment horizontal="center" vertical="center" wrapText="1"/>
    </xf>
    <xf numFmtId="0" fontId="0" fillId="0" borderId="39" xfId="0" applyBorder="1" applyAlignment="1">
      <alignment horizontal="center" vertical="center" wrapText="1"/>
    </xf>
    <xf numFmtId="0" fontId="0" fillId="0" borderId="79" xfId="0" applyBorder="1" applyAlignment="1">
      <alignment horizontal="center" vertical="center" wrapText="1"/>
    </xf>
    <xf numFmtId="0" fontId="0" fillId="0" borderId="36" xfId="0" applyBorder="1" applyAlignment="1">
      <alignment horizontal="center" vertical="center" wrapText="1"/>
    </xf>
    <xf numFmtId="0" fontId="0" fillId="0" borderId="53" xfId="0" applyBorder="1" applyAlignment="1">
      <alignment horizontal="center" vertical="top" wrapText="1"/>
    </xf>
    <xf numFmtId="166" fontId="0" fillId="0" borderId="34" xfId="0" applyNumberFormat="1" applyBorder="1" applyAlignment="1">
      <alignment horizontal="center" vertical="top" wrapText="1"/>
    </xf>
    <xf numFmtId="0" fontId="0" fillId="0" borderId="10" xfId="0" applyBorder="1" applyAlignment="1">
      <alignment horizontal="center" vertical="top" wrapText="1"/>
    </xf>
    <xf numFmtId="166" fontId="0" fillId="0" borderId="10" xfId="0" applyNumberFormat="1" applyBorder="1" applyAlignment="1">
      <alignment horizontal="center" vertical="top" wrapText="1"/>
    </xf>
    <xf numFmtId="0" fontId="0" fillId="0" borderId="28" xfId="0" applyBorder="1" applyAlignment="1">
      <alignment horizontal="center" vertical="top" wrapText="1"/>
    </xf>
    <xf numFmtId="166" fontId="0" fillId="0" borderId="28" xfId="0" applyNumberFormat="1" applyBorder="1" applyAlignment="1">
      <alignment horizontal="center" vertical="top" wrapText="1"/>
    </xf>
    <xf numFmtId="0" fontId="30" fillId="0" borderId="10" xfId="0" applyFont="1" applyBorder="1" applyAlignment="1">
      <alignment horizontal="center" vertical="center"/>
    </xf>
    <xf numFmtId="166" fontId="53" fillId="0" borderId="0" xfId="0" applyNumberFormat="1" applyFont="1" applyAlignment="1">
      <alignment horizontal="left" vertical="center"/>
    </xf>
    <xf numFmtId="0" fontId="45" fillId="0" borderId="0" xfId="0" applyFont="1" applyAlignment="1">
      <alignment vertical="top"/>
    </xf>
    <xf numFmtId="9" fontId="30" fillId="0" borderId="0" xfId="547" applyFont="1" applyFill="1" applyBorder="1" applyAlignment="1" applyProtection="1">
      <alignment horizontal="center" vertical="center"/>
      <protection hidden="1"/>
    </xf>
    <xf numFmtId="0" fontId="78" fillId="0" borderId="0" xfId="0" applyFont="1" applyAlignment="1">
      <alignment horizontal="left" vertical="center"/>
    </xf>
    <xf numFmtId="0" fontId="53" fillId="0" borderId="81" xfId="0" applyFont="1" applyBorder="1" applyAlignment="1">
      <alignment horizontal="left" indent="1"/>
    </xf>
    <xf numFmtId="49" fontId="41" fillId="0" borderId="64" xfId="0" applyNumberFormat="1" applyFont="1" applyBorder="1" applyAlignment="1">
      <alignment textRotation="90" wrapText="1"/>
    </xf>
    <xf numFmtId="1" fontId="0" fillId="0" borderId="64" xfId="0" applyNumberFormat="1" applyBorder="1" applyAlignment="1">
      <alignment horizontal="center" vertical="center" shrinkToFit="1"/>
    </xf>
    <xf numFmtId="2" fontId="0" fillId="0" borderId="64" xfId="0" applyNumberFormat="1" applyBorder="1" applyAlignment="1">
      <alignment horizontal="center" vertical="center" shrinkToFit="1"/>
    </xf>
    <xf numFmtId="49" fontId="41" fillId="0" borderId="70" xfId="0" applyNumberFormat="1" applyFont="1" applyBorder="1" applyAlignment="1">
      <alignment wrapText="1"/>
    </xf>
    <xf numFmtId="0" fontId="43" fillId="0" borderId="0" xfId="0" applyFont="1" applyAlignment="1">
      <alignment horizontal="right" vertical="center"/>
    </xf>
    <xf numFmtId="0" fontId="43" fillId="0" borderId="67" xfId="0" applyFont="1" applyBorder="1" applyAlignment="1">
      <alignment horizontal="left" vertical="center"/>
    </xf>
    <xf numFmtId="0" fontId="53" fillId="0" borderId="81" xfId="0" applyFont="1" applyBorder="1" applyAlignment="1">
      <alignment horizontal="center"/>
    </xf>
    <xf numFmtId="0" fontId="41" fillId="0" borderId="81" xfId="0" applyFont="1" applyBorder="1" applyAlignment="1">
      <alignment horizontal="center"/>
    </xf>
    <xf numFmtId="0" fontId="53" fillId="0" borderId="76" xfId="0" applyFont="1" applyBorder="1" applyAlignment="1">
      <alignment horizontal="center"/>
    </xf>
    <xf numFmtId="0" fontId="43" fillId="0" borderId="64" xfId="0" applyFont="1" applyBorder="1" applyAlignment="1">
      <alignment horizontal="left" vertical="center"/>
    </xf>
    <xf numFmtId="0" fontId="43" fillId="0" borderId="0" xfId="0" applyFont="1" applyAlignment="1">
      <alignment horizontal="left" vertical="center"/>
    </xf>
    <xf numFmtId="0" fontId="48" fillId="0" borderId="0" xfId="0" applyFont="1" applyAlignment="1">
      <alignment horizontal="right"/>
    </xf>
    <xf numFmtId="166" fontId="43" fillId="0" borderId="64" xfId="0" applyNumberFormat="1" applyFont="1" applyBorder="1" applyAlignment="1">
      <alignment horizontal="center" vertical="center"/>
    </xf>
    <xf numFmtId="0" fontId="43" fillId="0" borderId="0" xfId="0" applyFont="1"/>
    <xf numFmtId="166" fontId="43" fillId="0" borderId="0" xfId="0" applyNumberFormat="1" applyFont="1"/>
    <xf numFmtId="166" fontId="0" fillId="0" borderId="0" xfId="0" applyNumberFormat="1"/>
    <xf numFmtId="166" fontId="52" fillId="0" borderId="64" xfId="0" applyNumberFormat="1" applyFont="1" applyBorder="1" applyAlignment="1">
      <alignment horizontal="center" vertical="center"/>
    </xf>
    <xf numFmtId="166" fontId="52" fillId="0" borderId="0" xfId="0" applyNumberFormat="1" applyFont="1" applyAlignment="1">
      <alignment horizontal="center" vertical="center"/>
    </xf>
    <xf numFmtId="0" fontId="42" fillId="0" borderId="67" xfId="0" applyFont="1" applyBorder="1" applyAlignment="1">
      <alignment horizontal="left"/>
    </xf>
    <xf numFmtId="0" fontId="48" fillId="0" borderId="0" xfId="0" applyFont="1" applyAlignment="1">
      <alignment horizontal="right" vertical="center"/>
    </xf>
    <xf numFmtId="0" fontId="43" fillId="0" borderId="64" xfId="0" applyFont="1" applyBorder="1" applyAlignment="1">
      <alignment horizontal="center" vertical="center" shrinkToFit="1"/>
    </xf>
    <xf numFmtId="0" fontId="43" fillId="0" borderId="82" xfId="0" applyFont="1" applyBorder="1" applyAlignment="1">
      <alignment horizontal="left"/>
    </xf>
    <xf numFmtId="0" fontId="53" fillId="0" borderId="83" xfId="0" applyFont="1" applyBorder="1" applyAlignment="1">
      <alignment horizontal="center"/>
    </xf>
    <xf numFmtId="2" fontId="43" fillId="0" borderId="64" xfId="0" applyNumberFormat="1" applyFont="1" applyBorder="1" applyAlignment="1">
      <alignment horizontal="center" vertical="center"/>
    </xf>
    <xf numFmtId="2" fontId="53" fillId="0" borderId="64" xfId="0" applyNumberFormat="1" applyFont="1" applyBorder="1" applyAlignment="1">
      <alignment horizontal="center" vertical="center"/>
    </xf>
    <xf numFmtId="2" fontId="0" fillId="0" borderId="64" xfId="0" applyNumberFormat="1" applyBorder="1" applyAlignment="1">
      <alignment horizontal="center" vertical="center"/>
    </xf>
    <xf numFmtId="166" fontId="43" fillId="0" borderId="64" xfId="0" applyNumberFormat="1" applyFont="1" applyBorder="1" applyAlignment="1">
      <alignment horizontal="center" vertical="center" shrinkToFit="1"/>
    </xf>
    <xf numFmtId="166" fontId="43" fillId="0" borderId="0" xfId="0" applyNumberFormat="1" applyFont="1" applyAlignment="1">
      <alignment shrinkToFit="1"/>
    </xf>
    <xf numFmtId="166" fontId="43" fillId="0" borderId="0" xfId="0" applyNumberFormat="1" applyFont="1" applyAlignment="1">
      <alignment vertical="center"/>
    </xf>
    <xf numFmtId="166" fontId="0" fillId="0" borderId="0" xfId="0" applyNumberFormat="1" applyAlignment="1">
      <alignment horizontal="left" vertical="center" indent="1"/>
    </xf>
    <xf numFmtId="0" fontId="53" fillId="0" borderId="81" xfId="0" applyFont="1" applyBorder="1" applyAlignment="1">
      <alignment horizontal="right" vertical="center"/>
    </xf>
    <xf numFmtId="166" fontId="0" fillId="0" borderId="64" xfId="0" applyNumberFormat="1" applyBorder="1" applyAlignment="1">
      <alignment vertical="center" shrinkToFit="1"/>
    </xf>
    <xf numFmtId="1" fontId="0" fillId="0" borderId="67" xfId="0" applyNumberFormat="1" applyBorder="1" applyAlignment="1">
      <alignment horizontal="center" vertical="center" shrinkToFit="1"/>
    </xf>
    <xf numFmtId="167" fontId="54" fillId="0" borderId="10" xfId="0" applyNumberFormat="1" applyFont="1" applyBorder="1" applyAlignment="1">
      <alignment horizontal="center" vertical="center" shrinkToFit="1"/>
    </xf>
    <xf numFmtId="167" fontId="30" fillId="0" borderId="10" xfId="0" applyNumberFormat="1" applyFont="1" applyBorder="1" applyAlignment="1">
      <alignment horizontal="center" vertical="center"/>
    </xf>
    <xf numFmtId="4" fontId="30" fillId="0" borderId="37" xfId="0" applyNumberFormat="1" applyFont="1" applyBorder="1" applyAlignment="1">
      <alignment horizontal="center" vertical="center"/>
    </xf>
    <xf numFmtId="2" fontId="30" fillId="0" borderId="10" xfId="0" applyNumberFormat="1" applyFont="1" applyBorder="1" applyAlignment="1">
      <alignment horizontal="center" vertical="center"/>
    </xf>
    <xf numFmtId="2" fontId="13" fillId="0" borderId="10" xfId="0" applyNumberFormat="1" applyFont="1" applyBorder="1" applyAlignment="1">
      <alignment horizontal="center" vertical="center"/>
    </xf>
    <xf numFmtId="167" fontId="30" fillId="0" borderId="20" xfId="0" applyNumberFormat="1" applyFont="1" applyBorder="1" applyAlignment="1">
      <alignment horizontal="center" vertical="center"/>
    </xf>
    <xf numFmtId="167" fontId="30" fillId="0" borderId="40" xfId="0" applyNumberFormat="1" applyFont="1" applyBorder="1" applyAlignment="1">
      <alignment horizontal="center" vertical="center"/>
    </xf>
    <xf numFmtId="0" fontId="0" fillId="0" borderId="11" xfId="0" applyBorder="1" applyAlignment="1">
      <alignment horizontal="center" vertical="center"/>
    </xf>
    <xf numFmtId="0" fontId="38" fillId="0" borderId="0" xfId="0" applyFont="1" applyAlignment="1">
      <alignment horizontal="left" vertical="center"/>
    </xf>
    <xf numFmtId="0" fontId="0" fillId="0" borderId="11" xfId="0" applyBorder="1" applyAlignment="1">
      <alignment horizontal="left" vertical="center"/>
    </xf>
    <xf numFmtId="0" fontId="0" fillId="0" borderId="46" xfId="0" applyBorder="1" applyAlignment="1">
      <alignment horizontal="center" vertical="center"/>
    </xf>
    <xf numFmtId="0" fontId="0" fillId="0" borderId="46" xfId="0" applyBorder="1" applyAlignment="1">
      <alignment horizontal="left" vertical="center"/>
    </xf>
    <xf numFmtId="0" fontId="0" fillId="0" borderId="39" xfId="0" applyBorder="1" applyAlignment="1">
      <alignment horizontal="left" vertical="center"/>
    </xf>
    <xf numFmtId="0" fontId="42" fillId="0" borderId="10" xfId="0" applyFont="1" applyBorder="1" applyAlignment="1" applyProtection="1">
      <alignment horizontal="right" vertical="center"/>
      <protection locked="0"/>
    </xf>
    <xf numFmtId="0" fontId="52" fillId="0" borderId="20" xfId="0" applyFont="1" applyBorder="1" applyAlignment="1" applyProtection="1">
      <alignment horizontal="center" vertical="center"/>
      <protection locked="0"/>
    </xf>
    <xf numFmtId="0" fontId="42" fillId="0" borderId="20" xfId="0" applyFont="1" applyBorder="1" applyAlignment="1" applyProtection="1">
      <alignment horizontal="right" vertical="center"/>
      <protection locked="0"/>
    </xf>
    <xf numFmtId="1" fontId="0" fillId="0" borderId="20" xfId="0" applyNumberFormat="1" applyBorder="1" applyAlignment="1" applyProtection="1">
      <alignment horizontal="center" vertical="center"/>
      <protection hidden="1"/>
    </xf>
    <xf numFmtId="166" fontId="0" fillId="0" borderId="10" xfId="0" applyNumberFormat="1" applyBorder="1" applyAlignment="1" applyProtection="1">
      <alignment horizontal="center" vertical="center"/>
      <protection hidden="1"/>
    </xf>
    <xf numFmtId="166" fontId="0" fillId="0" borderId="20" xfId="0" applyNumberFormat="1" applyBorder="1" applyAlignment="1" applyProtection="1">
      <alignment horizontal="center" vertical="center"/>
      <protection hidden="1"/>
    </xf>
    <xf numFmtId="0" fontId="0" fillId="0" borderId="47" xfId="0" applyBorder="1" applyAlignment="1">
      <alignment horizontal="right" vertical="center"/>
    </xf>
    <xf numFmtId="0" fontId="0" fillId="0" borderId="48" xfId="0" applyBorder="1" applyAlignment="1">
      <alignment horizontal="center" vertical="center"/>
    </xf>
    <xf numFmtId="166" fontId="24" fillId="0" borderId="10" xfId="0" applyNumberFormat="1" applyFont="1" applyBorder="1" applyAlignment="1">
      <alignment horizontal="center" vertical="center"/>
    </xf>
    <xf numFmtId="166" fontId="24" fillId="0" borderId="10" xfId="0" applyNumberFormat="1" applyFont="1" applyBorder="1" applyAlignment="1">
      <alignment horizontal="center" vertical="center" shrinkToFit="1"/>
    </xf>
    <xf numFmtId="1" fontId="0" fillId="0" borderId="20" xfId="0" applyNumberFormat="1" applyBorder="1" applyAlignment="1">
      <alignment horizontal="center" vertical="center"/>
    </xf>
    <xf numFmtId="3" fontId="0" fillId="0" borderId="40" xfId="0" applyNumberFormat="1" applyBorder="1" applyAlignment="1">
      <alignment horizontal="center" vertical="center"/>
    </xf>
    <xf numFmtId="1" fontId="0" fillId="0" borderId="28" xfId="0" applyNumberFormat="1" applyBorder="1" applyAlignment="1">
      <alignment horizontal="center" vertical="center"/>
    </xf>
    <xf numFmtId="3" fontId="0" fillId="0" borderId="45" xfId="0" applyNumberFormat="1" applyBorder="1" applyAlignment="1">
      <alignment horizontal="center" vertical="center"/>
    </xf>
    <xf numFmtId="3" fontId="0" fillId="0" borderId="16" xfId="0" applyNumberFormat="1" applyBorder="1" applyAlignment="1">
      <alignment horizontal="center" vertical="center"/>
    </xf>
    <xf numFmtId="3" fontId="0" fillId="0" borderId="18" xfId="0" applyNumberFormat="1" applyBorder="1" applyAlignment="1">
      <alignment horizontal="center" vertical="center"/>
    </xf>
    <xf numFmtId="0" fontId="0" fillId="0" borderId="84" xfId="0" applyBorder="1" applyAlignment="1">
      <alignment horizontal="center" vertical="center"/>
    </xf>
    <xf numFmtId="0" fontId="0" fillId="0" borderId="43" xfId="0" applyBorder="1" applyAlignment="1">
      <alignment horizontal="center" vertical="center"/>
    </xf>
    <xf numFmtId="0" fontId="24" fillId="0" borderId="43" xfId="0" applyFont="1" applyBorder="1" applyAlignment="1">
      <alignment horizontal="right" vertical="center"/>
    </xf>
    <xf numFmtId="0" fontId="0" fillId="0" borderId="85" xfId="0" applyBorder="1" applyAlignment="1">
      <alignment horizontal="center" vertical="center"/>
    </xf>
    <xf numFmtId="0" fontId="0" fillId="0" borderId="62" xfId="0" applyBorder="1" applyAlignment="1">
      <alignment horizontal="center" vertical="center"/>
    </xf>
    <xf numFmtId="3" fontId="0" fillId="0" borderId="84" xfId="0" applyNumberFormat="1" applyBorder="1" applyAlignment="1">
      <alignment horizontal="center" vertical="center"/>
    </xf>
    <xf numFmtId="1" fontId="24" fillId="0" borderId="84" xfId="0" applyNumberFormat="1" applyFont="1" applyBorder="1" applyAlignment="1">
      <alignment horizontal="center" vertical="center"/>
    </xf>
    <xf numFmtId="166" fontId="0" fillId="0" borderId="30" xfId="0" applyNumberFormat="1" applyBorder="1" applyAlignment="1">
      <alignment horizontal="center" vertical="center"/>
    </xf>
    <xf numFmtId="166" fontId="0" fillId="0" borderId="12" xfId="0" applyNumberFormat="1" applyBorder="1" applyAlignment="1">
      <alignment horizontal="center" vertical="center"/>
    </xf>
    <xf numFmtId="166" fontId="0" fillId="0" borderId="73" xfId="0" applyNumberFormat="1" applyBorder="1" applyAlignment="1">
      <alignment horizontal="center" vertical="center"/>
    </xf>
    <xf numFmtId="1" fontId="43" fillId="0" borderId="84" xfId="0" applyNumberFormat="1" applyFont="1" applyBorder="1" applyAlignment="1">
      <alignment horizontal="center" vertical="center"/>
    </xf>
    <xf numFmtId="1" fontId="43" fillId="0" borderId="40" xfId="0" applyNumberFormat="1" applyFont="1" applyBorder="1" applyAlignment="1">
      <alignment horizontal="center" vertical="center"/>
    </xf>
    <xf numFmtId="166" fontId="43" fillId="0" borderId="40" xfId="0" applyNumberFormat="1" applyFont="1" applyBorder="1" applyAlignment="1">
      <alignment horizontal="center" vertical="center"/>
    </xf>
    <xf numFmtId="0" fontId="0" fillId="17" borderId="64" xfId="0" applyFill="1" applyBorder="1" applyAlignment="1">
      <alignment horizontal="right"/>
    </xf>
    <xf numFmtId="0" fontId="0" fillId="17" borderId="21" xfId="0" applyFill="1" applyBorder="1" applyAlignment="1">
      <alignment horizontal="center" vertical="center"/>
    </xf>
    <xf numFmtId="0" fontId="0" fillId="17" borderId="10" xfId="0" applyFill="1" applyBorder="1" applyAlignment="1">
      <alignment horizontal="center" vertical="center"/>
    </xf>
    <xf numFmtId="0" fontId="112" fillId="17" borderId="47" xfId="578" applyFill="1" applyBorder="1" applyAlignment="1">
      <alignment horizontal="right" vertical="center"/>
    </xf>
    <xf numFmtId="166" fontId="112" fillId="17" borderId="10" xfId="578" applyNumberFormat="1" applyFill="1" applyBorder="1" applyAlignment="1">
      <alignment horizontal="center" vertical="center" wrapText="1"/>
    </xf>
    <xf numFmtId="0" fontId="112" fillId="17" borderId="10" xfId="578" applyFill="1" applyBorder="1" applyAlignment="1">
      <alignment horizontal="center" vertical="center" wrapText="1"/>
    </xf>
    <xf numFmtId="0" fontId="0" fillId="17" borderId="84" xfId="0" applyFill="1" applyBorder="1" applyAlignment="1">
      <alignment horizontal="center" vertical="center"/>
    </xf>
    <xf numFmtId="0" fontId="0" fillId="17" borderId="40" xfId="0" applyFill="1" applyBorder="1" applyAlignment="1">
      <alignment horizontal="right" vertical="center"/>
    </xf>
    <xf numFmtId="166" fontId="0" fillId="17" borderId="14" xfId="0" applyNumberFormat="1" applyFill="1" applyBorder="1" applyAlignment="1">
      <alignment horizontal="center" vertical="center"/>
    </xf>
    <xf numFmtId="166" fontId="0" fillId="17" borderId="12" xfId="0" applyNumberFormat="1" applyFill="1" applyBorder="1" applyAlignment="1">
      <alignment horizontal="center" vertical="center"/>
    </xf>
    <xf numFmtId="166" fontId="0" fillId="17" borderId="40" xfId="0" applyNumberFormat="1" applyFill="1" applyBorder="1" applyAlignment="1">
      <alignment horizontal="center" vertical="center"/>
    </xf>
    <xf numFmtId="0" fontId="0" fillId="17" borderId="0" xfId="0" applyFill="1" applyAlignment="1">
      <alignment horizontal="right"/>
    </xf>
    <xf numFmtId="4" fontId="0" fillId="17" borderId="0" xfId="0" applyNumberFormat="1" applyFill="1"/>
    <xf numFmtId="0" fontId="53" fillId="17" borderId="28" xfId="0" applyFont="1" applyFill="1" applyBorder="1" applyAlignment="1">
      <alignment horizontal="right" vertical="center"/>
    </xf>
    <xf numFmtId="167" fontId="54" fillId="17" borderId="86" xfId="0" applyNumberFormat="1" applyFont="1" applyFill="1" applyBorder="1" applyAlignment="1">
      <alignment horizontal="center" vertical="center"/>
    </xf>
    <xf numFmtId="167" fontId="53" fillId="17" borderId="86" xfId="0" applyNumberFormat="1" applyFont="1" applyFill="1" applyBorder="1" applyAlignment="1">
      <alignment horizontal="center" vertical="center"/>
    </xf>
    <xf numFmtId="167" fontId="54" fillId="17" borderId="51" xfId="0" applyNumberFormat="1" applyFont="1" applyFill="1" applyBorder="1" applyAlignment="1">
      <alignment horizontal="center" vertical="center"/>
    </xf>
    <xf numFmtId="166" fontId="0" fillId="17" borderId="87" xfId="0" applyNumberFormat="1" applyFill="1" applyBorder="1" applyAlignment="1">
      <alignment horizontal="center" vertical="center"/>
    </xf>
    <xf numFmtId="0" fontId="24" fillId="17" borderId="84" xfId="0" applyFont="1" applyFill="1" applyBorder="1" applyAlignment="1">
      <alignment horizontal="center" vertical="center"/>
    </xf>
    <xf numFmtId="1" fontId="24" fillId="17" borderId="43" xfId="0" applyNumberFormat="1" applyFont="1" applyFill="1" applyBorder="1" applyAlignment="1">
      <alignment horizontal="center"/>
    </xf>
    <xf numFmtId="0" fontId="24" fillId="17" borderId="43" xfId="0" applyFont="1" applyFill="1" applyBorder="1" applyAlignment="1">
      <alignment horizontal="center"/>
    </xf>
    <xf numFmtId="0" fontId="0" fillId="17" borderId="0" xfId="0" applyFill="1" applyAlignment="1">
      <alignment horizontal="right" vertical="center"/>
    </xf>
    <xf numFmtId="166" fontId="0" fillId="17" borderId="10" xfId="0" applyNumberFormat="1" applyFill="1" applyBorder="1" applyAlignment="1">
      <alignment horizontal="center"/>
    </xf>
    <xf numFmtId="0" fontId="43" fillId="24" borderId="64" xfId="0" applyFont="1" applyFill="1" applyBorder="1" applyAlignment="1">
      <alignment horizontal="left" vertical="center" indent="3"/>
    </xf>
    <xf numFmtId="0" fontId="43" fillId="24" borderId="64" xfId="0" applyFont="1" applyFill="1" applyBorder="1" applyAlignment="1">
      <alignment vertical="center"/>
    </xf>
    <xf numFmtId="167" fontId="55" fillId="16" borderId="64" xfId="0" applyNumberFormat="1" applyFont="1" applyFill="1" applyBorder="1" applyAlignment="1">
      <alignment horizontal="center" vertical="center" shrinkToFit="1"/>
    </xf>
    <xf numFmtId="0" fontId="32" fillId="16" borderId="64" xfId="0" applyFont="1" applyFill="1" applyBorder="1" applyAlignment="1">
      <alignment horizontal="left" vertical="center"/>
    </xf>
    <xf numFmtId="0" fontId="0" fillId="16" borderId="64" xfId="0" applyFill="1" applyBorder="1" applyAlignment="1">
      <alignment horizontal="center" vertical="center"/>
    </xf>
    <xf numFmtId="167" fontId="43" fillId="24" borderId="64" xfId="0" applyNumberFormat="1" applyFont="1" applyFill="1" applyBorder="1" applyAlignment="1">
      <alignment horizontal="center" vertical="center"/>
    </xf>
    <xf numFmtId="0" fontId="43" fillId="16" borderId="70" xfId="0" applyFont="1" applyFill="1" applyBorder="1" applyAlignment="1">
      <alignment horizontal="left" vertical="center" indent="3"/>
    </xf>
    <xf numFmtId="0" fontId="43" fillId="16" borderId="70" xfId="0" applyFont="1" applyFill="1" applyBorder="1" applyAlignment="1">
      <alignment vertical="center"/>
    </xf>
    <xf numFmtId="0" fontId="0" fillId="0" borderId="70" xfId="0" applyBorder="1"/>
    <xf numFmtId="4" fontId="0" fillId="0" borderId="88" xfId="0" applyNumberFormat="1" applyBorder="1" applyAlignment="1">
      <alignment horizontal="center" vertical="center"/>
    </xf>
    <xf numFmtId="0" fontId="38" fillId="25" borderId="64" xfId="0" applyFont="1" applyFill="1" applyBorder="1" applyAlignment="1">
      <alignment horizontal="left"/>
    </xf>
    <xf numFmtId="0" fontId="51" fillId="25" borderId="64" xfId="0" applyFont="1" applyFill="1" applyBorder="1" applyAlignment="1">
      <alignment horizontal="left"/>
    </xf>
    <xf numFmtId="0" fontId="52" fillId="25" borderId="64" xfId="0" applyFont="1" applyFill="1" applyBorder="1" applyAlignment="1" applyProtection="1">
      <alignment horizontal="left"/>
      <protection locked="0"/>
    </xf>
    <xf numFmtId="0" fontId="0" fillId="25" borderId="64" xfId="0" applyFill="1" applyBorder="1" applyAlignment="1">
      <alignment horizontal="center" vertical="center"/>
    </xf>
    <xf numFmtId="0" fontId="53" fillId="25" borderId="64" xfId="0" applyFont="1" applyFill="1" applyBorder="1" applyAlignment="1" applyProtection="1">
      <alignment horizontal="center" vertical="center"/>
      <protection locked="0"/>
    </xf>
    <xf numFmtId="0" fontId="53" fillId="25" borderId="64" xfId="0" applyFont="1" applyFill="1" applyBorder="1" applyAlignment="1" applyProtection="1">
      <alignment horizontal="center"/>
      <protection locked="0"/>
    </xf>
    <xf numFmtId="0" fontId="0" fillId="24" borderId="64" xfId="0" applyFill="1" applyBorder="1" applyAlignment="1">
      <alignment horizontal="center" vertical="center"/>
    </xf>
    <xf numFmtId="1" fontId="0" fillId="24" borderId="64" xfId="0" applyNumberFormat="1" applyFill="1" applyBorder="1" applyAlignment="1">
      <alignment horizontal="center" vertical="center"/>
    </xf>
    <xf numFmtId="3" fontId="0" fillId="24" borderId="64" xfId="0" applyNumberFormat="1" applyFill="1" applyBorder="1" applyAlignment="1">
      <alignment horizontal="center" vertical="center"/>
    </xf>
    <xf numFmtId="167" fontId="30" fillId="24" borderId="64" xfId="0" applyNumberFormat="1" applyFont="1" applyFill="1" applyBorder="1" applyAlignment="1">
      <alignment horizontal="center" vertical="center"/>
    </xf>
    <xf numFmtId="0" fontId="24" fillId="16" borderId="64" xfId="0" applyFont="1" applyFill="1" applyBorder="1" applyAlignment="1">
      <alignment horizontal="left" vertical="center"/>
    </xf>
    <xf numFmtId="0" fontId="0" fillId="16" borderId="64" xfId="0" applyFill="1" applyBorder="1"/>
    <xf numFmtId="3" fontId="30" fillId="24" borderId="64" xfId="0" applyNumberFormat="1" applyFont="1" applyFill="1" applyBorder="1" applyAlignment="1">
      <alignment horizontal="center" vertical="center"/>
    </xf>
    <xf numFmtId="0" fontId="0" fillId="24" borderId="10" xfId="0" applyFill="1" applyBorder="1" applyAlignment="1">
      <alignment horizontal="center" vertical="center"/>
    </xf>
    <xf numFmtId="0" fontId="0" fillId="24" borderId="11" xfId="0" applyFill="1" applyBorder="1" applyAlignment="1">
      <alignment horizontal="center" vertical="center"/>
    </xf>
    <xf numFmtId="0" fontId="0" fillId="24" borderId="30" xfId="0" applyFill="1" applyBorder="1" applyAlignment="1">
      <alignment horizontal="center" vertical="center"/>
    </xf>
    <xf numFmtId="0" fontId="0" fillId="24" borderId="12" xfId="0" applyFill="1" applyBorder="1" applyAlignment="1">
      <alignment horizontal="center" vertical="center"/>
    </xf>
    <xf numFmtId="0" fontId="0" fillId="24" borderId="13" xfId="0" applyFill="1" applyBorder="1" applyAlignment="1">
      <alignment horizontal="center" vertical="center"/>
    </xf>
    <xf numFmtId="0" fontId="0" fillId="24" borderId="31" xfId="0" applyFill="1" applyBorder="1" applyAlignment="1">
      <alignment horizontal="center" vertical="center"/>
    </xf>
    <xf numFmtId="0" fontId="0" fillId="24" borderId="14" xfId="0" applyFill="1" applyBorder="1" applyAlignment="1">
      <alignment horizontal="center" vertical="center"/>
    </xf>
    <xf numFmtId="0" fontId="0" fillId="24" borderId="15" xfId="0" applyFill="1" applyBorder="1" applyAlignment="1">
      <alignment horizontal="center" vertical="center"/>
    </xf>
    <xf numFmtId="14" fontId="42" fillId="24" borderId="0" xfId="0" applyNumberFormat="1" applyFont="1" applyFill="1" applyAlignment="1" applyProtection="1">
      <alignment horizontal="left" vertical="center"/>
      <protection locked="0"/>
    </xf>
    <xf numFmtId="14" fontId="0" fillId="24" borderId="0" xfId="0" applyNumberFormat="1" applyFill="1" applyAlignment="1" applyProtection="1">
      <alignment horizontal="left" vertical="center"/>
      <protection locked="0"/>
    </xf>
    <xf numFmtId="0" fontId="43" fillId="17" borderId="89" xfId="0" applyFont="1" applyFill="1" applyBorder="1"/>
    <xf numFmtId="0" fontId="24" fillId="17" borderId="84" xfId="0" applyFont="1" applyFill="1" applyBorder="1"/>
    <xf numFmtId="0" fontId="24" fillId="17" borderId="43" xfId="0" applyFont="1" applyFill="1" applyBorder="1"/>
    <xf numFmtId="0" fontId="24" fillId="17" borderId="44" xfId="0" applyFont="1" applyFill="1" applyBorder="1"/>
    <xf numFmtId="0" fontId="0" fillId="17" borderId="43" xfId="0" applyFill="1" applyBorder="1"/>
    <xf numFmtId="0" fontId="0" fillId="17" borderId="44" xfId="0" applyFill="1" applyBorder="1"/>
    <xf numFmtId="0" fontId="0" fillId="24" borderId="45" xfId="0" applyFill="1" applyBorder="1" applyAlignment="1">
      <alignment horizontal="center" vertical="center"/>
    </xf>
    <xf numFmtId="0" fontId="0" fillId="24" borderId="52" xfId="0" applyFill="1" applyBorder="1" applyAlignment="1">
      <alignment horizontal="center" vertical="center"/>
    </xf>
    <xf numFmtId="0" fontId="0" fillId="24" borderId="90" xfId="0" applyFill="1" applyBorder="1" applyAlignment="1">
      <alignment horizontal="center" vertical="center"/>
    </xf>
    <xf numFmtId="0" fontId="43" fillId="24" borderId="90" xfId="0" applyFont="1" applyFill="1" applyBorder="1" applyAlignment="1" applyProtection="1">
      <alignment horizontal="center" vertical="center"/>
      <protection hidden="1"/>
    </xf>
    <xf numFmtId="0" fontId="48" fillId="24" borderId="90" xfId="0" applyFont="1" applyFill="1" applyBorder="1" applyAlignment="1">
      <alignment horizontal="left" vertical="center"/>
    </xf>
    <xf numFmtId="0" fontId="0" fillId="24" borderId="91" xfId="0" applyFill="1" applyBorder="1" applyAlignment="1">
      <alignment horizontal="center" vertical="center"/>
    </xf>
    <xf numFmtId="0" fontId="0" fillId="17" borderId="62" xfId="0" applyFill="1" applyBorder="1"/>
    <xf numFmtId="0" fontId="0" fillId="17" borderId="92" xfId="0" applyFill="1" applyBorder="1"/>
    <xf numFmtId="0" fontId="0" fillId="24" borderId="22" xfId="0" applyFill="1" applyBorder="1" applyAlignment="1">
      <alignment horizontal="center" vertical="center"/>
    </xf>
    <xf numFmtId="0" fontId="0" fillId="24" borderId="20" xfId="0" applyFill="1" applyBorder="1" applyAlignment="1">
      <alignment horizontal="center" vertical="center"/>
    </xf>
    <xf numFmtId="0" fontId="0" fillId="24" borderId="93" xfId="0" applyFill="1" applyBorder="1" applyAlignment="1">
      <alignment horizontal="center" vertical="center"/>
    </xf>
    <xf numFmtId="0" fontId="0" fillId="24" borderId="21" xfId="0" applyFill="1" applyBorder="1" applyAlignment="1">
      <alignment horizontal="center" vertical="center"/>
    </xf>
    <xf numFmtId="0" fontId="24" fillId="24" borderId="24" xfId="0" applyFont="1" applyFill="1" applyBorder="1" applyAlignment="1">
      <alignment horizontal="center" vertical="center"/>
    </xf>
    <xf numFmtId="0" fontId="0" fillId="24" borderId="94" xfId="0" applyFill="1" applyBorder="1" applyAlignment="1">
      <alignment horizontal="center" vertical="center"/>
    </xf>
    <xf numFmtId="0" fontId="0" fillId="24" borderId="26" xfId="0" applyFill="1" applyBorder="1" applyAlignment="1">
      <alignment horizontal="center" vertical="center"/>
    </xf>
    <xf numFmtId="0" fontId="0" fillId="24" borderId="22" xfId="0" applyFill="1" applyBorder="1" applyAlignment="1">
      <alignment horizontal="center" vertical="center" wrapText="1"/>
    </xf>
    <xf numFmtId="0" fontId="0" fillId="24" borderId="10" xfId="0" applyFill="1" applyBorder="1" applyAlignment="1">
      <alignment horizontal="center" vertical="center" wrapText="1"/>
    </xf>
    <xf numFmtId="0" fontId="0" fillId="24" borderId="26" xfId="0" applyFill="1" applyBorder="1" applyAlignment="1">
      <alignment horizontal="center" vertical="center" wrapText="1"/>
    </xf>
    <xf numFmtId="0" fontId="43" fillId="24" borderId="25" xfId="0" applyFont="1" applyFill="1" applyBorder="1" applyAlignment="1" applyProtection="1">
      <alignment horizontal="center" vertical="center" wrapText="1"/>
      <protection hidden="1"/>
    </xf>
    <xf numFmtId="0" fontId="41" fillId="24" borderId="41" xfId="0" applyFont="1" applyFill="1" applyBorder="1" applyAlignment="1">
      <alignment horizontal="center" vertical="center" wrapText="1"/>
    </xf>
    <xf numFmtId="0" fontId="0" fillId="24" borderId="34" xfId="0" applyFill="1" applyBorder="1" applyAlignment="1">
      <alignment horizontal="center" vertical="center" wrapText="1"/>
    </xf>
    <xf numFmtId="0" fontId="41" fillId="24" borderId="34" xfId="0" applyFont="1" applyFill="1" applyBorder="1" applyAlignment="1">
      <alignment horizontal="center" vertical="center" wrapText="1"/>
    </xf>
    <xf numFmtId="0" fontId="0" fillId="24" borderId="42" xfId="0" applyFill="1" applyBorder="1" applyAlignment="1">
      <alignment horizontal="center" vertical="center" wrapText="1"/>
    </xf>
    <xf numFmtId="0" fontId="0" fillId="26" borderId="10" xfId="0" applyFill="1" applyBorder="1"/>
    <xf numFmtId="0" fontId="0" fillId="24" borderId="17" xfId="0" applyFill="1" applyBorder="1"/>
    <xf numFmtId="0" fontId="0" fillId="24" borderId="16" xfId="0" applyFill="1" applyBorder="1" applyAlignment="1">
      <alignment horizontal="center" vertical="center"/>
    </xf>
    <xf numFmtId="0" fontId="0" fillId="24" borderId="18" xfId="0" applyFill="1" applyBorder="1" applyAlignment="1">
      <alignment horizontal="center" vertical="center"/>
    </xf>
    <xf numFmtId="0" fontId="0" fillId="24" borderId="19" xfId="0" applyFill="1" applyBorder="1" applyAlignment="1">
      <alignment horizontal="center" vertical="center"/>
    </xf>
    <xf numFmtId="0" fontId="0" fillId="27" borderId="0" xfId="0" applyFill="1" applyAlignment="1">
      <alignment horizontal="center" vertical="center"/>
    </xf>
    <xf numFmtId="0" fontId="153" fillId="27" borderId="0" xfId="0" applyFont="1" applyFill="1"/>
    <xf numFmtId="0" fontId="153" fillId="27" borderId="0" xfId="0" applyFont="1" applyFill="1" applyAlignment="1">
      <alignment horizontal="center"/>
    </xf>
    <xf numFmtId="0" fontId="153" fillId="27" borderId="0" xfId="0" applyFont="1" applyFill="1" applyAlignment="1">
      <alignment horizontal="center" vertical="center"/>
    </xf>
    <xf numFmtId="0" fontId="154" fillId="27" borderId="0" xfId="0" applyFont="1" applyFill="1" applyAlignment="1">
      <alignment vertical="center"/>
    </xf>
    <xf numFmtId="0" fontId="43" fillId="0" borderId="10" xfId="0" applyFont="1" applyBorder="1" applyAlignment="1">
      <alignment horizontal="center" vertical="center"/>
    </xf>
    <xf numFmtId="166" fontId="0" fillId="0" borderId="23" xfId="578" applyNumberFormat="1" applyFont="1" applyBorder="1" applyAlignment="1">
      <alignment horizontal="center" vertical="center"/>
    </xf>
    <xf numFmtId="1" fontId="0" fillId="0" borderId="25" xfId="578" applyNumberFormat="1" applyFont="1" applyBorder="1" applyAlignment="1">
      <alignment horizontal="center" vertical="center"/>
    </xf>
    <xf numFmtId="1" fontId="0" fillId="0" borderId="10" xfId="578" applyNumberFormat="1" applyFont="1" applyBorder="1" applyAlignment="1">
      <alignment horizontal="center" vertical="center"/>
    </xf>
    <xf numFmtId="1" fontId="0" fillId="0" borderId="27" xfId="578" applyNumberFormat="1" applyFont="1" applyBorder="1" applyAlignment="1">
      <alignment horizontal="center" vertical="center"/>
    </xf>
    <xf numFmtId="167" fontId="0" fillId="0" borderId="20" xfId="0" applyNumberFormat="1" applyBorder="1" applyAlignment="1">
      <alignment horizontal="center" vertical="center"/>
    </xf>
    <xf numFmtId="167" fontId="0" fillId="0" borderId="22" xfId="0" applyNumberFormat="1" applyBorder="1" applyAlignment="1">
      <alignment horizontal="center" vertical="center"/>
    </xf>
    <xf numFmtId="167" fontId="0" fillId="0" borderId="26" xfId="0" applyNumberFormat="1" applyBorder="1" applyAlignment="1">
      <alignment horizontal="center" vertical="center"/>
    </xf>
    <xf numFmtId="167" fontId="0" fillId="0" borderId="21" xfId="0" applyNumberFormat="1" applyBorder="1" applyAlignment="1">
      <alignment horizontal="center" vertical="center"/>
    </xf>
    <xf numFmtId="1" fontId="0" fillId="0" borderId="26" xfId="0" applyNumberFormat="1" applyBorder="1" applyAlignment="1">
      <alignment horizontal="center" vertical="center"/>
    </xf>
    <xf numFmtId="0" fontId="0" fillId="0" borderId="76" xfId="0" applyBorder="1" applyAlignment="1">
      <alignment horizontal="right" vertical="center"/>
    </xf>
    <xf numFmtId="2" fontId="0" fillId="0" borderId="25" xfId="578" applyNumberFormat="1" applyFont="1" applyBorder="1" applyAlignment="1">
      <alignment horizontal="center" vertical="center"/>
    </xf>
    <xf numFmtId="2" fontId="0" fillId="0" borderId="10" xfId="578" applyNumberFormat="1" applyFont="1" applyBorder="1" applyAlignment="1">
      <alignment horizontal="center" vertical="center"/>
    </xf>
    <xf numFmtId="2" fontId="0" fillId="0" borderId="27" xfId="578" applyNumberFormat="1" applyFont="1" applyBorder="1" applyAlignment="1">
      <alignment horizontal="center" vertical="center"/>
    </xf>
    <xf numFmtId="4" fontId="0" fillId="0" borderId="21" xfId="0" applyNumberFormat="1" applyBorder="1" applyAlignment="1">
      <alignment horizontal="center" vertical="center"/>
    </xf>
    <xf numFmtId="0" fontId="0" fillId="0" borderId="67" xfId="0" applyBorder="1" applyAlignment="1">
      <alignment horizontal="center" vertical="center"/>
    </xf>
    <xf numFmtId="168" fontId="0" fillId="0" borderId="10" xfId="0" applyNumberFormat="1" applyBorder="1" applyAlignment="1">
      <alignment horizontal="center" vertical="center"/>
    </xf>
    <xf numFmtId="168" fontId="0" fillId="0" borderId="20" xfId="0" applyNumberFormat="1" applyBorder="1" applyAlignment="1">
      <alignment horizontal="center" vertical="center"/>
    </xf>
    <xf numFmtId="168" fontId="0" fillId="0" borderId="22" xfId="0" applyNumberFormat="1" applyBorder="1" applyAlignment="1">
      <alignment horizontal="center" vertical="center"/>
    </xf>
    <xf numFmtId="168" fontId="0" fillId="0" borderId="26" xfId="0" applyNumberFormat="1" applyBorder="1" applyAlignment="1">
      <alignment horizontal="center" vertical="center"/>
    </xf>
    <xf numFmtId="0" fontId="0" fillId="0" borderId="63" xfId="0" applyBorder="1" applyAlignment="1">
      <alignment horizontal="center"/>
    </xf>
    <xf numFmtId="166" fontId="0" fillId="0" borderId="24" xfId="578" applyNumberFormat="1" applyFont="1" applyBorder="1" applyAlignment="1">
      <alignment horizontal="center" vertical="center"/>
    </xf>
    <xf numFmtId="166" fontId="0" fillId="0" borderId="31" xfId="578" applyNumberFormat="1" applyFont="1" applyBorder="1" applyAlignment="1">
      <alignment horizontal="center" vertical="center"/>
    </xf>
    <xf numFmtId="2" fontId="0" fillId="0" borderId="15" xfId="578" applyNumberFormat="1" applyFont="1" applyBorder="1" applyAlignment="1">
      <alignment horizontal="center" vertical="center"/>
    </xf>
    <xf numFmtId="2" fontId="0" fillId="0" borderId="12" xfId="578" applyNumberFormat="1" applyFont="1" applyBorder="1" applyAlignment="1">
      <alignment horizontal="center" vertical="center"/>
    </xf>
    <xf numFmtId="2" fontId="0" fillId="0" borderId="61" xfId="578" applyNumberFormat="1" applyFont="1" applyBorder="1" applyAlignment="1">
      <alignment horizontal="center" vertical="center"/>
    </xf>
    <xf numFmtId="0" fontId="59" fillId="0" borderId="0" xfId="0" applyFont="1" applyAlignment="1">
      <alignment horizontal="left" vertical="center"/>
    </xf>
    <xf numFmtId="1" fontId="55" fillId="0" borderId="40" xfId="0" applyNumberFormat="1" applyFont="1" applyBorder="1" applyAlignment="1">
      <alignment horizontal="left" vertical="center"/>
    </xf>
    <xf numFmtId="1" fontId="55" fillId="0" borderId="0" xfId="0" applyNumberFormat="1" applyFont="1" applyAlignment="1">
      <alignment horizontal="left" vertical="center"/>
    </xf>
    <xf numFmtId="9" fontId="0" fillId="0" borderId="21" xfId="0" applyNumberFormat="1" applyBorder="1" applyAlignment="1">
      <alignment horizontal="center" vertical="center"/>
    </xf>
    <xf numFmtId="0" fontId="24" fillId="0" borderId="10" xfId="0" applyFont="1" applyBorder="1" applyAlignment="1">
      <alignment horizontal="center"/>
    </xf>
    <xf numFmtId="0" fontId="24" fillId="0" borderId="20" xfId="0" applyFont="1" applyBorder="1" applyAlignment="1">
      <alignment horizontal="center"/>
    </xf>
    <xf numFmtId="0" fontId="24" fillId="0" borderId="30" xfId="0" applyFont="1" applyBorder="1" applyAlignment="1">
      <alignment horizontal="center"/>
    </xf>
    <xf numFmtId="0" fontId="24" fillId="0" borderId="12" xfId="0" applyFont="1" applyBorder="1" applyAlignment="1">
      <alignment horizontal="center"/>
    </xf>
    <xf numFmtId="0" fontId="24" fillId="0" borderId="73" xfId="0" applyFont="1" applyBorder="1" applyAlignment="1">
      <alignment horizontal="center" vertical="center"/>
    </xf>
    <xf numFmtId="0" fontId="24" fillId="0" borderId="21" xfId="0" applyFont="1" applyBorder="1" applyAlignment="1">
      <alignment horizontal="center" vertical="center"/>
    </xf>
    <xf numFmtId="0" fontId="0" fillId="0" borderId="94" xfId="0" applyBorder="1" applyAlignment="1">
      <alignment horizontal="center" vertical="center"/>
    </xf>
    <xf numFmtId="0" fontId="0" fillId="0" borderId="12" xfId="0" applyBorder="1" applyAlignment="1">
      <alignment horizontal="center" vertical="center"/>
    </xf>
    <xf numFmtId="0" fontId="0" fillId="0" borderId="73" xfId="0" applyBorder="1" applyAlignment="1">
      <alignment horizontal="center" vertical="center"/>
    </xf>
    <xf numFmtId="0" fontId="0" fillId="0" borderId="40" xfId="0" applyBorder="1" applyAlignment="1">
      <alignment horizontal="center" vertical="center"/>
    </xf>
    <xf numFmtId="0" fontId="0" fillId="17" borderId="20" xfId="0" applyFill="1" applyBorder="1" applyAlignment="1">
      <alignment horizontal="left" vertical="center"/>
    </xf>
    <xf numFmtId="0" fontId="48" fillId="17" borderId="11" xfId="578" applyFont="1" applyFill="1" applyBorder="1" applyAlignment="1" applyProtection="1">
      <alignment horizontal="center" vertical="center" wrapText="1"/>
      <protection hidden="1"/>
    </xf>
    <xf numFmtId="0" fontId="48" fillId="17" borderId="45" xfId="578" applyFont="1" applyFill="1" applyBorder="1" applyAlignment="1" applyProtection="1">
      <alignment horizontal="center" vertical="center" wrapText="1"/>
      <protection hidden="1"/>
    </xf>
    <xf numFmtId="0" fontId="48" fillId="17" borderId="21" xfId="578" applyFont="1" applyFill="1" applyBorder="1" applyAlignment="1" applyProtection="1">
      <alignment horizontal="center" vertical="center" wrapText="1"/>
      <protection hidden="1"/>
    </xf>
    <xf numFmtId="0" fontId="48" fillId="17" borderId="20" xfId="578" applyFont="1" applyFill="1" applyBorder="1" applyAlignment="1" applyProtection="1">
      <alignment horizontal="center" vertical="center" wrapText="1"/>
      <protection hidden="1"/>
    </xf>
    <xf numFmtId="0" fontId="48" fillId="17" borderId="90" xfId="578" applyFont="1" applyFill="1" applyBorder="1" applyAlignment="1" applyProtection="1">
      <alignment horizontal="center" vertical="center" wrapText="1"/>
      <protection hidden="1"/>
    </xf>
    <xf numFmtId="0" fontId="48" fillId="17" borderId="96" xfId="578" applyFont="1" applyFill="1" applyBorder="1" applyAlignment="1" applyProtection="1">
      <alignment horizontal="center" vertical="center" wrapText="1"/>
      <protection hidden="1"/>
    </xf>
    <xf numFmtId="0" fontId="48" fillId="17" borderId="51" xfId="578" applyFont="1" applyFill="1" applyBorder="1" applyAlignment="1" applyProtection="1">
      <alignment horizontal="center" vertical="center" wrapText="1"/>
      <protection hidden="1"/>
    </xf>
    <xf numFmtId="0" fontId="48" fillId="17" borderId="10" xfId="578" applyFont="1" applyFill="1" applyBorder="1" applyAlignment="1" applyProtection="1">
      <alignment horizontal="center" vertical="center" wrapText="1"/>
      <protection hidden="1"/>
    </xf>
    <xf numFmtId="0" fontId="0" fillId="17" borderId="95" xfId="0" applyFill="1" applyBorder="1" applyAlignment="1">
      <alignment horizontal="center" vertical="center" wrapText="1"/>
    </xf>
    <xf numFmtId="0" fontId="0" fillId="17" borderId="86" xfId="0" applyFill="1" applyBorder="1" applyAlignment="1">
      <alignment horizontal="center" vertical="center" wrapText="1"/>
    </xf>
    <xf numFmtId="0" fontId="0" fillId="17" borderId="51" xfId="0" applyFill="1" applyBorder="1" applyAlignment="1">
      <alignment horizontal="center" vertical="center" wrapText="1"/>
    </xf>
    <xf numFmtId="0" fontId="0" fillId="17" borderId="10" xfId="0" applyFill="1" applyBorder="1" applyAlignment="1">
      <alignment horizontal="left" vertical="center" wrapText="1"/>
    </xf>
    <xf numFmtId="0" fontId="0" fillId="17" borderId="10" xfId="0" applyFill="1" applyBorder="1" applyAlignment="1">
      <alignment horizontal="center" vertical="center" wrapText="1"/>
    </xf>
    <xf numFmtId="0" fontId="44" fillId="17" borderId="10" xfId="0" applyFont="1" applyFill="1" applyBorder="1" applyAlignment="1">
      <alignment horizontal="center" vertical="center" wrapText="1"/>
    </xf>
    <xf numFmtId="0" fontId="0" fillId="17" borderId="20" xfId="0" applyFill="1" applyBorder="1" applyAlignment="1">
      <alignment horizontal="center" vertical="center" wrapText="1"/>
    </xf>
    <xf numFmtId="0" fontId="0" fillId="17" borderId="21" xfId="0" applyFill="1" applyBorder="1" applyAlignment="1">
      <alignment horizontal="center" vertical="center" wrapText="1"/>
    </xf>
    <xf numFmtId="0" fontId="0" fillId="17" borderId="111" xfId="0" applyFill="1" applyBorder="1" applyAlignment="1">
      <alignment horizontal="center" vertical="center"/>
    </xf>
    <xf numFmtId="0" fontId="0" fillId="17" borderId="112" xfId="0" applyFill="1" applyBorder="1" applyAlignment="1">
      <alignment horizontal="center" vertical="center"/>
    </xf>
    <xf numFmtId="1" fontId="0" fillId="17" borderId="104" xfId="0" applyNumberFormat="1" applyFill="1" applyBorder="1" applyAlignment="1">
      <alignment horizontal="center" vertical="center"/>
    </xf>
    <xf numFmtId="1" fontId="0" fillId="17" borderId="113" xfId="0" applyNumberFormat="1" applyFill="1" applyBorder="1" applyAlignment="1">
      <alignment horizontal="center" vertical="center"/>
    </xf>
    <xf numFmtId="0" fontId="48" fillId="17" borderId="63" xfId="0" applyFont="1" applyFill="1" applyBorder="1" applyAlignment="1">
      <alignment horizontal="left"/>
    </xf>
    <xf numFmtId="0" fontId="0" fillId="17" borderId="0" xfId="0" applyFill="1" applyAlignment="1">
      <alignment horizontal="center"/>
    </xf>
    <xf numFmtId="166" fontId="112" fillId="17" borderId="11" xfId="578" applyNumberFormat="1" applyFill="1" applyBorder="1" applyAlignment="1">
      <alignment horizontal="center" vertical="center"/>
    </xf>
    <xf numFmtId="166" fontId="43" fillId="17" borderId="11" xfId="578" applyNumberFormat="1" applyFont="1" applyFill="1" applyBorder="1" applyAlignment="1">
      <alignment horizontal="right" vertical="center"/>
    </xf>
    <xf numFmtId="166" fontId="0" fillId="17" borderId="22" xfId="0" applyNumberFormat="1" applyFill="1" applyBorder="1" applyAlignment="1">
      <alignment horizontal="center" vertical="center"/>
    </xf>
    <xf numFmtId="1" fontId="0" fillId="17" borderId="10" xfId="0" applyNumberFormat="1" applyFill="1" applyBorder="1" applyAlignment="1">
      <alignment horizontal="center" vertical="center"/>
    </xf>
    <xf numFmtId="1" fontId="0" fillId="17" borderId="26" xfId="0" applyNumberFormat="1" applyFill="1" applyBorder="1" applyAlignment="1">
      <alignment horizontal="center" vertical="center"/>
    </xf>
    <xf numFmtId="1" fontId="0" fillId="17" borderId="30" xfId="0" applyNumberFormat="1" applyFill="1" applyBorder="1" applyAlignment="1">
      <alignment horizontal="center" vertical="center"/>
    </xf>
    <xf numFmtId="1" fontId="0" fillId="17" borderId="12" xfId="0" applyNumberFormat="1" applyFill="1" applyBorder="1" applyAlignment="1">
      <alignment horizontal="center" vertical="center"/>
    </xf>
    <xf numFmtId="1" fontId="0" fillId="17" borderId="73" xfId="0" applyNumberFormat="1" applyFill="1" applyBorder="1" applyAlignment="1">
      <alignment horizontal="center" vertical="center"/>
    </xf>
    <xf numFmtId="0" fontId="24" fillId="17" borderId="0" xfId="0" applyFont="1" applyFill="1" applyAlignment="1">
      <alignment horizontal="right" vertical="center"/>
    </xf>
    <xf numFmtId="1" fontId="24" fillId="17" borderId="45" xfId="0" applyNumberFormat="1" applyFont="1" applyFill="1" applyBorder="1" applyAlignment="1">
      <alignment horizontal="center" vertical="center"/>
    </xf>
    <xf numFmtId="1" fontId="24" fillId="17" borderId="40" xfId="0" applyNumberFormat="1" applyFont="1" applyFill="1" applyBorder="1" applyAlignment="1">
      <alignment horizontal="center" vertical="center"/>
    </xf>
    <xf numFmtId="0" fontId="55" fillId="17" borderId="0" xfId="0" applyFont="1" applyFill="1" applyAlignment="1">
      <alignment horizontal="center" vertical="center"/>
    </xf>
    <xf numFmtId="0" fontId="0" fillId="17" borderId="0" xfId="0" applyFill="1" applyAlignment="1">
      <alignment horizontal="center" vertical="center" shrinkToFit="1"/>
    </xf>
    <xf numFmtId="1" fontId="24" fillId="17" borderId="93" xfId="0" applyNumberFormat="1" applyFont="1" applyFill="1" applyBorder="1" applyAlignment="1">
      <alignment horizontal="center" vertical="center"/>
    </xf>
    <xf numFmtId="0" fontId="0" fillId="17" borderId="0" xfId="0" applyFill="1" applyAlignment="1">
      <alignment horizontal="center" vertical="center"/>
    </xf>
    <xf numFmtId="0" fontId="0" fillId="28" borderId="0" xfId="0" applyFill="1" applyAlignment="1">
      <alignment horizontal="center" vertical="center"/>
    </xf>
    <xf numFmtId="0" fontId="49" fillId="28" borderId="0" xfId="0" applyFont="1" applyFill="1" applyAlignment="1">
      <alignment horizontal="right"/>
    </xf>
    <xf numFmtId="0" fontId="49" fillId="28" borderId="0" xfId="0" applyFont="1" applyFill="1" applyAlignment="1">
      <alignment horizontal="left"/>
    </xf>
    <xf numFmtId="0" fontId="0" fillId="27" borderId="0" xfId="0" applyFill="1" applyAlignment="1">
      <alignment horizontal="left" vertical="center"/>
    </xf>
    <xf numFmtId="0" fontId="0" fillId="26" borderId="10" xfId="0" applyFill="1" applyBorder="1" applyAlignment="1">
      <alignment horizontal="center"/>
    </xf>
    <xf numFmtId="0" fontId="0" fillId="26" borderId="10" xfId="0" applyFill="1" applyBorder="1" applyAlignment="1">
      <alignment horizontal="center" vertical="center"/>
    </xf>
    <xf numFmtId="0" fontId="0" fillId="26" borderId="20" xfId="0" applyFill="1" applyBorder="1" applyAlignment="1">
      <alignment horizontal="left" vertical="center"/>
    </xf>
    <xf numFmtId="0" fontId="0" fillId="24" borderId="114" xfId="0" applyFill="1" applyBorder="1" applyAlignment="1">
      <alignment horizontal="center" vertical="center"/>
    </xf>
    <xf numFmtId="0" fontId="0" fillId="24" borderId="0" xfId="0" applyFill="1" applyAlignment="1">
      <alignment horizontal="center" vertical="center"/>
    </xf>
    <xf numFmtId="0" fontId="0" fillId="24" borderId="115" xfId="0" applyFill="1" applyBorder="1" applyAlignment="1">
      <alignment horizontal="center" vertical="center"/>
    </xf>
    <xf numFmtId="0" fontId="0" fillId="24" borderId="18" xfId="0" applyFill="1" applyBorder="1"/>
    <xf numFmtId="0" fontId="0" fillId="24" borderId="43" xfId="0" applyFill="1" applyBorder="1" applyAlignment="1">
      <alignment horizontal="left" vertical="center"/>
    </xf>
    <xf numFmtId="0" fontId="52" fillId="29" borderId="38" xfId="578" applyFont="1" applyFill="1" applyBorder="1" applyAlignment="1">
      <alignment vertical="center"/>
    </xf>
    <xf numFmtId="0" fontId="112" fillId="29" borderId="46" xfId="578" applyFill="1" applyBorder="1"/>
    <xf numFmtId="0" fontId="70" fillId="29" borderId="49" xfId="412" applyNumberFormat="1" applyFont="1" applyFill="1" applyBorder="1" applyAlignment="1" applyProtection="1">
      <alignment horizontal="center" vertical="center"/>
    </xf>
    <xf numFmtId="0" fontId="65" fillId="15" borderId="0" xfId="578" applyFont="1" applyFill="1" applyAlignment="1">
      <alignment horizontal="left" vertical="center" indent="1"/>
    </xf>
    <xf numFmtId="0" fontId="66" fillId="15" borderId="0" xfId="578" applyFont="1" applyFill="1" applyAlignment="1">
      <alignment horizontal="left" vertical="center" indent="1"/>
    </xf>
    <xf numFmtId="0" fontId="54" fillId="15" borderId="0" xfId="578" applyFont="1" applyFill="1" applyAlignment="1" applyProtection="1">
      <alignment horizontal="left" vertical="center" indent="1"/>
      <protection locked="0"/>
    </xf>
    <xf numFmtId="0" fontId="68" fillId="15" borderId="0" xfId="0" applyFont="1" applyFill="1" applyAlignment="1">
      <alignment horizontal="left" vertical="center" indent="1"/>
    </xf>
    <xf numFmtId="0" fontId="0" fillId="15" borderId="0" xfId="0" applyFill="1" applyAlignment="1">
      <alignment horizontal="left" indent="1"/>
    </xf>
    <xf numFmtId="0" fontId="24" fillId="15" borderId="0" xfId="0" applyFont="1" applyFill="1" applyAlignment="1">
      <alignment horizontal="left" indent="1"/>
    </xf>
    <xf numFmtId="0" fontId="38" fillId="15" borderId="0" xfId="0" applyFont="1" applyFill="1" applyAlignment="1">
      <alignment horizontal="left" indent="1"/>
    </xf>
    <xf numFmtId="0" fontId="24" fillId="15" borderId="0" xfId="578" applyFont="1" applyFill="1" applyAlignment="1">
      <alignment horizontal="center" vertical="center"/>
    </xf>
    <xf numFmtId="0" fontId="0" fillId="0" borderId="0" xfId="0" applyAlignment="1">
      <alignment horizontal="left" indent="1"/>
    </xf>
    <xf numFmtId="0" fontId="54" fillId="20" borderId="0" xfId="0" applyFont="1" applyFill="1"/>
    <xf numFmtId="0" fontId="54" fillId="20" borderId="0" xfId="0" applyFont="1" applyFill="1" applyAlignment="1">
      <alignment horizontal="right"/>
    </xf>
    <xf numFmtId="0" fontId="52" fillId="20" borderId="0" xfId="0" applyFont="1" applyFill="1" applyAlignment="1">
      <alignment horizontal="center" vertical="center" wrapText="1"/>
    </xf>
    <xf numFmtId="0" fontId="54" fillId="0" borderId="0" xfId="0" applyFont="1" applyAlignment="1">
      <alignment horizontal="left" indent="3"/>
    </xf>
    <xf numFmtId="0" fontId="102" fillId="0" borderId="0" xfId="0" applyFont="1" applyAlignment="1">
      <alignment horizontal="left" vertical="center" wrapText="1" indent="3"/>
    </xf>
    <xf numFmtId="0" fontId="102" fillId="0" borderId="0" xfId="0" applyFont="1" applyAlignment="1">
      <alignment vertical="center"/>
    </xf>
    <xf numFmtId="0" fontId="102" fillId="0" borderId="0" xfId="0" applyFont="1" applyAlignment="1">
      <alignment horizontal="left" vertical="top" indent="3"/>
    </xf>
    <xf numFmtId="0" fontId="54" fillId="0" borderId="0" xfId="0" applyFont="1" applyAlignment="1">
      <alignment horizontal="left" vertical="center" indent="3"/>
    </xf>
    <xf numFmtId="0" fontId="54" fillId="0" borderId="0" xfId="0" applyFont="1" applyAlignment="1">
      <alignment horizontal="left" vertical="top" indent="1"/>
    </xf>
    <xf numFmtId="0" fontId="56" fillId="20" borderId="0" xfId="0" applyFont="1" applyFill="1" applyAlignment="1">
      <alignment vertical="center"/>
    </xf>
    <xf numFmtId="0" fontId="48" fillId="20" borderId="0" xfId="0" applyFont="1" applyFill="1"/>
    <xf numFmtId="14" fontId="56" fillId="20" borderId="0" xfId="0" applyNumberFormat="1" applyFont="1" applyFill="1" applyAlignment="1" applyProtection="1">
      <alignment horizontal="center"/>
      <protection locked="0"/>
    </xf>
    <xf numFmtId="0" fontId="48" fillId="20" borderId="0" xfId="0" applyFont="1" applyFill="1" applyAlignment="1">
      <alignment horizontal="center"/>
    </xf>
    <xf numFmtId="14" fontId="48" fillId="20" borderId="0" xfId="0" applyNumberFormat="1" applyFont="1" applyFill="1" applyAlignment="1" applyProtection="1">
      <alignment horizontal="center"/>
      <protection locked="0"/>
    </xf>
    <xf numFmtId="0" fontId="73" fillId="20" borderId="0" xfId="0" applyFont="1" applyFill="1" applyAlignment="1">
      <alignment vertical="center" wrapText="1"/>
    </xf>
    <xf numFmtId="0" fontId="53" fillId="15" borderId="0" xfId="578" applyFont="1" applyFill="1" applyAlignment="1">
      <alignment vertical="center" wrapText="1"/>
    </xf>
    <xf numFmtId="171" fontId="53" fillId="10" borderId="34" xfId="578" applyNumberFormat="1" applyFont="1" applyFill="1" applyBorder="1" applyAlignment="1" applyProtection="1">
      <alignment horizontal="center" vertical="center" shrinkToFit="1"/>
      <protection locked="0"/>
    </xf>
    <xf numFmtId="0" fontId="53" fillId="10" borderId="21" xfId="578" applyFont="1" applyFill="1" applyBorder="1" applyAlignment="1" applyProtection="1">
      <alignment horizontal="center" vertical="center" wrapText="1"/>
      <protection locked="0"/>
    </xf>
    <xf numFmtId="0" fontId="0" fillId="0" borderId="21" xfId="0" applyBorder="1" applyProtection="1">
      <protection locked="0"/>
    </xf>
    <xf numFmtId="0" fontId="0" fillId="0" borderId="11" xfId="0" applyBorder="1" applyProtection="1">
      <protection locked="0"/>
    </xf>
    <xf numFmtId="0" fontId="0" fillId="0" borderId="20" xfId="0" applyBorder="1" applyProtection="1">
      <protection locked="0"/>
    </xf>
    <xf numFmtId="0" fontId="61" fillId="0" borderId="0" xfId="0" applyFont="1" applyAlignment="1">
      <alignment vertical="center"/>
    </xf>
    <xf numFmtId="0" fontId="0" fillId="0" borderId="21" xfId="0" applyBorder="1" applyAlignment="1" applyProtection="1">
      <alignment vertical="center"/>
      <protection locked="0"/>
    </xf>
    <xf numFmtId="0" fontId="0" fillId="0" borderId="11" xfId="0" applyBorder="1" applyAlignment="1" applyProtection="1">
      <alignment vertical="center"/>
      <protection locked="0"/>
    </xf>
    <xf numFmtId="0" fontId="53" fillId="0" borderId="20" xfId="0" applyFont="1" applyBorder="1" applyAlignment="1" applyProtection="1">
      <alignment vertical="center"/>
      <protection locked="0"/>
    </xf>
    <xf numFmtId="166" fontId="53" fillId="10" borderId="116" xfId="578" applyNumberFormat="1" applyFont="1" applyFill="1" applyBorder="1" applyAlignment="1" applyProtection="1">
      <alignment horizontal="center" vertical="center" wrapText="1"/>
      <protection locked="0"/>
    </xf>
    <xf numFmtId="4" fontId="53" fillId="10" borderId="117" xfId="578" applyNumberFormat="1" applyFont="1" applyFill="1" applyBorder="1" applyAlignment="1" applyProtection="1">
      <alignment horizontal="center" vertical="center" wrapText="1"/>
      <protection locked="0"/>
    </xf>
    <xf numFmtId="0" fontId="53" fillId="10" borderId="117" xfId="578" applyFont="1" applyFill="1" applyBorder="1" applyAlignment="1" applyProtection="1">
      <alignment horizontal="center" vertical="center" wrapText="1"/>
      <protection locked="0"/>
    </xf>
    <xf numFmtId="16" fontId="53" fillId="10" borderId="118" xfId="578" applyNumberFormat="1" applyFont="1" applyFill="1" applyBorder="1" applyAlignment="1" applyProtection="1">
      <alignment horizontal="center" vertical="center" wrapText="1"/>
      <protection locked="0"/>
    </xf>
    <xf numFmtId="16" fontId="53" fillId="10" borderId="119" xfId="578" applyNumberFormat="1" applyFont="1" applyFill="1" applyBorder="1" applyAlignment="1" applyProtection="1">
      <alignment horizontal="center" vertical="center" wrapText="1"/>
      <protection locked="0"/>
    </xf>
    <xf numFmtId="166" fontId="53" fillId="10" borderId="120" xfId="578" applyNumberFormat="1" applyFont="1" applyFill="1" applyBorder="1" applyAlignment="1" applyProtection="1">
      <alignment horizontal="center" vertical="center" wrapText="1"/>
      <protection locked="0"/>
    </xf>
    <xf numFmtId="4" fontId="53" fillId="10" borderId="21" xfId="578" applyNumberFormat="1" applyFont="1" applyFill="1" applyBorder="1" applyAlignment="1" applyProtection="1">
      <alignment horizontal="center" vertical="center" wrapText="1"/>
      <protection locked="0"/>
    </xf>
    <xf numFmtId="16" fontId="53" fillId="10" borderId="49" xfId="578" applyNumberFormat="1" applyFont="1" applyFill="1" applyBorder="1" applyAlignment="1" applyProtection="1">
      <alignment horizontal="center" vertical="center" wrapText="1"/>
      <protection locked="0"/>
    </xf>
    <xf numFmtId="16" fontId="53" fillId="10" borderId="121" xfId="578" applyNumberFormat="1" applyFont="1" applyFill="1" applyBorder="1" applyAlignment="1" applyProtection="1">
      <alignment horizontal="center" vertical="center" wrapText="1"/>
      <protection locked="0"/>
    </xf>
    <xf numFmtId="166" fontId="53" fillId="10" borderId="122" xfId="578" applyNumberFormat="1" applyFont="1" applyFill="1" applyBorder="1" applyAlignment="1" applyProtection="1">
      <alignment horizontal="center" vertical="center" wrapText="1"/>
      <protection locked="0"/>
    </xf>
    <xf numFmtId="4" fontId="53" fillId="10" borderId="49" xfId="578" applyNumberFormat="1" applyFont="1" applyFill="1" applyBorder="1" applyAlignment="1" applyProtection="1">
      <alignment horizontal="center" vertical="center" wrapText="1"/>
      <protection locked="0"/>
    </xf>
    <xf numFmtId="0" fontId="53" fillId="10" borderId="49" xfId="578" applyFont="1" applyFill="1" applyBorder="1" applyAlignment="1" applyProtection="1">
      <alignment horizontal="center" vertical="center" wrapText="1"/>
      <protection locked="0"/>
    </xf>
    <xf numFmtId="0" fontId="61" fillId="0" borderId="0" xfId="0" applyFont="1" applyAlignment="1">
      <alignment horizontal="left"/>
    </xf>
    <xf numFmtId="0" fontId="160" fillId="18" borderId="64" xfId="412" applyNumberFormat="1" applyFont="1" applyFill="1" applyBorder="1" applyAlignment="1" applyProtection="1">
      <alignment horizontal="center" vertical="center"/>
    </xf>
    <xf numFmtId="0" fontId="72" fillId="20" borderId="0" xfId="578" applyFont="1" applyFill="1" applyAlignment="1">
      <alignment horizontal="left" vertical="center" indent="1"/>
    </xf>
    <xf numFmtId="0" fontId="52" fillId="15" borderId="0" xfId="0" applyFont="1" applyFill="1" applyAlignment="1">
      <alignment horizontal="left" vertical="center" indent="1"/>
    </xf>
    <xf numFmtId="0" fontId="42" fillId="15" borderId="0" xfId="578" applyFont="1" applyFill="1" applyAlignment="1">
      <alignment horizontal="left" indent="1"/>
    </xf>
    <xf numFmtId="0" fontId="42" fillId="30" borderId="2" xfId="0" applyFont="1" applyFill="1" applyBorder="1" applyAlignment="1">
      <alignment horizontal="center" vertical="center"/>
    </xf>
    <xf numFmtId="0" fontId="0" fillId="17" borderId="94" xfId="0" applyFill="1" applyBorder="1" applyAlignment="1">
      <alignment horizontal="center" vertical="center"/>
    </xf>
    <xf numFmtId="0" fontId="0" fillId="17" borderId="93" xfId="0" applyFill="1" applyBorder="1" applyAlignment="1">
      <alignment horizontal="right" vertical="center"/>
    </xf>
    <xf numFmtId="0" fontId="0" fillId="0" borderId="2" xfId="0" applyBorder="1" applyAlignment="1">
      <alignment horizontal="center"/>
    </xf>
    <xf numFmtId="0" fontId="30" fillId="31" borderId="124" xfId="0" applyFont="1" applyFill="1" applyBorder="1" applyAlignment="1">
      <alignment horizontal="center" vertical="center" wrapText="1"/>
    </xf>
    <xf numFmtId="0" fontId="30" fillId="31" borderId="125" xfId="0" applyFont="1" applyFill="1" applyBorder="1" applyAlignment="1">
      <alignment horizontal="center" vertical="center" wrapText="1"/>
    </xf>
    <xf numFmtId="4" fontId="0" fillId="0" borderId="68" xfId="0" applyNumberFormat="1" applyBorder="1" applyAlignment="1">
      <alignment horizontal="center" vertical="center"/>
    </xf>
    <xf numFmtId="4" fontId="0" fillId="0" borderId="69" xfId="0" applyNumberFormat="1" applyBorder="1" applyAlignment="1">
      <alignment horizontal="center" vertical="center"/>
    </xf>
    <xf numFmtId="4" fontId="0" fillId="0" borderId="126" xfId="0" applyNumberFormat="1" applyBorder="1" applyAlignment="1">
      <alignment horizontal="center" vertical="center"/>
    </xf>
    <xf numFmtId="4" fontId="0" fillId="0" borderId="127" xfId="0" applyNumberFormat="1" applyBorder="1" applyAlignment="1">
      <alignment horizontal="center" vertical="center"/>
    </xf>
    <xf numFmtId="0" fontId="12" fillId="0" borderId="10" xfId="0" applyFont="1" applyBorder="1" applyAlignment="1">
      <alignment horizontal="center" wrapText="1"/>
    </xf>
    <xf numFmtId="0" fontId="0" fillId="0" borderId="63" xfId="0" applyBorder="1" applyAlignment="1">
      <alignment horizontal="center" vertical="center"/>
    </xf>
    <xf numFmtId="0" fontId="12" fillId="0" borderId="0" xfId="0" applyFont="1"/>
    <xf numFmtId="0" fontId="112" fillId="0" borderId="22" xfId="577" applyBorder="1" applyAlignment="1">
      <alignment horizontal="center"/>
    </xf>
    <xf numFmtId="0" fontId="112" fillId="0" borderId="10" xfId="577" applyBorder="1" applyAlignment="1">
      <alignment horizontal="center"/>
    </xf>
    <xf numFmtId="0" fontId="112" fillId="0" borderId="20" xfId="577" applyBorder="1" applyAlignment="1">
      <alignment horizontal="center"/>
    </xf>
    <xf numFmtId="0" fontId="112" fillId="0" borderId="22" xfId="577" applyBorder="1" applyAlignment="1">
      <alignment horizontal="center" vertical="center"/>
    </xf>
    <xf numFmtId="0" fontId="112" fillId="0" borderId="10" xfId="577" applyBorder="1" applyAlignment="1">
      <alignment horizontal="center" vertical="center"/>
    </xf>
    <xf numFmtId="0" fontId="112" fillId="0" borderId="26" xfId="577" applyBorder="1" applyAlignment="1">
      <alignment horizontal="center" vertical="center"/>
    </xf>
    <xf numFmtId="166" fontId="112" fillId="0" borderId="10" xfId="577" applyNumberFormat="1" applyBorder="1" applyAlignment="1">
      <alignment horizontal="center" vertical="center"/>
    </xf>
    <xf numFmtId="166" fontId="112" fillId="0" borderId="26" xfId="577" applyNumberFormat="1" applyBorder="1" applyAlignment="1">
      <alignment horizontal="center" vertical="center"/>
    </xf>
    <xf numFmtId="166" fontId="112" fillId="0" borderId="22" xfId="577" applyNumberFormat="1" applyBorder="1" applyAlignment="1">
      <alignment horizontal="center" vertical="center"/>
    </xf>
    <xf numFmtId="0" fontId="112" fillId="24" borderId="114" xfId="577" applyFill="1" applyBorder="1" applyAlignment="1">
      <alignment horizontal="center" vertical="center"/>
    </xf>
    <xf numFmtId="0" fontId="112" fillId="24" borderId="0" xfId="577" applyFill="1" applyAlignment="1">
      <alignment horizontal="center" vertical="center"/>
    </xf>
    <xf numFmtId="0" fontId="112" fillId="24" borderId="115" xfId="577" applyFill="1" applyBorder="1" applyAlignment="1">
      <alignment horizontal="center" vertical="center"/>
    </xf>
    <xf numFmtId="0" fontId="112" fillId="0" borderId="41" xfId="577" applyBorder="1" applyAlignment="1">
      <alignment horizontal="center" vertical="center"/>
    </xf>
    <xf numFmtId="0" fontId="112" fillId="0" borderId="34" xfId="577" applyBorder="1" applyAlignment="1">
      <alignment horizontal="center" vertical="center"/>
    </xf>
    <xf numFmtId="0" fontId="112" fillId="0" borderId="42" xfId="577" applyBorder="1" applyAlignment="1">
      <alignment horizontal="center" vertical="center"/>
    </xf>
    <xf numFmtId="0" fontId="112" fillId="14" borderId="16" xfId="577" applyFill="1" applyBorder="1" applyAlignment="1">
      <alignment horizontal="center"/>
    </xf>
    <xf numFmtId="0" fontId="112" fillId="14" borderId="18" xfId="577" applyFill="1" applyBorder="1" applyAlignment="1">
      <alignment horizontal="center"/>
    </xf>
    <xf numFmtId="0" fontId="112" fillId="14" borderId="17" xfId="577" applyFill="1" applyBorder="1" applyAlignment="1">
      <alignment horizontal="center"/>
    </xf>
    <xf numFmtId="0" fontId="112" fillId="14" borderId="16" xfId="577" applyFill="1" applyBorder="1" applyAlignment="1">
      <alignment horizontal="center" vertical="center"/>
    </xf>
    <xf numFmtId="0" fontId="112" fillId="14" borderId="18" xfId="577" applyFill="1" applyBorder="1" applyAlignment="1">
      <alignment horizontal="center" vertical="center"/>
    </xf>
    <xf numFmtId="0" fontId="112" fillId="14" borderId="19" xfId="577" applyFill="1" applyBorder="1" applyAlignment="1">
      <alignment horizontal="center" vertical="center"/>
    </xf>
    <xf numFmtId="0" fontId="112" fillId="15" borderId="130" xfId="577" applyFill="1" applyBorder="1"/>
    <xf numFmtId="0" fontId="57" fillId="15" borderId="86" xfId="577" applyFont="1" applyFill="1" applyBorder="1" applyAlignment="1">
      <alignment horizontal="center"/>
    </xf>
    <xf numFmtId="0" fontId="112" fillId="15" borderId="131" xfId="577" applyFill="1" applyBorder="1"/>
    <xf numFmtId="2" fontId="112" fillId="15" borderId="62" xfId="577" applyNumberFormat="1" applyFill="1" applyBorder="1"/>
    <xf numFmtId="2" fontId="112" fillId="15" borderId="92" xfId="577" applyNumberFormat="1" applyFill="1" applyBorder="1"/>
    <xf numFmtId="0" fontId="112" fillId="15" borderId="56" xfId="577" applyFill="1" applyBorder="1"/>
    <xf numFmtId="0" fontId="112" fillId="15" borderId="0" xfId="577" applyFill="1"/>
    <xf numFmtId="0" fontId="112" fillId="15" borderId="37" xfId="577" applyFill="1" applyBorder="1"/>
    <xf numFmtId="2" fontId="57" fillId="15" borderId="10" xfId="577" applyNumberFormat="1" applyFont="1" applyFill="1" applyBorder="1" applyAlignment="1">
      <alignment horizontal="center"/>
    </xf>
    <xf numFmtId="2" fontId="57" fillId="15" borderId="26" xfId="577" applyNumberFormat="1" applyFont="1" applyFill="1" applyBorder="1" applyAlignment="1">
      <alignment horizontal="center"/>
    </xf>
    <xf numFmtId="0" fontId="57" fillId="15" borderId="10" xfId="577" applyFont="1" applyFill="1" applyBorder="1" applyAlignment="1">
      <alignment horizontal="center"/>
    </xf>
    <xf numFmtId="2" fontId="112" fillId="15" borderId="0" xfId="577" applyNumberFormat="1" applyFill="1"/>
    <xf numFmtId="2" fontId="112" fillId="15" borderId="115" xfId="577" applyNumberFormat="1" applyFill="1" applyBorder="1"/>
    <xf numFmtId="0" fontId="57" fillId="15" borderId="26" xfId="577" applyFont="1" applyFill="1" applyBorder="1" applyAlignment="1">
      <alignment horizontal="center"/>
    </xf>
    <xf numFmtId="0" fontId="112" fillId="15" borderId="60" xfId="577" applyFill="1" applyBorder="1"/>
    <xf numFmtId="0" fontId="112" fillId="15" borderId="89" xfId="577" applyFill="1" applyBorder="1"/>
    <xf numFmtId="0" fontId="112" fillId="15" borderId="132" xfId="577" applyFill="1" applyBorder="1"/>
    <xf numFmtId="2" fontId="57" fillId="15" borderId="12" xfId="577" applyNumberFormat="1" applyFont="1" applyFill="1" applyBorder="1" applyAlignment="1">
      <alignment horizontal="center"/>
    </xf>
    <xf numFmtId="2" fontId="57" fillId="15" borderId="73" xfId="577" applyNumberFormat="1" applyFont="1" applyFill="1" applyBorder="1" applyAlignment="1">
      <alignment horizontal="center"/>
    </xf>
    <xf numFmtId="0" fontId="112" fillId="24" borderId="16" xfId="577" applyFill="1" applyBorder="1" applyAlignment="1">
      <alignment horizontal="center"/>
    </xf>
    <xf numFmtId="0" fontId="112" fillId="24" borderId="18" xfId="577" applyFill="1" applyBorder="1" applyAlignment="1">
      <alignment horizontal="center"/>
    </xf>
    <xf numFmtId="0" fontId="112" fillId="24" borderId="17" xfId="577" applyFill="1" applyBorder="1" applyAlignment="1">
      <alignment horizontal="center"/>
    </xf>
    <xf numFmtId="0" fontId="112" fillId="24" borderId="16" xfId="577" applyFill="1" applyBorder="1" applyAlignment="1">
      <alignment horizontal="center" vertical="center"/>
    </xf>
    <xf numFmtId="0" fontId="112" fillId="24" borderId="18" xfId="577" applyFill="1" applyBorder="1" applyAlignment="1">
      <alignment horizontal="center" vertical="center"/>
    </xf>
    <xf numFmtId="0" fontId="112" fillId="24" borderId="19" xfId="577" applyFill="1" applyBorder="1" applyAlignment="1">
      <alignment horizontal="center" vertical="center"/>
    </xf>
    <xf numFmtId="0" fontId="112" fillId="0" borderId="114" xfId="577" applyBorder="1" applyAlignment="1">
      <alignment horizontal="center" vertical="center"/>
    </xf>
    <xf numFmtId="0" fontId="112" fillId="0" borderId="0" xfId="577" applyAlignment="1">
      <alignment horizontal="center" vertical="center"/>
    </xf>
    <xf numFmtId="0" fontId="112" fillId="0" borderId="115" xfId="577" applyBorder="1" applyAlignment="1">
      <alignment horizontal="center" vertical="center"/>
    </xf>
    <xf numFmtId="2" fontId="112" fillId="0" borderId="22" xfId="577" applyNumberFormat="1" applyBorder="1" applyAlignment="1">
      <alignment horizontal="center" vertical="center"/>
    </xf>
    <xf numFmtId="2" fontId="112" fillId="0" borderId="10" xfId="577" applyNumberFormat="1" applyBorder="1" applyAlignment="1">
      <alignment horizontal="center" vertical="center"/>
    </xf>
    <xf numFmtId="175" fontId="112" fillId="0" borderId="26" xfId="577" applyNumberFormat="1" applyBorder="1" applyAlignment="1">
      <alignment horizontal="center" vertical="center"/>
    </xf>
    <xf numFmtId="2" fontId="112" fillId="0" borderId="26" xfId="577" applyNumberFormat="1" applyBorder="1" applyAlignment="1">
      <alignment horizontal="center" vertical="center"/>
    </xf>
    <xf numFmtId="166" fontId="112" fillId="0" borderId="10" xfId="577" applyNumberFormat="1" applyBorder="1" applyAlignment="1">
      <alignment horizontal="center"/>
    </xf>
    <xf numFmtId="166" fontId="112" fillId="0" borderId="20" xfId="577" applyNumberFormat="1" applyBorder="1" applyAlignment="1">
      <alignment horizontal="center"/>
    </xf>
    <xf numFmtId="0" fontId="112" fillId="0" borderId="28" xfId="577" applyBorder="1" applyAlignment="1">
      <alignment horizontal="center"/>
    </xf>
    <xf numFmtId="166" fontId="112" fillId="0" borderId="28" xfId="577" applyNumberFormat="1" applyBorder="1" applyAlignment="1">
      <alignment horizontal="center"/>
    </xf>
    <xf numFmtId="166" fontId="112" fillId="0" borderId="38" xfId="577" applyNumberFormat="1" applyBorder="1" applyAlignment="1">
      <alignment horizontal="center"/>
    </xf>
    <xf numFmtId="0" fontId="112" fillId="0" borderId="29" xfId="577" applyBorder="1" applyAlignment="1">
      <alignment horizontal="center" vertical="center"/>
    </xf>
    <xf numFmtId="0" fontId="112" fillId="0" borderId="28" xfId="577" applyBorder="1" applyAlignment="1">
      <alignment horizontal="center" vertical="center"/>
    </xf>
    <xf numFmtId="0" fontId="112" fillId="0" borderId="133" xfId="577" applyBorder="1" applyAlignment="1">
      <alignment horizontal="center" vertical="center"/>
    </xf>
    <xf numFmtId="166" fontId="112" fillId="0" borderId="28" xfId="577" applyNumberFormat="1" applyBorder="1" applyAlignment="1">
      <alignment horizontal="center" vertical="center"/>
    </xf>
    <xf numFmtId="166" fontId="112" fillId="0" borderId="133" xfId="577" applyNumberFormat="1" applyBorder="1" applyAlignment="1">
      <alignment horizontal="center" vertical="center"/>
    </xf>
    <xf numFmtId="166" fontId="112" fillId="0" borderId="29" xfId="577" applyNumberFormat="1" applyBorder="1" applyAlignment="1">
      <alignment horizontal="center" vertical="center"/>
    </xf>
    <xf numFmtId="0" fontId="12" fillId="0" borderId="34" xfId="0" applyFont="1" applyBorder="1" applyAlignment="1">
      <alignment horizontal="left" vertical="center"/>
    </xf>
    <xf numFmtId="0" fontId="12" fillId="0" borderId="34" xfId="0" applyFont="1" applyBorder="1" applyAlignment="1">
      <alignment horizontal="center" vertical="center"/>
    </xf>
    <xf numFmtId="0" fontId="54" fillId="0" borderId="0" xfId="0" applyFont="1" applyAlignment="1">
      <alignment horizontal="left" vertical="center"/>
    </xf>
    <xf numFmtId="0" fontId="0" fillId="0" borderId="0" xfId="0" applyAlignment="1">
      <alignment horizontal="left" vertical="center" indent="1"/>
    </xf>
    <xf numFmtId="0" fontId="0" fillId="32" borderId="0" xfId="0" applyFill="1"/>
    <xf numFmtId="0" fontId="61" fillId="33" borderId="22" xfId="0" applyFont="1" applyFill="1" applyBorder="1" applyAlignment="1" applyProtection="1">
      <alignment horizontal="center"/>
      <protection hidden="1"/>
    </xf>
    <xf numFmtId="0" fontId="47" fillId="33" borderId="20" xfId="0" applyFont="1" applyFill="1" applyBorder="1" applyAlignment="1">
      <alignment horizontal="left"/>
    </xf>
    <xf numFmtId="0" fontId="47" fillId="33" borderId="11" xfId="0" applyFont="1" applyFill="1" applyBorder="1" applyAlignment="1">
      <alignment horizontal="left"/>
    </xf>
    <xf numFmtId="0" fontId="47" fillId="33" borderId="21" xfId="0" applyFont="1" applyFill="1" applyBorder="1" applyAlignment="1">
      <alignment horizontal="left"/>
    </xf>
    <xf numFmtId="0" fontId="47" fillId="33" borderId="11" xfId="0" applyFont="1" applyFill="1" applyBorder="1" applyAlignment="1">
      <alignment horizontal="center"/>
    </xf>
    <xf numFmtId="0" fontId="47" fillId="33" borderId="47" xfId="0" applyFont="1" applyFill="1" applyBorder="1" applyAlignment="1">
      <alignment horizontal="left"/>
    </xf>
    <xf numFmtId="0" fontId="47" fillId="33" borderId="48" xfId="0" applyFont="1" applyFill="1" applyBorder="1" applyAlignment="1">
      <alignment horizontal="left"/>
    </xf>
    <xf numFmtId="0" fontId="47" fillId="33" borderId="49" xfId="0" applyFont="1" applyFill="1" applyBorder="1" applyAlignment="1">
      <alignment horizontal="left"/>
    </xf>
    <xf numFmtId="0" fontId="75" fillId="33" borderId="49" xfId="0" applyFont="1" applyFill="1" applyBorder="1"/>
    <xf numFmtId="0" fontId="75" fillId="33" borderId="54" xfId="0" applyFont="1" applyFill="1" applyBorder="1"/>
    <xf numFmtId="0" fontId="61" fillId="34" borderId="25" xfId="0" applyFont="1" applyFill="1" applyBorder="1" applyAlignment="1" applyProtection="1">
      <alignment horizontal="left"/>
      <protection hidden="1"/>
    </xf>
    <xf numFmtId="0" fontId="47" fillId="34" borderId="20" xfId="0" applyFont="1" applyFill="1" applyBorder="1" applyAlignment="1">
      <alignment horizontal="left"/>
    </xf>
    <xf numFmtId="0" fontId="47" fillId="34" borderId="11" xfId="0" applyFont="1" applyFill="1" applyBorder="1" applyAlignment="1">
      <alignment horizontal="left"/>
    </xf>
    <xf numFmtId="0" fontId="47" fillId="34" borderId="21" xfId="0" applyFont="1" applyFill="1" applyBorder="1" applyAlignment="1">
      <alignment horizontal="left"/>
    </xf>
    <xf numFmtId="171" fontId="58" fillId="35" borderId="34" xfId="578" applyNumberFormat="1" applyFont="1" applyFill="1" applyBorder="1" applyAlignment="1" applyProtection="1">
      <alignment horizontal="center" vertical="center" wrapText="1"/>
      <protection locked="0"/>
    </xf>
    <xf numFmtId="0" fontId="58" fillId="35" borderId="21" xfId="578" applyFont="1" applyFill="1" applyBorder="1" applyAlignment="1" applyProtection="1">
      <alignment horizontal="center" vertical="center" wrapText="1"/>
      <protection locked="0"/>
    </xf>
    <xf numFmtId="4" fontId="58" fillId="35" borderId="21" xfId="578" applyNumberFormat="1" applyFont="1" applyFill="1" applyBorder="1" applyAlignment="1" applyProtection="1">
      <alignment horizontal="center" vertical="center" wrapText="1"/>
      <protection locked="0"/>
    </xf>
    <xf numFmtId="166" fontId="58" fillId="35" borderId="21" xfId="578" applyNumberFormat="1" applyFont="1" applyFill="1" applyBorder="1" applyAlignment="1" applyProtection="1">
      <alignment horizontal="center" vertical="center" wrapText="1"/>
      <protection locked="0"/>
    </xf>
    <xf numFmtId="167" fontId="58" fillId="35" borderId="49" xfId="578" applyNumberFormat="1" applyFont="1" applyFill="1" applyBorder="1" applyAlignment="1">
      <alignment horizontal="center" vertical="center" wrapText="1"/>
    </xf>
    <xf numFmtId="0" fontId="53" fillId="0" borderId="0" xfId="578" applyFont="1" applyAlignment="1">
      <alignment horizontal="left" wrapText="1"/>
    </xf>
    <xf numFmtId="2" fontId="54" fillId="19" borderId="64" xfId="0" applyNumberFormat="1" applyFont="1" applyFill="1" applyBorder="1" applyAlignment="1" applyProtection="1">
      <alignment horizontal="center" vertical="center" shrinkToFit="1"/>
      <protection locked="0"/>
    </xf>
    <xf numFmtId="0" fontId="54" fillId="36" borderId="64" xfId="0" applyFont="1" applyFill="1" applyBorder="1" applyAlignment="1" applyProtection="1">
      <alignment horizontal="center" vertical="center" shrinkToFit="1"/>
      <protection locked="0"/>
    </xf>
    <xf numFmtId="0" fontId="54" fillId="0" borderId="64" xfId="0" applyFont="1" applyBorder="1" applyAlignment="1">
      <alignment horizontal="center" vertical="center" wrapText="1"/>
    </xf>
    <xf numFmtId="1" fontId="54" fillId="0" borderId="64" xfId="0" applyNumberFormat="1" applyFont="1" applyBorder="1" applyAlignment="1">
      <alignment horizontal="center" vertical="center" wrapText="1"/>
    </xf>
    <xf numFmtId="2" fontId="121" fillId="19" borderId="64" xfId="579" applyNumberFormat="1" applyFont="1" applyFill="1" applyBorder="1" applyAlignment="1" applyProtection="1">
      <alignment horizontal="center" vertical="center" shrinkToFit="1"/>
      <protection locked="0"/>
    </xf>
    <xf numFmtId="0" fontId="121" fillId="36" borderId="64" xfId="579" applyFont="1" applyFill="1" applyBorder="1" applyAlignment="1" applyProtection="1">
      <alignment horizontal="center" vertical="center" wrapText="1"/>
      <protection locked="0"/>
    </xf>
    <xf numFmtId="0" fontId="52" fillId="29" borderId="64" xfId="578" applyFont="1" applyFill="1" applyBorder="1" applyAlignment="1" applyProtection="1">
      <alignment horizontal="center" vertical="center" wrapText="1"/>
      <protection locked="0"/>
    </xf>
    <xf numFmtId="0" fontId="61" fillId="10" borderId="64" xfId="578" applyFont="1" applyFill="1" applyBorder="1" applyAlignment="1" applyProtection="1">
      <alignment horizontal="center" vertical="center"/>
      <protection locked="0"/>
    </xf>
    <xf numFmtId="4" fontId="60" fillId="10" borderId="64" xfId="578" applyNumberFormat="1" applyFont="1" applyFill="1" applyBorder="1" applyAlignment="1" applyProtection="1">
      <alignment horizontal="center" vertical="center"/>
      <protection locked="0"/>
    </xf>
    <xf numFmtId="4" fontId="61" fillId="9" borderId="76" xfId="578" applyNumberFormat="1" applyFont="1" applyFill="1" applyBorder="1" applyAlignment="1">
      <alignment horizontal="center" vertical="center"/>
    </xf>
    <xf numFmtId="0" fontId="30" fillId="0" borderId="64" xfId="0" applyFont="1" applyBorder="1" applyAlignment="1">
      <alignment horizontal="center" vertical="center"/>
    </xf>
    <xf numFmtId="0" fontId="53" fillId="0" borderId="64" xfId="0" applyFont="1" applyBorder="1" applyAlignment="1">
      <alignment horizontal="center" vertical="center"/>
    </xf>
    <xf numFmtId="2" fontId="30" fillId="0" borderId="64" xfId="0" applyNumberFormat="1" applyFont="1" applyBorder="1" applyAlignment="1">
      <alignment horizontal="center" vertical="center"/>
    </xf>
    <xf numFmtId="9" fontId="45" fillId="0" borderId="64" xfId="547" applyFont="1" applyFill="1" applyBorder="1" applyAlignment="1" applyProtection="1">
      <alignment horizontal="center" vertical="center"/>
      <protection hidden="1"/>
    </xf>
    <xf numFmtId="0" fontId="53" fillId="0" borderId="64" xfId="0" applyFont="1" applyBorder="1" applyAlignment="1">
      <alignment horizontal="center" vertical="top"/>
    </xf>
    <xf numFmtId="2" fontId="30" fillId="0" borderId="64" xfId="0" applyNumberFormat="1" applyFont="1" applyBorder="1" applyAlignment="1">
      <alignment horizontal="center" vertical="top"/>
    </xf>
    <xf numFmtId="9" fontId="45" fillId="0" borderId="64" xfId="547" applyFont="1" applyFill="1" applyBorder="1" applyAlignment="1" applyProtection="1">
      <alignment horizontal="center" vertical="top"/>
      <protection hidden="1"/>
    </xf>
    <xf numFmtId="0" fontId="30" fillId="0" borderId="64" xfId="0" applyFont="1" applyBorder="1" applyAlignment="1">
      <alignment horizontal="center" vertical="top"/>
    </xf>
    <xf numFmtId="3" fontId="45" fillId="0" borderId="64" xfId="0" applyNumberFormat="1" applyFont="1" applyBorder="1" applyAlignment="1">
      <alignment horizontal="center" vertical="center"/>
    </xf>
    <xf numFmtId="0" fontId="0" fillId="0" borderId="64" xfId="0" applyBorder="1"/>
    <xf numFmtId="0" fontId="24" fillId="0" borderId="64" xfId="0" applyFont="1" applyBorder="1" applyAlignment="1">
      <alignment horizontal="right" vertical="center" indent="1"/>
    </xf>
    <xf numFmtId="1" fontId="0" fillId="0" borderId="64" xfId="0" applyNumberFormat="1" applyBorder="1" applyAlignment="1" applyProtection="1">
      <alignment horizontal="center" vertical="center" shrinkToFit="1"/>
      <protection hidden="1"/>
    </xf>
    <xf numFmtId="2" fontId="0" fillId="0" borderId="64" xfId="0" applyNumberFormat="1" applyBorder="1" applyAlignment="1" applyProtection="1">
      <alignment horizontal="center" vertical="center" shrinkToFit="1"/>
      <protection hidden="1"/>
    </xf>
    <xf numFmtId="3" fontId="43" fillId="0" borderId="64" xfId="546" applyNumberFormat="1" applyFont="1" applyFill="1" applyBorder="1" applyAlignment="1" applyProtection="1">
      <alignment horizontal="center" vertical="center" shrinkToFit="1"/>
      <protection hidden="1"/>
    </xf>
    <xf numFmtId="3" fontId="42" fillId="0" borderId="64" xfId="546" applyNumberFormat="1" applyFont="1" applyFill="1" applyBorder="1" applyAlignment="1" applyProtection="1">
      <alignment horizontal="center" vertical="center" shrinkToFit="1"/>
      <protection hidden="1"/>
    </xf>
    <xf numFmtId="3" fontId="48" fillId="10" borderId="64" xfId="0" applyNumberFormat="1" applyFont="1" applyFill="1" applyBorder="1" applyAlignment="1" applyProtection="1">
      <alignment horizontal="center" vertical="center"/>
      <protection locked="0"/>
    </xf>
    <xf numFmtId="3" fontId="48" fillId="15" borderId="64" xfId="0" applyNumberFormat="1" applyFont="1" applyFill="1" applyBorder="1" applyAlignment="1" applyProtection="1">
      <alignment horizontal="center" vertical="center" shrinkToFit="1"/>
      <protection hidden="1"/>
    </xf>
    <xf numFmtId="0" fontId="54" fillId="10" borderId="64" xfId="0" applyFont="1" applyFill="1" applyBorder="1" applyAlignment="1" applyProtection="1">
      <alignment horizontal="center" vertical="center" shrinkToFit="1"/>
      <protection locked="0"/>
    </xf>
    <xf numFmtId="0" fontId="54" fillId="15" borderId="64" xfId="0" applyFont="1" applyFill="1" applyBorder="1" applyAlignment="1">
      <alignment horizontal="center" vertical="center" shrinkToFit="1"/>
    </xf>
    <xf numFmtId="167" fontId="54" fillId="10" borderId="64" xfId="0" applyNumberFormat="1" applyFont="1" applyFill="1" applyBorder="1" applyAlignment="1" applyProtection="1">
      <alignment horizontal="center" vertical="center" shrinkToFit="1"/>
      <protection locked="0"/>
    </xf>
    <xf numFmtId="3" fontId="54" fillId="10" borderId="64" xfId="0" applyNumberFormat="1" applyFont="1" applyFill="1" applyBorder="1" applyAlignment="1" applyProtection="1">
      <alignment horizontal="center" vertical="center" shrinkToFit="1"/>
      <protection locked="0"/>
    </xf>
    <xf numFmtId="167" fontId="54" fillId="15" borderId="64" xfId="0" applyNumberFormat="1" applyFont="1" applyFill="1" applyBorder="1" applyAlignment="1" applyProtection="1">
      <alignment horizontal="center" vertical="center" shrinkToFit="1"/>
      <protection hidden="1"/>
    </xf>
    <xf numFmtId="166" fontId="54" fillId="15" borderId="64" xfId="0" applyNumberFormat="1" applyFont="1" applyFill="1" applyBorder="1" applyAlignment="1" applyProtection="1">
      <alignment horizontal="center" vertical="center" shrinkToFit="1"/>
      <protection hidden="1"/>
    </xf>
    <xf numFmtId="3" fontId="54" fillId="0" borderId="64" xfId="0" applyNumberFormat="1" applyFont="1" applyBorder="1" applyAlignment="1">
      <alignment horizontal="center" vertical="center"/>
    </xf>
    <xf numFmtId="0" fontId="0" fillId="15" borderId="64" xfId="0" applyFill="1" applyBorder="1"/>
    <xf numFmtId="0" fontId="60" fillId="15" borderId="64" xfId="0" applyFont="1" applyFill="1" applyBorder="1" applyAlignment="1">
      <alignment horizontal="center" vertical="center"/>
    </xf>
    <xf numFmtId="0" fontId="54" fillId="15" borderId="64" xfId="0" applyFont="1" applyFill="1" applyBorder="1" applyAlignment="1">
      <alignment vertical="center"/>
    </xf>
    <xf numFmtId="0" fontId="0" fillId="15" borderId="64" xfId="0" applyFill="1" applyBorder="1" applyAlignment="1">
      <alignment vertical="center"/>
    </xf>
    <xf numFmtId="0" fontId="54" fillId="15" borderId="64" xfId="0" applyFont="1" applyFill="1" applyBorder="1" applyAlignment="1">
      <alignment horizontal="center" vertical="center"/>
    </xf>
    <xf numFmtId="0" fontId="54" fillId="0" borderId="64" xfId="0" applyFont="1" applyBorder="1" applyAlignment="1">
      <alignment vertical="center"/>
    </xf>
    <xf numFmtId="0" fontId="0" fillId="0" borderId="64" xfId="0" applyBorder="1" applyAlignment="1">
      <alignment vertical="center"/>
    </xf>
    <xf numFmtId="0" fontId="54" fillId="0" borderId="64" xfId="0" applyFont="1" applyBorder="1" applyAlignment="1">
      <alignment horizontal="center" vertical="center"/>
    </xf>
    <xf numFmtId="0" fontId="30" fillId="15" borderId="64" xfId="0" applyFont="1" applyFill="1" applyBorder="1" applyAlignment="1">
      <alignment horizontal="center" vertical="center"/>
    </xf>
    <xf numFmtId="10" fontId="112" fillId="10" borderId="64" xfId="547" applyNumberFormat="1" applyFill="1" applyBorder="1" applyAlignment="1" applyProtection="1">
      <alignment horizontal="center" vertical="center"/>
      <protection locked="0"/>
    </xf>
    <xf numFmtId="0" fontId="0" fillId="15" borderId="64" xfId="0" applyFill="1" applyBorder="1" applyAlignment="1">
      <alignment horizontal="center" vertical="center"/>
    </xf>
    <xf numFmtId="0" fontId="0" fillId="10" borderId="64" xfId="0" applyFill="1" applyBorder="1" applyAlignment="1" applyProtection="1">
      <alignment horizontal="center" vertical="center"/>
      <protection locked="0"/>
    </xf>
    <xf numFmtId="2" fontId="112" fillId="10" borderId="64" xfId="547" applyNumberFormat="1" applyFill="1" applyBorder="1" applyAlignment="1" applyProtection="1">
      <alignment horizontal="center" vertical="center"/>
      <protection locked="0"/>
    </xf>
    <xf numFmtId="2" fontId="0" fillId="15" borderId="64" xfId="0" applyNumberFormat="1" applyFill="1" applyBorder="1" applyAlignment="1">
      <alignment horizontal="center" vertical="center"/>
    </xf>
    <xf numFmtId="168" fontId="112" fillId="10" borderId="64" xfId="547" applyNumberFormat="1" applyFill="1" applyBorder="1" applyAlignment="1" applyProtection="1">
      <alignment horizontal="center" vertical="center"/>
      <protection locked="0"/>
    </xf>
    <xf numFmtId="10" fontId="112" fillId="15" borderId="64" xfId="547" applyNumberFormat="1" applyFill="1" applyBorder="1" applyAlignment="1" applyProtection="1">
      <alignment horizontal="center" vertical="center"/>
    </xf>
    <xf numFmtId="0" fontId="45" fillId="0" borderId="64" xfId="0" applyFont="1" applyBorder="1" applyAlignment="1">
      <alignment horizontal="left" vertical="center" wrapText="1" indent="1"/>
    </xf>
    <xf numFmtId="166" fontId="44" fillId="0" borderId="64" xfId="0" applyNumberFormat="1" applyFont="1" applyBorder="1" applyAlignment="1">
      <alignment horizontal="center" vertical="center" shrinkToFit="1"/>
    </xf>
    <xf numFmtId="4" fontId="44" fillId="0" borderId="64" xfId="0" applyNumberFormat="1" applyFont="1" applyBorder="1" applyAlignment="1">
      <alignment horizontal="center" vertical="center" shrinkToFit="1"/>
    </xf>
    <xf numFmtId="170" fontId="44" fillId="0" borderId="64" xfId="167" applyNumberFormat="1" applyFont="1" applyFill="1" applyBorder="1" applyAlignment="1" applyProtection="1">
      <alignment horizontal="center" vertical="center"/>
    </xf>
    <xf numFmtId="0" fontId="93" fillId="0" borderId="64" xfId="0" applyFont="1" applyBorder="1" applyAlignment="1">
      <alignment horizontal="left" vertical="center" wrapText="1" indent="1"/>
    </xf>
    <xf numFmtId="0" fontId="44" fillId="0" borderId="64" xfId="0" applyFont="1" applyBorder="1" applyAlignment="1">
      <alignment horizontal="left" vertical="center" wrapText="1" indent="1"/>
    </xf>
    <xf numFmtId="0" fontId="44" fillId="0" borderId="64" xfId="0" applyFont="1" applyBorder="1" applyAlignment="1">
      <alignment horizontal="center" vertical="center" shrinkToFit="1"/>
    </xf>
    <xf numFmtId="170" fontId="44" fillId="0" borderId="64" xfId="167" applyNumberFormat="1" applyFont="1" applyFill="1" applyBorder="1" applyAlignment="1" applyProtection="1">
      <alignment horizontal="center" vertical="center" shrinkToFit="1"/>
    </xf>
    <xf numFmtId="0" fontId="44" fillId="0" borderId="64" xfId="0" applyFont="1" applyBorder="1" applyAlignment="1">
      <alignment shrinkToFit="1"/>
    </xf>
    <xf numFmtId="0" fontId="74" fillId="0" borderId="64" xfId="0" applyFont="1" applyBorder="1" applyAlignment="1">
      <alignment horizontal="left" vertical="center" wrapText="1" indent="1"/>
    </xf>
    <xf numFmtId="167" fontId="74" fillId="0" borderId="64" xfId="0" applyNumberFormat="1" applyFont="1" applyBorder="1" applyAlignment="1">
      <alignment horizontal="center" vertical="center" shrinkToFit="1"/>
    </xf>
    <xf numFmtId="170" fontId="74" fillId="0" borderId="64" xfId="167" applyNumberFormat="1" applyFont="1" applyFill="1" applyBorder="1" applyAlignment="1" applyProtection="1">
      <alignment horizontal="center" vertical="center" shrinkToFit="1"/>
    </xf>
    <xf numFmtId="0" fontId="45" fillId="0" borderId="64" xfId="0" applyFont="1" applyBorder="1" applyAlignment="1">
      <alignment horizontal="left" vertical="center" indent="1"/>
    </xf>
    <xf numFmtId="0" fontId="44" fillId="0" borderId="64" xfId="0" applyFont="1" applyBorder="1" applyAlignment="1">
      <alignment horizontal="center" vertical="center"/>
    </xf>
    <xf numFmtId="0" fontId="43" fillId="36" borderId="64" xfId="0" applyFont="1" applyFill="1" applyBorder="1" applyAlignment="1" applyProtection="1">
      <alignment horizontal="left" vertical="center" wrapText="1"/>
      <protection locked="0"/>
    </xf>
    <xf numFmtId="0" fontId="43" fillId="37" borderId="64" xfId="578" applyFont="1" applyFill="1" applyBorder="1" applyAlignment="1" applyProtection="1">
      <alignment horizontal="center" vertical="center"/>
      <protection hidden="1"/>
    </xf>
    <xf numFmtId="1" fontId="113" fillId="37" borderId="64" xfId="578" applyNumberFormat="1" applyFont="1" applyFill="1" applyBorder="1" applyAlignment="1" applyProtection="1">
      <alignment horizontal="center" vertical="center"/>
      <protection hidden="1"/>
    </xf>
    <xf numFmtId="2" fontId="30" fillId="37" borderId="64" xfId="578" applyNumberFormat="1" applyFont="1" applyFill="1" applyBorder="1" applyAlignment="1">
      <alignment horizontal="center" vertical="center"/>
    </xf>
    <xf numFmtId="166" fontId="72" fillId="37" borderId="64" xfId="578" applyNumberFormat="1" applyFont="1" applyFill="1" applyBorder="1" applyAlignment="1">
      <alignment horizontal="center" vertical="center"/>
    </xf>
    <xf numFmtId="9" fontId="44" fillId="0" borderId="64" xfId="547" applyFont="1" applyFill="1" applyBorder="1" applyAlignment="1" applyProtection="1">
      <alignment horizontal="center" vertical="center" shrinkToFit="1"/>
    </xf>
    <xf numFmtId="0" fontId="53" fillId="36" borderId="64" xfId="0" applyFont="1" applyFill="1" applyBorder="1" applyAlignment="1">
      <alignment horizontal="left" vertical="center" wrapText="1" shrinkToFit="1"/>
    </xf>
    <xf numFmtId="0" fontId="52" fillId="32" borderId="64" xfId="0" applyFont="1" applyFill="1" applyBorder="1" applyAlignment="1">
      <alignment vertical="center"/>
    </xf>
    <xf numFmtId="0" fontId="0" fillId="32" borderId="64" xfId="0" applyFill="1" applyBorder="1"/>
    <xf numFmtId="0" fontId="0" fillId="32" borderId="64" xfId="0" applyFill="1" applyBorder="1" applyAlignment="1">
      <alignment wrapText="1"/>
    </xf>
    <xf numFmtId="0" fontId="0" fillId="36" borderId="64" xfId="0" applyFill="1" applyBorder="1" applyAlignment="1" applyProtection="1">
      <alignment horizontal="left" vertical="center" wrapText="1" shrinkToFit="1"/>
      <protection locked="0"/>
    </xf>
    <xf numFmtId="2" fontId="72" fillId="37" borderId="64" xfId="578" applyNumberFormat="1" applyFont="1" applyFill="1" applyBorder="1" applyAlignment="1">
      <alignment horizontal="center" vertical="center"/>
    </xf>
    <xf numFmtId="0" fontId="52" fillId="32" borderId="64" xfId="0" applyFont="1" applyFill="1" applyBorder="1" applyAlignment="1">
      <alignment horizontal="left" vertical="center"/>
    </xf>
    <xf numFmtId="0" fontId="0" fillId="36" borderId="64" xfId="0" applyFill="1" applyBorder="1" applyAlignment="1" applyProtection="1">
      <alignment horizontal="left" vertical="center" wrapText="1"/>
      <protection locked="0"/>
    </xf>
    <xf numFmtId="166" fontId="30" fillId="37" borderId="64" xfId="578" applyNumberFormat="1" applyFont="1" applyFill="1" applyBorder="1" applyAlignment="1">
      <alignment horizontal="center" vertical="center"/>
    </xf>
    <xf numFmtId="166" fontId="0" fillId="18" borderId="64" xfId="0" applyNumberFormat="1" applyFill="1" applyBorder="1" applyAlignment="1">
      <alignment horizontal="center" vertical="center" shrinkToFit="1"/>
    </xf>
    <xf numFmtId="0" fontId="91" fillId="23" borderId="64" xfId="412" applyNumberFormat="1" applyFont="1" applyFill="1" applyBorder="1" applyAlignment="1" applyProtection="1">
      <alignment horizontal="center" vertical="center"/>
    </xf>
    <xf numFmtId="0" fontId="0" fillId="38" borderId="64" xfId="0" applyFill="1" applyBorder="1" applyAlignment="1">
      <alignment horizontal="left" vertical="center" wrapText="1" indent="1" shrinkToFit="1"/>
    </xf>
    <xf numFmtId="0" fontId="0" fillId="38" borderId="64" xfId="0" applyFill="1" applyBorder="1" applyAlignment="1">
      <alignment horizontal="left" vertical="center" indent="1" shrinkToFit="1"/>
    </xf>
    <xf numFmtId="0" fontId="0" fillId="38" borderId="64" xfId="0" applyFill="1" applyBorder="1" applyAlignment="1">
      <alignment horizontal="center" vertical="center" shrinkToFit="1"/>
    </xf>
    <xf numFmtId="0" fontId="43" fillId="37" borderId="64" xfId="0" applyFont="1" applyFill="1" applyBorder="1" applyAlignment="1">
      <alignment horizontal="center" vertical="center"/>
    </xf>
    <xf numFmtId="166" fontId="48" fillId="36" borderId="64" xfId="0" applyNumberFormat="1" applyFont="1" applyFill="1" applyBorder="1" applyAlignment="1">
      <alignment horizontal="center" vertical="center" shrinkToFit="1"/>
    </xf>
    <xf numFmtId="0" fontId="42" fillId="19" borderId="64" xfId="0" applyFont="1" applyFill="1" applyBorder="1" applyAlignment="1" applyProtection="1">
      <alignment horizontal="center" vertical="center"/>
      <protection locked="0"/>
    </xf>
    <xf numFmtId="0" fontId="52" fillId="34" borderId="64" xfId="0" applyFont="1" applyFill="1" applyBorder="1" applyAlignment="1">
      <alignment horizontal="left" vertical="center" wrapText="1" indent="1"/>
    </xf>
    <xf numFmtId="166" fontId="0" fillId="32" borderId="64" xfId="0" applyNumberFormat="1" applyFill="1" applyBorder="1" applyAlignment="1">
      <alignment horizontal="left" vertical="center" indent="1" shrinkToFit="1"/>
    </xf>
    <xf numFmtId="0" fontId="41" fillId="32" borderId="64" xfId="0" applyFont="1" applyFill="1" applyBorder="1" applyAlignment="1">
      <alignment horizontal="center" vertical="center" shrinkToFit="1"/>
    </xf>
    <xf numFmtId="0" fontId="43" fillId="32" borderId="64" xfId="0" applyFont="1" applyFill="1" applyBorder="1" applyAlignment="1">
      <alignment horizontal="center" vertical="center" shrinkToFit="1"/>
    </xf>
    <xf numFmtId="0" fontId="41" fillId="32" borderId="64" xfId="0" applyFont="1" applyFill="1" applyBorder="1" applyAlignment="1">
      <alignment horizontal="center" vertical="center"/>
    </xf>
    <xf numFmtId="166" fontId="48" fillId="32" borderId="64" xfId="0" applyNumberFormat="1" applyFont="1" applyFill="1" applyBorder="1" applyAlignment="1">
      <alignment horizontal="center" vertical="center" shrinkToFit="1"/>
    </xf>
    <xf numFmtId="0" fontId="42" fillId="32" borderId="64" xfId="0" applyFont="1" applyFill="1" applyBorder="1" applyAlignment="1">
      <alignment horizontal="center" vertical="center"/>
    </xf>
    <xf numFmtId="0" fontId="48" fillId="38" borderId="64" xfId="0" applyFont="1" applyFill="1" applyBorder="1" applyAlignment="1">
      <alignment horizontal="left" vertical="center" wrapText="1" indent="1" shrinkToFit="1"/>
    </xf>
    <xf numFmtId="14" fontId="53" fillId="10" borderId="64" xfId="578" applyNumberFormat="1" applyFont="1" applyFill="1" applyBorder="1" applyAlignment="1" applyProtection="1">
      <alignment horizontal="center" vertical="center"/>
      <protection locked="0" hidden="1"/>
    </xf>
    <xf numFmtId="173" fontId="112" fillId="9" borderId="64" xfId="578" applyNumberFormat="1" applyFill="1" applyBorder="1" applyAlignment="1" applyProtection="1">
      <alignment horizontal="center" vertical="center"/>
      <protection hidden="1"/>
    </xf>
    <xf numFmtId="0" fontId="112" fillId="9" borderId="64" xfId="578" applyFill="1" applyBorder="1" applyAlignment="1" applyProtection="1">
      <alignment horizontal="center" vertical="center"/>
      <protection hidden="1"/>
    </xf>
    <xf numFmtId="1" fontId="112" fillId="10" borderId="64" xfId="578" applyNumberFormat="1" applyFill="1" applyBorder="1" applyAlignment="1" applyProtection="1">
      <alignment horizontal="center" vertical="center"/>
      <protection locked="0" hidden="1"/>
    </xf>
    <xf numFmtId="173" fontId="112" fillId="10" borderId="64" xfId="578" applyNumberFormat="1" applyFill="1" applyBorder="1" applyAlignment="1" applyProtection="1">
      <alignment horizontal="center" vertical="center"/>
      <protection locked="0" hidden="1"/>
    </xf>
    <xf numFmtId="0" fontId="112" fillId="10" borderId="64" xfId="578" applyFill="1" applyBorder="1" applyAlignment="1" applyProtection="1">
      <alignment horizontal="center" vertical="center"/>
      <protection locked="0" hidden="1"/>
    </xf>
    <xf numFmtId="1" fontId="112" fillId="9" borderId="64" xfId="578" applyNumberFormat="1" applyFill="1" applyBorder="1" applyAlignment="1" applyProtection="1">
      <alignment horizontal="center" vertical="center"/>
      <protection hidden="1"/>
    </xf>
    <xf numFmtId="173" fontId="112" fillId="14" borderId="64" xfId="578" applyNumberFormat="1" applyFill="1" applyBorder="1" applyAlignment="1" applyProtection="1">
      <alignment horizontal="center" vertical="center"/>
      <protection hidden="1"/>
    </xf>
    <xf numFmtId="0" fontId="112" fillId="14" borderId="64" xfId="578" applyFill="1" applyBorder="1" applyAlignment="1" applyProtection="1">
      <alignment horizontal="center" vertical="center"/>
      <protection hidden="1"/>
    </xf>
    <xf numFmtId="1" fontId="112" fillId="14" borderId="64" xfId="578" applyNumberFormat="1" applyFill="1" applyBorder="1" applyAlignment="1" applyProtection="1">
      <alignment horizontal="center" vertical="center"/>
      <protection hidden="1"/>
    </xf>
    <xf numFmtId="166" fontId="42" fillId="9" borderId="64" xfId="578" applyNumberFormat="1" applyFont="1" applyFill="1" applyBorder="1" applyAlignment="1">
      <alignment horizontal="center" vertical="center"/>
    </xf>
    <xf numFmtId="0" fontId="45" fillId="32" borderId="78" xfId="0" applyFont="1" applyFill="1" applyBorder="1"/>
    <xf numFmtId="0" fontId="53" fillId="40" borderId="2" xfId="0" applyFont="1" applyFill="1" applyBorder="1" applyAlignment="1">
      <alignment horizontal="center" vertical="center" wrapText="1"/>
    </xf>
    <xf numFmtId="0" fontId="13" fillId="40" borderId="2" xfId="0" applyFont="1" applyFill="1" applyBorder="1" applyAlignment="1">
      <alignment horizontal="center" vertical="center"/>
    </xf>
    <xf numFmtId="1" fontId="45" fillId="39" borderId="2" xfId="0" applyNumberFormat="1" applyFont="1" applyFill="1" applyBorder="1" applyAlignment="1">
      <alignment horizontal="center"/>
    </xf>
    <xf numFmtId="0" fontId="13" fillId="40" borderId="2" xfId="0" applyFont="1" applyFill="1" applyBorder="1" applyAlignment="1">
      <alignment horizontal="center" vertical="center" wrapText="1"/>
    </xf>
    <xf numFmtId="0" fontId="12" fillId="40" borderId="77" xfId="0" applyFont="1" applyFill="1" applyBorder="1"/>
    <xf numFmtId="0" fontId="12" fillId="32" borderId="2" xfId="0" applyFont="1" applyFill="1" applyBorder="1" applyAlignment="1">
      <alignment horizontal="center" vertical="center" wrapText="1"/>
    </xf>
    <xf numFmtId="0" fontId="12" fillId="41" borderId="77" xfId="0" applyFont="1" applyFill="1" applyBorder="1" applyAlignment="1">
      <alignment horizontal="center" vertical="center" wrapText="1"/>
    </xf>
    <xf numFmtId="0" fontId="12" fillId="40" borderId="2" xfId="0" applyFont="1" applyFill="1" applyBorder="1" applyAlignment="1">
      <alignment horizontal="center" vertical="center" wrapText="1"/>
    </xf>
    <xf numFmtId="0" fontId="12" fillId="40" borderId="140" xfId="0" applyFont="1" applyFill="1" applyBorder="1"/>
    <xf numFmtId="0" fontId="12" fillId="40" borderId="2" xfId="0" applyFont="1" applyFill="1" applyBorder="1"/>
    <xf numFmtId="0" fontId="12" fillId="40" borderId="77" xfId="0" applyFont="1" applyFill="1" applyBorder="1" applyAlignment="1">
      <alignment horizontal="center" vertical="center"/>
    </xf>
    <xf numFmtId="0" fontId="12" fillId="40" borderId="2" xfId="0" applyFont="1" applyFill="1" applyBorder="1" applyAlignment="1">
      <alignment horizontal="center" vertical="center"/>
    </xf>
    <xf numFmtId="0" fontId="53" fillId="32" borderId="2" xfId="0" applyFont="1" applyFill="1" applyBorder="1"/>
    <xf numFmtId="0" fontId="12" fillId="32" borderId="2" xfId="0" applyFont="1" applyFill="1" applyBorder="1" applyAlignment="1">
      <alignment horizontal="center"/>
    </xf>
    <xf numFmtId="0" fontId="12" fillId="32" borderId="2" xfId="0" applyFont="1" applyFill="1" applyBorder="1" applyAlignment="1">
      <alignment horizontal="center" vertical="center"/>
    </xf>
    <xf numFmtId="0" fontId="66" fillId="0" borderId="0" xfId="0" applyFont="1"/>
    <xf numFmtId="0" fontId="161" fillId="0" borderId="0" xfId="0" applyFont="1"/>
    <xf numFmtId="0" fontId="11" fillId="14" borderId="2" xfId="0" applyFont="1" applyFill="1" applyBorder="1" applyAlignment="1">
      <alignment horizontal="center" vertical="center"/>
    </xf>
    <xf numFmtId="0" fontId="11" fillId="14" borderId="2" xfId="0" applyFont="1" applyFill="1" applyBorder="1" applyAlignment="1">
      <alignment horizontal="center" vertical="center" wrapText="1"/>
    </xf>
    <xf numFmtId="0" fontId="11" fillId="14" borderId="78" xfId="0" applyFont="1" applyFill="1" applyBorder="1" applyAlignment="1">
      <alignment vertical="top"/>
    </xf>
    <xf numFmtId="0" fontId="42" fillId="0" borderId="38" xfId="0" applyFont="1" applyBorder="1" applyAlignment="1">
      <alignment horizontal="center" vertical="center" wrapText="1"/>
    </xf>
    <xf numFmtId="0" fontId="142" fillId="43" borderId="0" xfId="0" applyFont="1" applyFill="1"/>
    <xf numFmtId="0" fontId="143" fillId="43" borderId="0" xfId="0" applyFont="1" applyFill="1" applyAlignment="1">
      <alignment horizontal="left" vertical="center"/>
    </xf>
    <xf numFmtId="0" fontId="112" fillId="44" borderId="0" xfId="578" applyFill="1"/>
    <xf numFmtId="0" fontId="0" fillId="43" borderId="0" xfId="0" applyFill="1"/>
    <xf numFmtId="0" fontId="62" fillId="43" borderId="0" xfId="578" applyFont="1" applyFill="1" applyAlignment="1">
      <alignment horizontal="center" vertical="center"/>
    </xf>
    <xf numFmtId="0" fontId="153" fillId="44" borderId="0" xfId="578" applyFont="1" applyFill="1"/>
    <xf numFmtId="0" fontId="148" fillId="43" borderId="0" xfId="0" applyFont="1" applyFill="1" applyAlignment="1">
      <alignment vertical="center"/>
    </xf>
    <xf numFmtId="0" fontId="149" fillId="43" borderId="0" xfId="0" applyFont="1" applyFill="1" applyAlignment="1">
      <alignment vertical="center"/>
    </xf>
    <xf numFmtId="0" fontId="147" fillId="43" borderId="0" xfId="0" applyFont="1" applyFill="1"/>
    <xf numFmtId="0" fontId="145" fillId="43" borderId="0" xfId="0" applyFont="1" applyFill="1" applyAlignment="1">
      <alignment vertical="center"/>
    </xf>
    <xf numFmtId="0" fontId="145" fillId="43" borderId="0" xfId="0" applyFont="1" applyFill="1" applyAlignment="1">
      <alignment horizontal="left" vertical="center"/>
    </xf>
    <xf numFmtId="0" fontId="142" fillId="43" borderId="0" xfId="0" applyFont="1" applyFill="1" applyAlignment="1" applyProtection="1">
      <alignment horizontal="center" vertical="center"/>
      <protection hidden="1"/>
    </xf>
    <xf numFmtId="0" fontId="142" fillId="43" borderId="0" xfId="0" applyFont="1" applyFill="1" applyAlignment="1">
      <alignment vertical="center"/>
    </xf>
    <xf numFmtId="0" fontId="142" fillId="43" borderId="0" xfId="0" applyFont="1" applyFill="1" applyAlignment="1" applyProtection="1">
      <alignment vertical="center"/>
      <protection locked="0"/>
    </xf>
    <xf numFmtId="0" fontId="146" fillId="43" borderId="0" xfId="0" applyFont="1" applyFill="1" applyAlignment="1">
      <alignment horizontal="right" vertical="center"/>
    </xf>
    <xf numFmtId="0" fontId="147" fillId="43" borderId="0" xfId="0" applyFont="1" applyFill="1" applyAlignment="1" applyProtection="1">
      <alignment vertical="center"/>
      <protection locked="0"/>
    </xf>
    <xf numFmtId="0" fontId="68" fillId="45" borderId="0" xfId="0" applyFont="1" applyFill="1" applyAlignment="1">
      <alignment horizontal="left" vertical="center"/>
    </xf>
    <xf numFmtId="0" fontId="82" fillId="45" borderId="0" xfId="0" applyFont="1" applyFill="1" applyAlignment="1">
      <alignment horizontal="left" vertical="center"/>
    </xf>
    <xf numFmtId="0" fontId="101" fillId="45" borderId="0" xfId="412" applyNumberFormat="1" applyFont="1" applyFill="1" applyBorder="1" applyAlignment="1" applyProtection="1">
      <alignment vertical="center"/>
    </xf>
    <xf numFmtId="0" fontId="156" fillId="44" borderId="0" xfId="0" applyFont="1" applyFill="1" applyAlignment="1">
      <alignment vertical="center"/>
    </xf>
    <xf numFmtId="0" fontId="155" fillId="44" borderId="0" xfId="0" applyFont="1" applyFill="1" applyAlignment="1">
      <alignment vertical="center" wrapText="1"/>
    </xf>
    <xf numFmtId="0" fontId="157" fillId="44" borderId="0" xfId="578" applyFont="1" applyFill="1" applyAlignment="1">
      <alignment horizontal="center" vertical="center"/>
    </xf>
    <xf numFmtId="0" fontId="143" fillId="44" borderId="0" xfId="0" applyFont="1" applyFill="1" applyAlignment="1">
      <alignment horizontal="left" vertical="center" indent="1"/>
    </xf>
    <xf numFmtId="0" fontId="143" fillId="44" borderId="0" xfId="0" applyFont="1" applyFill="1" applyAlignment="1">
      <alignment vertical="center"/>
    </xf>
    <xf numFmtId="0" fontId="143" fillId="43" borderId="0" xfId="0" applyFont="1" applyFill="1" applyAlignment="1">
      <alignment horizontal="left" vertical="center" indent="1"/>
    </xf>
    <xf numFmtId="0" fontId="158" fillId="43" borderId="0" xfId="0" applyFont="1" applyFill="1" applyAlignment="1">
      <alignment horizontal="left" indent="1" shrinkToFit="1"/>
    </xf>
    <xf numFmtId="0" fontId="154" fillId="45" borderId="0" xfId="0" applyFont="1" applyFill="1" applyAlignment="1" applyProtection="1">
      <alignment horizontal="left" vertical="center" indent="1"/>
      <protection hidden="1"/>
    </xf>
    <xf numFmtId="0" fontId="68" fillId="45" borderId="0" xfId="0" applyFont="1" applyFill="1" applyAlignment="1" applyProtection="1">
      <alignment horizontal="left" vertical="center"/>
      <protection hidden="1"/>
    </xf>
    <xf numFmtId="0" fontId="82" fillId="45" borderId="0" xfId="0" applyFont="1" applyFill="1" applyAlignment="1" applyProtection="1">
      <alignment horizontal="left" vertical="center"/>
      <protection hidden="1"/>
    </xf>
    <xf numFmtId="0" fontId="155" fillId="45" borderId="0" xfId="412" applyNumberFormat="1" applyFont="1" applyFill="1" applyBorder="1" applyAlignment="1" applyProtection="1">
      <alignment vertical="center"/>
    </xf>
    <xf numFmtId="0" fontId="154" fillId="43" borderId="0" xfId="0" applyFont="1" applyFill="1" applyAlignment="1">
      <alignment horizontal="left" vertical="center" indent="1"/>
    </xf>
    <xf numFmtId="0" fontId="154" fillId="45" borderId="0" xfId="0" applyFont="1" applyFill="1" applyAlignment="1">
      <alignment horizontal="left" vertical="center" indent="1"/>
    </xf>
    <xf numFmtId="0" fontId="56" fillId="46" borderId="64" xfId="578" applyFont="1" applyFill="1" applyBorder="1" applyAlignment="1">
      <alignment horizontal="center" vertical="center" wrapText="1"/>
    </xf>
    <xf numFmtId="0" fontId="56" fillId="46" borderId="49" xfId="578" applyFont="1" applyFill="1" applyBorder="1" applyAlignment="1">
      <alignment horizontal="center" vertical="center" wrapText="1"/>
    </xf>
    <xf numFmtId="0" fontId="43" fillId="46" borderId="64" xfId="578" applyFont="1" applyFill="1" applyBorder="1" applyAlignment="1">
      <alignment horizontal="center" vertical="center" wrapText="1"/>
    </xf>
    <xf numFmtId="0" fontId="42" fillId="46" borderId="64" xfId="578" applyFont="1" applyFill="1" applyBorder="1" applyAlignment="1">
      <alignment horizontal="center" vertical="center" wrapText="1"/>
    </xf>
    <xf numFmtId="0" fontId="53" fillId="47" borderId="49" xfId="578" applyFont="1" applyFill="1" applyBorder="1" applyAlignment="1">
      <alignment horizontal="center" vertical="center" wrapText="1"/>
    </xf>
    <xf numFmtId="166" fontId="42" fillId="48" borderId="64" xfId="578" applyNumberFormat="1" applyFont="1" applyFill="1" applyBorder="1" applyAlignment="1" applyProtection="1">
      <alignment horizontal="center"/>
      <protection hidden="1"/>
    </xf>
    <xf numFmtId="0" fontId="52" fillId="14" borderId="64" xfId="578" applyFont="1" applyFill="1" applyBorder="1" applyAlignment="1" applyProtection="1">
      <alignment vertical="center"/>
      <protection hidden="1"/>
    </xf>
    <xf numFmtId="0" fontId="42" fillId="14" borderId="64" xfId="578" applyFont="1" applyFill="1" applyBorder="1" applyAlignment="1" applyProtection="1">
      <alignment horizontal="right" vertical="center" wrapText="1" indent="1"/>
      <protection hidden="1"/>
    </xf>
    <xf numFmtId="0" fontId="43" fillId="14" borderId="64" xfId="578" applyFont="1" applyFill="1" applyBorder="1" applyAlignment="1" applyProtection="1">
      <alignment horizontal="center" vertical="center"/>
      <protection hidden="1"/>
    </xf>
    <xf numFmtId="0" fontId="43" fillId="38" borderId="64" xfId="0" applyFont="1" applyFill="1" applyBorder="1" applyAlignment="1">
      <alignment vertical="center"/>
    </xf>
    <xf numFmtId="0" fontId="0" fillId="38" borderId="64" xfId="0" applyFill="1" applyBorder="1"/>
    <xf numFmtId="0" fontId="52" fillId="38" borderId="64" xfId="0" applyFont="1" applyFill="1" applyBorder="1" applyAlignment="1">
      <alignment horizontal="right" vertical="center"/>
    </xf>
    <xf numFmtId="0" fontId="42" fillId="38" borderId="64" xfId="0" applyFont="1" applyFill="1" applyBorder="1" applyAlignment="1">
      <alignment vertical="center"/>
    </xf>
    <xf numFmtId="0" fontId="52" fillId="38" borderId="64" xfId="0" applyFont="1" applyFill="1" applyBorder="1" applyAlignment="1">
      <alignment horizontal="right" vertical="center" indent="1"/>
    </xf>
    <xf numFmtId="0" fontId="56" fillId="38" borderId="64" xfId="0" applyFont="1" applyFill="1" applyBorder="1" applyAlignment="1">
      <alignment horizontal="right" vertical="center" wrapText="1" indent="1"/>
    </xf>
    <xf numFmtId="0" fontId="93" fillId="42" borderId="64" xfId="578" applyFont="1" applyFill="1" applyBorder="1" applyAlignment="1" applyProtection="1">
      <alignment horizontal="center" vertical="center" wrapText="1"/>
      <protection hidden="1"/>
    </xf>
    <xf numFmtId="0" fontId="103" fillId="42" borderId="64" xfId="578" applyFont="1" applyFill="1" applyBorder="1" applyAlignment="1" applyProtection="1">
      <alignment horizontal="center" vertical="center" wrapText="1"/>
      <protection hidden="1"/>
    </xf>
    <xf numFmtId="0" fontId="38" fillId="42" borderId="64" xfId="578" applyFont="1" applyFill="1" applyBorder="1" applyAlignment="1" applyProtection="1">
      <alignment horizontal="center" vertical="center" wrapText="1"/>
      <protection hidden="1"/>
    </xf>
    <xf numFmtId="0" fontId="93" fillId="42" borderId="64" xfId="578" applyFont="1" applyFill="1" applyBorder="1" applyAlignment="1" applyProtection="1">
      <alignment horizontal="center" vertical="center" textRotation="90" wrapText="1"/>
      <protection hidden="1"/>
    </xf>
    <xf numFmtId="0" fontId="61" fillId="38" borderId="64" xfId="0" applyFont="1" applyFill="1" applyBorder="1" applyAlignment="1">
      <alignment horizontal="center" vertical="center"/>
    </xf>
    <xf numFmtId="0" fontId="74" fillId="42" borderId="64" xfId="578" applyFont="1" applyFill="1" applyBorder="1" applyAlignment="1" applyProtection="1">
      <alignment horizontal="center" vertical="center" wrapText="1"/>
      <protection hidden="1"/>
    </xf>
    <xf numFmtId="0" fontId="43" fillId="38" borderId="64" xfId="0" applyFont="1" applyFill="1" applyBorder="1" applyAlignment="1">
      <alignment horizontal="center" vertical="center" wrapText="1"/>
    </xf>
    <xf numFmtId="0" fontId="72" fillId="42" borderId="64" xfId="578" applyFont="1" applyFill="1" applyBorder="1" applyAlignment="1" applyProtection="1">
      <alignment horizontal="center" vertical="center" wrapText="1"/>
      <protection hidden="1"/>
    </xf>
    <xf numFmtId="0" fontId="56" fillId="42" borderId="64" xfId="0" applyFont="1" applyFill="1" applyBorder="1" applyAlignment="1" applyProtection="1">
      <alignment horizontal="left" vertical="center" wrapText="1" indent="1"/>
      <protection hidden="1"/>
    </xf>
    <xf numFmtId="0" fontId="52" fillId="42" borderId="64" xfId="0" applyFont="1" applyFill="1" applyBorder="1" applyAlignment="1" applyProtection="1">
      <alignment horizontal="left" vertical="center" wrapText="1" indent="1"/>
      <protection hidden="1"/>
    </xf>
    <xf numFmtId="0" fontId="75" fillId="42" borderId="64" xfId="0" applyFont="1" applyFill="1" applyBorder="1" applyAlignment="1">
      <alignment horizontal="center" vertical="center" wrapText="1"/>
    </xf>
    <xf numFmtId="0" fontId="42" fillId="38" borderId="64" xfId="0" applyFont="1" applyFill="1" applyBorder="1" applyAlignment="1">
      <alignment horizontal="left" vertical="center"/>
    </xf>
    <xf numFmtId="0" fontId="53" fillId="38" borderId="64" xfId="0" applyFont="1" applyFill="1" applyBorder="1" applyAlignment="1">
      <alignment horizontal="center"/>
    </xf>
    <xf numFmtId="0" fontId="72" fillId="38" borderId="64" xfId="0" applyFont="1" applyFill="1" applyBorder="1" applyAlignment="1">
      <alignment horizontal="left" vertical="center" indent="1"/>
    </xf>
    <xf numFmtId="0" fontId="93" fillId="38" borderId="64" xfId="0" applyFont="1" applyFill="1" applyBorder="1" applyAlignment="1">
      <alignment horizontal="center" vertical="center" wrapText="1"/>
    </xf>
    <xf numFmtId="0" fontId="103" fillId="38" borderId="64" xfId="0" applyFont="1" applyFill="1" applyBorder="1" applyAlignment="1">
      <alignment horizontal="center" vertical="center"/>
    </xf>
    <xf numFmtId="0" fontId="74" fillId="38" borderId="64" xfId="0" applyFont="1" applyFill="1" applyBorder="1" applyAlignment="1">
      <alignment horizontal="center" vertical="center"/>
    </xf>
    <xf numFmtId="170" fontId="74" fillId="38" borderId="64" xfId="167" applyNumberFormat="1" applyFont="1" applyFill="1" applyBorder="1" applyAlignment="1" applyProtection="1">
      <alignment horizontal="center" vertical="center" shrinkToFit="1"/>
    </xf>
    <xf numFmtId="0" fontId="103" fillId="38" borderId="64" xfId="0" applyFont="1" applyFill="1" applyBorder="1" applyAlignment="1">
      <alignment horizontal="center" vertical="center" shrinkToFit="1"/>
    </xf>
    <xf numFmtId="0" fontId="44" fillId="42" borderId="64" xfId="0" applyFont="1" applyFill="1" applyBorder="1" applyAlignment="1">
      <alignment horizontal="center" vertical="center"/>
    </xf>
    <xf numFmtId="2" fontId="44" fillId="42" borderId="64" xfId="0" applyNumberFormat="1" applyFont="1" applyFill="1" applyBorder="1" applyAlignment="1">
      <alignment horizontal="center" vertical="center"/>
    </xf>
    <xf numFmtId="0" fontId="44" fillId="38" borderId="64" xfId="0" applyFont="1" applyFill="1" applyBorder="1" applyAlignment="1">
      <alignment horizontal="center" vertical="center"/>
    </xf>
    <xf numFmtId="0" fontId="38" fillId="38" borderId="64" xfId="0" applyFont="1" applyFill="1" applyBorder="1" applyAlignment="1">
      <alignment horizontal="left" vertical="center" indent="1"/>
    </xf>
    <xf numFmtId="0" fontId="74" fillId="38" borderId="64" xfId="0" applyFont="1" applyFill="1" applyBorder="1" applyAlignment="1">
      <alignment horizontal="left" vertical="center"/>
    </xf>
    <xf numFmtId="0" fontId="42" fillId="38" borderId="0" xfId="0" applyFont="1" applyFill="1"/>
    <xf numFmtId="0" fontId="43" fillId="38" borderId="0" xfId="0" applyFont="1" applyFill="1"/>
    <xf numFmtId="0" fontId="0" fillId="38" borderId="0" xfId="0" applyFill="1"/>
    <xf numFmtId="0" fontId="45" fillId="38" borderId="64" xfId="0" applyFont="1" applyFill="1" applyBorder="1" applyAlignment="1">
      <alignment horizontal="center" vertical="center"/>
    </xf>
    <xf numFmtId="166" fontId="45" fillId="38" borderId="64" xfId="0" applyNumberFormat="1" applyFont="1" applyFill="1" applyBorder="1" applyAlignment="1">
      <alignment horizontal="center" vertical="center" shrinkToFit="1"/>
    </xf>
    <xf numFmtId="3" fontId="45" fillId="38" borderId="64" xfId="0" applyNumberFormat="1" applyFont="1" applyFill="1" applyBorder="1" applyAlignment="1">
      <alignment horizontal="center" vertical="center"/>
    </xf>
    <xf numFmtId="0" fontId="45" fillId="38" borderId="64" xfId="0" applyFont="1" applyFill="1" applyBorder="1" applyAlignment="1">
      <alignment horizontal="center" vertical="center" shrinkToFit="1"/>
    </xf>
    <xf numFmtId="0" fontId="45" fillId="38" borderId="64" xfId="0" applyFont="1" applyFill="1" applyBorder="1" applyAlignment="1">
      <alignment horizontal="right" vertical="center"/>
    </xf>
    <xf numFmtId="0" fontId="56" fillId="38" borderId="53" xfId="0" applyFont="1" applyFill="1" applyBorder="1" applyAlignment="1">
      <alignment horizontal="center" vertical="center" wrapText="1"/>
    </xf>
    <xf numFmtId="0" fontId="48" fillId="20" borderId="0" xfId="0" applyFont="1" applyFill="1" applyProtection="1">
      <protection locked="0"/>
    </xf>
    <xf numFmtId="0" fontId="52" fillId="20" borderId="0" xfId="0" applyFont="1" applyFill="1" applyAlignment="1" applyProtection="1">
      <alignment horizontal="right" vertical="center"/>
      <protection locked="0"/>
    </xf>
    <xf numFmtId="0" fontId="162" fillId="0" borderId="0" xfId="412" applyFont="1"/>
    <xf numFmtId="1" fontId="54" fillId="17" borderId="64" xfId="0" applyNumberFormat="1" applyFont="1" applyFill="1" applyBorder="1" applyAlignment="1">
      <alignment horizontal="center" vertical="center" wrapText="1"/>
    </xf>
    <xf numFmtId="167" fontId="52" fillId="0" borderId="64" xfId="0" applyNumberFormat="1" applyFont="1" applyBorder="1" applyAlignment="1">
      <alignment horizontal="center" vertical="center" shrinkToFit="1"/>
    </xf>
    <xf numFmtId="0" fontId="43" fillId="0" borderId="67" xfId="0" applyFont="1" applyBorder="1" applyAlignment="1">
      <alignment horizontal="right" vertical="center"/>
    </xf>
    <xf numFmtId="0" fontId="43" fillId="0" borderId="76" xfId="0" applyFont="1" applyBorder="1" applyAlignment="1">
      <alignment horizontal="center" vertical="center" shrinkToFit="1"/>
    </xf>
    <xf numFmtId="0" fontId="143" fillId="45" borderId="64" xfId="0" applyFont="1" applyFill="1" applyBorder="1" applyAlignment="1">
      <alignment horizontal="left" vertical="center"/>
    </xf>
    <xf numFmtId="0" fontId="0" fillId="49" borderId="64" xfId="0" applyFill="1" applyBorder="1" applyAlignment="1">
      <alignment horizontal="center" vertical="center"/>
    </xf>
    <xf numFmtId="0" fontId="43" fillId="10" borderId="64" xfId="0" applyFont="1" applyFill="1" applyBorder="1" applyAlignment="1" applyProtection="1">
      <alignment horizontal="left" vertical="center" indent="1"/>
      <protection locked="0"/>
    </xf>
    <xf numFmtId="0" fontId="43" fillId="10" borderId="70" xfId="0" applyFont="1" applyFill="1" applyBorder="1" applyAlignment="1" applyProtection="1">
      <alignment horizontal="left" vertical="center" indent="1"/>
      <protection locked="0"/>
    </xf>
    <xf numFmtId="0" fontId="135" fillId="45" borderId="0" xfId="0" applyFont="1" applyFill="1" applyAlignment="1">
      <alignment horizontal="left" vertical="center" indent="1"/>
    </xf>
    <xf numFmtId="0" fontId="143" fillId="43" borderId="128" xfId="0" applyFont="1" applyFill="1" applyBorder="1" applyAlignment="1">
      <alignment horizontal="left" vertical="center" indent="1"/>
    </xf>
    <xf numFmtId="0" fontId="82" fillId="43" borderId="128" xfId="0" applyFont="1" applyFill="1" applyBorder="1" applyAlignment="1">
      <alignment horizontal="left" vertical="center"/>
    </xf>
    <xf numFmtId="0" fontId="0" fillId="43" borderId="128" xfId="0" applyFill="1" applyBorder="1"/>
    <xf numFmtId="0" fontId="83" fillId="43" borderId="128" xfId="412" applyNumberFormat="1" applyFont="1" applyFill="1" applyBorder="1" applyAlignment="1" applyProtection="1">
      <alignment horizontal="center" vertical="center"/>
    </xf>
    <xf numFmtId="0" fontId="52" fillId="10" borderId="64" xfId="0" applyFont="1" applyFill="1" applyBorder="1" applyAlignment="1" applyProtection="1">
      <alignment horizontal="left" vertical="center" indent="1"/>
      <protection locked="0"/>
    </xf>
    <xf numFmtId="3" fontId="52" fillId="10" borderId="64" xfId="0" applyNumberFormat="1" applyFont="1" applyFill="1" applyBorder="1" applyAlignment="1" applyProtection="1">
      <alignment horizontal="center" vertical="center" wrapText="1"/>
      <protection locked="0"/>
    </xf>
    <xf numFmtId="167" fontId="54" fillId="10" borderId="64" xfId="0" applyNumberFormat="1" applyFont="1" applyFill="1" applyBorder="1" applyAlignment="1" applyProtection="1">
      <alignment horizontal="center" vertical="center" wrapText="1"/>
      <protection locked="0"/>
    </xf>
    <xf numFmtId="9" fontId="30" fillId="10" borderId="64" xfId="547" applyFont="1" applyFill="1" applyBorder="1" applyAlignment="1" applyProtection="1">
      <alignment horizontal="center" vertical="center" wrapText="1"/>
      <protection locked="0"/>
    </xf>
    <xf numFmtId="4" fontId="54" fillId="10" borderId="64" xfId="0" applyNumberFormat="1" applyFont="1" applyFill="1" applyBorder="1" applyAlignment="1" applyProtection="1">
      <alignment horizontal="center" vertical="center" wrapText="1"/>
      <protection locked="0"/>
    </xf>
    <xf numFmtId="3" fontId="52" fillId="15" borderId="64" xfId="0" applyNumberFormat="1" applyFont="1" applyFill="1" applyBorder="1" applyAlignment="1">
      <alignment horizontal="center" vertical="center"/>
    </xf>
    <xf numFmtId="3" fontId="54" fillId="15" borderId="64" xfId="0" applyNumberFormat="1" applyFont="1" applyFill="1" applyBorder="1" applyAlignment="1">
      <alignment horizontal="center" vertical="center"/>
    </xf>
    <xf numFmtId="9" fontId="30" fillId="15" borderId="64" xfId="547" applyFont="1" applyFill="1" applyBorder="1" applyAlignment="1" applyProtection="1">
      <alignment horizontal="center" vertical="center"/>
    </xf>
    <xf numFmtId="3" fontId="141" fillId="15" borderId="64" xfId="0" applyNumberFormat="1" applyFont="1" applyFill="1" applyBorder="1" applyAlignment="1">
      <alignment horizontal="center" vertical="center"/>
    </xf>
    <xf numFmtId="3" fontId="52" fillId="10" borderId="64" xfId="0" applyNumberFormat="1" applyFont="1" applyFill="1" applyBorder="1" applyAlignment="1" applyProtection="1">
      <alignment horizontal="left" vertical="center" wrapText="1" indent="1"/>
      <protection locked="0"/>
    </xf>
    <xf numFmtId="3" fontId="52" fillId="0" borderId="64" xfId="0" applyNumberFormat="1" applyFont="1" applyBorder="1" applyAlignment="1">
      <alignment horizontal="center" vertical="center"/>
    </xf>
    <xf numFmtId="0" fontId="0" fillId="0" borderId="64" xfId="0" applyBorder="1" applyAlignment="1">
      <alignment horizontal="left" vertical="center"/>
    </xf>
    <xf numFmtId="167" fontId="54" fillId="0" borderId="64" xfId="0" applyNumberFormat="1" applyFont="1" applyBorder="1" applyAlignment="1">
      <alignment horizontal="left" vertical="center"/>
    </xf>
    <xf numFmtId="3" fontId="42" fillId="0" borderId="64" xfId="0" applyNumberFormat="1" applyFont="1" applyBorder="1" applyAlignment="1">
      <alignment horizontal="center"/>
    </xf>
    <xf numFmtId="3" fontId="52" fillId="0" borderId="64" xfId="0" applyNumberFormat="1" applyFont="1" applyBorder="1" applyAlignment="1">
      <alignment horizontal="center" vertical="center" shrinkToFit="1"/>
    </xf>
    <xf numFmtId="166" fontId="53" fillId="0" borderId="64" xfId="0" applyNumberFormat="1" applyFont="1" applyBorder="1" applyAlignment="1">
      <alignment horizontal="center" vertical="center"/>
    </xf>
    <xf numFmtId="9" fontId="30" fillId="0" borderId="64" xfId="547" applyFont="1" applyFill="1" applyBorder="1" applyAlignment="1" applyProtection="1">
      <alignment horizontal="center" vertical="center"/>
      <protection hidden="1"/>
    </xf>
    <xf numFmtId="9" fontId="53" fillId="0" borderId="64" xfId="0" applyNumberFormat="1" applyFont="1" applyBorder="1" applyAlignment="1">
      <alignment horizontal="center" vertical="center"/>
    </xf>
    <xf numFmtId="0" fontId="43" fillId="0" borderId="64" xfId="0" applyFont="1" applyBorder="1" applyAlignment="1">
      <alignment horizontal="left" vertical="center" wrapText="1"/>
    </xf>
    <xf numFmtId="169" fontId="78" fillId="19" borderId="64" xfId="417" applyNumberFormat="1" applyFont="1" applyFill="1" applyBorder="1" applyAlignment="1" applyProtection="1">
      <alignment horizontal="left" vertical="center"/>
      <protection locked="0" hidden="1"/>
    </xf>
    <xf numFmtId="167" fontId="42" fillId="0" borderId="64" xfId="0" applyNumberFormat="1" applyFont="1" applyBorder="1" applyAlignment="1">
      <alignment horizontal="center" vertical="center"/>
    </xf>
    <xf numFmtId="3" fontId="52" fillId="19" borderId="64" xfId="0" applyNumberFormat="1" applyFont="1" applyFill="1" applyBorder="1" applyAlignment="1" applyProtection="1">
      <alignment horizontal="center" vertical="center" shrinkToFit="1"/>
      <protection locked="0"/>
    </xf>
    <xf numFmtId="2" fontId="30" fillId="0" borderId="64" xfId="547" applyNumberFormat="1" applyFont="1" applyFill="1" applyBorder="1" applyAlignment="1" applyProtection="1">
      <alignment horizontal="center" vertical="center"/>
      <protection hidden="1"/>
    </xf>
    <xf numFmtId="0" fontId="74" fillId="0" borderId="64" xfId="0" applyFont="1" applyBorder="1" applyAlignment="1">
      <alignment horizontal="left" vertical="center" wrapText="1"/>
    </xf>
    <xf numFmtId="9" fontId="30" fillId="19" borderId="64" xfId="547" applyFont="1" applyFill="1" applyBorder="1" applyAlignment="1" applyProtection="1">
      <alignment horizontal="center" vertical="center"/>
      <protection hidden="1"/>
    </xf>
    <xf numFmtId="9" fontId="30" fillId="19" borderId="64" xfId="547" applyFont="1" applyFill="1" applyBorder="1" applyAlignment="1" applyProtection="1">
      <alignment horizontal="center" vertical="center"/>
      <protection locked="0" hidden="1"/>
    </xf>
    <xf numFmtId="169" fontId="39" fillId="19" borderId="64" xfId="417" applyNumberFormat="1" applyFont="1" applyFill="1" applyBorder="1" applyAlignment="1" applyProtection="1">
      <alignment horizontal="center" vertical="center" shrinkToFit="1"/>
      <protection locked="0" hidden="1"/>
    </xf>
    <xf numFmtId="167" fontId="52" fillId="0" borderId="76" xfId="0" applyNumberFormat="1" applyFont="1" applyBorder="1" applyAlignment="1">
      <alignment horizontal="center" vertical="center" shrinkToFit="1"/>
    </xf>
    <xf numFmtId="0" fontId="53" fillId="0" borderId="67" xfId="0" applyFont="1" applyBorder="1" applyAlignment="1">
      <alignment horizontal="left" vertical="center"/>
    </xf>
    <xf numFmtId="0" fontId="53" fillId="0" borderId="76" xfId="0" applyFont="1" applyBorder="1" applyAlignment="1">
      <alignment horizontal="left" vertical="center"/>
    </xf>
    <xf numFmtId="3" fontId="52" fillId="18" borderId="64" xfId="0" applyNumberFormat="1" applyFont="1" applyFill="1" applyBorder="1" applyAlignment="1">
      <alignment horizontal="center" vertical="center" shrinkToFit="1"/>
    </xf>
    <xf numFmtId="1" fontId="52" fillId="18" borderId="64" xfId="0" applyNumberFormat="1" applyFont="1" applyFill="1" applyBorder="1" applyAlignment="1">
      <alignment horizontal="center" vertical="center" wrapText="1"/>
    </xf>
    <xf numFmtId="0" fontId="52" fillId="0" borderId="0" xfId="0" applyFont="1" applyAlignment="1">
      <alignment horizontal="center"/>
    </xf>
    <xf numFmtId="0" fontId="53" fillId="0" borderId="0" xfId="0" applyFont="1" applyAlignment="1">
      <alignment horizontal="left" vertical="center" indent="1"/>
    </xf>
    <xf numFmtId="0" fontId="112" fillId="51" borderId="85" xfId="577" applyFill="1" applyBorder="1" applyAlignment="1">
      <alignment horizontal="center" vertical="center"/>
    </xf>
    <xf numFmtId="0" fontId="112" fillId="51" borderId="62" xfId="577" applyFill="1" applyBorder="1" applyAlignment="1">
      <alignment horizontal="center" vertical="center"/>
    </xf>
    <xf numFmtId="0" fontId="112" fillId="51" borderId="92" xfId="577" applyFill="1" applyBorder="1" applyAlignment="1">
      <alignment horizontal="center" vertical="center"/>
    </xf>
    <xf numFmtId="0" fontId="112" fillId="51" borderId="114" xfId="577" applyFill="1" applyBorder="1" applyAlignment="1">
      <alignment horizontal="center" vertical="center"/>
    </xf>
    <xf numFmtId="0" fontId="112" fillId="51" borderId="0" xfId="577" applyFill="1" applyAlignment="1">
      <alignment horizontal="center" vertical="center"/>
    </xf>
    <xf numFmtId="0" fontId="112" fillId="51" borderId="115" xfId="577" applyFill="1" applyBorder="1" applyAlignment="1">
      <alignment horizontal="center" vertical="center"/>
    </xf>
    <xf numFmtId="0" fontId="112" fillId="51" borderId="94" xfId="577" applyFill="1" applyBorder="1" applyAlignment="1">
      <alignment horizontal="center" vertical="center"/>
    </xf>
    <xf numFmtId="0" fontId="112" fillId="51" borderId="89" xfId="577" applyFill="1" applyBorder="1" applyAlignment="1">
      <alignment horizontal="center" vertical="center"/>
    </xf>
    <xf numFmtId="0" fontId="112" fillId="51" borderId="129" xfId="577" applyFill="1" applyBorder="1" applyAlignment="1">
      <alignment horizontal="center" vertical="center"/>
    </xf>
    <xf numFmtId="0" fontId="0" fillId="52" borderId="10" xfId="0" applyFill="1" applyBorder="1"/>
    <xf numFmtId="0" fontId="0" fillId="52" borderId="20" xfId="0" applyFill="1" applyBorder="1"/>
    <xf numFmtId="0" fontId="0" fillId="52" borderId="95" xfId="0" applyFill="1" applyBorder="1" applyAlignment="1">
      <alignment horizontal="center" vertical="center"/>
    </xf>
    <xf numFmtId="0" fontId="40" fillId="52" borderId="96" xfId="0" applyFont="1" applyFill="1" applyBorder="1" applyAlignment="1">
      <alignment horizontal="center" vertical="center" wrapText="1"/>
    </xf>
    <xf numFmtId="0" fontId="0" fillId="52" borderId="97" xfId="0" applyFill="1" applyBorder="1" applyAlignment="1">
      <alignment horizontal="left" vertical="center"/>
    </xf>
    <xf numFmtId="0" fontId="0" fillId="52" borderId="98" xfId="0" applyFill="1" applyBorder="1" applyAlignment="1">
      <alignment horizontal="center" vertical="center"/>
    </xf>
    <xf numFmtId="0" fontId="0" fillId="52" borderId="99" xfId="0" applyFill="1" applyBorder="1" applyAlignment="1">
      <alignment horizontal="center" vertical="center"/>
    </xf>
    <xf numFmtId="0" fontId="0" fillId="52" borderId="100" xfId="0" applyFill="1" applyBorder="1" applyAlignment="1">
      <alignment horizontal="center" vertical="center"/>
    </xf>
    <xf numFmtId="0" fontId="0" fillId="52" borderId="101" xfId="0" applyFill="1" applyBorder="1" applyAlignment="1">
      <alignment horizontal="center" vertical="center"/>
    </xf>
    <xf numFmtId="0" fontId="0" fillId="52" borderId="102" xfId="0" applyFill="1" applyBorder="1" applyAlignment="1">
      <alignment horizontal="center" vertical="center"/>
    </xf>
    <xf numFmtId="0" fontId="0" fillId="52" borderId="102" xfId="0" applyFill="1" applyBorder="1" applyAlignment="1">
      <alignment horizontal="left" vertical="center"/>
    </xf>
    <xf numFmtId="0" fontId="0" fillId="52" borderId="103" xfId="0" applyFill="1" applyBorder="1" applyAlignment="1">
      <alignment horizontal="left" vertical="center"/>
    </xf>
    <xf numFmtId="0" fontId="0" fillId="52" borderId="21" xfId="0" applyFill="1" applyBorder="1" applyAlignment="1">
      <alignment horizontal="left" vertical="center"/>
    </xf>
    <xf numFmtId="0" fontId="0" fillId="52" borderId="30" xfId="0" applyFill="1" applyBorder="1" applyAlignment="1">
      <alignment horizontal="center"/>
    </xf>
    <xf numFmtId="0" fontId="0" fillId="52" borderId="12" xfId="0" applyFill="1" applyBorder="1" applyAlignment="1">
      <alignment horizontal="center"/>
    </xf>
    <xf numFmtId="0" fontId="0" fillId="52" borderId="13" xfId="0" applyFill="1" applyBorder="1" applyAlignment="1">
      <alignment horizontal="center"/>
    </xf>
    <xf numFmtId="0" fontId="0" fillId="52" borderId="30" xfId="0" applyFill="1" applyBorder="1" applyAlignment="1">
      <alignment horizontal="center" vertical="center"/>
    </xf>
    <xf numFmtId="0" fontId="0" fillId="52" borderId="12" xfId="0" applyFill="1" applyBorder="1" applyAlignment="1">
      <alignment horizontal="center" vertical="center"/>
    </xf>
    <xf numFmtId="0" fontId="0" fillId="52" borderId="73" xfId="0" applyFill="1" applyBorder="1" applyAlignment="1">
      <alignment horizontal="center" vertical="center"/>
    </xf>
    <xf numFmtId="0" fontId="0" fillId="52" borderId="22" xfId="0" applyFill="1" applyBorder="1" applyAlignment="1">
      <alignment horizontal="center" vertical="center"/>
    </xf>
    <xf numFmtId="0" fontId="32" fillId="52" borderId="20" xfId="0" applyFont="1" applyFill="1" applyBorder="1" applyAlignment="1">
      <alignment horizontal="center" vertical="center"/>
    </xf>
    <xf numFmtId="0" fontId="0" fillId="52" borderId="104" xfId="0" applyFill="1" applyBorder="1" applyAlignment="1">
      <alignment horizontal="center" vertical="center"/>
    </xf>
    <xf numFmtId="0" fontId="0" fillId="52" borderId="105" xfId="0" applyFill="1" applyBorder="1" applyAlignment="1">
      <alignment horizontal="center" vertical="center"/>
    </xf>
    <xf numFmtId="0" fontId="0" fillId="52" borderId="106" xfId="0" applyFill="1" applyBorder="1" applyAlignment="1">
      <alignment horizontal="center" vertical="center"/>
    </xf>
    <xf numFmtId="0" fontId="0" fillId="52" borderId="107" xfId="0" applyFill="1" applyBorder="1" applyAlignment="1">
      <alignment horizontal="center" vertical="center"/>
    </xf>
    <xf numFmtId="0" fontId="0" fillId="52" borderId="108" xfId="0" applyFill="1" applyBorder="1" applyAlignment="1">
      <alignment horizontal="center" vertical="center"/>
    </xf>
    <xf numFmtId="0" fontId="0" fillId="52" borderId="109" xfId="0" applyFill="1" applyBorder="1" applyAlignment="1">
      <alignment horizontal="center" vertical="center"/>
    </xf>
    <xf numFmtId="0" fontId="0" fillId="52" borderId="14" xfId="0" applyFill="1" applyBorder="1" applyAlignment="1">
      <alignment horizontal="center" vertical="center"/>
    </xf>
    <xf numFmtId="0" fontId="0" fillId="51" borderId="16" xfId="0" applyFill="1" applyBorder="1"/>
    <xf numFmtId="0" fontId="0" fillId="51" borderId="17" xfId="0" applyFill="1" applyBorder="1"/>
    <xf numFmtId="0" fontId="0" fillId="51" borderId="16" xfId="0" applyFill="1" applyBorder="1" applyAlignment="1">
      <alignment horizontal="center"/>
    </xf>
    <xf numFmtId="0" fontId="0" fillId="51" borderId="18" xfId="0" applyFill="1" applyBorder="1" applyAlignment="1">
      <alignment horizontal="center"/>
    </xf>
    <xf numFmtId="0" fontId="0" fillId="51" borderId="110" xfId="0" applyFill="1" applyBorder="1" applyAlignment="1">
      <alignment horizontal="center"/>
    </xf>
    <xf numFmtId="0" fontId="0" fillId="51" borderId="32" xfId="0" applyFill="1" applyBorder="1" applyAlignment="1">
      <alignment horizontal="center" vertical="center"/>
    </xf>
    <xf numFmtId="0" fontId="0" fillId="51" borderId="110" xfId="0" applyFill="1" applyBorder="1" applyAlignment="1">
      <alignment horizontal="center" vertical="center"/>
    </xf>
    <xf numFmtId="0" fontId="0" fillId="51" borderId="33" xfId="0" applyFill="1" applyBorder="1" applyAlignment="1">
      <alignment horizontal="center" vertical="center"/>
    </xf>
    <xf numFmtId="0" fontId="0" fillId="51" borderId="44" xfId="0" applyFill="1" applyBorder="1" applyAlignment="1">
      <alignment horizontal="left" vertical="center"/>
    </xf>
    <xf numFmtId="0" fontId="0" fillId="51" borderId="17" xfId="0" applyFill="1" applyBorder="1" applyAlignment="1">
      <alignment horizontal="center"/>
    </xf>
    <xf numFmtId="0" fontId="0" fillId="51" borderId="16" xfId="0" applyFill="1" applyBorder="1" applyAlignment="1">
      <alignment horizontal="center" vertical="center"/>
    </xf>
    <xf numFmtId="0" fontId="0" fillId="51" borderId="18" xfId="0" applyFill="1" applyBorder="1" applyAlignment="1">
      <alignment horizontal="center" vertical="center"/>
    </xf>
    <xf numFmtId="0" fontId="0" fillId="51" borderId="19" xfId="0" applyFill="1" applyBorder="1" applyAlignment="1">
      <alignment horizontal="center" vertical="center"/>
    </xf>
    <xf numFmtId="0" fontId="0" fillId="51" borderId="43" xfId="0" applyFill="1" applyBorder="1" applyAlignment="1">
      <alignment horizontal="center" vertical="center"/>
    </xf>
    <xf numFmtId="0" fontId="0" fillId="52" borderId="10" xfId="0" applyFill="1" applyBorder="1" applyAlignment="1">
      <alignment horizontal="center" vertical="center" wrapText="1"/>
    </xf>
    <xf numFmtId="2" fontId="0" fillId="15" borderId="62" xfId="0" applyNumberFormat="1" applyFill="1" applyBorder="1"/>
    <xf numFmtId="2" fontId="0" fillId="15" borderId="92" xfId="0" applyNumberFormat="1" applyFill="1" applyBorder="1"/>
    <xf numFmtId="2" fontId="57" fillId="15" borderId="10" xfId="0" applyNumberFormat="1" applyFont="1" applyFill="1" applyBorder="1" applyAlignment="1">
      <alignment horizontal="center"/>
    </xf>
    <xf numFmtId="2" fontId="0" fillId="15" borderId="0" xfId="0" applyNumberFormat="1" applyFill="1"/>
    <xf numFmtId="2" fontId="0" fillId="15" borderId="115" xfId="0" applyNumberFormat="1" applyFill="1" applyBorder="1"/>
    <xf numFmtId="2" fontId="57" fillId="15" borderId="12" xfId="0" applyNumberFormat="1" applyFont="1" applyFill="1" applyBorder="1" applyAlignment="1">
      <alignment horizontal="center"/>
    </xf>
    <xf numFmtId="0" fontId="0" fillId="15" borderId="175" xfId="0" applyFill="1" applyBorder="1"/>
    <xf numFmtId="0" fontId="0" fillId="15" borderId="57" xfId="0" applyFill="1" applyBorder="1"/>
    <xf numFmtId="0" fontId="0" fillId="15" borderId="58" xfId="0" applyFill="1" applyBorder="1"/>
    <xf numFmtId="0" fontId="0" fillId="15" borderId="176" xfId="0" applyFill="1" applyBorder="1"/>
    <xf numFmtId="0" fontId="0" fillId="15" borderId="177" xfId="0" applyFill="1" applyBorder="1"/>
    <xf numFmtId="0" fontId="0" fillId="15" borderId="178" xfId="0" applyFill="1" applyBorder="1"/>
    <xf numFmtId="0" fontId="112" fillId="14" borderId="179" xfId="577" applyFill="1" applyBorder="1" applyAlignment="1">
      <alignment horizontal="center" vertical="center"/>
    </xf>
    <xf numFmtId="0" fontId="0" fillId="15" borderId="141" xfId="0" applyFill="1" applyBorder="1"/>
    <xf numFmtId="0" fontId="0" fillId="15" borderId="63" xfId="0" applyFill="1" applyBorder="1"/>
    <xf numFmtId="3" fontId="112" fillId="53" borderId="16" xfId="577" applyNumberFormat="1" applyFill="1" applyBorder="1" applyAlignment="1">
      <alignment horizontal="center" vertical="center"/>
    </xf>
    <xf numFmtId="0" fontId="57" fillId="54" borderId="123" xfId="0" applyFont="1" applyFill="1" applyBorder="1" applyAlignment="1">
      <alignment horizontal="center"/>
    </xf>
    <xf numFmtId="0" fontId="57" fillId="54" borderId="180" xfId="0" applyFont="1" applyFill="1" applyBorder="1" applyAlignment="1">
      <alignment horizontal="center"/>
    </xf>
    <xf numFmtId="2" fontId="57" fillId="54" borderId="10" xfId="0" applyNumberFormat="1" applyFont="1" applyFill="1" applyBorder="1" applyAlignment="1">
      <alignment horizontal="center"/>
    </xf>
    <xf numFmtId="2" fontId="57" fillId="54" borderId="26" xfId="0" applyNumberFormat="1" applyFont="1" applyFill="1" applyBorder="1" applyAlignment="1">
      <alignment horizontal="center"/>
    </xf>
    <xf numFmtId="2" fontId="57" fillId="54" borderId="73" xfId="0" applyNumberFormat="1" applyFont="1" applyFill="1" applyBorder="1" applyAlignment="1">
      <alignment horizontal="center"/>
    </xf>
    <xf numFmtId="0" fontId="57" fillId="54" borderId="10" xfId="0" applyFont="1" applyFill="1" applyBorder="1" applyAlignment="1">
      <alignment horizontal="center"/>
    </xf>
    <xf numFmtId="0" fontId="57" fillId="54" borderId="26" xfId="0" applyFont="1" applyFill="1" applyBorder="1" applyAlignment="1">
      <alignment horizontal="center"/>
    </xf>
    <xf numFmtId="0" fontId="112" fillId="59" borderId="81" xfId="578" applyFill="1" applyBorder="1" applyAlignment="1">
      <alignment horizontal="left" indent="1"/>
    </xf>
    <xf numFmtId="0" fontId="52" fillId="59" borderId="64" xfId="578" applyFont="1" applyFill="1" applyBorder="1" applyAlignment="1">
      <alignment horizontal="center" vertical="center" wrapText="1"/>
    </xf>
    <xf numFmtId="0" fontId="82" fillId="57" borderId="64" xfId="0" applyFont="1" applyFill="1" applyBorder="1" applyAlignment="1">
      <alignment horizontal="left" vertical="center" indent="1"/>
    </xf>
    <xf numFmtId="0" fontId="61" fillId="57" borderId="67" xfId="0" applyFont="1" applyFill="1" applyBorder="1" applyAlignment="1">
      <alignment horizontal="left" vertical="center" wrapText="1" indent="1"/>
    </xf>
    <xf numFmtId="0" fontId="52" fillId="57" borderId="76" xfId="0" applyFont="1" applyFill="1" applyBorder="1" applyAlignment="1">
      <alignment horizontal="left" vertical="center" wrapText="1" indent="1"/>
    </xf>
    <xf numFmtId="0" fontId="52" fillId="57" borderId="75" xfId="0" applyFont="1" applyFill="1" applyBorder="1" applyAlignment="1">
      <alignment horizontal="center" vertical="center" wrapText="1"/>
    </xf>
    <xf numFmtId="0" fontId="54" fillId="57" borderId="76" xfId="0" applyFont="1" applyFill="1" applyBorder="1" applyAlignment="1">
      <alignment horizontal="center" vertical="center"/>
    </xf>
    <xf numFmtId="0" fontId="112" fillId="57" borderId="64" xfId="0" applyFont="1" applyFill="1" applyBorder="1" applyAlignment="1">
      <alignment horizontal="center" vertical="center" wrapText="1"/>
    </xf>
    <xf numFmtId="0" fontId="53" fillId="57" borderId="64" xfId="0" applyFont="1" applyFill="1" applyBorder="1" applyAlignment="1">
      <alignment horizontal="center" vertical="center"/>
    </xf>
    <xf numFmtId="0" fontId="54" fillId="57" borderId="64" xfId="0" applyFont="1" applyFill="1" applyBorder="1" applyAlignment="1">
      <alignment horizontal="center" vertical="center"/>
    </xf>
    <xf numFmtId="0" fontId="52" fillId="57" borderId="64" xfId="0" applyFont="1" applyFill="1" applyBorder="1" applyAlignment="1">
      <alignment horizontal="center" vertical="center"/>
    </xf>
    <xf numFmtId="0" fontId="52" fillId="57" borderId="64" xfId="0" applyFont="1" applyFill="1" applyBorder="1" applyAlignment="1">
      <alignment horizontal="center" vertical="center" shrinkToFit="1"/>
    </xf>
    <xf numFmtId="1" fontId="52" fillId="57" borderId="64" xfId="0" applyNumberFormat="1" applyFont="1" applyFill="1" applyBorder="1" applyAlignment="1" applyProtection="1">
      <alignment horizontal="center" vertical="center" wrapText="1"/>
      <protection locked="0"/>
    </xf>
    <xf numFmtId="1" fontId="52" fillId="57" borderId="64" xfId="0" applyNumberFormat="1" applyFont="1" applyFill="1" applyBorder="1" applyAlignment="1">
      <alignment horizontal="center" vertical="center" wrapText="1"/>
    </xf>
    <xf numFmtId="1" fontId="52" fillId="57" borderId="64" xfId="0" applyNumberFormat="1" applyFont="1" applyFill="1" applyBorder="1" applyAlignment="1">
      <alignment horizontal="center" vertical="center"/>
    </xf>
    <xf numFmtId="0" fontId="54" fillId="57" borderId="67" xfId="0" applyFont="1" applyFill="1" applyBorder="1" applyAlignment="1">
      <alignment horizontal="left" vertical="center" indent="1"/>
    </xf>
    <xf numFmtId="0" fontId="54" fillId="57" borderId="81" xfId="0" applyFont="1" applyFill="1" applyBorder="1" applyAlignment="1">
      <alignment horizontal="left" vertical="center" indent="1"/>
    </xf>
    <xf numFmtId="0" fontId="54" fillId="57" borderId="81" xfId="0" applyFont="1" applyFill="1" applyBorder="1" applyAlignment="1">
      <alignment vertical="top"/>
    </xf>
    <xf numFmtId="0" fontId="54" fillId="57" borderId="76" xfId="0" applyFont="1" applyFill="1" applyBorder="1" applyAlignment="1">
      <alignment vertical="top"/>
    </xf>
    <xf numFmtId="0" fontId="54" fillId="57" borderId="64" xfId="0" applyFont="1" applyFill="1" applyBorder="1" applyAlignment="1">
      <alignment vertical="top"/>
    </xf>
    <xf numFmtId="0" fontId="52" fillId="57" borderId="81" xfId="0" applyFont="1" applyFill="1" applyBorder="1" applyAlignment="1">
      <alignment vertical="center"/>
    </xf>
    <xf numFmtId="0" fontId="52" fillId="57" borderId="76" xfId="0" applyFont="1" applyFill="1" applyBorder="1" applyAlignment="1">
      <alignment vertical="center"/>
    </xf>
    <xf numFmtId="0" fontId="52" fillId="57" borderId="64" xfId="0" applyFont="1" applyFill="1" applyBorder="1" applyAlignment="1">
      <alignment vertical="center"/>
    </xf>
    <xf numFmtId="0" fontId="163" fillId="57" borderId="76" xfId="0" applyFont="1" applyFill="1" applyBorder="1" applyAlignment="1">
      <alignment vertical="top"/>
    </xf>
    <xf numFmtId="0" fontId="163" fillId="57" borderId="64" xfId="0" applyFont="1" applyFill="1" applyBorder="1" applyAlignment="1">
      <alignment horizontal="right" vertical="center" indent="1"/>
    </xf>
    <xf numFmtId="3" fontId="52" fillId="57" borderId="64" xfId="0" applyNumberFormat="1" applyFont="1" applyFill="1" applyBorder="1" applyAlignment="1">
      <alignment horizontal="center" vertical="center" shrinkToFit="1"/>
    </xf>
    <xf numFmtId="0" fontId="54" fillId="57" borderId="64" xfId="0" applyFont="1" applyFill="1" applyBorder="1" applyAlignment="1">
      <alignment horizontal="right" vertical="center" indent="1"/>
    </xf>
    <xf numFmtId="167" fontId="52" fillId="57" borderId="64" xfId="0" applyNumberFormat="1" applyFont="1" applyFill="1" applyBorder="1" applyAlignment="1">
      <alignment horizontal="center" vertical="center"/>
    </xf>
    <xf numFmtId="0" fontId="52" fillId="57" borderId="64" xfId="0" applyFont="1" applyFill="1" applyBorder="1" applyAlignment="1">
      <alignment horizontal="right" vertical="center" indent="1"/>
    </xf>
    <xf numFmtId="0" fontId="52" fillId="57" borderId="64" xfId="0" applyFont="1" applyFill="1" applyBorder="1" applyAlignment="1">
      <alignment horizontal="center" vertical="center" wrapText="1"/>
    </xf>
    <xf numFmtId="0" fontId="54" fillId="57" borderId="64" xfId="409" applyFont="1" applyFill="1" applyBorder="1" applyAlignment="1" applyProtection="1">
      <alignment horizontal="center" vertical="center"/>
    </xf>
    <xf numFmtId="0" fontId="43" fillId="57" borderId="63" xfId="0" applyFont="1" applyFill="1" applyBorder="1" applyAlignment="1">
      <alignment horizontal="center" vertical="center" wrapText="1"/>
    </xf>
    <xf numFmtId="0" fontId="41" fillId="57" borderId="64" xfId="0" applyFont="1" applyFill="1" applyBorder="1" applyAlignment="1" applyProtection="1">
      <alignment horizontal="center" vertical="center" wrapText="1"/>
      <protection hidden="1"/>
    </xf>
    <xf numFmtId="0" fontId="56" fillId="57" borderId="64" xfId="0" applyFont="1" applyFill="1" applyBorder="1" applyAlignment="1" applyProtection="1">
      <alignment horizontal="center" vertical="center"/>
      <protection hidden="1"/>
    </xf>
    <xf numFmtId="0" fontId="165" fillId="57" borderId="64" xfId="0" applyFont="1" applyFill="1" applyBorder="1" applyAlignment="1">
      <alignment horizontal="center" vertical="center" wrapText="1"/>
    </xf>
    <xf numFmtId="0" fontId="56" fillId="57" borderId="64" xfId="0" applyFont="1" applyFill="1" applyBorder="1" applyAlignment="1" applyProtection="1">
      <alignment horizontal="center" vertical="center" wrapText="1"/>
      <protection hidden="1"/>
    </xf>
    <xf numFmtId="0" fontId="48" fillId="57" borderId="64" xfId="0" applyFont="1" applyFill="1" applyBorder="1" applyAlignment="1" applyProtection="1">
      <alignment horizontal="center" vertical="center" wrapText="1"/>
      <protection hidden="1"/>
    </xf>
    <xf numFmtId="0" fontId="56" fillId="57" borderId="64" xfId="0" applyFont="1" applyFill="1" applyBorder="1" applyAlignment="1" applyProtection="1">
      <alignment horizontal="center" vertical="center"/>
      <protection locked="0"/>
    </xf>
    <xf numFmtId="0" fontId="56" fillId="57" borderId="64" xfId="0" applyFont="1" applyFill="1" applyBorder="1" applyAlignment="1">
      <alignment horizontal="center" vertical="center" wrapText="1"/>
    </xf>
    <xf numFmtId="0" fontId="56" fillId="57" borderId="64" xfId="0" applyFont="1" applyFill="1" applyBorder="1" applyAlignment="1">
      <alignment horizontal="center" wrapText="1"/>
    </xf>
    <xf numFmtId="0" fontId="56" fillId="57" borderId="64" xfId="546" applyNumberFormat="1" applyFont="1" applyFill="1" applyBorder="1" applyAlignment="1" applyProtection="1">
      <alignment horizontal="center" vertical="center" wrapText="1"/>
    </xf>
    <xf numFmtId="0" fontId="41" fillId="57" borderId="64" xfId="0" applyFont="1" applyFill="1" applyBorder="1" applyAlignment="1">
      <alignment horizontal="center" vertical="center" wrapText="1"/>
    </xf>
    <xf numFmtId="0" fontId="48" fillId="57" borderId="64" xfId="0" applyFont="1" applyFill="1" applyBorder="1" applyAlignment="1">
      <alignment horizontal="center" vertical="center" wrapText="1"/>
    </xf>
    <xf numFmtId="0" fontId="56" fillId="57" borderId="64" xfId="0" applyFont="1" applyFill="1" applyBorder="1" applyAlignment="1">
      <alignment horizontal="left" vertical="center"/>
    </xf>
    <xf numFmtId="0" fontId="112" fillId="57" borderId="64" xfId="0" applyFont="1" applyFill="1" applyBorder="1" applyAlignment="1" applyProtection="1">
      <alignment horizontal="center" vertical="center"/>
      <protection locked="0"/>
    </xf>
    <xf numFmtId="0" fontId="56" fillId="57" borderId="64" xfId="0" applyFont="1" applyFill="1" applyBorder="1" applyAlignment="1" applyProtection="1">
      <alignment horizontal="center" vertical="center" shrinkToFit="1"/>
      <protection locked="0"/>
    </xf>
    <xf numFmtId="0" fontId="56" fillId="57" borderId="64" xfId="546" applyNumberFormat="1" applyFont="1" applyFill="1" applyBorder="1" applyAlignment="1" applyProtection="1">
      <alignment horizontal="center" vertical="center" shrinkToFit="1"/>
    </xf>
    <xf numFmtId="0" fontId="48" fillId="57" borderId="64" xfId="0" applyFont="1" applyFill="1" applyBorder="1" applyAlignment="1">
      <alignment vertical="center"/>
    </xf>
    <xf numFmtId="2" fontId="56" fillId="57" borderId="64" xfId="0" applyNumberFormat="1" applyFont="1" applyFill="1" applyBorder="1" applyAlignment="1">
      <alignment horizontal="center" vertical="center"/>
    </xf>
    <xf numFmtId="167" fontId="56" fillId="57" borderId="64" xfId="0" applyNumberFormat="1" applyFont="1" applyFill="1" applyBorder="1" applyAlignment="1">
      <alignment horizontal="center" vertical="center"/>
    </xf>
    <xf numFmtId="0" fontId="48" fillId="57" borderId="64" xfId="0" applyFont="1" applyFill="1" applyBorder="1" applyAlignment="1">
      <alignment horizontal="center" vertical="center"/>
    </xf>
    <xf numFmtId="3" fontId="56" fillId="57" borderId="64" xfId="0" applyNumberFormat="1" applyFont="1" applyFill="1" applyBorder="1" applyAlignment="1">
      <alignment horizontal="center" vertical="center"/>
    </xf>
    <xf numFmtId="0" fontId="56" fillId="57" borderId="64" xfId="0" applyFont="1" applyFill="1" applyBorder="1" applyAlignment="1">
      <alignment horizontal="right" vertical="center"/>
    </xf>
    <xf numFmtId="0" fontId="56" fillId="57" borderId="64" xfId="0" applyFont="1" applyFill="1" applyBorder="1" applyAlignment="1">
      <alignment horizontal="center" vertical="center"/>
    </xf>
    <xf numFmtId="167" fontId="174" fillId="57" borderId="64" xfId="0" applyNumberFormat="1" applyFont="1" applyFill="1" applyBorder="1" applyAlignment="1">
      <alignment horizontal="center" vertical="center" shrinkToFit="1"/>
    </xf>
    <xf numFmtId="166" fontId="174" fillId="57" borderId="64" xfId="0" applyNumberFormat="1" applyFont="1" applyFill="1" applyBorder="1" applyAlignment="1">
      <alignment horizontal="center" vertical="center" shrinkToFit="1"/>
    </xf>
    <xf numFmtId="0" fontId="43" fillId="61" borderId="64" xfId="0" applyFont="1" applyFill="1" applyBorder="1" applyAlignment="1">
      <alignment horizontal="center" vertical="center" wrapText="1"/>
    </xf>
    <xf numFmtId="0" fontId="53" fillId="57" borderId="64" xfId="0" applyFont="1" applyFill="1" applyBorder="1" applyAlignment="1">
      <alignment horizontal="center" vertical="center" wrapText="1"/>
    </xf>
    <xf numFmtId="0" fontId="52" fillId="57" borderId="41" xfId="0" applyFont="1" applyFill="1" applyBorder="1" applyAlignment="1">
      <alignment horizontal="center" vertical="center" wrapText="1"/>
    </xf>
    <xf numFmtId="0" fontId="53" fillId="57" borderId="49" xfId="0" applyFont="1" applyFill="1" applyBorder="1" applyAlignment="1">
      <alignment horizontal="center" vertical="center" wrapText="1"/>
    </xf>
    <xf numFmtId="0" fontId="53" fillId="57" borderId="54" xfId="0" applyFont="1" applyFill="1" applyBorder="1" applyAlignment="1">
      <alignment horizontal="center" vertical="center" wrapText="1"/>
    </xf>
    <xf numFmtId="0" fontId="61" fillId="62" borderId="22" xfId="0" applyFont="1" applyFill="1" applyBorder="1" applyAlignment="1" applyProtection="1">
      <alignment horizontal="center"/>
      <protection hidden="1"/>
    </xf>
    <xf numFmtId="0" fontId="80" fillId="62" borderId="49" xfId="0" applyFont="1" applyFill="1" applyBorder="1"/>
    <xf numFmtId="0" fontId="80" fillId="62" borderId="54" xfId="0" applyFont="1" applyFill="1" applyBorder="1"/>
    <xf numFmtId="0" fontId="61" fillId="61" borderId="22" xfId="0" applyFont="1" applyFill="1" applyBorder="1" applyAlignment="1" applyProtection="1">
      <alignment horizontal="left"/>
      <protection hidden="1"/>
    </xf>
    <xf numFmtId="0" fontId="80" fillId="61" borderId="49" xfId="0" applyFont="1" applyFill="1" applyBorder="1"/>
    <xf numFmtId="0" fontId="80" fillId="61" borderId="54" xfId="0" applyFont="1" applyFill="1" applyBorder="1"/>
    <xf numFmtId="0" fontId="80" fillId="62" borderId="10" xfId="0" applyFont="1" applyFill="1" applyBorder="1"/>
    <xf numFmtId="0" fontId="80" fillId="62" borderId="26" xfId="0" applyFont="1" applyFill="1" applyBorder="1"/>
    <xf numFmtId="0" fontId="80" fillId="61" borderId="10" xfId="0" applyFont="1" applyFill="1" applyBorder="1"/>
    <xf numFmtId="0" fontId="80" fillId="61" borderId="26" xfId="0" applyFont="1" applyFill="1" applyBorder="1"/>
    <xf numFmtId="0" fontId="61" fillId="57" borderId="45" xfId="0" applyFont="1" applyFill="1" applyBorder="1" applyAlignment="1">
      <alignment horizontal="center" vertical="center" wrapText="1"/>
    </xf>
    <xf numFmtId="0" fontId="52" fillId="62" borderId="135" xfId="0" applyFont="1" applyFill="1" applyBorder="1"/>
    <xf numFmtId="0" fontId="52" fillId="62" borderId="42" xfId="0" applyFont="1" applyFill="1" applyBorder="1"/>
    <xf numFmtId="0" fontId="52" fillId="62" borderId="41" xfId="0" applyFont="1" applyFill="1" applyBorder="1"/>
    <xf numFmtId="0" fontId="52" fillId="62" borderId="54" xfId="0" applyFont="1" applyFill="1" applyBorder="1"/>
    <xf numFmtId="0" fontId="61" fillId="62" borderId="41" xfId="0" applyFont="1" applyFill="1" applyBorder="1" applyAlignment="1" applyProtection="1">
      <alignment horizontal="center"/>
      <protection hidden="1"/>
    </xf>
    <xf numFmtId="0" fontId="52" fillId="61" borderId="25" xfId="0" applyFont="1" applyFill="1" applyBorder="1"/>
    <xf numFmtId="0" fontId="52" fillId="61" borderId="26" xfId="0" applyFont="1" applyFill="1" applyBorder="1"/>
    <xf numFmtId="0" fontId="52" fillId="61" borderId="22" xfId="0" applyFont="1" applyFill="1" applyBorder="1"/>
    <xf numFmtId="0" fontId="52" fillId="61" borderId="27" xfId="0" applyFont="1" applyFill="1" applyBorder="1"/>
    <xf numFmtId="0" fontId="108" fillId="61" borderId="49" xfId="0" applyFont="1" applyFill="1" applyBorder="1" applyAlignment="1">
      <alignment horizontal="center"/>
    </xf>
    <xf numFmtId="0" fontId="52" fillId="61" borderId="49" xfId="0" applyFont="1" applyFill="1" applyBorder="1" applyAlignment="1">
      <alignment horizontal="center"/>
    </xf>
    <xf numFmtId="0" fontId="108" fillId="61" borderId="54" xfId="0" applyFont="1" applyFill="1" applyBorder="1" applyAlignment="1">
      <alignment horizontal="center"/>
    </xf>
    <xf numFmtId="0" fontId="75" fillId="62" borderId="49" xfId="0" applyFont="1" applyFill="1" applyBorder="1"/>
    <xf numFmtId="0" fontId="75" fillId="62" borderId="54" xfId="0" applyFont="1" applyFill="1" applyBorder="1"/>
    <xf numFmtId="0" fontId="109" fillId="61" borderId="49" xfId="0" applyFont="1" applyFill="1" applyBorder="1" applyAlignment="1">
      <alignment horizontal="center"/>
    </xf>
    <xf numFmtId="0" fontId="109" fillId="61" borderId="54" xfId="0" applyFont="1" applyFill="1" applyBorder="1" applyAlignment="1">
      <alignment horizontal="center"/>
    </xf>
    <xf numFmtId="0" fontId="61" fillId="61" borderId="25" xfId="0" applyFont="1" applyFill="1" applyBorder="1" applyAlignment="1" applyProtection="1">
      <alignment horizontal="left"/>
      <protection hidden="1"/>
    </xf>
    <xf numFmtId="0" fontId="61" fillId="61" borderId="10" xfId="0" applyFont="1" applyFill="1" applyBorder="1" applyAlignment="1" applyProtection="1">
      <alignment horizontal="left"/>
      <protection hidden="1"/>
    </xf>
    <xf numFmtId="0" fontId="61" fillId="61" borderId="21" xfId="0" applyFont="1" applyFill="1" applyBorder="1" applyAlignment="1" applyProtection="1">
      <alignment horizontal="left"/>
      <protection hidden="1"/>
    </xf>
    <xf numFmtId="166" fontId="108" fillId="62" borderId="10" xfId="0" applyNumberFormat="1" applyFont="1" applyFill="1" applyBorder="1" applyAlignment="1">
      <alignment horizontal="center"/>
    </xf>
    <xf numFmtId="166" fontId="108" fillId="62" borderId="26" xfId="0" applyNumberFormat="1" applyFont="1" applyFill="1" applyBorder="1" applyAlignment="1">
      <alignment horizontal="center"/>
    </xf>
    <xf numFmtId="166" fontId="108" fillId="61" borderId="10" xfId="0" applyNumberFormat="1" applyFont="1" applyFill="1" applyBorder="1" applyAlignment="1">
      <alignment horizontal="center"/>
    </xf>
    <xf numFmtId="166" fontId="108" fillId="61" borderId="26" xfId="0" applyNumberFormat="1" applyFont="1" applyFill="1" applyBorder="1" applyAlignment="1">
      <alignment horizontal="center"/>
    </xf>
    <xf numFmtId="0" fontId="108" fillId="61" borderId="10" xfId="0" applyFont="1" applyFill="1" applyBorder="1" applyAlignment="1">
      <alignment horizontal="left" wrapText="1"/>
    </xf>
    <xf numFmtId="0" fontId="108" fillId="61" borderId="26" xfId="0" applyFont="1" applyFill="1" applyBorder="1" applyAlignment="1">
      <alignment horizontal="left" wrapText="1"/>
    </xf>
    <xf numFmtId="174" fontId="52" fillId="62" borderId="25" xfId="0" applyNumberFormat="1" applyFont="1" applyFill="1" applyBorder="1" applyAlignment="1">
      <alignment horizontal="center"/>
    </xf>
    <xf numFmtId="174" fontId="52" fillId="62" borderId="26" xfId="0" applyNumberFormat="1" applyFont="1" applyFill="1" applyBorder="1" applyAlignment="1">
      <alignment horizontal="center"/>
    </xf>
    <xf numFmtId="174" fontId="52" fillId="62" borderId="22" xfId="0" applyNumberFormat="1" applyFont="1" applyFill="1" applyBorder="1" applyAlignment="1">
      <alignment horizontal="center"/>
    </xf>
    <xf numFmtId="174" fontId="52" fillId="62" borderId="27" xfId="0" applyNumberFormat="1" applyFont="1" applyFill="1" applyBorder="1" applyAlignment="1">
      <alignment horizontal="center"/>
    </xf>
    <xf numFmtId="174" fontId="52" fillId="61" borderId="25" xfId="0" applyNumberFormat="1" applyFont="1" applyFill="1" applyBorder="1" applyAlignment="1">
      <alignment horizontal="center"/>
    </xf>
    <xf numFmtId="174" fontId="52" fillId="61" borderId="26" xfId="0" applyNumberFormat="1" applyFont="1" applyFill="1" applyBorder="1" applyAlignment="1">
      <alignment horizontal="center"/>
    </xf>
    <xf numFmtId="174" fontId="52" fillId="61" borderId="22" xfId="0" applyNumberFormat="1" applyFont="1" applyFill="1" applyBorder="1" applyAlignment="1">
      <alignment horizontal="center"/>
    </xf>
    <xf numFmtId="174" fontId="52" fillId="61" borderId="27" xfId="0" applyNumberFormat="1" applyFont="1" applyFill="1" applyBorder="1" applyAlignment="1">
      <alignment horizontal="center"/>
    </xf>
    <xf numFmtId="0" fontId="110" fillId="61" borderId="22" xfId="0" applyFont="1" applyFill="1" applyBorder="1" applyAlignment="1">
      <alignment vertical="center"/>
    </xf>
    <xf numFmtId="4" fontId="52" fillId="61" borderId="25" xfId="0" applyNumberFormat="1" applyFont="1" applyFill="1" applyBorder="1" applyAlignment="1">
      <alignment horizontal="center"/>
    </xf>
    <xf numFmtId="4" fontId="52" fillId="61" borderId="26" xfId="0" applyNumberFormat="1" applyFont="1" applyFill="1" applyBorder="1" applyAlignment="1">
      <alignment horizontal="center"/>
    </xf>
    <xf numFmtId="4" fontId="52" fillId="61" borderId="22" xfId="0" applyNumberFormat="1" applyFont="1" applyFill="1" applyBorder="1" applyAlignment="1">
      <alignment horizontal="center"/>
    </xf>
    <xf numFmtId="4" fontId="52" fillId="61" borderId="27" xfId="0" applyNumberFormat="1" applyFont="1" applyFill="1" applyBorder="1" applyAlignment="1">
      <alignment horizontal="center"/>
    </xf>
    <xf numFmtId="0" fontId="52" fillId="61" borderId="22" xfId="0" applyFont="1" applyFill="1" applyBorder="1" applyAlignment="1">
      <alignment wrapText="1"/>
    </xf>
    <xf numFmtId="0" fontId="43" fillId="61" borderId="22" xfId="0" applyFont="1" applyFill="1" applyBorder="1" applyAlignment="1">
      <alignment wrapText="1"/>
    </xf>
    <xf numFmtId="174" fontId="0" fillId="62" borderId="25" xfId="0" applyNumberFormat="1" applyFill="1" applyBorder="1" applyAlignment="1">
      <alignment horizontal="left" vertical="center"/>
    </xf>
    <xf numFmtId="174" fontId="0" fillId="62" borderId="27" xfId="0" applyNumberFormat="1" applyFill="1" applyBorder="1" applyAlignment="1">
      <alignment horizontal="right" vertical="center"/>
    </xf>
    <xf numFmtId="167" fontId="52" fillId="61" borderId="26" xfId="0" applyNumberFormat="1" applyFont="1" applyFill="1" applyBorder="1" applyAlignment="1">
      <alignment horizontal="center"/>
    </xf>
    <xf numFmtId="167" fontId="52" fillId="61" borderId="22" xfId="0" applyNumberFormat="1" applyFont="1" applyFill="1" applyBorder="1" applyAlignment="1">
      <alignment horizontal="center"/>
    </xf>
    <xf numFmtId="0" fontId="61" fillId="61" borderId="22" xfId="0" applyFont="1" applyFill="1" applyBorder="1" applyAlignment="1">
      <alignment vertical="center"/>
    </xf>
    <xf numFmtId="0" fontId="61" fillId="61" borderId="22" xfId="0" applyFont="1" applyFill="1" applyBorder="1" applyAlignment="1">
      <alignment horizontal="left" vertical="center"/>
    </xf>
    <xf numFmtId="0" fontId="75" fillId="62" borderId="10" xfId="0" applyFont="1" applyFill="1" applyBorder="1"/>
    <xf numFmtId="166" fontId="43" fillId="57" borderId="10" xfId="0" applyNumberFormat="1" applyFont="1" applyFill="1" applyBorder="1"/>
    <xf numFmtId="4" fontId="52" fillId="62" borderId="27" xfId="0" applyNumberFormat="1" applyFont="1" applyFill="1" applyBorder="1" applyAlignment="1">
      <alignment horizontal="center"/>
    </xf>
    <xf numFmtId="167" fontId="52" fillId="61" borderId="27" xfId="0" applyNumberFormat="1" applyFont="1" applyFill="1" applyBorder="1" applyAlignment="1">
      <alignment horizontal="center"/>
    </xf>
    <xf numFmtId="0" fontId="43" fillId="61" borderId="22" xfId="0" applyFont="1" applyFill="1" applyBorder="1" applyAlignment="1">
      <alignment horizontal="left" wrapText="1"/>
    </xf>
    <xf numFmtId="0" fontId="61" fillId="57" borderId="38" xfId="0" applyFont="1" applyFill="1" applyBorder="1" applyAlignment="1">
      <alignment horizontal="left" vertical="center"/>
    </xf>
    <xf numFmtId="0" fontId="0" fillId="57" borderId="46" xfId="0" applyFill="1" applyBorder="1"/>
    <xf numFmtId="0" fontId="43" fillId="57" borderId="46" xfId="0" applyFont="1" applyFill="1" applyBorder="1" applyAlignment="1">
      <alignment horizontal="center" vertical="center"/>
    </xf>
    <xf numFmtId="0" fontId="61" fillId="57" borderId="20" xfId="0" applyFont="1" applyFill="1" applyBorder="1" applyAlignment="1">
      <alignment horizontal="left" vertical="center"/>
    </xf>
    <xf numFmtId="0" fontId="0" fillId="57" borderId="11" xfId="0" applyFill="1" applyBorder="1" applyAlignment="1">
      <alignment vertical="center"/>
    </xf>
    <xf numFmtId="0" fontId="43" fillId="57" borderId="11" xfId="0" applyFont="1" applyFill="1" applyBorder="1" applyAlignment="1">
      <alignment horizontal="center" vertical="center"/>
    </xf>
    <xf numFmtId="0" fontId="0" fillId="57" borderId="46" xfId="0" applyFill="1" applyBorder="1" applyAlignment="1">
      <alignment horizontal="center"/>
    </xf>
    <xf numFmtId="0" fontId="52" fillId="61" borderId="10" xfId="0" applyFont="1" applyFill="1" applyBorder="1" applyAlignment="1">
      <alignment horizontal="center" vertical="center" wrapText="1"/>
    </xf>
    <xf numFmtId="0" fontId="56" fillId="61" borderId="10" xfId="0" applyFont="1" applyFill="1" applyBorder="1" applyAlignment="1">
      <alignment horizontal="center" vertical="center" wrapText="1"/>
    </xf>
    <xf numFmtId="0" fontId="56" fillId="61" borderId="20" xfId="0" applyFont="1" applyFill="1" applyBorder="1" applyAlignment="1">
      <alignment horizontal="center" vertical="center" wrapText="1"/>
    </xf>
    <xf numFmtId="0" fontId="61" fillId="61" borderId="10" xfId="0" applyFont="1" applyFill="1" applyBorder="1" applyAlignment="1">
      <alignment horizontal="center" vertical="center" wrapText="1"/>
    </xf>
    <xf numFmtId="0" fontId="65" fillId="59" borderId="20" xfId="578" applyFont="1" applyFill="1" applyBorder="1" applyAlignment="1">
      <alignment horizontal="left" vertical="center" wrapText="1" indent="1"/>
    </xf>
    <xf numFmtId="0" fontId="53" fillId="59" borderId="11" xfId="578" applyFont="1" applyFill="1" applyBorder="1" applyAlignment="1">
      <alignment horizontal="left" vertical="center" wrapText="1" indent="1"/>
    </xf>
    <xf numFmtId="0" fontId="61" fillId="59" borderId="11" xfId="578" applyFont="1" applyFill="1" applyBorder="1" applyAlignment="1">
      <alignment horizontal="right" vertical="center" indent="1"/>
    </xf>
    <xf numFmtId="167" fontId="61" fillId="59" borderId="10" xfId="578" applyNumberFormat="1" applyFont="1" applyFill="1" applyBorder="1" applyAlignment="1">
      <alignment horizontal="center" vertical="center" wrapText="1"/>
    </xf>
    <xf numFmtId="0" fontId="52" fillId="61" borderId="67" xfId="0" applyFont="1" applyFill="1" applyBorder="1" applyAlignment="1">
      <alignment horizontal="left" vertical="center" indent="1"/>
    </xf>
    <xf numFmtId="0" fontId="52" fillId="61" borderId="81" xfId="0" applyFont="1" applyFill="1" applyBorder="1" applyAlignment="1">
      <alignment horizontal="left" vertical="center" wrapText="1"/>
    </xf>
    <xf numFmtId="0" fontId="52" fillId="61" borderId="76" xfId="0" applyFont="1" applyFill="1" applyBorder="1" applyAlignment="1">
      <alignment horizontal="left" vertical="center" wrapText="1"/>
    </xf>
    <xf numFmtId="3" fontId="52" fillId="61" borderId="76" xfId="0" applyNumberFormat="1" applyFont="1" applyFill="1" applyBorder="1" applyAlignment="1">
      <alignment horizontal="center" vertical="center"/>
    </xf>
    <xf numFmtId="3" fontId="54" fillId="61" borderId="64" xfId="0" applyNumberFormat="1" applyFont="1" applyFill="1" applyBorder="1" applyAlignment="1">
      <alignment horizontal="center" vertical="center"/>
    </xf>
    <xf numFmtId="9" fontId="53" fillId="61" borderId="64" xfId="547" applyFont="1" applyFill="1" applyBorder="1" applyAlignment="1" applyProtection="1">
      <alignment horizontal="center"/>
    </xf>
    <xf numFmtId="0" fontId="61" fillId="61" borderId="64" xfId="0" applyFont="1" applyFill="1" applyBorder="1" applyAlignment="1">
      <alignment horizontal="left" vertical="center" wrapText="1" indent="1"/>
    </xf>
    <xf numFmtId="0" fontId="48" fillId="61" borderId="64" xfId="0" applyFont="1" applyFill="1" applyBorder="1" applyAlignment="1">
      <alignment horizontal="center" vertical="center" wrapText="1"/>
    </xf>
    <xf numFmtId="0" fontId="42" fillId="61" borderId="64" xfId="0" applyFont="1" applyFill="1" applyBorder="1" applyAlignment="1">
      <alignment horizontal="center" vertical="center"/>
    </xf>
    <xf numFmtId="0" fontId="48" fillId="61" borderId="64" xfId="0" applyFont="1" applyFill="1" applyBorder="1" applyAlignment="1">
      <alignment horizontal="center" wrapText="1"/>
    </xf>
    <xf numFmtId="0" fontId="61" fillId="57" borderId="64" xfId="0" applyFont="1" applyFill="1" applyBorder="1" applyAlignment="1">
      <alignment horizontal="left" vertical="center" indent="1"/>
    </xf>
    <xf numFmtId="0" fontId="52" fillId="57" borderId="64" xfId="0" applyFont="1" applyFill="1" applyBorder="1" applyAlignment="1">
      <alignment horizontal="left" vertical="center"/>
    </xf>
    <xf numFmtId="0" fontId="54" fillId="57" borderId="64" xfId="0" applyFont="1" applyFill="1" applyBorder="1" applyAlignment="1">
      <alignment horizontal="right"/>
    </xf>
    <xf numFmtId="0" fontId="77" fillId="61" borderId="64" xfId="0" applyFont="1" applyFill="1" applyBorder="1" applyAlignment="1">
      <alignment horizontal="left" wrapText="1" indent="1"/>
    </xf>
    <xf numFmtId="0" fontId="42" fillId="61" borderId="64" xfId="0" applyFont="1" applyFill="1" applyBorder="1" applyAlignment="1">
      <alignment horizontal="center" vertical="center" wrapText="1"/>
    </xf>
    <xf numFmtId="0" fontId="52" fillId="57" borderId="64" xfId="0" applyFont="1" applyFill="1" applyBorder="1" applyAlignment="1">
      <alignment horizontal="left" vertical="center" indent="1"/>
    </xf>
    <xf numFmtId="0" fontId="150" fillId="57" borderId="64" xfId="0" applyFont="1" applyFill="1" applyBorder="1" applyAlignment="1">
      <alignment horizontal="left" vertical="center"/>
    </xf>
    <xf numFmtId="0" fontId="152" fillId="57" borderId="64" xfId="0" applyFont="1" applyFill="1" applyBorder="1" applyAlignment="1">
      <alignment horizontal="center" vertical="center"/>
    </xf>
    <xf numFmtId="0" fontId="38" fillId="57" borderId="64" xfId="0" applyFont="1" applyFill="1" applyBorder="1" applyAlignment="1">
      <alignment horizontal="left" vertical="center"/>
    </xf>
    <xf numFmtId="0" fontId="69" fillId="57" borderId="64" xfId="0" applyFont="1" applyFill="1" applyBorder="1" applyAlignment="1">
      <alignment horizontal="center" vertical="center"/>
    </xf>
    <xf numFmtId="0" fontId="73" fillId="57" borderId="64" xfId="0" applyFont="1" applyFill="1" applyBorder="1" applyAlignment="1">
      <alignment horizontal="left" wrapText="1" indent="1"/>
    </xf>
    <xf numFmtId="0" fontId="43" fillId="57" borderId="64" xfId="0" applyFont="1" applyFill="1" applyBorder="1" applyAlignment="1">
      <alignment horizontal="center" vertical="center" wrapText="1"/>
    </xf>
    <xf numFmtId="0" fontId="42" fillId="57" borderId="64" xfId="0" applyFont="1" applyFill="1" applyBorder="1" applyAlignment="1">
      <alignment horizontal="center" vertical="center" wrapText="1"/>
    </xf>
    <xf numFmtId="0" fontId="151" fillId="57" borderId="64" xfId="0" applyFont="1" applyFill="1" applyBorder="1" applyAlignment="1">
      <alignment horizontal="center" vertical="center" wrapText="1"/>
    </xf>
    <xf numFmtId="0" fontId="112" fillId="57" borderId="64" xfId="0" applyFont="1" applyFill="1" applyBorder="1"/>
    <xf numFmtId="0" fontId="52" fillId="57" borderId="64" xfId="0" applyFont="1" applyFill="1" applyBorder="1" applyAlignment="1">
      <alignment horizontal="right" vertical="center"/>
    </xf>
    <xf numFmtId="3" fontId="24" fillId="57" borderId="64" xfId="0" applyNumberFormat="1" applyFont="1" applyFill="1" applyBorder="1" applyAlignment="1">
      <alignment horizontal="center" vertical="center"/>
    </xf>
    <xf numFmtId="3" fontId="52" fillId="57" borderId="64" xfId="0" applyNumberFormat="1" applyFont="1" applyFill="1" applyBorder="1" applyAlignment="1">
      <alignment horizontal="center" vertical="center"/>
    </xf>
    <xf numFmtId="0" fontId="54" fillId="57" borderId="64" xfId="0" applyFont="1" applyFill="1" applyBorder="1" applyAlignment="1">
      <alignment horizontal="center" vertical="center" wrapText="1"/>
    </xf>
    <xf numFmtId="0" fontId="52" fillId="57" borderId="70" xfId="0" applyFont="1" applyFill="1" applyBorder="1" applyAlignment="1">
      <alignment horizontal="left" vertical="center"/>
    </xf>
    <xf numFmtId="0" fontId="42" fillId="57" borderId="70" xfId="0" applyFont="1" applyFill="1" applyBorder="1" applyAlignment="1">
      <alignment horizontal="left" vertical="center"/>
    </xf>
    <xf numFmtId="0" fontId="30" fillId="57" borderId="64" xfId="0" applyFont="1" applyFill="1" applyBorder="1" applyAlignment="1">
      <alignment horizontal="center" vertical="center" wrapText="1"/>
    </xf>
    <xf numFmtId="0" fontId="45" fillId="57" borderId="64" xfId="0" applyFont="1" applyFill="1" applyBorder="1" applyAlignment="1">
      <alignment horizontal="center" vertical="center" wrapText="1"/>
    </xf>
    <xf numFmtId="0" fontId="80" fillId="57" borderId="64" xfId="0" applyFont="1" applyFill="1" applyBorder="1" applyAlignment="1">
      <alignment horizontal="center" vertical="center" wrapText="1"/>
    </xf>
    <xf numFmtId="0" fontId="43" fillId="57" borderId="64" xfId="0" applyFont="1" applyFill="1" applyBorder="1" applyAlignment="1">
      <alignment horizontal="left" vertical="center"/>
    </xf>
    <xf numFmtId="0" fontId="0" fillId="57" borderId="64" xfId="0" applyFill="1" applyBorder="1" applyAlignment="1">
      <alignment horizontal="left"/>
    </xf>
    <xf numFmtId="0" fontId="0" fillId="57" borderId="64" xfId="0" applyFill="1" applyBorder="1" applyAlignment="1">
      <alignment horizontal="left" vertical="center"/>
    </xf>
    <xf numFmtId="0" fontId="43" fillId="57" borderId="64" xfId="0" applyFont="1" applyFill="1" applyBorder="1" applyAlignment="1">
      <alignment horizontal="left" vertical="top"/>
    </xf>
    <xf numFmtId="0" fontId="0" fillId="57" borderId="64" xfId="0" applyFill="1" applyBorder="1" applyAlignment="1">
      <alignment horizontal="left" vertical="top"/>
    </xf>
    <xf numFmtId="0" fontId="24" fillId="57" borderId="64" xfId="0" applyFont="1" applyFill="1" applyBorder="1" applyAlignment="1">
      <alignment horizontal="center" vertical="center" wrapText="1"/>
    </xf>
    <xf numFmtId="0" fontId="30" fillId="57" borderId="64" xfId="0" applyFont="1" applyFill="1" applyBorder="1" applyAlignment="1">
      <alignment horizontal="center" vertical="center"/>
    </xf>
    <xf numFmtId="0" fontId="112" fillId="59" borderId="76" xfId="578" applyFill="1" applyBorder="1" applyAlignment="1">
      <alignment horizontal="left" indent="1"/>
    </xf>
    <xf numFmtId="0" fontId="13" fillId="40" borderId="77" xfId="0" applyFont="1" applyFill="1" applyBorder="1" applyAlignment="1">
      <alignment horizontal="center" vertical="center"/>
    </xf>
    <xf numFmtId="1" fontId="45" fillId="39" borderId="77" xfId="0" applyNumberFormat="1" applyFont="1" applyFill="1" applyBorder="1" applyAlignment="1">
      <alignment horizontal="center"/>
    </xf>
    <xf numFmtId="0" fontId="0" fillId="0" borderId="77" xfId="0" applyBorder="1" applyAlignment="1">
      <alignment horizontal="center" vertical="center"/>
    </xf>
    <xf numFmtId="0" fontId="45" fillId="0" borderId="77" xfId="0" applyFont="1" applyBorder="1" applyAlignment="1">
      <alignment horizontal="center" vertical="center"/>
    </xf>
    <xf numFmtId="0" fontId="45" fillId="0" borderId="0" xfId="0" applyFont="1" applyAlignment="1">
      <alignment horizontal="center" vertical="center"/>
    </xf>
    <xf numFmtId="0" fontId="11" fillId="40" borderId="77" xfId="0" applyFont="1" applyFill="1" applyBorder="1" applyAlignment="1">
      <alignment horizontal="center" vertical="center" wrapText="1"/>
    </xf>
    <xf numFmtId="0" fontId="11" fillId="40" borderId="2" xfId="0" applyFont="1" applyFill="1" applyBorder="1" applyAlignment="1">
      <alignment horizontal="center" vertical="center" wrapText="1"/>
    </xf>
    <xf numFmtId="1" fontId="45" fillId="39" borderId="181" xfId="0" applyNumberFormat="1" applyFont="1" applyFill="1" applyBorder="1" applyAlignment="1">
      <alignment horizontal="center"/>
    </xf>
    <xf numFmtId="0" fontId="43" fillId="57" borderId="70" xfId="0" applyFont="1" applyFill="1" applyBorder="1" applyAlignment="1">
      <alignment horizontal="center" vertical="center" wrapText="1"/>
    </xf>
    <xf numFmtId="0" fontId="56" fillId="57" borderId="70" xfId="0" applyFont="1" applyFill="1" applyBorder="1" applyAlignment="1">
      <alignment horizontal="center" vertical="center" wrapText="1"/>
    </xf>
    <xf numFmtId="0" fontId="56" fillId="57" borderId="70" xfId="546" applyNumberFormat="1" applyFont="1" applyFill="1" applyBorder="1" applyAlignment="1" applyProtection="1">
      <alignment horizontal="center" vertical="center" wrapText="1"/>
    </xf>
    <xf numFmtId="0" fontId="48" fillId="57" borderId="70" xfId="0" applyFont="1" applyFill="1" applyBorder="1" applyAlignment="1">
      <alignment horizontal="center" vertical="center" wrapText="1"/>
    </xf>
    <xf numFmtId="0" fontId="177" fillId="65" borderId="0" xfId="0" applyFont="1" applyFill="1" applyAlignment="1" applyProtection="1">
      <alignment vertical="top" wrapText="1"/>
      <protection locked="0"/>
    </xf>
    <xf numFmtId="0" fontId="177" fillId="65" borderId="0" xfId="0" applyFont="1" applyFill="1" applyAlignment="1" applyProtection="1">
      <alignment horizontal="left"/>
      <protection locked="0"/>
    </xf>
    <xf numFmtId="0" fontId="0" fillId="65" borderId="0" xfId="0" applyFill="1" applyProtection="1">
      <protection locked="0"/>
    </xf>
    <xf numFmtId="0" fontId="175" fillId="66" borderId="151" xfId="0" applyFont="1" applyFill="1" applyBorder="1"/>
    <xf numFmtId="0" fontId="175" fillId="66" borderId="0" xfId="0" applyFont="1" applyFill="1" applyAlignment="1">
      <alignment horizontal="center"/>
    </xf>
    <xf numFmtId="0" fontId="10" fillId="66" borderId="0" xfId="0" applyFont="1" applyFill="1"/>
    <xf numFmtId="0" fontId="0" fillId="66" borderId="0" xfId="0" applyFill="1"/>
    <xf numFmtId="0" fontId="176" fillId="66" borderId="0" xfId="0" applyFont="1" applyFill="1" applyAlignment="1">
      <alignment horizontal="left"/>
    </xf>
    <xf numFmtId="0" fontId="10" fillId="66" borderId="0" xfId="0" applyFont="1" applyFill="1" applyAlignment="1">
      <alignment horizontal="center" wrapText="1"/>
    </xf>
    <xf numFmtId="0" fontId="176" fillId="66" borderId="0" xfId="0" applyFont="1" applyFill="1"/>
    <xf numFmtId="0" fontId="179" fillId="66" borderId="0" xfId="0" applyFont="1" applyFill="1" applyAlignment="1">
      <alignment vertical="center"/>
    </xf>
    <xf numFmtId="0" fontId="175" fillId="66" borderId="0" xfId="0" applyFont="1" applyFill="1" applyAlignment="1">
      <alignment vertical="center"/>
    </xf>
    <xf numFmtId="0" fontId="179" fillId="66" borderId="0" xfId="0" applyFont="1" applyFill="1"/>
    <xf numFmtId="0" fontId="175" fillId="66" borderId="0" xfId="0" applyFont="1" applyFill="1"/>
    <xf numFmtId="0" fontId="10" fillId="66" borderId="139" xfId="0" applyFont="1" applyFill="1" applyBorder="1"/>
    <xf numFmtId="0" fontId="0" fillId="66" borderId="0" xfId="0" applyFill="1" applyAlignment="1">
      <alignment vertical="center"/>
    </xf>
    <xf numFmtId="0" fontId="48" fillId="66" borderId="0" xfId="0" applyFont="1" applyFill="1" applyAlignment="1">
      <alignment horizontal="center"/>
    </xf>
    <xf numFmtId="0" fontId="48" fillId="66" borderId="0" xfId="0" applyFont="1" applyFill="1"/>
    <xf numFmtId="0" fontId="41" fillId="55" borderId="0" xfId="0" applyFont="1" applyFill="1" applyAlignment="1" applyProtection="1">
      <alignment horizontal="center" vertical="center"/>
      <protection hidden="1"/>
    </xf>
    <xf numFmtId="0" fontId="41" fillId="0" borderId="0" xfId="0" applyFont="1" applyAlignment="1">
      <alignment horizontal="center" vertical="center"/>
    </xf>
    <xf numFmtId="0" fontId="41" fillId="55" borderId="137" xfId="0" applyFont="1" applyFill="1" applyBorder="1" applyAlignment="1">
      <alignment horizontal="center" vertical="center"/>
    </xf>
    <xf numFmtId="0" fontId="41" fillId="55" borderId="139" xfId="0" applyFont="1" applyFill="1" applyBorder="1" applyAlignment="1">
      <alignment horizontal="center" vertical="center"/>
    </xf>
    <xf numFmtId="0" fontId="184" fillId="55" borderId="0" xfId="0" applyFont="1" applyFill="1" applyAlignment="1" applyProtection="1">
      <alignment horizontal="center" vertical="center" textRotation="90"/>
      <protection hidden="1"/>
    </xf>
    <xf numFmtId="0" fontId="54" fillId="57" borderId="64" xfId="0" applyFont="1" applyFill="1" applyBorder="1" applyAlignment="1">
      <alignment horizontal="center" shrinkToFit="1"/>
    </xf>
    <xf numFmtId="0" fontId="42" fillId="67" borderId="64" xfId="0" applyFont="1" applyFill="1" applyBorder="1" applyAlignment="1" applyProtection="1">
      <alignment horizontal="center" vertical="center"/>
      <protection hidden="1"/>
    </xf>
    <xf numFmtId="0" fontId="43" fillId="67" borderId="64" xfId="0" applyFont="1" applyFill="1" applyBorder="1" applyAlignment="1" applyProtection="1">
      <alignment horizontal="center" vertical="center" wrapText="1"/>
      <protection hidden="1"/>
    </xf>
    <xf numFmtId="0" fontId="41" fillId="67" borderId="64" xfId="0" applyFont="1" applyFill="1" applyBorder="1" applyAlignment="1" applyProtection="1">
      <alignment horizontal="center" vertical="center" wrapText="1"/>
      <protection hidden="1"/>
    </xf>
    <xf numFmtId="0" fontId="48" fillId="67" borderId="64" xfId="0" applyFont="1" applyFill="1" applyBorder="1" applyAlignment="1" applyProtection="1">
      <alignment horizontal="center" vertical="center" wrapText="1"/>
      <protection hidden="1"/>
    </xf>
    <xf numFmtId="0" fontId="54" fillId="0" borderId="64" xfId="623" applyFont="1" applyBorder="1" applyAlignment="1">
      <alignment horizontal="left" vertical="center" indent="1"/>
    </xf>
    <xf numFmtId="0" fontId="54" fillId="0" borderId="64" xfId="623" applyFont="1" applyBorder="1" applyAlignment="1">
      <alignment horizontal="center" vertical="center"/>
    </xf>
    <xf numFmtId="2" fontId="43" fillId="65" borderId="64" xfId="0" applyNumberFormat="1" applyFont="1" applyFill="1" applyBorder="1" applyAlignment="1" applyProtection="1">
      <alignment horizontal="center" vertical="center"/>
      <protection locked="0" hidden="1"/>
    </xf>
    <xf numFmtId="166" fontId="43" fillId="65" borderId="64" xfId="0" applyNumberFormat="1" applyFont="1" applyFill="1" applyBorder="1" applyAlignment="1" applyProtection="1">
      <alignment horizontal="center" vertical="center"/>
      <protection locked="0" hidden="1"/>
    </xf>
    <xf numFmtId="166" fontId="112" fillId="9" borderId="64" xfId="578" applyNumberFormat="1" applyFill="1" applyBorder="1" applyAlignment="1" applyProtection="1">
      <alignment horizontal="center" vertical="center"/>
      <protection hidden="1"/>
    </xf>
    <xf numFmtId="2" fontId="43" fillId="9" borderId="64" xfId="578" applyNumberFormat="1" applyFont="1" applyFill="1" applyBorder="1" applyAlignment="1" applyProtection="1">
      <alignment horizontal="center" vertical="center"/>
      <protection hidden="1"/>
    </xf>
    <xf numFmtId="0" fontId="61" fillId="70" borderId="64" xfId="0" applyFont="1" applyFill="1" applyBorder="1" applyAlignment="1">
      <alignment horizontal="center" vertical="center"/>
    </xf>
    <xf numFmtId="0" fontId="41" fillId="55" borderId="0" xfId="0" applyFont="1" applyFill="1" applyAlignment="1">
      <alignment horizontal="center" vertical="center"/>
    </xf>
    <xf numFmtId="0" fontId="56" fillId="67" borderId="64" xfId="0" applyFont="1" applyFill="1" applyBorder="1" applyAlignment="1" applyProtection="1">
      <alignment horizontal="center" vertical="center" wrapText="1"/>
      <protection hidden="1"/>
    </xf>
    <xf numFmtId="0" fontId="41" fillId="71" borderId="64" xfId="0" applyFont="1" applyFill="1" applyBorder="1" applyAlignment="1" applyProtection="1">
      <alignment horizontal="center" vertical="center" wrapText="1"/>
      <protection hidden="1"/>
    </xf>
    <xf numFmtId="0" fontId="75" fillId="67" borderId="64" xfId="0" applyFont="1" applyFill="1" applyBorder="1" applyAlignment="1" applyProtection="1">
      <alignment horizontal="center" vertical="center" wrapText="1"/>
      <protection hidden="1"/>
    </xf>
    <xf numFmtId="0" fontId="0" fillId="67" borderId="64" xfId="0" applyFill="1" applyBorder="1" applyAlignment="1" applyProtection="1">
      <alignment horizontal="center" vertical="center" wrapText="1"/>
      <protection hidden="1"/>
    </xf>
    <xf numFmtId="0" fontId="41" fillId="68" borderId="64" xfId="0" applyFont="1" applyFill="1" applyBorder="1" applyAlignment="1" applyProtection="1">
      <alignment horizontal="left" vertical="center"/>
      <protection locked="0" hidden="1"/>
    </xf>
    <xf numFmtId="2" fontId="0" fillId="0" borderId="64" xfId="0" quotePrefix="1" applyNumberFormat="1" applyBorder="1" applyAlignment="1" applyProtection="1">
      <alignment horizontal="center" vertical="center"/>
      <protection hidden="1"/>
    </xf>
    <xf numFmtId="2" fontId="41" fillId="71" borderId="64" xfId="0" quotePrefix="1" applyNumberFormat="1" applyFont="1" applyFill="1" applyBorder="1" applyAlignment="1" applyProtection="1">
      <alignment horizontal="center" vertical="center"/>
      <protection locked="0" hidden="1"/>
    </xf>
    <xf numFmtId="168" fontId="56" fillId="65" borderId="64" xfId="0" applyNumberFormat="1" applyFont="1" applyFill="1" applyBorder="1" applyAlignment="1" applyProtection="1">
      <alignment horizontal="center" vertical="center"/>
      <protection locked="0" hidden="1"/>
    </xf>
    <xf numFmtId="2" fontId="0" fillId="0" borderId="64" xfId="0" applyNumberFormat="1" applyBorder="1" applyAlignment="1" applyProtection="1">
      <alignment horizontal="center" vertical="center"/>
      <protection hidden="1"/>
    </xf>
    <xf numFmtId="0" fontId="52" fillId="73" borderId="64" xfId="623" applyFont="1" applyFill="1" applyBorder="1" applyAlignment="1">
      <alignment horizontal="left" vertical="center" indent="1"/>
    </xf>
    <xf numFmtId="0" fontId="52" fillId="73" borderId="64" xfId="0" applyFont="1" applyFill="1" applyBorder="1" applyAlignment="1">
      <alignment horizontal="center" vertical="center"/>
    </xf>
    <xf numFmtId="0" fontId="52" fillId="73" borderId="64" xfId="623" applyFont="1" applyFill="1" applyBorder="1" applyAlignment="1">
      <alignment horizontal="center" vertical="center"/>
    </xf>
    <xf numFmtId="2" fontId="52" fillId="73" borderId="64" xfId="623" applyNumberFormat="1" applyFont="1" applyFill="1" applyBorder="1" applyAlignment="1">
      <alignment horizontal="center" vertical="center"/>
    </xf>
    <xf numFmtId="2" fontId="54" fillId="0" borderId="64" xfId="623" applyNumberFormat="1" applyFont="1" applyBorder="1" applyAlignment="1">
      <alignment horizontal="center" vertical="center"/>
    </xf>
    <xf numFmtId="0" fontId="75" fillId="72" borderId="72" xfId="0" applyFont="1" applyFill="1" applyBorder="1" applyAlignment="1" applyProtection="1">
      <alignment horizontal="left" vertical="center" wrapText="1"/>
      <protection hidden="1"/>
    </xf>
    <xf numFmtId="0" fontId="75" fillId="72" borderId="139" xfId="0" applyFont="1" applyFill="1" applyBorder="1" applyAlignment="1" applyProtection="1">
      <alignment horizontal="left" vertical="center" wrapText="1"/>
      <protection hidden="1"/>
    </xf>
    <xf numFmtId="0" fontId="41" fillId="72" borderId="64" xfId="0" applyFont="1" applyFill="1" applyBorder="1" applyAlignment="1" applyProtection="1">
      <alignment horizontal="left" vertical="center"/>
      <protection hidden="1"/>
    </xf>
    <xf numFmtId="0" fontId="41" fillId="72" borderId="64" xfId="0" applyFont="1" applyFill="1" applyBorder="1" applyAlignment="1" applyProtection="1">
      <alignment horizontal="center" vertical="center"/>
      <protection hidden="1"/>
    </xf>
    <xf numFmtId="0" fontId="41" fillId="72" borderId="64" xfId="0" applyFont="1" applyFill="1" applyBorder="1" applyAlignment="1" applyProtection="1">
      <alignment horizontal="left" vertical="center" wrapText="1" indent="1"/>
      <protection hidden="1"/>
    </xf>
    <xf numFmtId="0" fontId="54" fillId="73" borderId="64" xfId="623" applyFont="1" applyFill="1" applyBorder="1" applyAlignment="1">
      <alignment horizontal="left" vertical="center" indent="1"/>
    </xf>
    <xf numFmtId="0" fontId="54" fillId="73" borderId="64" xfId="623" applyFont="1" applyFill="1" applyBorder="1" applyAlignment="1">
      <alignment horizontal="center" vertical="center"/>
    </xf>
    <xf numFmtId="0" fontId="54" fillId="73" borderId="64" xfId="409" applyFont="1" applyFill="1" applyBorder="1" applyAlignment="1" applyProtection="1">
      <alignment horizontal="center" vertical="center"/>
    </xf>
    <xf numFmtId="0" fontId="54" fillId="73" borderId="64" xfId="0" applyFont="1" applyFill="1" applyBorder="1" applyAlignment="1">
      <alignment horizontal="center" vertical="center"/>
    </xf>
    <xf numFmtId="2" fontId="54" fillId="73" borderId="64" xfId="623" applyNumberFormat="1" applyFont="1" applyFill="1" applyBorder="1" applyAlignment="1">
      <alignment horizontal="center" vertical="center"/>
    </xf>
    <xf numFmtId="0" fontId="41" fillId="55" borderId="139" xfId="0" applyFont="1" applyFill="1" applyBorder="1" applyAlignment="1" applyProtection="1">
      <alignment horizontal="center" vertical="center"/>
      <protection hidden="1"/>
    </xf>
    <xf numFmtId="0" fontId="41" fillId="72" borderId="151" xfId="0" applyFont="1" applyFill="1" applyBorder="1" applyAlignment="1" applyProtection="1">
      <alignment horizontal="left" vertical="center" wrapText="1" indent="1"/>
      <protection hidden="1"/>
    </xf>
    <xf numFmtId="0" fontId="185" fillId="55" borderId="0" xfId="0" applyFont="1" applyFill="1" applyProtection="1">
      <protection hidden="1"/>
    </xf>
    <xf numFmtId="0" fontId="186" fillId="55" borderId="0" xfId="0" applyFont="1" applyFill="1" applyAlignment="1" applyProtection="1">
      <alignment vertical="center"/>
      <protection hidden="1"/>
    </xf>
    <xf numFmtId="0" fontId="187" fillId="55" borderId="0" xfId="0" applyFont="1" applyFill="1" applyAlignment="1" applyProtection="1">
      <alignment horizontal="left" vertical="center"/>
      <protection hidden="1"/>
    </xf>
    <xf numFmtId="2" fontId="41" fillId="0" borderId="64" xfId="0" quotePrefix="1" applyNumberFormat="1" applyFont="1" applyBorder="1" applyAlignment="1" applyProtection="1">
      <alignment horizontal="center" vertical="center"/>
      <protection hidden="1"/>
    </xf>
    <xf numFmtId="2" fontId="41" fillId="0" borderId="64" xfId="0" applyNumberFormat="1" applyFont="1" applyBorder="1" applyAlignment="1" applyProtection="1">
      <alignment horizontal="center" vertical="center"/>
      <protection hidden="1"/>
    </xf>
    <xf numFmtId="0" fontId="42" fillId="0" borderId="0" xfId="0" applyFont="1" applyAlignment="1" applyProtection="1">
      <alignment horizontal="center" vertical="center"/>
      <protection hidden="1"/>
    </xf>
    <xf numFmtId="0" fontId="41" fillId="0" borderId="0" xfId="0" applyFont="1" applyAlignment="1" applyProtection="1">
      <alignment horizontal="center" vertical="center" wrapText="1"/>
      <protection hidden="1"/>
    </xf>
    <xf numFmtId="0" fontId="56" fillId="0" borderId="0" xfId="0" applyFont="1" applyAlignment="1">
      <alignment horizontal="center" vertical="center"/>
    </xf>
    <xf numFmtId="2" fontId="41" fillId="0" borderId="0" xfId="0" applyNumberFormat="1" applyFont="1" applyAlignment="1">
      <alignment horizontal="center" vertical="center"/>
    </xf>
    <xf numFmtId="2" fontId="43" fillId="0" borderId="0" xfId="578" applyNumberFormat="1" applyFont="1" applyAlignment="1" applyProtection="1">
      <alignment horizontal="center" vertical="center"/>
      <protection hidden="1"/>
    </xf>
    <xf numFmtId="0" fontId="43" fillId="57" borderId="71" xfId="0" applyFont="1" applyFill="1" applyBorder="1" applyAlignment="1">
      <alignment horizontal="left" vertical="center"/>
    </xf>
    <xf numFmtId="0" fontId="41" fillId="0" borderId="158" xfId="0" applyFont="1" applyBorder="1" applyAlignment="1">
      <alignment horizontal="center" vertical="center"/>
    </xf>
    <xf numFmtId="0" fontId="53" fillId="0" borderId="182" xfId="0" applyFont="1" applyBorder="1" applyAlignment="1" applyProtection="1">
      <alignment horizontal="left" vertical="center"/>
      <protection hidden="1"/>
    </xf>
    <xf numFmtId="2" fontId="0" fillId="0" borderId="69" xfId="0" applyNumberFormat="1" applyBorder="1" applyAlignment="1" applyProtection="1">
      <alignment horizontal="center" vertical="center"/>
      <protection hidden="1"/>
    </xf>
    <xf numFmtId="0" fontId="53" fillId="0" borderId="68" xfId="0" applyFont="1" applyBorder="1" applyAlignment="1" applyProtection="1">
      <alignment horizontal="left" vertical="center"/>
      <protection hidden="1"/>
    </xf>
    <xf numFmtId="0" fontId="188" fillId="55" borderId="0" xfId="0" applyFont="1" applyFill="1" applyAlignment="1" applyProtection="1">
      <alignment vertical="center" textRotation="90"/>
      <protection hidden="1"/>
    </xf>
    <xf numFmtId="0" fontId="53" fillId="0" borderId="126" xfId="0" applyFont="1" applyBorder="1" applyAlignment="1" applyProtection="1">
      <alignment horizontal="left" vertical="center"/>
      <protection hidden="1"/>
    </xf>
    <xf numFmtId="2" fontId="0" fillId="0" borderId="127" xfId="0" applyNumberFormat="1" applyBorder="1" applyAlignment="1" applyProtection="1">
      <alignment horizontal="center" vertical="center"/>
      <protection hidden="1"/>
    </xf>
    <xf numFmtId="0" fontId="41" fillId="55" borderId="72" xfId="0" applyFont="1" applyFill="1" applyBorder="1" applyAlignment="1">
      <alignment horizontal="center" vertical="center"/>
    </xf>
    <xf numFmtId="0" fontId="41" fillId="55" borderId="151" xfId="0" applyFont="1" applyFill="1" applyBorder="1" applyAlignment="1" applyProtection="1">
      <alignment horizontal="center" vertical="center"/>
      <protection hidden="1"/>
    </xf>
    <xf numFmtId="0" fontId="41" fillId="55" borderId="75" xfId="0" applyFont="1" applyFill="1" applyBorder="1" applyAlignment="1" applyProtection="1">
      <alignment horizontal="center" vertical="center"/>
      <protection hidden="1"/>
    </xf>
    <xf numFmtId="0" fontId="41" fillId="55" borderId="148" xfId="0" applyFont="1" applyFill="1" applyBorder="1" applyAlignment="1">
      <alignment horizontal="center" vertical="center"/>
    </xf>
    <xf numFmtId="0" fontId="190" fillId="67" borderId="64" xfId="0" applyFont="1" applyFill="1" applyBorder="1" applyAlignment="1" applyProtection="1">
      <alignment horizontal="center" vertical="center" wrapText="1"/>
      <protection hidden="1"/>
    </xf>
    <xf numFmtId="0" fontId="190" fillId="67" borderId="64" xfId="0" applyFont="1" applyFill="1" applyBorder="1" applyAlignment="1" applyProtection="1">
      <alignment horizontal="center" vertical="center"/>
      <protection hidden="1"/>
    </xf>
    <xf numFmtId="0" fontId="190" fillId="76" borderId="136" xfId="0" applyFont="1" applyFill="1" applyBorder="1" applyAlignment="1" applyProtection="1">
      <alignment horizontal="center" vertical="center"/>
      <protection hidden="1"/>
    </xf>
    <xf numFmtId="0" fontId="190" fillId="77" borderId="64" xfId="0" applyFont="1" applyFill="1" applyBorder="1" applyAlignment="1" applyProtection="1">
      <alignment horizontal="center" vertical="center" wrapText="1"/>
      <protection hidden="1"/>
    </xf>
    <xf numFmtId="0" fontId="43" fillId="67" borderId="64" xfId="0" applyFont="1" applyFill="1" applyBorder="1" applyAlignment="1" applyProtection="1">
      <alignment horizontal="center" vertical="center"/>
      <protection hidden="1"/>
    </xf>
    <xf numFmtId="0" fontId="190" fillId="76" borderId="137" xfId="0" applyFont="1" applyFill="1" applyBorder="1" applyAlignment="1" applyProtection="1">
      <alignment horizontal="center" vertical="center"/>
      <protection hidden="1"/>
    </xf>
    <xf numFmtId="0" fontId="41" fillId="55" borderId="0" xfId="0" applyFont="1" applyFill="1" applyAlignment="1">
      <alignment horizontal="center" vertical="top"/>
    </xf>
    <xf numFmtId="0" fontId="176" fillId="65" borderId="64" xfId="0" applyFont="1" applyFill="1" applyBorder="1" applyAlignment="1" applyProtection="1">
      <alignment horizontal="center" vertical="center"/>
      <protection locked="0" hidden="1"/>
    </xf>
    <xf numFmtId="2" fontId="176" fillId="65" borderId="64" xfId="0" applyNumberFormat="1" applyFont="1" applyFill="1" applyBorder="1" applyAlignment="1" applyProtection="1">
      <alignment horizontal="center" vertical="center"/>
      <protection locked="0" hidden="1"/>
    </xf>
    <xf numFmtId="0" fontId="176" fillId="78" borderId="64" xfId="0" applyFont="1" applyFill="1" applyBorder="1" applyAlignment="1" applyProtection="1">
      <alignment horizontal="center" vertical="center"/>
      <protection locked="0" hidden="1"/>
    </xf>
    <xf numFmtId="2" fontId="0" fillId="9" borderId="64" xfId="578" applyNumberFormat="1" applyFont="1" applyFill="1" applyBorder="1" applyAlignment="1" applyProtection="1">
      <alignment horizontal="center" vertical="center"/>
      <protection hidden="1"/>
    </xf>
    <xf numFmtId="0" fontId="190" fillId="76" borderId="72" xfId="0" applyFont="1" applyFill="1" applyBorder="1" applyAlignment="1" applyProtection="1">
      <alignment horizontal="center" vertical="center"/>
      <protection hidden="1"/>
    </xf>
    <xf numFmtId="0" fontId="43" fillId="67" borderId="70" xfId="0" applyFont="1" applyFill="1" applyBorder="1" applyAlignment="1" applyProtection="1">
      <alignment horizontal="center" vertical="center" wrapText="1"/>
      <protection hidden="1"/>
    </xf>
    <xf numFmtId="0" fontId="190" fillId="67" borderId="67" xfId="0" applyFont="1" applyFill="1" applyBorder="1" applyAlignment="1" applyProtection="1">
      <alignment horizontal="center" vertical="center" wrapText="1"/>
      <protection hidden="1"/>
    </xf>
    <xf numFmtId="0" fontId="176" fillId="65" borderId="67" xfId="0" applyFont="1" applyFill="1" applyBorder="1" applyAlignment="1" applyProtection="1">
      <alignment horizontal="center" vertical="center"/>
      <protection locked="0" hidden="1"/>
    </xf>
    <xf numFmtId="0" fontId="176" fillId="65" borderId="67" xfId="0" applyFont="1" applyFill="1" applyBorder="1" applyAlignment="1" applyProtection="1">
      <alignment vertical="center"/>
      <protection locked="0" hidden="1"/>
    </xf>
    <xf numFmtId="0" fontId="43" fillId="67" borderId="70" xfId="0" applyFont="1" applyFill="1" applyBorder="1" applyAlignment="1" applyProtection="1">
      <alignment horizontal="center" vertical="center"/>
      <protection hidden="1"/>
    </xf>
    <xf numFmtId="0" fontId="191" fillId="67" borderId="67" xfId="0" applyFont="1" applyFill="1" applyBorder="1" applyAlignment="1" applyProtection="1">
      <alignment horizontal="center" vertical="center" wrapText="1"/>
      <protection hidden="1"/>
    </xf>
    <xf numFmtId="2" fontId="176" fillId="65" borderId="67" xfId="0" applyNumberFormat="1" applyFont="1" applyFill="1" applyBorder="1" applyAlignment="1" applyProtection="1">
      <alignment horizontal="center" vertical="center"/>
      <protection locked="0" hidden="1"/>
    </xf>
    <xf numFmtId="2" fontId="176" fillId="65" borderId="64" xfId="0" applyNumberFormat="1" applyFont="1" applyFill="1" applyBorder="1" applyAlignment="1" applyProtection="1">
      <alignment horizontal="left" vertical="center"/>
      <protection locked="0" hidden="1"/>
    </xf>
    <xf numFmtId="0" fontId="176" fillId="78" borderId="64" xfId="0" applyFont="1" applyFill="1" applyBorder="1" applyAlignment="1" applyProtection="1">
      <alignment horizontal="right" vertical="center"/>
      <protection locked="0" hidden="1"/>
    </xf>
    <xf numFmtId="1" fontId="72" fillId="39" borderId="2" xfId="0" applyNumberFormat="1" applyFont="1" applyFill="1" applyBorder="1" applyAlignment="1">
      <alignment horizontal="right"/>
    </xf>
    <xf numFmtId="1" fontId="72" fillId="79" borderId="183" xfId="0" applyNumberFormat="1" applyFont="1" applyFill="1" applyBorder="1" applyAlignment="1">
      <alignment horizontal="center" vertical="center"/>
    </xf>
    <xf numFmtId="0" fontId="70" fillId="29" borderId="39" xfId="412" applyNumberFormat="1" applyFont="1" applyFill="1" applyBorder="1" applyAlignment="1" applyProtection="1">
      <alignment horizontal="right" vertical="center" indent="1"/>
    </xf>
    <xf numFmtId="0" fontId="52" fillId="74" borderId="64" xfId="0" applyFont="1" applyFill="1" applyBorder="1" applyAlignment="1">
      <alignment horizontal="center" vertical="center" shrinkToFit="1"/>
    </xf>
    <xf numFmtId="0" fontId="52" fillId="74" borderId="64" xfId="0" applyFont="1" applyFill="1" applyBorder="1" applyAlignment="1">
      <alignment horizontal="center" vertical="center" wrapText="1"/>
    </xf>
    <xf numFmtId="0" fontId="192" fillId="55" borderId="0" xfId="0" applyFont="1" applyFill="1" applyAlignment="1" applyProtection="1">
      <alignment vertical="center"/>
      <protection hidden="1"/>
    </xf>
    <xf numFmtId="0" fontId="48" fillId="57" borderId="67" xfId="0" applyFont="1" applyFill="1" applyBorder="1" applyAlignment="1">
      <alignment horizontal="center" vertical="center" wrapText="1"/>
    </xf>
    <xf numFmtId="0" fontId="56" fillId="57" borderId="67" xfId="0" applyFont="1" applyFill="1" applyBorder="1" applyAlignment="1">
      <alignment horizontal="center" vertical="center" wrapText="1"/>
    </xf>
    <xf numFmtId="0" fontId="53" fillId="66" borderId="0" xfId="0" applyFont="1" applyFill="1" applyAlignment="1">
      <alignment horizontal="left" vertical="center" wrapText="1"/>
    </xf>
    <xf numFmtId="0" fontId="53" fillId="66" borderId="0" xfId="0" applyFont="1" applyFill="1" applyAlignment="1">
      <alignment horizontal="left" vertical="center" indent="1"/>
    </xf>
    <xf numFmtId="0" fontId="53" fillId="66" borderId="0" xfId="0" applyFont="1" applyFill="1" applyAlignment="1">
      <alignment vertical="center"/>
    </xf>
    <xf numFmtId="0" fontId="53" fillId="66" borderId="0" xfId="0" applyFont="1" applyFill="1" applyAlignment="1">
      <alignment horizontal="center" vertical="center"/>
    </xf>
    <xf numFmtId="0" fontId="175" fillId="66" borderId="151" xfId="0" applyFont="1" applyFill="1" applyBorder="1" applyAlignment="1">
      <alignment horizontal="left" indent="1"/>
    </xf>
    <xf numFmtId="0" fontId="0" fillId="66" borderId="0" xfId="0" applyFill="1" applyAlignment="1">
      <alignment horizontal="right"/>
    </xf>
    <xf numFmtId="0" fontId="0" fillId="66" borderId="0" xfId="0" applyFill="1" applyAlignment="1">
      <alignment horizontal="center"/>
    </xf>
    <xf numFmtId="0" fontId="8" fillId="66" borderId="0" xfId="0" applyFont="1" applyFill="1" applyAlignment="1">
      <alignment horizontal="left"/>
    </xf>
    <xf numFmtId="0" fontId="43" fillId="66" borderId="0" xfId="0" applyFont="1" applyFill="1" applyAlignment="1">
      <alignment horizontal="center" vertical="center"/>
    </xf>
    <xf numFmtId="1" fontId="10" fillId="0" borderId="64" xfId="0" applyNumberFormat="1" applyFont="1" applyBorder="1" applyAlignment="1">
      <alignment horizontal="center" vertical="center"/>
    </xf>
    <xf numFmtId="166" fontId="10" fillId="0" borderId="64" xfId="0" applyNumberFormat="1" applyFont="1" applyBorder="1" applyAlignment="1">
      <alignment horizontal="center" vertical="center"/>
    </xf>
    <xf numFmtId="166" fontId="10" fillId="0" borderId="67" xfId="0" applyNumberFormat="1" applyFont="1" applyBorder="1" applyAlignment="1">
      <alignment horizontal="center" vertical="center"/>
    </xf>
    <xf numFmtId="0" fontId="10" fillId="0" borderId="64" xfId="0" applyFont="1" applyBorder="1" applyAlignment="1">
      <alignment horizontal="left" vertical="center" indent="1"/>
    </xf>
    <xf numFmtId="167" fontId="10" fillId="0" borderId="64" xfId="0" applyNumberFormat="1" applyFont="1" applyBorder="1" applyAlignment="1">
      <alignment horizontal="center" vertical="center" shrinkToFit="1"/>
    </xf>
    <xf numFmtId="167" fontId="10" fillId="0" borderId="67" xfId="0" applyNumberFormat="1" applyFont="1" applyBorder="1" applyAlignment="1">
      <alignment horizontal="center" vertical="center" shrinkToFit="1"/>
    </xf>
    <xf numFmtId="0" fontId="11" fillId="32" borderId="2" xfId="0" applyFont="1" applyFill="1" applyBorder="1" applyAlignment="1">
      <alignment horizontal="center" vertical="center" wrapText="1"/>
    </xf>
    <xf numFmtId="0" fontId="54" fillId="20" borderId="0" xfId="0" applyFont="1" applyFill="1" applyAlignment="1">
      <alignment horizontal="center" wrapText="1"/>
    </xf>
    <xf numFmtId="0" fontId="54" fillId="20" borderId="0" xfId="0" applyFont="1" applyFill="1" applyAlignment="1">
      <alignment horizontal="center"/>
    </xf>
    <xf numFmtId="0" fontId="54" fillId="0" borderId="64" xfId="0" applyFont="1" applyBorder="1" applyAlignment="1" applyProtection="1">
      <alignment horizontal="center" vertical="center" shrinkToFit="1"/>
      <protection locked="0"/>
    </xf>
    <xf numFmtId="0" fontId="54" fillId="0" borderId="199" xfId="0" applyFont="1" applyBorder="1" applyAlignment="1" applyProtection="1">
      <alignment horizontal="center" vertical="center" shrinkToFit="1"/>
      <protection locked="0"/>
    </xf>
    <xf numFmtId="0" fontId="12" fillId="40" borderId="128" xfId="0" applyFont="1" applyFill="1" applyBorder="1" applyAlignment="1">
      <alignment horizontal="center" vertical="center"/>
    </xf>
    <xf numFmtId="0" fontId="121" fillId="0" borderId="64" xfId="579" applyFont="1" applyBorder="1" applyAlignment="1">
      <alignment horizontal="center" vertical="center" wrapText="1"/>
    </xf>
    <xf numFmtId="1" fontId="53" fillId="70" borderId="69" xfId="0" applyNumberFormat="1" applyFont="1" applyFill="1" applyBorder="1" applyAlignment="1">
      <alignment horizontal="center" vertical="center" shrinkToFit="1"/>
    </xf>
    <xf numFmtId="0" fontId="53" fillId="80" borderId="68" xfId="0" applyFont="1" applyFill="1" applyBorder="1" applyAlignment="1" applyProtection="1">
      <alignment horizontal="center" vertical="center" shrinkToFit="1"/>
      <protection locked="0"/>
    </xf>
    <xf numFmtId="0" fontId="0" fillId="0" borderId="200" xfId="0" applyBorder="1" applyAlignment="1">
      <alignment horizontal="center" vertical="center"/>
    </xf>
    <xf numFmtId="0" fontId="0" fillId="0" borderId="141" xfId="0" applyBorder="1"/>
    <xf numFmtId="0" fontId="0" fillId="0" borderId="187" xfId="0" applyBorder="1"/>
    <xf numFmtId="0" fontId="52" fillId="15" borderId="188" xfId="578" applyFont="1" applyFill="1" applyBorder="1" applyAlignment="1">
      <alignment vertical="center"/>
    </xf>
    <xf numFmtId="0" fontId="52" fillId="15" borderId="189" xfId="578" applyFont="1" applyFill="1" applyBorder="1" applyAlignment="1">
      <alignment vertical="center"/>
    </xf>
    <xf numFmtId="0" fontId="52" fillId="15" borderId="190" xfId="578" applyFont="1" applyFill="1" applyBorder="1" applyAlignment="1">
      <alignment vertical="center"/>
    </xf>
    <xf numFmtId="3" fontId="52" fillId="19" borderId="64" xfId="0" applyNumberFormat="1" applyFont="1" applyFill="1" applyBorder="1" applyAlignment="1" applyProtection="1">
      <alignment horizontal="center" vertical="center"/>
      <protection locked="0"/>
    </xf>
    <xf numFmtId="0" fontId="43" fillId="57" borderId="187" xfId="0" applyFont="1" applyFill="1" applyBorder="1" applyAlignment="1">
      <alignment horizontal="center" vertical="center" wrapText="1"/>
    </xf>
    <xf numFmtId="0" fontId="75" fillId="57" borderId="187" xfId="0" applyFont="1" applyFill="1" applyBorder="1" applyAlignment="1">
      <alignment horizontal="center" vertical="center" wrapText="1"/>
    </xf>
    <xf numFmtId="0" fontId="72" fillId="57" borderId="187" xfId="0" applyFont="1" applyFill="1" applyBorder="1" applyAlignment="1">
      <alignment horizontal="center" vertical="center" wrapText="1"/>
    </xf>
    <xf numFmtId="0" fontId="78" fillId="57" borderId="187" xfId="0" applyFont="1" applyFill="1" applyBorder="1" applyAlignment="1">
      <alignment horizontal="center" vertical="center" wrapText="1"/>
    </xf>
    <xf numFmtId="0" fontId="30" fillId="57" borderId="187" xfId="0" applyFont="1" applyFill="1" applyBorder="1" applyAlignment="1">
      <alignment horizontal="center" vertical="center" wrapText="1"/>
    </xf>
    <xf numFmtId="0" fontId="45" fillId="57" borderId="187" xfId="0" applyFont="1" applyFill="1" applyBorder="1" applyAlignment="1">
      <alignment horizontal="center" vertical="center" wrapText="1"/>
    </xf>
    <xf numFmtId="0" fontId="52" fillId="57" borderId="76" xfId="0" applyFont="1" applyFill="1" applyBorder="1" applyAlignment="1">
      <alignment horizontal="center" vertical="center" shrinkToFit="1"/>
    </xf>
    <xf numFmtId="0" fontId="54" fillId="0" borderId="137" xfId="0" applyFont="1" applyBorder="1" applyAlignment="1">
      <alignment horizontal="center" vertical="center"/>
    </xf>
    <xf numFmtId="0" fontId="43" fillId="0" borderId="2" xfId="564" applyFont="1" applyBorder="1" applyAlignment="1">
      <alignment horizontal="center" vertical="center"/>
    </xf>
    <xf numFmtId="1" fontId="54" fillId="0" borderId="166" xfId="0" applyNumberFormat="1" applyFont="1" applyBorder="1" applyAlignment="1">
      <alignment horizontal="center" vertical="center"/>
    </xf>
    <xf numFmtId="0" fontId="43" fillId="0" borderId="207" xfId="564" applyFont="1" applyBorder="1" applyAlignment="1">
      <alignment horizontal="center" vertical="center"/>
    </xf>
    <xf numFmtId="0" fontId="43" fillId="0" borderId="0" xfId="0" applyFont="1" applyAlignment="1">
      <alignment horizontal="left" vertical="center" indent="1"/>
    </xf>
    <xf numFmtId="0" fontId="0" fillId="0" borderId="0" xfId="0" applyAlignment="1" applyProtection="1">
      <alignment horizontal="center" vertical="center"/>
      <protection locked="0"/>
    </xf>
    <xf numFmtId="9" fontId="53" fillId="0" borderId="0" xfId="547" applyFont="1" applyFill="1" applyBorder="1" applyAlignment="1" applyProtection="1">
      <alignment horizontal="center" vertical="center"/>
    </xf>
    <xf numFmtId="9" fontId="53" fillId="0" borderId="0" xfId="547" applyFont="1" applyFill="1" applyBorder="1" applyAlignment="1" applyProtection="1">
      <alignment horizontal="center"/>
    </xf>
    <xf numFmtId="9" fontId="53" fillId="0" borderId="0" xfId="547" applyFont="1" applyFill="1" applyBorder="1" applyAlignment="1" applyProtection="1">
      <alignment horizontal="center"/>
      <protection locked="0"/>
    </xf>
    <xf numFmtId="0" fontId="56" fillId="0" borderId="0" xfId="0" applyFont="1" applyAlignment="1">
      <alignment horizontal="left" vertical="center" indent="1"/>
    </xf>
    <xf numFmtId="1" fontId="0" fillId="10" borderId="64" xfId="0" applyNumberFormat="1" applyFill="1" applyBorder="1" applyAlignment="1" applyProtection="1">
      <alignment horizontal="center" vertical="center"/>
      <protection locked="0"/>
    </xf>
    <xf numFmtId="0" fontId="176" fillId="84" borderId="210" xfId="0" applyFont="1" applyFill="1" applyBorder="1"/>
    <xf numFmtId="0" fontId="209" fillId="83" borderId="148" xfId="0" applyFont="1" applyFill="1" applyBorder="1"/>
    <xf numFmtId="0" fontId="176" fillId="85" borderId="210" xfId="0" applyFont="1" applyFill="1" applyBorder="1"/>
    <xf numFmtId="0" fontId="176" fillId="0" borderId="0" xfId="0" applyFont="1"/>
    <xf numFmtId="0" fontId="209" fillId="83" borderId="211" xfId="0" applyFont="1" applyFill="1" applyBorder="1"/>
    <xf numFmtId="3" fontId="169" fillId="86" borderId="156" xfId="0" applyNumberFormat="1" applyFont="1" applyFill="1" applyBorder="1" applyAlignment="1" applyProtection="1">
      <alignment horizontal="center" vertical="center"/>
      <protection locked="0"/>
    </xf>
    <xf numFmtId="0" fontId="209" fillId="87" borderId="215" xfId="0" applyFont="1" applyFill="1" applyBorder="1"/>
    <xf numFmtId="0" fontId="176" fillId="89" borderId="210" xfId="0" applyFont="1" applyFill="1" applyBorder="1"/>
    <xf numFmtId="0" fontId="0" fillId="0" borderId="71" xfId="0" applyBorder="1"/>
    <xf numFmtId="0" fontId="0" fillId="0" borderId="166" xfId="0" applyBorder="1"/>
    <xf numFmtId="0" fontId="0" fillId="0" borderId="134" xfId="0" applyBorder="1"/>
    <xf numFmtId="0" fontId="209" fillId="87" borderId="0" xfId="0" applyFont="1" applyFill="1"/>
    <xf numFmtId="0" fontId="209" fillId="87" borderId="216" xfId="0" applyFont="1" applyFill="1" applyBorder="1"/>
    <xf numFmtId="0" fontId="209" fillId="87" borderId="211" xfId="0" applyFont="1" applyFill="1" applyBorder="1"/>
    <xf numFmtId="0" fontId="176" fillId="88" borderId="213" xfId="0" applyFont="1" applyFill="1" applyBorder="1"/>
    <xf numFmtId="0" fontId="176" fillId="88" borderId="194" xfId="0" applyFont="1" applyFill="1" applyBorder="1"/>
    <xf numFmtId="0" fontId="176" fillId="89" borderId="217" xfId="0" applyFont="1" applyFill="1" applyBorder="1"/>
    <xf numFmtId="0" fontId="176" fillId="88" borderId="209" xfId="0" applyFont="1" applyFill="1" applyBorder="1"/>
    <xf numFmtId="0" fontId="176" fillId="88" borderId="210" xfId="0" applyFont="1" applyFill="1" applyBorder="1"/>
    <xf numFmtId="0" fontId="209" fillId="87" borderId="218" xfId="0" applyFont="1" applyFill="1" applyBorder="1"/>
    <xf numFmtId="0" fontId="11" fillId="0" borderId="0" xfId="0" applyFont="1" applyAlignment="1">
      <alignment horizontal="left"/>
    </xf>
    <xf numFmtId="0" fontId="69" fillId="0" borderId="0" xfId="0" applyFont="1" applyAlignment="1">
      <alignment horizontal="left" vertical="center"/>
    </xf>
    <xf numFmtId="0" fontId="176" fillId="81" borderId="214" xfId="0" applyFont="1" applyFill="1" applyBorder="1"/>
    <xf numFmtId="0" fontId="176" fillId="82" borderId="214" xfId="0" applyFont="1" applyFill="1" applyBorder="1"/>
    <xf numFmtId="0" fontId="176" fillId="84" borderId="213" xfId="0" applyFont="1" applyFill="1" applyBorder="1"/>
    <xf numFmtId="0" fontId="176" fillId="84" borderId="193" xfId="0" applyFont="1" applyFill="1" applyBorder="1"/>
    <xf numFmtId="0" fontId="209" fillId="83" borderId="193" xfId="0" applyFont="1" applyFill="1" applyBorder="1"/>
    <xf numFmtId="0" fontId="209" fillId="83" borderId="194" xfId="0" applyFont="1" applyFill="1" applyBorder="1"/>
    <xf numFmtId="0" fontId="176" fillId="84" borderId="191" xfId="0" applyFont="1" applyFill="1" applyBorder="1"/>
    <xf numFmtId="0" fontId="176" fillId="84" borderId="217" xfId="0" applyFont="1" applyFill="1" applyBorder="1"/>
    <xf numFmtId="0" fontId="176" fillId="85" borderId="220" xfId="0" applyFont="1" applyFill="1" applyBorder="1"/>
    <xf numFmtId="0" fontId="176" fillId="84" borderId="209" xfId="0" applyFont="1" applyFill="1" applyBorder="1"/>
    <xf numFmtId="0" fontId="209" fillId="83" borderId="0" xfId="0" applyFont="1" applyFill="1"/>
    <xf numFmtId="0" fontId="176" fillId="84" borderId="212" xfId="0" applyFont="1" applyFill="1" applyBorder="1"/>
    <xf numFmtId="166" fontId="0" fillId="0" borderId="15" xfId="0" applyNumberFormat="1" applyBorder="1" applyAlignment="1">
      <alignment horizontal="center" vertical="center"/>
    </xf>
    <xf numFmtId="166" fontId="0" fillId="17" borderId="221" xfId="0" applyNumberFormat="1" applyFill="1" applyBorder="1" applyAlignment="1">
      <alignment horizontal="center" vertical="center"/>
    </xf>
    <xf numFmtId="166" fontId="0" fillId="17" borderId="110" xfId="0" applyNumberFormat="1" applyFill="1" applyBorder="1" applyAlignment="1">
      <alignment horizontal="center" vertical="center"/>
    </xf>
    <xf numFmtId="166" fontId="0" fillId="0" borderId="222" xfId="0" applyNumberFormat="1" applyBorder="1" applyAlignment="1">
      <alignment horizontal="center" vertical="center"/>
    </xf>
    <xf numFmtId="166" fontId="0" fillId="0" borderId="223" xfId="0" applyNumberFormat="1" applyBorder="1" applyAlignment="1">
      <alignment horizontal="center" vertical="center"/>
    </xf>
    <xf numFmtId="166" fontId="0" fillId="0" borderId="224" xfId="0" applyNumberFormat="1" applyBorder="1" applyAlignment="1">
      <alignment horizontal="center" vertical="center"/>
    </xf>
    <xf numFmtId="166" fontId="0" fillId="0" borderId="225" xfId="0" applyNumberFormat="1" applyBorder="1" applyAlignment="1">
      <alignment horizontal="center" vertical="center"/>
    </xf>
    <xf numFmtId="166" fontId="0" fillId="17" borderId="221" xfId="0" applyNumberFormat="1" applyFill="1" applyBorder="1" applyAlignment="1">
      <alignment horizontal="left" vertical="center"/>
    </xf>
    <xf numFmtId="1" fontId="0" fillId="0" borderId="222" xfId="0" applyNumberFormat="1" applyBorder="1" applyAlignment="1">
      <alignment horizontal="center" vertical="center"/>
    </xf>
    <xf numFmtId="1" fontId="0" fillId="0" borderId="223" xfId="0" applyNumberFormat="1" applyBorder="1" applyAlignment="1">
      <alignment horizontal="center" vertical="center"/>
    </xf>
    <xf numFmtId="1" fontId="0" fillId="0" borderId="224" xfId="0" applyNumberFormat="1" applyBorder="1" applyAlignment="1">
      <alignment horizontal="center" vertical="center"/>
    </xf>
    <xf numFmtId="1" fontId="43" fillId="0" borderId="43" xfId="0" applyNumberFormat="1" applyFont="1" applyBorder="1" applyAlignment="1">
      <alignment horizontal="center" vertical="center"/>
    </xf>
    <xf numFmtId="1" fontId="0" fillId="0" borderId="226" xfId="0" applyNumberFormat="1" applyBorder="1" applyAlignment="1">
      <alignment horizontal="center" vertical="center"/>
    </xf>
    <xf numFmtId="1" fontId="0" fillId="0" borderId="227" xfId="0" applyNumberFormat="1" applyBorder="1" applyAlignment="1">
      <alignment horizontal="center" vertical="center"/>
    </xf>
    <xf numFmtId="1" fontId="0" fillId="0" borderId="228" xfId="0" applyNumberFormat="1" applyBorder="1" applyAlignment="1">
      <alignment horizontal="center" vertical="center"/>
    </xf>
    <xf numFmtId="0" fontId="164" fillId="57" borderId="203" xfId="0" applyFont="1" applyFill="1" applyBorder="1" applyAlignment="1">
      <alignment horizontal="center" vertical="center"/>
    </xf>
    <xf numFmtId="0" fontId="210" fillId="84" borderId="210" xfId="0" applyFont="1" applyFill="1" applyBorder="1" applyAlignment="1">
      <alignment vertical="center"/>
    </xf>
    <xf numFmtId="0" fontId="210" fillId="84" borderId="210" xfId="0" applyFont="1" applyFill="1" applyBorder="1"/>
    <xf numFmtId="0" fontId="211" fillId="0" borderId="0" xfId="0" applyFont="1"/>
    <xf numFmtId="0" fontId="0" fillId="0" borderId="148" xfId="0" applyBorder="1"/>
    <xf numFmtId="0" fontId="0" fillId="0" borderId="163" xfId="0" applyBorder="1"/>
    <xf numFmtId="0" fontId="212" fillId="84" borderId="210" xfId="0" applyFont="1" applyFill="1" applyBorder="1"/>
    <xf numFmtId="0" fontId="212" fillId="84" borderId="211" xfId="0" applyFont="1" applyFill="1" applyBorder="1"/>
    <xf numFmtId="0" fontId="176" fillId="88" borderId="0" xfId="0" applyFont="1" applyFill="1"/>
    <xf numFmtId="0" fontId="45" fillId="90" borderId="0" xfId="0" applyFont="1" applyFill="1"/>
    <xf numFmtId="0" fontId="53" fillId="90" borderId="71" xfId="0" applyFont="1" applyFill="1" applyBorder="1" applyAlignment="1">
      <alignment horizontal="center" vertical="center"/>
    </xf>
    <xf numFmtId="0" fontId="0" fillId="91" borderId="71" xfId="0" applyFill="1" applyBorder="1"/>
    <xf numFmtId="0" fontId="176" fillId="89" borderId="211" xfId="0" applyFont="1" applyFill="1" applyBorder="1"/>
    <xf numFmtId="0" fontId="0" fillId="0" borderId="82" xfId="0" applyBorder="1" applyAlignment="1">
      <alignment horizontal="center" vertical="center"/>
    </xf>
    <xf numFmtId="0" fontId="0" fillId="0" borderId="158" xfId="0" applyBorder="1"/>
    <xf numFmtId="0" fontId="0" fillId="0" borderId="229" xfId="0" applyBorder="1"/>
    <xf numFmtId="0" fontId="0" fillId="0" borderId="149" xfId="0" applyBorder="1"/>
    <xf numFmtId="0" fontId="0" fillId="0" borderId="142" xfId="0" applyBorder="1"/>
    <xf numFmtId="0" fontId="54" fillId="10" borderId="206" xfId="578" applyFont="1" applyFill="1" applyBorder="1" applyAlignment="1" applyProtection="1">
      <alignment horizontal="left" vertical="center"/>
      <protection locked="0"/>
    </xf>
    <xf numFmtId="0" fontId="54" fillId="10" borderId="206" xfId="578" applyFont="1" applyFill="1" applyBorder="1" applyAlignment="1" applyProtection="1">
      <alignment vertical="center"/>
      <protection locked="0"/>
    </xf>
    <xf numFmtId="0" fontId="12" fillId="40" borderId="207" xfId="0" applyFont="1" applyFill="1" applyBorder="1" applyAlignment="1">
      <alignment horizontal="center" vertical="center"/>
    </xf>
    <xf numFmtId="0" fontId="54" fillId="0" borderId="0" xfId="555" applyFont="1" applyAlignment="1">
      <alignment vertical="center"/>
    </xf>
    <xf numFmtId="0" fontId="54" fillId="57" borderId="206" xfId="0" applyFont="1" applyFill="1" applyBorder="1" applyAlignment="1">
      <alignment horizontal="center" vertical="center"/>
    </xf>
    <xf numFmtId="0" fontId="11" fillId="0" borderId="0" xfId="0" applyFont="1"/>
    <xf numFmtId="0" fontId="214" fillId="89" borderId="210" xfId="0" applyFont="1" applyFill="1" applyBorder="1"/>
    <xf numFmtId="0" fontId="209" fillId="87" borderId="0" xfId="0" applyFont="1" applyFill="1" applyAlignment="1">
      <alignment horizontal="center" vertical="center"/>
    </xf>
    <xf numFmtId="0" fontId="209" fillId="87" borderId="211" xfId="0" applyFont="1" applyFill="1" applyBorder="1" applyAlignment="1">
      <alignment horizontal="center" vertical="center"/>
    </xf>
    <xf numFmtId="0" fontId="176" fillId="88" borderId="212" xfId="0" applyFont="1" applyFill="1" applyBorder="1"/>
    <xf numFmtId="0" fontId="176" fillId="89" borderId="209" xfId="0" applyFont="1" applyFill="1" applyBorder="1"/>
    <xf numFmtId="0" fontId="176" fillId="88" borderId="209" xfId="0" applyFont="1" applyFill="1" applyBorder="1" applyAlignment="1">
      <alignment horizontal="right" vertical="center"/>
    </xf>
    <xf numFmtId="0" fontId="92" fillId="23" borderId="64" xfId="412" applyNumberFormat="1" applyFont="1" applyFill="1" applyBorder="1" applyAlignment="1" applyProtection="1">
      <alignment horizontal="center" vertical="center"/>
    </xf>
    <xf numFmtId="3" fontId="54" fillId="61" borderId="206" xfId="0" applyNumberFormat="1" applyFont="1" applyFill="1" applyBorder="1" applyAlignment="1">
      <alignment horizontal="center" vertical="center"/>
    </xf>
    <xf numFmtId="9" fontId="41" fillId="61" borderId="64" xfId="547" applyFont="1" applyFill="1" applyBorder="1" applyAlignment="1" applyProtection="1">
      <alignment horizontal="center" vertical="center"/>
    </xf>
    <xf numFmtId="1" fontId="0" fillId="86" borderId="64" xfId="0" applyNumberFormat="1" applyFill="1" applyBorder="1" applyAlignment="1" applyProtection="1">
      <alignment horizontal="center" vertical="center"/>
      <protection locked="0"/>
    </xf>
    <xf numFmtId="9" fontId="53" fillId="61" borderId="64" xfId="547" applyFont="1" applyFill="1" applyBorder="1" applyAlignment="1" applyProtection="1">
      <alignment horizontal="center" vertical="center"/>
    </xf>
    <xf numFmtId="168" fontId="53" fillId="0" borderId="64" xfId="547" applyNumberFormat="1" applyFont="1" applyFill="1" applyBorder="1" applyAlignment="1" applyProtection="1">
      <alignment horizontal="center" vertical="center"/>
    </xf>
    <xf numFmtId="168" fontId="53" fillId="10" borderId="64" xfId="547" applyNumberFormat="1" applyFont="1" applyFill="1" applyBorder="1" applyAlignment="1" applyProtection="1">
      <alignment horizontal="center" vertical="center"/>
      <protection locked="0"/>
    </xf>
    <xf numFmtId="168" fontId="53" fillId="10" borderId="70" xfId="547" applyNumberFormat="1" applyFont="1" applyFill="1" applyBorder="1" applyAlignment="1" applyProtection="1">
      <alignment horizontal="center" vertical="center"/>
      <protection locked="0"/>
    </xf>
    <xf numFmtId="166" fontId="0" fillId="15" borderId="64" xfId="0" applyNumberFormat="1" applyFill="1" applyBorder="1" applyAlignment="1">
      <alignment horizontal="center" vertical="center"/>
    </xf>
    <xf numFmtId="0" fontId="42" fillId="61" borderId="206" xfId="0" applyFont="1" applyFill="1" applyBorder="1" applyAlignment="1">
      <alignment horizontal="center" vertical="center"/>
    </xf>
    <xf numFmtId="0" fontId="0" fillId="0" borderId="66" xfId="0" applyBorder="1" applyAlignment="1">
      <alignment horizontal="center" vertical="center"/>
    </xf>
    <xf numFmtId="0" fontId="0" fillId="0" borderId="194" xfId="0" applyBorder="1"/>
    <xf numFmtId="0" fontId="0" fillId="0" borderId="193" xfId="0" applyBorder="1" applyAlignment="1">
      <alignment horizontal="center"/>
    </xf>
    <xf numFmtId="0" fontId="0" fillId="0" borderId="195" xfId="0" applyBorder="1"/>
    <xf numFmtId="0" fontId="0" fillId="0" borderId="164" xfId="0" applyBorder="1"/>
    <xf numFmtId="0" fontId="0" fillId="61" borderId="64" xfId="0" applyFill="1" applyBorder="1"/>
    <xf numFmtId="0" fontId="42" fillId="64" borderId="64" xfId="0" applyFont="1" applyFill="1" applyBorder="1" applyAlignment="1">
      <alignment horizontal="right" vertical="center" indent="1"/>
    </xf>
    <xf numFmtId="167" fontId="52" fillId="0" borderId="64" xfId="0" applyNumberFormat="1" applyFont="1" applyBorder="1" applyAlignment="1">
      <alignment horizontal="right" vertical="center" indent="2"/>
    </xf>
    <xf numFmtId="0" fontId="0" fillId="0" borderId="140" xfId="0" applyBorder="1" applyAlignment="1">
      <alignment horizontal="center" vertical="center"/>
    </xf>
    <xf numFmtId="0" fontId="0" fillId="0" borderId="173" xfId="0" applyBorder="1" applyAlignment="1">
      <alignment horizontal="center" vertical="center"/>
    </xf>
    <xf numFmtId="0" fontId="11" fillId="14" borderId="207" xfId="0" applyFont="1" applyFill="1" applyBorder="1" applyAlignment="1">
      <alignment horizontal="center" vertical="center" wrapText="1"/>
    </xf>
    <xf numFmtId="0" fontId="52" fillId="29" borderId="206" xfId="578" applyFont="1" applyFill="1" applyBorder="1" applyAlignment="1" applyProtection="1">
      <alignment horizontal="center" vertical="center" wrapText="1"/>
      <protection locked="0"/>
    </xf>
    <xf numFmtId="0" fontId="176" fillId="0" borderId="0" xfId="0" applyFont="1" applyAlignment="1">
      <alignment horizontal="right" vertical="center"/>
    </xf>
    <xf numFmtId="0" fontId="54" fillId="57" borderId="230" xfId="0" applyFont="1" applyFill="1" applyBorder="1" applyAlignment="1">
      <alignment horizontal="center" vertical="center"/>
    </xf>
    <xf numFmtId="0" fontId="53" fillId="57" borderId="197" xfId="0" applyFont="1" applyFill="1" applyBorder="1" applyAlignment="1">
      <alignment horizontal="center" vertical="center" wrapText="1"/>
    </xf>
    <xf numFmtId="0" fontId="52" fillId="57" borderId="208" xfId="0" applyFont="1" applyFill="1" applyBorder="1" applyAlignment="1">
      <alignment horizontal="center" vertical="center" wrapText="1"/>
    </xf>
    <xf numFmtId="0" fontId="54" fillId="57" borderId="206" xfId="0" applyFont="1" applyFill="1" applyBorder="1" applyAlignment="1">
      <alignment horizontal="center" vertical="center" wrapText="1"/>
    </xf>
    <xf numFmtId="0" fontId="54" fillId="57" borderId="240" xfId="0" applyFont="1" applyFill="1" applyBorder="1" applyAlignment="1">
      <alignment horizontal="center" vertical="center" wrapText="1"/>
    </xf>
    <xf numFmtId="4" fontId="54" fillId="19" borderId="206" xfId="0" applyNumberFormat="1" applyFont="1" applyFill="1" applyBorder="1" applyAlignment="1" applyProtection="1">
      <alignment horizontal="center" vertical="center" shrinkToFit="1"/>
      <protection locked="0"/>
    </xf>
    <xf numFmtId="0" fontId="54" fillId="0" borderId="206" xfId="0" applyFont="1" applyBorder="1" applyAlignment="1">
      <alignment horizontal="center" vertical="center" shrinkToFit="1"/>
    </xf>
    <xf numFmtId="167" fontId="52" fillId="0" borderId="240" xfId="0" applyNumberFormat="1" applyFont="1" applyBorder="1" applyAlignment="1">
      <alignment horizontal="center" shrinkToFit="1"/>
    </xf>
    <xf numFmtId="4" fontId="54" fillId="19" borderId="206" xfId="0" applyNumberFormat="1" applyFont="1" applyFill="1" applyBorder="1" applyAlignment="1" applyProtection="1">
      <alignment vertical="center" shrinkToFit="1"/>
      <protection locked="0"/>
    </xf>
    <xf numFmtId="167" fontId="52" fillId="0" borderId="240" xfId="0" applyNumberFormat="1" applyFont="1" applyBorder="1" applyAlignment="1">
      <alignment horizontal="center" vertical="center" shrinkToFit="1"/>
    </xf>
    <xf numFmtId="167" fontId="52" fillId="0" borderId="240" xfId="0" applyNumberFormat="1" applyFont="1" applyBorder="1" applyAlignment="1">
      <alignment vertical="center" shrinkToFit="1"/>
    </xf>
    <xf numFmtId="167" fontId="52" fillId="0" borderId="245" xfId="0" applyNumberFormat="1" applyFont="1" applyBorder="1" applyAlignment="1">
      <alignment vertical="center" shrinkToFit="1"/>
    </xf>
    <xf numFmtId="0" fontId="43" fillId="0" borderId="0" xfId="0" applyFont="1" applyAlignment="1">
      <alignment horizontal="center" vertical="center" wrapText="1"/>
    </xf>
    <xf numFmtId="0" fontId="53" fillId="0" borderId="0" xfId="0" applyFont="1" applyAlignment="1">
      <alignment horizontal="center"/>
    </xf>
    <xf numFmtId="0" fontId="67" fillId="0" borderId="0" xfId="0" applyFont="1" applyAlignment="1">
      <alignment horizontal="center" vertical="center"/>
    </xf>
    <xf numFmtId="49" fontId="42" fillId="0" borderId="0" xfId="0" applyNumberFormat="1" applyFont="1" applyAlignment="1">
      <alignment horizontal="center" vertical="center"/>
    </xf>
    <xf numFmtId="1" fontId="42" fillId="0" borderId="0" xfId="0" applyNumberFormat="1" applyFont="1" applyAlignment="1">
      <alignment horizontal="center" vertical="center"/>
    </xf>
    <xf numFmtId="0" fontId="53" fillId="0" borderId="0" xfId="0" applyFont="1" applyAlignment="1">
      <alignment vertical="center"/>
    </xf>
    <xf numFmtId="1" fontId="54" fillId="0" borderId="0" xfId="0" applyNumberFormat="1" applyFont="1" applyAlignment="1">
      <alignment horizontal="center" vertical="center"/>
    </xf>
    <xf numFmtId="0" fontId="43" fillId="0" borderId="0" xfId="564" applyFont="1" applyAlignment="1">
      <alignment horizontal="center" vertical="center"/>
    </xf>
    <xf numFmtId="49" fontId="43" fillId="0" borderId="0" xfId="564" applyNumberFormat="1" applyFont="1" applyAlignment="1">
      <alignment horizontal="center" vertical="center"/>
    </xf>
    <xf numFmtId="0" fontId="54" fillId="0" borderId="174" xfId="555" applyFont="1" applyBorder="1" applyAlignment="1">
      <alignment vertical="center"/>
    </xf>
    <xf numFmtId="0" fontId="54" fillId="0" borderId="257" xfId="555" applyFont="1" applyBorder="1" applyAlignment="1">
      <alignment vertical="center"/>
    </xf>
    <xf numFmtId="0" fontId="54" fillId="0" borderId="258" xfId="555" applyFont="1" applyBorder="1" applyAlignment="1">
      <alignment vertical="center"/>
    </xf>
    <xf numFmtId="0" fontId="54" fillId="0" borderId="259" xfId="555" applyFont="1" applyBorder="1" applyAlignment="1">
      <alignment vertical="center"/>
    </xf>
    <xf numFmtId="0" fontId="0" fillId="0" borderId="232" xfId="0" applyBorder="1" applyAlignment="1">
      <alignment horizontal="center"/>
    </xf>
    <xf numFmtId="0" fontId="0" fillId="0" borderId="262" xfId="0" applyBorder="1" applyAlignment="1">
      <alignment horizontal="center"/>
    </xf>
    <xf numFmtId="0" fontId="0" fillId="0" borderId="263" xfId="0" applyBorder="1" applyAlignment="1">
      <alignment horizontal="center"/>
    </xf>
    <xf numFmtId="0" fontId="0" fillId="0" borderId="206" xfId="0" applyBorder="1" applyAlignment="1">
      <alignment horizontal="center"/>
    </xf>
    <xf numFmtId="0" fontId="0" fillId="0" borderId="126" xfId="0" applyBorder="1" applyAlignment="1">
      <alignment horizontal="center"/>
    </xf>
    <xf numFmtId="0" fontId="0" fillId="0" borderId="143" xfId="0" applyBorder="1" applyAlignment="1">
      <alignment horizontal="center"/>
    </xf>
    <xf numFmtId="0" fontId="0" fillId="0" borderId="127" xfId="0" applyBorder="1" applyAlignment="1">
      <alignment horizontal="center"/>
    </xf>
    <xf numFmtId="0" fontId="0" fillId="0" borderId="194" xfId="0" applyBorder="1" applyAlignment="1">
      <alignment horizontal="center"/>
    </xf>
    <xf numFmtId="0" fontId="0" fillId="0" borderId="229" xfId="0" applyBorder="1" applyAlignment="1">
      <alignment horizontal="center"/>
    </xf>
    <xf numFmtId="0" fontId="0" fillId="0" borderId="163" xfId="0" applyBorder="1" applyAlignment="1">
      <alignment horizontal="center"/>
    </xf>
    <xf numFmtId="0" fontId="0" fillId="0" borderId="164" xfId="0" applyBorder="1" applyAlignment="1">
      <alignment horizontal="center"/>
    </xf>
    <xf numFmtId="0" fontId="0" fillId="0" borderId="255" xfId="0" applyBorder="1" applyAlignment="1">
      <alignment horizontal="center"/>
    </xf>
    <xf numFmtId="0" fontId="45" fillId="14" borderId="254" xfId="0" applyFont="1" applyFill="1" applyBorder="1" applyAlignment="1">
      <alignment horizontal="center" vertical="center"/>
    </xf>
    <xf numFmtId="0" fontId="45" fillId="0" borderId="264" xfId="0" applyFont="1" applyBorder="1" applyAlignment="1">
      <alignment horizontal="center" vertical="center"/>
    </xf>
    <xf numFmtId="0" fontId="42" fillId="0" borderId="254" xfId="0" applyFont="1" applyBorder="1" applyAlignment="1">
      <alignment horizontal="center" vertical="center"/>
    </xf>
    <xf numFmtId="0" fontId="52" fillId="20" borderId="0" xfId="0" applyFont="1" applyFill="1" applyAlignment="1">
      <alignment vertical="center" wrapText="1"/>
    </xf>
    <xf numFmtId="0" fontId="52" fillId="20" borderId="80" xfId="0" applyFont="1" applyFill="1" applyBorder="1" applyAlignment="1">
      <alignment vertical="center" wrapText="1"/>
    </xf>
    <xf numFmtId="0" fontId="52" fillId="57" borderId="0" xfId="0" applyFont="1" applyFill="1" applyAlignment="1">
      <alignment horizontal="center" vertical="center"/>
    </xf>
    <xf numFmtId="0" fontId="52" fillId="57" borderId="0" xfId="0" applyFont="1" applyFill="1" applyAlignment="1">
      <alignment horizontal="center" vertical="center" wrapText="1"/>
    </xf>
    <xf numFmtId="0" fontId="54" fillId="57" borderId="0" xfId="0" applyFont="1" applyFill="1" applyAlignment="1">
      <alignment horizontal="center" vertical="center"/>
    </xf>
    <xf numFmtId="0" fontId="126" fillId="0" borderId="0" xfId="555" applyFont="1" applyAlignment="1">
      <alignment horizontal="center" vertical="center"/>
    </xf>
    <xf numFmtId="0" fontId="3" fillId="0" borderId="0" xfId="0" applyFont="1" applyAlignment="1">
      <alignment horizontal="center" vertical="center"/>
    </xf>
    <xf numFmtId="0" fontId="3" fillId="0" borderId="0" xfId="0" applyFont="1"/>
    <xf numFmtId="0" fontId="54" fillId="0" borderId="229" xfId="555" applyFont="1" applyBorder="1" applyAlignment="1">
      <alignment vertical="center"/>
    </xf>
    <xf numFmtId="0" fontId="43" fillId="0" borderId="235" xfId="564" applyFont="1" applyBorder="1" applyAlignment="1">
      <alignment horizontal="center" vertical="center"/>
    </xf>
    <xf numFmtId="0" fontId="54" fillId="0" borderId="0" xfId="0" applyFont="1" applyAlignment="1">
      <alignment vertical="center"/>
    </xf>
    <xf numFmtId="49" fontId="43" fillId="0" borderId="234" xfId="564" applyNumberFormat="1" applyFont="1" applyBorder="1" applyAlignment="1">
      <alignment horizontal="center" vertical="center"/>
    </xf>
    <xf numFmtId="0" fontId="43" fillId="0" borderId="234" xfId="564" applyFont="1" applyBorder="1" applyAlignment="1">
      <alignment horizontal="center" vertical="center"/>
    </xf>
    <xf numFmtId="0" fontId="0" fillId="0" borderId="286" xfId="0" applyBorder="1" applyAlignment="1">
      <alignment horizontal="left"/>
    </xf>
    <xf numFmtId="0" fontId="0" fillId="0" borderId="274" xfId="0" applyBorder="1" applyAlignment="1">
      <alignment horizontal="center"/>
    </xf>
    <xf numFmtId="0" fontId="0" fillId="0" borderId="233" xfId="0" applyBorder="1" applyAlignment="1">
      <alignment horizontal="center"/>
    </xf>
    <xf numFmtId="0" fontId="0" fillId="0" borderId="287" xfId="0" applyBorder="1" applyAlignment="1">
      <alignment horizontal="center"/>
    </xf>
    <xf numFmtId="0" fontId="0" fillId="0" borderId="288" xfId="0" applyBorder="1" applyAlignment="1">
      <alignment horizontal="left"/>
    </xf>
    <xf numFmtId="0" fontId="0" fillId="0" borderId="192" xfId="0" applyBorder="1" applyAlignment="1">
      <alignment horizontal="center"/>
    </xf>
    <xf numFmtId="0" fontId="0" fillId="0" borderId="196" xfId="0" applyBorder="1" applyAlignment="1">
      <alignment horizontal="center"/>
    </xf>
    <xf numFmtId="0" fontId="0" fillId="0" borderId="265" xfId="0" applyBorder="1" applyAlignment="1">
      <alignment horizontal="center"/>
    </xf>
    <xf numFmtId="0" fontId="0" fillId="0" borderId="289" xfId="0" applyBorder="1" applyAlignment="1">
      <alignment horizontal="center"/>
    </xf>
    <xf numFmtId="0" fontId="0" fillId="0" borderId="290" xfId="0" applyBorder="1" applyAlignment="1">
      <alignment horizontal="center"/>
    </xf>
    <xf numFmtId="0" fontId="0" fillId="69" borderId="288" xfId="0" applyFill="1" applyBorder="1" applyAlignment="1">
      <alignment horizontal="left"/>
    </xf>
    <xf numFmtId="0" fontId="0" fillId="69" borderId="192" xfId="0" applyFill="1" applyBorder="1" applyAlignment="1">
      <alignment horizontal="center"/>
    </xf>
    <xf numFmtId="0" fontId="0" fillId="69" borderId="206" xfId="0" applyFill="1" applyBorder="1" applyAlignment="1">
      <alignment horizontal="center"/>
    </xf>
    <xf numFmtId="0" fontId="0" fillId="69" borderId="196" xfId="0" applyFill="1" applyBorder="1" applyAlignment="1">
      <alignment horizontal="center"/>
    </xf>
    <xf numFmtId="0" fontId="0" fillId="69" borderId="265" xfId="0" applyFill="1" applyBorder="1"/>
    <xf numFmtId="0" fontId="0" fillId="69" borderId="290" xfId="0" applyFill="1" applyBorder="1" applyAlignment="1">
      <alignment horizontal="center"/>
    </xf>
    <xf numFmtId="0" fontId="0" fillId="69" borderId="265" xfId="0" applyFill="1" applyBorder="1" applyAlignment="1">
      <alignment horizontal="center"/>
    </xf>
    <xf numFmtId="0" fontId="0" fillId="0" borderId="292" xfId="0" applyBorder="1" applyAlignment="1">
      <alignment horizontal="left"/>
    </xf>
    <xf numFmtId="0" fontId="0" fillId="0" borderId="144" xfId="0" applyBorder="1" applyAlignment="1">
      <alignment horizontal="center"/>
    </xf>
    <xf numFmtId="0" fontId="0" fillId="0" borderId="278" xfId="0" applyBorder="1" applyAlignment="1">
      <alignment horizontal="center"/>
    </xf>
    <xf numFmtId="0" fontId="0" fillId="0" borderId="172" xfId="0" applyBorder="1" applyAlignment="1">
      <alignment horizontal="center"/>
    </xf>
    <xf numFmtId="0" fontId="0" fillId="0" borderId="282" xfId="0" applyBorder="1" applyAlignment="1">
      <alignment horizontal="center"/>
    </xf>
    <xf numFmtId="0" fontId="0" fillId="0" borderId="293" xfId="0" applyBorder="1" applyAlignment="1">
      <alignment horizontal="center"/>
    </xf>
    <xf numFmtId="0" fontId="0" fillId="0" borderId="294" xfId="0" applyBorder="1" applyAlignment="1">
      <alignment horizontal="center"/>
    </xf>
    <xf numFmtId="0" fontId="0" fillId="0" borderId="295" xfId="0" applyBorder="1" applyAlignment="1">
      <alignment horizontal="center"/>
    </xf>
    <xf numFmtId="0" fontId="0" fillId="0" borderId="296" xfId="0" applyBorder="1" applyAlignment="1">
      <alignment horizontal="center"/>
    </xf>
    <xf numFmtId="0" fontId="0" fillId="0" borderId="297" xfId="0" applyBorder="1" applyAlignment="1">
      <alignment horizontal="center"/>
    </xf>
    <xf numFmtId="0" fontId="0" fillId="0" borderId="298" xfId="0" applyBorder="1" applyAlignment="1">
      <alignment horizontal="center"/>
    </xf>
    <xf numFmtId="0" fontId="0" fillId="0" borderId="248" xfId="0" applyBorder="1" applyAlignment="1">
      <alignment horizontal="center"/>
    </xf>
    <xf numFmtId="0" fontId="0" fillId="0" borderId="249" xfId="0" applyBorder="1" applyAlignment="1">
      <alignment horizontal="center"/>
    </xf>
    <xf numFmtId="0" fontId="0" fillId="0" borderId="299" xfId="0" applyBorder="1" applyAlignment="1">
      <alignment horizontal="center"/>
    </xf>
    <xf numFmtId="0" fontId="0" fillId="0" borderId="300" xfId="0" applyBorder="1" applyAlignment="1">
      <alignment horizontal="center"/>
    </xf>
    <xf numFmtId="0" fontId="0" fillId="0" borderId="301" xfId="0" applyBorder="1" applyAlignment="1">
      <alignment horizontal="center"/>
    </xf>
    <xf numFmtId="0" fontId="0" fillId="0" borderId="302" xfId="0" applyBorder="1" applyAlignment="1">
      <alignment horizontal="center"/>
    </xf>
    <xf numFmtId="0" fontId="0" fillId="0" borderId="272" xfId="0" applyBorder="1" applyAlignment="1">
      <alignment horizontal="left"/>
    </xf>
    <xf numFmtId="0" fontId="0" fillId="0" borderId="260" xfId="0" applyBorder="1" applyAlignment="1">
      <alignment horizontal="center"/>
    </xf>
    <xf numFmtId="0" fontId="0" fillId="0" borderId="303" xfId="0" applyBorder="1" applyAlignment="1">
      <alignment horizontal="left"/>
    </xf>
    <xf numFmtId="0" fontId="0" fillId="0" borderId="280" xfId="0" applyBorder="1" applyAlignment="1">
      <alignment horizontal="left"/>
    </xf>
    <xf numFmtId="0" fontId="0" fillId="0" borderId="281" xfId="0" applyBorder="1" applyAlignment="1">
      <alignment horizontal="center"/>
    </xf>
    <xf numFmtId="0" fontId="0" fillId="69" borderId="286" xfId="0" applyFill="1" applyBorder="1" applyAlignment="1">
      <alignment horizontal="left"/>
    </xf>
    <xf numFmtId="0" fontId="0" fillId="69" borderId="232" xfId="0" applyFill="1" applyBorder="1" applyAlignment="1">
      <alignment horizontal="center"/>
    </xf>
    <xf numFmtId="0" fontId="0" fillId="69" borderId="262" xfId="0" applyFill="1" applyBorder="1" applyAlignment="1">
      <alignment horizontal="center"/>
    </xf>
    <xf numFmtId="0" fontId="0" fillId="69" borderId="263" xfId="0" applyFill="1" applyBorder="1" applyAlignment="1">
      <alignment horizontal="center"/>
    </xf>
    <xf numFmtId="0" fontId="0" fillId="69" borderId="193" xfId="0" applyFill="1" applyBorder="1" applyAlignment="1">
      <alignment horizontal="center"/>
    </xf>
    <xf numFmtId="0" fontId="0" fillId="69" borderId="233" xfId="0" applyFill="1" applyBorder="1" applyAlignment="1">
      <alignment horizontal="center"/>
    </xf>
    <xf numFmtId="0" fontId="0" fillId="69" borderId="260" xfId="0" applyFill="1" applyBorder="1" applyAlignment="1">
      <alignment horizontal="center"/>
    </xf>
    <xf numFmtId="0" fontId="0" fillId="69" borderId="274" xfId="0" applyFill="1" applyBorder="1" applyAlignment="1">
      <alignment horizontal="center"/>
    </xf>
    <xf numFmtId="0" fontId="0" fillId="69" borderId="287" xfId="0" applyFill="1" applyBorder="1" applyAlignment="1">
      <alignment horizontal="center"/>
    </xf>
    <xf numFmtId="0" fontId="0" fillId="69" borderId="288" xfId="0" applyFill="1" applyBorder="1" applyAlignment="1">
      <alignment horizontal="left" vertical="center"/>
    </xf>
    <xf numFmtId="0" fontId="0" fillId="69" borderId="192" xfId="0" applyFill="1" applyBorder="1" applyAlignment="1">
      <alignment horizontal="center" vertical="center"/>
    </xf>
    <xf numFmtId="0" fontId="0" fillId="69" borderId="206" xfId="0" applyFill="1" applyBorder="1" applyAlignment="1">
      <alignment horizontal="center" vertical="center"/>
    </xf>
    <xf numFmtId="0" fontId="0" fillId="69" borderId="196" xfId="0" applyFill="1" applyBorder="1" applyAlignment="1">
      <alignment horizontal="center" vertical="center"/>
    </xf>
    <xf numFmtId="0" fontId="0" fillId="69" borderId="229" xfId="0" applyFill="1" applyBorder="1" applyAlignment="1">
      <alignment vertical="center" wrapText="1"/>
    </xf>
    <xf numFmtId="0" fontId="0" fillId="69" borderId="0" xfId="0" applyFill="1" applyAlignment="1">
      <alignment vertical="center" wrapText="1"/>
    </xf>
    <xf numFmtId="0" fontId="0" fillId="69" borderId="149" xfId="0" applyFill="1" applyBorder="1" applyAlignment="1">
      <alignment vertical="center" wrapText="1"/>
    </xf>
    <xf numFmtId="0" fontId="0" fillId="69" borderId="304" xfId="0" applyFill="1" applyBorder="1" applyAlignment="1">
      <alignment horizontal="center"/>
    </xf>
    <xf numFmtId="0" fontId="0" fillId="69" borderId="305" xfId="0" applyFill="1" applyBorder="1" applyAlignment="1">
      <alignment horizontal="center"/>
    </xf>
    <xf numFmtId="0" fontId="0" fillId="69" borderId="306" xfId="0" applyFill="1" applyBorder="1" applyAlignment="1">
      <alignment horizontal="center"/>
    </xf>
    <xf numFmtId="0" fontId="0" fillId="0" borderId="304" xfId="0" applyBorder="1" applyAlignment="1">
      <alignment horizontal="center"/>
    </xf>
    <xf numFmtId="0" fontId="0" fillId="0" borderId="305" xfId="0" applyBorder="1" applyAlignment="1">
      <alignment horizontal="center"/>
    </xf>
    <xf numFmtId="0" fontId="0" fillId="0" borderId="306" xfId="0" applyBorder="1" applyAlignment="1">
      <alignment horizontal="center"/>
    </xf>
    <xf numFmtId="0" fontId="0" fillId="69" borderId="265" xfId="0" applyFill="1" applyBorder="1" applyAlignment="1">
      <alignment horizontal="center" vertical="center"/>
    </xf>
    <xf numFmtId="0" fontId="0" fillId="69" borderId="255" xfId="0" applyFill="1" applyBorder="1" applyAlignment="1">
      <alignment horizontal="center"/>
    </xf>
    <xf numFmtId="0" fontId="0" fillId="0" borderId="307" xfId="0" applyBorder="1" applyAlignment="1">
      <alignment horizontal="center"/>
    </xf>
    <xf numFmtId="0" fontId="0" fillId="0" borderId="266" xfId="0" applyBorder="1" applyAlignment="1">
      <alignment horizontal="center"/>
    </xf>
    <xf numFmtId="0" fontId="0" fillId="0" borderId="308" xfId="0" applyBorder="1" applyAlignment="1">
      <alignment horizontal="left"/>
    </xf>
    <xf numFmtId="0" fontId="0" fillId="0" borderId="309" xfId="0" applyBorder="1" applyAlignment="1">
      <alignment horizontal="center"/>
    </xf>
    <xf numFmtId="0" fontId="0" fillId="0" borderId="310" xfId="0" applyBorder="1" applyAlignment="1">
      <alignment horizontal="center"/>
    </xf>
    <xf numFmtId="0" fontId="0" fillId="0" borderId="311" xfId="0" applyBorder="1" applyAlignment="1">
      <alignment horizontal="center"/>
    </xf>
    <xf numFmtId="0" fontId="0" fillId="0" borderId="312" xfId="0" applyBorder="1" applyAlignment="1">
      <alignment horizontal="center"/>
    </xf>
    <xf numFmtId="0" fontId="0" fillId="0" borderId="313" xfId="0" applyBorder="1" applyAlignment="1">
      <alignment horizontal="center"/>
    </xf>
    <xf numFmtId="0" fontId="0" fillId="0" borderId="314" xfId="0" applyBorder="1" applyAlignment="1">
      <alignment horizontal="left"/>
    </xf>
    <xf numFmtId="0" fontId="0" fillId="0" borderId="315" xfId="0" applyBorder="1" applyAlignment="1">
      <alignment horizontal="center"/>
    </xf>
    <xf numFmtId="0" fontId="0" fillId="0" borderId="316" xfId="0" applyBorder="1" applyAlignment="1">
      <alignment horizontal="center"/>
    </xf>
    <xf numFmtId="0" fontId="45" fillId="0" borderId="236" xfId="0" applyFont="1" applyBorder="1"/>
    <xf numFmtId="0" fontId="54" fillId="0" borderId="0" xfId="0" applyFont="1" applyAlignment="1">
      <alignment horizontal="center" vertical="center" wrapText="1"/>
    </xf>
    <xf numFmtId="0" fontId="69" fillId="82" borderId="210" xfId="0" applyFont="1" applyFill="1" applyBorder="1" applyAlignment="1">
      <alignment horizontal="left" vertical="center"/>
    </xf>
    <xf numFmtId="0" fontId="209" fillId="92" borderId="0" xfId="0" applyFont="1" applyFill="1" applyAlignment="1">
      <alignment horizontal="left"/>
    </xf>
    <xf numFmtId="0" fontId="209" fillId="92" borderId="211" xfId="0" applyFont="1" applyFill="1" applyBorder="1" applyAlignment="1">
      <alignment horizontal="left"/>
    </xf>
    <xf numFmtId="0" fontId="54" fillId="81" borderId="317" xfId="555" applyFont="1" applyFill="1" applyBorder="1" applyAlignment="1">
      <alignment vertical="center"/>
    </xf>
    <xf numFmtId="0" fontId="69" fillId="81" borderId="213" xfId="0" applyFont="1" applyFill="1" applyBorder="1" applyAlignment="1">
      <alignment horizontal="left" vertical="center"/>
    </xf>
    <xf numFmtId="0" fontId="54" fillId="82" borderId="317" xfId="555" applyFont="1" applyFill="1" applyBorder="1" applyAlignment="1">
      <alignment vertical="center"/>
    </xf>
    <xf numFmtId="0" fontId="69" fillId="81" borderId="210" xfId="0" applyFont="1" applyFill="1" applyBorder="1" applyAlignment="1">
      <alignment horizontal="left" vertical="center"/>
    </xf>
    <xf numFmtId="0" fontId="175" fillId="0" borderId="0" xfId="0" applyFont="1" applyAlignment="1">
      <alignment horizontal="left"/>
    </xf>
    <xf numFmtId="0" fontId="52" fillId="57" borderId="0" xfId="0" applyFont="1" applyFill="1" applyAlignment="1">
      <alignment horizontal="left" vertical="center" indent="1"/>
    </xf>
    <xf numFmtId="0" fontId="52" fillId="57" borderId="0" xfId="0" applyFont="1" applyFill="1" applyAlignment="1">
      <alignment vertical="center"/>
    </xf>
    <xf numFmtId="0" fontId="52" fillId="57" borderId="0" xfId="0" applyFont="1" applyFill="1" applyAlignment="1">
      <alignment horizontal="center" vertical="center" shrinkToFit="1"/>
    </xf>
    <xf numFmtId="0" fontId="54" fillId="57" borderId="0" xfId="0" applyFont="1" applyFill="1" applyAlignment="1">
      <alignment horizontal="center" vertical="center" shrinkToFit="1"/>
    </xf>
    <xf numFmtId="0" fontId="54" fillId="0" borderId="0" xfId="564" applyFont="1" applyAlignment="1">
      <alignment horizontal="center" vertical="center"/>
    </xf>
    <xf numFmtId="0" fontId="52" fillId="0" borderId="0" xfId="564" applyFont="1" applyAlignment="1">
      <alignment horizontal="center" vertical="center"/>
    </xf>
    <xf numFmtId="0" fontId="52" fillId="18" borderId="0" xfId="564" applyFont="1" applyFill="1" applyAlignment="1">
      <alignment horizontal="center" vertical="center"/>
    </xf>
    <xf numFmtId="1" fontId="54" fillId="0" borderId="0" xfId="564" applyNumberFormat="1" applyFont="1" applyAlignment="1">
      <alignment horizontal="center" vertical="center"/>
    </xf>
    <xf numFmtId="0" fontId="126" fillId="0" borderId="0" xfId="564" applyFont="1" applyAlignment="1">
      <alignment horizontal="center" vertical="center"/>
    </xf>
    <xf numFmtId="0" fontId="61" fillId="57" borderId="0" xfId="0" applyFont="1" applyFill="1" applyAlignment="1">
      <alignment horizontal="left" vertical="center" indent="1"/>
    </xf>
    <xf numFmtId="0" fontId="54" fillId="57" borderId="0" xfId="0" applyFont="1" applyFill="1" applyAlignment="1">
      <alignment horizontal="center" vertical="center" wrapText="1"/>
    </xf>
    <xf numFmtId="0" fontId="54" fillId="0" borderId="0" xfId="555" applyFont="1" applyAlignment="1">
      <alignment horizontal="left" vertical="center" indent="1"/>
    </xf>
    <xf numFmtId="0" fontId="54" fillId="0" borderId="0" xfId="555" applyFont="1"/>
    <xf numFmtId="0" fontId="54" fillId="0" borderId="0" xfId="555" applyFont="1" applyAlignment="1">
      <alignment horizontal="center" vertical="center"/>
    </xf>
    <xf numFmtId="0" fontId="52" fillId="0" borderId="0" xfId="555" applyFont="1" applyAlignment="1">
      <alignment horizontal="center" vertical="center"/>
    </xf>
    <xf numFmtId="0" fontId="54" fillId="0" borderId="0" xfId="409" applyFont="1" applyBorder="1" applyAlignment="1">
      <alignment horizontal="center" vertical="center"/>
    </xf>
    <xf numFmtId="1" fontId="54" fillId="0" borderId="0" xfId="555" applyNumberFormat="1" applyFont="1" applyAlignment="1">
      <alignment horizontal="center" vertical="center"/>
    </xf>
    <xf numFmtId="49" fontId="52" fillId="0" borderId="0" xfId="555" applyNumberFormat="1" applyFont="1" applyAlignment="1">
      <alignment horizontal="center" vertical="center"/>
    </xf>
    <xf numFmtId="1" fontId="52" fillId="0" borderId="0" xfId="555" applyNumberFormat="1" applyFont="1" applyAlignment="1">
      <alignment horizontal="center" vertical="center"/>
    </xf>
    <xf numFmtId="0" fontId="54" fillId="57" borderId="0" xfId="0" applyFont="1" applyFill="1" applyAlignment="1">
      <alignment vertical="center"/>
    </xf>
    <xf numFmtId="0" fontId="126" fillId="0" borderId="0" xfId="0" applyFont="1" applyAlignment="1">
      <alignment horizontal="center" vertical="center"/>
    </xf>
    <xf numFmtId="49" fontId="52" fillId="0" borderId="0" xfId="0" applyNumberFormat="1" applyFont="1" applyAlignment="1">
      <alignment horizontal="center" vertical="center"/>
    </xf>
    <xf numFmtId="1" fontId="52" fillId="0" borderId="0" xfId="0" applyNumberFormat="1" applyFont="1" applyAlignment="1">
      <alignment horizontal="center" vertical="center"/>
    </xf>
    <xf numFmtId="1" fontId="54" fillId="0" borderId="0" xfId="0" applyNumberFormat="1" applyFont="1" applyAlignment="1">
      <alignment horizontal="left" vertical="center"/>
    </xf>
    <xf numFmtId="1" fontId="52" fillId="57" borderId="0" xfId="0" applyNumberFormat="1" applyFont="1" applyFill="1" applyAlignment="1">
      <alignment horizontal="center" vertical="center"/>
    </xf>
    <xf numFmtId="0" fontId="52" fillId="0" borderId="0" xfId="0" quotePrefix="1" applyFont="1" applyAlignment="1">
      <alignment horizontal="center" vertical="center"/>
    </xf>
    <xf numFmtId="0" fontId="52" fillId="0" borderId="0" xfId="0" applyFont="1" applyAlignment="1">
      <alignment horizontal="left"/>
    </xf>
    <xf numFmtId="49" fontId="54" fillId="0" borderId="0" xfId="0" applyNumberFormat="1" applyFont="1" applyAlignment="1">
      <alignment horizontal="center" vertical="center"/>
    </xf>
    <xf numFmtId="49" fontId="54" fillId="57" borderId="0" xfId="0" applyNumberFormat="1" applyFont="1" applyFill="1" applyAlignment="1">
      <alignment horizontal="center" vertical="center"/>
    </xf>
    <xf numFmtId="1" fontId="54" fillId="0" borderId="0" xfId="0" quotePrefix="1" applyNumberFormat="1" applyFont="1" applyAlignment="1">
      <alignment horizontal="center" vertical="center"/>
    </xf>
    <xf numFmtId="1" fontId="54" fillId="57" borderId="0" xfId="0" applyNumberFormat="1" applyFont="1" applyFill="1" applyAlignment="1">
      <alignment horizontal="center" vertical="center"/>
    </xf>
    <xf numFmtId="0" fontId="175" fillId="0" borderId="0" xfId="0" applyFont="1" applyAlignment="1">
      <alignment vertical="center" wrapText="1"/>
    </xf>
    <xf numFmtId="0" fontId="52" fillId="0" borderId="0" xfId="0" applyFont="1" applyAlignment="1">
      <alignment horizontal="center" vertical="center" wrapText="1"/>
    </xf>
    <xf numFmtId="0" fontId="0" fillId="0" borderId="276" xfId="0" applyBorder="1" applyAlignment="1">
      <alignment horizontal="center"/>
    </xf>
    <xf numFmtId="0" fontId="0" fillId="69" borderId="276" xfId="0" applyFill="1" applyBorder="1" applyAlignment="1">
      <alignment horizontal="center"/>
    </xf>
    <xf numFmtId="0" fontId="0" fillId="0" borderId="318" xfId="0" applyBorder="1" applyAlignment="1">
      <alignment horizontal="center"/>
    </xf>
    <xf numFmtId="0" fontId="52" fillId="0" borderId="0" xfId="0" applyFont="1" applyAlignment="1">
      <alignment horizontal="left" vertical="center" indent="1"/>
    </xf>
    <xf numFmtId="0" fontId="52" fillId="0" borderId="0" xfId="0" applyFont="1" applyAlignment="1">
      <alignment vertical="center"/>
    </xf>
    <xf numFmtId="0" fontId="52" fillId="0" borderId="0" xfId="0" applyFont="1" applyAlignment="1">
      <alignment horizontal="center" vertical="center" shrinkToFit="1"/>
    </xf>
    <xf numFmtId="0" fontId="54" fillId="0" borderId="0" xfId="0" applyFont="1" applyAlignment="1">
      <alignment horizontal="center" vertical="center" shrinkToFit="1"/>
    </xf>
    <xf numFmtId="0" fontId="54" fillId="0" borderId="0" xfId="0" applyFont="1" applyAlignment="1">
      <alignment horizontal="center" vertical="center" wrapText="1" shrinkToFit="1"/>
    </xf>
    <xf numFmtId="0" fontId="54" fillId="0" borderId="0" xfId="409" applyFont="1" applyBorder="1" applyAlignment="1" applyProtection="1">
      <alignment horizontal="center" vertical="center"/>
    </xf>
    <xf numFmtId="0" fontId="52" fillId="0" borderId="0" xfId="0" applyFont="1" applyAlignment="1">
      <alignment horizontal="center" vertical="center" wrapText="1" shrinkToFit="1"/>
    </xf>
    <xf numFmtId="0" fontId="52" fillId="0" borderId="0" xfId="564" quotePrefix="1" applyFont="1" applyAlignment="1">
      <alignment horizontal="center" vertical="center"/>
    </xf>
    <xf numFmtId="0" fontId="61" fillId="0" borderId="0" xfId="0" applyFont="1" applyAlignment="1">
      <alignment horizontal="left" vertical="center" indent="1"/>
    </xf>
    <xf numFmtId="0" fontId="54" fillId="0" borderId="0" xfId="0" applyFont="1" applyAlignment="1">
      <alignment horizontal="center"/>
    </xf>
    <xf numFmtId="0" fontId="48" fillId="0" borderId="0" xfId="564" applyFont="1" applyAlignment="1">
      <alignment horizontal="left" vertical="center"/>
    </xf>
    <xf numFmtId="0" fontId="54" fillId="0" borderId="0" xfId="0" applyFont="1" applyAlignment="1">
      <alignment horizontal="right" vertical="center"/>
    </xf>
    <xf numFmtId="0" fontId="112" fillId="0" borderId="0" xfId="0" applyFont="1" applyAlignment="1">
      <alignment vertical="center"/>
    </xf>
    <xf numFmtId="0" fontId="41" fillId="0" borderId="0" xfId="564" applyFont="1" applyAlignment="1">
      <alignment horizontal="left" vertical="center"/>
    </xf>
    <xf numFmtId="16" fontId="54" fillId="0" borderId="0" xfId="0" quotePrefix="1" applyNumberFormat="1" applyFont="1" applyAlignment="1">
      <alignment horizontal="center" vertical="center"/>
    </xf>
    <xf numFmtId="16" fontId="54" fillId="0" borderId="0" xfId="0" applyNumberFormat="1" applyFont="1" applyAlignment="1">
      <alignment horizontal="center" vertical="center"/>
    </xf>
    <xf numFmtId="0" fontId="65" fillId="0" borderId="0" xfId="0" applyFont="1" applyAlignment="1">
      <alignment vertical="center" wrapText="1"/>
    </xf>
    <xf numFmtId="0" fontId="61" fillId="0" borderId="0" xfId="0" applyFont="1" applyAlignment="1">
      <alignment vertical="center" wrapText="1"/>
    </xf>
    <xf numFmtId="0" fontId="65" fillId="0" borderId="0" xfId="0" applyFont="1" applyAlignment="1">
      <alignment vertical="center"/>
    </xf>
    <xf numFmtId="0" fontId="54" fillId="15" borderId="0" xfId="578" applyFont="1" applyFill="1" applyAlignment="1">
      <alignment horizontal="right" vertical="center"/>
    </xf>
    <xf numFmtId="166" fontId="56" fillId="57" borderId="64" xfId="0" applyNumberFormat="1" applyFont="1" applyFill="1" applyBorder="1" applyAlignment="1">
      <alignment horizontal="center" vertical="center"/>
    </xf>
    <xf numFmtId="0" fontId="209" fillId="83" borderId="215" xfId="0" applyFont="1" applyFill="1" applyBorder="1"/>
    <xf numFmtId="0" fontId="209" fillId="83" borderId="321" xfId="0" applyFont="1" applyFill="1" applyBorder="1"/>
    <xf numFmtId="0" fontId="56" fillId="57" borderId="0" xfId="0" applyFont="1" applyFill="1" applyAlignment="1" applyProtection="1">
      <alignment vertical="center"/>
      <protection locked="0"/>
    </xf>
    <xf numFmtId="0" fontId="214" fillId="84" borderId="210" xfId="0" applyFont="1" applyFill="1" applyBorder="1"/>
    <xf numFmtId="0" fontId="214" fillId="84" borderId="211" xfId="0" applyFont="1" applyFill="1" applyBorder="1"/>
    <xf numFmtId="0" fontId="176" fillId="84" borderId="0" xfId="0" applyFont="1" applyFill="1"/>
    <xf numFmtId="0" fontId="176" fillId="84" borderId="211" xfId="0" applyFont="1" applyFill="1" applyBorder="1"/>
    <xf numFmtId="0" fontId="0" fillId="15" borderId="56" xfId="0" applyFill="1" applyBorder="1"/>
    <xf numFmtId="0" fontId="112" fillId="24" borderId="326" xfId="577" applyFill="1" applyBorder="1" applyAlignment="1">
      <alignment horizontal="center" vertical="center"/>
    </xf>
    <xf numFmtId="0" fontId="0" fillId="0" borderId="10" xfId="0" applyBorder="1" applyAlignment="1">
      <alignment vertical="center"/>
    </xf>
    <xf numFmtId="0" fontId="45" fillId="0" borderId="10" xfId="0" applyFont="1" applyBorder="1" applyAlignment="1">
      <alignment vertical="center"/>
    </xf>
    <xf numFmtId="0" fontId="48" fillId="10" borderId="64" xfId="0" applyFont="1" applyFill="1" applyBorder="1" applyAlignment="1" applyProtection="1">
      <alignment horizontal="center" vertical="center"/>
      <protection locked="0"/>
    </xf>
    <xf numFmtId="0" fontId="42" fillId="57" borderId="64" xfId="0" applyFont="1" applyFill="1" applyBorder="1" applyAlignment="1" applyProtection="1">
      <alignment horizontal="center" vertical="center"/>
      <protection hidden="1"/>
    </xf>
    <xf numFmtId="166" fontId="0" fillId="14" borderId="14" xfId="0" applyNumberFormat="1" applyFill="1" applyBorder="1" applyAlignment="1">
      <alignment horizontal="center" vertical="center"/>
    </xf>
    <xf numFmtId="166" fontId="0" fillId="14" borderId="12" xfId="0" applyNumberFormat="1" applyFill="1" applyBorder="1" applyAlignment="1">
      <alignment horizontal="center" vertical="center"/>
    </xf>
    <xf numFmtId="166" fontId="0" fillId="14" borderId="13" xfId="0" applyNumberFormat="1" applyFill="1" applyBorder="1" applyAlignment="1">
      <alignment horizontal="center" vertical="center"/>
    </xf>
    <xf numFmtId="0" fontId="176" fillId="84" borderId="329" xfId="0" applyFont="1" applyFill="1" applyBorder="1"/>
    <xf numFmtId="0" fontId="176" fillId="84" borderId="330" xfId="0" applyFont="1" applyFill="1" applyBorder="1"/>
    <xf numFmtId="0" fontId="0" fillId="0" borderId="0" xfId="0" applyAlignment="1">
      <alignment wrapText="1"/>
    </xf>
    <xf numFmtId="0" fontId="42" fillId="68" borderId="64" xfId="0" applyFont="1" applyFill="1" applyBorder="1" applyAlignment="1" applyProtection="1">
      <alignment horizontal="center" vertical="center" wrapText="1"/>
      <protection locked="0"/>
    </xf>
    <xf numFmtId="0" fontId="0" fillId="0" borderId="67" xfId="0" applyBorder="1" applyAlignment="1">
      <alignment horizontal="center" vertical="center" wrapText="1"/>
    </xf>
    <xf numFmtId="0" fontId="0" fillId="0" borderId="64" xfId="0" applyBorder="1" applyAlignment="1">
      <alignment horizontal="center" vertical="center" wrapText="1" shrinkToFit="1"/>
    </xf>
    <xf numFmtId="0" fontId="190" fillId="77" borderId="206" xfId="0" applyFont="1" applyFill="1" applyBorder="1" applyAlignment="1" applyProtection="1">
      <alignment horizontal="center" vertical="center" wrapText="1"/>
      <protection hidden="1"/>
    </xf>
    <xf numFmtId="0" fontId="176" fillId="78" borderId="206" xfId="0" applyFont="1" applyFill="1" applyBorder="1" applyAlignment="1" applyProtection="1">
      <alignment horizontal="center" vertical="center"/>
      <protection locked="0" hidden="1"/>
    </xf>
    <xf numFmtId="0" fontId="43" fillId="67" borderId="206" xfId="0" applyFont="1" applyFill="1" applyBorder="1" applyAlignment="1" applyProtection="1">
      <alignment horizontal="center" vertical="center" wrapText="1"/>
      <protection hidden="1"/>
    </xf>
    <xf numFmtId="2" fontId="43" fillId="9" borderId="206" xfId="578" applyNumberFormat="1" applyFont="1" applyFill="1" applyBorder="1" applyAlignment="1" applyProtection="1">
      <alignment horizontal="center" vertical="center"/>
      <protection hidden="1"/>
    </xf>
    <xf numFmtId="0" fontId="0" fillId="67" borderId="139" xfId="0" applyFill="1" applyBorder="1" applyAlignment="1" applyProtection="1">
      <alignment horizontal="center" vertical="center" wrapText="1"/>
      <protection hidden="1"/>
    </xf>
    <xf numFmtId="2" fontId="0" fillId="0" borderId="139" xfId="0" applyNumberFormat="1" applyBorder="1" applyAlignment="1" applyProtection="1">
      <alignment horizontal="center" vertical="center"/>
      <protection hidden="1"/>
    </xf>
    <xf numFmtId="2" fontId="41" fillId="0" borderId="139" xfId="0" applyNumberFormat="1" applyFont="1" applyBorder="1" applyAlignment="1" applyProtection="1">
      <alignment horizontal="center" vertical="center"/>
      <protection hidden="1"/>
    </xf>
    <xf numFmtId="0" fontId="41" fillId="55" borderId="199" xfId="0" applyFont="1" applyFill="1" applyBorder="1" applyAlignment="1" applyProtection="1">
      <alignment horizontal="center" vertical="center"/>
      <protection hidden="1"/>
    </xf>
    <xf numFmtId="0" fontId="190" fillId="67" borderId="206" xfId="0" applyFont="1" applyFill="1" applyBorder="1" applyAlignment="1" applyProtection="1">
      <alignment horizontal="center" vertical="center" wrapText="1"/>
      <protection hidden="1"/>
    </xf>
    <xf numFmtId="2" fontId="176" fillId="65" borderId="206" xfId="0" applyNumberFormat="1" applyFont="1" applyFill="1" applyBorder="1" applyAlignment="1" applyProtection="1">
      <alignment horizontal="center" vertical="center"/>
      <protection locked="0" hidden="1"/>
    </xf>
    <xf numFmtId="2" fontId="176" fillId="65" borderId="206" xfId="0" applyNumberFormat="1" applyFont="1" applyFill="1" applyBorder="1" applyAlignment="1" applyProtection="1">
      <alignment horizontal="left" vertical="center"/>
      <protection locked="0" hidden="1"/>
    </xf>
    <xf numFmtId="0" fontId="54" fillId="57" borderId="0" xfId="0" applyFont="1" applyFill="1" applyAlignment="1">
      <alignment horizontal="center" shrinkToFit="1"/>
    </xf>
    <xf numFmtId="0" fontId="54" fillId="0" borderId="0" xfId="623" applyFont="1" applyAlignment="1">
      <alignment horizontal="center" vertical="center"/>
    </xf>
    <xf numFmtId="2" fontId="52" fillId="73" borderId="0" xfId="623" applyNumberFormat="1" applyFont="1" applyFill="1" applyAlignment="1">
      <alignment horizontal="center" vertical="center"/>
    </xf>
    <xf numFmtId="2" fontId="54" fillId="0" borderId="0" xfId="623" applyNumberFormat="1" applyFont="1" applyAlignment="1">
      <alignment horizontal="center" vertical="center"/>
    </xf>
    <xf numFmtId="2" fontId="54" fillId="73" borderId="0" xfId="623" applyNumberFormat="1" applyFont="1" applyFill="1" applyAlignment="1">
      <alignment horizontal="center" vertical="center"/>
    </xf>
    <xf numFmtId="0" fontId="41" fillId="0" borderId="0" xfId="0" applyFont="1" applyAlignment="1" applyProtection="1">
      <alignment horizontal="center" vertical="center"/>
      <protection hidden="1"/>
    </xf>
    <xf numFmtId="0" fontId="61" fillId="74" borderId="230" xfId="623" applyFont="1" applyFill="1" applyBorder="1" applyAlignment="1">
      <alignment horizontal="left" vertical="center" indent="1"/>
    </xf>
    <xf numFmtId="0" fontId="61" fillId="74" borderId="328" xfId="623" applyFont="1" applyFill="1" applyBorder="1" applyAlignment="1">
      <alignment horizontal="left" vertical="center" indent="1"/>
    </xf>
    <xf numFmtId="0" fontId="112" fillId="75" borderId="64" xfId="623" applyFont="1" applyFill="1" applyBorder="1" applyAlignment="1">
      <alignment horizontal="center" vertical="center"/>
    </xf>
    <xf numFmtId="0" fontId="112" fillId="75" borderId="64" xfId="409" applyFont="1" applyFill="1" applyBorder="1" applyAlignment="1" applyProtection="1">
      <alignment horizontal="center" vertical="center"/>
    </xf>
    <xf numFmtId="0" fontId="112" fillId="75" borderId="64" xfId="0" applyFont="1" applyFill="1" applyBorder="1" applyAlignment="1">
      <alignment horizontal="center" vertical="center"/>
    </xf>
    <xf numFmtId="0" fontId="0" fillId="75" borderId="64" xfId="623" applyFont="1" applyFill="1" applyBorder="1" applyAlignment="1">
      <alignment horizontal="center" vertical="center"/>
    </xf>
    <xf numFmtId="0" fontId="0" fillId="75" borderId="64" xfId="0" applyFill="1" applyBorder="1" applyAlignment="1">
      <alignment horizontal="center" vertical="center"/>
    </xf>
    <xf numFmtId="0" fontId="41" fillId="0" borderId="0" xfId="0" applyFont="1" applyAlignment="1">
      <alignment horizontal="left" vertical="center"/>
    </xf>
    <xf numFmtId="0" fontId="54" fillId="0" borderId="229" xfId="0" applyFont="1" applyBorder="1" applyAlignment="1" applyProtection="1">
      <alignment horizontal="left" vertical="center"/>
      <protection hidden="1"/>
    </xf>
    <xf numFmtId="0" fontId="52" fillId="74" borderId="230" xfId="0" applyFont="1" applyFill="1" applyBorder="1" applyAlignment="1">
      <alignment horizontal="center" vertical="center" wrapText="1"/>
    </xf>
    <xf numFmtId="0" fontId="52" fillId="74" borderId="230" xfId="0" applyFont="1" applyFill="1" applyBorder="1" applyAlignment="1">
      <alignment horizontal="center" vertical="center" shrinkToFit="1"/>
    </xf>
    <xf numFmtId="0" fontId="112" fillId="75" borderId="230" xfId="0" applyFont="1" applyFill="1" applyBorder="1" applyAlignment="1">
      <alignment horizontal="center" vertical="center"/>
    </xf>
    <xf numFmtId="0" fontId="41" fillId="0" borderId="229" xfId="0" applyFont="1" applyBorder="1" applyAlignment="1">
      <alignment horizontal="center" vertical="center"/>
    </xf>
    <xf numFmtId="0" fontId="41" fillId="0" borderId="163" xfId="0" applyFont="1" applyBorder="1" applyAlignment="1">
      <alignment horizontal="center" vertical="center"/>
    </xf>
    <xf numFmtId="0" fontId="0" fillId="75" borderId="230" xfId="623" applyFont="1" applyFill="1" applyBorder="1" applyAlignment="1">
      <alignment horizontal="center" vertical="center"/>
    </xf>
    <xf numFmtId="0" fontId="41" fillId="0" borderId="337" xfId="0" applyFont="1" applyBorder="1" applyAlignment="1">
      <alignment horizontal="center" vertical="center"/>
    </xf>
    <xf numFmtId="0" fontId="41" fillId="55" borderId="229" xfId="0" applyFont="1" applyFill="1" applyBorder="1" applyAlignment="1" applyProtection="1">
      <alignment horizontal="center" vertical="center"/>
      <protection hidden="1"/>
    </xf>
    <xf numFmtId="0" fontId="41" fillId="55" borderId="229" xfId="0" applyFont="1" applyFill="1" applyBorder="1" applyAlignment="1">
      <alignment horizontal="center" vertical="center"/>
    </xf>
    <xf numFmtId="0" fontId="0" fillId="93" borderId="206" xfId="0" applyFill="1" applyBorder="1"/>
    <xf numFmtId="0" fontId="0" fillId="93" borderId="206" xfId="0" applyFill="1" applyBorder="1" applyAlignment="1">
      <alignment horizontal="center"/>
    </xf>
    <xf numFmtId="0" fontId="52" fillId="61" borderId="336" xfId="0" applyFont="1" applyFill="1" applyBorder="1" applyAlignment="1">
      <alignment horizontal="center" vertical="center" wrapText="1"/>
    </xf>
    <xf numFmtId="0" fontId="56" fillId="61" borderId="336" xfId="0" applyFont="1" applyFill="1" applyBorder="1" applyAlignment="1">
      <alignment horizontal="center" vertical="center" wrapText="1"/>
    </xf>
    <xf numFmtId="0" fontId="43" fillId="61" borderId="336" xfId="0" applyFont="1" applyFill="1" applyBorder="1" applyAlignment="1">
      <alignment horizontal="center" vertical="center" wrapText="1"/>
    </xf>
    <xf numFmtId="0" fontId="56" fillId="61" borderId="204" xfId="0" applyFont="1" applyFill="1" applyBorder="1" applyAlignment="1">
      <alignment horizontal="center" vertical="center" wrapText="1"/>
    </xf>
    <xf numFmtId="0" fontId="56" fillId="61" borderId="206" xfId="0" applyFont="1" applyFill="1" applyBorder="1" applyAlignment="1">
      <alignment horizontal="center" vertical="center" wrapText="1"/>
    </xf>
    <xf numFmtId="0" fontId="54" fillId="0" borderId="0" xfId="0" applyFont="1" applyAlignment="1">
      <alignment vertical="center" wrapText="1"/>
    </xf>
    <xf numFmtId="0" fontId="48" fillId="0" borderId="0" xfId="0" applyFont="1" applyAlignment="1">
      <alignment vertical="center" wrapText="1"/>
    </xf>
    <xf numFmtId="0" fontId="54" fillId="0" borderId="238" xfId="0" applyFont="1" applyBorder="1" applyAlignment="1">
      <alignment vertical="center" wrapText="1"/>
    </xf>
    <xf numFmtId="0" fontId="0" fillId="75" borderId="230" xfId="623" applyFont="1" applyFill="1" applyBorder="1" applyAlignment="1">
      <alignment vertical="center"/>
    </xf>
    <xf numFmtId="0" fontId="112" fillId="75" borderId="230" xfId="623" applyFont="1" applyFill="1" applyBorder="1" applyAlignment="1">
      <alignment vertical="center"/>
    </xf>
    <xf numFmtId="0" fontId="112" fillId="0" borderId="206" xfId="623" applyFont="1" applyBorder="1" applyAlignment="1">
      <alignment vertical="center"/>
    </xf>
    <xf numFmtId="0" fontId="48" fillId="0" borderId="206" xfId="0" applyFont="1" applyBorder="1" applyAlignment="1">
      <alignment horizontal="left" vertical="center"/>
    </xf>
    <xf numFmtId="0" fontId="0" fillId="0" borderId="344" xfId="0" applyBorder="1" applyAlignment="1">
      <alignment horizontal="center" vertical="center"/>
    </xf>
    <xf numFmtId="0" fontId="54" fillId="0" borderId="343" xfId="555" applyFont="1" applyBorder="1" applyAlignment="1">
      <alignment horizontal="center" vertical="center"/>
    </xf>
    <xf numFmtId="0" fontId="0" fillId="69" borderId="68" xfId="0" applyFill="1" applyBorder="1" applyAlignment="1">
      <alignment horizontal="center"/>
    </xf>
    <xf numFmtId="0" fontId="0" fillId="69" borderId="69" xfId="0" applyFill="1" applyBorder="1" applyAlignment="1">
      <alignment horizontal="center"/>
    </xf>
    <xf numFmtId="0" fontId="218" fillId="55" borderId="233" xfId="0" applyFont="1" applyFill="1" applyBorder="1" applyAlignment="1">
      <alignment horizontal="center"/>
    </xf>
    <xf numFmtId="0" fontId="218" fillId="55" borderId="275" xfId="0" applyFont="1" applyFill="1" applyBorder="1" applyAlignment="1">
      <alignment horizontal="center"/>
    </xf>
    <xf numFmtId="0" fontId="179" fillId="55" borderId="289" xfId="0" applyFont="1" applyFill="1" applyBorder="1" applyAlignment="1">
      <alignment horizontal="center"/>
    </xf>
    <xf numFmtId="0" fontId="179" fillId="55" borderId="206" xfId="0" applyFont="1" applyFill="1" applyBorder="1" applyAlignment="1">
      <alignment horizontal="center"/>
    </xf>
    <xf numFmtId="0" fontId="179" fillId="55" borderId="196" xfId="0" applyFont="1" applyFill="1" applyBorder="1" applyAlignment="1">
      <alignment horizontal="center"/>
    </xf>
    <xf numFmtId="0" fontId="179" fillId="55" borderId="192" xfId="0" applyFont="1" applyFill="1" applyBorder="1" applyAlignment="1">
      <alignment horizontal="center"/>
    </xf>
    <xf numFmtId="0" fontId="175" fillId="55" borderId="276" xfId="0" applyFont="1" applyFill="1" applyBorder="1" applyAlignment="1">
      <alignment horizontal="center"/>
    </xf>
    <xf numFmtId="0" fontId="175" fillId="55" borderId="277" xfId="0" applyFont="1" applyFill="1" applyBorder="1" applyAlignment="1">
      <alignment horizontal="center"/>
    </xf>
    <xf numFmtId="0" fontId="0" fillId="55" borderId="146" xfId="0" applyFill="1" applyBorder="1" applyAlignment="1">
      <alignment horizontal="center" vertical="center" wrapText="1"/>
    </xf>
    <xf numFmtId="0" fontId="0" fillId="55" borderId="147" xfId="0" applyFill="1" applyBorder="1" applyAlignment="1">
      <alignment horizontal="center" vertical="center" wrapText="1"/>
    </xf>
    <xf numFmtId="0" fontId="0" fillId="55" borderId="126" xfId="0" applyFill="1" applyBorder="1" applyAlignment="1">
      <alignment horizontal="center" vertical="center" wrapText="1"/>
    </xf>
    <xf numFmtId="0" fontId="0" fillId="55" borderId="143" xfId="0" applyFill="1" applyBorder="1" applyAlignment="1">
      <alignment horizontal="center" vertical="center" wrapText="1"/>
    </xf>
    <xf numFmtId="0" fontId="0" fillId="55" borderId="127" xfId="0" applyFill="1" applyBorder="1" applyAlignment="1">
      <alignment horizontal="center" vertical="center" wrapText="1"/>
    </xf>
    <xf numFmtId="0" fontId="0" fillId="55" borderId="144" xfId="0" applyFill="1" applyBorder="1" applyAlignment="1">
      <alignment horizontal="center" vertical="center" wrapText="1"/>
    </xf>
    <xf numFmtId="0" fontId="0" fillId="55" borderId="145" xfId="0" applyFill="1" applyBorder="1" applyAlignment="1">
      <alignment horizontal="center" vertical="center" wrapText="1"/>
    </xf>
    <xf numFmtId="0" fontId="179" fillId="55" borderId="71" xfId="0" applyFont="1" applyFill="1" applyBorder="1" applyAlignment="1">
      <alignment horizontal="center"/>
    </xf>
    <xf numFmtId="0" fontId="179" fillId="55" borderId="71" xfId="0" applyFont="1" applyFill="1" applyBorder="1" applyAlignment="1">
      <alignment horizontal="center" vertical="center" wrapText="1"/>
    </xf>
    <xf numFmtId="0" fontId="0" fillId="57" borderId="232" xfId="0" applyFill="1" applyBorder="1" applyAlignment="1">
      <alignment horizontal="center"/>
    </xf>
    <xf numFmtId="0" fontId="0" fillId="57" borderId="262" xfId="0" applyFill="1" applyBorder="1" applyAlignment="1">
      <alignment horizontal="center"/>
    </xf>
    <xf numFmtId="0" fontId="0" fillId="57" borderId="263" xfId="0" applyFill="1" applyBorder="1" applyAlignment="1">
      <alignment horizontal="center"/>
    </xf>
    <xf numFmtId="0" fontId="0" fillId="57" borderId="192" xfId="0" applyFill="1" applyBorder="1" applyAlignment="1">
      <alignment horizontal="center" vertical="center"/>
    </xf>
    <xf numFmtId="0" fontId="0" fillId="57" borderId="206" xfId="0" applyFill="1" applyBorder="1" applyAlignment="1">
      <alignment horizontal="center" vertical="center"/>
    </xf>
    <xf numFmtId="0" fontId="0" fillId="57" borderId="196" xfId="0" applyFill="1" applyBorder="1" applyAlignment="1">
      <alignment horizontal="center" vertical="center"/>
    </xf>
    <xf numFmtId="0" fontId="0" fillId="57" borderId="192" xfId="0" applyFill="1" applyBorder="1" applyAlignment="1">
      <alignment horizontal="center"/>
    </xf>
    <xf numFmtId="0" fontId="0" fillId="57" borderId="206" xfId="0" applyFill="1" applyBorder="1" applyAlignment="1">
      <alignment horizontal="center"/>
    </xf>
    <xf numFmtId="0" fontId="0" fillId="57" borderId="196" xfId="0" applyFill="1" applyBorder="1" applyAlignment="1">
      <alignment horizontal="center"/>
    </xf>
    <xf numFmtId="0" fontId="0" fillId="57" borderId="307" xfId="0" applyFill="1" applyBorder="1" applyAlignment="1">
      <alignment horizontal="center"/>
    </xf>
    <xf numFmtId="0" fontId="0" fillId="57" borderId="126" xfId="0" applyFill="1" applyBorder="1" applyAlignment="1">
      <alignment horizontal="center"/>
    </xf>
    <xf numFmtId="0" fontId="0" fillId="57" borderId="143" xfId="0" applyFill="1" applyBorder="1" applyAlignment="1">
      <alignment horizontal="center"/>
    </xf>
    <xf numFmtId="0" fontId="0" fillId="57" borderId="127" xfId="0" applyFill="1" applyBorder="1" applyAlignment="1">
      <alignment horizontal="center"/>
    </xf>
    <xf numFmtId="0" fontId="0" fillId="57" borderId="309" xfId="0" applyFill="1" applyBorder="1" applyAlignment="1">
      <alignment horizontal="center"/>
    </xf>
    <xf numFmtId="0" fontId="0" fillId="57" borderId="310" xfId="0" applyFill="1" applyBorder="1" applyAlignment="1">
      <alignment horizontal="center"/>
    </xf>
    <xf numFmtId="0" fontId="0" fillId="57" borderId="311" xfId="0" applyFill="1" applyBorder="1" applyAlignment="1">
      <alignment horizontal="center"/>
    </xf>
    <xf numFmtId="0" fontId="0" fillId="57" borderId="300" xfId="0" applyFill="1" applyBorder="1" applyAlignment="1">
      <alignment horizontal="center"/>
    </xf>
    <xf numFmtId="0" fontId="0" fillId="57" borderId="249" xfId="0" applyFill="1" applyBorder="1" applyAlignment="1">
      <alignment horizontal="center"/>
    </xf>
    <xf numFmtId="0" fontId="0" fillId="57" borderId="299" xfId="0" applyFill="1" applyBorder="1" applyAlignment="1">
      <alignment horizontal="center"/>
    </xf>
    <xf numFmtId="0" fontId="43" fillId="0" borderId="232" xfId="0" applyFont="1" applyBorder="1" applyAlignment="1">
      <alignment horizontal="center"/>
    </xf>
    <xf numFmtId="0" fontId="43" fillId="57" borderId="262" xfId="0" applyFont="1" applyFill="1" applyBorder="1" applyAlignment="1">
      <alignment horizontal="center"/>
    </xf>
    <xf numFmtId="0" fontId="43" fillId="0" borderId="263" xfId="0" applyFont="1" applyBorder="1" applyAlignment="1">
      <alignment horizontal="center"/>
    </xf>
    <xf numFmtId="0" fontId="43" fillId="0" borderId="192" xfId="0" applyFont="1" applyBorder="1" applyAlignment="1">
      <alignment horizontal="center"/>
    </xf>
    <xf numFmtId="0" fontId="43" fillId="57" borderId="206" xfId="0" applyFont="1" applyFill="1" applyBorder="1" applyAlignment="1">
      <alignment horizontal="center"/>
    </xf>
    <xf numFmtId="0" fontId="43" fillId="0" borderId="196" xfId="0" applyFont="1" applyBorder="1" applyAlignment="1">
      <alignment horizontal="center"/>
    </xf>
    <xf numFmtId="0" fontId="43" fillId="69" borderId="192" xfId="0" applyFont="1" applyFill="1" applyBorder="1" applyAlignment="1">
      <alignment horizontal="center"/>
    </xf>
    <xf numFmtId="0" fontId="43" fillId="69" borderId="196" xfId="0" applyFont="1" applyFill="1" applyBorder="1" applyAlignment="1">
      <alignment horizontal="center"/>
    </xf>
    <xf numFmtId="0" fontId="43" fillId="0" borderId="126" xfId="0" applyFont="1" applyBorder="1" applyAlignment="1">
      <alignment horizontal="center"/>
    </xf>
    <xf numFmtId="0" fontId="43" fillId="57" borderId="143" xfId="0" applyFont="1" applyFill="1" applyBorder="1" applyAlignment="1">
      <alignment horizontal="center"/>
    </xf>
    <xf numFmtId="0" fontId="43" fillId="0" borderId="127" xfId="0" applyFont="1" applyBorder="1" applyAlignment="1">
      <alignment horizontal="center"/>
    </xf>
    <xf numFmtId="0" fontId="43" fillId="0" borderId="296" xfId="0" applyFont="1" applyBorder="1" applyAlignment="1">
      <alignment horizontal="center"/>
    </xf>
    <xf numFmtId="0" fontId="43" fillId="57" borderId="294" xfId="0" applyFont="1" applyFill="1" applyBorder="1" applyAlignment="1">
      <alignment horizontal="center"/>
    </xf>
    <xf numFmtId="0" fontId="43" fillId="0" borderId="295" xfId="0" applyFont="1" applyBorder="1" applyAlignment="1">
      <alignment horizontal="center"/>
    </xf>
    <xf numFmtId="0" fontId="43" fillId="0" borderId="300" xfId="0" applyFont="1" applyBorder="1" applyAlignment="1">
      <alignment horizontal="center"/>
    </xf>
    <xf numFmtId="0" fontId="43" fillId="57" borderId="249" xfId="0" applyFont="1" applyFill="1" applyBorder="1" applyAlignment="1">
      <alignment horizontal="center"/>
    </xf>
    <xf numFmtId="0" fontId="43" fillId="0" borderId="299" xfId="0" applyFont="1" applyBorder="1" applyAlignment="1">
      <alignment horizontal="center"/>
    </xf>
    <xf numFmtId="0" fontId="43" fillId="69" borderId="232" xfId="0" applyFont="1" applyFill="1" applyBorder="1" applyAlignment="1">
      <alignment horizontal="center"/>
    </xf>
    <xf numFmtId="0" fontId="43" fillId="69" borderId="263" xfId="0" applyFont="1" applyFill="1" applyBorder="1" applyAlignment="1">
      <alignment horizontal="center"/>
    </xf>
    <xf numFmtId="0" fontId="43" fillId="0" borderId="309" xfId="0" applyFont="1" applyBorder="1" applyAlignment="1">
      <alignment horizontal="center"/>
    </xf>
    <xf numFmtId="0" fontId="43" fillId="57" borderId="310" xfId="0" applyFont="1" applyFill="1" applyBorder="1" applyAlignment="1">
      <alignment horizontal="center"/>
    </xf>
    <xf numFmtId="0" fontId="43" fillId="0" borderId="311" xfId="0" applyFont="1" applyBorder="1" applyAlignment="1">
      <alignment horizontal="center"/>
    </xf>
    <xf numFmtId="0" fontId="179" fillId="55" borderId="278" xfId="0" applyFont="1" applyFill="1" applyBorder="1" applyAlignment="1">
      <alignment horizontal="center"/>
    </xf>
    <xf numFmtId="0" fontId="179" fillId="55" borderId="143" xfId="0" applyFont="1" applyFill="1" applyBorder="1" applyAlignment="1">
      <alignment horizontal="center"/>
    </xf>
    <xf numFmtId="0" fontId="179" fillId="55" borderId="127" xfId="0" applyFont="1" applyFill="1" applyBorder="1" applyAlignment="1">
      <alignment horizontal="center"/>
    </xf>
    <xf numFmtId="0" fontId="179" fillId="55" borderId="126" xfId="0" applyFont="1" applyFill="1" applyBorder="1" applyAlignment="1">
      <alignment horizontal="center"/>
    </xf>
    <xf numFmtId="0" fontId="175" fillId="55" borderId="172" xfId="0" applyFont="1" applyFill="1" applyBorder="1" applyAlignment="1">
      <alignment horizontal="center"/>
    </xf>
    <xf numFmtId="0" fontId="175" fillId="55" borderId="279" xfId="0" applyFont="1" applyFill="1" applyBorder="1" applyAlignment="1">
      <alignment horizontal="center"/>
    </xf>
    <xf numFmtId="0" fontId="52" fillId="0" borderId="262" xfId="0" applyFont="1" applyBorder="1" applyAlignment="1">
      <alignment horizontal="center" vertical="center" wrapText="1"/>
    </xf>
    <xf numFmtId="0" fontId="112" fillId="29" borderId="206" xfId="578" applyFill="1" applyBorder="1" applyAlignment="1" applyProtection="1">
      <alignment horizontal="center" vertical="center" wrapText="1"/>
      <protection locked="0"/>
    </xf>
    <xf numFmtId="0" fontId="54" fillId="0" borderId="190" xfId="0" applyFont="1" applyBorder="1" applyAlignment="1">
      <alignment horizontal="left" vertical="center"/>
    </xf>
    <xf numFmtId="4" fontId="54" fillId="19" borderId="206" xfId="0" applyNumberFormat="1" applyFont="1" applyFill="1" applyBorder="1" applyAlignment="1" applyProtection="1">
      <alignment horizontal="right" vertical="center" shrinkToFit="1"/>
      <protection locked="0"/>
    </xf>
    <xf numFmtId="0" fontId="42" fillId="38" borderId="332" xfId="0" applyFont="1" applyFill="1" applyBorder="1" applyAlignment="1">
      <alignment horizontal="right" vertical="center"/>
    </xf>
    <xf numFmtId="0" fontId="0" fillId="0" borderId="350" xfId="0" applyBorder="1" applyAlignment="1">
      <alignment horizontal="center" vertical="center"/>
    </xf>
    <xf numFmtId="0" fontId="53" fillId="18" borderId="206" xfId="0" applyFont="1" applyFill="1" applyBorder="1" applyAlignment="1">
      <alignment horizontal="center" vertical="center" wrapText="1"/>
    </xf>
    <xf numFmtId="0" fontId="53" fillId="0" borderId="340" xfId="0" applyFont="1" applyBorder="1" applyAlignment="1">
      <alignment horizontal="left" vertical="center"/>
    </xf>
    <xf numFmtId="0" fontId="53" fillId="0" borderId="199" xfId="0" applyFont="1" applyBorder="1" applyAlignment="1">
      <alignment horizontal="left" vertical="center"/>
    </xf>
    <xf numFmtId="0" fontId="42" fillId="0" borderId="199" xfId="0" applyFont="1" applyBorder="1" applyAlignment="1">
      <alignment horizontal="center" vertical="center" wrapText="1"/>
    </xf>
    <xf numFmtId="0" fontId="42" fillId="15" borderId="0" xfId="0" applyFont="1" applyFill="1" applyAlignment="1">
      <alignment horizontal="right" vertical="center" indent="1"/>
    </xf>
    <xf numFmtId="0" fontId="224" fillId="15" borderId="0" xfId="0" applyFont="1" applyFill="1" applyAlignment="1">
      <alignment vertical="center"/>
    </xf>
    <xf numFmtId="0" fontId="52" fillId="15" borderId="0" xfId="0" applyFont="1" applyFill="1" applyAlignment="1">
      <alignment horizontal="right" vertical="center" indent="1"/>
    </xf>
    <xf numFmtId="0" fontId="52" fillId="0" borderId="167" xfId="0" applyFont="1" applyBorder="1" applyAlignment="1">
      <alignment horizontal="center" vertical="center" wrapText="1"/>
    </xf>
    <xf numFmtId="0" fontId="53" fillId="18" borderId="68" xfId="0" applyFont="1" applyFill="1" applyBorder="1" applyAlignment="1">
      <alignment horizontal="center" vertical="center"/>
    </xf>
    <xf numFmtId="0" fontId="52" fillId="0" borderId="170" xfId="0" applyFont="1" applyBorder="1" applyAlignment="1">
      <alignment horizontal="center" vertical="center" wrapText="1"/>
    </xf>
    <xf numFmtId="0" fontId="42" fillId="38" borderId="169" xfId="0" applyFont="1" applyFill="1" applyBorder="1" applyAlignment="1">
      <alignment horizontal="right" vertical="center"/>
    </xf>
    <xf numFmtId="0" fontId="42" fillId="18" borderId="365" xfId="0" applyFont="1" applyFill="1" applyBorder="1" applyAlignment="1">
      <alignment horizontal="left" vertical="center" indent="1"/>
    </xf>
    <xf numFmtId="0" fontId="42" fillId="38" borderId="333" xfId="0" applyFont="1" applyFill="1" applyBorder="1" applyAlignment="1">
      <alignment horizontal="right" vertical="center"/>
    </xf>
    <xf numFmtId="0" fontId="48" fillId="57" borderId="0" xfId="0" applyFont="1" applyFill="1" applyAlignment="1">
      <alignment vertical="center" wrapText="1"/>
    </xf>
    <xf numFmtId="0" fontId="0" fillId="57" borderId="0" xfId="0" applyFill="1"/>
    <xf numFmtId="0" fontId="0" fillId="57" borderId="0" xfId="0" applyFill="1" applyAlignment="1">
      <alignment wrapText="1"/>
    </xf>
    <xf numFmtId="0" fontId="0" fillId="57" borderId="0" xfId="0" applyFill="1" applyAlignment="1">
      <alignment horizontal="center" vertical="center"/>
    </xf>
    <xf numFmtId="0" fontId="0" fillId="57" borderId="0" xfId="0" applyFill="1" applyAlignment="1">
      <alignment vertical="center" wrapText="1"/>
    </xf>
    <xf numFmtId="0" fontId="0" fillId="57" borderId="0" xfId="0" applyFill="1" applyAlignment="1">
      <alignment vertical="center"/>
    </xf>
    <xf numFmtId="0" fontId="61" fillId="57" borderId="206" xfId="0" applyFont="1" applyFill="1" applyBorder="1" applyAlignment="1">
      <alignment horizontal="center" vertical="center"/>
    </xf>
    <xf numFmtId="0" fontId="0" fillId="57" borderId="206" xfId="0" applyFill="1" applyBorder="1" applyAlignment="1">
      <alignment vertical="center"/>
    </xf>
    <xf numFmtId="0" fontId="12" fillId="95" borderId="343" xfId="0" applyFont="1" applyFill="1" applyBorder="1" applyAlignment="1">
      <alignment horizontal="center" vertical="center"/>
    </xf>
    <xf numFmtId="0" fontId="12" fillId="57" borderId="0" xfId="0" applyFont="1" applyFill="1" applyAlignment="1">
      <alignment horizontal="center" vertical="center" wrapText="1"/>
    </xf>
    <xf numFmtId="0" fontId="11" fillId="57" borderId="0" xfId="0" applyFont="1" applyFill="1" applyAlignment="1">
      <alignment horizontal="center" vertical="center" wrapText="1"/>
    </xf>
    <xf numFmtId="0" fontId="0" fillId="57" borderId="206" xfId="0" applyFill="1" applyBorder="1"/>
    <xf numFmtId="0" fontId="11" fillId="95" borderId="344" xfId="0" applyFont="1" applyFill="1" applyBorder="1" applyAlignment="1">
      <alignment horizontal="center" vertical="center" wrapText="1"/>
    </xf>
    <xf numFmtId="0" fontId="12" fillId="57" borderId="0" xfId="0" applyFont="1" applyFill="1" applyAlignment="1">
      <alignment horizontal="center" vertical="center"/>
    </xf>
    <xf numFmtId="0" fontId="0" fillId="57" borderId="0" xfId="623" applyFont="1" applyFill="1" applyAlignment="1">
      <alignment vertical="center"/>
    </xf>
    <xf numFmtId="0" fontId="54" fillId="57" borderId="343" xfId="555" applyFont="1" applyFill="1" applyBorder="1" applyAlignment="1">
      <alignment horizontal="center" vertical="center"/>
    </xf>
    <xf numFmtId="0" fontId="0" fillId="57" borderId="344" xfId="0" applyFill="1" applyBorder="1" applyAlignment="1">
      <alignment horizontal="center" vertical="center"/>
    </xf>
    <xf numFmtId="0" fontId="112" fillId="57" borderId="0" xfId="623" applyFont="1" applyFill="1" applyAlignment="1">
      <alignment vertical="center"/>
    </xf>
    <xf numFmtId="0" fontId="0" fillId="57" borderId="0" xfId="0" applyFill="1" applyAlignment="1">
      <alignment horizontal="center" vertical="center" wrapText="1"/>
    </xf>
    <xf numFmtId="0" fontId="197" fillId="96" borderId="0" xfId="0" applyFont="1" applyFill="1" applyAlignment="1">
      <alignment vertical="center"/>
    </xf>
    <xf numFmtId="0" fontId="225" fillId="96" borderId="0" xfId="0" applyFont="1" applyFill="1" applyAlignment="1">
      <alignment vertical="center"/>
    </xf>
    <xf numFmtId="0" fontId="174" fillId="57" borderId="0" xfId="0" applyFont="1" applyFill="1"/>
    <xf numFmtId="0" fontId="226" fillId="57" borderId="367" xfId="0" applyFont="1" applyFill="1" applyBorder="1" applyAlignment="1">
      <alignment vertical="top"/>
    </xf>
    <xf numFmtId="0" fontId="226" fillId="57" borderId="0" xfId="0" applyFont="1" applyFill="1" applyAlignment="1">
      <alignment vertical="top"/>
    </xf>
    <xf numFmtId="0" fontId="226" fillId="57" borderId="368" xfId="0" applyFont="1" applyFill="1" applyBorder="1" applyAlignment="1">
      <alignment vertical="top"/>
    </xf>
    <xf numFmtId="0" fontId="0" fillId="0" borderId="361" xfId="0" applyBorder="1" applyAlignment="1">
      <alignment horizontal="right"/>
    </xf>
    <xf numFmtId="0" fontId="226" fillId="57" borderId="369" xfId="0" applyFont="1" applyFill="1" applyBorder="1" applyAlignment="1">
      <alignment vertical="top"/>
    </xf>
    <xf numFmtId="0" fontId="42" fillId="71" borderId="0" xfId="0" applyFont="1" applyFill="1" applyAlignment="1">
      <alignment horizontal="right"/>
    </xf>
    <xf numFmtId="168" fontId="105" fillId="71" borderId="344" xfId="546" applyNumberFormat="1" applyFont="1" applyFill="1" applyBorder="1" applyAlignment="1">
      <alignment horizontal="center"/>
    </xf>
    <xf numFmtId="0" fontId="0" fillId="57" borderId="344" xfId="0" applyFill="1" applyBorder="1"/>
    <xf numFmtId="0" fontId="61" fillId="57" borderId="344" xfId="0" applyFont="1" applyFill="1" applyBorder="1" applyAlignment="1">
      <alignment horizontal="right" vertical="center" indent="1"/>
    </xf>
    <xf numFmtId="0" fontId="0" fillId="57" borderId="353" xfId="0" applyFill="1" applyBorder="1"/>
    <xf numFmtId="0" fontId="0" fillId="57" borderId="370" xfId="0" applyFill="1" applyBorder="1"/>
    <xf numFmtId="0" fontId="227" fillId="57" borderId="370" xfId="0" applyFont="1" applyFill="1" applyBorder="1" applyAlignment="1">
      <alignment vertical="top"/>
    </xf>
    <xf numFmtId="0" fontId="52" fillId="57" borderId="366" xfId="0" applyFont="1" applyFill="1" applyBorder="1" applyAlignment="1">
      <alignment horizontal="right" vertical="center"/>
    </xf>
    <xf numFmtId="0" fontId="42" fillId="57" borderId="0" xfId="0" applyFont="1" applyFill="1" applyAlignment="1">
      <alignment horizontal="left" vertical="center" indent="1"/>
    </xf>
    <xf numFmtId="0" fontId="227" fillId="57" borderId="0" xfId="0" applyFont="1" applyFill="1" applyAlignment="1">
      <alignment horizontal="left" vertical="top" indent="1"/>
    </xf>
    <xf numFmtId="0" fontId="227" fillId="57" borderId="0" xfId="0" applyFont="1" applyFill="1" applyAlignment="1">
      <alignment vertical="top"/>
    </xf>
    <xf numFmtId="0" fontId="0" fillId="0" borderId="344" xfId="0" applyBorder="1" applyAlignment="1">
      <alignment horizontal="right"/>
    </xf>
    <xf numFmtId="4" fontId="0" fillId="0" borderId="344" xfId="0" applyNumberFormat="1" applyBorder="1" applyAlignment="1">
      <alignment horizontal="center" vertical="center"/>
    </xf>
    <xf numFmtId="0" fontId="0" fillId="57" borderId="363" xfId="0" applyFill="1" applyBorder="1"/>
    <xf numFmtId="0" fontId="61" fillId="57" borderId="370" xfId="0" applyFont="1" applyFill="1" applyBorder="1" applyAlignment="1">
      <alignment vertical="center" shrinkToFit="1"/>
    </xf>
    <xf numFmtId="0" fontId="228" fillId="57" borderId="367" xfId="0" applyFont="1" applyFill="1" applyBorder="1" applyAlignment="1">
      <alignment vertical="top"/>
    </xf>
    <xf numFmtId="0" fontId="229" fillId="57" borderId="0" xfId="0" applyFont="1" applyFill="1" applyAlignment="1">
      <alignment vertical="center"/>
    </xf>
    <xf numFmtId="0" fontId="228" fillId="57" borderId="0" xfId="0" applyFont="1" applyFill="1" applyAlignment="1">
      <alignment vertical="top" wrapText="1"/>
    </xf>
    <xf numFmtId="0" fontId="228" fillId="57" borderId="0" xfId="0" applyFont="1" applyFill="1" applyAlignment="1">
      <alignment vertical="top"/>
    </xf>
    <xf numFmtId="2" fontId="0" fillId="0" borderId="344" xfId="0" applyNumberFormat="1" applyBorder="1" applyAlignment="1">
      <alignment horizontal="center" vertical="center"/>
    </xf>
    <xf numFmtId="0" fontId="0" fillId="57" borderId="368" xfId="0" applyFill="1" applyBorder="1"/>
    <xf numFmtId="0" fontId="230" fillId="57" borderId="164" xfId="0" applyFont="1" applyFill="1" applyBorder="1" applyAlignment="1">
      <alignment vertical="top" wrapText="1"/>
    </xf>
    <xf numFmtId="0" fontId="54" fillId="57" borderId="363" xfId="0" applyFont="1" applyFill="1" applyBorder="1" applyAlignment="1">
      <alignment horizontal="right" vertical="center" indent="1"/>
    </xf>
    <xf numFmtId="4" fontId="54" fillId="70" borderId="361" xfId="0" applyNumberFormat="1" applyFont="1" applyFill="1" applyBorder="1" applyAlignment="1">
      <alignment horizontal="center" vertical="center"/>
    </xf>
    <xf numFmtId="0" fontId="228" fillId="57" borderId="171" xfId="0" applyFont="1" applyFill="1" applyBorder="1" applyAlignment="1">
      <alignment vertical="top"/>
    </xf>
    <xf numFmtId="0" fontId="231" fillId="57" borderId="164" xfId="0" applyFont="1" applyFill="1" applyBorder="1" applyAlignment="1">
      <alignment vertical="center"/>
    </xf>
    <xf numFmtId="0" fontId="228" fillId="57" borderId="164" xfId="0" applyFont="1" applyFill="1" applyBorder="1" applyAlignment="1">
      <alignment vertical="top"/>
    </xf>
    <xf numFmtId="0" fontId="42" fillId="71" borderId="0" xfId="0" applyFont="1" applyFill="1" applyAlignment="1">
      <alignment horizontal="right" vertical="center"/>
    </xf>
    <xf numFmtId="0" fontId="42" fillId="71" borderId="0" xfId="0" applyFont="1" applyFill="1" applyAlignment="1">
      <alignment horizontal="right" vertical="top"/>
    </xf>
    <xf numFmtId="166" fontId="42" fillId="71" borderId="344" xfId="0" applyNumberFormat="1" applyFont="1" applyFill="1" applyBorder="1" applyAlignment="1">
      <alignment horizontal="center" vertical="center"/>
    </xf>
    <xf numFmtId="0" fontId="0" fillId="57" borderId="344" xfId="0" applyFill="1" applyBorder="1" applyAlignment="1">
      <alignment horizontal="center" vertical="center" wrapText="1"/>
    </xf>
    <xf numFmtId="0" fontId="48" fillId="57" borderId="344" xfId="0" applyFont="1" applyFill="1" applyBorder="1" applyAlignment="1">
      <alignment horizontal="center" vertical="center" wrapText="1"/>
    </xf>
    <xf numFmtId="0" fontId="42" fillId="0" borderId="233" xfId="0" applyFont="1" applyBorder="1" applyAlignment="1">
      <alignment horizontal="center" vertical="center"/>
    </xf>
    <xf numFmtId="0" fontId="0" fillId="57" borderId="361" xfId="0" applyFill="1" applyBorder="1" applyAlignment="1">
      <alignment horizontal="center" vertical="center" wrapText="1"/>
    </xf>
    <xf numFmtId="0" fontId="0" fillId="0" borderId="332" xfId="0" applyBorder="1" applyAlignment="1">
      <alignment horizontal="center" vertical="center" wrapText="1"/>
    </xf>
    <xf numFmtId="0" fontId="41" fillId="57" borderId="229" xfId="0" applyFont="1" applyFill="1" applyBorder="1"/>
    <xf numFmtId="0" fontId="53" fillId="57" borderId="0" xfId="0" applyFont="1" applyFill="1" applyAlignment="1">
      <alignment horizontal="center" vertical="top" wrapText="1"/>
    </xf>
    <xf numFmtId="0" fontId="53" fillId="57" borderId="149" xfId="0" applyFont="1" applyFill="1" applyBorder="1" applyAlignment="1">
      <alignment horizontal="right"/>
    </xf>
    <xf numFmtId="0" fontId="53" fillId="57" borderId="229" xfId="0" applyFont="1" applyFill="1" applyBorder="1"/>
    <xf numFmtId="0" fontId="53" fillId="57" borderId="0" xfId="0" applyFont="1" applyFill="1" applyAlignment="1">
      <alignment wrapText="1"/>
    </xf>
    <xf numFmtId="0" fontId="42" fillId="0" borderId="304" xfId="0" applyFont="1" applyBorder="1" applyAlignment="1">
      <alignment horizontal="center" vertical="center"/>
    </xf>
    <xf numFmtId="0" fontId="53" fillId="57" borderId="150" xfId="0" applyFont="1" applyFill="1" applyBorder="1" applyAlignment="1">
      <alignment vertical="center" wrapText="1"/>
    </xf>
    <xf numFmtId="0" fontId="53" fillId="57" borderId="363" xfId="0" applyFont="1" applyFill="1" applyBorder="1" applyAlignment="1">
      <alignment vertical="center" wrapText="1"/>
    </xf>
    <xf numFmtId="0" fontId="53" fillId="57" borderId="152" xfId="0" applyFont="1" applyFill="1" applyBorder="1" applyAlignment="1">
      <alignment horizontal="right" vertical="center"/>
    </xf>
    <xf numFmtId="0" fontId="53" fillId="57" borderId="150" xfId="0" applyFont="1" applyFill="1" applyBorder="1" applyAlignment="1">
      <alignment vertical="top"/>
    </xf>
    <xf numFmtId="0" fontId="42" fillId="57" borderId="361" xfId="0" applyFont="1" applyFill="1" applyBorder="1" applyAlignment="1">
      <alignment horizontal="center" vertical="center" wrapText="1"/>
    </xf>
    <xf numFmtId="0" fontId="41" fillId="97" borderId="304" xfId="0" applyFont="1" applyFill="1" applyBorder="1" applyAlignment="1">
      <alignment horizontal="center" vertical="center"/>
    </xf>
    <xf numFmtId="0" fontId="0" fillId="57" borderId="323" xfId="0" applyFill="1" applyBorder="1" applyAlignment="1">
      <alignment horizontal="center" vertical="center" shrinkToFit="1"/>
    </xf>
    <xf numFmtId="0" fontId="0" fillId="57" borderId="361" xfId="0" applyFill="1" applyBorder="1" applyAlignment="1">
      <alignment horizontal="center" vertical="center" shrinkToFit="1"/>
    </xf>
    <xf numFmtId="0" fontId="0" fillId="57" borderId="161" xfId="0" applyFill="1" applyBorder="1" applyAlignment="1">
      <alignment horizontal="center" vertical="center" shrinkToFit="1"/>
    </xf>
    <xf numFmtId="0" fontId="0" fillId="57" borderId="366" xfId="0" applyFill="1" applyBorder="1" applyAlignment="1">
      <alignment horizontal="center" vertical="center" shrinkToFit="1"/>
    </xf>
    <xf numFmtId="0" fontId="0" fillId="57" borderId="344" xfId="0" applyFill="1" applyBorder="1" applyAlignment="1">
      <alignment horizontal="center" vertical="center" shrinkToFit="1"/>
    </xf>
    <xf numFmtId="0" fontId="80" fillId="57" borderId="353" xfId="0" applyFont="1" applyFill="1" applyBorder="1" applyAlignment="1">
      <alignment horizontal="center" vertical="center" wrapText="1" shrinkToFit="1"/>
    </xf>
    <xf numFmtId="0" fontId="0" fillId="57" borderId="69" xfId="0" applyFill="1" applyBorder="1" applyAlignment="1">
      <alignment horizontal="center" vertical="center" shrinkToFit="1"/>
    </xf>
    <xf numFmtId="0" fontId="0" fillId="57" borderId="68" xfId="0" applyFill="1" applyBorder="1" applyAlignment="1">
      <alignment horizontal="center" vertical="center" shrinkToFit="1"/>
    </xf>
    <xf numFmtId="0" fontId="65" fillId="57" borderId="152" xfId="0" applyFont="1" applyFill="1" applyBorder="1" applyAlignment="1">
      <alignment horizontal="center" vertical="center" wrapText="1"/>
    </xf>
    <xf numFmtId="0" fontId="0" fillId="70" borderId="344" xfId="0" applyFill="1" applyBorder="1" applyAlignment="1">
      <alignment horizontal="center" vertical="center"/>
    </xf>
    <xf numFmtId="14" fontId="0" fillId="57" borderId="0" xfId="0" applyNumberFormat="1" applyFill="1" applyAlignment="1">
      <alignment horizontal="center" vertical="center"/>
    </xf>
    <xf numFmtId="0" fontId="0" fillId="0" borderId="276" xfId="0" applyBorder="1"/>
    <xf numFmtId="0" fontId="0" fillId="57" borderId="232" xfId="0" applyFill="1" applyBorder="1" applyAlignment="1">
      <alignment horizontal="center" vertical="center"/>
    </xf>
    <xf numFmtId="0" fontId="0" fillId="57" borderId="262" xfId="0" applyFill="1" applyBorder="1" applyAlignment="1">
      <alignment horizontal="center" vertical="center"/>
    </xf>
    <xf numFmtId="0" fontId="0" fillId="57" borderId="263" xfId="0" applyFill="1" applyBorder="1" applyAlignment="1">
      <alignment horizontal="center" vertical="center"/>
    </xf>
    <xf numFmtId="0" fontId="0" fillId="57" borderId="69" xfId="0" applyFill="1" applyBorder="1" applyAlignment="1">
      <alignment horizontal="center" vertical="center"/>
    </xf>
    <xf numFmtId="0" fontId="0" fillId="57" borderId="344" xfId="0" applyFill="1" applyBorder="1" applyAlignment="1">
      <alignment vertical="center"/>
    </xf>
    <xf numFmtId="0" fontId="43" fillId="57" borderId="344" xfId="0" applyFont="1" applyFill="1" applyBorder="1" applyAlignment="1">
      <alignment vertical="center"/>
    </xf>
    <xf numFmtId="0" fontId="53" fillId="57" borderId="71" xfId="0" applyFont="1" applyFill="1" applyBorder="1" applyAlignment="1">
      <alignment horizontal="center" vertical="center"/>
    </xf>
    <xf numFmtId="0" fontId="53" fillId="65" borderId="344" xfId="0" applyFont="1" applyFill="1" applyBorder="1" applyAlignment="1" applyProtection="1">
      <alignment horizontal="center" vertical="center"/>
      <protection locked="0"/>
    </xf>
    <xf numFmtId="0" fontId="53" fillId="65" borderId="353" xfId="0" applyFont="1" applyFill="1" applyBorder="1" applyAlignment="1" applyProtection="1">
      <alignment horizontal="center" vertical="center" wrapText="1"/>
      <protection locked="0"/>
    </xf>
    <xf numFmtId="16" fontId="53" fillId="65" borderId="344" xfId="0" applyNumberFormat="1" applyFont="1" applyFill="1" applyBorder="1" applyAlignment="1" applyProtection="1">
      <alignment horizontal="center" vertical="center" shrinkToFit="1"/>
      <protection locked="0"/>
    </xf>
    <xf numFmtId="1" fontId="53" fillId="70" borderId="344" xfId="0" applyNumberFormat="1" applyFont="1" applyFill="1" applyBorder="1" applyAlignment="1">
      <alignment horizontal="center" vertical="center"/>
    </xf>
    <xf numFmtId="0" fontId="53" fillId="65" borderId="344" xfId="0" applyFont="1" applyFill="1" applyBorder="1" applyAlignment="1" applyProtection="1">
      <alignment horizontal="center" vertical="center" shrinkToFit="1"/>
      <protection locked="0"/>
    </xf>
    <xf numFmtId="1" fontId="53" fillId="70" borderId="370" xfId="0" applyNumberFormat="1" applyFont="1" applyFill="1" applyBorder="1" applyAlignment="1">
      <alignment horizontal="center" vertical="center" shrinkToFit="1"/>
    </xf>
    <xf numFmtId="0" fontId="53" fillId="80" borderId="344" xfId="0" applyFont="1" applyFill="1" applyBorder="1" applyAlignment="1" applyProtection="1">
      <alignment horizontal="center" vertical="center" shrinkToFit="1"/>
      <protection locked="0"/>
    </xf>
    <xf numFmtId="16" fontId="53" fillId="65" borderId="353" xfId="0" applyNumberFormat="1" applyFont="1" applyFill="1" applyBorder="1" applyAlignment="1" applyProtection="1">
      <alignment horizontal="center" vertical="center" shrinkToFit="1"/>
      <protection locked="0"/>
    </xf>
    <xf numFmtId="1" fontId="53" fillId="70" borderId="344" xfId="0" applyNumberFormat="1" applyFont="1" applyFill="1" applyBorder="1" applyAlignment="1">
      <alignment horizontal="center" vertical="center" shrinkToFit="1"/>
    </xf>
    <xf numFmtId="16" fontId="53" fillId="65" borderId="366" xfId="0" applyNumberFormat="1" applyFont="1" applyFill="1" applyBorder="1" applyAlignment="1" applyProtection="1">
      <alignment horizontal="center" vertical="center" shrinkToFit="1"/>
      <protection locked="0"/>
    </xf>
    <xf numFmtId="0" fontId="200" fillId="70" borderId="372" xfId="0" applyFont="1" applyFill="1" applyBorder="1" applyAlignment="1">
      <alignment horizontal="center" vertical="center" wrapText="1" shrinkToFit="1"/>
    </xf>
    <xf numFmtId="14" fontId="0" fillId="0" borderId="229" xfId="0" applyNumberFormat="1" applyBorder="1" applyAlignment="1">
      <alignment horizontal="center" vertical="center"/>
    </xf>
    <xf numFmtId="0" fontId="201" fillId="0" borderId="344" xfId="0" applyFont="1" applyBorder="1" applyAlignment="1">
      <alignment horizontal="center" vertical="center"/>
    </xf>
    <xf numFmtId="1" fontId="0" fillId="0" borderId="344" xfId="0" applyNumberFormat="1" applyBorder="1" applyAlignment="1">
      <alignment horizontal="center" vertical="center"/>
    </xf>
    <xf numFmtId="1" fontId="43" fillId="0" borderId="276" xfId="0" applyNumberFormat="1" applyFont="1" applyBorder="1" applyAlignment="1">
      <alignment horizontal="center" vertical="center"/>
    </xf>
    <xf numFmtId="0" fontId="0" fillId="98" borderId="344" xfId="0" applyFill="1" applyBorder="1" applyAlignment="1">
      <alignment horizontal="center" vertical="center"/>
    </xf>
    <xf numFmtId="0" fontId="0" fillId="0" borderId="71" xfId="0" applyBorder="1" applyAlignment="1">
      <alignment horizontal="center" vertical="center" wrapText="1"/>
    </xf>
    <xf numFmtId="0" fontId="0" fillId="65" borderId="344" xfId="0" applyFill="1" applyBorder="1" applyAlignment="1" applyProtection="1">
      <alignment horizontal="center" vertical="center"/>
      <protection locked="0"/>
    </xf>
    <xf numFmtId="0" fontId="0" fillId="65" borderId="353" xfId="0" applyFill="1" applyBorder="1" applyAlignment="1" applyProtection="1">
      <alignment horizontal="center" vertical="center" wrapText="1"/>
      <protection locked="0"/>
    </xf>
    <xf numFmtId="0" fontId="0" fillId="0" borderId="71" xfId="0" applyBorder="1" applyAlignment="1">
      <alignment horizontal="center" vertical="center"/>
    </xf>
    <xf numFmtId="0" fontId="198" fillId="55" borderId="233" xfId="0" applyFont="1" applyFill="1" applyBorder="1" applyAlignment="1">
      <alignment horizontal="center" vertical="center"/>
    </xf>
    <xf numFmtId="14" fontId="0" fillId="57" borderId="0" xfId="0" applyNumberFormat="1" applyFill="1"/>
    <xf numFmtId="168" fontId="105" fillId="70" borderId="68" xfId="546" applyNumberFormat="1" applyFont="1" applyFill="1" applyBorder="1" applyAlignment="1">
      <alignment horizontal="center" wrapText="1"/>
    </xf>
    <xf numFmtId="0" fontId="92" fillId="99" borderId="353" xfId="412" applyNumberFormat="1" applyFont="1" applyFill="1" applyBorder="1" applyAlignment="1" applyProtection="1">
      <alignment horizontal="center" vertical="center"/>
    </xf>
    <xf numFmtId="2" fontId="61" fillId="70" borderId="344" xfId="0" applyNumberFormat="1" applyFont="1" applyFill="1" applyBorder="1" applyAlignment="1" applyProtection="1">
      <alignment horizontal="center" vertical="center"/>
      <protection locked="0"/>
    </xf>
    <xf numFmtId="0" fontId="64" fillId="57" borderId="64" xfId="412" applyNumberFormat="1" applyFont="1" applyFill="1" applyBorder="1" applyAlignment="1" applyProtection="1">
      <alignment horizontal="center" vertical="center"/>
    </xf>
    <xf numFmtId="0" fontId="196" fillId="56" borderId="64" xfId="578" applyFont="1" applyFill="1" applyBorder="1" applyAlignment="1">
      <alignment horizontal="center" vertical="center" wrapText="1"/>
    </xf>
    <xf numFmtId="167" fontId="52" fillId="0" borderId="0" xfId="0" applyNumberFormat="1" applyFont="1" applyAlignment="1">
      <alignment horizontal="right" vertical="center" indent="2"/>
    </xf>
    <xf numFmtId="0" fontId="92" fillId="0" borderId="0" xfId="412" applyNumberFormat="1" applyFont="1" applyFill="1" applyBorder="1" applyAlignment="1" applyProtection="1">
      <alignment horizontal="center" vertical="center"/>
    </xf>
    <xf numFmtId="0" fontId="143" fillId="0" borderId="0" xfId="0" applyFont="1" applyAlignment="1">
      <alignment horizontal="left" vertical="center"/>
    </xf>
    <xf numFmtId="1" fontId="0" fillId="10" borderId="373" xfId="0" applyNumberFormat="1" applyFill="1" applyBorder="1" applyAlignment="1" applyProtection="1">
      <alignment horizontal="center" vertical="center"/>
      <protection locked="0"/>
    </xf>
    <xf numFmtId="1" fontId="0" fillId="10" borderId="361" xfId="0" applyNumberFormat="1" applyFill="1" applyBorder="1" applyAlignment="1" applyProtection="1">
      <alignment horizontal="center" vertical="center"/>
      <protection locked="0"/>
    </xf>
    <xf numFmtId="0" fontId="52" fillId="29" borderId="374" xfId="578" applyFont="1" applyFill="1" applyBorder="1" applyAlignment="1" applyProtection="1">
      <alignment horizontal="center" vertical="center" wrapText="1"/>
      <protection locked="0"/>
    </xf>
    <xf numFmtId="1" fontId="0" fillId="10" borderId="374" xfId="0" applyNumberFormat="1" applyFill="1" applyBorder="1" applyAlignment="1" applyProtection="1">
      <alignment horizontal="center" vertical="center"/>
      <protection locked="0"/>
    </xf>
    <xf numFmtId="168" fontId="53" fillId="0" borderId="374" xfId="547" applyNumberFormat="1" applyFont="1" applyFill="1" applyBorder="1" applyAlignment="1" applyProtection="1">
      <alignment horizontal="center" vertical="center"/>
    </xf>
    <xf numFmtId="166" fontId="0" fillId="15" borderId="374" xfId="0" applyNumberFormat="1" applyFill="1" applyBorder="1" applyAlignment="1">
      <alignment horizontal="center" vertical="center"/>
    </xf>
    <xf numFmtId="0" fontId="0" fillId="15" borderId="374" xfId="0" applyFill="1" applyBorder="1" applyAlignment="1">
      <alignment horizontal="center" vertical="center"/>
    </xf>
    <xf numFmtId="9" fontId="41" fillId="61" borderId="374" xfId="547" applyFont="1" applyFill="1" applyBorder="1" applyAlignment="1" applyProtection="1">
      <alignment horizontal="center" vertical="center"/>
    </xf>
    <xf numFmtId="9" fontId="53" fillId="61" borderId="374" xfId="547" applyFont="1" applyFill="1" applyBorder="1" applyAlignment="1" applyProtection="1">
      <alignment horizontal="center"/>
    </xf>
    <xf numFmtId="168" fontId="53" fillId="10" borderId="361" xfId="547" applyNumberFormat="1" applyFont="1" applyFill="1" applyBorder="1" applyAlignment="1" applyProtection="1">
      <alignment horizontal="center" vertical="center"/>
      <protection locked="0"/>
    </xf>
    <xf numFmtId="0" fontId="0" fillId="15" borderId="361" xfId="0" applyFill="1" applyBorder="1" applyAlignment="1">
      <alignment horizontal="center" vertical="center"/>
    </xf>
    <xf numFmtId="1" fontId="0" fillId="86" borderId="361" xfId="0" applyNumberFormat="1" applyFill="1" applyBorder="1" applyAlignment="1" applyProtection="1">
      <alignment horizontal="center" vertical="center"/>
      <protection locked="0"/>
    </xf>
    <xf numFmtId="9" fontId="53" fillId="61" borderId="361" xfId="547" applyFont="1" applyFill="1" applyBorder="1" applyAlignment="1" applyProtection="1">
      <alignment horizontal="center" vertical="center"/>
    </xf>
    <xf numFmtId="178" fontId="0" fillId="0" borderId="0" xfId="0" applyNumberFormat="1"/>
    <xf numFmtId="168" fontId="53" fillId="10" borderId="373" xfId="547" applyNumberFormat="1" applyFont="1" applyFill="1" applyBorder="1" applyAlignment="1" applyProtection="1">
      <alignment horizontal="center" vertical="center"/>
      <protection locked="0"/>
    </xf>
    <xf numFmtId="0" fontId="0" fillId="15" borderId="373" xfId="0" applyFill="1" applyBorder="1" applyAlignment="1">
      <alignment horizontal="center" vertical="center"/>
    </xf>
    <xf numFmtId="1" fontId="0" fillId="86" borderId="373" xfId="0" applyNumberFormat="1" applyFill="1" applyBorder="1" applyAlignment="1" applyProtection="1">
      <alignment horizontal="center" vertical="center"/>
      <protection locked="0"/>
    </xf>
    <xf numFmtId="9" fontId="53" fillId="61" borderId="373" xfId="547" applyFont="1" applyFill="1" applyBorder="1" applyAlignment="1" applyProtection="1">
      <alignment horizontal="center" vertical="center"/>
    </xf>
    <xf numFmtId="1" fontId="54" fillId="0" borderId="0" xfId="0" applyNumberFormat="1" applyFont="1" applyAlignment="1" applyProtection="1">
      <alignment horizontal="center" vertical="center"/>
      <protection locked="0"/>
    </xf>
    <xf numFmtId="0" fontId="234" fillId="0" borderId="0" xfId="0" applyFont="1" applyAlignment="1">
      <alignment vertical="center"/>
    </xf>
    <xf numFmtId="0" fontId="234" fillId="0" borderId="0" xfId="0" applyFont="1"/>
    <xf numFmtId="0" fontId="0" fillId="0" borderId="376" xfId="0" applyBorder="1"/>
    <xf numFmtId="0" fontId="236" fillId="0" borderId="0" xfId="0" applyFont="1"/>
    <xf numFmtId="0" fontId="0" fillId="0" borderId="376" xfId="0" applyBorder="1" applyAlignment="1">
      <alignment horizontal="center"/>
    </xf>
    <xf numFmtId="0" fontId="101" fillId="23" borderId="128" xfId="412" applyNumberFormat="1" applyFont="1" applyFill="1" applyBorder="1" applyAlignment="1" applyProtection="1">
      <alignment horizontal="center" vertical="center"/>
    </xf>
    <xf numFmtId="0" fontId="237" fillId="88" borderId="212" xfId="0" applyFont="1" applyFill="1" applyBorder="1"/>
    <xf numFmtId="0" fontId="237" fillId="88" borderId="0" xfId="0" applyFont="1" applyFill="1"/>
    <xf numFmtId="2" fontId="0" fillId="70" borderId="376" xfId="0" applyNumberFormat="1" applyFill="1" applyBorder="1" applyAlignment="1">
      <alignment horizontal="center" vertical="center" wrapText="1"/>
    </xf>
    <xf numFmtId="0" fontId="92" fillId="70" borderId="378" xfId="412" applyFont="1" applyFill="1" applyBorder="1" applyAlignment="1">
      <alignment horizontal="center" vertical="center"/>
    </xf>
    <xf numFmtId="0" fontId="209" fillId="94" borderId="378" xfId="0" applyFont="1" applyFill="1" applyBorder="1" applyAlignment="1">
      <alignment vertical="top" wrapText="1"/>
    </xf>
    <xf numFmtId="0" fontId="0" fillId="0" borderId="378" xfId="0" applyBorder="1"/>
    <xf numFmtId="0" fontId="0" fillId="0" borderId="368" xfId="0" applyBorder="1"/>
    <xf numFmtId="2" fontId="0" fillId="70" borderId="361" xfId="0" applyNumberFormat="1" applyFill="1" applyBorder="1" applyAlignment="1">
      <alignment horizontal="center" vertical="center" wrapText="1"/>
    </xf>
    <xf numFmtId="0" fontId="0" fillId="0" borderId="380" xfId="0" applyBorder="1" applyAlignment="1">
      <alignment horizontal="center" vertical="center"/>
    </xf>
    <xf numFmtId="0" fontId="0" fillId="0" borderId="378" xfId="0" applyBorder="1" applyAlignment="1">
      <alignment horizontal="center" vertical="center"/>
    </xf>
    <xf numFmtId="0" fontId="0" fillId="0" borderId="380" xfId="0" applyBorder="1" applyAlignment="1">
      <alignment horizontal="left" vertical="center"/>
    </xf>
    <xf numFmtId="0" fontId="0" fillId="0" borderId="378" xfId="0" applyBorder="1" applyAlignment="1">
      <alignment horizontal="left" vertical="center"/>
    </xf>
    <xf numFmtId="0" fontId="163" fillId="57" borderId="366" xfId="0" applyFont="1" applyFill="1" applyBorder="1" applyAlignment="1">
      <alignment vertical="center"/>
    </xf>
    <xf numFmtId="1" fontId="52" fillId="70" borderId="378" xfId="0" applyNumberFormat="1" applyFont="1" applyFill="1" applyBorder="1" applyAlignment="1">
      <alignment horizontal="center" vertical="center" wrapText="1"/>
    </xf>
    <xf numFmtId="0" fontId="54" fillId="57" borderId="370" xfId="0" applyFont="1" applyFill="1" applyBorder="1" applyAlignment="1">
      <alignment vertical="top"/>
    </xf>
    <xf numFmtId="0" fontId="54" fillId="57" borderId="366" xfId="0" applyFont="1" applyFill="1" applyBorder="1" applyAlignment="1">
      <alignment vertical="top"/>
    </xf>
    <xf numFmtId="0" fontId="196" fillId="0" borderId="0" xfId="0" applyFont="1"/>
    <xf numFmtId="167" fontId="53" fillId="0" borderId="386" xfId="578" applyNumberFormat="1" applyFont="1" applyBorder="1" applyAlignment="1">
      <alignment horizontal="center" vertical="center" wrapText="1"/>
    </xf>
    <xf numFmtId="0" fontId="0" fillId="57" borderId="71" xfId="0" applyFill="1" applyBorder="1" applyAlignment="1">
      <alignment horizontal="center" vertical="center"/>
    </xf>
    <xf numFmtId="0" fontId="42" fillId="57" borderId="71" xfId="0" applyFont="1" applyFill="1" applyBorder="1" applyAlignment="1">
      <alignment horizontal="center" vertical="center" wrapText="1"/>
    </xf>
    <xf numFmtId="0" fontId="42" fillId="57" borderId="71" xfId="0" applyFont="1" applyFill="1" applyBorder="1" applyAlignment="1">
      <alignment horizontal="center" vertical="center"/>
    </xf>
    <xf numFmtId="0" fontId="0" fillId="57" borderId="71" xfId="0" applyFill="1" applyBorder="1" applyAlignment="1">
      <alignment horizontal="center" vertical="center" wrapText="1"/>
    </xf>
    <xf numFmtId="0" fontId="43" fillId="57" borderId="71" xfId="0" applyFont="1" applyFill="1" applyBorder="1" applyAlignment="1">
      <alignment horizontal="center" vertical="center" wrapText="1"/>
    </xf>
    <xf numFmtId="14" fontId="0" fillId="65" borderId="361" xfId="0" applyNumberFormat="1" applyFill="1" applyBorder="1" applyAlignment="1" applyProtection="1">
      <alignment horizontal="center" vertical="center"/>
      <protection locked="0"/>
    </xf>
    <xf numFmtId="0" fontId="0" fillId="65" borderId="361" xfId="0" applyFill="1" applyBorder="1" applyAlignment="1" applyProtection="1">
      <alignment horizontal="center" vertical="center"/>
      <protection locked="0"/>
    </xf>
    <xf numFmtId="2" fontId="0" fillId="65" borderId="361" xfId="0" applyNumberFormat="1" applyFill="1" applyBorder="1" applyAlignment="1" applyProtection="1">
      <alignment horizontal="center" vertical="center"/>
      <protection locked="0"/>
    </xf>
    <xf numFmtId="0" fontId="48" fillId="68" borderId="361" xfId="0" applyFont="1" applyFill="1" applyBorder="1" applyAlignment="1" applyProtection="1">
      <alignment horizontal="center" vertical="center"/>
      <protection locked="0"/>
    </xf>
    <xf numFmtId="14" fontId="0" fillId="65" borderId="376" xfId="0" applyNumberFormat="1" applyFill="1" applyBorder="1" applyAlignment="1" applyProtection="1">
      <alignment horizontal="center" vertical="center"/>
      <protection locked="0"/>
    </xf>
    <xf numFmtId="0" fontId="0" fillId="65" borderId="376" xfId="0" applyFill="1" applyBorder="1" applyAlignment="1" applyProtection="1">
      <alignment horizontal="center" vertical="center"/>
      <protection locked="0"/>
    </xf>
    <xf numFmtId="0" fontId="0" fillId="100" borderId="376" xfId="0" applyFill="1" applyBorder="1" applyAlignment="1" applyProtection="1">
      <alignment horizontal="center" vertical="center"/>
      <protection locked="0"/>
    </xf>
    <xf numFmtId="0" fontId="52" fillId="65" borderId="375" xfId="0" applyFont="1" applyFill="1" applyBorder="1" applyAlignment="1" applyProtection="1">
      <alignment horizontal="center" vertical="center"/>
      <protection locked="0"/>
    </xf>
    <xf numFmtId="0" fontId="52" fillId="0" borderId="334" xfId="0" applyFont="1" applyBorder="1" applyAlignment="1">
      <alignment horizontal="center" vertical="center"/>
    </xf>
    <xf numFmtId="0" fontId="160" fillId="23" borderId="10" xfId="412" applyNumberFormat="1" applyFont="1" applyFill="1" applyBorder="1" applyAlignment="1" applyProtection="1">
      <alignment horizontal="center" vertical="center"/>
    </xf>
    <xf numFmtId="0" fontId="61" fillId="15" borderId="381" xfId="578" applyFont="1" applyFill="1" applyBorder="1"/>
    <xf numFmtId="0" fontId="0" fillId="15" borderId="193" xfId="0" applyFill="1" applyBorder="1"/>
    <xf numFmtId="0" fontId="0" fillId="15" borderId="195" xfId="0" applyFill="1" applyBorder="1"/>
    <xf numFmtId="0" fontId="54" fillId="10" borderId="392" xfId="578" applyFont="1" applyFill="1" applyBorder="1" applyAlignment="1">
      <alignment horizontal="left" vertical="center"/>
    </xf>
    <xf numFmtId="0" fontId="53" fillId="56" borderId="382" xfId="578" applyFont="1" applyFill="1" applyBorder="1" applyAlignment="1">
      <alignment vertical="center"/>
    </xf>
    <xf numFmtId="0" fontId="112" fillId="56" borderId="391" xfId="578" applyFill="1" applyBorder="1"/>
    <xf numFmtId="0" fontId="112" fillId="9" borderId="396" xfId="578" applyFill="1" applyBorder="1"/>
    <xf numFmtId="0" fontId="53" fillId="56" borderId="362" xfId="578" applyFont="1" applyFill="1" applyBorder="1" applyAlignment="1">
      <alignment vertical="center"/>
    </xf>
    <xf numFmtId="0" fontId="0" fillId="57" borderId="364" xfId="0" applyFill="1" applyBorder="1"/>
    <xf numFmtId="0" fontId="61" fillId="58" borderId="392" xfId="578" applyFont="1" applyFill="1" applyBorder="1" applyAlignment="1">
      <alignment horizontal="left" vertical="center"/>
    </xf>
    <xf numFmtId="0" fontId="0" fillId="58" borderId="397" xfId="0" applyFill="1" applyBorder="1"/>
    <xf numFmtId="0" fontId="112" fillId="58" borderId="398" xfId="578" applyFill="1" applyBorder="1"/>
    <xf numFmtId="0" fontId="52" fillId="58" borderId="381" xfId="578" applyFont="1" applyFill="1" applyBorder="1" applyAlignment="1">
      <alignment horizontal="left" vertical="center"/>
    </xf>
    <xf numFmtId="0" fontId="54" fillId="58" borderId="193" xfId="578" applyFont="1" applyFill="1" applyBorder="1" applyAlignment="1">
      <alignment horizontal="left" vertical="center"/>
    </xf>
    <xf numFmtId="0" fontId="54" fillId="58" borderId="195" xfId="578" applyFont="1" applyFill="1" applyBorder="1" applyAlignment="1">
      <alignment horizontal="left" vertical="center"/>
    </xf>
    <xf numFmtId="0" fontId="53" fillId="101" borderId="21" xfId="578" applyFont="1" applyFill="1" applyBorder="1" applyAlignment="1" applyProtection="1">
      <alignment horizontal="center" vertical="center" wrapText="1"/>
      <protection locked="0"/>
    </xf>
    <xf numFmtId="0" fontId="42" fillId="0" borderId="0" xfId="578" applyFont="1" applyAlignment="1">
      <alignment horizontal="center" vertical="center" wrapText="1"/>
    </xf>
    <xf numFmtId="0" fontId="42" fillId="0" borderId="238" xfId="578" applyFont="1" applyBorder="1" applyAlignment="1">
      <alignment horizontal="center" vertical="center" wrapText="1"/>
    </xf>
    <xf numFmtId="0" fontId="42" fillId="0" borderId="416" xfId="578" applyFont="1" applyBorder="1" applyAlignment="1">
      <alignment horizontal="center" vertical="center" wrapText="1"/>
    </xf>
    <xf numFmtId="0" fontId="43" fillId="0" borderId="0" xfId="0" applyFont="1" applyAlignment="1">
      <alignment vertical="center"/>
    </xf>
    <xf numFmtId="0" fontId="43" fillId="15" borderId="0" xfId="0" applyFont="1" applyFill="1" applyAlignment="1">
      <alignment vertical="center"/>
    </xf>
    <xf numFmtId="49" fontId="53" fillId="10" borderId="49" xfId="578" applyNumberFormat="1" applyFont="1" applyFill="1" applyBorder="1" applyAlignment="1" applyProtection="1">
      <alignment horizontal="center" vertical="center" wrapText="1"/>
      <protection locked="0"/>
    </xf>
    <xf numFmtId="49" fontId="53" fillId="10" borderId="21" xfId="578" applyNumberFormat="1" applyFont="1" applyFill="1" applyBorder="1" applyAlignment="1" applyProtection="1">
      <alignment horizontal="center" vertical="center" wrapText="1"/>
      <protection locked="0"/>
    </xf>
    <xf numFmtId="49" fontId="53" fillId="104" borderId="21" xfId="578" applyNumberFormat="1" applyFont="1" applyFill="1" applyBorder="1" applyAlignment="1" applyProtection="1">
      <alignment horizontal="center" vertical="center" wrapText="1"/>
      <protection locked="0"/>
    </xf>
    <xf numFmtId="2" fontId="53" fillId="10" borderId="21" xfId="578" applyNumberFormat="1" applyFont="1" applyFill="1" applyBorder="1" applyAlignment="1" applyProtection="1">
      <alignment horizontal="center" vertical="center" shrinkToFit="1"/>
      <protection locked="0"/>
    </xf>
    <xf numFmtId="2" fontId="53" fillId="0" borderId="49" xfId="578" applyNumberFormat="1" applyFont="1" applyBorder="1" applyAlignment="1">
      <alignment horizontal="center" vertical="center" shrinkToFit="1"/>
    </xf>
    <xf numFmtId="0" fontId="160" fillId="70" borderId="378" xfId="412" applyNumberFormat="1" applyFont="1" applyFill="1" applyBorder="1" applyAlignment="1" applyProtection="1">
      <alignment horizontal="center" vertical="center"/>
    </xf>
    <xf numFmtId="49" fontId="243" fillId="35" borderId="49" xfId="578" applyNumberFormat="1" applyFont="1" applyFill="1" applyBorder="1" applyAlignment="1" applyProtection="1">
      <alignment horizontal="center" vertical="center" wrapText="1"/>
      <protection locked="0"/>
    </xf>
    <xf numFmtId="14" fontId="0" fillId="0" borderId="0" xfId="0" applyNumberFormat="1" applyAlignment="1">
      <alignment horizontal="right"/>
    </xf>
    <xf numFmtId="0" fontId="93" fillId="46" borderId="47" xfId="586" applyFont="1" applyFill="1" applyBorder="1" applyAlignment="1">
      <alignment horizontal="center" vertical="center" wrapText="1"/>
    </xf>
    <xf numFmtId="0" fontId="128" fillId="0" borderId="0" xfId="0" applyFont="1" applyAlignment="1">
      <alignment vertical="center" wrapText="1"/>
    </xf>
    <xf numFmtId="0" fontId="24" fillId="0" borderId="134" xfId="578" applyFont="1" applyBorder="1" applyAlignment="1">
      <alignment horizontal="left" vertical="center"/>
    </xf>
    <xf numFmtId="0" fontId="38" fillId="0" borderId="71" xfId="578" applyFont="1" applyBorder="1" applyAlignment="1">
      <alignment horizontal="center" vertical="center"/>
    </xf>
    <xf numFmtId="171" fontId="53" fillId="0" borderId="397" xfId="578" applyNumberFormat="1" applyFont="1" applyBorder="1" applyAlignment="1" applyProtection="1">
      <alignment horizontal="center" vertical="center" shrinkToFit="1"/>
      <protection locked="0"/>
    </xf>
    <xf numFmtId="0" fontId="53" fillId="0" borderId="397" xfId="578" applyFont="1" applyBorder="1" applyAlignment="1" applyProtection="1">
      <alignment horizontal="center" vertical="center" wrapText="1"/>
      <protection locked="0"/>
    </xf>
    <xf numFmtId="171" fontId="53" fillId="0" borderId="0" xfId="578" applyNumberFormat="1" applyFont="1" applyAlignment="1" applyProtection="1">
      <alignment horizontal="center" vertical="center" shrinkToFit="1"/>
      <protection locked="0"/>
    </xf>
    <xf numFmtId="0" fontId="53" fillId="0" borderId="0" xfId="578" applyFont="1" applyAlignment="1" applyProtection="1">
      <alignment horizontal="center" vertical="center" wrapText="1"/>
      <protection locked="0"/>
    </xf>
    <xf numFmtId="0" fontId="92" fillId="70" borderId="378" xfId="412" applyNumberFormat="1" applyFont="1" applyFill="1" applyBorder="1" applyAlignment="1" applyProtection="1">
      <alignment horizontal="center" vertical="center"/>
    </xf>
    <xf numFmtId="0" fontId="52" fillId="15" borderId="419" xfId="0" applyFont="1" applyFill="1" applyBorder="1" applyAlignment="1">
      <alignment horizontal="center" vertical="center"/>
    </xf>
    <xf numFmtId="0" fontId="43" fillId="15" borderId="134" xfId="0" applyFont="1" applyFill="1" applyBorder="1" applyAlignment="1">
      <alignment horizontal="center" vertical="center"/>
    </xf>
    <xf numFmtId="0" fontId="71" fillId="18" borderId="378" xfId="412" applyNumberFormat="1" applyFont="1" applyFill="1" applyBorder="1" applyAlignment="1" applyProtection="1">
      <alignment horizontal="center" vertical="center"/>
    </xf>
    <xf numFmtId="0" fontId="92" fillId="18" borderId="378" xfId="412" applyNumberFormat="1" applyFont="1" applyFill="1" applyBorder="1" applyProtection="1"/>
    <xf numFmtId="14" fontId="93" fillId="46" borderId="386" xfId="586" applyNumberFormat="1" applyFont="1" applyFill="1" applyBorder="1" applyAlignment="1">
      <alignment horizontal="center" vertical="center" wrapText="1"/>
    </xf>
    <xf numFmtId="0" fontId="93" fillId="46" borderId="386" xfId="586" applyFont="1" applyFill="1" applyBorder="1" applyAlignment="1">
      <alignment horizontal="center" vertical="center" wrapText="1"/>
    </xf>
    <xf numFmtId="171" fontId="53" fillId="10" borderId="386" xfId="578" applyNumberFormat="1" applyFont="1" applyFill="1" applyBorder="1" applyAlignment="1" applyProtection="1">
      <alignment horizontal="center" vertical="center" shrinkToFit="1"/>
      <protection locked="0"/>
    </xf>
    <xf numFmtId="2" fontId="53" fillId="10" borderId="386" xfId="578" applyNumberFormat="1" applyFont="1" applyFill="1" applyBorder="1" applyAlignment="1" applyProtection="1">
      <alignment horizontal="center" vertical="center" wrapText="1"/>
      <protection locked="0"/>
    </xf>
    <xf numFmtId="0" fontId="53" fillId="10" borderId="386" xfId="578" applyFont="1" applyFill="1" applyBorder="1" applyAlignment="1" applyProtection="1">
      <alignment horizontal="center" vertical="center" wrapText="1"/>
      <protection locked="0"/>
    </xf>
    <xf numFmtId="0" fontId="0" fillId="0" borderId="435" xfId="0" applyBorder="1"/>
    <xf numFmtId="0" fontId="38" fillId="0" borderId="434" xfId="578" applyFont="1" applyBorder="1" applyAlignment="1">
      <alignment horizontal="right" vertical="center"/>
    </xf>
    <xf numFmtId="0" fontId="38" fillId="0" borderId="440" xfId="578" applyFont="1" applyBorder="1" applyAlignment="1">
      <alignment horizontal="right" vertical="center"/>
    </xf>
    <xf numFmtId="0" fontId="24" fillId="0" borderId="348" xfId="578" applyFont="1" applyBorder="1" applyAlignment="1">
      <alignment horizontal="right" vertical="center"/>
    </xf>
    <xf numFmtId="0" fontId="24" fillId="0" borderId="349" xfId="578" applyFont="1" applyBorder="1" applyAlignment="1">
      <alignment horizontal="right" vertical="center"/>
    </xf>
    <xf numFmtId="0" fontId="52" fillId="0" borderId="439" xfId="578" applyFont="1" applyBorder="1" applyAlignment="1">
      <alignment horizontal="center" vertical="center"/>
    </xf>
    <xf numFmtId="0" fontId="52" fillId="0" borderId="127" xfId="578" applyFont="1" applyBorder="1" applyAlignment="1">
      <alignment horizontal="center" vertical="center"/>
    </xf>
    <xf numFmtId="0" fontId="52" fillId="15" borderId="439" xfId="0" applyFont="1" applyFill="1" applyBorder="1" applyAlignment="1">
      <alignment horizontal="center" vertical="center"/>
    </xf>
    <xf numFmtId="0" fontId="52" fillId="15" borderId="127" xfId="0" applyFont="1" applyFill="1" applyBorder="1" applyAlignment="1">
      <alignment horizontal="center" vertical="center"/>
    </xf>
    <xf numFmtId="0" fontId="53" fillId="10" borderId="444" xfId="578" applyFont="1" applyFill="1" applyBorder="1" applyAlignment="1" applyProtection="1">
      <alignment horizontal="center" vertical="center" wrapText="1"/>
      <protection locked="0"/>
    </xf>
    <xf numFmtId="0" fontId="53" fillId="10" borderId="445" xfId="578" applyFont="1" applyFill="1" applyBorder="1" applyAlignment="1" applyProtection="1">
      <alignment horizontal="center" vertical="center" wrapText="1"/>
      <protection locked="0"/>
    </xf>
    <xf numFmtId="0" fontId="53" fillId="10" borderId="446" xfId="578" applyFont="1" applyFill="1" applyBorder="1" applyAlignment="1" applyProtection="1">
      <alignment horizontal="center" vertical="center" wrapText="1"/>
      <protection locked="0"/>
    </xf>
    <xf numFmtId="0" fontId="0" fillId="0" borderId="447" xfId="0" applyBorder="1" applyAlignment="1" applyProtection="1">
      <alignment vertical="center"/>
      <protection locked="0"/>
    </xf>
    <xf numFmtId="0" fontId="0" fillId="0" borderId="447" xfId="0" applyBorder="1" applyProtection="1">
      <protection locked="0"/>
    </xf>
    <xf numFmtId="0" fontId="0" fillId="0" borderId="448" xfId="0" applyBorder="1"/>
    <xf numFmtId="41" fontId="54" fillId="19" borderId="64" xfId="0" applyNumberFormat="1" applyFont="1" applyFill="1" applyBorder="1" applyAlignment="1" applyProtection="1">
      <alignment horizontal="center" vertical="center" wrapText="1"/>
      <protection locked="0"/>
    </xf>
    <xf numFmtId="41" fontId="52" fillId="0" borderId="64" xfId="0" applyNumberFormat="1" applyFont="1" applyBorder="1" applyAlignment="1">
      <alignment horizontal="center" vertical="center" wrapText="1"/>
    </xf>
    <xf numFmtId="41" fontId="52" fillId="0" borderId="230" xfId="0" applyNumberFormat="1" applyFont="1" applyBorder="1" applyAlignment="1">
      <alignment horizontal="center" vertical="center"/>
    </xf>
    <xf numFmtId="41" fontId="54" fillId="19" borderId="64" xfId="0" applyNumberFormat="1" applyFont="1" applyFill="1" applyBorder="1" applyAlignment="1" applyProtection="1">
      <alignment vertical="center" wrapText="1"/>
      <protection locked="0"/>
    </xf>
    <xf numFmtId="41" fontId="52" fillId="0" borderId="64" xfId="0" applyNumberFormat="1" applyFont="1" applyBorder="1" applyAlignment="1">
      <alignment horizontal="center" vertical="center"/>
    </xf>
    <xf numFmtId="0" fontId="53" fillId="86" borderId="49" xfId="578" applyFont="1" applyFill="1" applyBorder="1" applyAlignment="1" applyProtection="1">
      <alignment horizontal="center" vertical="center" wrapText="1"/>
      <protection locked="0"/>
    </xf>
    <xf numFmtId="0" fontId="42" fillId="68" borderId="64" xfId="0" applyFont="1" applyFill="1" applyBorder="1" applyAlignment="1" applyProtection="1">
      <alignment horizontal="left" vertical="center" wrapText="1" shrinkToFit="1"/>
      <protection locked="0" hidden="1"/>
    </xf>
    <xf numFmtId="0" fontId="42" fillId="68" borderId="64" xfId="0" applyFont="1" applyFill="1" applyBorder="1" applyAlignment="1" applyProtection="1">
      <alignment horizontal="left" vertical="center" shrinkToFit="1"/>
      <protection locked="0" hidden="1"/>
    </xf>
    <xf numFmtId="2" fontId="0" fillId="0" borderId="21" xfId="578" applyNumberFormat="1" applyFont="1" applyBorder="1" applyAlignment="1">
      <alignment horizontal="center" vertical="center"/>
    </xf>
    <xf numFmtId="2" fontId="0" fillId="0" borderId="11" xfId="578" applyNumberFormat="1" applyFont="1" applyBorder="1" applyAlignment="1">
      <alignment horizontal="center" vertical="center"/>
    </xf>
    <xf numFmtId="14" fontId="54" fillId="0" borderId="448" xfId="0" applyNumberFormat="1" applyFont="1" applyBorder="1" applyAlignment="1" applyProtection="1">
      <alignment horizontal="center" vertical="center" shrinkToFit="1"/>
      <protection locked="0"/>
    </xf>
    <xf numFmtId="0" fontId="61" fillId="0" borderId="448" xfId="0" applyFont="1" applyBorder="1" applyAlignment="1">
      <alignment horizontal="center" vertical="center"/>
    </xf>
    <xf numFmtId="14" fontId="54" fillId="0" borderId="448" xfId="0" applyNumberFormat="1" applyFont="1" applyBorder="1" applyAlignment="1" applyProtection="1">
      <alignment horizontal="center" vertical="center"/>
      <protection locked="0"/>
    </xf>
    <xf numFmtId="0" fontId="54" fillId="82" borderId="449" xfId="555" applyFont="1" applyFill="1" applyBorder="1" applyAlignment="1">
      <alignment vertical="center"/>
    </xf>
    <xf numFmtId="0" fontId="54" fillId="82" borderId="0" xfId="555" applyFont="1" applyFill="1" applyAlignment="1">
      <alignment vertical="center"/>
    </xf>
    <xf numFmtId="0" fontId="0" fillId="93" borderId="360" xfId="0" applyFill="1" applyBorder="1"/>
    <xf numFmtId="0" fontId="0" fillId="93" borderId="360" xfId="0" applyFill="1" applyBorder="1" applyAlignment="1">
      <alignment horizontal="center"/>
    </xf>
    <xf numFmtId="0" fontId="0" fillId="0" borderId="450" xfId="0" applyBorder="1" applyAlignment="1">
      <alignment horizontal="center" vertical="center"/>
    </xf>
    <xf numFmtId="0" fontId="0" fillId="0" borderId="450" xfId="0" applyBorder="1"/>
    <xf numFmtId="49" fontId="0" fillId="0" borderId="332" xfId="0" applyNumberFormat="1" applyBorder="1"/>
    <xf numFmtId="2" fontId="0" fillId="0" borderId="334" xfId="0" applyNumberFormat="1" applyBorder="1"/>
    <xf numFmtId="0" fontId="42" fillId="0" borderId="262" xfId="0" applyFont="1" applyBorder="1" applyAlignment="1">
      <alignment horizontal="center" vertical="center" wrapText="1"/>
    </xf>
    <xf numFmtId="0" fontId="42" fillId="0" borderId="263" xfId="0" applyFont="1" applyBorder="1" applyAlignment="1">
      <alignment horizontal="center" vertical="center" wrapText="1"/>
    </xf>
    <xf numFmtId="14" fontId="54" fillId="0" borderId="450" xfId="0" applyNumberFormat="1" applyFont="1" applyBorder="1" applyAlignment="1" applyProtection="1">
      <alignment horizontal="center" vertical="center" shrinkToFit="1"/>
      <protection locked="0"/>
    </xf>
    <xf numFmtId="166" fontId="0" fillId="0" borderId="450" xfId="0" applyNumberFormat="1" applyBorder="1"/>
    <xf numFmtId="4" fontId="54" fillId="0" borderId="0" xfId="0" applyNumberFormat="1" applyFont="1" applyAlignment="1" applyProtection="1">
      <alignment horizontal="right" vertical="center" shrinkToFit="1"/>
      <protection locked="0"/>
    </xf>
    <xf numFmtId="0" fontId="52" fillId="0" borderId="451" xfId="0" applyFont="1" applyBorder="1" applyAlignment="1">
      <alignment horizontal="center" vertical="center" wrapText="1"/>
    </xf>
    <xf numFmtId="0" fontId="52" fillId="0" borderId="186" xfId="0" applyFont="1" applyBorder="1" applyAlignment="1">
      <alignment horizontal="center" vertical="center" wrapText="1"/>
    </xf>
    <xf numFmtId="0" fontId="52" fillId="0" borderId="380" xfId="0" applyFont="1" applyBorder="1" applyAlignment="1">
      <alignment horizontal="center" vertical="center" wrapText="1"/>
    </xf>
    <xf numFmtId="0" fontId="53" fillId="18" borderId="192" xfId="0" applyFont="1" applyFill="1" applyBorder="1" applyAlignment="1">
      <alignment horizontal="left" vertical="center"/>
    </xf>
    <xf numFmtId="0" fontId="53" fillId="18" borderId="450" xfId="0" applyFont="1" applyFill="1" applyBorder="1" applyAlignment="1">
      <alignment horizontal="center" vertical="center" wrapText="1"/>
    </xf>
    <xf numFmtId="0" fontId="112" fillId="29" borderId="450" xfId="578" applyFill="1" applyBorder="1" applyAlignment="1" applyProtection="1">
      <alignment horizontal="center" vertical="center" wrapText="1"/>
      <protection locked="0"/>
    </xf>
    <xf numFmtId="4" fontId="54" fillId="19" borderId="450" xfId="0" applyNumberFormat="1" applyFont="1" applyFill="1" applyBorder="1" applyAlignment="1" applyProtection="1">
      <alignment horizontal="right" vertical="center" shrinkToFit="1"/>
      <protection locked="0"/>
    </xf>
    <xf numFmtId="0" fontId="54" fillId="0" borderId="442" xfId="0" applyFont="1" applyBorder="1" applyAlignment="1">
      <alignment horizontal="left" vertical="center"/>
    </xf>
    <xf numFmtId="0" fontId="53" fillId="0" borderId="439" xfId="0" applyFont="1" applyBorder="1" applyAlignment="1">
      <alignment horizontal="center" vertical="center"/>
    </xf>
    <xf numFmtId="0" fontId="0" fillId="57" borderId="0" xfId="0" applyFill="1" applyAlignment="1">
      <alignment horizontal="left" vertical="center" wrapText="1"/>
    </xf>
    <xf numFmtId="1" fontId="0" fillId="0" borderId="450" xfId="0" applyNumberFormat="1" applyBorder="1"/>
    <xf numFmtId="0" fontId="0" fillId="0" borderId="439" xfId="0" applyBorder="1" applyAlignment="1">
      <alignment horizontal="center"/>
    </xf>
    <xf numFmtId="0" fontId="0" fillId="0" borderId="263" xfId="0" applyBorder="1" applyAlignment="1">
      <alignment vertical="center" wrapText="1"/>
    </xf>
    <xf numFmtId="0" fontId="0" fillId="0" borderId="232" xfId="0" applyBorder="1"/>
    <xf numFmtId="0" fontId="0" fillId="0" borderId="263" xfId="0" applyBorder="1"/>
    <xf numFmtId="166" fontId="30" fillId="0" borderId="64" xfId="546" applyNumberFormat="1" applyFont="1" applyFill="1" applyBorder="1" applyAlignment="1" applyProtection="1">
      <alignment horizontal="center" vertical="center"/>
    </xf>
    <xf numFmtId="0" fontId="0" fillId="0" borderId="442" xfId="0" applyBorder="1"/>
    <xf numFmtId="0" fontId="92" fillId="0" borderId="0" xfId="412" applyNumberFormat="1" applyFont="1" applyFill="1" applyBorder="1" applyAlignment="1" applyProtection="1">
      <alignment vertical="center"/>
    </xf>
    <xf numFmtId="0" fontId="0" fillId="0" borderId="291" xfId="0" applyBorder="1" applyAlignment="1">
      <alignment horizontal="left"/>
    </xf>
    <xf numFmtId="0" fontId="0" fillId="0" borderId="255" xfId="0" applyBorder="1" applyAlignment="1">
      <alignment horizontal="left"/>
    </xf>
    <xf numFmtId="0" fontId="0" fillId="0" borderId="290" xfId="0" applyBorder="1" applyAlignment="1">
      <alignment horizontal="left"/>
    </xf>
    <xf numFmtId="0" fontId="175" fillId="55" borderId="284" xfId="0" applyFont="1" applyFill="1" applyBorder="1" applyAlignment="1">
      <alignment horizontal="left"/>
    </xf>
    <xf numFmtId="0" fontId="175" fillId="55" borderId="193" xfId="0" applyFont="1" applyFill="1" applyBorder="1" applyAlignment="1">
      <alignment horizontal="left"/>
    </xf>
    <xf numFmtId="0" fontId="175" fillId="55" borderId="273" xfId="0" applyFont="1" applyFill="1" applyBorder="1" applyAlignment="1">
      <alignment horizontal="left"/>
    </xf>
    <xf numFmtId="0" fontId="175" fillId="55" borderId="164" xfId="0" applyFont="1" applyFill="1" applyBorder="1" applyAlignment="1">
      <alignment horizontal="left"/>
    </xf>
    <xf numFmtId="0" fontId="175" fillId="55" borderId="283" xfId="0" applyFont="1" applyFill="1" applyBorder="1" applyAlignment="1">
      <alignment horizontal="left"/>
    </xf>
    <xf numFmtId="0" fontId="175" fillId="55" borderId="284" xfId="0" applyFont="1" applyFill="1" applyBorder="1" applyAlignment="1">
      <alignment horizontal="left" wrapText="1"/>
    </xf>
    <xf numFmtId="0" fontId="0" fillId="69" borderId="271" xfId="0" applyFill="1" applyBorder="1" applyAlignment="1">
      <alignment horizontal="center" vertical="center" wrapText="1"/>
    </xf>
    <xf numFmtId="0" fontId="0" fillId="69" borderId="0" xfId="0" applyFill="1" applyAlignment="1">
      <alignment horizontal="center" vertical="center" wrapText="1"/>
    </xf>
    <xf numFmtId="0" fontId="0" fillId="0" borderId="256" xfId="0" applyBorder="1" applyAlignment="1">
      <alignment horizontal="left"/>
    </xf>
    <xf numFmtId="2" fontId="54" fillId="19" borderId="461" xfId="0" applyNumberFormat="1" applyFont="1" applyFill="1" applyBorder="1" applyAlignment="1" applyProtection="1">
      <alignment horizontal="center" vertical="center" shrinkToFit="1"/>
      <protection locked="0"/>
    </xf>
    <xf numFmtId="0" fontId="245" fillId="82" borderId="211" xfId="0" applyFont="1" applyFill="1" applyBorder="1" applyAlignment="1">
      <alignment horizontal="left" vertical="center"/>
    </xf>
    <xf numFmtId="0" fontId="246" fillId="92" borderId="0" xfId="0" applyFont="1" applyFill="1" applyAlignment="1">
      <alignment horizontal="left"/>
    </xf>
    <xf numFmtId="0" fontId="69" fillId="82" borderId="211" xfId="0" applyFont="1" applyFill="1" applyBorder="1" applyAlignment="1">
      <alignment horizontal="left" vertical="center"/>
    </xf>
    <xf numFmtId="0" fontId="69" fillId="82" borderId="0" xfId="0" applyFont="1" applyFill="1" applyAlignment="1">
      <alignment horizontal="left" vertical="center"/>
    </xf>
    <xf numFmtId="41" fontId="52" fillId="0" borderId="460" xfId="0" applyNumberFormat="1" applyFont="1" applyBorder="1" applyAlignment="1">
      <alignment horizontal="center" vertical="center"/>
    </xf>
    <xf numFmtId="0" fontId="175" fillId="55" borderId="231" xfId="0" applyFont="1" applyFill="1" applyBorder="1" applyAlignment="1">
      <alignment horizontal="left"/>
    </xf>
    <xf numFmtId="0" fontId="175" fillId="55" borderId="285" xfId="0" applyFont="1" applyFill="1" applyBorder="1" applyAlignment="1">
      <alignment horizontal="left"/>
    </xf>
    <xf numFmtId="0" fontId="0" fillId="0" borderId="457" xfId="0" applyBorder="1" applyAlignment="1">
      <alignment horizontal="center" vertical="center"/>
    </xf>
    <xf numFmtId="2" fontId="0" fillId="0" borderId="143" xfId="0" applyNumberFormat="1" applyBorder="1" applyAlignment="1">
      <alignment horizontal="center" vertical="center" wrapText="1"/>
    </xf>
    <xf numFmtId="0" fontId="112" fillId="29" borderId="143" xfId="578" applyFill="1" applyBorder="1" applyAlignment="1" applyProtection="1">
      <alignment horizontal="center" vertical="center" wrapText="1"/>
      <protection locked="0"/>
    </xf>
    <xf numFmtId="4" fontId="54" fillId="19" borderId="143" xfId="0" applyNumberFormat="1" applyFont="1" applyFill="1" applyBorder="1" applyAlignment="1" applyProtection="1">
      <alignment horizontal="right" vertical="center" shrinkToFit="1"/>
      <protection locked="0"/>
    </xf>
    <xf numFmtId="0" fontId="52" fillId="0" borderId="467" xfId="0" applyFont="1" applyBorder="1" applyAlignment="1">
      <alignment horizontal="left" vertical="center"/>
    </xf>
    <xf numFmtId="0" fontId="0" fillId="82" borderId="0" xfId="0" applyFill="1" applyAlignment="1">
      <alignment horizontal="left" vertical="center"/>
    </xf>
    <xf numFmtId="0" fontId="248" fillId="82" borderId="449" xfId="555" applyFont="1" applyFill="1" applyBorder="1" applyAlignment="1">
      <alignment vertical="center"/>
    </xf>
    <xf numFmtId="0" fontId="249" fillId="82" borderId="210" xfId="0" applyFont="1" applyFill="1" applyBorder="1" applyAlignment="1">
      <alignment horizontal="left" vertical="center"/>
    </xf>
    <xf numFmtId="0" fontId="0" fillId="105" borderId="0" xfId="0" applyFill="1"/>
    <xf numFmtId="0" fontId="0" fillId="105" borderId="0" xfId="0" applyFill="1" applyAlignment="1">
      <alignment horizontal="center" vertical="center"/>
    </xf>
    <xf numFmtId="0" fontId="0" fillId="105" borderId="0" xfId="0" applyFill="1" applyAlignment="1">
      <alignment horizontal="center" vertical="center" wrapText="1"/>
    </xf>
    <xf numFmtId="0" fontId="0" fillId="0" borderId="460" xfId="0" applyBorder="1"/>
    <xf numFmtId="14" fontId="54" fillId="0" borderId="460" xfId="0" applyNumberFormat="1" applyFont="1" applyBorder="1" applyAlignment="1" applyProtection="1">
      <alignment horizontal="center" vertical="center" shrinkToFit="1"/>
      <protection locked="0"/>
    </xf>
    <xf numFmtId="0" fontId="42" fillId="0" borderId="471" xfId="0" applyFont="1" applyBorder="1" applyAlignment="1">
      <alignment horizontal="right" vertical="center" indent="1"/>
    </xf>
    <xf numFmtId="167" fontId="52" fillId="0" borderId="471" xfId="0" applyNumberFormat="1" applyFont="1" applyBorder="1" applyAlignment="1">
      <alignment horizontal="right" vertical="center" indent="2"/>
    </xf>
    <xf numFmtId="14" fontId="54" fillId="0" borderId="448" xfId="0" applyNumberFormat="1" applyFont="1" applyBorder="1" applyAlignment="1" applyProtection="1">
      <alignment horizontal="center" vertical="center"/>
      <protection locked="0"/>
    </xf>
    <xf numFmtId="0" fontId="156" fillId="44" borderId="0" xfId="578" applyFont="1" applyFill="1" applyAlignment="1">
      <alignment horizontal="center" vertical="center" wrapText="1"/>
    </xf>
    <xf numFmtId="0" fontId="143" fillId="43" borderId="0" xfId="578" applyFont="1" applyFill="1" applyAlignment="1">
      <alignment horizontal="center" vertical="center" wrapText="1"/>
    </xf>
    <xf numFmtId="0" fontId="64" fillId="15" borderId="0" xfId="412" applyNumberFormat="1" applyFont="1" applyFill="1" applyBorder="1" applyAlignment="1" applyProtection="1">
      <alignment horizontal="center" vertical="center"/>
    </xf>
    <xf numFmtId="0" fontId="67" fillId="15" borderId="0" xfId="0" applyFont="1" applyFill="1" applyAlignment="1">
      <alignment horizontal="left" vertical="center" wrapText="1" indent="1"/>
    </xf>
    <xf numFmtId="0" fontId="54" fillId="58" borderId="399" xfId="578" applyFont="1" applyFill="1" applyBorder="1" applyAlignment="1">
      <alignment horizontal="left" vertical="center" wrapText="1"/>
    </xf>
    <xf numFmtId="0" fontId="54" fillId="58" borderId="79" xfId="578" applyFont="1" applyFill="1" applyBorder="1" applyAlignment="1">
      <alignment horizontal="left" vertical="center" wrapText="1"/>
    </xf>
    <xf numFmtId="0" fontId="54" fillId="58" borderId="400" xfId="578" applyFont="1" applyFill="1" applyBorder="1" applyAlignment="1">
      <alignment horizontal="left" vertical="center" wrapText="1"/>
    </xf>
    <xf numFmtId="0" fontId="0" fillId="0" borderId="448" xfId="0" applyBorder="1" applyAlignment="1" applyProtection="1">
      <alignment horizontal="left" vertical="center"/>
      <protection locked="0"/>
    </xf>
    <xf numFmtId="0" fontId="0" fillId="0" borderId="448" xfId="0" applyBorder="1" applyAlignment="1" applyProtection="1">
      <alignment horizontal="left" vertical="center" wrapText="1"/>
      <protection locked="0"/>
    </xf>
    <xf numFmtId="0" fontId="53" fillId="0" borderId="448" xfId="0" applyFont="1" applyBorder="1" applyAlignment="1" applyProtection="1">
      <alignment horizontal="left" vertical="center" wrapText="1"/>
      <protection locked="0"/>
    </xf>
    <xf numFmtId="0" fontId="52" fillId="0" borderId="448" xfId="0" applyFont="1" applyBorder="1" applyAlignment="1">
      <alignment horizontal="center" vertical="center"/>
    </xf>
    <xf numFmtId="0" fontId="0" fillId="58" borderId="10" xfId="0" applyFill="1" applyBorder="1" applyAlignment="1">
      <alignment horizontal="left" vertical="center" wrapText="1"/>
    </xf>
    <xf numFmtId="0" fontId="0" fillId="58" borderId="153" xfId="0" applyFill="1" applyBorder="1" applyAlignment="1">
      <alignment horizontal="left" vertical="center" wrapText="1"/>
    </xf>
    <xf numFmtId="0" fontId="0" fillId="58" borderId="117" xfId="0" applyFill="1" applyBorder="1" applyAlignment="1">
      <alignment horizontal="left" vertical="center"/>
    </xf>
    <xf numFmtId="0" fontId="52" fillId="58" borderId="229" xfId="578" applyFont="1" applyFill="1" applyBorder="1" applyAlignment="1">
      <alignment horizontal="left" vertical="center" wrapText="1"/>
    </xf>
    <xf numFmtId="0" fontId="52" fillId="58" borderId="0" xfId="578" applyFont="1" applyFill="1" applyAlignment="1">
      <alignment horizontal="left" vertical="center" wrapText="1"/>
    </xf>
    <xf numFmtId="0" fontId="52" fillId="58" borderId="149" xfId="578" applyFont="1" applyFill="1" applyBorder="1" applyAlignment="1">
      <alignment horizontal="left" vertical="center" wrapText="1"/>
    </xf>
    <xf numFmtId="0" fontId="52" fillId="58" borderId="163" xfId="578" applyFont="1" applyFill="1" applyBorder="1" applyAlignment="1">
      <alignment horizontal="left" vertical="center" wrapText="1"/>
    </xf>
    <xf numFmtId="0" fontId="52" fillId="58" borderId="164" xfId="578" applyFont="1" applyFill="1" applyBorder="1" applyAlignment="1">
      <alignment horizontal="left" vertical="center" wrapText="1"/>
    </xf>
    <xf numFmtId="0" fontId="52" fillId="58" borderId="142" xfId="578" applyFont="1" applyFill="1" applyBorder="1" applyAlignment="1">
      <alignment horizontal="left" vertical="center" wrapText="1"/>
    </xf>
    <xf numFmtId="0" fontId="69" fillId="15" borderId="0" xfId="0" applyFont="1" applyFill="1" applyAlignment="1">
      <alignment horizontal="left" vertical="center" wrapText="1" indent="1"/>
    </xf>
    <xf numFmtId="0" fontId="53" fillId="56" borderId="387" xfId="578" applyFont="1" applyFill="1" applyBorder="1" applyAlignment="1">
      <alignment horizontal="left" vertical="top" wrapText="1"/>
    </xf>
    <xf numFmtId="0" fontId="53" fillId="56" borderId="394" xfId="578" applyFont="1" applyFill="1" applyBorder="1" applyAlignment="1">
      <alignment horizontal="left" vertical="top" wrapText="1"/>
    </xf>
    <xf numFmtId="0" fontId="53" fillId="56" borderId="360" xfId="578" applyFont="1" applyFill="1" applyBorder="1" applyAlignment="1">
      <alignment horizontal="left" vertical="top" wrapText="1"/>
    </xf>
    <xf numFmtId="0" fontId="53" fillId="56" borderId="160" xfId="578" applyFont="1" applyFill="1" applyBorder="1" applyAlignment="1">
      <alignment horizontal="left" vertical="top" wrapText="1"/>
    </xf>
    <xf numFmtId="0" fontId="53" fillId="56" borderId="361" xfId="578" applyFont="1" applyFill="1" applyBorder="1" applyAlignment="1">
      <alignment horizontal="left" vertical="top" wrapText="1"/>
    </xf>
    <xf numFmtId="0" fontId="53" fillId="56" borderId="395" xfId="578" applyFont="1" applyFill="1" applyBorder="1" applyAlignment="1">
      <alignment horizontal="left" vertical="top" wrapText="1"/>
    </xf>
    <xf numFmtId="0" fontId="112" fillId="29" borderId="393" xfId="578" applyFill="1" applyBorder="1" applyAlignment="1">
      <alignment horizontal="center"/>
    </xf>
    <xf numFmtId="0" fontId="112" fillId="29" borderId="168" xfId="578" applyFill="1" applyBorder="1" applyAlignment="1">
      <alignment horizontal="center"/>
    </xf>
    <xf numFmtId="0" fontId="112" fillId="29" borderId="307" xfId="578" applyFill="1" applyBorder="1" applyAlignment="1">
      <alignment horizontal="center"/>
    </xf>
    <xf numFmtId="0" fontId="54" fillId="15" borderId="0" xfId="578" applyFont="1" applyFill="1" applyAlignment="1">
      <alignment horizontal="left" vertical="center" wrapText="1" indent="1"/>
    </xf>
    <xf numFmtId="0" fontId="54" fillId="15" borderId="0" xfId="0" applyFont="1" applyFill="1" applyAlignment="1">
      <alignment horizontal="left" vertical="center" wrapText="1" indent="1"/>
    </xf>
    <xf numFmtId="0" fontId="70" fillId="29" borderId="47" xfId="412" applyNumberFormat="1" applyFont="1" applyFill="1" applyBorder="1" applyAlignment="1" applyProtection="1">
      <alignment horizontal="left" vertical="center"/>
    </xf>
    <xf numFmtId="0" fontId="54" fillId="58" borderId="229" xfId="578" applyFont="1" applyFill="1" applyBorder="1" applyAlignment="1">
      <alignment horizontal="left" vertical="center" wrapText="1"/>
    </xf>
    <xf numFmtId="0" fontId="54" fillId="58" borderId="0" xfId="578" applyFont="1" applyFill="1" applyAlignment="1">
      <alignment horizontal="left" vertical="center" wrapText="1"/>
    </xf>
    <xf numFmtId="0" fontId="54" fillId="58" borderId="149" xfId="578" applyFont="1" applyFill="1" applyBorder="1" applyAlignment="1">
      <alignment horizontal="left" vertical="center" wrapText="1"/>
    </xf>
    <xf numFmtId="0" fontId="54" fillId="58" borderId="163" xfId="578" applyFont="1" applyFill="1" applyBorder="1" applyAlignment="1">
      <alignment horizontal="left" vertical="center" wrapText="1"/>
    </xf>
    <xf numFmtId="0" fontId="54" fillId="58" borderId="164" xfId="578" applyFont="1" applyFill="1" applyBorder="1" applyAlignment="1">
      <alignment horizontal="left" vertical="center" wrapText="1"/>
    </xf>
    <xf numFmtId="0" fontId="54" fillId="58" borderId="142" xfId="578" applyFont="1" applyFill="1" applyBorder="1" applyAlignment="1">
      <alignment horizontal="left" vertical="center" wrapText="1"/>
    </xf>
    <xf numFmtId="14" fontId="48" fillId="0" borderId="448" xfId="0" applyNumberFormat="1" applyFont="1" applyBorder="1" applyAlignment="1" applyProtection="1">
      <alignment horizontal="center" vertical="center" wrapText="1"/>
      <protection locked="0"/>
    </xf>
    <xf numFmtId="14" fontId="0" fillId="0" borderId="448" xfId="0" applyNumberFormat="1" applyBorder="1" applyAlignment="1" applyProtection="1">
      <alignment horizontal="center" vertical="center" wrapText="1"/>
      <protection locked="0"/>
    </xf>
    <xf numFmtId="14" fontId="54" fillId="0" borderId="448" xfId="0" applyNumberFormat="1" applyFont="1" applyBorder="1" applyAlignment="1" applyProtection="1">
      <alignment horizontal="center" vertical="center" shrinkToFit="1"/>
      <protection locked="0"/>
    </xf>
    <xf numFmtId="0" fontId="42" fillId="15" borderId="229" xfId="578" applyFont="1" applyFill="1" applyBorder="1" applyAlignment="1">
      <alignment horizontal="left" vertical="center" wrapText="1"/>
    </xf>
    <xf numFmtId="0" fontId="42" fillId="15" borderId="0" xfId="578" applyFont="1" applyFill="1" applyAlignment="1">
      <alignment horizontal="left" vertical="center" wrapText="1"/>
    </xf>
    <xf numFmtId="0" fontId="42" fillId="15" borderId="149" xfId="578" applyFont="1" applyFill="1" applyBorder="1" applyAlignment="1">
      <alignment horizontal="left" vertical="center" wrapText="1"/>
    </xf>
    <xf numFmtId="0" fontId="0" fillId="0" borderId="443" xfId="0" applyBorder="1" applyAlignment="1" applyProtection="1">
      <alignment horizontal="left" vertical="center"/>
      <protection locked="0"/>
    </xf>
    <xf numFmtId="0" fontId="0" fillId="0" borderId="442" xfId="0" applyBorder="1" applyAlignment="1" applyProtection="1">
      <alignment horizontal="left" vertical="center"/>
      <protection locked="0"/>
    </xf>
    <xf numFmtId="0" fontId="0" fillId="0" borderId="460" xfId="0" applyBorder="1" applyAlignment="1" applyProtection="1">
      <alignment horizontal="left" vertical="center" wrapText="1"/>
      <protection locked="0"/>
    </xf>
    <xf numFmtId="0" fontId="53" fillId="15" borderId="371" xfId="578" applyFont="1" applyFill="1" applyBorder="1" applyAlignment="1">
      <alignment horizontal="left" vertical="center" wrapText="1"/>
    </xf>
    <xf numFmtId="0" fontId="53" fillId="15" borderId="360" xfId="578" applyFont="1" applyFill="1" applyBorder="1" applyAlignment="1">
      <alignment horizontal="left" vertical="center" wrapText="1"/>
    </xf>
    <xf numFmtId="0" fontId="53" fillId="15" borderId="361" xfId="578" applyFont="1" applyFill="1" applyBorder="1" applyAlignment="1">
      <alignment horizontal="left" vertical="center" wrapText="1"/>
    </xf>
    <xf numFmtId="0" fontId="136" fillId="44" borderId="0" xfId="578" applyFont="1" applyFill="1" applyAlignment="1">
      <alignment horizontal="center" vertical="center" wrapText="1"/>
    </xf>
    <xf numFmtId="0" fontId="155" fillId="44" borderId="0" xfId="578" applyFont="1" applyFill="1" applyAlignment="1">
      <alignment horizontal="center" vertical="center" wrapText="1"/>
    </xf>
    <xf numFmtId="0" fontId="61" fillId="59" borderId="67" xfId="578" applyFont="1" applyFill="1" applyBorder="1" applyAlignment="1">
      <alignment horizontal="left" vertical="center" wrapText="1" indent="1"/>
    </xf>
    <xf numFmtId="0" fontId="61" fillId="59" borderId="81" xfId="578" applyFont="1" applyFill="1" applyBorder="1" applyAlignment="1">
      <alignment horizontal="left" vertical="center" wrapText="1" indent="1"/>
    </xf>
    <xf numFmtId="0" fontId="112" fillId="15" borderId="70" xfId="578" applyFill="1" applyBorder="1" applyAlignment="1">
      <alignment horizontal="left" vertical="center" wrapText="1" indent="1"/>
    </xf>
    <xf numFmtId="0" fontId="52" fillId="57" borderId="64" xfId="0" applyFont="1" applyFill="1" applyBorder="1" applyAlignment="1">
      <alignment horizontal="left" vertical="center" indent="1"/>
    </xf>
    <xf numFmtId="0" fontId="52" fillId="57" borderId="230" xfId="0" applyFont="1" applyFill="1" applyBorder="1" applyAlignment="1">
      <alignment horizontal="left" vertical="center"/>
    </xf>
    <xf numFmtId="0" fontId="52" fillId="57" borderId="81" xfId="0" applyFont="1" applyFill="1" applyBorder="1" applyAlignment="1">
      <alignment horizontal="left" vertical="center"/>
    </xf>
    <xf numFmtId="0" fontId="52" fillId="57" borderId="76" xfId="0" applyFont="1" applyFill="1" applyBorder="1" applyAlignment="1">
      <alignment horizontal="left" vertical="center"/>
    </xf>
    <xf numFmtId="0" fontId="11" fillId="0" borderId="331" xfId="0" applyFont="1" applyBorder="1" applyAlignment="1">
      <alignment horizontal="center" vertical="center" wrapText="1"/>
    </xf>
    <xf numFmtId="0" fontId="11" fillId="0" borderId="236" xfId="0" applyFont="1" applyBorder="1" applyAlignment="1">
      <alignment horizontal="center" vertical="center" wrapText="1"/>
    </xf>
    <xf numFmtId="0" fontId="11" fillId="0" borderId="237" xfId="0" applyFont="1" applyBorder="1" applyAlignment="1">
      <alignment horizontal="center" vertical="center" wrapText="1"/>
    </xf>
    <xf numFmtId="0" fontId="11" fillId="0" borderId="238" xfId="0" applyFont="1" applyBorder="1" applyAlignment="1">
      <alignment horizontal="center" vertical="center" wrapText="1"/>
    </xf>
    <xf numFmtId="0" fontId="11" fillId="0" borderId="0" xfId="0" applyFont="1" applyAlignment="1">
      <alignment horizontal="center" vertical="center" wrapText="1"/>
    </xf>
    <xf numFmtId="0" fontId="11" fillId="0" borderId="139" xfId="0" applyFont="1" applyBorder="1" applyAlignment="1">
      <alignment horizontal="center" vertical="center" wrapText="1"/>
    </xf>
    <xf numFmtId="0" fontId="11" fillId="0" borderId="322" xfId="0" applyFont="1" applyBorder="1" applyAlignment="1">
      <alignment horizontal="center" vertical="center" wrapText="1"/>
    </xf>
    <xf numFmtId="0" fontId="11" fillId="0" borderId="305" xfId="0" applyFont="1" applyBorder="1" applyAlignment="1">
      <alignment horizontal="center" vertical="center" wrapText="1"/>
    </xf>
    <xf numFmtId="0" fontId="11" fillId="0" borderId="323" xfId="0" applyFont="1" applyBorder="1" applyAlignment="1">
      <alignment horizontal="center" vertical="center" wrapText="1"/>
    </xf>
    <xf numFmtId="0" fontId="38" fillId="60" borderId="331" xfId="0" applyFont="1" applyFill="1" applyBorder="1" applyAlignment="1">
      <alignment horizontal="left" vertical="center" wrapText="1"/>
    </xf>
    <xf numFmtId="0" fontId="38" fillId="60" borderId="236" xfId="0" applyFont="1" applyFill="1" applyBorder="1" applyAlignment="1">
      <alignment horizontal="left" vertical="center" wrapText="1"/>
    </xf>
    <xf numFmtId="0" fontId="38" fillId="60" borderId="237" xfId="0" applyFont="1" applyFill="1" applyBorder="1" applyAlignment="1">
      <alignment horizontal="left" vertical="center" wrapText="1"/>
    </xf>
    <xf numFmtId="0" fontId="38" fillId="60" borderId="322" xfId="0" applyFont="1" applyFill="1" applyBorder="1" applyAlignment="1">
      <alignment horizontal="left" vertical="center" wrapText="1"/>
    </xf>
    <xf numFmtId="0" fontId="38" fillId="60" borderId="305" xfId="0" applyFont="1" applyFill="1" applyBorder="1" applyAlignment="1">
      <alignment horizontal="left" vertical="center" wrapText="1"/>
    </xf>
    <xf numFmtId="0" fontId="38" fillId="60" borderId="323" xfId="0" applyFont="1" applyFill="1" applyBorder="1" applyAlignment="1">
      <alignment horizontal="left" vertical="center" wrapText="1"/>
    </xf>
    <xf numFmtId="0" fontId="32" fillId="15" borderId="0" xfId="578" applyFont="1" applyFill="1" applyAlignment="1">
      <alignment horizontal="center" vertical="center" wrapText="1"/>
    </xf>
    <xf numFmtId="0" fontId="52" fillId="15" borderId="64" xfId="0" applyFont="1" applyFill="1" applyBorder="1" applyAlignment="1">
      <alignment horizontal="left" vertical="center" wrapText="1" indent="1"/>
    </xf>
    <xf numFmtId="0" fontId="0" fillId="15" borderId="64" xfId="0" applyFill="1" applyBorder="1" applyAlignment="1">
      <alignment horizontal="left" vertical="center" wrapText="1" indent="1"/>
    </xf>
    <xf numFmtId="0" fontId="54" fillId="36" borderId="466" xfId="0" applyFont="1" applyFill="1" applyBorder="1" applyAlignment="1" applyProtection="1">
      <alignment horizontal="left" vertical="center" indent="1" shrinkToFit="1"/>
      <protection locked="0"/>
    </xf>
    <xf numFmtId="0" fontId="54" fillId="36" borderId="461" xfId="0" applyFont="1" applyFill="1" applyBorder="1" applyAlignment="1" applyProtection="1">
      <alignment horizontal="left" vertical="center" indent="1" shrinkToFit="1"/>
      <protection locked="0"/>
    </xf>
    <xf numFmtId="0" fontId="54" fillId="36" borderId="469" xfId="0" applyFont="1" applyFill="1" applyBorder="1" applyAlignment="1" applyProtection="1">
      <alignment horizontal="left" vertical="center" indent="1" shrinkToFit="1"/>
      <protection locked="0"/>
    </xf>
    <xf numFmtId="0" fontId="54" fillId="36" borderId="470" xfId="0" applyFont="1" applyFill="1" applyBorder="1" applyAlignment="1" applyProtection="1">
      <alignment horizontal="left" vertical="center" indent="1" shrinkToFit="1"/>
      <protection locked="0"/>
    </xf>
    <xf numFmtId="0" fontId="53" fillId="57" borderId="464" xfId="0" applyFont="1" applyFill="1" applyBorder="1" applyAlignment="1">
      <alignment horizontal="left" vertical="center" wrapText="1"/>
    </xf>
    <xf numFmtId="0" fontId="53" fillId="57" borderId="452" xfId="0" applyFont="1" applyFill="1" applyBorder="1" applyAlignment="1">
      <alignment horizontal="left" vertical="center" wrapText="1"/>
    </xf>
    <xf numFmtId="0" fontId="53" fillId="57" borderId="453" xfId="0" applyFont="1" applyFill="1" applyBorder="1" applyAlignment="1">
      <alignment horizontal="left" vertical="center" wrapText="1"/>
    </xf>
    <xf numFmtId="0" fontId="53" fillId="57" borderId="247" xfId="0" applyFont="1" applyFill="1" applyBorder="1" applyAlignment="1">
      <alignment horizontal="left" vertical="center" wrapText="1"/>
    </xf>
    <xf numFmtId="0" fontId="53" fillId="57" borderId="455" xfId="0" applyFont="1" applyFill="1" applyBorder="1" applyAlignment="1">
      <alignment horizontal="left" vertical="center" wrapText="1"/>
    </xf>
    <xf numFmtId="0" fontId="53" fillId="57" borderId="456" xfId="0" applyFont="1" applyFill="1" applyBorder="1" applyAlignment="1">
      <alignment horizontal="left" vertical="center" wrapText="1"/>
    </xf>
    <xf numFmtId="0" fontId="53" fillId="65" borderId="465" xfId="0" applyFont="1" applyFill="1" applyBorder="1" applyAlignment="1" applyProtection="1">
      <alignment horizontal="center" vertical="center"/>
      <protection locked="0"/>
    </xf>
    <xf numFmtId="0" fontId="53" fillId="65" borderId="245" xfId="0" applyFont="1" applyFill="1" applyBorder="1" applyAlignment="1" applyProtection="1">
      <alignment horizontal="center" vertical="center"/>
      <protection locked="0"/>
    </xf>
    <xf numFmtId="0" fontId="52" fillId="57" borderId="458" xfId="0" applyFont="1" applyFill="1" applyBorder="1" applyAlignment="1">
      <alignment horizontal="center" vertical="center" wrapText="1"/>
    </xf>
    <xf numFmtId="0" fontId="52" fillId="57" borderId="452" xfId="0" applyFont="1" applyFill="1" applyBorder="1" applyAlignment="1">
      <alignment horizontal="center" vertical="center" wrapText="1"/>
    </xf>
    <xf numFmtId="0" fontId="52" fillId="57" borderId="453" xfId="0" applyFont="1" applyFill="1" applyBorder="1" applyAlignment="1">
      <alignment horizontal="center" vertical="center" wrapText="1"/>
    </xf>
    <xf numFmtId="0" fontId="52" fillId="57" borderId="238" xfId="0" applyFont="1" applyFill="1" applyBorder="1" applyAlignment="1">
      <alignment horizontal="center" vertical="center" wrapText="1"/>
    </xf>
    <xf numFmtId="0" fontId="52" fillId="57" borderId="0" xfId="0" applyFont="1" applyFill="1" applyAlignment="1">
      <alignment horizontal="center" vertical="center" wrapText="1"/>
    </xf>
    <xf numFmtId="0" fontId="52" fillId="57" borderId="429" xfId="0" applyFont="1" applyFill="1" applyBorder="1" applyAlignment="1">
      <alignment horizontal="center" vertical="center" wrapText="1"/>
    </xf>
    <xf numFmtId="0" fontId="52" fillId="57" borderId="454" xfId="0" applyFont="1" applyFill="1" applyBorder="1" applyAlignment="1">
      <alignment horizontal="center" vertical="center" wrapText="1"/>
    </xf>
    <xf numFmtId="0" fontId="52" fillId="57" borderId="455" xfId="0" applyFont="1" applyFill="1" applyBorder="1" applyAlignment="1">
      <alignment horizontal="center" vertical="center" wrapText="1"/>
    </xf>
    <xf numFmtId="0" fontId="52" fillId="57" borderId="456" xfId="0" applyFont="1" applyFill="1" applyBorder="1" applyAlignment="1">
      <alignment horizontal="center" vertical="center" wrapText="1"/>
    </xf>
    <xf numFmtId="0" fontId="54" fillId="36" borderId="202" xfId="0" applyFont="1" applyFill="1" applyBorder="1" applyAlignment="1" applyProtection="1">
      <alignment horizontal="left" vertical="center" indent="1" shrinkToFit="1"/>
      <protection locked="0"/>
    </xf>
    <xf numFmtId="0" fontId="54" fillId="36" borderId="76" xfId="0" applyFont="1" applyFill="1" applyBorder="1" applyAlignment="1" applyProtection="1">
      <alignment horizontal="left" vertical="center" indent="1" shrinkToFit="1"/>
      <protection locked="0"/>
    </xf>
    <xf numFmtId="0" fontId="218" fillId="55" borderId="201" xfId="0" applyFont="1" applyFill="1" applyBorder="1" applyAlignment="1">
      <alignment horizontal="center"/>
    </xf>
    <xf numFmtId="0" fontId="218" fillId="55" borderId="260" xfId="0" applyFont="1" applyFill="1" applyBorder="1" applyAlignment="1">
      <alignment horizontal="center"/>
    </xf>
    <xf numFmtId="0" fontId="218" fillId="55" borderId="272" xfId="0" applyFont="1" applyFill="1" applyBorder="1" applyAlignment="1">
      <alignment horizontal="center"/>
    </xf>
    <xf numFmtId="0" fontId="218" fillId="55" borderId="193" xfId="0" applyFont="1" applyFill="1" applyBorder="1" applyAlignment="1">
      <alignment horizontal="center"/>
    </xf>
    <xf numFmtId="0" fontId="218" fillId="55" borderId="273" xfId="0" applyFont="1" applyFill="1" applyBorder="1" applyAlignment="1">
      <alignment horizontal="center"/>
    </xf>
    <xf numFmtId="0" fontId="218" fillId="55" borderId="163" xfId="0" applyFont="1" applyFill="1" applyBorder="1" applyAlignment="1">
      <alignment horizontal="center"/>
    </xf>
    <xf numFmtId="0" fontId="218" fillId="55" borderId="164" xfId="0" applyFont="1" applyFill="1" applyBorder="1" applyAlignment="1">
      <alignment horizontal="center"/>
    </xf>
    <xf numFmtId="0" fontId="217" fillId="55" borderId="280" xfId="0" applyFont="1" applyFill="1" applyBorder="1" applyAlignment="1">
      <alignment horizontal="center" vertical="center"/>
    </xf>
    <xf numFmtId="0" fontId="217" fillId="55" borderId="281" xfId="0" applyFont="1" applyFill="1" applyBorder="1" applyAlignment="1">
      <alignment horizontal="center" vertical="center"/>
    </xf>
    <xf numFmtId="0" fontId="217" fillId="55" borderId="282" xfId="0" applyFont="1" applyFill="1" applyBorder="1" applyAlignment="1">
      <alignment horizontal="center" vertical="center"/>
    </xf>
    <xf numFmtId="0" fontId="217" fillId="55" borderId="164" xfId="0" applyFont="1" applyFill="1" applyBorder="1" applyAlignment="1">
      <alignment horizontal="center" vertical="center"/>
    </xf>
    <xf numFmtId="0" fontId="217" fillId="55" borderId="283" xfId="0" applyFont="1" applyFill="1" applyBorder="1" applyAlignment="1">
      <alignment horizontal="center" vertical="center"/>
    </xf>
    <xf numFmtId="0" fontId="175" fillId="55" borderId="345" xfId="0" applyFont="1" applyFill="1" applyBorder="1" applyAlignment="1">
      <alignment horizontal="left"/>
    </xf>
    <xf numFmtId="0" fontId="175" fillId="55" borderId="231" xfId="0" applyFont="1" applyFill="1" applyBorder="1" applyAlignment="1">
      <alignment horizontal="left"/>
    </xf>
    <xf numFmtId="0" fontId="175" fillId="55" borderId="285" xfId="0" applyFont="1" applyFill="1" applyBorder="1" applyAlignment="1">
      <alignment horizontal="left"/>
    </xf>
    <xf numFmtId="0" fontId="0" fillId="0" borderId="201" xfId="0" applyBorder="1" applyAlignment="1">
      <alignment horizontal="left"/>
    </xf>
    <xf numFmtId="0" fontId="0" fillId="0" borderId="260" xfId="0" applyBorder="1" applyAlignment="1">
      <alignment horizontal="left"/>
    </xf>
    <xf numFmtId="0" fontId="0" fillId="0" borderId="287" xfId="0" applyBorder="1" applyAlignment="1">
      <alignment horizontal="left"/>
    </xf>
    <xf numFmtId="0" fontId="0" fillId="0" borderId="291" xfId="0" applyBorder="1" applyAlignment="1">
      <alignment horizontal="left"/>
    </xf>
    <xf numFmtId="0" fontId="0" fillId="0" borderId="255" xfId="0" applyBorder="1" applyAlignment="1">
      <alignment horizontal="left"/>
    </xf>
    <xf numFmtId="0" fontId="0" fillId="0" borderId="290" xfId="0" applyBorder="1" applyAlignment="1">
      <alignment horizontal="left"/>
    </xf>
    <xf numFmtId="0" fontId="175" fillId="55" borderId="319" xfId="0" applyFont="1" applyFill="1" applyBorder="1" applyAlignment="1">
      <alignment horizontal="center" vertical="center" wrapText="1"/>
    </xf>
    <xf numFmtId="0" fontId="175" fillId="55" borderId="320" xfId="0" applyFont="1" applyFill="1" applyBorder="1" applyAlignment="1">
      <alignment horizontal="center" vertical="center" wrapText="1"/>
    </xf>
    <xf numFmtId="0" fontId="175" fillId="55" borderId="346" xfId="0" applyFont="1" applyFill="1" applyBorder="1" applyAlignment="1">
      <alignment horizontal="center" vertical="center" wrapText="1"/>
    </xf>
    <xf numFmtId="0" fontId="218" fillId="55" borderId="267" xfId="0" applyFont="1" applyFill="1" applyBorder="1" applyAlignment="1">
      <alignment horizontal="center"/>
    </xf>
    <xf numFmtId="0" fontId="218" fillId="55" borderId="268" xfId="0" applyFont="1" applyFill="1" applyBorder="1" applyAlignment="1">
      <alignment horizontal="center"/>
    </xf>
    <xf numFmtId="0" fontId="218" fillId="55" borderId="269" xfId="0" applyFont="1" applyFill="1" applyBorder="1" applyAlignment="1">
      <alignment horizontal="center"/>
    </xf>
    <xf numFmtId="0" fontId="218" fillId="55" borderId="270" xfId="0" applyFont="1" applyFill="1" applyBorder="1" applyAlignment="1">
      <alignment horizontal="center"/>
    </xf>
    <xf numFmtId="0" fontId="218" fillId="55" borderId="274" xfId="0" applyFont="1" applyFill="1" applyBorder="1" applyAlignment="1">
      <alignment horizontal="center"/>
    </xf>
    <xf numFmtId="0" fontId="218" fillId="55" borderId="262" xfId="0" applyFont="1" applyFill="1" applyBorder="1" applyAlignment="1">
      <alignment horizontal="center"/>
    </xf>
    <xf numFmtId="0" fontId="218" fillId="55" borderId="263" xfId="0" applyFont="1" applyFill="1" applyBorder="1" applyAlignment="1">
      <alignment horizontal="center"/>
    </xf>
    <xf numFmtId="0" fontId="218" fillId="55" borderId="232" xfId="0" applyFont="1" applyFill="1" applyBorder="1" applyAlignment="1">
      <alignment horizontal="center"/>
    </xf>
    <xf numFmtId="0" fontId="218" fillId="55" borderId="261" xfId="0" applyFont="1" applyFill="1" applyBorder="1" applyAlignment="1">
      <alignment horizontal="center"/>
    </xf>
    <xf numFmtId="0" fontId="179" fillId="55" borderId="232" xfId="0" applyFont="1" applyFill="1" applyBorder="1" applyAlignment="1">
      <alignment horizontal="center"/>
    </xf>
    <xf numFmtId="0" fontId="179" fillId="55" borderId="262" xfId="0" applyFont="1" applyFill="1" applyBorder="1" applyAlignment="1">
      <alignment horizontal="center"/>
    </xf>
    <xf numFmtId="0" fontId="179" fillId="55" borderId="263" xfId="0" applyFont="1" applyFill="1" applyBorder="1" applyAlignment="1">
      <alignment horizontal="center"/>
    </xf>
    <xf numFmtId="0" fontId="179" fillId="55" borderId="201" xfId="0" applyFont="1" applyFill="1" applyBorder="1" applyAlignment="1">
      <alignment horizontal="center"/>
    </xf>
    <xf numFmtId="0" fontId="179" fillId="55" borderId="260" xfId="0" applyFont="1" applyFill="1" applyBorder="1" applyAlignment="1">
      <alignment horizontal="center"/>
    </xf>
    <xf numFmtId="0" fontId="179" fillId="55" borderId="261" xfId="0" applyFont="1" applyFill="1" applyBorder="1" applyAlignment="1">
      <alignment horizontal="center"/>
    </xf>
    <xf numFmtId="0" fontId="54" fillId="0" borderId="0" xfId="564" applyFont="1" applyAlignment="1">
      <alignment horizontal="left" vertical="center" indent="1"/>
    </xf>
    <xf numFmtId="0" fontId="52" fillId="0" borderId="0" xfId="0" applyFont="1" applyAlignment="1">
      <alignment horizontal="center" vertical="center"/>
    </xf>
    <xf numFmtId="0" fontId="52" fillId="0" borderId="0" xfId="0" applyFont="1" applyAlignment="1">
      <alignment horizontal="center" vertical="center" shrinkToFit="1"/>
    </xf>
    <xf numFmtId="0" fontId="52" fillId="0" borderId="0" xfId="0" applyFont="1" applyAlignment="1">
      <alignment horizontal="center" vertical="center" wrapText="1"/>
    </xf>
    <xf numFmtId="0" fontId="54" fillId="0" borderId="0" xfId="0" applyFont="1" applyAlignment="1">
      <alignment horizontal="center" vertical="center"/>
    </xf>
    <xf numFmtId="0" fontId="52" fillId="0" borderId="0" xfId="0" applyFont="1" applyAlignment="1">
      <alignment horizontal="center" wrapText="1"/>
    </xf>
    <xf numFmtId="0" fontId="148" fillId="43" borderId="0" xfId="0" applyFont="1" applyFill="1" applyAlignment="1">
      <alignment horizontal="left" vertical="center" indent="1"/>
    </xf>
    <xf numFmtId="0" fontId="121" fillId="36" borderId="64" xfId="579" applyFont="1" applyFill="1" applyBorder="1" applyAlignment="1" applyProtection="1">
      <alignment horizontal="left" vertical="center" indent="1" shrinkToFit="1"/>
      <protection locked="0"/>
    </xf>
    <xf numFmtId="0" fontId="170" fillId="23" borderId="0" xfId="412" applyNumberFormat="1" applyFont="1" applyFill="1" applyBorder="1" applyAlignment="1" applyProtection="1">
      <alignment horizontal="center" vertical="center"/>
    </xf>
    <xf numFmtId="0" fontId="170" fillId="23" borderId="139" xfId="412" applyNumberFormat="1" applyFont="1" applyFill="1" applyBorder="1" applyAlignment="1" applyProtection="1">
      <alignment horizontal="center" vertical="center"/>
    </xf>
    <xf numFmtId="0" fontId="104" fillId="23" borderId="0" xfId="412" applyNumberFormat="1" applyFont="1" applyFill="1" applyBorder="1" applyAlignment="1" applyProtection="1">
      <alignment horizontal="center" vertical="center"/>
    </xf>
    <xf numFmtId="0" fontId="54" fillId="57" borderId="63" xfId="0" applyFont="1" applyFill="1" applyBorder="1" applyAlignment="1">
      <alignment horizontal="center" vertical="center" wrapText="1"/>
    </xf>
    <xf numFmtId="0" fontId="52" fillId="57" borderId="63" xfId="0" applyFont="1" applyFill="1" applyBorder="1" applyAlignment="1">
      <alignment horizontal="center" vertical="center" wrapText="1"/>
    </xf>
    <xf numFmtId="0" fontId="52" fillId="57" borderId="197" xfId="0" applyFont="1" applyFill="1" applyBorder="1" applyAlignment="1">
      <alignment horizontal="center" vertical="center" wrapText="1"/>
    </xf>
    <xf numFmtId="0" fontId="52" fillId="57" borderId="198" xfId="0" applyFont="1" applyFill="1" applyBorder="1" applyAlignment="1">
      <alignment horizontal="center" vertical="center" wrapText="1"/>
    </xf>
    <xf numFmtId="0" fontId="53" fillId="57" borderId="64" xfId="0" applyFont="1" applyFill="1" applyBorder="1" applyAlignment="1">
      <alignment horizontal="left" vertical="center" wrapText="1" indent="1"/>
    </xf>
    <xf numFmtId="0" fontId="54" fillId="36" borderId="64" xfId="0" applyFont="1" applyFill="1" applyBorder="1" applyAlignment="1" applyProtection="1">
      <alignment horizontal="left" vertical="center" indent="1" shrinkToFit="1"/>
      <protection locked="0"/>
    </xf>
    <xf numFmtId="0" fontId="121" fillId="36" borderId="63" xfId="579" applyFont="1" applyFill="1" applyBorder="1" applyAlignment="1" applyProtection="1">
      <alignment horizontal="left" vertical="center" indent="1" shrinkToFit="1"/>
      <protection locked="0"/>
    </xf>
    <xf numFmtId="0" fontId="53" fillId="57" borderId="241" xfId="0" applyFont="1" applyFill="1" applyBorder="1" applyAlignment="1">
      <alignment horizontal="left" vertical="center" wrapText="1"/>
    </xf>
    <xf numFmtId="0" fontId="53" fillId="57" borderId="189" xfId="0" applyFont="1" applyFill="1" applyBorder="1" applyAlignment="1">
      <alignment horizontal="left" vertical="center" wrapText="1"/>
    </xf>
    <xf numFmtId="0" fontId="53" fillId="57" borderId="76" xfId="0" applyFont="1" applyFill="1" applyBorder="1" applyAlignment="1">
      <alignment horizontal="left" vertical="center" wrapText="1"/>
    </xf>
    <xf numFmtId="0" fontId="143" fillId="43" borderId="251" xfId="0" applyFont="1" applyFill="1" applyBorder="1" applyAlignment="1">
      <alignment horizontal="center" vertical="center"/>
    </xf>
    <xf numFmtId="0" fontId="143" fillId="43" borderId="252" xfId="0" applyFont="1" applyFill="1" applyBorder="1" applyAlignment="1">
      <alignment horizontal="center" vertical="center"/>
    </xf>
    <xf numFmtId="0" fontId="143" fillId="43" borderId="253" xfId="0" applyFont="1" applyFill="1" applyBorder="1" applyAlignment="1">
      <alignment horizontal="center" vertical="center"/>
    </xf>
    <xf numFmtId="0" fontId="0" fillId="0" borderId="0" xfId="0" applyAlignment="1">
      <alignment horizontal="center"/>
    </xf>
    <xf numFmtId="167" fontId="52" fillId="0" borderId="64" xfId="0" applyNumberFormat="1" applyFont="1" applyBorder="1" applyAlignment="1">
      <alignment horizontal="center" vertical="center" shrinkToFit="1"/>
    </xf>
    <xf numFmtId="167" fontId="52" fillId="0" borderId="64" xfId="0" applyNumberFormat="1" applyFont="1" applyBorder="1" applyAlignment="1">
      <alignment horizontal="center" vertical="center"/>
    </xf>
    <xf numFmtId="0" fontId="61" fillId="57" borderId="63" xfId="0" applyFont="1" applyFill="1" applyBorder="1" applyAlignment="1">
      <alignment horizontal="center" vertical="center" wrapText="1"/>
    </xf>
    <xf numFmtId="0" fontId="52" fillId="57" borderId="208" xfId="0" applyFont="1" applyFill="1" applyBorder="1" applyAlignment="1">
      <alignment horizontal="center" vertical="center"/>
    </xf>
    <xf numFmtId="0" fontId="52" fillId="57" borderId="245" xfId="0" applyFont="1" applyFill="1" applyBorder="1" applyAlignment="1">
      <alignment horizontal="center" vertical="center"/>
    </xf>
    <xf numFmtId="167" fontId="52" fillId="0" borderId="243" xfId="0" applyNumberFormat="1" applyFont="1" applyBorder="1" applyAlignment="1">
      <alignment horizontal="center" vertical="center" shrinkToFit="1"/>
    </xf>
    <xf numFmtId="167" fontId="52" fillId="0" borderId="245" xfId="0" applyNumberFormat="1" applyFont="1" applyBorder="1" applyAlignment="1">
      <alignment horizontal="center" vertical="center" shrinkToFit="1"/>
    </xf>
    <xf numFmtId="0" fontId="52" fillId="57" borderId="460" xfId="0" applyFont="1" applyFill="1" applyBorder="1" applyAlignment="1">
      <alignment horizontal="center" vertical="center" wrapText="1"/>
    </xf>
    <xf numFmtId="0" fontId="52" fillId="57" borderId="387" xfId="0" applyFont="1" applyFill="1" applyBorder="1" applyAlignment="1">
      <alignment horizontal="center" vertical="center" wrapText="1"/>
    </xf>
    <xf numFmtId="0" fontId="52" fillId="57" borderId="64" xfId="0" applyFont="1" applyFill="1" applyBorder="1" applyAlignment="1">
      <alignment horizontal="center" vertical="center" wrapText="1" shrinkToFit="1"/>
    </xf>
    <xf numFmtId="0" fontId="54" fillId="0" borderId="64" xfId="0" applyFont="1" applyBorder="1" applyAlignment="1">
      <alignment horizontal="center" vertical="center" wrapText="1"/>
    </xf>
    <xf numFmtId="0" fontId="53" fillId="57" borderId="246" xfId="0" applyFont="1" applyFill="1" applyBorder="1" applyAlignment="1">
      <alignment horizontal="left" vertical="center" wrapText="1"/>
    </xf>
    <xf numFmtId="0" fontId="53" fillId="57" borderId="236" xfId="0" applyFont="1" applyFill="1" applyBorder="1" applyAlignment="1">
      <alignment horizontal="left" vertical="center" wrapText="1"/>
    </xf>
    <xf numFmtId="0" fontId="53" fillId="57" borderId="237" xfId="0" applyFont="1" applyFill="1" applyBorder="1" applyAlignment="1">
      <alignment horizontal="left" vertical="center" wrapText="1"/>
    </xf>
    <xf numFmtId="0" fontId="53" fillId="57" borderId="199" xfId="0" applyFont="1" applyFill="1" applyBorder="1" applyAlignment="1">
      <alignment horizontal="left" vertical="center" wrapText="1"/>
    </xf>
    <xf numFmtId="0" fontId="53" fillId="57" borderId="203" xfId="0" applyFont="1" applyFill="1" applyBorder="1" applyAlignment="1">
      <alignment horizontal="left" vertical="center" wrapText="1"/>
    </xf>
    <xf numFmtId="0" fontId="53" fillId="57" borderId="239" xfId="0" applyFont="1" applyFill="1" applyBorder="1" applyAlignment="1">
      <alignment vertical="center"/>
    </xf>
    <xf numFmtId="0" fontId="53" fillId="57" borderId="206" xfId="0" applyFont="1" applyFill="1" applyBorder="1" applyAlignment="1">
      <alignment vertical="center"/>
    </xf>
    <xf numFmtId="0" fontId="51" fillId="57" borderId="401" xfId="0" applyFont="1" applyFill="1" applyBorder="1" applyAlignment="1">
      <alignment horizontal="center" vertical="center" wrapText="1"/>
    </xf>
    <xf numFmtId="0" fontId="51" fillId="57" borderId="368" xfId="0" applyFont="1" applyFill="1" applyBorder="1" applyAlignment="1">
      <alignment horizontal="center" vertical="center" wrapText="1"/>
    </xf>
    <xf numFmtId="0" fontId="51" fillId="57" borderId="369" xfId="0" applyFont="1" applyFill="1" applyBorder="1" applyAlignment="1">
      <alignment horizontal="center" vertical="center" wrapText="1"/>
    </xf>
    <xf numFmtId="0" fontId="51" fillId="57" borderId="137" xfId="0" applyFont="1" applyFill="1" applyBorder="1" applyAlignment="1">
      <alignment horizontal="center" vertical="center" wrapText="1"/>
    </xf>
    <xf numFmtId="0" fontId="51" fillId="57" borderId="0" xfId="0" applyFont="1" applyFill="1" applyAlignment="1">
      <alignment horizontal="center" vertical="center" wrapText="1"/>
    </xf>
    <xf numFmtId="0" fontId="51" fillId="57" borderId="139" xfId="0" applyFont="1" applyFill="1" applyBorder="1" applyAlignment="1">
      <alignment horizontal="center" vertical="center" wrapText="1"/>
    </xf>
    <xf numFmtId="0" fontId="51" fillId="57" borderId="402" xfId="0" applyFont="1" applyFill="1" applyBorder="1" applyAlignment="1">
      <alignment horizontal="center" vertical="center" wrapText="1"/>
    </xf>
    <xf numFmtId="0" fontId="51" fillId="57" borderId="403" xfId="0" applyFont="1" applyFill="1" applyBorder="1" applyAlignment="1">
      <alignment horizontal="center" vertical="center" wrapText="1"/>
    </xf>
    <xf numFmtId="0" fontId="51" fillId="57" borderId="404" xfId="0" applyFont="1" applyFill="1" applyBorder="1" applyAlignment="1">
      <alignment horizontal="center" vertical="center" wrapText="1"/>
    </xf>
    <xf numFmtId="0" fontId="61" fillId="57" borderId="64" xfId="0" applyFont="1" applyFill="1" applyBorder="1" applyAlignment="1">
      <alignment horizontal="center" vertical="center" wrapText="1"/>
    </xf>
    <xf numFmtId="4" fontId="54" fillId="19" borderId="185" xfId="0" applyNumberFormat="1" applyFont="1" applyFill="1" applyBorder="1" applyAlignment="1" applyProtection="1">
      <alignment horizontal="center" vertical="center" shrinkToFit="1"/>
      <protection locked="0"/>
    </xf>
    <xf numFmtId="4" fontId="54" fillId="19" borderId="208" xfId="0" applyNumberFormat="1" applyFont="1" applyFill="1" applyBorder="1" applyAlignment="1" applyProtection="1">
      <alignment horizontal="center" vertical="center" shrinkToFit="1"/>
      <protection locked="0"/>
    </xf>
    <xf numFmtId="0" fontId="52" fillId="57" borderId="239" xfId="0" applyFont="1" applyFill="1" applyBorder="1" applyAlignment="1">
      <alignment horizontal="center" vertical="center"/>
    </xf>
    <xf numFmtId="0" fontId="52" fillId="57" borderId="206" xfId="0" applyFont="1" applyFill="1" applyBorder="1" applyAlignment="1">
      <alignment horizontal="center" vertical="center"/>
    </xf>
    <xf numFmtId="0" fontId="53" fillId="57" borderId="242" xfId="0" applyFont="1" applyFill="1" applyBorder="1" applyAlignment="1">
      <alignment horizontal="left" vertical="center" wrapText="1"/>
    </xf>
    <xf numFmtId="0" fontId="53" fillId="57" borderId="185" xfId="0" applyFont="1" applyFill="1" applyBorder="1" applyAlignment="1">
      <alignment horizontal="left" vertical="center" wrapText="1"/>
    </xf>
    <xf numFmtId="0" fontId="53" fillId="57" borderId="244" xfId="0" applyFont="1" applyFill="1" applyBorder="1" applyAlignment="1">
      <alignment horizontal="left" vertical="center" wrapText="1"/>
    </xf>
    <xf numFmtId="0" fontId="53" fillId="57" borderId="208" xfId="0" applyFont="1" applyFill="1" applyBorder="1" applyAlignment="1">
      <alignment horizontal="left" vertical="center" wrapText="1"/>
    </xf>
    <xf numFmtId="0" fontId="52" fillId="57" borderId="244" xfId="0" applyFont="1" applyFill="1" applyBorder="1" applyAlignment="1">
      <alignment horizontal="center" vertical="center" wrapText="1"/>
    </xf>
    <xf numFmtId="0" fontId="52" fillId="57" borderId="208" xfId="0" applyFont="1" applyFill="1" applyBorder="1" applyAlignment="1">
      <alignment horizontal="center" vertical="center" wrapText="1"/>
    </xf>
    <xf numFmtId="0" fontId="54" fillId="0" borderId="191" xfId="0" applyFont="1" applyBorder="1" applyAlignment="1">
      <alignment horizontal="center" vertical="center" wrapText="1"/>
    </xf>
    <xf numFmtId="0" fontId="54" fillId="0" borderId="236" xfId="0" applyFont="1" applyBorder="1" applyAlignment="1">
      <alignment horizontal="center" vertical="center" wrapText="1"/>
    </xf>
    <xf numFmtId="0" fontId="54" fillId="0" borderId="237" xfId="0" applyFont="1" applyBorder="1" applyAlignment="1">
      <alignment horizontal="center" vertical="center" wrapText="1"/>
    </xf>
    <xf numFmtId="0" fontId="54" fillId="0" borderId="238" xfId="0" applyFont="1" applyBorder="1" applyAlignment="1">
      <alignment horizontal="center" vertical="center" wrapText="1"/>
    </xf>
    <xf numFmtId="0" fontId="54" fillId="0" borderId="0" xfId="0" applyFont="1" applyAlignment="1">
      <alignment horizontal="center" vertical="center" wrapText="1"/>
    </xf>
    <xf numFmtId="0" fontId="54" fillId="0" borderId="139" xfId="0" applyFont="1" applyBorder="1" applyAlignment="1">
      <alignment horizontal="center" vertical="center" wrapText="1"/>
    </xf>
    <xf numFmtId="0" fontId="54" fillId="0" borderId="197" xfId="0" applyFont="1" applyBorder="1" applyAlignment="1">
      <alignment horizontal="center" vertical="center" wrapText="1"/>
    </xf>
    <xf numFmtId="0" fontId="54" fillId="0" borderId="199" xfId="0" applyFont="1" applyBorder="1" applyAlignment="1">
      <alignment horizontal="center" vertical="center" wrapText="1"/>
    </xf>
    <xf numFmtId="0" fontId="54" fillId="0" borderId="203" xfId="0" applyFont="1" applyBorder="1" applyAlignment="1">
      <alignment horizontal="center" vertical="center" wrapText="1"/>
    </xf>
    <xf numFmtId="0" fontId="54" fillId="0" borderId="0" xfId="555" applyFont="1" applyAlignment="1">
      <alignment horizontal="left" vertical="center" wrapText="1" indent="1"/>
    </xf>
    <xf numFmtId="0" fontId="61" fillId="0" borderId="0" xfId="0" applyFont="1" applyAlignment="1">
      <alignment horizontal="center" vertical="center" wrapText="1"/>
    </xf>
    <xf numFmtId="0" fontId="54" fillId="0" borderId="0" xfId="0" applyFont="1" applyAlignment="1">
      <alignment horizontal="left" vertical="center" wrapText="1" indent="1"/>
    </xf>
    <xf numFmtId="0" fontId="54" fillId="57" borderId="0" xfId="0" applyFont="1" applyFill="1" applyAlignment="1">
      <alignment horizontal="center" vertical="center" wrapText="1"/>
    </xf>
    <xf numFmtId="0" fontId="54" fillId="0" borderId="0" xfId="0" applyFont="1" applyAlignment="1">
      <alignment horizontal="center" vertical="center" wrapText="1" shrinkToFit="1"/>
    </xf>
    <xf numFmtId="0" fontId="163" fillId="57" borderId="382" xfId="0" applyFont="1" applyFill="1" applyBorder="1" applyAlignment="1">
      <alignment horizontal="center" vertical="center"/>
    </xf>
    <xf numFmtId="0" fontId="163" fillId="57" borderId="370" xfId="0" applyFont="1" applyFill="1" applyBorder="1" applyAlignment="1">
      <alignment horizontal="center" vertical="center"/>
    </xf>
    <xf numFmtId="0" fontId="163" fillId="57" borderId="367" xfId="0" applyFont="1" applyFill="1" applyBorder="1" applyAlignment="1">
      <alignment horizontal="center" vertical="center"/>
    </xf>
    <xf numFmtId="0" fontId="163" fillId="57" borderId="383" xfId="0" applyFont="1" applyFill="1" applyBorder="1" applyAlignment="1">
      <alignment horizontal="center" vertical="center"/>
    </xf>
    <xf numFmtId="0" fontId="163" fillId="57" borderId="362" xfId="0" applyFont="1" applyFill="1" applyBorder="1" applyAlignment="1">
      <alignment horizontal="center" vertical="center"/>
    </xf>
    <xf numFmtId="0" fontId="163" fillId="57" borderId="363" xfId="0" applyFont="1" applyFill="1" applyBorder="1" applyAlignment="1">
      <alignment horizontal="center" vertical="center"/>
    </xf>
    <xf numFmtId="3" fontId="52" fillId="18" borderId="371" xfId="0" applyNumberFormat="1" applyFont="1" applyFill="1" applyBorder="1" applyAlignment="1">
      <alignment horizontal="center" vertical="center" shrinkToFit="1"/>
    </xf>
    <xf numFmtId="3" fontId="52" fillId="18" borderId="361" xfId="0" applyNumberFormat="1" applyFont="1" applyFill="1" applyBorder="1" applyAlignment="1">
      <alignment horizontal="center" vertical="center" shrinkToFit="1"/>
    </xf>
    <xf numFmtId="0" fontId="61" fillId="57" borderId="367" xfId="0" applyFont="1" applyFill="1" applyBorder="1" applyAlignment="1">
      <alignment horizontal="center" vertical="center" shrinkToFit="1"/>
    </xf>
    <xf numFmtId="0" fontId="61" fillId="57" borderId="383" xfId="0" applyFont="1" applyFill="1" applyBorder="1" applyAlignment="1">
      <alignment horizontal="center" vertical="center" shrinkToFit="1"/>
    </xf>
    <xf numFmtId="0" fontId="61" fillId="57" borderId="384" xfId="0" applyFont="1" applyFill="1" applyBorder="1" applyAlignment="1">
      <alignment horizontal="center" vertical="center" shrinkToFit="1"/>
    </xf>
    <xf numFmtId="0" fontId="61" fillId="57" borderId="362" xfId="0" applyFont="1" applyFill="1" applyBorder="1" applyAlignment="1">
      <alignment horizontal="center" vertical="center" shrinkToFit="1"/>
    </xf>
    <xf numFmtId="0" fontId="61" fillId="57" borderId="363" xfId="0" applyFont="1" applyFill="1" applyBorder="1" applyAlignment="1">
      <alignment horizontal="center" vertical="center" shrinkToFit="1"/>
    </xf>
    <xf numFmtId="0" fontId="61" fillId="57" borderId="385" xfId="0" applyFont="1" applyFill="1" applyBorder="1" applyAlignment="1">
      <alignment horizontal="center" vertical="center" shrinkToFit="1"/>
    </xf>
    <xf numFmtId="0" fontId="53" fillId="57" borderId="241" xfId="0" applyFont="1" applyFill="1" applyBorder="1" applyAlignment="1">
      <alignment horizontal="left" vertical="center"/>
    </xf>
    <xf numFmtId="0" fontId="53" fillId="57" borderId="189" xfId="0" applyFont="1" applyFill="1" applyBorder="1" applyAlignment="1">
      <alignment horizontal="left" vertical="center"/>
    </xf>
    <xf numFmtId="0" fontId="53" fillId="57" borderId="76" xfId="0" applyFont="1" applyFill="1" applyBorder="1" applyAlignment="1">
      <alignment horizontal="left" vertical="center"/>
    </xf>
    <xf numFmtId="0" fontId="54" fillId="0" borderId="185" xfId="0" applyFont="1" applyBorder="1" applyAlignment="1">
      <alignment horizontal="center" vertical="center" shrinkToFit="1"/>
    </xf>
    <xf numFmtId="0" fontId="54" fillId="0" borderId="208" xfId="0" applyFont="1" applyBorder="1" applyAlignment="1">
      <alignment horizontal="center" vertical="center" shrinkToFit="1"/>
    </xf>
    <xf numFmtId="1" fontId="140" fillId="57" borderId="240" xfId="0" applyNumberFormat="1" applyFont="1" applyFill="1" applyBorder="1" applyAlignment="1">
      <alignment horizontal="center" vertical="center" wrapText="1"/>
    </xf>
    <xf numFmtId="1" fontId="140" fillId="57" borderId="250" xfId="0" applyNumberFormat="1" applyFont="1" applyFill="1" applyBorder="1" applyAlignment="1">
      <alignment horizontal="center" vertical="center" wrapText="1"/>
    </xf>
    <xf numFmtId="0" fontId="52" fillId="57" borderId="244" xfId="0" applyFont="1" applyFill="1" applyBorder="1" applyAlignment="1">
      <alignment horizontal="center" vertical="center"/>
    </xf>
    <xf numFmtId="0" fontId="52" fillId="57" borderId="459" xfId="0" applyFont="1" applyFill="1" applyBorder="1" applyAlignment="1">
      <alignment horizontal="center" vertical="center"/>
    </xf>
    <xf numFmtId="0" fontId="52" fillId="57" borderId="248" xfId="0" applyFont="1" applyFill="1" applyBorder="1" applyAlignment="1">
      <alignment horizontal="center" vertical="center"/>
    </xf>
    <xf numFmtId="0" fontId="52" fillId="57" borderId="249" xfId="0" applyFont="1" applyFill="1" applyBorder="1" applyAlignment="1">
      <alignment horizontal="center" vertical="center"/>
    </xf>
    <xf numFmtId="0" fontId="54" fillId="36" borderId="462" xfId="0" applyFont="1" applyFill="1" applyBorder="1" applyAlignment="1" applyProtection="1">
      <alignment horizontal="left" vertical="center" indent="1" shrinkToFit="1"/>
      <protection locked="0"/>
    </xf>
    <xf numFmtId="0" fontId="54" fillId="36" borderId="463" xfId="0" applyFont="1" applyFill="1" applyBorder="1" applyAlignment="1" applyProtection="1">
      <alignment horizontal="left" vertical="center" indent="1" shrinkToFit="1"/>
      <protection locked="0"/>
    </xf>
    <xf numFmtId="0" fontId="121" fillId="36" borderId="70" xfId="579" applyFont="1" applyFill="1" applyBorder="1" applyAlignment="1" applyProtection="1">
      <alignment horizontal="left" vertical="center" indent="1" shrinkToFit="1"/>
      <protection locked="0"/>
    </xf>
    <xf numFmtId="0" fontId="54" fillId="36" borderId="454" xfId="0" applyFont="1" applyFill="1" applyBorder="1" applyAlignment="1" applyProtection="1">
      <alignment horizontal="left" vertical="center" indent="1" shrinkToFit="1"/>
      <protection locked="0"/>
    </xf>
    <xf numFmtId="0" fontId="54" fillId="36" borderId="456" xfId="0" applyFont="1" applyFill="1" applyBorder="1" applyAlignment="1" applyProtection="1">
      <alignment horizontal="left" vertical="center" indent="1" shrinkToFit="1"/>
      <protection locked="0"/>
    </xf>
    <xf numFmtId="0" fontId="43" fillId="57" borderId="265" xfId="0" applyFont="1" applyFill="1" applyBorder="1" applyAlignment="1">
      <alignment horizontal="left" vertical="center"/>
    </xf>
    <xf numFmtId="0" fontId="43" fillId="57" borderId="255" xfId="0" applyFont="1" applyFill="1" applyBorder="1" applyAlignment="1">
      <alignment horizontal="left" vertical="center"/>
    </xf>
    <xf numFmtId="0" fontId="43" fillId="57" borderId="76" xfId="0" applyFont="1" applyFill="1" applyBorder="1" applyAlignment="1">
      <alignment horizontal="left" vertical="center"/>
    </xf>
    <xf numFmtId="0" fontId="56" fillId="57" borderId="265" xfId="0" applyFont="1" applyFill="1" applyBorder="1" applyAlignment="1">
      <alignment horizontal="left" vertical="center"/>
    </xf>
    <xf numFmtId="0" fontId="56" fillId="57" borderId="255" xfId="0" applyFont="1" applyFill="1" applyBorder="1" applyAlignment="1">
      <alignment horizontal="left" vertical="center"/>
    </xf>
    <xf numFmtId="0" fontId="56" fillId="57" borderId="76" xfId="0" applyFont="1" applyFill="1" applyBorder="1" applyAlignment="1">
      <alignment horizontal="left" vertical="center"/>
    </xf>
    <xf numFmtId="0" fontId="56" fillId="57" borderId="265" xfId="0" applyFont="1" applyFill="1" applyBorder="1" applyAlignment="1">
      <alignment horizontal="left" vertical="center" wrapText="1"/>
    </xf>
    <xf numFmtId="0" fontId="56" fillId="57" borderId="255" xfId="0" applyFont="1" applyFill="1" applyBorder="1" applyAlignment="1">
      <alignment horizontal="left" vertical="center" wrapText="1"/>
    </xf>
    <xf numFmtId="0" fontId="56" fillId="57" borderId="76" xfId="0" applyFont="1" applyFill="1" applyBorder="1" applyAlignment="1">
      <alignment horizontal="left" vertical="center" wrapText="1"/>
    </xf>
    <xf numFmtId="166" fontId="56" fillId="57" borderId="265" xfId="0" applyNumberFormat="1" applyFont="1" applyFill="1" applyBorder="1" applyAlignment="1">
      <alignment horizontal="left" vertical="center"/>
    </xf>
    <xf numFmtId="166" fontId="56" fillId="57" borderId="255" xfId="0" applyNumberFormat="1" applyFont="1" applyFill="1" applyBorder="1" applyAlignment="1">
      <alignment horizontal="left" vertical="center"/>
    </xf>
    <xf numFmtId="166" fontId="56" fillId="57" borderId="76" xfId="0" applyNumberFormat="1" applyFont="1" applyFill="1" applyBorder="1" applyAlignment="1">
      <alignment horizontal="left" vertical="center"/>
    </xf>
    <xf numFmtId="0" fontId="56" fillId="57" borderId="265" xfId="0" applyFont="1" applyFill="1" applyBorder="1" applyAlignment="1">
      <alignment horizontal="center" vertical="center" wrapText="1"/>
    </xf>
    <xf numFmtId="0" fontId="56" fillId="57" borderId="255" xfId="0" applyFont="1" applyFill="1" applyBorder="1" applyAlignment="1">
      <alignment horizontal="center" vertical="center" wrapText="1"/>
    </xf>
    <xf numFmtId="0" fontId="56" fillId="57" borderId="76" xfId="0" applyFont="1" applyFill="1" applyBorder="1" applyAlignment="1">
      <alignment horizontal="center" vertical="center" wrapText="1"/>
    </xf>
    <xf numFmtId="0" fontId="42" fillId="57" borderId="0" xfId="0" applyFont="1" applyFill="1" applyAlignment="1">
      <alignment horizontal="left" vertical="center"/>
    </xf>
    <xf numFmtId="0" fontId="134" fillId="43" borderId="0" xfId="0" applyFont="1" applyFill="1" applyAlignment="1">
      <alignment horizontal="center" vertical="center" wrapText="1"/>
    </xf>
    <xf numFmtId="0" fontId="207" fillId="43" borderId="78" xfId="412" applyFont="1" applyFill="1" applyBorder="1" applyAlignment="1" applyProtection="1">
      <alignment horizontal="center" vertical="center" wrapText="1"/>
    </xf>
    <xf numFmtId="0" fontId="207" fillId="43" borderId="0" xfId="412" applyFont="1" applyFill="1" applyBorder="1" applyAlignment="1" applyProtection="1">
      <alignment horizontal="center" vertical="center"/>
    </xf>
    <xf numFmtId="0" fontId="56" fillId="57" borderId="64" xfId="0" applyFont="1" applyFill="1" applyBorder="1" applyAlignment="1" applyProtection="1">
      <alignment horizontal="center" vertical="center"/>
      <protection locked="0"/>
    </xf>
    <xf numFmtId="0" fontId="104" fillId="23" borderId="140" xfId="412" applyNumberFormat="1" applyFont="1" applyFill="1" applyBorder="1" applyAlignment="1" applyProtection="1">
      <alignment horizontal="center" vertical="center"/>
    </xf>
    <xf numFmtId="0" fontId="104" fillId="23" borderId="77" xfId="412" applyNumberFormat="1" applyFont="1" applyFill="1" applyBorder="1" applyAlignment="1" applyProtection="1">
      <alignment horizontal="center" vertical="center"/>
    </xf>
    <xf numFmtId="0" fontId="53" fillId="29" borderId="230" xfId="0" applyFont="1" applyFill="1" applyBorder="1" applyAlignment="1" applyProtection="1">
      <alignment vertical="center" shrinkToFit="1"/>
      <protection locked="0"/>
    </xf>
    <xf numFmtId="0" fontId="53" fillId="29" borderId="327" xfId="0" applyFont="1" applyFill="1" applyBorder="1" applyAlignment="1" applyProtection="1">
      <alignment vertical="center" shrinkToFit="1"/>
      <protection locked="0"/>
    </xf>
    <xf numFmtId="0" fontId="53" fillId="29" borderId="328" xfId="0" applyFont="1" applyFill="1" applyBorder="1" applyAlignment="1" applyProtection="1">
      <alignment vertical="center" shrinkToFit="1"/>
      <protection locked="0"/>
    </xf>
    <xf numFmtId="0" fontId="48" fillId="57" borderId="64" xfId="0" applyFont="1" applyFill="1" applyBorder="1" applyAlignment="1" applyProtection="1">
      <alignment horizontal="center" vertical="center" wrapText="1"/>
      <protection hidden="1"/>
    </xf>
    <xf numFmtId="0" fontId="43" fillId="57" borderId="64" xfId="0" applyFont="1" applyFill="1" applyBorder="1" applyAlignment="1" applyProtection="1">
      <alignment horizontal="center" vertical="center" wrapText="1"/>
      <protection hidden="1"/>
    </xf>
    <xf numFmtId="0" fontId="75" fillId="57" borderId="64" xfId="0" applyFont="1" applyFill="1" applyBorder="1" applyAlignment="1" applyProtection="1">
      <alignment horizontal="center" vertical="center" wrapText="1"/>
      <protection hidden="1"/>
    </xf>
    <xf numFmtId="0" fontId="56" fillId="57" borderId="64" xfId="0" applyFont="1" applyFill="1" applyBorder="1" applyAlignment="1" applyProtection="1">
      <alignment horizontal="center" vertical="center" wrapText="1"/>
      <protection hidden="1"/>
    </xf>
    <xf numFmtId="0" fontId="165" fillId="57" borderId="64" xfId="0" applyFont="1" applyFill="1" applyBorder="1" applyAlignment="1">
      <alignment horizontal="center" vertical="center" wrapText="1"/>
    </xf>
    <xf numFmtId="0" fontId="53" fillId="29" borderId="322" xfId="0" applyFont="1" applyFill="1" applyBorder="1" applyAlignment="1" applyProtection="1">
      <alignment vertical="center" shrinkToFit="1"/>
      <protection locked="0"/>
    </xf>
    <xf numFmtId="0" fontId="53" fillId="29" borderId="305" xfId="0" applyFont="1" applyFill="1" applyBorder="1" applyAlignment="1" applyProtection="1">
      <alignment vertical="center" shrinkToFit="1"/>
      <protection locked="0"/>
    </xf>
    <xf numFmtId="0" fontId="53" fillId="29" borderId="323" xfId="0" applyFont="1" applyFill="1" applyBorder="1" applyAlignment="1" applyProtection="1">
      <alignment vertical="center" shrinkToFit="1"/>
      <protection locked="0"/>
    </xf>
    <xf numFmtId="0" fontId="56" fillId="57" borderId="64" xfId="0" applyFont="1" applyFill="1" applyBorder="1" applyAlignment="1" applyProtection="1">
      <alignment horizontal="center" vertical="center"/>
      <protection hidden="1"/>
    </xf>
    <xf numFmtId="0" fontId="43" fillId="57" borderId="65" xfId="0" applyFont="1" applyFill="1" applyBorder="1" applyAlignment="1">
      <alignment horizontal="center" vertical="center"/>
    </xf>
    <xf numFmtId="0" fontId="43" fillId="57" borderId="184" xfId="0" applyFont="1" applyFill="1" applyBorder="1" applyAlignment="1">
      <alignment horizontal="center" vertical="center"/>
    </xf>
    <xf numFmtId="0" fontId="61" fillId="57" borderId="136" xfId="0" applyFont="1" applyFill="1" applyBorder="1" applyAlignment="1">
      <alignment horizontal="center" vertical="center"/>
    </xf>
    <xf numFmtId="0" fontId="61" fillId="57" borderId="83" xfId="0" applyFont="1" applyFill="1" applyBorder="1" applyAlignment="1">
      <alignment horizontal="center" vertical="center"/>
    </xf>
    <xf numFmtId="0" fontId="61" fillId="57" borderId="138" xfId="0" applyFont="1" applyFill="1" applyBorder="1" applyAlignment="1">
      <alignment horizontal="center" vertical="center"/>
    </xf>
    <xf numFmtId="0" fontId="56" fillId="57" borderId="191" xfId="0" applyFont="1" applyFill="1" applyBorder="1" applyAlignment="1">
      <alignment horizontal="center" vertical="center" wrapText="1"/>
    </xf>
    <xf numFmtId="0" fontId="56" fillId="57" borderId="219" xfId="0" applyFont="1" applyFill="1" applyBorder="1" applyAlignment="1">
      <alignment horizontal="center" vertical="center" wrapText="1"/>
    </xf>
    <xf numFmtId="0" fontId="52" fillId="0" borderId="0" xfId="0" applyFont="1" applyAlignment="1">
      <alignment horizontal="left" vertical="center" wrapText="1"/>
    </xf>
    <xf numFmtId="0" fontId="43" fillId="57" borderId="64" xfId="0" applyFont="1" applyFill="1" applyBorder="1" applyAlignment="1">
      <alignment horizontal="center" vertical="center" wrapText="1"/>
    </xf>
    <xf numFmtId="0" fontId="48" fillId="57" borderId="64" xfId="0" applyFont="1" applyFill="1" applyBorder="1" applyAlignment="1">
      <alignment horizontal="center" vertical="center" wrapText="1"/>
    </xf>
    <xf numFmtId="166" fontId="48" fillId="57" borderId="64" xfId="0" applyNumberFormat="1" applyFont="1" applyFill="1" applyBorder="1" applyAlignment="1" applyProtection="1">
      <alignment horizontal="center" vertical="center"/>
      <protection hidden="1"/>
    </xf>
    <xf numFmtId="0" fontId="56" fillId="57" borderId="64" xfId="0" applyFont="1" applyFill="1" applyBorder="1" applyAlignment="1">
      <alignment horizontal="center" vertical="center"/>
    </xf>
    <xf numFmtId="0" fontId="43" fillId="57" borderId="64" xfId="0" applyFont="1" applyFill="1" applyBorder="1" applyAlignment="1">
      <alignment horizontal="center" vertical="center"/>
    </xf>
    <xf numFmtId="0" fontId="48" fillId="10" borderId="64" xfId="0" applyFont="1" applyFill="1" applyBorder="1" applyAlignment="1" applyProtection="1">
      <alignment horizontal="center" vertical="center"/>
      <protection locked="0"/>
    </xf>
    <xf numFmtId="0" fontId="134" fillId="43" borderId="139" xfId="0" applyFont="1" applyFill="1" applyBorder="1" applyAlignment="1">
      <alignment horizontal="center" vertical="center" wrapText="1"/>
    </xf>
    <xf numFmtId="0" fontId="134" fillId="43" borderId="151" xfId="0" applyFont="1" applyFill="1" applyBorder="1" applyAlignment="1">
      <alignment horizontal="center" vertical="center" wrapText="1"/>
    </xf>
    <xf numFmtId="0" fontId="134" fillId="43" borderId="75" xfId="0" applyFont="1" applyFill="1" applyBorder="1" applyAlignment="1">
      <alignment horizontal="center" vertical="center" wrapText="1"/>
    </xf>
    <xf numFmtId="0" fontId="101" fillId="23" borderId="2" xfId="412" applyNumberFormat="1" applyFont="1" applyFill="1" applyBorder="1" applyAlignment="1" applyProtection="1">
      <alignment horizontal="center" vertical="center"/>
    </xf>
    <xf numFmtId="0" fontId="24" fillId="57" borderId="64" xfId="0" applyFont="1" applyFill="1" applyBorder="1" applyAlignment="1">
      <alignment horizontal="center" vertical="center" wrapText="1"/>
    </xf>
    <xf numFmtId="0" fontId="24" fillId="57" borderId="64" xfId="0" applyFont="1" applyFill="1" applyBorder="1" applyAlignment="1">
      <alignment horizontal="left" vertical="center"/>
    </xf>
    <xf numFmtId="0" fontId="52" fillId="57" borderId="64" xfId="0" applyFont="1" applyFill="1" applyBorder="1" applyAlignment="1">
      <alignment horizontal="center" vertical="center" wrapText="1"/>
    </xf>
    <xf numFmtId="0" fontId="72" fillId="38" borderId="64" xfId="0" applyFont="1" applyFill="1" applyBorder="1" applyAlignment="1">
      <alignment horizontal="center" vertical="center"/>
    </xf>
    <xf numFmtId="167" fontId="24" fillId="0" borderId="64" xfId="0" applyNumberFormat="1" applyFont="1" applyBorder="1" applyAlignment="1">
      <alignment horizontal="center"/>
    </xf>
    <xf numFmtId="0" fontId="38" fillId="57" borderId="64" xfId="0" applyFont="1" applyFill="1" applyBorder="1" applyAlignment="1">
      <alignment horizontal="left" vertical="center" indent="1"/>
    </xf>
    <xf numFmtId="0" fontId="60" fillId="57" borderId="64" xfId="0" applyFont="1" applyFill="1" applyBorder="1" applyAlignment="1">
      <alignment horizontal="left" vertical="center" wrapText="1"/>
    </xf>
    <xf numFmtId="0" fontId="24" fillId="0" borderId="64" xfId="0" applyFont="1" applyBorder="1" applyAlignment="1">
      <alignment horizontal="center"/>
    </xf>
    <xf numFmtId="2" fontId="24" fillId="0" borderId="64" xfId="0" applyNumberFormat="1" applyFont="1" applyBorder="1" applyAlignment="1">
      <alignment horizontal="center"/>
    </xf>
    <xf numFmtId="0" fontId="81" fillId="0" borderId="65" xfId="0" applyFont="1" applyBorder="1" applyAlignment="1">
      <alignment horizontal="center" vertical="center" wrapText="1"/>
    </xf>
    <xf numFmtId="0" fontId="81" fillId="0" borderId="184" xfId="0" applyFont="1" applyBorder="1" applyAlignment="1">
      <alignment horizontal="center" vertical="center" wrapText="1"/>
    </xf>
    <xf numFmtId="0" fontId="81" fillId="0" borderId="156" xfId="0" applyFont="1" applyBorder="1" applyAlignment="1">
      <alignment horizontal="center" vertical="center" wrapText="1"/>
    </xf>
    <xf numFmtId="0" fontId="205" fillId="0" borderId="150" xfId="412" applyFont="1" applyFill="1" applyBorder="1" applyAlignment="1">
      <alignment horizontal="center" vertical="center" wrapText="1"/>
    </xf>
    <xf numFmtId="0" fontId="205" fillId="0" borderId="199" xfId="412" applyFont="1" applyFill="1" applyBorder="1" applyAlignment="1">
      <alignment horizontal="center" vertical="center" wrapText="1"/>
    </xf>
    <xf numFmtId="0" fontId="206" fillId="0" borderId="0" xfId="412" applyFont="1" applyAlignment="1">
      <alignment horizontal="center" vertical="center" wrapText="1"/>
    </xf>
    <xf numFmtId="0" fontId="145" fillId="43" borderId="10" xfId="0" applyFont="1" applyFill="1" applyBorder="1" applyAlignment="1">
      <alignment horizontal="center" vertical="center" wrapText="1"/>
    </xf>
    <xf numFmtId="0" fontId="61" fillId="38" borderId="64" xfId="0" applyFont="1" applyFill="1" applyBorder="1" applyAlignment="1">
      <alignment horizontal="left" vertical="center" wrapText="1"/>
    </xf>
    <xf numFmtId="0" fontId="45" fillId="0" borderId="64" xfId="0" applyFont="1" applyBorder="1" applyAlignment="1">
      <alignment horizontal="left" vertical="center"/>
    </xf>
    <xf numFmtId="0" fontId="0" fillId="38" borderId="64" xfId="0" applyFill="1" applyBorder="1" applyAlignment="1" applyProtection="1">
      <alignment horizontal="center" vertical="center" wrapText="1"/>
      <protection hidden="1"/>
    </xf>
    <xf numFmtId="0" fontId="44" fillId="38" borderId="64" xfId="0" applyFont="1" applyFill="1" applyBorder="1" applyAlignment="1">
      <alignment horizontal="center" vertical="center" wrapText="1"/>
    </xf>
    <xf numFmtId="0" fontId="43" fillId="38" borderId="10" xfId="0" applyFont="1" applyFill="1" applyBorder="1" applyAlignment="1">
      <alignment horizontal="left" vertical="center" wrapText="1"/>
    </xf>
    <xf numFmtId="0" fontId="0" fillId="0" borderId="10" xfId="0" applyBorder="1" applyAlignment="1">
      <alignment horizontal="left" vertical="top"/>
    </xf>
    <xf numFmtId="0" fontId="43" fillId="38" borderId="10" xfId="0" applyFont="1" applyFill="1" applyBorder="1" applyAlignment="1">
      <alignment horizontal="left" vertical="top" wrapText="1"/>
    </xf>
    <xf numFmtId="0" fontId="43" fillId="0" borderId="10" xfId="0" applyFont="1" applyBorder="1" applyAlignment="1">
      <alignment horizontal="left" vertical="top" wrapText="1"/>
    </xf>
    <xf numFmtId="0" fontId="61" fillId="57" borderId="187" xfId="0" applyFont="1" applyFill="1" applyBorder="1" applyAlignment="1">
      <alignment horizontal="left" vertical="center" wrapText="1"/>
    </xf>
    <xf numFmtId="0" fontId="52" fillId="57" borderId="64" xfId="0" applyFont="1" applyFill="1" applyBorder="1" applyAlignment="1">
      <alignment horizontal="left" vertical="center" wrapText="1"/>
    </xf>
    <xf numFmtId="0" fontId="43" fillId="38" borderId="10" xfId="0" applyFont="1" applyFill="1" applyBorder="1" applyAlignment="1">
      <alignment horizontal="center" vertical="center" wrapText="1"/>
    </xf>
    <xf numFmtId="0" fontId="98" fillId="0" borderId="11" xfId="0" applyFont="1" applyBorder="1" applyAlignment="1">
      <alignment horizontal="center" vertical="top" wrapText="1"/>
    </xf>
    <xf numFmtId="0" fontId="45" fillId="38" borderId="36" xfId="0" applyFont="1" applyFill="1" applyBorder="1" applyAlignment="1">
      <alignment horizontal="center" vertical="center" wrapText="1"/>
    </xf>
    <xf numFmtId="0" fontId="42" fillId="0" borderId="64" xfId="0" applyFont="1" applyBorder="1" applyAlignment="1">
      <alignment horizontal="center" vertical="center" wrapText="1"/>
    </xf>
    <xf numFmtId="0" fontId="43" fillId="0" borderId="10" xfId="0" applyFont="1" applyBorder="1" applyAlignment="1">
      <alignment horizontal="left" vertical="center" wrapText="1"/>
    </xf>
    <xf numFmtId="0" fontId="0" fillId="52" borderId="90" xfId="0" applyFill="1" applyBorder="1" applyAlignment="1">
      <alignment horizontal="center"/>
    </xf>
    <xf numFmtId="0" fontId="0" fillId="52" borderId="52" xfId="0" applyFill="1" applyBorder="1" applyAlignment="1">
      <alignment horizontal="center" vertical="center"/>
    </xf>
    <xf numFmtId="0" fontId="40" fillId="52" borderId="84" xfId="0" applyFont="1" applyFill="1" applyBorder="1" applyAlignment="1">
      <alignment horizontal="center" vertical="center" wrapText="1"/>
    </xf>
    <xf numFmtId="0" fontId="0" fillId="52" borderId="10" xfId="0" applyFill="1" applyBorder="1" applyAlignment="1">
      <alignment horizontal="center" vertical="center" wrapText="1"/>
    </xf>
    <xf numFmtId="0" fontId="44" fillId="24" borderId="84" xfId="0" applyFont="1" applyFill="1" applyBorder="1" applyAlignment="1">
      <alignment horizontal="center" vertical="center" wrapText="1"/>
    </xf>
    <xf numFmtId="0" fontId="44" fillId="24" borderId="85" xfId="0" applyFont="1" applyFill="1" applyBorder="1" applyAlignment="1">
      <alignment horizontal="center" vertical="center" wrapText="1"/>
    </xf>
    <xf numFmtId="0" fontId="0" fillId="51" borderId="154" xfId="0" applyFill="1" applyBorder="1" applyAlignment="1">
      <alignment horizontal="center" vertical="center" wrapText="1"/>
    </xf>
    <xf numFmtId="0" fontId="0" fillId="24" borderId="52" xfId="0" applyFill="1" applyBorder="1" applyAlignment="1">
      <alignment horizontal="center" vertical="center"/>
    </xf>
    <xf numFmtId="0" fontId="41" fillId="50" borderId="95" xfId="0" applyFont="1" applyFill="1" applyBorder="1" applyAlignment="1" applyProtection="1">
      <alignment horizontal="center" vertical="center" wrapText="1"/>
      <protection hidden="1"/>
    </xf>
    <xf numFmtId="0" fontId="41" fillId="50" borderId="96" xfId="0" applyFont="1" applyFill="1" applyBorder="1" applyAlignment="1" applyProtection="1">
      <alignment horizontal="center" vertical="center" wrapText="1"/>
      <protection hidden="1"/>
    </xf>
    <xf numFmtId="0" fontId="43" fillId="24" borderId="45" xfId="0" applyFont="1" applyFill="1" applyBorder="1" applyAlignment="1">
      <alignment horizontal="center"/>
    </xf>
    <xf numFmtId="0" fontId="24" fillId="24" borderId="90" xfId="0" applyFont="1" applyFill="1" applyBorder="1" applyAlignment="1">
      <alignment horizontal="center" vertical="center"/>
    </xf>
    <xf numFmtId="0" fontId="24" fillId="24" borderId="91" xfId="0" applyFont="1" applyFill="1" applyBorder="1" applyAlignment="1">
      <alignment horizontal="center" vertical="center"/>
    </xf>
    <xf numFmtId="0" fontId="41" fillId="50" borderId="51" xfId="0" applyFont="1" applyFill="1" applyBorder="1" applyAlignment="1" applyProtection="1">
      <alignment horizontal="center" vertical="center" wrapText="1"/>
      <protection hidden="1"/>
    </xf>
    <xf numFmtId="0" fontId="44" fillId="17" borderId="324" xfId="0" applyFont="1" applyFill="1" applyBorder="1" applyAlignment="1">
      <alignment horizontal="center" vertical="center" wrapText="1"/>
    </xf>
    <xf numFmtId="0" fontId="44" fillId="17" borderId="155" xfId="0" applyFont="1" applyFill="1" applyBorder="1" applyAlignment="1">
      <alignment horizontal="center" vertical="center" wrapText="1"/>
    </xf>
    <xf numFmtId="0" fontId="44" fillId="17" borderId="114" xfId="0" applyFont="1" applyFill="1" applyBorder="1" applyAlignment="1">
      <alignment horizontal="center" vertical="center" wrapText="1"/>
    </xf>
    <xf numFmtId="0" fontId="44" fillId="17" borderId="115" xfId="0" applyFont="1" applyFill="1" applyBorder="1" applyAlignment="1">
      <alignment horizontal="center" vertical="center" wrapText="1"/>
    </xf>
    <xf numFmtId="0" fontId="44" fillId="17" borderId="135" xfId="0" applyFont="1" applyFill="1" applyBorder="1" applyAlignment="1">
      <alignment horizontal="center" vertical="center" wrapText="1"/>
    </xf>
    <xf numFmtId="0" fontId="44" fillId="17" borderId="325" xfId="0" applyFont="1" applyFill="1" applyBorder="1" applyAlignment="1">
      <alignment horizontal="center" vertical="center" wrapText="1"/>
    </xf>
    <xf numFmtId="0" fontId="45" fillId="24" borderId="91" xfId="0" applyFont="1" applyFill="1" applyBorder="1" applyAlignment="1">
      <alignment horizontal="center" vertical="center"/>
    </xf>
    <xf numFmtId="0" fontId="44" fillId="24" borderId="40" xfId="0" applyFont="1" applyFill="1" applyBorder="1" applyAlignment="1">
      <alignment horizontal="center" vertical="center" wrapText="1"/>
    </xf>
    <xf numFmtId="0" fontId="0" fillId="0" borderId="35" xfId="0" applyBorder="1" applyAlignment="1">
      <alignment horizontal="center" vertical="center" wrapText="1"/>
    </xf>
    <xf numFmtId="0" fontId="45" fillId="0" borderId="10" xfId="0" applyFont="1" applyBorder="1" applyAlignment="1">
      <alignment horizontal="center" vertical="center" wrapText="1"/>
    </xf>
    <xf numFmtId="0" fontId="45" fillId="0" borderId="20" xfId="0" applyFont="1" applyBorder="1" applyAlignment="1">
      <alignment horizontal="center" vertical="center" wrapText="1"/>
    </xf>
    <xf numFmtId="0" fontId="30" fillId="0" borderId="466" xfId="0" applyFont="1" applyBorder="1" applyAlignment="1">
      <alignment horizontal="center"/>
    </xf>
    <xf numFmtId="0" fontId="30" fillId="0" borderId="461" xfId="0" applyFont="1" applyBorder="1" applyAlignment="1">
      <alignment horizontal="center"/>
    </xf>
    <xf numFmtId="0" fontId="0" fillId="57" borderId="64" xfId="0" applyFill="1" applyBorder="1" applyAlignment="1">
      <alignment horizontal="center" vertical="center" wrapText="1"/>
    </xf>
    <xf numFmtId="0" fontId="30" fillId="0" borderId="64" xfId="0" applyFont="1" applyBorder="1" applyAlignment="1">
      <alignment horizontal="center"/>
    </xf>
    <xf numFmtId="0" fontId="53" fillId="57" borderId="64" xfId="0" applyFont="1" applyFill="1" applyBorder="1" applyAlignment="1">
      <alignment horizontal="center" vertical="center" wrapText="1"/>
    </xf>
    <xf numFmtId="0" fontId="53" fillId="57" borderId="64" xfId="0" applyFont="1" applyFill="1" applyBorder="1" applyAlignment="1">
      <alignment horizontal="center" vertical="center"/>
    </xf>
    <xf numFmtId="0" fontId="72" fillId="0" borderId="10" xfId="0" applyFont="1" applyBorder="1" applyAlignment="1">
      <alignment horizontal="center" vertical="center" wrapText="1"/>
    </xf>
    <xf numFmtId="0" fontId="72" fillId="0" borderId="20" xfId="0" applyFont="1" applyBorder="1" applyAlignment="1">
      <alignment horizontal="center" vertical="center" wrapText="1"/>
    </xf>
    <xf numFmtId="0" fontId="112" fillId="57" borderId="64" xfId="0" applyFont="1" applyFill="1" applyBorder="1" applyAlignment="1">
      <alignment horizontal="center" vertical="center" wrapText="1"/>
    </xf>
    <xf numFmtId="0" fontId="101" fillId="23" borderId="128" xfId="412" applyNumberFormat="1" applyFont="1" applyFill="1" applyBorder="1" applyAlignment="1" applyProtection="1">
      <alignment horizontal="center" vertical="center"/>
    </xf>
    <xf numFmtId="0" fontId="30" fillId="15" borderId="64" xfId="0" applyFont="1" applyFill="1" applyBorder="1" applyAlignment="1">
      <alignment horizontal="center" vertical="center"/>
    </xf>
    <xf numFmtId="10" fontId="112" fillId="10" borderId="64" xfId="547" applyNumberFormat="1" applyFill="1" applyBorder="1" applyAlignment="1" applyProtection="1">
      <alignment horizontal="center" vertical="center"/>
      <protection locked="0"/>
    </xf>
    <xf numFmtId="2" fontId="112" fillId="10" borderId="64" xfId="547" applyNumberFormat="1" applyFill="1" applyBorder="1" applyAlignment="1" applyProtection="1">
      <alignment horizontal="center" vertical="center"/>
      <protection locked="0"/>
    </xf>
    <xf numFmtId="0" fontId="42" fillId="57" borderId="64" xfId="0" applyFont="1" applyFill="1" applyBorder="1" applyAlignment="1">
      <alignment horizontal="center" vertical="center" wrapText="1"/>
    </xf>
    <xf numFmtId="0" fontId="209" fillId="94" borderId="0" xfId="0" applyFont="1" applyFill="1" applyAlignment="1">
      <alignment horizontal="center" vertical="center" wrapText="1"/>
    </xf>
    <xf numFmtId="0" fontId="61" fillId="57" borderId="381" xfId="0" applyFont="1" applyFill="1" applyBorder="1" applyAlignment="1">
      <alignment horizontal="center" vertical="center"/>
    </xf>
    <xf numFmtId="0" fontId="61" fillId="57" borderId="193" xfId="0" applyFont="1" applyFill="1" applyBorder="1" applyAlignment="1">
      <alignment horizontal="center" vertical="center"/>
    </xf>
    <xf numFmtId="0" fontId="61" fillId="57" borderId="195" xfId="0" applyFont="1" applyFill="1" applyBorder="1" applyAlignment="1">
      <alignment horizontal="center" vertical="center"/>
    </xf>
    <xf numFmtId="0" fontId="61" fillId="57" borderId="229" xfId="0" applyFont="1" applyFill="1" applyBorder="1" applyAlignment="1">
      <alignment horizontal="center" vertical="center"/>
    </xf>
    <xf numFmtId="0" fontId="61" fillId="57" borderId="0" xfId="0" applyFont="1" applyFill="1" applyAlignment="1">
      <alignment horizontal="center" vertical="center"/>
    </xf>
    <xf numFmtId="0" fontId="61" fillId="57" borderId="149" xfId="0" applyFont="1" applyFill="1" applyBorder="1" applyAlignment="1">
      <alignment horizontal="center" vertical="center"/>
    </xf>
    <xf numFmtId="0" fontId="61" fillId="57" borderId="163" xfId="0" applyFont="1" applyFill="1" applyBorder="1" applyAlignment="1">
      <alignment horizontal="center" vertical="center"/>
    </xf>
    <xf numFmtId="0" fontId="61" fillId="57" borderId="164" xfId="0" applyFont="1" applyFill="1" applyBorder="1" applyAlignment="1">
      <alignment horizontal="center" vertical="center"/>
    </xf>
    <xf numFmtId="0" fontId="61" fillId="57" borderId="142" xfId="0" applyFont="1" applyFill="1" applyBorder="1" applyAlignment="1">
      <alignment horizontal="center" vertical="center"/>
    </xf>
    <xf numFmtId="0" fontId="0" fillId="0" borderId="0" xfId="0" applyAlignment="1">
      <alignment horizontal="left"/>
    </xf>
    <xf numFmtId="0" fontId="43" fillId="0" borderId="0" xfId="0" applyFont="1" applyAlignment="1">
      <alignment horizontal="left"/>
    </xf>
    <xf numFmtId="0" fontId="43" fillId="0" borderId="0" xfId="0" applyFont="1" applyAlignment="1">
      <alignment horizontal="left" wrapText="1"/>
    </xf>
    <xf numFmtId="0" fontId="0" fillId="0" borderId="0" xfId="0" applyAlignment="1">
      <alignment horizontal="left" wrapText="1"/>
    </xf>
    <xf numFmtId="0" fontId="53" fillId="0" borderId="0" xfId="0" applyFont="1" applyAlignment="1">
      <alignment horizontal="left" vertical="center" wrapText="1"/>
    </xf>
    <xf numFmtId="0" fontId="52" fillId="0" borderId="332" xfId="0" applyFont="1" applyBorder="1" applyAlignment="1">
      <alignment horizontal="center" vertical="center"/>
    </xf>
    <xf numFmtId="0" fontId="52" fillId="0" borderId="377" xfId="0" applyFont="1" applyBorder="1" applyAlignment="1">
      <alignment horizontal="center" vertical="center"/>
    </xf>
    <xf numFmtId="0" fontId="52" fillId="0" borderId="379" xfId="0" applyFont="1" applyBorder="1" applyAlignment="1">
      <alignment horizontal="center" vertical="center"/>
    </xf>
    <xf numFmtId="0" fontId="52" fillId="70" borderId="365" xfId="0" applyFont="1" applyFill="1" applyBorder="1" applyAlignment="1">
      <alignment horizontal="center" vertical="center"/>
    </xf>
    <xf numFmtId="0" fontId="52" fillId="70" borderId="334" xfId="0" applyFont="1" applyFill="1" applyBorder="1" applyAlignment="1">
      <alignment horizontal="center" vertical="center"/>
    </xf>
    <xf numFmtId="0" fontId="53" fillId="0" borderId="466" xfId="0" applyFont="1" applyBorder="1" applyAlignment="1">
      <alignment horizontal="center" vertical="center"/>
    </xf>
    <xf numFmtId="0" fontId="53" fillId="0" borderId="468" xfId="0" applyFont="1" applyBorder="1" applyAlignment="1">
      <alignment horizontal="center" vertical="center"/>
    </xf>
    <xf numFmtId="0" fontId="63" fillId="0" borderId="0" xfId="412" applyAlignment="1">
      <alignment horizontal="center" vertical="center" wrapText="1"/>
    </xf>
    <xf numFmtId="0" fontId="223" fillId="94" borderId="171" xfId="0" applyFont="1" applyFill="1" applyBorder="1" applyAlignment="1">
      <alignment horizontal="center" vertical="center"/>
    </xf>
    <xf numFmtId="0" fontId="223" fillId="94" borderId="338" xfId="0" applyFont="1" applyFill="1" applyBorder="1" applyAlignment="1">
      <alignment horizontal="center" vertical="center"/>
    </xf>
    <xf numFmtId="0" fontId="223" fillId="94" borderId="339" xfId="0" applyFont="1" applyFill="1" applyBorder="1" applyAlignment="1">
      <alignment horizontal="center" vertical="center"/>
    </xf>
    <xf numFmtId="0" fontId="42" fillId="0" borderId="262" xfId="0" applyFont="1" applyBorder="1" applyAlignment="1">
      <alignment horizontal="center" vertical="center" wrapText="1"/>
    </xf>
    <xf numFmtId="0" fontId="42" fillId="0" borderId="263" xfId="0" applyFont="1" applyBorder="1" applyAlignment="1">
      <alignment horizontal="center" vertical="center" wrapText="1"/>
    </xf>
    <xf numFmtId="0" fontId="52" fillId="0" borderId="266" xfId="0" applyFont="1" applyBorder="1" applyAlignment="1">
      <alignment horizontal="center" vertical="center" wrapText="1"/>
    </xf>
    <xf numFmtId="0" fontId="52" fillId="0" borderId="347" xfId="0" applyFont="1" applyBorder="1" applyAlignment="1">
      <alignment horizontal="center" vertical="center" wrapText="1"/>
    </xf>
    <xf numFmtId="0" fontId="48" fillId="0" borderId="0" xfId="0" applyFont="1" applyAlignment="1">
      <alignment horizontal="left" vertical="center" wrapText="1"/>
    </xf>
    <xf numFmtId="0" fontId="48" fillId="57" borderId="0" xfId="0" applyFont="1" applyFill="1" applyAlignment="1">
      <alignment horizontal="left" vertical="center" wrapText="1"/>
    </xf>
    <xf numFmtId="0" fontId="135" fillId="45" borderId="0" xfId="0" applyFont="1" applyFill="1" applyAlignment="1">
      <alignment horizontal="center" vertical="center"/>
    </xf>
    <xf numFmtId="0" fontId="42" fillId="18" borderId="365" xfId="0" applyFont="1" applyFill="1" applyBorder="1" applyAlignment="1">
      <alignment horizontal="left" vertical="center" indent="1"/>
    </xf>
    <xf numFmtId="0" fontId="42" fillId="18" borderId="334" xfId="0" applyFont="1" applyFill="1" applyBorder="1" applyAlignment="1">
      <alignment horizontal="left" vertical="center" indent="1"/>
    </xf>
    <xf numFmtId="0" fontId="42" fillId="18" borderId="362" xfId="0" applyFont="1" applyFill="1" applyBorder="1" applyAlignment="1">
      <alignment horizontal="center" vertical="center"/>
    </xf>
    <xf numFmtId="0" fontId="42" fillId="18" borderId="363" xfId="0" applyFont="1" applyFill="1" applyBorder="1" applyAlignment="1">
      <alignment horizontal="center" vertical="center"/>
    </xf>
    <xf numFmtId="0" fontId="42" fillId="18" borderId="364" xfId="0" applyFont="1" applyFill="1" applyBorder="1" applyAlignment="1">
      <alignment horizontal="center" vertical="center"/>
    </xf>
    <xf numFmtId="0" fontId="92" fillId="70" borderId="185" xfId="412" applyFont="1" applyFill="1" applyBorder="1" applyAlignment="1">
      <alignment horizontal="center" vertical="center"/>
    </xf>
    <xf numFmtId="0" fontId="92" fillId="70" borderId="360" xfId="412" applyFont="1" applyFill="1" applyBorder="1" applyAlignment="1">
      <alignment horizontal="center" vertical="center"/>
    </xf>
    <xf numFmtId="0" fontId="92" fillId="70" borderId="361" xfId="412" applyFont="1" applyFill="1" applyBorder="1" applyAlignment="1">
      <alignment horizontal="center" vertical="center"/>
    </xf>
    <xf numFmtId="0" fontId="92" fillId="70" borderId="185" xfId="412" applyFont="1" applyFill="1" applyBorder="1" applyAlignment="1">
      <alignment vertical="center"/>
    </xf>
    <xf numFmtId="0" fontId="92" fillId="70" borderId="360" xfId="412" applyFont="1" applyFill="1" applyBorder="1" applyAlignment="1">
      <alignment vertical="center"/>
    </xf>
    <xf numFmtId="0" fontId="92" fillId="70" borderId="361" xfId="412" applyFont="1" applyFill="1" applyBorder="1" applyAlignment="1">
      <alignment vertical="center"/>
    </xf>
    <xf numFmtId="0" fontId="0" fillId="0" borderId="229" xfId="0" applyBorder="1" applyAlignment="1">
      <alignment horizontal="center" vertical="top" wrapText="1"/>
    </xf>
    <xf numFmtId="0" fontId="0" fillId="0" borderId="0" xfId="0" applyAlignment="1">
      <alignment horizontal="center" vertical="top" wrapText="1"/>
    </xf>
    <xf numFmtId="0" fontId="54" fillId="0" borderId="342" xfId="0" applyFont="1" applyBorder="1" applyAlignment="1">
      <alignment horizontal="center" vertical="center" wrapText="1"/>
    </xf>
    <xf numFmtId="0" fontId="54" fillId="0" borderId="340" xfId="0" applyFont="1" applyBorder="1" applyAlignment="1">
      <alignment horizontal="center" vertical="center" wrapText="1"/>
    </xf>
    <xf numFmtId="0" fontId="54" fillId="0" borderId="185" xfId="0" applyFont="1" applyBorder="1" applyAlignment="1">
      <alignment horizontal="left" vertical="center" wrapText="1"/>
    </xf>
    <xf numFmtId="0" fontId="112" fillId="75" borderId="230" xfId="623" applyFont="1" applyFill="1" applyBorder="1" applyAlignment="1">
      <alignment horizontal="left" vertical="center"/>
    </xf>
    <xf numFmtId="0" fontId="112" fillId="75" borderId="328" xfId="623" applyFont="1" applyFill="1" applyBorder="1" applyAlignment="1">
      <alignment horizontal="left" vertical="center"/>
    </xf>
    <xf numFmtId="0" fontId="189" fillId="43" borderId="0" xfId="0" applyFont="1" applyFill="1" applyAlignment="1" applyProtection="1">
      <alignment horizontal="center" vertical="center"/>
      <protection hidden="1"/>
    </xf>
    <xf numFmtId="0" fontId="0" fillId="75" borderId="230" xfId="623" applyFont="1" applyFill="1" applyBorder="1" applyAlignment="1">
      <alignment horizontal="left" vertical="center"/>
    </xf>
    <xf numFmtId="0" fontId="143" fillId="43" borderId="0" xfId="0" applyFont="1" applyFill="1" applyAlignment="1" applyProtection="1">
      <alignment horizontal="center" vertical="center"/>
      <protection hidden="1"/>
    </xf>
    <xf numFmtId="0" fontId="42" fillId="55" borderId="0" xfId="0" applyFont="1" applyFill="1" applyAlignment="1" applyProtection="1">
      <alignment horizontal="left"/>
      <protection hidden="1"/>
    </xf>
    <xf numFmtId="0" fontId="42" fillId="55" borderId="0" xfId="0" applyFont="1" applyFill="1" applyAlignment="1" applyProtection="1">
      <alignment horizontal="left" vertical="center"/>
      <protection hidden="1"/>
    </xf>
    <xf numFmtId="0" fontId="0" fillId="72" borderId="331" xfId="0" applyFill="1" applyBorder="1" applyAlignment="1" applyProtection="1">
      <alignment horizontal="left" vertical="center" wrapText="1"/>
      <protection hidden="1"/>
    </xf>
    <xf numFmtId="0" fontId="0" fillId="72" borderId="236" xfId="0" applyFill="1" applyBorder="1" applyAlignment="1" applyProtection="1">
      <alignment horizontal="left" vertical="center" wrapText="1"/>
      <protection hidden="1"/>
    </xf>
    <xf numFmtId="0" fontId="0" fillId="72" borderId="237" xfId="0" applyFill="1" applyBorder="1" applyAlignment="1" applyProtection="1">
      <alignment horizontal="left" vertical="center" wrapText="1"/>
      <protection hidden="1"/>
    </xf>
    <xf numFmtId="0" fontId="0" fillId="72" borderId="238" xfId="0" applyFill="1" applyBorder="1" applyAlignment="1" applyProtection="1">
      <alignment horizontal="left" vertical="center" wrapText="1"/>
      <protection hidden="1"/>
    </xf>
    <xf numFmtId="0" fontId="0" fillId="72" borderId="0" xfId="0" applyFill="1" applyAlignment="1" applyProtection="1">
      <alignment horizontal="left" vertical="center" wrapText="1"/>
      <protection hidden="1"/>
    </xf>
    <xf numFmtId="0" fontId="0" fillId="72" borderId="139" xfId="0" applyFill="1" applyBorder="1" applyAlignment="1" applyProtection="1">
      <alignment horizontal="left" vertical="center" wrapText="1"/>
      <protection hidden="1"/>
    </xf>
    <xf numFmtId="0" fontId="53" fillId="72" borderId="331" xfId="0" applyFont="1" applyFill="1" applyBorder="1" applyAlignment="1">
      <alignment horizontal="center" vertical="center" wrapText="1"/>
    </xf>
    <xf numFmtId="0" fontId="53" fillId="72" borderId="237" xfId="0" applyFont="1" applyFill="1" applyBorder="1" applyAlignment="1">
      <alignment horizontal="center" vertical="center" wrapText="1"/>
    </xf>
    <xf numFmtId="0" fontId="53" fillId="72" borderId="238" xfId="0" applyFont="1" applyFill="1" applyBorder="1" applyAlignment="1">
      <alignment horizontal="center" vertical="center" wrapText="1"/>
    </xf>
    <xf numFmtId="0" fontId="53" fillId="72" borderId="139" xfId="0" applyFont="1" applyFill="1" applyBorder="1" applyAlignment="1">
      <alignment horizontal="center" vertical="center" wrapText="1"/>
    </xf>
    <xf numFmtId="0" fontId="53" fillId="72" borderId="340" xfId="0" applyFont="1" applyFill="1" applyBorder="1" applyAlignment="1">
      <alignment horizontal="center" vertical="center" wrapText="1"/>
    </xf>
    <xf numFmtId="0" fontId="53" fillId="72" borderId="203" xfId="0" applyFont="1" applyFill="1" applyBorder="1" applyAlignment="1">
      <alignment horizontal="center" vertical="center" wrapText="1"/>
    </xf>
    <xf numFmtId="0" fontId="43" fillId="72" borderId="141" xfId="0" quotePrefix="1" applyFont="1" applyFill="1" applyBorder="1" applyAlignment="1" applyProtection="1">
      <alignment horizontal="center" vertical="center" wrapText="1"/>
      <protection hidden="1"/>
    </xf>
    <xf numFmtId="0" fontId="43" fillId="72" borderId="341" xfId="0" quotePrefix="1" applyFont="1" applyFill="1" applyBorder="1" applyAlignment="1" applyProtection="1">
      <alignment horizontal="center" vertical="center" wrapText="1"/>
      <protection hidden="1"/>
    </xf>
    <xf numFmtId="0" fontId="75" fillId="72" borderId="199" xfId="0" applyFont="1" applyFill="1" applyBorder="1" applyAlignment="1" applyProtection="1">
      <alignment horizontal="center" vertical="center" wrapText="1"/>
      <protection hidden="1"/>
    </xf>
    <xf numFmtId="0" fontId="75" fillId="72" borderId="199" xfId="0" applyFont="1" applyFill="1" applyBorder="1" applyAlignment="1" applyProtection="1">
      <alignment horizontal="center" vertical="center"/>
      <protection hidden="1"/>
    </xf>
    <xf numFmtId="0" fontId="0" fillId="68" borderId="331" xfId="0" applyFill="1" applyBorder="1" applyAlignment="1" applyProtection="1">
      <alignment horizontal="center" vertical="center" wrapText="1"/>
      <protection hidden="1"/>
    </xf>
    <xf numFmtId="0" fontId="0" fillId="68" borderId="236" xfId="0" applyFill="1" applyBorder="1" applyAlignment="1" applyProtection="1">
      <alignment horizontal="center" vertical="center" wrapText="1"/>
      <protection hidden="1"/>
    </xf>
    <xf numFmtId="0" fontId="0" fillId="68" borderId="237" xfId="0" applyFill="1" applyBorder="1" applyAlignment="1" applyProtection="1">
      <alignment horizontal="center" vertical="center" wrapText="1"/>
      <protection hidden="1"/>
    </xf>
    <xf numFmtId="0" fontId="0" fillId="68" borderId="238" xfId="0" applyFill="1" applyBorder="1" applyAlignment="1" applyProtection="1">
      <alignment horizontal="center" vertical="center" wrapText="1"/>
      <protection hidden="1"/>
    </xf>
    <xf numFmtId="0" fontId="0" fillId="68" borderId="0" xfId="0" applyFill="1" applyAlignment="1" applyProtection="1">
      <alignment horizontal="center" vertical="center" wrapText="1"/>
      <protection hidden="1"/>
    </xf>
    <xf numFmtId="0" fontId="0" fillId="68" borderId="139" xfId="0" applyFill="1" applyBorder="1" applyAlignment="1" applyProtection="1">
      <alignment horizontal="center" vertical="center" wrapText="1"/>
      <protection hidden="1"/>
    </xf>
    <xf numFmtId="0" fontId="0" fillId="68" borderId="340" xfId="0" applyFill="1" applyBorder="1" applyAlignment="1" applyProtection="1">
      <alignment horizontal="center" vertical="center" wrapText="1"/>
      <protection hidden="1"/>
    </xf>
    <xf numFmtId="0" fontId="0" fillId="68" borderId="199" xfId="0" applyFill="1" applyBorder="1" applyAlignment="1" applyProtection="1">
      <alignment horizontal="center" vertical="center" wrapText="1"/>
      <protection hidden="1"/>
    </xf>
    <xf numFmtId="0" fontId="0" fillId="68" borderId="203" xfId="0" applyFill="1" applyBorder="1" applyAlignment="1" applyProtection="1">
      <alignment horizontal="center" vertical="center" wrapText="1"/>
      <protection hidden="1"/>
    </xf>
    <xf numFmtId="0" fontId="92" fillId="23" borderId="64" xfId="412" applyNumberFormat="1" applyFont="1" applyFill="1" applyBorder="1" applyAlignment="1" applyProtection="1">
      <alignment horizontal="center" vertical="center"/>
    </xf>
    <xf numFmtId="0" fontId="52" fillId="0" borderId="229" xfId="0" applyFont="1" applyBorder="1" applyAlignment="1">
      <alignment horizontal="left" vertical="center"/>
    </xf>
    <xf numFmtId="0" fontId="184" fillId="55" borderId="0" xfId="0" applyFont="1" applyFill="1" applyAlignment="1" applyProtection="1">
      <alignment horizontal="center" vertical="center" textRotation="90"/>
      <protection hidden="1"/>
    </xf>
    <xf numFmtId="0" fontId="0" fillId="0" borderId="35" xfId="0" applyBorder="1" applyAlignment="1">
      <alignment horizontal="center" vertical="center"/>
    </xf>
    <xf numFmtId="0" fontId="0" fillId="0" borderId="0" xfId="0" applyAlignment="1">
      <alignment horizontal="center" vertical="center"/>
    </xf>
    <xf numFmtId="0" fontId="0" fillId="0" borderId="35" xfId="0" applyBorder="1" applyAlignment="1">
      <alignment horizontal="left" vertical="center" wrapText="1"/>
    </xf>
    <xf numFmtId="0" fontId="0" fillId="0" borderId="0" xfId="0" applyAlignment="1">
      <alignment horizontal="left" vertical="center" wrapText="1"/>
    </xf>
    <xf numFmtId="0" fontId="92" fillId="23" borderId="443" xfId="412" applyNumberFormat="1" applyFont="1" applyFill="1" applyBorder="1" applyAlignment="1" applyProtection="1">
      <alignment horizontal="center" vertical="center"/>
    </xf>
    <xf numFmtId="0" fontId="92" fillId="23" borderId="442" xfId="412" applyNumberFormat="1" applyFont="1" applyFill="1" applyBorder="1" applyAlignment="1" applyProtection="1">
      <alignment horizontal="center" vertical="center"/>
    </xf>
    <xf numFmtId="0" fontId="53" fillId="0" borderId="10" xfId="0" applyFont="1" applyBorder="1" applyAlignment="1">
      <alignment horizontal="left" vertical="center" wrapText="1"/>
    </xf>
    <xf numFmtId="0" fontId="53" fillId="0" borderId="47" xfId="0" applyFont="1" applyBorder="1" applyAlignment="1">
      <alignment horizontal="left" vertical="center" wrapText="1"/>
    </xf>
    <xf numFmtId="0" fontId="65" fillId="57" borderId="332" xfId="0" applyFont="1" applyFill="1" applyBorder="1" applyAlignment="1">
      <alignment horizontal="center" vertical="center" wrapText="1"/>
    </xf>
    <xf numFmtId="0" fontId="65" fillId="57" borderId="333" xfId="0" applyFont="1" applyFill="1" applyBorder="1" applyAlignment="1">
      <alignment horizontal="center" vertical="center" wrapText="1"/>
    </xf>
    <xf numFmtId="0" fontId="65" fillId="57" borderId="334" xfId="0" applyFont="1" applyFill="1" applyBorder="1" applyAlignment="1">
      <alignment horizontal="center" vertical="center" wrapText="1"/>
    </xf>
    <xf numFmtId="172" fontId="42" fillId="0" borderId="204" xfId="0" applyNumberFormat="1" applyFont="1" applyBorder="1" applyAlignment="1">
      <alignment horizontal="center" vertical="center"/>
    </xf>
    <xf numFmtId="172" fontId="42" fillId="0" borderId="205" xfId="0" applyNumberFormat="1" applyFont="1" applyBorder="1" applyAlignment="1">
      <alignment horizontal="center" vertical="center"/>
    </xf>
    <xf numFmtId="172" fontId="42" fillId="0" borderId="351" xfId="0" applyNumberFormat="1" applyFont="1" applyBorder="1" applyAlignment="1">
      <alignment horizontal="center" vertical="center"/>
    </xf>
    <xf numFmtId="172" fontId="42" fillId="0" borderId="352" xfId="0" applyNumberFormat="1" applyFont="1" applyBorder="1" applyAlignment="1">
      <alignment horizontal="center" vertical="center"/>
    </xf>
    <xf numFmtId="167" fontId="42" fillId="0" borderId="351" xfId="0" applyNumberFormat="1" applyFont="1" applyBorder="1" applyAlignment="1">
      <alignment horizontal="center" vertical="center"/>
    </xf>
    <xf numFmtId="167" fontId="42" fillId="0" borderId="352" xfId="0" applyNumberFormat="1" applyFont="1" applyBorder="1" applyAlignment="1">
      <alignment horizontal="center" vertical="center"/>
    </xf>
    <xf numFmtId="166" fontId="42" fillId="0" borderId="351" xfId="0" applyNumberFormat="1" applyFont="1" applyBorder="1" applyAlignment="1">
      <alignment horizontal="center" vertical="center"/>
    </xf>
    <xf numFmtId="166" fontId="42" fillId="0" borderId="352" xfId="0" applyNumberFormat="1" applyFont="1" applyBorder="1" applyAlignment="1">
      <alignment horizontal="center" vertical="center"/>
    </xf>
    <xf numFmtId="166" fontId="43" fillId="0" borderId="351" xfId="0" applyNumberFormat="1" applyFont="1" applyBorder="1" applyAlignment="1">
      <alignment horizontal="center" vertical="center"/>
    </xf>
    <xf numFmtId="166" fontId="43" fillId="0" borderId="352" xfId="0" applyNumberFormat="1" applyFont="1" applyBorder="1" applyAlignment="1">
      <alignment horizontal="center" vertical="center"/>
    </xf>
    <xf numFmtId="0" fontId="42" fillId="15" borderId="0" xfId="0" applyFont="1" applyFill="1" applyAlignment="1">
      <alignment horizontal="left" vertical="center"/>
    </xf>
    <xf numFmtId="0" fontId="53" fillId="0" borderId="20" xfId="0" applyFont="1" applyBorder="1" applyAlignment="1">
      <alignment horizontal="left" vertical="center" wrapText="1"/>
    </xf>
    <xf numFmtId="0" fontId="53" fillId="0" borderId="10" xfId="578" applyFont="1" applyBorder="1" applyAlignment="1">
      <alignment horizontal="left" vertical="center" indent="1"/>
    </xf>
    <xf numFmtId="0" fontId="54" fillId="0" borderId="353" xfId="0" applyFont="1" applyBorder="1" applyAlignment="1">
      <alignment horizontal="left" vertical="center" shrinkToFit="1"/>
    </xf>
    <xf numFmtId="0" fontId="54" fillId="0" borderId="189" xfId="0" applyFont="1" applyBorder="1" applyAlignment="1">
      <alignment horizontal="left" vertical="center" shrinkToFit="1"/>
    </xf>
    <xf numFmtId="0" fontId="54" fillId="0" borderId="357" xfId="0" applyFont="1" applyBorder="1" applyAlignment="1">
      <alignment horizontal="left" vertical="center" shrinkToFit="1"/>
    </xf>
    <xf numFmtId="0" fontId="54" fillId="0" borderId="10" xfId="0" applyFont="1" applyBorder="1" applyAlignment="1">
      <alignment horizontal="left" vertical="center" wrapText="1"/>
    </xf>
    <xf numFmtId="0" fontId="54" fillId="0" borderId="204" xfId="0" applyFont="1" applyBorder="1" applyAlignment="1">
      <alignment horizontal="center" vertical="center" wrapText="1" shrinkToFit="1"/>
    </xf>
    <xf numFmtId="0" fontId="54" fillId="0" borderId="335" xfId="0" applyFont="1" applyBorder="1" applyAlignment="1">
      <alignment horizontal="center" vertical="center" wrapText="1" shrinkToFit="1"/>
    </xf>
    <xf numFmtId="0" fontId="54" fillId="0" borderId="205" xfId="0" applyFont="1" applyBorder="1" applyAlignment="1">
      <alignment horizontal="center" vertical="center" wrapText="1" shrinkToFit="1"/>
    </xf>
    <xf numFmtId="0" fontId="54" fillId="0" borderId="354" xfId="0" applyFont="1" applyBorder="1" applyAlignment="1">
      <alignment horizontal="left" vertical="center" wrapText="1"/>
    </xf>
    <xf numFmtId="0" fontId="65" fillId="0" borderId="202" xfId="0" applyFont="1" applyBorder="1" applyAlignment="1">
      <alignment horizontal="center" vertical="center" wrapText="1"/>
    </xf>
    <xf numFmtId="0" fontId="65" fillId="0" borderId="189" xfId="0" applyFont="1" applyBorder="1" applyAlignment="1">
      <alignment horizontal="center" vertical="center" wrapText="1"/>
    </xf>
    <xf numFmtId="0" fontId="65" fillId="0" borderId="190" xfId="0" applyFont="1" applyBorder="1" applyAlignment="1">
      <alignment horizontal="center" vertical="center" wrapText="1"/>
    </xf>
    <xf numFmtId="0" fontId="52" fillId="63" borderId="351" xfId="0" applyFont="1" applyFill="1" applyBorder="1" applyAlignment="1">
      <alignment horizontal="center" vertical="center" wrapText="1"/>
    </xf>
    <xf numFmtId="0" fontId="52" fillId="63" borderId="352" xfId="0" applyFont="1" applyFill="1" applyBorder="1" applyAlignment="1">
      <alignment horizontal="center" vertical="center" wrapText="1"/>
    </xf>
    <xf numFmtId="0" fontId="52" fillId="63" borderId="355" xfId="0" applyFont="1" applyFill="1" applyBorder="1" applyAlignment="1">
      <alignment horizontal="center" vertical="center"/>
    </xf>
    <xf numFmtId="0" fontId="52" fillId="63" borderId="356" xfId="0" applyFont="1" applyFill="1" applyBorder="1" applyAlignment="1">
      <alignment horizontal="center" vertical="center"/>
    </xf>
    <xf numFmtId="0" fontId="52" fillId="63" borderId="358" xfId="0" applyFont="1" applyFill="1" applyBorder="1" applyAlignment="1">
      <alignment horizontal="center" vertical="center" wrapText="1" shrinkToFit="1"/>
    </xf>
    <xf numFmtId="0" fontId="52" fillId="63" borderId="359" xfId="0" applyFont="1" applyFill="1" applyBorder="1" applyAlignment="1">
      <alignment horizontal="center" vertical="center" wrapText="1" shrinkToFit="1"/>
    </xf>
    <xf numFmtId="0" fontId="52" fillId="63" borderId="204" xfId="0" applyFont="1" applyFill="1" applyBorder="1" applyAlignment="1">
      <alignment horizontal="center" vertical="center" wrapText="1" shrinkToFit="1"/>
    </xf>
    <xf numFmtId="0" fontId="52" fillId="63" borderId="205" xfId="0" applyFont="1" applyFill="1" applyBorder="1" applyAlignment="1">
      <alignment horizontal="center" vertical="center" wrapText="1" shrinkToFit="1"/>
    </xf>
    <xf numFmtId="0" fontId="53" fillId="0" borderId="388" xfId="578" applyFont="1" applyBorder="1" applyAlignment="1">
      <alignment horizontal="left" vertical="center"/>
    </xf>
    <xf numFmtId="0" fontId="53" fillId="0" borderId="389" xfId="578" applyFont="1" applyBorder="1" applyAlignment="1">
      <alignment horizontal="left" vertical="center"/>
    </xf>
    <xf numFmtId="0" fontId="53" fillId="0" borderId="390" xfId="578" applyFont="1" applyBorder="1" applyAlignment="1">
      <alignment horizontal="left" vertical="center"/>
    </xf>
    <xf numFmtId="167" fontId="42" fillId="57" borderId="351" xfId="0" applyNumberFormat="1" applyFont="1" applyFill="1" applyBorder="1" applyAlignment="1">
      <alignment horizontal="center" vertical="center"/>
    </xf>
    <xf numFmtId="167" fontId="42" fillId="57" borderId="352" xfId="0" applyNumberFormat="1" applyFont="1" applyFill="1" applyBorder="1" applyAlignment="1">
      <alignment horizontal="center" vertical="center"/>
    </xf>
    <xf numFmtId="167" fontId="42" fillId="57" borderId="351" xfId="0" applyNumberFormat="1" applyFont="1" applyFill="1" applyBorder="1" applyAlignment="1">
      <alignment horizontal="center" vertical="center" wrapText="1" shrinkToFit="1"/>
    </xf>
    <xf numFmtId="167" fontId="42" fillId="57" borderId="352" xfId="0" applyNumberFormat="1" applyFont="1" applyFill="1" applyBorder="1" applyAlignment="1">
      <alignment horizontal="center" vertical="center" wrapText="1" shrinkToFit="1"/>
    </xf>
    <xf numFmtId="167" fontId="56" fillId="57" borderId="351" xfId="0" applyNumberFormat="1" applyFont="1" applyFill="1" applyBorder="1" applyAlignment="1">
      <alignment horizontal="center" vertical="center" wrapText="1"/>
    </xf>
    <xf numFmtId="167" fontId="56" fillId="57" borderId="352" xfId="0" applyNumberFormat="1" applyFont="1" applyFill="1" applyBorder="1" applyAlignment="1">
      <alignment horizontal="center" vertical="center" wrapText="1"/>
    </xf>
    <xf numFmtId="0" fontId="52" fillId="63" borderId="351" xfId="0" applyFont="1" applyFill="1" applyBorder="1" applyAlignment="1">
      <alignment horizontal="center" vertical="center"/>
    </xf>
    <xf numFmtId="0" fontId="52" fillId="63" borderId="352" xfId="0" applyFont="1" applyFill="1" applyBorder="1" applyAlignment="1">
      <alignment horizontal="center" vertical="center"/>
    </xf>
    <xf numFmtId="0" fontId="0" fillId="66" borderId="0" xfId="0" applyFill="1" applyAlignment="1">
      <alignment horizontal="center"/>
    </xf>
    <xf numFmtId="0" fontId="10" fillId="66" borderId="0" xfId="0" applyFont="1" applyFill="1" applyAlignment="1">
      <alignment horizontal="left" wrapText="1" indent="1"/>
    </xf>
    <xf numFmtId="0" fontId="53" fillId="66" borderId="0" xfId="0" applyFont="1" applyFill="1" applyAlignment="1">
      <alignment horizontal="left" vertical="center" wrapText="1" indent="1"/>
    </xf>
    <xf numFmtId="0" fontId="10" fillId="57" borderId="67" xfId="0" applyFont="1" applyFill="1" applyBorder="1" applyAlignment="1">
      <alignment horizontal="center" wrapText="1"/>
    </xf>
    <xf numFmtId="0" fontId="10" fillId="57" borderId="81" xfId="0" applyFont="1" applyFill="1" applyBorder="1" applyAlignment="1">
      <alignment horizontal="center" wrapText="1"/>
    </xf>
    <xf numFmtId="0" fontId="10" fillId="57" borderId="76" xfId="0" applyFont="1" applyFill="1" applyBorder="1" applyAlignment="1">
      <alignment horizontal="center" wrapText="1"/>
    </xf>
    <xf numFmtId="0" fontId="135" fillId="43" borderId="0" xfId="0" applyFont="1" applyFill="1" applyAlignment="1">
      <alignment horizontal="center" vertical="center"/>
    </xf>
    <xf numFmtId="0" fontId="10" fillId="66" borderId="67" xfId="0" applyFont="1" applyFill="1" applyBorder="1" applyAlignment="1">
      <alignment horizontal="left" indent="1"/>
    </xf>
    <xf numFmtId="0" fontId="10" fillId="66" borderId="76" xfId="0" applyFont="1" applyFill="1" applyBorder="1" applyAlignment="1">
      <alignment horizontal="left" indent="1"/>
    </xf>
    <xf numFmtId="0" fontId="179" fillId="66" borderId="67" xfId="0" applyFont="1" applyFill="1" applyBorder="1" applyAlignment="1">
      <alignment horizontal="left" vertical="center" indent="1"/>
    </xf>
    <xf numFmtId="0" fontId="179" fillId="66" borderId="81" xfId="0" applyFont="1" applyFill="1" applyBorder="1" applyAlignment="1">
      <alignment horizontal="left" vertical="center" indent="1"/>
    </xf>
    <xf numFmtId="0" fontId="179" fillId="66" borderId="76" xfId="0" applyFont="1" applyFill="1" applyBorder="1" applyAlignment="1">
      <alignment horizontal="left" vertical="center" indent="1"/>
    </xf>
    <xf numFmtId="0" fontId="10" fillId="66" borderId="67" xfId="0" applyFont="1" applyFill="1" applyBorder="1" applyAlignment="1">
      <alignment horizontal="left" vertical="center" indent="1"/>
    </xf>
    <xf numFmtId="0" fontId="10" fillId="66" borderId="76" xfId="0" applyFont="1" applyFill="1" applyBorder="1" applyAlignment="1">
      <alignment horizontal="left" vertical="center" indent="1"/>
    </xf>
    <xf numFmtId="0" fontId="54" fillId="65" borderId="67" xfId="0" applyFont="1" applyFill="1" applyBorder="1" applyAlignment="1" applyProtection="1">
      <alignment horizontal="left" vertical="center" indent="1"/>
      <protection locked="0"/>
    </xf>
    <xf numFmtId="0" fontId="54" fillId="65" borderId="81" xfId="0" applyFont="1" applyFill="1" applyBorder="1" applyAlignment="1" applyProtection="1">
      <alignment horizontal="left" vertical="center" indent="1"/>
      <protection locked="0"/>
    </xf>
    <xf numFmtId="0" fontId="54" fillId="65" borderId="76" xfId="0" applyFont="1" applyFill="1" applyBorder="1" applyAlignment="1" applyProtection="1">
      <alignment horizontal="left" vertical="center" indent="1"/>
      <protection locked="0"/>
    </xf>
    <xf numFmtId="0" fontId="183" fillId="65" borderId="67" xfId="0" applyFont="1" applyFill="1" applyBorder="1" applyAlignment="1" applyProtection="1">
      <alignment horizontal="left" vertical="center" indent="1"/>
      <protection locked="0"/>
    </xf>
    <xf numFmtId="0" fontId="183" fillId="65" borderId="81" xfId="0" applyFont="1" applyFill="1" applyBorder="1" applyAlignment="1" applyProtection="1">
      <alignment horizontal="left" vertical="center" indent="1"/>
      <protection locked="0"/>
    </xf>
    <xf numFmtId="0" fontId="183" fillId="65" borderId="76" xfId="0" applyFont="1" applyFill="1" applyBorder="1" applyAlignment="1" applyProtection="1">
      <alignment horizontal="left" vertical="center" indent="1"/>
      <protection locked="0"/>
    </xf>
    <xf numFmtId="177" fontId="42" fillId="65" borderId="0" xfId="0" applyNumberFormat="1" applyFont="1" applyFill="1" applyAlignment="1" applyProtection="1">
      <alignment horizontal="center" vertical="center"/>
      <protection locked="0"/>
    </xf>
    <xf numFmtId="14" fontId="53" fillId="65" borderId="0" xfId="0" applyNumberFormat="1" applyFont="1" applyFill="1" applyAlignment="1" applyProtection="1">
      <alignment horizontal="center" vertical="center"/>
      <protection locked="0"/>
    </xf>
    <xf numFmtId="0" fontId="179" fillId="66" borderId="0" xfId="0" applyFont="1" applyFill="1" applyAlignment="1">
      <alignment horizontal="left" vertical="center"/>
    </xf>
    <xf numFmtId="0" fontId="102" fillId="23" borderId="82" xfId="412" applyNumberFormat="1" applyFont="1" applyFill="1" applyBorder="1" applyAlignment="1" applyProtection="1">
      <alignment horizontal="center" vertical="center" wrapText="1"/>
    </xf>
    <xf numFmtId="0" fontId="102" fillId="23" borderId="157" xfId="412" applyNumberFormat="1" applyFont="1" applyFill="1" applyBorder="1" applyAlignment="1" applyProtection="1">
      <alignment horizontal="center" vertical="center" wrapText="1"/>
    </xf>
    <xf numFmtId="0" fontId="102" fillId="23" borderId="158" xfId="412" applyNumberFormat="1" applyFont="1" applyFill="1" applyBorder="1" applyAlignment="1" applyProtection="1">
      <alignment horizontal="center" vertical="center" wrapText="1"/>
    </xf>
    <xf numFmtId="0" fontId="102" fillId="23" borderId="163" xfId="412" applyNumberFormat="1" applyFont="1" applyFill="1" applyBorder="1" applyAlignment="1" applyProtection="1">
      <alignment horizontal="center" vertical="center" wrapText="1"/>
    </xf>
    <xf numFmtId="0" fontId="102" fillId="23" borderId="164" xfId="412" applyNumberFormat="1" applyFont="1" applyFill="1" applyBorder="1" applyAlignment="1" applyProtection="1">
      <alignment horizontal="center" vertical="center" wrapText="1"/>
    </xf>
    <xf numFmtId="0" fontId="102" fillId="23" borderId="142" xfId="412" applyNumberFormat="1" applyFont="1" applyFill="1" applyBorder="1" applyAlignment="1" applyProtection="1">
      <alignment horizontal="center" vertical="center" wrapText="1"/>
    </xf>
    <xf numFmtId="0" fontId="176" fillId="57" borderId="67" xfId="0" applyFont="1" applyFill="1" applyBorder="1" applyAlignment="1">
      <alignment horizontal="center" wrapText="1"/>
    </xf>
    <xf numFmtId="0" fontId="176" fillId="57" borderId="76" xfId="0" applyFont="1" applyFill="1" applyBorder="1" applyAlignment="1">
      <alignment horizontal="center" wrapText="1"/>
    </xf>
    <xf numFmtId="0" fontId="5" fillId="57" borderId="67" xfId="0" applyFont="1" applyFill="1" applyBorder="1" applyAlignment="1">
      <alignment horizontal="center" wrapText="1"/>
    </xf>
    <xf numFmtId="0" fontId="0" fillId="0" borderId="148" xfId="0" applyBorder="1" applyAlignment="1">
      <alignment horizontal="left" vertical="center" wrapText="1"/>
    </xf>
    <xf numFmtId="0" fontId="0" fillId="0" borderId="149" xfId="0" applyBorder="1" applyAlignment="1">
      <alignment horizontal="left" vertical="center" wrapText="1"/>
    </xf>
    <xf numFmtId="0" fontId="0" fillId="0" borderId="415" xfId="0" applyBorder="1" applyAlignment="1">
      <alignment horizontal="left" vertical="center" wrapText="1"/>
    </xf>
    <xf numFmtId="0" fontId="0" fillId="0" borderId="411" xfId="0" applyBorder="1" applyAlignment="1">
      <alignment horizontal="left" vertical="center" wrapText="1"/>
    </xf>
    <xf numFmtId="0" fontId="203" fillId="0" borderId="148" xfId="0" applyFont="1" applyBorder="1" applyAlignment="1">
      <alignment horizontal="left" vertical="top" wrapText="1"/>
    </xf>
    <xf numFmtId="0" fontId="203" fillId="0" borderId="149" xfId="0" applyFont="1" applyBorder="1" applyAlignment="1">
      <alignment horizontal="left" vertical="top" wrapText="1"/>
    </xf>
    <xf numFmtId="0" fontId="203" fillId="0" borderId="163" xfId="0" applyFont="1" applyBorder="1" applyAlignment="1">
      <alignment horizontal="left" vertical="top" wrapText="1"/>
    </xf>
    <xf numFmtId="0" fontId="203" fillId="0" borderId="142" xfId="0" applyFont="1" applyBorder="1" applyAlignment="1">
      <alignment horizontal="left" vertical="top" wrapText="1"/>
    </xf>
    <xf numFmtId="0" fontId="65" fillId="0" borderId="412" xfId="0" applyFont="1" applyBorder="1" applyAlignment="1">
      <alignment horizontal="center" vertical="center"/>
    </xf>
    <xf numFmtId="0" fontId="65" fillId="0" borderId="413" xfId="0" applyFont="1" applyBorder="1" applyAlignment="1">
      <alignment horizontal="center" vertical="center"/>
    </xf>
    <xf numFmtId="0" fontId="0" fillId="0" borderId="414" xfId="0" applyBorder="1" applyAlignment="1">
      <alignment horizontal="left" vertical="center" wrapText="1"/>
    </xf>
    <xf numFmtId="0" fontId="0" fillId="0" borderId="372" xfId="0" applyBorder="1" applyAlignment="1">
      <alignment horizontal="left" vertical="center" wrapText="1"/>
    </xf>
    <xf numFmtId="0" fontId="201" fillId="0" borderId="414" xfId="0" applyFont="1" applyBorder="1" applyAlignment="1">
      <alignment horizontal="center" vertical="center" wrapText="1"/>
    </xf>
    <xf numFmtId="0" fontId="201" fillId="0" borderId="372" xfId="0" applyFont="1" applyBorder="1" applyAlignment="1">
      <alignment horizontal="center" vertical="center" wrapText="1"/>
    </xf>
    <xf numFmtId="0" fontId="0" fillId="0" borderId="409" xfId="0" applyBorder="1" applyAlignment="1">
      <alignment horizontal="left" vertical="center" wrapText="1"/>
    </xf>
    <xf numFmtId="0" fontId="0" fillId="0" borderId="410" xfId="0" applyBorder="1" applyAlignment="1">
      <alignment horizontal="left" vertical="center" wrapText="1"/>
    </xf>
    <xf numFmtId="0" fontId="0" fillId="57" borderId="159" xfId="0" applyFill="1" applyBorder="1" applyAlignment="1">
      <alignment horizontal="center" vertical="center" wrapText="1"/>
    </xf>
    <xf numFmtId="0" fontId="0" fillId="57" borderId="160" xfId="0" applyFill="1" applyBorder="1" applyAlignment="1">
      <alignment horizontal="center" vertical="center" wrapText="1"/>
    </xf>
    <xf numFmtId="0" fontId="0" fillId="57" borderId="161" xfId="0" applyFill="1" applyBorder="1" applyAlignment="1">
      <alignment horizontal="center" vertical="center" wrapText="1"/>
    </xf>
    <xf numFmtId="0" fontId="42" fillId="57" borderId="337" xfId="0" applyFont="1" applyFill="1" applyBorder="1" applyAlignment="1">
      <alignment horizontal="center" vertical="center" wrapText="1"/>
    </xf>
    <xf numFmtId="0" fontId="42" fillId="57" borderId="193" xfId="0" applyFont="1" applyFill="1" applyBorder="1" applyAlignment="1">
      <alignment horizontal="center" vertical="center" wrapText="1"/>
    </xf>
    <xf numFmtId="0" fontId="42" fillId="57" borderId="229" xfId="0" applyFont="1" applyFill="1" applyBorder="1" applyAlignment="1">
      <alignment horizontal="center" vertical="center" wrapText="1"/>
    </xf>
    <xf numFmtId="0" fontId="42" fillId="57" borderId="0" xfId="0" applyFont="1" applyFill="1" applyAlignment="1">
      <alignment horizontal="center" vertical="center" wrapText="1"/>
    </xf>
    <xf numFmtId="0" fontId="43" fillId="57" borderId="158" xfId="0" applyFont="1" applyFill="1" applyBorder="1" applyAlignment="1">
      <alignment horizontal="center" vertical="center"/>
    </xf>
    <xf numFmtId="0" fontId="43" fillId="57" borderId="149" xfId="0" applyFont="1" applyFill="1" applyBorder="1" applyAlignment="1">
      <alignment horizontal="center" vertical="center"/>
    </xf>
    <xf numFmtId="0" fontId="0" fillId="57" borderId="238" xfId="0" applyFill="1" applyBorder="1" applyAlignment="1">
      <alignment horizontal="center" vertical="center"/>
    </xf>
    <xf numFmtId="0" fontId="0" fillId="57" borderId="0" xfId="0" applyFill="1" applyAlignment="1">
      <alignment horizontal="center" vertical="center"/>
    </xf>
    <xf numFmtId="0" fontId="0" fillId="0" borderId="337" xfId="0" applyBorder="1" applyAlignment="1">
      <alignment horizontal="center" vertical="center" wrapText="1"/>
    </xf>
    <xf numFmtId="0" fontId="0" fillId="0" borderId="229" xfId="0" applyBorder="1" applyAlignment="1">
      <alignment horizontal="center" vertical="center" wrapText="1"/>
    </xf>
    <xf numFmtId="0" fontId="0" fillId="0" borderId="150" xfId="0" applyBorder="1" applyAlignment="1">
      <alignment horizontal="center" vertical="center" wrapText="1"/>
    </xf>
    <xf numFmtId="0" fontId="0" fillId="57" borderId="353" xfId="0" applyFill="1" applyBorder="1" applyAlignment="1">
      <alignment horizontal="center" vertical="center" wrapText="1"/>
    </xf>
    <xf numFmtId="0" fontId="0" fillId="57" borderId="366" xfId="0" applyFill="1" applyBorder="1" applyAlignment="1">
      <alignment horizontal="center" vertical="center" wrapText="1"/>
    </xf>
    <xf numFmtId="0" fontId="52" fillId="57" borderId="337" xfId="0" applyFont="1" applyFill="1" applyBorder="1" applyAlignment="1">
      <alignment horizontal="center" vertical="center"/>
    </xf>
    <xf numFmtId="0" fontId="52" fillId="57" borderId="193" xfId="0" applyFont="1" applyFill="1" applyBorder="1" applyAlignment="1">
      <alignment horizontal="center" vertical="center"/>
    </xf>
    <xf numFmtId="0" fontId="52" fillId="57" borderId="158" xfId="0" applyFont="1" applyFill="1" applyBorder="1" applyAlignment="1">
      <alignment horizontal="center" vertical="center"/>
    </xf>
    <xf numFmtId="0" fontId="52" fillId="57" borderId="229" xfId="0" applyFont="1" applyFill="1" applyBorder="1" applyAlignment="1">
      <alignment horizontal="center" vertical="center"/>
    </xf>
    <xf numFmtId="0" fontId="52" fillId="57" borderId="0" xfId="0" applyFont="1" applyFill="1" applyAlignment="1">
      <alignment horizontal="center" vertical="center"/>
    </xf>
    <xf numFmtId="0" fontId="52" fillId="57" borderId="149" xfId="0" applyFont="1" applyFill="1" applyBorder="1" applyAlignment="1">
      <alignment horizontal="center" vertical="center"/>
    </xf>
    <xf numFmtId="0" fontId="52" fillId="57" borderId="163" xfId="0" applyFont="1" applyFill="1" applyBorder="1" applyAlignment="1">
      <alignment horizontal="center" vertical="center"/>
    </xf>
    <xf numFmtId="0" fontId="52" fillId="57" borderId="164" xfId="0" applyFont="1" applyFill="1" applyBorder="1" applyAlignment="1">
      <alignment horizontal="center" vertical="center"/>
    </xf>
    <xf numFmtId="0" fontId="52" fillId="57" borderId="142" xfId="0" applyFont="1" applyFill="1" applyBorder="1" applyAlignment="1">
      <alignment horizontal="center" vertical="center"/>
    </xf>
    <xf numFmtId="0" fontId="52" fillId="57" borderId="162" xfId="0" applyFont="1" applyFill="1" applyBorder="1" applyAlignment="1">
      <alignment horizontal="center" vertical="center"/>
    </xf>
    <xf numFmtId="0" fontId="52" fillId="57" borderId="139" xfId="0" applyFont="1" applyFill="1" applyBorder="1" applyAlignment="1">
      <alignment horizontal="center" vertical="center"/>
    </xf>
    <xf numFmtId="0" fontId="52" fillId="57" borderId="145" xfId="0" applyFont="1" applyFill="1" applyBorder="1" applyAlignment="1">
      <alignment horizontal="center" vertical="center"/>
    </xf>
    <xf numFmtId="0" fontId="54" fillId="57" borderId="337" xfId="0" applyFont="1" applyFill="1" applyBorder="1" applyAlignment="1">
      <alignment horizontal="center"/>
    </xf>
    <xf numFmtId="0" fontId="54" fillId="57" borderId="193" xfId="0" applyFont="1" applyFill="1" applyBorder="1" applyAlignment="1">
      <alignment horizontal="center"/>
    </xf>
    <xf numFmtId="0" fontId="54" fillId="57" borderId="158" xfId="0" applyFont="1" applyFill="1" applyBorder="1" applyAlignment="1">
      <alignment horizontal="center"/>
    </xf>
    <xf numFmtId="0" fontId="48" fillId="97" borderId="165" xfId="0" applyFont="1" applyFill="1" applyBorder="1" applyAlignment="1">
      <alignment horizontal="center" textRotation="90"/>
    </xf>
    <xf numFmtId="0" fontId="48" fillId="97" borderId="166" xfId="0" applyFont="1" applyFill="1" applyBorder="1" applyAlignment="1">
      <alignment horizontal="center" textRotation="90"/>
    </xf>
    <xf numFmtId="0" fontId="65" fillId="57" borderId="337" xfId="0" applyFont="1" applyFill="1" applyBorder="1" applyAlignment="1">
      <alignment horizontal="center" vertical="center"/>
    </xf>
    <xf numFmtId="0" fontId="65" fillId="57" borderId="229" xfId="0" applyFont="1" applyFill="1" applyBorder="1" applyAlignment="1">
      <alignment horizontal="center" vertical="center"/>
    </xf>
    <xf numFmtId="0" fontId="65" fillId="57" borderId="150" xfId="0" applyFont="1" applyFill="1" applyBorder="1" applyAlignment="1">
      <alignment horizontal="center" vertical="center"/>
    </xf>
    <xf numFmtId="0" fontId="65" fillId="57" borderId="158" xfId="0" applyFont="1" applyFill="1" applyBorder="1" applyAlignment="1">
      <alignment horizontal="center" vertical="center"/>
    </xf>
    <xf numFmtId="0" fontId="65" fillId="57" borderId="149" xfId="0" applyFont="1" applyFill="1" applyBorder="1" applyAlignment="1">
      <alignment horizontal="center" vertical="center"/>
    </xf>
    <xf numFmtId="0" fontId="65" fillId="57" borderId="152" xfId="0" applyFont="1" applyFill="1" applyBorder="1" applyAlignment="1">
      <alignment horizontal="center" vertical="center"/>
    </xf>
    <xf numFmtId="0" fontId="92" fillId="99" borderId="353" xfId="412" applyNumberFormat="1" applyFont="1" applyFill="1" applyBorder="1" applyProtection="1"/>
    <xf numFmtId="0" fontId="92" fillId="99" borderId="366" xfId="412" applyNumberFormat="1" applyFont="1" applyFill="1" applyBorder="1" applyProtection="1"/>
    <xf numFmtId="0" fontId="61" fillId="57" borderId="353" xfId="0" applyFont="1" applyFill="1" applyBorder="1" applyAlignment="1">
      <alignment horizontal="center" vertical="center"/>
    </xf>
    <xf numFmtId="0" fontId="61" fillId="57" borderId="366" xfId="0" applyFont="1" applyFill="1" applyBorder="1" applyAlignment="1">
      <alignment horizontal="center" vertical="center"/>
    </xf>
    <xf numFmtId="0" fontId="61" fillId="80" borderId="353" xfId="0" applyFont="1" applyFill="1" applyBorder="1" applyAlignment="1" applyProtection="1">
      <alignment horizontal="center" vertical="center"/>
      <protection locked="0"/>
    </xf>
    <xf numFmtId="0" fontId="61" fillId="80" borderId="366" xfId="0" applyFont="1" applyFill="1" applyBorder="1" applyAlignment="1" applyProtection="1">
      <alignment horizontal="center" vertical="center"/>
      <protection locked="0"/>
    </xf>
    <xf numFmtId="0" fontId="61" fillId="70" borderId="353" xfId="0" applyFont="1" applyFill="1" applyBorder="1" applyAlignment="1" applyProtection="1">
      <alignment horizontal="left" vertical="center"/>
      <protection locked="0"/>
    </xf>
    <xf numFmtId="0" fontId="61" fillId="70" borderId="370" xfId="0" applyFont="1" applyFill="1" applyBorder="1" applyAlignment="1" applyProtection="1">
      <alignment horizontal="left" vertical="center"/>
      <protection locked="0"/>
    </xf>
    <xf numFmtId="0" fontId="61" fillId="70" borderId="366" xfId="0" applyFont="1" applyFill="1" applyBorder="1" applyAlignment="1" applyProtection="1">
      <alignment horizontal="left" vertical="center"/>
      <protection locked="0"/>
    </xf>
    <xf numFmtId="0" fontId="61" fillId="70" borderId="353" xfId="0" applyFont="1" applyFill="1" applyBorder="1" applyAlignment="1" applyProtection="1">
      <alignment horizontal="center" vertical="center"/>
      <protection locked="0"/>
    </xf>
    <xf numFmtId="0" fontId="61" fillId="70" borderId="370" xfId="0" applyFont="1" applyFill="1" applyBorder="1" applyAlignment="1" applyProtection="1">
      <alignment horizontal="center" vertical="center"/>
      <protection locked="0"/>
    </xf>
    <xf numFmtId="0" fontId="61" fillId="70" borderId="366" xfId="0" applyFont="1" applyFill="1" applyBorder="1" applyAlignment="1" applyProtection="1">
      <alignment horizontal="center" vertical="center"/>
      <protection locked="0"/>
    </xf>
    <xf numFmtId="0" fontId="42" fillId="57" borderId="371" xfId="0" applyFont="1" applyFill="1" applyBorder="1" applyAlignment="1">
      <alignment horizontal="center" vertical="center" textRotation="90" wrapText="1"/>
    </xf>
    <xf numFmtId="0" fontId="42" fillId="57" borderId="360" xfId="0" applyFont="1" applyFill="1" applyBorder="1" applyAlignment="1">
      <alignment horizontal="center" vertical="center" textRotation="90" wrapText="1"/>
    </xf>
    <xf numFmtId="0" fontId="42" fillId="57" borderId="141" xfId="0" applyFont="1" applyFill="1" applyBorder="1" applyAlignment="1">
      <alignment horizontal="center" vertical="center" textRotation="90" wrapText="1"/>
    </xf>
    <xf numFmtId="0" fontId="42" fillId="57" borderId="361" xfId="0" applyFont="1" applyFill="1" applyBorder="1" applyAlignment="1">
      <alignment horizontal="center" vertical="center" textRotation="90" wrapText="1"/>
    </xf>
    <xf numFmtId="0" fontId="43" fillId="57" borderId="371" xfId="0" applyFont="1" applyFill="1" applyBorder="1" applyAlignment="1">
      <alignment horizontal="center" vertical="center" textRotation="90" wrapText="1"/>
    </xf>
    <xf numFmtId="0" fontId="43" fillId="57" borderId="360" xfId="0" applyFont="1" applyFill="1" applyBorder="1" applyAlignment="1">
      <alignment horizontal="center" vertical="center" textRotation="90" wrapText="1"/>
    </xf>
    <xf numFmtId="0" fontId="43" fillId="57" borderId="141" xfId="0" applyFont="1" applyFill="1" applyBorder="1" applyAlignment="1">
      <alignment horizontal="center" vertical="center" textRotation="90" wrapText="1"/>
    </xf>
    <xf numFmtId="0" fontId="43" fillId="57" borderId="361" xfId="0" applyFont="1" applyFill="1" applyBorder="1" applyAlignment="1">
      <alignment horizontal="center" vertical="center" textRotation="90" wrapText="1"/>
    </xf>
    <xf numFmtId="0" fontId="53" fillId="57" borderId="367" xfId="0" applyFont="1" applyFill="1" applyBorder="1" applyAlignment="1">
      <alignment horizontal="center" vertical="center" wrapText="1"/>
    </xf>
    <xf numFmtId="0" fontId="53" fillId="57" borderId="238" xfId="0" applyFont="1" applyFill="1" applyBorder="1" applyAlignment="1">
      <alignment horizontal="center" vertical="center" wrapText="1"/>
    </xf>
    <xf numFmtId="0" fontId="53" fillId="57" borderId="362" xfId="0" applyFont="1" applyFill="1" applyBorder="1" applyAlignment="1">
      <alignment horizontal="center" vertical="center" wrapText="1"/>
    </xf>
    <xf numFmtId="0" fontId="43" fillId="57" borderId="167" xfId="0" applyFont="1" applyFill="1" applyBorder="1" applyAlignment="1">
      <alignment horizontal="center" vertical="center" textRotation="90" wrapText="1"/>
    </xf>
    <xf numFmtId="0" fontId="43" fillId="57" borderId="168" xfId="0" applyFont="1" applyFill="1" applyBorder="1" applyAlignment="1">
      <alignment horizontal="center" vertical="center" textRotation="90" wrapText="1"/>
    </xf>
    <xf numFmtId="0" fontId="43" fillId="57" borderId="307" xfId="0" applyFont="1" applyFill="1" applyBorder="1" applyAlignment="1">
      <alignment horizontal="center" vertical="center" textRotation="90" wrapText="1"/>
    </xf>
    <xf numFmtId="0" fontId="48" fillId="57" borderId="193" xfId="0" applyFont="1" applyFill="1" applyBorder="1" applyAlignment="1">
      <alignment horizontal="center" vertical="center" wrapText="1"/>
    </xf>
    <xf numFmtId="0" fontId="48" fillId="57" borderId="0" xfId="0" applyFont="1" applyFill="1" applyAlignment="1">
      <alignment horizontal="center" vertical="center" wrapText="1"/>
    </xf>
    <xf numFmtId="0" fontId="48" fillId="57" borderId="363" xfId="0" applyFont="1" applyFill="1" applyBorder="1" applyAlignment="1">
      <alignment horizontal="center" vertical="center" wrapText="1"/>
    </xf>
    <xf numFmtId="0" fontId="116" fillId="0" borderId="0" xfId="0" applyFont="1" applyAlignment="1">
      <alignment horizontal="left" vertical="center" wrapText="1"/>
    </xf>
    <xf numFmtId="0" fontId="112" fillId="9" borderId="64" xfId="578" applyFill="1" applyBorder="1" applyAlignment="1" applyProtection="1">
      <alignment horizontal="center" vertical="center"/>
      <protection hidden="1"/>
    </xf>
    <xf numFmtId="0" fontId="82" fillId="23" borderId="10" xfId="412" applyNumberFormat="1" applyFont="1" applyFill="1" applyBorder="1" applyAlignment="1" applyProtection="1">
      <alignment horizontal="center" vertical="center"/>
    </xf>
    <xf numFmtId="0" fontId="52" fillId="14" borderId="64" xfId="578" applyFont="1" applyFill="1" applyBorder="1" applyAlignment="1" applyProtection="1">
      <alignment horizontal="left" vertical="center" indent="1"/>
      <protection hidden="1"/>
    </xf>
    <xf numFmtId="14" fontId="52" fillId="29" borderId="64" xfId="578" applyNumberFormat="1" applyFont="1" applyFill="1" applyBorder="1" applyAlignment="1" applyProtection="1">
      <alignment horizontal="center" vertical="center"/>
      <protection locked="0" hidden="1"/>
    </xf>
    <xf numFmtId="0" fontId="38" fillId="15" borderId="443" xfId="578" applyFont="1" applyFill="1" applyBorder="1" applyAlignment="1">
      <alignment horizontal="center" vertical="center"/>
    </xf>
    <xf numFmtId="0" fontId="38" fillId="15" borderId="441" xfId="578" applyFont="1" applyFill="1" applyBorder="1" applyAlignment="1">
      <alignment horizontal="center" vertical="center"/>
    </xf>
    <xf numFmtId="0" fontId="38" fillId="15" borderId="442" xfId="578" applyFont="1" applyFill="1" applyBorder="1" applyAlignment="1">
      <alignment horizontal="center" vertical="center"/>
    </xf>
    <xf numFmtId="0" fontId="53" fillId="10" borderId="436" xfId="578" applyFont="1" applyFill="1" applyBorder="1" applyAlignment="1" applyProtection="1">
      <alignment horizontal="center" vertical="center" wrapText="1"/>
      <protection locked="0"/>
    </xf>
    <xf numFmtId="0" fontId="53" fillId="10" borderId="437" xfId="578" applyFont="1" applyFill="1" applyBorder="1" applyAlignment="1" applyProtection="1">
      <alignment horizontal="center" vertical="center" wrapText="1"/>
      <protection locked="0"/>
    </xf>
    <xf numFmtId="0" fontId="0" fillId="65" borderId="436" xfId="0" applyFill="1" applyBorder="1" applyAlignment="1" applyProtection="1">
      <alignment horizontal="left"/>
      <protection locked="0"/>
    </xf>
    <xf numFmtId="0" fontId="0" fillId="65" borderId="438" xfId="0" applyFill="1" applyBorder="1" applyAlignment="1" applyProtection="1">
      <alignment horizontal="left"/>
      <protection locked="0"/>
    </xf>
    <xf numFmtId="0" fontId="0" fillId="65" borderId="447" xfId="0" applyFill="1" applyBorder="1" applyAlignment="1" applyProtection="1">
      <alignment horizontal="left"/>
      <protection locked="0"/>
    </xf>
    <xf numFmtId="0" fontId="0" fillId="65" borderId="437" xfId="0" applyFill="1" applyBorder="1" applyAlignment="1" applyProtection="1">
      <alignment horizontal="left"/>
      <protection locked="0"/>
    </xf>
    <xf numFmtId="0" fontId="53" fillId="0" borderId="10" xfId="0" applyFont="1" applyBorder="1" applyAlignment="1" applyProtection="1">
      <alignment horizontal="center" vertical="center"/>
      <protection locked="0"/>
    </xf>
    <xf numFmtId="0" fontId="24" fillId="0" borderId="188" xfId="578" applyFont="1" applyBorder="1" applyAlignment="1">
      <alignment horizontal="left" vertical="center" indent="1"/>
    </xf>
    <xf numFmtId="0" fontId="24" fillId="0" borderId="189" xfId="578" applyFont="1" applyBorder="1" applyAlignment="1">
      <alignment horizontal="left" vertical="center" indent="1"/>
    </xf>
    <xf numFmtId="0" fontId="24" fillId="0" borderId="190" xfId="578" applyFont="1" applyBorder="1" applyAlignment="1">
      <alignment horizontal="left" vertical="center" indent="1"/>
    </xf>
    <xf numFmtId="0" fontId="42" fillId="0" borderId="401" xfId="578" applyFont="1" applyBorder="1" applyAlignment="1">
      <alignment horizontal="left" vertical="center" wrapText="1"/>
    </xf>
    <xf numFmtId="0" fontId="42" fillId="0" borderId="452" xfId="578" applyFont="1" applyBorder="1" applyAlignment="1">
      <alignment horizontal="left" vertical="center" wrapText="1"/>
    </xf>
    <xf numFmtId="0" fontId="42" fillId="0" borderId="453" xfId="578" applyFont="1" applyBorder="1" applyAlignment="1">
      <alignment horizontal="left" vertical="center" wrapText="1"/>
    </xf>
    <xf numFmtId="0" fontId="42" fillId="0" borderId="238" xfId="578" applyFont="1" applyBorder="1" applyAlignment="1">
      <alignment horizontal="left" vertical="center" wrapText="1"/>
    </xf>
    <xf numFmtId="0" fontId="42" fillId="0" borderId="0" xfId="578" applyFont="1" applyAlignment="1">
      <alignment horizontal="left" vertical="center" wrapText="1"/>
    </xf>
    <xf numFmtId="0" fontId="42" fillId="0" borderId="429" xfId="578" applyFont="1" applyBorder="1" applyAlignment="1">
      <alignment horizontal="left" vertical="center" wrapText="1"/>
    </xf>
    <xf numFmtId="0" fontId="42" fillId="0" borderId="454" xfId="578" applyFont="1" applyBorder="1" applyAlignment="1">
      <alignment horizontal="left" vertical="center" wrapText="1"/>
    </xf>
    <xf numFmtId="0" fontId="42" fillId="0" borderId="455" xfId="578" applyFont="1" applyBorder="1" applyAlignment="1">
      <alignment horizontal="left" vertical="center" wrapText="1"/>
    </xf>
    <xf numFmtId="0" fontId="42" fillId="0" borderId="456" xfId="578" applyFont="1" applyBorder="1" applyAlignment="1">
      <alignment horizontal="left" vertical="center" wrapText="1"/>
    </xf>
    <xf numFmtId="0" fontId="0" fillId="0" borderId="381" xfId="0" applyBorder="1" applyAlignment="1">
      <alignment horizontal="left" vertical="center" wrapText="1"/>
    </xf>
    <xf numFmtId="0" fontId="0" fillId="0" borderId="422" xfId="0" applyBorder="1" applyAlignment="1">
      <alignment horizontal="left" vertical="center" wrapText="1"/>
    </xf>
    <xf numFmtId="0" fontId="0" fillId="0" borderId="163" xfId="0" applyBorder="1" applyAlignment="1">
      <alignment horizontal="left" vertical="center" wrapText="1"/>
    </xf>
    <xf numFmtId="0" fontId="0" fillId="0" borderId="142" xfId="0" applyBorder="1" applyAlignment="1">
      <alignment horizontal="left" vertical="center" wrapText="1"/>
    </xf>
    <xf numFmtId="0" fontId="42" fillId="46" borderId="425" xfId="578" applyFont="1" applyFill="1" applyBorder="1" applyAlignment="1">
      <alignment horizontal="center" vertical="center" wrapText="1"/>
    </xf>
    <xf numFmtId="0" fontId="42" fillId="46" borderId="10" xfId="578" applyFont="1" applyFill="1" applyBorder="1" applyAlignment="1">
      <alignment horizontal="center" vertical="center" wrapText="1"/>
    </xf>
    <xf numFmtId="0" fontId="52" fillId="46" borderId="417" xfId="578" applyFont="1" applyFill="1" applyBorder="1" applyAlignment="1">
      <alignment horizontal="center" vertical="center" wrapText="1"/>
    </xf>
    <xf numFmtId="0" fontId="52" fillId="46" borderId="20" xfId="578" applyFont="1" applyFill="1" applyBorder="1" applyAlignment="1">
      <alignment horizontal="center" vertical="center" wrapText="1"/>
    </xf>
    <xf numFmtId="0" fontId="42" fillId="46" borderId="79" xfId="578" applyFont="1" applyFill="1" applyBorder="1" applyAlignment="1">
      <alignment horizontal="center" wrapText="1"/>
    </xf>
    <xf numFmtId="0" fontId="42" fillId="46" borderId="425" xfId="578" applyFont="1" applyFill="1" applyBorder="1" applyAlignment="1">
      <alignment horizontal="center" wrapText="1"/>
    </xf>
    <xf numFmtId="49" fontId="53" fillId="29" borderId="388" xfId="578" applyNumberFormat="1" applyFont="1" applyFill="1" applyBorder="1" applyAlignment="1" applyProtection="1">
      <alignment horizontal="center" vertical="center"/>
      <protection locked="0"/>
    </xf>
    <xf numFmtId="49" fontId="53" fillId="29" borderId="389" xfId="578" applyNumberFormat="1" applyFont="1" applyFill="1" applyBorder="1" applyAlignment="1" applyProtection="1">
      <alignment horizontal="center" vertical="center"/>
      <protection locked="0"/>
    </xf>
    <xf numFmtId="49" fontId="53" fillId="29" borderId="424" xfId="578" applyNumberFormat="1" applyFont="1" applyFill="1" applyBorder="1" applyAlignment="1" applyProtection="1">
      <alignment horizontal="center" vertical="center"/>
      <protection locked="0"/>
    </xf>
    <xf numFmtId="0" fontId="42" fillId="0" borderId="406" xfId="0" applyFont="1" applyBorder="1" applyAlignment="1">
      <alignment horizontal="center" vertical="center" wrapText="1"/>
    </xf>
    <xf numFmtId="0" fontId="42" fillId="0" borderId="407" xfId="0" applyFont="1" applyBorder="1" applyAlignment="1">
      <alignment horizontal="center" vertical="center" wrapText="1"/>
    </xf>
    <xf numFmtId="0" fontId="42" fillId="0" borderId="408" xfId="0" applyFont="1" applyBorder="1" applyAlignment="1">
      <alignment horizontal="center" vertical="center" wrapText="1"/>
    </xf>
    <xf numFmtId="0" fontId="42" fillId="0" borderId="426" xfId="0" applyFont="1" applyBorder="1" applyAlignment="1">
      <alignment horizontal="center" vertical="center" wrapText="1"/>
    </xf>
    <xf numFmtId="0" fontId="42" fillId="0" borderId="427" xfId="0" applyFont="1" applyBorder="1" applyAlignment="1">
      <alignment horizontal="center" vertical="center" wrapText="1"/>
    </xf>
    <xf numFmtId="0" fontId="42" fillId="0" borderId="428" xfId="0" applyFont="1" applyBorder="1" applyAlignment="1">
      <alignment horizontal="center" vertical="center" wrapText="1"/>
    </xf>
    <xf numFmtId="0" fontId="61" fillId="103" borderId="332" xfId="578" applyFont="1" applyFill="1" applyBorder="1" applyAlignment="1">
      <alignment horizontal="center" vertical="center" wrapText="1"/>
    </xf>
    <xf numFmtId="0" fontId="61" fillId="103" borderId="379" xfId="578" applyFont="1" applyFill="1" applyBorder="1" applyAlignment="1">
      <alignment horizontal="center" vertical="center" wrapText="1"/>
    </xf>
    <xf numFmtId="0" fontId="61" fillId="103" borderId="334" xfId="578" applyFont="1" applyFill="1" applyBorder="1" applyAlignment="1">
      <alignment horizontal="center" vertical="center" wrapText="1"/>
    </xf>
    <xf numFmtId="0" fontId="58" fillId="35" borderId="388" xfId="578" applyFont="1" applyFill="1" applyBorder="1" applyAlignment="1" applyProtection="1">
      <alignment horizontal="center" vertical="center" wrapText="1"/>
      <protection locked="0"/>
    </xf>
    <xf numFmtId="0" fontId="58" fillId="35" borderId="389" xfId="578" applyFont="1" applyFill="1" applyBorder="1" applyAlignment="1" applyProtection="1">
      <alignment horizontal="center" vertical="center" wrapText="1"/>
      <protection locked="0"/>
    </xf>
    <xf numFmtId="0" fontId="58" fillId="35" borderId="390" xfId="578" applyFont="1" applyFill="1" applyBorder="1" applyAlignment="1" applyProtection="1">
      <alignment horizontal="center" vertical="center" wrapText="1"/>
      <protection locked="0"/>
    </xf>
    <xf numFmtId="0" fontId="42" fillId="46" borderId="21" xfId="578" applyFont="1" applyFill="1" applyBorder="1" applyAlignment="1">
      <alignment horizontal="center" vertical="center" wrapText="1"/>
    </xf>
    <xf numFmtId="0" fontId="42" fillId="46" borderId="35" xfId="578" applyFont="1" applyFill="1" applyBorder="1" applyAlignment="1">
      <alignment horizontal="center" vertical="center" wrapText="1"/>
    </xf>
    <xf numFmtId="0" fontId="42" fillId="46" borderId="0" xfId="578" applyFont="1" applyFill="1" applyAlignment="1">
      <alignment horizontal="center" vertical="center" wrapText="1"/>
    </xf>
    <xf numFmtId="0" fontId="42" fillId="46" borderId="418" xfId="578" applyFont="1" applyFill="1" applyBorder="1" applyAlignment="1">
      <alignment horizontal="center" vertical="center" wrapText="1"/>
    </xf>
    <xf numFmtId="0" fontId="42" fillId="46" borderId="417" xfId="578" applyFont="1" applyFill="1" applyBorder="1" applyAlignment="1">
      <alignment horizontal="center" vertical="center" wrapText="1"/>
    </xf>
    <xf numFmtId="0" fontId="42" fillId="46" borderId="420" xfId="578" applyFont="1" applyFill="1" applyBorder="1" applyAlignment="1">
      <alignment horizontal="center" vertical="center" wrapText="1"/>
    </xf>
    <xf numFmtId="0" fontId="42" fillId="46" borderId="423" xfId="578" applyFont="1" applyFill="1" applyBorder="1" applyAlignment="1">
      <alignment horizontal="center" vertical="center" wrapText="1"/>
    </xf>
    <xf numFmtId="0" fontId="240" fillId="35" borderId="388" xfId="578" applyFont="1" applyFill="1" applyBorder="1" applyAlignment="1" applyProtection="1">
      <alignment horizontal="center" vertical="center" wrapText="1"/>
      <protection locked="0"/>
    </xf>
    <xf numFmtId="0" fontId="240" fillId="35" borderId="390" xfId="578" applyFont="1" applyFill="1" applyBorder="1" applyAlignment="1" applyProtection="1">
      <alignment horizontal="center" vertical="center" wrapText="1"/>
      <protection locked="0"/>
    </xf>
    <xf numFmtId="0" fontId="52" fillId="15" borderId="381" xfId="0" applyFont="1" applyFill="1" applyBorder="1" applyAlignment="1">
      <alignment horizontal="center" vertical="center"/>
    </xf>
    <xf numFmtId="0" fontId="52" fillId="15" borderId="421" xfId="0" applyFont="1" applyFill="1" applyBorder="1" applyAlignment="1">
      <alignment horizontal="center" vertical="center"/>
    </xf>
    <xf numFmtId="0" fontId="52" fillId="15" borderId="422" xfId="0" applyFont="1" applyFill="1" applyBorder="1" applyAlignment="1">
      <alignment horizontal="center" vertical="center"/>
    </xf>
    <xf numFmtId="0" fontId="43" fillId="15" borderId="163" xfId="0" applyFont="1" applyFill="1" applyBorder="1" applyAlignment="1">
      <alignment horizontal="center" vertical="center"/>
    </xf>
    <xf numFmtId="0" fontId="43" fillId="15" borderId="164" xfId="0" applyFont="1" applyFill="1" applyBorder="1" applyAlignment="1">
      <alignment horizontal="center" vertical="center"/>
    </xf>
    <xf numFmtId="0" fontId="43" fillId="15" borderId="142" xfId="0" applyFont="1" applyFill="1" applyBorder="1" applyAlignment="1">
      <alignment horizontal="center" vertical="center"/>
    </xf>
    <xf numFmtId="0" fontId="128" fillId="43" borderId="0" xfId="0" applyFont="1" applyFill="1" applyAlignment="1">
      <alignment horizontal="center" vertical="center" wrapText="1"/>
    </xf>
    <xf numFmtId="0" fontId="42" fillId="0" borderId="415" xfId="578" applyFont="1" applyBorder="1" applyAlignment="1">
      <alignment horizontal="center" vertical="center" wrapText="1"/>
    </xf>
    <xf numFmtId="0" fontId="42" fillId="0" borderId="407" xfId="578" applyFont="1" applyBorder="1" applyAlignment="1">
      <alignment horizontal="center" vertical="center" wrapText="1"/>
    </xf>
    <xf numFmtId="0" fontId="42" fillId="0" borderId="411" xfId="578" applyFont="1" applyBorder="1" applyAlignment="1">
      <alignment horizontal="center" vertical="center" wrapText="1"/>
    </xf>
    <xf numFmtId="0" fontId="42" fillId="0" borderId="229" xfId="578" applyFont="1" applyBorder="1" applyAlignment="1">
      <alignment horizontal="center" vertical="center" wrapText="1"/>
    </xf>
    <xf numFmtId="0" fontId="42" fillId="0" borderId="0" xfId="578" applyFont="1" applyAlignment="1">
      <alignment horizontal="center" vertical="center" wrapText="1"/>
    </xf>
    <xf numFmtId="0" fontId="42" fillId="0" borderId="149" xfId="578" applyFont="1" applyBorder="1" applyAlignment="1">
      <alignment horizontal="center" vertical="center" wrapText="1"/>
    </xf>
    <xf numFmtId="0" fontId="42" fillId="0" borderId="163" xfId="578" applyFont="1" applyBorder="1" applyAlignment="1">
      <alignment horizontal="center" vertical="center" wrapText="1"/>
    </xf>
    <xf numFmtId="0" fontId="42" fillId="0" borderId="164" xfId="578" applyFont="1" applyBorder="1" applyAlignment="1">
      <alignment horizontal="center" vertical="center" wrapText="1"/>
    </xf>
    <xf numFmtId="0" fontId="42" fillId="0" borderId="142" xfId="578" applyFont="1" applyBorder="1" applyAlignment="1">
      <alignment horizontal="center" vertical="center" wrapText="1"/>
    </xf>
    <xf numFmtId="0" fontId="42" fillId="46" borderId="386" xfId="578" applyFont="1" applyFill="1" applyBorder="1" applyAlignment="1">
      <alignment horizontal="center" vertical="center" wrapText="1"/>
    </xf>
    <xf numFmtId="0" fontId="43" fillId="42" borderId="430" xfId="0" applyFont="1" applyFill="1" applyBorder="1" applyAlignment="1">
      <alignment horizontal="center" vertical="center"/>
    </xf>
    <xf numFmtId="0" fontId="43" fillId="42" borderId="431" xfId="0" applyFont="1" applyFill="1" applyBorder="1" applyAlignment="1">
      <alignment horizontal="center" vertical="center"/>
    </xf>
    <xf numFmtId="0" fontId="0" fillId="46" borderId="405" xfId="578" applyFont="1" applyFill="1" applyBorder="1" applyAlignment="1">
      <alignment horizontal="center" vertical="center" wrapText="1"/>
    </xf>
    <xf numFmtId="0" fontId="112" fillId="46" borderId="417" xfId="578" applyFill="1" applyBorder="1" applyAlignment="1">
      <alignment horizontal="center" vertical="center" wrapText="1"/>
    </xf>
    <xf numFmtId="0" fontId="0" fillId="46" borderId="20" xfId="578" applyFont="1" applyFill="1" applyBorder="1" applyAlignment="1">
      <alignment horizontal="center" vertical="center" wrapText="1"/>
    </xf>
    <xf numFmtId="0" fontId="112" fillId="46" borderId="20" xfId="578" applyFill="1" applyBorder="1" applyAlignment="1">
      <alignment horizontal="center" vertical="center" wrapText="1"/>
    </xf>
    <xf numFmtId="0" fontId="52" fillId="0" borderId="381" xfId="0" applyFont="1" applyBorder="1" applyAlignment="1">
      <alignment horizontal="center" vertical="center" wrapText="1"/>
    </xf>
    <xf numFmtId="0" fontId="52" fillId="0" borderId="421" xfId="0" applyFont="1" applyBorder="1" applyAlignment="1">
      <alignment horizontal="center" vertical="center" wrapText="1"/>
    </xf>
    <xf numFmtId="0" fontId="52" fillId="0" borderId="422" xfId="0" applyFont="1" applyBorder="1" applyAlignment="1">
      <alignment horizontal="center" vertical="center" wrapText="1"/>
    </xf>
    <xf numFmtId="0" fontId="52" fillId="0" borderId="229" xfId="0" applyFont="1" applyBorder="1" applyAlignment="1">
      <alignment horizontal="center" vertical="center" wrapText="1"/>
    </xf>
    <xf numFmtId="0" fontId="52" fillId="0" borderId="149" xfId="0" applyFont="1" applyBorder="1" applyAlignment="1">
      <alignment horizontal="center" vertical="center" wrapText="1"/>
    </xf>
    <xf numFmtId="2" fontId="43" fillId="102" borderId="432" xfId="0" applyNumberFormat="1" applyFont="1" applyFill="1" applyBorder="1" applyAlignment="1">
      <alignment horizontal="center" vertical="center"/>
    </xf>
    <xf numFmtId="2" fontId="43" fillId="102" borderId="433" xfId="0" applyNumberFormat="1" applyFont="1" applyFill="1" applyBorder="1" applyAlignment="1">
      <alignment horizontal="center" vertical="center"/>
    </xf>
    <xf numFmtId="167" fontId="43" fillId="0" borderId="65" xfId="0" applyNumberFormat="1" applyFont="1" applyBorder="1" applyAlignment="1">
      <alignment horizontal="center" vertical="center" shrinkToFit="1"/>
    </xf>
    <xf numFmtId="167" fontId="43" fillId="0" borderId="156" xfId="0" applyNumberFormat="1" applyFont="1" applyBorder="1" applyAlignment="1">
      <alignment horizontal="center" vertical="center" shrinkToFit="1"/>
    </xf>
    <xf numFmtId="49" fontId="114" fillId="38" borderId="64" xfId="0" applyNumberFormat="1" applyFont="1" applyFill="1" applyBorder="1" applyAlignment="1">
      <alignment horizontal="center" textRotation="90" wrapText="1" shrinkToFit="1"/>
    </xf>
    <xf numFmtId="3" fontId="61" fillId="0" borderId="0" xfId="0" applyNumberFormat="1" applyFont="1" applyAlignment="1">
      <alignment horizontal="right" vertical="center" indent="1" shrinkToFit="1"/>
    </xf>
    <xf numFmtId="0" fontId="60" fillId="38" borderId="64" xfId="0" applyFont="1" applyFill="1" applyBorder="1" applyAlignment="1">
      <alignment horizontal="center" vertical="center" wrapText="1"/>
    </xf>
    <xf numFmtId="166" fontId="52" fillId="18" borderId="67" xfId="0" applyNumberFormat="1" applyFont="1" applyFill="1" applyBorder="1" applyAlignment="1">
      <alignment horizontal="center" vertical="center" shrinkToFit="1"/>
    </xf>
    <xf numFmtId="166" fontId="52" fillId="18" borderId="76" xfId="0" applyNumberFormat="1" applyFont="1" applyFill="1" applyBorder="1" applyAlignment="1">
      <alignment horizontal="center" vertical="center" shrinkToFit="1"/>
    </xf>
    <xf numFmtId="0" fontId="52" fillId="38" borderId="64" xfId="0" applyFont="1" applyFill="1" applyBorder="1" applyAlignment="1">
      <alignment horizontal="left" vertical="center" wrapText="1" indent="1"/>
    </xf>
    <xf numFmtId="49" fontId="115" fillId="38" borderId="64" xfId="0" applyNumberFormat="1" applyFont="1" applyFill="1" applyBorder="1" applyAlignment="1">
      <alignment horizontal="center" textRotation="90" wrapText="1"/>
    </xf>
    <xf numFmtId="0" fontId="91" fillId="23" borderId="64" xfId="412" applyNumberFormat="1" applyFont="1" applyFill="1" applyBorder="1" applyAlignment="1" applyProtection="1">
      <alignment horizontal="center" vertical="center"/>
    </xf>
    <xf numFmtId="0" fontId="52" fillId="0" borderId="72" xfId="0" applyFont="1" applyBorder="1" applyAlignment="1">
      <alignment horizontal="center" vertical="top"/>
    </xf>
    <xf numFmtId="0" fontId="52" fillId="0" borderId="75" xfId="0" applyFont="1" applyBorder="1" applyAlignment="1">
      <alignment horizontal="center" vertical="top"/>
    </xf>
    <xf numFmtId="0" fontId="43" fillId="0" borderId="136" xfId="0" applyFont="1" applyBorder="1" applyAlignment="1">
      <alignment horizontal="center" vertical="center"/>
    </xf>
    <xf numFmtId="0" fontId="43" fillId="0" borderId="138" xfId="0" applyFont="1" applyBorder="1" applyAlignment="1">
      <alignment horizontal="center" vertical="center"/>
    </xf>
    <xf numFmtId="0" fontId="52" fillId="0" borderId="0" xfId="0" applyFont="1" applyAlignment="1">
      <alignment horizontal="left" vertical="center" indent="1" shrinkToFit="1"/>
    </xf>
    <xf numFmtId="49" fontId="52" fillId="38" borderId="64" xfId="0" applyNumberFormat="1" applyFont="1" applyFill="1" applyBorder="1" applyAlignment="1">
      <alignment horizontal="center" textRotation="90" wrapText="1"/>
    </xf>
    <xf numFmtId="0" fontId="159" fillId="43" borderId="48" xfId="0" applyFont="1" applyFill="1" applyBorder="1" applyAlignment="1">
      <alignment horizontal="center" vertical="center" wrapText="1"/>
    </xf>
    <xf numFmtId="0" fontId="48" fillId="0" borderId="0" xfId="0" applyFont="1" applyAlignment="1">
      <alignment vertical="top" wrapText="1"/>
    </xf>
    <xf numFmtId="0" fontId="143" fillId="45" borderId="137" xfId="0" applyFont="1" applyFill="1" applyBorder="1" applyAlignment="1">
      <alignment horizontal="center" vertical="center" wrapText="1"/>
    </xf>
    <xf numFmtId="0" fontId="143" fillId="45" borderId="0" xfId="0" applyFont="1" applyFill="1" applyAlignment="1">
      <alignment horizontal="center" vertical="center" wrapText="1"/>
    </xf>
    <xf numFmtId="0" fontId="43" fillId="0" borderId="93" xfId="0" applyFont="1" applyBorder="1" applyAlignment="1">
      <alignment horizontal="center" vertical="top" wrapText="1"/>
    </xf>
    <xf numFmtId="0" fontId="41" fillId="0" borderId="0" xfId="0" applyFont="1" applyAlignment="1">
      <alignment wrapText="1"/>
    </xf>
    <xf numFmtId="0" fontId="41" fillId="0" borderId="154" xfId="0" applyFont="1" applyBorder="1" applyAlignment="1">
      <alignment horizontal="left" wrapText="1"/>
    </xf>
    <xf numFmtId="0" fontId="41" fillId="0" borderId="114" xfId="0" applyFont="1" applyBorder="1" applyAlignment="1">
      <alignment horizontal="left" wrapText="1"/>
    </xf>
    <xf numFmtId="0" fontId="41" fillId="0" borderId="36" xfId="0" applyFont="1" applyBorder="1" applyAlignment="1">
      <alignment horizontal="left" wrapText="1"/>
    </xf>
    <xf numFmtId="0" fontId="0" fillId="0" borderId="46" xfId="0" applyBorder="1" applyAlignment="1">
      <alignment horizontal="left" wrapText="1"/>
    </xf>
    <xf numFmtId="0" fontId="0" fillId="0" borderId="0" xfId="0" applyAlignment="1">
      <alignment wrapText="1"/>
    </xf>
    <xf numFmtId="0" fontId="0" fillId="0" borderId="0" xfId="0" applyAlignment="1">
      <alignment vertical="center" wrapText="1"/>
    </xf>
    <xf numFmtId="0" fontId="132" fillId="33" borderId="11" xfId="0" applyFont="1" applyFill="1" applyBorder="1" applyAlignment="1">
      <alignment horizontal="center" wrapText="1"/>
    </xf>
    <xf numFmtId="0" fontId="132" fillId="33" borderId="21" xfId="0" applyFont="1" applyFill="1" applyBorder="1" applyAlignment="1">
      <alignment horizontal="center" wrapText="1"/>
    </xf>
    <xf numFmtId="0" fontId="0" fillId="0" borderId="0" xfId="0" applyFill="1"/>
  </cellXfs>
  <cellStyles count="628">
    <cellStyle name="Akzent1 2" xfId="1" xr:uid="{00000000-0005-0000-0000-000000000000}"/>
    <cellStyle name="Akzent2 2" xfId="2" xr:uid="{00000000-0005-0000-0000-000001000000}"/>
    <cellStyle name="Akzent3 2" xfId="3" xr:uid="{00000000-0005-0000-0000-000002000000}"/>
    <cellStyle name="Akzent4 2" xfId="4" xr:uid="{00000000-0005-0000-0000-000003000000}"/>
    <cellStyle name="Akzent5 2" xfId="5" xr:uid="{00000000-0005-0000-0000-000004000000}"/>
    <cellStyle name="Akzent6 2" xfId="6" xr:uid="{00000000-0005-0000-0000-000005000000}"/>
    <cellStyle name="Ausgabe 2" xfId="7" xr:uid="{00000000-0005-0000-0000-000006000000}"/>
    <cellStyle name="Ausgabe 2 2" xfId="8" xr:uid="{00000000-0005-0000-0000-000007000000}"/>
    <cellStyle name="Ausgabe 2 2 2" xfId="9" xr:uid="{00000000-0005-0000-0000-000008000000}"/>
    <cellStyle name="Ausgabe 2 2 2 2" xfId="10" xr:uid="{00000000-0005-0000-0000-000009000000}"/>
    <cellStyle name="Ausgabe 2 2 2 2 2" xfId="11" xr:uid="{00000000-0005-0000-0000-00000A000000}"/>
    <cellStyle name="Ausgabe 2 2 2 2 2 2" xfId="12" xr:uid="{00000000-0005-0000-0000-00000B000000}"/>
    <cellStyle name="Ausgabe 2 2 2 2 2 3" xfId="13" xr:uid="{00000000-0005-0000-0000-00000C000000}"/>
    <cellStyle name="Ausgabe 2 2 2 2 3" xfId="14" xr:uid="{00000000-0005-0000-0000-00000D000000}"/>
    <cellStyle name="Ausgabe 2 2 2 2 4" xfId="15" xr:uid="{00000000-0005-0000-0000-00000E000000}"/>
    <cellStyle name="Ausgabe 2 2 2 2 5" xfId="16" xr:uid="{00000000-0005-0000-0000-00000F000000}"/>
    <cellStyle name="Ausgabe 2 2 2 3" xfId="17" xr:uid="{00000000-0005-0000-0000-000010000000}"/>
    <cellStyle name="Ausgabe 2 2 2 3 2" xfId="18" xr:uid="{00000000-0005-0000-0000-000011000000}"/>
    <cellStyle name="Ausgabe 2 2 2 3 2 2" xfId="19" xr:uid="{00000000-0005-0000-0000-000012000000}"/>
    <cellStyle name="Ausgabe 2 2 2 3 2 3" xfId="20" xr:uid="{00000000-0005-0000-0000-000013000000}"/>
    <cellStyle name="Ausgabe 2 2 2 3 3" xfId="21" xr:uid="{00000000-0005-0000-0000-000014000000}"/>
    <cellStyle name="Ausgabe 2 2 2 3 4" xfId="22" xr:uid="{00000000-0005-0000-0000-000015000000}"/>
    <cellStyle name="Ausgabe 2 2 2 3 5" xfId="23" xr:uid="{00000000-0005-0000-0000-000016000000}"/>
    <cellStyle name="Ausgabe 2 2 2 4" xfId="24" xr:uid="{00000000-0005-0000-0000-000017000000}"/>
    <cellStyle name="Ausgabe 2 2 2 4 2" xfId="25" xr:uid="{00000000-0005-0000-0000-000018000000}"/>
    <cellStyle name="Ausgabe 2 2 2 4 3" xfId="26" xr:uid="{00000000-0005-0000-0000-000019000000}"/>
    <cellStyle name="Ausgabe 2 2 2 5" xfId="27" xr:uid="{00000000-0005-0000-0000-00001A000000}"/>
    <cellStyle name="Ausgabe 2 2 2 6" xfId="28" xr:uid="{00000000-0005-0000-0000-00001B000000}"/>
    <cellStyle name="Ausgabe 2 2 3" xfId="29" xr:uid="{00000000-0005-0000-0000-00001C000000}"/>
    <cellStyle name="Ausgabe 2 2 3 2" xfId="30" xr:uid="{00000000-0005-0000-0000-00001D000000}"/>
    <cellStyle name="Ausgabe 2 2 3 2 2" xfId="31" xr:uid="{00000000-0005-0000-0000-00001E000000}"/>
    <cellStyle name="Ausgabe 2 2 3 2 3" xfId="32" xr:uid="{00000000-0005-0000-0000-00001F000000}"/>
    <cellStyle name="Ausgabe 2 2 3 3" xfId="33" xr:uid="{00000000-0005-0000-0000-000020000000}"/>
    <cellStyle name="Ausgabe 2 2 3 4" xfId="34" xr:uid="{00000000-0005-0000-0000-000021000000}"/>
    <cellStyle name="Ausgabe 2 2 3 5" xfId="35" xr:uid="{00000000-0005-0000-0000-000022000000}"/>
    <cellStyle name="Ausgabe 2 2 4" xfId="36" xr:uid="{00000000-0005-0000-0000-000023000000}"/>
    <cellStyle name="Ausgabe 2 2 4 2" xfId="37" xr:uid="{00000000-0005-0000-0000-000024000000}"/>
    <cellStyle name="Ausgabe 2 2 4 2 2" xfId="38" xr:uid="{00000000-0005-0000-0000-000025000000}"/>
    <cellStyle name="Ausgabe 2 2 4 2 3" xfId="39" xr:uid="{00000000-0005-0000-0000-000026000000}"/>
    <cellStyle name="Ausgabe 2 2 4 3" xfId="40" xr:uid="{00000000-0005-0000-0000-000027000000}"/>
    <cellStyle name="Ausgabe 2 2 4 4" xfId="41" xr:uid="{00000000-0005-0000-0000-000028000000}"/>
    <cellStyle name="Ausgabe 2 2 4 5" xfId="42" xr:uid="{00000000-0005-0000-0000-000029000000}"/>
    <cellStyle name="Ausgabe 2 2 5" xfId="43" xr:uid="{00000000-0005-0000-0000-00002A000000}"/>
    <cellStyle name="Ausgabe 2 2 5 2" xfId="44" xr:uid="{00000000-0005-0000-0000-00002B000000}"/>
    <cellStyle name="Ausgabe 2 2 5 3" xfId="45" xr:uid="{00000000-0005-0000-0000-00002C000000}"/>
    <cellStyle name="Ausgabe 2 2 6" xfId="46" xr:uid="{00000000-0005-0000-0000-00002D000000}"/>
    <cellStyle name="Ausgabe 2 2 7" xfId="47" xr:uid="{00000000-0005-0000-0000-00002E000000}"/>
    <cellStyle name="Ausgabe 2 3" xfId="48" xr:uid="{00000000-0005-0000-0000-00002F000000}"/>
    <cellStyle name="Ausgabe 2 3 2" xfId="49" xr:uid="{00000000-0005-0000-0000-000030000000}"/>
    <cellStyle name="Ausgabe 2 3 2 2" xfId="50" xr:uid="{00000000-0005-0000-0000-000031000000}"/>
    <cellStyle name="Ausgabe 2 3 2 2 2" xfId="51" xr:uid="{00000000-0005-0000-0000-000032000000}"/>
    <cellStyle name="Ausgabe 2 3 2 2 3" xfId="52" xr:uid="{00000000-0005-0000-0000-000033000000}"/>
    <cellStyle name="Ausgabe 2 3 2 3" xfId="53" xr:uid="{00000000-0005-0000-0000-000034000000}"/>
    <cellStyle name="Ausgabe 2 3 2 4" xfId="54" xr:uid="{00000000-0005-0000-0000-000035000000}"/>
    <cellStyle name="Ausgabe 2 3 2 5" xfId="55" xr:uid="{00000000-0005-0000-0000-000036000000}"/>
    <cellStyle name="Ausgabe 2 3 3" xfId="56" xr:uid="{00000000-0005-0000-0000-000037000000}"/>
    <cellStyle name="Ausgabe 2 3 3 2" xfId="57" xr:uid="{00000000-0005-0000-0000-000038000000}"/>
    <cellStyle name="Ausgabe 2 3 3 2 2" xfId="58" xr:uid="{00000000-0005-0000-0000-000039000000}"/>
    <cellStyle name="Ausgabe 2 3 3 2 3" xfId="59" xr:uid="{00000000-0005-0000-0000-00003A000000}"/>
    <cellStyle name="Ausgabe 2 3 3 3" xfId="60" xr:uid="{00000000-0005-0000-0000-00003B000000}"/>
    <cellStyle name="Ausgabe 2 3 3 4" xfId="61" xr:uid="{00000000-0005-0000-0000-00003C000000}"/>
    <cellStyle name="Ausgabe 2 3 3 5" xfId="62" xr:uid="{00000000-0005-0000-0000-00003D000000}"/>
    <cellStyle name="Ausgabe 2 3 4" xfId="63" xr:uid="{00000000-0005-0000-0000-00003E000000}"/>
    <cellStyle name="Ausgabe 2 3 4 2" xfId="64" xr:uid="{00000000-0005-0000-0000-00003F000000}"/>
    <cellStyle name="Ausgabe 2 3 4 3" xfId="65" xr:uid="{00000000-0005-0000-0000-000040000000}"/>
    <cellStyle name="Ausgabe 2 3 5" xfId="66" xr:uid="{00000000-0005-0000-0000-000041000000}"/>
    <cellStyle name="Ausgabe 2 3 6" xfId="67" xr:uid="{00000000-0005-0000-0000-000042000000}"/>
    <cellStyle name="Ausgabe 2 4" xfId="68" xr:uid="{00000000-0005-0000-0000-000043000000}"/>
    <cellStyle name="Ausgabe 2 4 2" xfId="69" xr:uid="{00000000-0005-0000-0000-000044000000}"/>
    <cellStyle name="Ausgabe 2 4 2 2" xfId="70" xr:uid="{00000000-0005-0000-0000-000045000000}"/>
    <cellStyle name="Ausgabe 2 4 2 3" xfId="71" xr:uid="{00000000-0005-0000-0000-000046000000}"/>
    <cellStyle name="Ausgabe 2 4 3" xfId="72" xr:uid="{00000000-0005-0000-0000-000047000000}"/>
    <cellStyle name="Ausgabe 2 4 4" xfId="73" xr:uid="{00000000-0005-0000-0000-000048000000}"/>
    <cellStyle name="Ausgabe 2 4 5" xfId="74" xr:uid="{00000000-0005-0000-0000-000049000000}"/>
    <cellStyle name="Ausgabe 2 5" xfId="75" xr:uid="{00000000-0005-0000-0000-00004A000000}"/>
    <cellStyle name="Ausgabe 2 5 2" xfId="76" xr:uid="{00000000-0005-0000-0000-00004B000000}"/>
    <cellStyle name="Ausgabe 2 5 2 2" xfId="77" xr:uid="{00000000-0005-0000-0000-00004C000000}"/>
    <cellStyle name="Ausgabe 2 5 2 3" xfId="78" xr:uid="{00000000-0005-0000-0000-00004D000000}"/>
    <cellStyle name="Ausgabe 2 5 3" xfId="79" xr:uid="{00000000-0005-0000-0000-00004E000000}"/>
    <cellStyle name="Ausgabe 2 5 4" xfId="80" xr:uid="{00000000-0005-0000-0000-00004F000000}"/>
    <cellStyle name="Ausgabe 2 5 5" xfId="81" xr:uid="{00000000-0005-0000-0000-000050000000}"/>
    <cellStyle name="Ausgabe 2 6" xfId="82" xr:uid="{00000000-0005-0000-0000-000051000000}"/>
    <cellStyle name="Ausgabe 2 6 2" xfId="83" xr:uid="{00000000-0005-0000-0000-000052000000}"/>
    <cellStyle name="Ausgabe 2 6 3" xfId="84" xr:uid="{00000000-0005-0000-0000-000053000000}"/>
    <cellStyle name="Ausgabe 2 7" xfId="85" xr:uid="{00000000-0005-0000-0000-000054000000}"/>
    <cellStyle name="Ausgabe 2 8" xfId="86" xr:uid="{00000000-0005-0000-0000-000055000000}"/>
    <cellStyle name="Berechnung 2" xfId="87" xr:uid="{00000000-0005-0000-0000-000056000000}"/>
    <cellStyle name="Berechnung 2 2" xfId="88" xr:uid="{00000000-0005-0000-0000-000057000000}"/>
    <cellStyle name="Berechnung 2 2 2" xfId="89" xr:uid="{00000000-0005-0000-0000-000058000000}"/>
    <cellStyle name="Berechnung 2 2 2 2" xfId="90" xr:uid="{00000000-0005-0000-0000-000059000000}"/>
    <cellStyle name="Berechnung 2 2 2 2 2" xfId="91" xr:uid="{00000000-0005-0000-0000-00005A000000}"/>
    <cellStyle name="Berechnung 2 2 2 2 2 2" xfId="92" xr:uid="{00000000-0005-0000-0000-00005B000000}"/>
    <cellStyle name="Berechnung 2 2 2 2 2 3" xfId="93" xr:uid="{00000000-0005-0000-0000-00005C000000}"/>
    <cellStyle name="Berechnung 2 2 2 2 3" xfId="94" xr:uid="{00000000-0005-0000-0000-00005D000000}"/>
    <cellStyle name="Berechnung 2 2 2 2 4" xfId="95" xr:uid="{00000000-0005-0000-0000-00005E000000}"/>
    <cellStyle name="Berechnung 2 2 2 2 5" xfId="96" xr:uid="{00000000-0005-0000-0000-00005F000000}"/>
    <cellStyle name="Berechnung 2 2 2 3" xfId="97" xr:uid="{00000000-0005-0000-0000-000060000000}"/>
    <cellStyle name="Berechnung 2 2 2 3 2" xfId="98" xr:uid="{00000000-0005-0000-0000-000061000000}"/>
    <cellStyle name="Berechnung 2 2 2 3 2 2" xfId="99" xr:uid="{00000000-0005-0000-0000-000062000000}"/>
    <cellStyle name="Berechnung 2 2 2 3 2 3" xfId="100" xr:uid="{00000000-0005-0000-0000-000063000000}"/>
    <cellStyle name="Berechnung 2 2 2 3 3" xfId="101" xr:uid="{00000000-0005-0000-0000-000064000000}"/>
    <cellStyle name="Berechnung 2 2 2 3 4" xfId="102" xr:uid="{00000000-0005-0000-0000-000065000000}"/>
    <cellStyle name="Berechnung 2 2 2 3 5" xfId="103" xr:uid="{00000000-0005-0000-0000-000066000000}"/>
    <cellStyle name="Berechnung 2 2 2 4" xfId="104" xr:uid="{00000000-0005-0000-0000-000067000000}"/>
    <cellStyle name="Berechnung 2 2 2 4 2" xfId="105" xr:uid="{00000000-0005-0000-0000-000068000000}"/>
    <cellStyle name="Berechnung 2 2 2 4 3" xfId="106" xr:uid="{00000000-0005-0000-0000-000069000000}"/>
    <cellStyle name="Berechnung 2 2 2 5" xfId="107" xr:uid="{00000000-0005-0000-0000-00006A000000}"/>
    <cellStyle name="Berechnung 2 2 2 6" xfId="108" xr:uid="{00000000-0005-0000-0000-00006B000000}"/>
    <cellStyle name="Berechnung 2 2 3" xfId="109" xr:uid="{00000000-0005-0000-0000-00006C000000}"/>
    <cellStyle name="Berechnung 2 2 3 2" xfId="110" xr:uid="{00000000-0005-0000-0000-00006D000000}"/>
    <cellStyle name="Berechnung 2 2 3 2 2" xfId="111" xr:uid="{00000000-0005-0000-0000-00006E000000}"/>
    <cellStyle name="Berechnung 2 2 3 2 3" xfId="112" xr:uid="{00000000-0005-0000-0000-00006F000000}"/>
    <cellStyle name="Berechnung 2 2 3 3" xfId="113" xr:uid="{00000000-0005-0000-0000-000070000000}"/>
    <cellStyle name="Berechnung 2 2 3 4" xfId="114" xr:uid="{00000000-0005-0000-0000-000071000000}"/>
    <cellStyle name="Berechnung 2 2 3 5" xfId="115" xr:uid="{00000000-0005-0000-0000-000072000000}"/>
    <cellStyle name="Berechnung 2 2 4" xfId="116" xr:uid="{00000000-0005-0000-0000-000073000000}"/>
    <cellStyle name="Berechnung 2 2 4 2" xfId="117" xr:uid="{00000000-0005-0000-0000-000074000000}"/>
    <cellStyle name="Berechnung 2 2 4 2 2" xfId="118" xr:uid="{00000000-0005-0000-0000-000075000000}"/>
    <cellStyle name="Berechnung 2 2 4 2 3" xfId="119" xr:uid="{00000000-0005-0000-0000-000076000000}"/>
    <cellStyle name="Berechnung 2 2 4 3" xfId="120" xr:uid="{00000000-0005-0000-0000-000077000000}"/>
    <cellStyle name="Berechnung 2 2 4 4" xfId="121" xr:uid="{00000000-0005-0000-0000-000078000000}"/>
    <cellStyle name="Berechnung 2 2 4 5" xfId="122" xr:uid="{00000000-0005-0000-0000-000079000000}"/>
    <cellStyle name="Berechnung 2 2 5" xfId="123" xr:uid="{00000000-0005-0000-0000-00007A000000}"/>
    <cellStyle name="Berechnung 2 2 5 2" xfId="124" xr:uid="{00000000-0005-0000-0000-00007B000000}"/>
    <cellStyle name="Berechnung 2 2 5 3" xfId="125" xr:uid="{00000000-0005-0000-0000-00007C000000}"/>
    <cellStyle name="Berechnung 2 2 6" xfId="126" xr:uid="{00000000-0005-0000-0000-00007D000000}"/>
    <cellStyle name="Berechnung 2 2 7" xfId="127" xr:uid="{00000000-0005-0000-0000-00007E000000}"/>
    <cellStyle name="Berechnung 2 3" xfId="128" xr:uid="{00000000-0005-0000-0000-00007F000000}"/>
    <cellStyle name="Berechnung 2 3 2" xfId="129" xr:uid="{00000000-0005-0000-0000-000080000000}"/>
    <cellStyle name="Berechnung 2 3 2 2" xfId="130" xr:uid="{00000000-0005-0000-0000-000081000000}"/>
    <cellStyle name="Berechnung 2 3 2 2 2" xfId="131" xr:uid="{00000000-0005-0000-0000-000082000000}"/>
    <cellStyle name="Berechnung 2 3 2 2 3" xfId="132" xr:uid="{00000000-0005-0000-0000-000083000000}"/>
    <cellStyle name="Berechnung 2 3 2 3" xfId="133" xr:uid="{00000000-0005-0000-0000-000084000000}"/>
    <cellStyle name="Berechnung 2 3 2 4" xfId="134" xr:uid="{00000000-0005-0000-0000-000085000000}"/>
    <cellStyle name="Berechnung 2 3 2 5" xfId="135" xr:uid="{00000000-0005-0000-0000-000086000000}"/>
    <cellStyle name="Berechnung 2 3 3" xfId="136" xr:uid="{00000000-0005-0000-0000-000087000000}"/>
    <cellStyle name="Berechnung 2 3 3 2" xfId="137" xr:uid="{00000000-0005-0000-0000-000088000000}"/>
    <cellStyle name="Berechnung 2 3 3 2 2" xfId="138" xr:uid="{00000000-0005-0000-0000-000089000000}"/>
    <cellStyle name="Berechnung 2 3 3 2 3" xfId="139" xr:uid="{00000000-0005-0000-0000-00008A000000}"/>
    <cellStyle name="Berechnung 2 3 3 3" xfId="140" xr:uid="{00000000-0005-0000-0000-00008B000000}"/>
    <cellStyle name="Berechnung 2 3 3 4" xfId="141" xr:uid="{00000000-0005-0000-0000-00008C000000}"/>
    <cellStyle name="Berechnung 2 3 3 5" xfId="142" xr:uid="{00000000-0005-0000-0000-00008D000000}"/>
    <cellStyle name="Berechnung 2 3 4" xfId="143" xr:uid="{00000000-0005-0000-0000-00008E000000}"/>
    <cellStyle name="Berechnung 2 3 4 2" xfId="144" xr:uid="{00000000-0005-0000-0000-00008F000000}"/>
    <cellStyle name="Berechnung 2 3 4 3" xfId="145" xr:uid="{00000000-0005-0000-0000-000090000000}"/>
    <cellStyle name="Berechnung 2 3 5" xfId="146" xr:uid="{00000000-0005-0000-0000-000091000000}"/>
    <cellStyle name="Berechnung 2 3 6" xfId="147" xr:uid="{00000000-0005-0000-0000-000092000000}"/>
    <cellStyle name="Berechnung 2 4" xfId="148" xr:uid="{00000000-0005-0000-0000-000093000000}"/>
    <cellStyle name="Berechnung 2 4 2" xfId="149" xr:uid="{00000000-0005-0000-0000-000094000000}"/>
    <cellStyle name="Berechnung 2 4 2 2" xfId="150" xr:uid="{00000000-0005-0000-0000-000095000000}"/>
    <cellStyle name="Berechnung 2 4 2 3" xfId="151" xr:uid="{00000000-0005-0000-0000-000096000000}"/>
    <cellStyle name="Berechnung 2 4 3" xfId="152" xr:uid="{00000000-0005-0000-0000-000097000000}"/>
    <cellStyle name="Berechnung 2 4 4" xfId="153" xr:uid="{00000000-0005-0000-0000-000098000000}"/>
    <cellStyle name="Berechnung 2 4 5" xfId="154" xr:uid="{00000000-0005-0000-0000-000099000000}"/>
    <cellStyle name="Berechnung 2 5" xfId="155" xr:uid="{00000000-0005-0000-0000-00009A000000}"/>
    <cellStyle name="Berechnung 2 5 2" xfId="156" xr:uid="{00000000-0005-0000-0000-00009B000000}"/>
    <cellStyle name="Berechnung 2 5 2 2" xfId="157" xr:uid="{00000000-0005-0000-0000-00009C000000}"/>
    <cellStyle name="Berechnung 2 5 2 3" xfId="158" xr:uid="{00000000-0005-0000-0000-00009D000000}"/>
    <cellStyle name="Berechnung 2 5 3" xfId="159" xr:uid="{00000000-0005-0000-0000-00009E000000}"/>
    <cellStyle name="Berechnung 2 5 4" xfId="160" xr:uid="{00000000-0005-0000-0000-00009F000000}"/>
    <cellStyle name="Berechnung 2 5 5" xfId="161" xr:uid="{00000000-0005-0000-0000-0000A0000000}"/>
    <cellStyle name="Berechnung 2 6" xfId="162" xr:uid="{00000000-0005-0000-0000-0000A1000000}"/>
    <cellStyle name="Berechnung 2 6 2" xfId="163" xr:uid="{00000000-0005-0000-0000-0000A2000000}"/>
    <cellStyle name="Berechnung 2 6 3" xfId="164" xr:uid="{00000000-0005-0000-0000-0000A3000000}"/>
    <cellStyle name="Berechnung 2 7" xfId="165" xr:uid="{00000000-0005-0000-0000-0000A4000000}"/>
    <cellStyle name="Berechnung 2 8" xfId="166" xr:uid="{00000000-0005-0000-0000-0000A5000000}"/>
    <cellStyle name="Eingabe 2" xfId="168" xr:uid="{00000000-0005-0000-0000-0000A6000000}"/>
    <cellStyle name="Eingabe 2 2" xfId="169" xr:uid="{00000000-0005-0000-0000-0000A7000000}"/>
    <cellStyle name="Eingabe 2 2 2" xfId="170" xr:uid="{00000000-0005-0000-0000-0000A8000000}"/>
    <cellStyle name="Eingabe 2 2 2 2" xfId="171" xr:uid="{00000000-0005-0000-0000-0000A9000000}"/>
    <cellStyle name="Eingabe 2 2 2 2 2" xfId="172" xr:uid="{00000000-0005-0000-0000-0000AA000000}"/>
    <cellStyle name="Eingabe 2 2 2 2 2 2" xfId="173" xr:uid="{00000000-0005-0000-0000-0000AB000000}"/>
    <cellStyle name="Eingabe 2 2 2 2 2 3" xfId="174" xr:uid="{00000000-0005-0000-0000-0000AC000000}"/>
    <cellStyle name="Eingabe 2 2 2 2 3" xfId="175" xr:uid="{00000000-0005-0000-0000-0000AD000000}"/>
    <cellStyle name="Eingabe 2 2 2 2 4" xfId="176" xr:uid="{00000000-0005-0000-0000-0000AE000000}"/>
    <cellStyle name="Eingabe 2 2 2 2 5" xfId="177" xr:uid="{00000000-0005-0000-0000-0000AF000000}"/>
    <cellStyle name="Eingabe 2 2 2 3" xfId="178" xr:uid="{00000000-0005-0000-0000-0000B0000000}"/>
    <cellStyle name="Eingabe 2 2 2 3 2" xfId="179" xr:uid="{00000000-0005-0000-0000-0000B1000000}"/>
    <cellStyle name="Eingabe 2 2 2 3 2 2" xfId="180" xr:uid="{00000000-0005-0000-0000-0000B2000000}"/>
    <cellStyle name="Eingabe 2 2 2 3 2 3" xfId="181" xr:uid="{00000000-0005-0000-0000-0000B3000000}"/>
    <cellStyle name="Eingabe 2 2 2 3 3" xfId="182" xr:uid="{00000000-0005-0000-0000-0000B4000000}"/>
    <cellStyle name="Eingabe 2 2 2 3 4" xfId="183" xr:uid="{00000000-0005-0000-0000-0000B5000000}"/>
    <cellStyle name="Eingabe 2 2 2 3 5" xfId="184" xr:uid="{00000000-0005-0000-0000-0000B6000000}"/>
    <cellStyle name="Eingabe 2 2 2 4" xfId="185" xr:uid="{00000000-0005-0000-0000-0000B7000000}"/>
    <cellStyle name="Eingabe 2 2 2 4 2" xfId="186" xr:uid="{00000000-0005-0000-0000-0000B8000000}"/>
    <cellStyle name="Eingabe 2 2 2 4 3" xfId="187" xr:uid="{00000000-0005-0000-0000-0000B9000000}"/>
    <cellStyle name="Eingabe 2 2 2 5" xfId="188" xr:uid="{00000000-0005-0000-0000-0000BA000000}"/>
    <cellStyle name="Eingabe 2 2 2 6" xfId="189" xr:uid="{00000000-0005-0000-0000-0000BB000000}"/>
    <cellStyle name="Eingabe 2 2 3" xfId="190" xr:uid="{00000000-0005-0000-0000-0000BC000000}"/>
    <cellStyle name="Eingabe 2 2 3 2" xfId="191" xr:uid="{00000000-0005-0000-0000-0000BD000000}"/>
    <cellStyle name="Eingabe 2 2 3 2 2" xfId="192" xr:uid="{00000000-0005-0000-0000-0000BE000000}"/>
    <cellStyle name="Eingabe 2 2 3 2 3" xfId="193" xr:uid="{00000000-0005-0000-0000-0000BF000000}"/>
    <cellStyle name="Eingabe 2 2 3 3" xfId="194" xr:uid="{00000000-0005-0000-0000-0000C0000000}"/>
    <cellStyle name="Eingabe 2 2 3 4" xfId="195" xr:uid="{00000000-0005-0000-0000-0000C1000000}"/>
    <cellStyle name="Eingabe 2 2 3 5" xfId="196" xr:uid="{00000000-0005-0000-0000-0000C2000000}"/>
    <cellStyle name="Eingabe 2 2 4" xfId="197" xr:uid="{00000000-0005-0000-0000-0000C3000000}"/>
    <cellStyle name="Eingabe 2 2 4 2" xfId="198" xr:uid="{00000000-0005-0000-0000-0000C4000000}"/>
    <cellStyle name="Eingabe 2 2 4 2 2" xfId="199" xr:uid="{00000000-0005-0000-0000-0000C5000000}"/>
    <cellStyle name="Eingabe 2 2 4 2 3" xfId="200" xr:uid="{00000000-0005-0000-0000-0000C6000000}"/>
    <cellStyle name="Eingabe 2 2 4 3" xfId="201" xr:uid="{00000000-0005-0000-0000-0000C7000000}"/>
    <cellStyle name="Eingabe 2 2 4 4" xfId="202" xr:uid="{00000000-0005-0000-0000-0000C8000000}"/>
    <cellStyle name="Eingabe 2 2 4 5" xfId="203" xr:uid="{00000000-0005-0000-0000-0000C9000000}"/>
    <cellStyle name="Eingabe 2 2 5" xfId="204" xr:uid="{00000000-0005-0000-0000-0000CA000000}"/>
    <cellStyle name="Eingabe 2 2 5 2" xfId="205" xr:uid="{00000000-0005-0000-0000-0000CB000000}"/>
    <cellStyle name="Eingabe 2 2 5 3" xfId="206" xr:uid="{00000000-0005-0000-0000-0000CC000000}"/>
    <cellStyle name="Eingabe 2 2 6" xfId="207" xr:uid="{00000000-0005-0000-0000-0000CD000000}"/>
    <cellStyle name="Eingabe 2 2 7" xfId="208" xr:uid="{00000000-0005-0000-0000-0000CE000000}"/>
    <cellStyle name="Eingabe 2 3" xfId="209" xr:uid="{00000000-0005-0000-0000-0000CF000000}"/>
    <cellStyle name="Eingabe 2 3 2" xfId="210" xr:uid="{00000000-0005-0000-0000-0000D0000000}"/>
    <cellStyle name="Eingabe 2 3 2 2" xfId="211" xr:uid="{00000000-0005-0000-0000-0000D1000000}"/>
    <cellStyle name="Eingabe 2 3 2 2 2" xfId="212" xr:uid="{00000000-0005-0000-0000-0000D2000000}"/>
    <cellStyle name="Eingabe 2 3 2 2 3" xfId="213" xr:uid="{00000000-0005-0000-0000-0000D3000000}"/>
    <cellStyle name="Eingabe 2 3 2 3" xfId="214" xr:uid="{00000000-0005-0000-0000-0000D4000000}"/>
    <cellStyle name="Eingabe 2 3 2 4" xfId="215" xr:uid="{00000000-0005-0000-0000-0000D5000000}"/>
    <cellStyle name="Eingabe 2 3 2 5" xfId="216" xr:uid="{00000000-0005-0000-0000-0000D6000000}"/>
    <cellStyle name="Eingabe 2 3 3" xfId="217" xr:uid="{00000000-0005-0000-0000-0000D7000000}"/>
    <cellStyle name="Eingabe 2 3 3 2" xfId="218" xr:uid="{00000000-0005-0000-0000-0000D8000000}"/>
    <cellStyle name="Eingabe 2 3 3 2 2" xfId="219" xr:uid="{00000000-0005-0000-0000-0000D9000000}"/>
    <cellStyle name="Eingabe 2 3 3 2 3" xfId="220" xr:uid="{00000000-0005-0000-0000-0000DA000000}"/>
    <cellStyle name="Eingabe 2 3 3 3" xfId="221" xr:uid="{00000000-0005-0000-0000-0000DB000000}"/>
    <cellStyle name="Eingabe 2 3 3 4" xfId="222" xr:uid="{00000000-0005-0000-0000-0000DC000000}"/>
    <cellStyle name="Eingabe 2 3 3 5" xfId="223" xr:uid="{00000000-0005-0000-0000-0000DD000000}"/>
    <cellStyle name="Eingabe 2 3 4" xfId="224" xr:uid="{00000000-0005-0000-0000-0000DE000000}"/>
    <cellStyle name="Eingabe 2 3 4 2" xfId="225" xr:uid="{00000000-0005-0000-0000-0000DF000000}"/>
    <cellStyle name="Eingabe 2 3 4 3" xfId="226" xr:uid="{00000000-0005-0000-0000-0000E0000000}"/>
    <cellStyle name="Eingabe 2 3 5" xfId="227" xr:uid="{00000000-0005-0000-0000-0000E1000000}"/>
    <cellStyle name="Eingabe 2 3 6" xfId="228" xr:uid="{00000000-0005-0000-0000-0000E2000000}"/>
    <cellStyle name="Eingabe 2 4" xfId="229" xr:uid="{00000000-0005-0000-0000-0000E3000000}"/>
    <cellStyle name="Eingabe 2 4 2" xfId="230" xr:uid="{00000000-0005-0000-0000-0000E4000000}"/>
    <cellStyle name="Eingabe 2 4 2 2" xfId="231" xr:uid="{00000000-0005-0000-0000-0000E5000000}"/>
    <cellStyle name="Eingabe 2 4 2 3" xfId="232" xr:uid="{00000000-0005-0000-0000-0000E6000000}"/>
    <cellStyle name="Eingabe 2 4 3" xfId="233" xr:uid="{00000000-0005-0000-0000-0000E7000000}"/>
    <cellStyle name="Eingabe 2 4 4" xfId="234" xr:uid="{00000000-0005-0000-0000-0000E8000000}"/>
    <cellStyle name="Eingabe 2 4 5" xfId="235" xr:uid="{00000000-0005-0000-0000-0000E9000000}"/>
    <cellStyle name="Eingabe 2 5" xfId="236" xr:uid="{00000000-0005-0000-0000-0000EA000000}"/>
    <cellStyle name="Eingabe 2 5 2" xfId="237" xr:uid="{00000000-0005-0000-0000-0000EB000000}"/>
    <cellStyle name="Eingabe 2 5 2 2" xfId="238" xr:uid="{00000000-0005-0000-0000-0000EC000000}"/>
    <cellStyle name="Eingabe 2 5 2 3" xfId="239" xr:uid="{00000000-0005-0000-0000-0000ED000000}"/>
    <cellStyle name="Eingabe 2 5 3" xfId="240" xr:uid="{00000000-0005-0000-0000-0000EE000000}"/>
    <cellStyle name="Eingabe 2 5 4" xfId="241" xr:uid="{00000000-0005-0000-0000-0000EF000000}"/>
    <cellStyle name="Eingabe 2 5 5" xfId="242" xr:uid="{00000000-0005-0000-0000-0000F0000000}"/>
    <cellStyle name="Eingabe 2 6" xfId="243" xr:uid="{00000000-0005-0000-0000-0000F1000000}"/>
    <cellStyle name="Eingabe 2 6 2" xfId="244" xr:uid="{00000000-0005-0000-0000-0000F2000000}"/>
    <cellStyle name="Eingabe 2 6 3" xfId="245" xr:uid="{00000000-0005-0000-0000-0000F3000000}"/>
    <cellStyle name="Eingabe 2 7" xfId="246" xr:uid="{00000000-0005-0000-0000-0000F4000000}"/>
    <cellStyle name="Eingabe 2 8" xfId="247" xr:uid="{00000000-0005-0000-0000-0000F5000000}"/>
    <cellStyle name="Ergebnis 1" xfId="248" xr:uid="{00000000-0005-0000-0000-0000F6000000}"/>
    <cellStyle name="Ergebnis 1 1" xfId="249" xr:uid="{00000000-0005-0000-0000-0000F7000000}"/>
    <cellStyle name="Ergebnis 1 1 2" xfId="250" xr:uid="{00000000-0005-0000-0000-0000F8000000}"/>
    <cellStyle name="Ergebnis 1 1 2 2" xfId="251" xr:uid="{00000000-0005-0000-0000-0000F9000000}"/>
    <cellStyle name="Ergebnis 1 1 2 2 2" xfId="252" xr:uid="{00000000-0005-0000-0000-0000FA000000}"/>
    <cellStyle name="Ergebnis 1 1 2 2 2 2" xfId="253" xr:uid="{00000000-0005-0000-0000-0000FB000000}"/>
    <cellStyle name="Ergebnis 1 1 2 2 2 2 2" xfId="254" xr:uid="{00000000-0005-0000-0000-0000FC000000}"/>
    <cellStyle name="Ergebnis 1 1 2 2 2 2 3" xfId="255" xr:uid="{00000000-0005-0000-0000-0000FD000000}"/>
    <cellStyle name="Ergebnis 1 1 2 2 2 3" xfId="256" xr:uid="{00000000-0005-0000-0000-0000FE000000}"/>
    <cellStyle name="Ergebnis 1 1 2 2 2 4" xfId="257" xr:uid="{00000000-0005-0000-0000-0000FF000000}"/>
    <cellStyle name="Ergebnis 1 1 2 2 2 5" xfId="258" xr:uid="{00000000-0005-0000-0000-000000010000}"/>
    <cellStyle name="Ergebnis 1 1 2 2 3" xfId="259" xr:uid="{00000000-0005-0000-0000-000001010000}"/>
    <cellStyle name="Ergebnis 1 1 2 2 3 2" xfId="260" xr:uid="{00000000-0005-0000-0000-000002010000}"/>
    <cellStyle name="Ergebnis 1 1 2 2 3 2 2" xfId="261" xr:uid="{00000000-0005-0000-0000-000003010000}"/>
    <cellStyle name="Ergebnis 1 1 2 2 3 2 3" xfId="262" xr:uid="{00000000-0005-0000-0000-000004010000}"/>
    <cellStyle name="Ergebnis 1 1 2 2 3 3" xfId="263" xr:uid="{00000000-0005-0000-0000-000005010000}"/>
    <cellStyle name="Ergebnis 1 1 2 2 3 4" xfId="264" xr:uid="{00000000-0005-0000-0000-000006010000}"/>
    <cellStyle name="Ergebnis 1 1 2 2 3 5" xfId="265" xr:uid="{00000000-0005-0000-0000-000007010000}"/>
    <cellStyle name="Ergebnis 1 1 2 2 4" xfId="266" xr:uid="{00000000-0005-0000-0000-000008010000}"/>
    <cellStyle name="Ergebnis 1 1 2 2 4 2" xfId="267" xr:uid="{00000000-0005-0000-0000-000009010000}"/>
    <cellStyle name="Ergebnis 1 1 2 2 4 3" xfId="268" xr:uid="{00000000-0005-0000-0000-00000A010000}"/>
    <cellStyle name="Ergebnis 1 1 2 2 5" xfId="269" xr:uid="{00000000-0005-0000-0000-00000B010000}"/>
    <cellStyle name="Ergebnis 1 1 2 2 6" xfId="270" xr:uid="{00000000-0005-0000-0000-00000C010000}"/>
    <cellStyle name="Ergebnis 1 1 2 3" xfId="271" xr:uid="{00000000-0005-0000-0000-00000D010000}"/>
    <cellStyle name="Ergebnis 1 1 2 3 2" xfId="272" xr:uid="{00000000-0005-0000-0000-00000E010000}"/>
    <cellStyle name="Ergebnis 1 1 2 3 2 2" xfId="273" xr:uid="{00000000-0005-0000-0000-00000F010000}"/>
    <cellStyle name="Ergebnis 1 1 2 3 2 3" xfId="274" xr:uid="{00000000-0005-0000-0000-000010010000}"/>
    <cellStyle name="Ergebnis 1 1 2 3 3" xfId="275" xr:uid="{00000000-0005-0000-0000-000011010000}"/>
    <cellStyle name="Ergebnis 1 1 2 3 4" xfId="276" xr:uid="{00000000-0005-0000-0000-000012010000}"/>
    <cellStyle name="Ergebnis 1 1 2 3 5" xfId="277" xr:uid="{00000000-0005-0000-0000-000013010000}"/>
    <cellStyle name="Ergebnis 1 1 2 4" xfId="278" xr:uid="{00000000-0005-0000-0000-000014010000}"/>
    <cellStyle name="Ergebnis 1 1 2 4 2" xfId="279" xr:uid="{00000000-0005-0000-0000-000015010000}"/>
    <cellStyle name="Ergebnis 1 1 2 4 2 2" xfId="280" xr:uid="{00000000-0005-0000-0000-000016010000}"/>
    <cellStyle name="Ergebnis 1 1 2 4 2 3" xfId="281" xr:uid="{00000000-0005-0000-0000-000017010000}"/>
    <cellStyle name="Ergebnis 1 1 2 4 3" xfId="282" xr:uid="{00000000-0005-0000-0000-000018010000}"/>
    <cellStyle name="Ergebnis 1 1 2 4 4" xfId="283" xr:uid="{00000000-0005-0000-0000-000019010000}"/>
    <cellStyle name="Ergebnis 1 1 2 4 5" xfId="284" xr:uid="{00000000-0005-0000-0000-00001A010000}"/>
    <cellStyle name="Ergebnis 1 1 2 5" xfId="285" xr:uid="{00000000-0005-0000-0000-00001B010000}"/>
    <cellStyle name="Ergebnis 1 1 2 5 2" xfId="286" xr:uid="{00000000-0005-0000-0000-00001C010000}"/>
    <cellStyle name="Ergebnis 1 1 2 5 3" xfId="287" xr:uid="{00000000-0005-0000-0000-00001D010000}"/>
    <cellStyle name="Ergebnis 1 1 2 6" xfId="288" xr:uid="{00000000-0005-0000-0000-00001E010000}"/>
    <cellStyle name="Ergebnis 1 1 2 7" xfId="289" xr:uid="{00000000-0005-0000-0000-00001F010000}"/>
    <cellStyle name="Ergebnis 1 1 3" xfId="290" xr:uid="{00000000-0005-0000-0000-000020010000}"/>
    <cellStyle name="Ergebnis 1 1 3 2" xfId="291" xr:uid="{00000000-0005-0000-0000-000021010000}"/>
    <cellStyle name="Ergebnis 1 1 3 2 2" xfId="292" xr:uid="{00000000-0005-0000-0000-000022010000}"/>
    <cellStyle name="Ergebnis 1 1 3 2 2 2" xfId="293" xr:uid="{00000000-0005-0000-0000-000023010000}"/>
    <cellStyle name="Ergebnis 1 1 3 2 2 3" xfId="294" xr:uid="{00000000-0005-0000-0000-000024010000}"/>
    <cellStyle name="Ergebnis 1 1 3 2 3" xfId="295" xr:uid="{00000000-0005-0000-0000-000025010000}"/>
    <cellStyle name="Ergebnis 1 1 3 2 4" xfId="296" xr:uid="{00000000-0005-0000-0000-000026010000}"/>
    <cellStyle name="Ergebnis 1 1 3 2 5" xfId="297" xr:uid="{00000000-0005-0000-0000-000027010000}"/>
    <cellStyle name="Ergebnis 1 1 3 3" xfId="298" xr:uid="{00000000-0005-0000-0000-000028010000}"/>
    <cellStyle name="Ergebnis 1 1 3 3 2" xfId="299" xr:uid="{00000000-0005-0000-0000-000029010000}"/>
    <cellStyle name="Ergebnis 1 1 3 3 2 2" xfId="300" xr:uid="{00000000-0005-0000-0000-00002A010000}"/>
    <cellStyle name="Ergebnis 1 1 3 3 2 3" xfId="301" xr:uid="{00000000-0005-0000-0000-00002B010000}"/>
    <cellStyle name="Ergebnis 1 1 3 3 3" xfId="302" xr:uid="{00000000-0005-0000-0000-00002C010000}"/>
    <cellStyle name="Ergebnis 1 1 3 3 4" xfId="303" xr:uid="{00000000-0005-0000-0000-00002D010000}"/>
    <cellStyle name="Ergebnis 1 1 3 3 5" xfId="304" xr:uid="{00000000-0005-0000-0000-00002E010000}"/>
    <cellStyle name="Ergebnis 1 1 3 4" xfId="305" xr:uid="{00000000-0005-0000-0000-00002F010000}"/>
    <cellStyle name="Ergebnis 1 1 3 4 2" xfId="306" xr:uid="{00000000-0005-0000-0000-000030010000}"/>
    <cellStyle name="Ergebnis 1 1 3 4 3" xfId="307" xr:uid="{00000000-0005-0000-0000-000031010000}"/>
    <cellStyle name="Ergebnis 1 1 3 5" xfId="308" xr:uid="{00000000-0005-0000-0000-000032010000}"/>
    <cellStyle name="Ergebnis 1 1 3 6" xfId="309" xr:uid="{00000000-0005-0000-0000-000033010000}"/>
    <cellStyle name="Ergebnis 1 1 4" xfId="310" xr:uid="{00000000-0005-0000-0000-000034010000}"/>
    <cellStyle name="Ergebnis 1 1 4 2" xfId="311" xr:uid="{00000000-0005-0000-0000-000035010000}"/>
    <cellStyle name="Ergebnis 1 1 4 2 2" xfId="312" xr:uid="{00000000-0005-0000-0000-000036010000}"/>
    <cellStyle name="Ergebnis 1 1 4 2 3" xfId="313" xr:uid="{00000000-0005-0000-0000-000037010000}"/>
    <cellStyle name="Ergebnis 1 1 4 3" xfId="314" xr:uid="{00000000-0005-0000-0000-000038010000}"/>
    <cellStyle name="Ergebnis 1 1 4 4" xfId="315" xr:uid="{00000000-0005-0000-0000-000039010000}"/>
    <cellStyle name="Ergebnis 1 1 4 5" xfId="316" xr:uid="{00000000-0005-0000-0000-00003A010000}"/>
    <cellStyle name="Ergebnis 1 1 5" xfId="317" xr:uid="{00000000-0005-0000-0000-00003B010000}"/>
    <cellStyle name="Ergebnis 1 1 5 2" xfId="318" xr:uid="{00000000-0005-0000-0000-00003C010000}"/>
    <cellStyle name="Ergebnis 1 1 5 2 2" xfId="319" xr:uid="{00000000-0005-0000-0000-00003D010000}"/>
    <cellStyle name="Ergebnis 1 1 5 2 3" xfId="320" xr:uid="{00000000-0005-0000-0000-00003E010000}"/>
    <cellStyle name="Ergebnis 1 1 5 3" xfId="321" xr:uid="{00000000-0005-0000-0000-00003F010000}"/>
    <cellStyle name="Ergebnis 1 1 5 4" xfId="322" xr:uid="{00000000-0005-0000-0000-000040010000}"/>
    <cellStyle name="Ergebnis 1 1 5 5" xfId="323" xr:uid="{00000000-0005-0000-0000-000041010000}"/>
    <cellStyle name="Ergebnis 1 1 6" xfId="324" xr:uid="{00000000-0005-0000-0000-000042010000}"/>
    <cellStyle name="Ergebnis 1 1 6 2" xfId="325" xr:uid="{00000000-0005-0000-0000-000043010000}"/>
    <cellStyle name="Ergebnis 1 1 6 3" xfId="326" xr:uid="{00000000-0005-0000-0000-000044010000}"/>
    <cellStyle name="Ergebnis 1 1 7" xfId="327" xr:uid="{00000000-0005-0000-0000-000045010000}"/>
    <cellStyle name="Ergebnis 1 1 8" xfId="328" xr:uid="{00000000-0005-0000-0000-000046010000}"/>
    <cellStyle name="Ergebnis 1 2" xfId="329" xr:uid="{00000000-0005-0000-0000-000047010000}"/>
    <cellStyle name="Ergebnis 1 2 2" xfId="330" xr:uid="{00000000-0005-0000-0000-000048010000}"/>
    <cellStyle name="Ergebnis 1 2 2 2" xfId="331" xr:uid="{00000000-0005-0000-0000-000049010000}"/>
    <cellStyle name="Ergebnis 1 2 2 2 2" xfId="332" xr:uid="{00000000-0005-0000-0000-00004A010000}"/>
    <cellStyle name="Ergebnis 1 2 2 2 2 2" xfId="333" xr:uid="{00000000-0005-0000-0000-00004B010000}"/>
    <cellStyle name="Ergebnis 1 2 2 2 2 3" xfId="334" xr:uid="{00000000-0005-0000-0000-00004C010000}"/>
    <cellStyle name="Ergebnis 1 2 2 2 3" xfId="335" xr:uid="{00000000-0005-0000-0000-00004D010000}"/>
    <cellStyle name="Ergebnis 1 2 2 2 4" xfId="336" xr:uid="{00000000-0005-0000-0000-00004E010000}"/>
    <cellStyle name="Ergebnis 1 2 2 2 5" xfId="337" xr:uid="{00000000-0005-0000-0000-00004F010000}"/>
    <cellStyle name="Ergebnis 1 2 2 3" xfId="338" xr:uid="{00000000-0005-0000-0000-000050010000}"/>
    <cellStyle name="Ergebnis 1 2 2 3 2" xfId="339" xr:uid="{00000000-0005-0000-0000-000051010000}"/>
    <cellStyle name="Ergebnis 1 2 2 3 2 2" xfId="340" xr:uid="{00000000-0005-0000-0000-000052010000}"/>
    <cellStyle name="Ergebnis 1 2 2 3 2 3" xfId="341" xr:uid="{00000000-0005-0000-0000-000053010000}"/>
    <cellStyle name="Ergebnis 1 2 2 3 3" xfId="342" xr:uid="{00000000-0005-0000-0000-000054010000}"/>
    <cellStyle name="Ergebnis 1 2 2 3 4" xfId="343" xr:uid="{00000000-0005-0000-0000-000055010000}"/>
    <cellStyle name="Ergebnis 1 2 2 3 5" xfId="344" xr:uid="{00000000-0005-0000-0000-000056010000}"/>
    <cellStyle name="Ergebnis 1 2 2 4" xfId="345" xr:uid="{00000000-0005-0000-0000-000057010000}"/>
    <cellStyle name="Ergebnis 1 2 2 4 2" xfId="346" xr:uid="{00000000-0005-0000-0000-000058010000}"/>
    <cellStyle name="Ergebnis 1 2 2 4 3" xfId="347" xr:uid="{00000000-0005-0000-0000-000059010000}"/>
    <cellStyle name="Ergebnis 1 2 2 5" xfId="348" xr:uid="{00000000-0005-0000-0000-00005A010000}"/>
    <cellStyle name="Ergebnis 1 2 2 6" xfId="349" xr:uid="{00000000-0005-0000-0000-00005B010000}"/>
    <cellStyle name="Ergebnis 1 2 3" xfId="350" xr:uid="{00000000-0005-0000-0000-00005C010000}"/>
    <cellStyle name="Ergebnis 1 2 3 2" xfId="351" xr:uid="{00000000-0005-0000-0000-00005D010000}"/>
    <cellStyle name="Ergebnis 1 2 3 2 2" xfId="352" xr:uid="{00000000-0005-0000-0000-00005E010000}"/>
    <cellStyle name="Ergebnis 1 2 3 2 3" xfId="353" xr:uid="{00000000-0005-0000-0000-00005F010000}"/>
    <cellStyle name="Ergebnis 1 2 3 3" xfId="354" xr:uid="{00000000-0005-0000-0000-000060010000}"/>
    <cellStyle name="Ergebnis 1 2 3 4" xfId="355" xr:uid="{00000000-0005-0000-0000-000061010000}"/>
    <cellStyle name="Ergebnis 1 2 3 5" xfId="356" xr:uid="{00000000-0005-0000-0000-000062010000}"/>
    <cellStyle name="Ergebnis 1 2 4" xfId="357" xr:uid="{00000000-0005-0000-0000-000063010000}"/>
    <cellStyle name="Ergebnis 1 2 4 2" xfId="358" xr:uid="{00000000-0005-0000-0000-000064010000}"/>
    <cellStyle name="Ergebnis 1 2 4 2 2" xfId="359" xr:uid="{00000000-0005-0000-0000-000065010000}"/>
    <cellStyle name="Ergebnis 1 2 4 2 3" xfId="360" xr:uid="{00000000-0005-0000-0000-000066010000}"/>
    <cellStyle name="Ergebnis 1 2 4 3" xfId="361" xr:uid="{00000000-0005-0000-0000-000067010000}"/>
    <cellStyle name="Ergebnis 1 2 4 4" xfId="362" xr:uid="{00000000-0005-0000-0000-000068010000}"/>
    <cellStyle name="Ergebnis 1 2 4 5" xfId="363" xr:uid="{00000000-0005-0000-0000-000069010000}"/>
    <cellStyle name="Ergebnis 1 2 5" xfId="364" xr:uid="{00000000-0005-0000-0000-00006A010000}"/>
    <cellStyle name="Ergebnis 1 2 5 2" xfId="365" xr:uid="{00000000-0005-0000-0000-00006B010000}"/>
    <cellStyle name="Ergebnis 1 2 5 3" xfId="366" xr:uid="{00000000-0005-0000-0000-00006C010000}"/>
    <cellStyle name="Ergebnis 1 2 6" xfId="367" xr:uid="{00000000-0005-0000-0000-00006D010000}"/>
    <cellStyle name="Ergebnis 1 2 7" xfId="368" xr:uid="{00000000-0005-0000-0000-00006E010000}"/>
    <cellStyle name="Ergebnis 1 3" xfId="369" xr:uid="{00000000-0005-0000-0000-00006F010000}"/>
    <cellStyle name="Ergebnis 1 3 2" xfId="370" xr:uid="{00000000-0005-0000-0000-000070010000}"/>
    <cellStyle name="Ergebnis 1 3 2 2" xfId="371" xr:uid="{00000000-0005-0000-0000-000071010000}"/>
    <cellStyle name="Ergebnis 1 3 2 2 2" xfId="372" xr:uid="{00000000-0005-0000-0000-000072010000}"/>
    <cellStyle name="Ergebnis 1 3 2 2 3" xfId="373" xr:uid="{00000000-0005-0000-0000-000073010000}"/>
    <cellStyle name="Ergebnis 1 3 2 3" xfId="374" xr:uid="{00000000-0005-0000-0000-000074010000}"/>
    <cellStyle name="Ergebnis 1 3 2 4" xfId="375" xr:uid="{00000000-0005-0000-0000-000075010000}"/>
    <cellStyle name="Ergebnis 1 3 2 5" xfId="376" xr:uid="{00000000-0005-0000-0000-000076010000}"/>
    <cellStyle name="Ergebnis 1 3 3" xfId="377" xr:uid="{00000000-0005-0000-0000-000077010000}"/>
    <cellStyle name="Ergebnis 1 3 3 2" xfId="378" xr:uid="{00000000-0005-0000-0000-000078010000}"/>
    <cellStyle name="Ergebnis 1 3 3 2 2" xfId="379" xr:uid="{00000000-0005-0000-0000-000079010000}"/>
    <cellStyle name="Ergebnis 1 3 3 2 3" xfId="380" xr:uid="{00000000-0005-0000-0000-00007A010000}"/>
    <cellStyle name="Ergebnis 1 3 3 3" xfId="381" xr:uid="{00000000-0005-0000-0000-00007B010000}"/>
    <cellStyle name="Ergebnis 1 3 3 4" xfId="382" xr:uid="{00000000-0005-0000-0000-00007C010000}"/>
    <cellStyle name="Ergebnis 1 3 3 5" xfId="383" xr:uid="{00000000-0005-0000-0000-00007D010000}"/>
    <cellStyle name="Ergebnis 1 3 4" xfId="384" xr:uid="{00000000-0005-0000-0000-00007E010000}"/>
    <cellStyle name="Ergebnis 1 3 4 2" xfId="385" xr:uid="{00000000-0005-0000-0000-00007F010000}"/>
    <cellStyle name="Ergebnis 1 3 4 3" xfId="386" xr:uid="{00000000-0005-0000-0000-000080010000}"/>
    <cellStyle name="Ergebnis 1 3 5" xfId="387" xr:uid="{00000000-0005-0000-0000-000081010000}"/>
    <cellStyle name="Ergebnis 1 3 6" xfId="388" xr:uid="{00000000-0005-0000-0000-000082010000}"/>
    <cellStyle name="Ergebnis 1 4" xfId="389" xr:uid="{00000000-0005-0000-0000-000083010000}"/>
    <cellStyle name="Ergebnis 1 4 2" xfId="390" xr:uid="{00000000-0005-0000-0000-000084010000}"/>
    <cellStyle name="Ergebnis 1 4 2 2" xfId="391" xr:uid="{00000000-0005-0000-0000-000085010000}"/>
    <cellStyle name="Ergebnis 1 4 2 3" xfId="392" xr:uid="{00000000-0005-0000-0000-000086010000}"/>
    <cellStyle name="Ergebnis 1 4 3" xfId="393" xr:uid="{00000000-0005-0000-0000-000087010000}"/>
    <cellStyle name="Ergebnis 1 4 4" xfId="394" xr:uid="{00000000-0005-0000-0000-000088010000}"/>
    <cellStyle name="Ergebnis 1 4 5" xfId="395" xr:uid="{00000000-0005-0000-0000-000089010000}"/>
    <cellStyle name="Ergebnis 1 5" xfId="396" xr:uid="{00000000-0005-0000-0000-00008A010000}"/>
    <cellStyle name="Ergebnis 1 5 2" xfId="397" xr:uid="{00000000-0005-0000-0000-00008B010000}"/>
    <cellStyle name="Ergebnis 1 5 2 2" xfId="398" xr:uid="{00000000-0005-0000-0000-00008C010000}"/>
    <cellStyle name="Ergebnis 1 5 2 3" xfId="399" xr:uid="{00000000-0005-0000-0000-00008D010000}"/>
    <cellStyle name="Ergebnis 1 5 3" xfId="400" xr:uid="{00000000-0005-0000-0000-00008E010000}"/>
    <cellStyle name="Ergebnis 1 5 4" xfId="401" xr:uid="{00000000-0005-0000-0000-00008F010000}"/>
    <cellStyle name="Ergebnis 1 5 5" xfId="402" xr:uid="{00000000-0005-0000-0000-000090010000}"/>
    <cellStyle name="Ergebnis 1 6" xfId="403" xr:uid="{00000000-0005-0000-0000-000091010000}"/>
    <cellStyle name="Ergebnis 1 6 2" xfId="404" xr:uid="{00000000-0005-0000-0000-000092010000}"/>
    <cellStyle name="Ergebnis 1 6 3" xfId="405" xr:uid="{00000000-0005-0000-0000-000093010000}"/>
    <cellStyle name="Ergebnis 1 7" xfId="406" xr:uid="{00000000-0005-0000-0000-000094010000}"/>
    <cellStyle name="Ergebnis 1 8" xfId="407" xr:uid="{00000000-0005-0000-0000-000095010000}"/>
    <cellStyle name="Erklärender Text 2" xfId="408" xr:uid="{00000000-0005-0000-0000-000096010000}"/>
    <cellStyle name="Erklärender Text 3" xfId="409" xr:uid="{00000000-0005-0000-0000-000097010000}"/>
    <cellStyle name="Excel Built-in Input" xfId="410" xr:uid="{00000000-0005-0000-0000-000098010000}"/>
    <cellStyle name="Gut 2" xfId="411" xr:uid="{00000000-0005-0000-0000-000099010000}"/>
    <cellStyle name="Hyperlink 2" xfId="413" xr:uid="{00000000-0005-0000-0000-00009A010000}"/>
    <cellStyle name="Hyperlink 3" xfId="414" xr:uid="{00000000-0005-0000-0000-00009B010000}"/>
    <cellStyle name="Komma" xfId="167" builtinId="3"/>
    <cellStyle name="Komma 10" xfId="415" xr:uid="{00000000-0005-0000-0000-00009D010000}"/>
    <cellStyle name="Komma 11" xfId="416" xr:uid="{00000000-0005-0000-0000-00009E010000}"/>
    <cellStyle name="Komma 2" xfId="417" xr:uid="{00000000-0005-0000-0000-00009F010000}"/>
    <cellStyle name="Komma 2 2" xfId="418" xr:uid="{00000000-0005-0000-0000-0000A0010000}"/>
    <cellStyle name="Komma 2 3" xfId="419" xr:uid="{00000000-0005-0000-0000-0000A1010000}"/>
    <cellStyle name="Komma 3" xfId="420" xr:uid="{00000000-0005-0000-0000-0000A2010000}"/>
    <cellStyle name="Komma 4" xfId="421" xr:uid="{00000000-0005-0000-0000-0000A3010000}"/>
    <cellStyle name="Komma 5" xfId="422" xr:uid="{00000000-0005-0000-0000-0000A4010000}"/>
    <cellStyle name="Komma 5 2" xfId="423" xr:uid="{00000000-0005-0000-0000-0000A5010000}"/>
    <cellStyle name="Komma 5 2 2" xfId="424" xr:uid="{00000000-0005-0000-0000-0000A6010000}"/>
    <cellStyle name="Komma 5 2 2 2" xfId="425" xr:uid="{00000000-0005-0000-0000-0000A7010000}"/>
    <cellStyle name="Komma 5 2 2 2 2" xfId="426" xr:uid="{00000000-0005-0000-0000-0000A8010000}"/>
    <cellStyle name="Komma 5 2 2 3" xfId="427" xr:uid="{00000000-0005-0000-0000-0000A9010000}"/>
    <cellStyle name="Komma 5 2 3" xfId="428" xr:uid="{00000000-0005-0000-0000-0000AA010000}"/>
    <cellStyle name="Komma 5 2 3 2" xfId="429" xr:uid="{00000000-0005-0000-0000-0000AB010000}"/>
    <cellStyle name="Komma 5 2 4" xfId="430" xr:uid="{00000000-0005-0000-0000-0000AC010000}"/>
    <cellStyle name="Komma 5 2 5" xfId="431" xr:uid="{00000000-0005-0000-0000-0000AD010000}"/>
    <cellStyle name="Komma 5 3" xfId="432" xr:uid="{00000000-0005-0000-0000-0000AE010000}"/>
    <cellStyle name="Komma 5 3 2" xfId="433" xr:uid="{00000000-0005-0000-0000-0000AF010000}"/>
    <cellStyle name="Komma 5 3 2 2" xfId="434" xr:uid="{00000000-0005-0000-0000-0000B0010000}"/>
    <cellStyle name="Komma 5 3 3" xfId="435" xr:uid="{00000000-0005-0000-0000-0000B1010000}"/>
    <cellStyle name="Komma 5 3 4" xfId="436" xr:uid="{00000000-0005-0000-0000-0000B2010000}"/>
    <cellStyle name="Komma 5 4" xfId="437" xr:uid="{00000000-0005-0000-0000-0000B3010000}"/>
    <cellStyle name="Komma 5 4 2" xfId="438" xr:uid="{00000000-0005-0000-0000-0000B4010000}"/>
    <cellStyle name="Komma 5 5" xfId="439" xr:uid="{00000000-0005-0000-0000-0000B5010000}"/>
    <cellStyle name="Komma 5 6" xfId="440" xr:uid="{00000000-0005-0000-0000-0000B6010000}"/>
    <cellStyle name="Komma 6" xfId="441" xr:uid="{00000000-0005-0000-0000-0000B7010000}"/>
    <cellStyle name="Komma 7" xfId="442" xr:uid="{00000000-0005-0000-0000-0000B8010000}"/>
    <cellStyle name="Komma 7 2" xfId="443" xr:uid="{00000000-0005-0000-0000-0000B9010000}"/>
    <cellStyle name="Komma 7 2 2" xfId="444" xr:uid="{00000000-0005-0000-0000-0000BA010000}"/>
    <cellStyle name="Komma 7 2 2 2" xfId="445" xr:uid="{00000000-0005-0000-0000-0000BB010000}"/>
    <cellStyle name="Komma 7 2 3" xfId="446" xr:uid="{00000000-0005-0000-0000-0000BC010000}"/>
    <cellStyle name="Komma 7 3" xfId="447" xr:uid="{00000000-0005-0000-0000-0000BD010000}"/>
    <cellStyle name="Komma 7 3 2" xfId="448" xr:uid="{00000000-0005-0000-0000-0000BE010000}"/>
    <cellStyle name="Komma 7 4" xfId="449" xr:uid="{00000000-0005-0000-0000-0000BF010000}"/>
    <cellStyle name="Komma 7 5" xfId="450" xr:uid="{00000000-0005-0000-0000-0000C0010000}"/>
    <cellStyle name="Komma 8" xfId="451" xr:uid="{00000000-0005-0000-0000-0000C1010000}"/>
    <cellStyle name="Komma 8 2" xfId="452" xr:uid="{00000000-0005-0000-0000-0000C2010000}"/>
    <cellStyle name="Komma 8 2 2" xfId="453" xr:uid="{00000000-0005-0000-0000-0000C3010000}"/>
    <cellStyle name="Komma 8 3" xfId="454" xr:uid="{00000000-0005-0000-0000-0000C4010000}"/>
    <cellStyle name="Komma 8 4" xfId="455" xr:uid="{00000000-0005-0000-0000-0000C5010000}"/>
    <cellStyle name="Komma 9" xfId="456" xr:uid="{00000000-0005-0000-0000-0000C6010000}"/>
    <cellStyle name="Link" xfId="412" builtinId="8"/>
    <cellStyle name="Neutral 2" xfId="457" xr:uid="{00000000-0005-0000-0000-0000C8010000}"/>
    <cellStyle name="Notiz 2" xfId="458" xr:uid="{00000000-0005-0000-0000-0000C9010000}"/>
    <cellStyle name="Notiz 2 10" xfId="459" xr:uid="{00000000-0005-0000-0000-0000CA010000}"/>
    <cellStyle name="Notiz 2 2" xfId="460" xr:uid="{00000000-0005-0000-0000-0000CB010000}"/>
    <cellStyle name="Notiz 2 2 2" xfId="461" xr:uid="{00000000-0005-0000-0000-0000CC010000}"/>
    <cellStyle name="Notiz 2 2 2 2" xfId="462" xr:uid="{00000000-0005-0000-0000-0000CD010000}"/>
    <cellStyle name="Notiz 2 2 2 2 2" xfId="463" xr:uid="{00000000-0005-0000-0000-0000CE010000}"/>
    <cellStyle name="Notiz 2 2 2 2 2 2" xfId="464" xr:uid="{00000000-0005-0000-0000-0000CF010000}"/>
    <cellStyle name="Notiz 2 2 2 2 2 3" xfId="465" xr:uid="{00000000-0005-0000-0000-0000D0010000}"/>
    <cellStyle name="Notiz 2 2 2 2 3" xfId="466" xr:uid="{00000000-0005-0000-0000-0000D1010000}"/>
    <cellStyle name="Notiz 2 2 2 2 4" xfId="467" xr:uid="{00000000-0005-0000-0000-0000D2010000}"/>
    <cellStyle name="Notiz 2 2 2 2 5" xfId="468" xr:uid="{00000000-0005-0000-0000-0000D3010000}"/>
    <cellStyle name="Notiz 2 2 2 3" xfId="469" xr:uid="{00000000-0005-0000-0000-0000D4010000}"/>
    <cellStyle name="Notiz 2 2 2 3 2" xfId="470" xr:uid="{00000000-0005-0000-0000-0000D5010000}"/>
    <cellStyle name="Notiz 2 2 2 3 2 2" xfId="471" xr:uid="{00000000-0005-0000-0000-0000D6010000}"/>
    <cellStyle name="Notiz 2 2 2 3 2 3" xfId="472" xr:uid="{00000000-0005-0000-0000-0000D7010000}"/>
    <cellStyle name="Notiz 2 2 2 3 3" xfId="473" xr:uid="{00000000-0005-0000-0000-0000D8010000}"/>
    <cellStyle name="Notiz 2 2 2 3 4" xfId="474" xr:uid="{00000000-0005-0000-0000-0000D9010000}"/>
    <cellStyle name="Notiz 2 2 2 3 5" xfId="475" xr:uid="{00000000-0005-0000-0000-0000DA010000}"/>
    <cellStyle name="Notiz 2 2 2 4" xfId="476" xr:uid="{00000000-0005-0000-0000-0000DB010000}"/>
    <cellStyle name="Notiz 2 2 2 4 2" xfId="477" xr:uid="{00000000-0005-0000-0000-0000DC010000}"/>
    <cellStyle name="Notiz 2 2 2 4 3" xfId="478" xr:uid="{00000000-0005-0000-0000-0000DD010000}"/>
    <cellStyle name="Notiz 2 2 2 5" xfId="479" xr:uid="{00000000-0005-0000-0000-0000DE010000}"/>
    <cellStyle name="Notiz 2 2 2 6" xfId="480" xr:uid="{00000000-0005-0000-0000-0000DF010000}"/>
    <cellStyle name="Notiz 2 2 3" xfId="481" xr:uid="{00000000-0005-0000-0000-0000E0010000}"/>
    <cellStyle name="Notiz 2 2 3 2" xfId="482" xr:uid="{00000000-0005-0000-0000-0000E1010000}"/>
    <cellStyle name="Notiz 2 2 3 2 2" xfId="483" xr:uid="{00000000-0005-0000-0000-0000E2010000}"/>
    <cellStyle name="Notiz 2 2 3 2 3" xfId="484" xr:uid="{00000000-0005-0000-0000-0000E3010000}"/>
    <cellStyle name="Notiz 2 2 3 3" xfId="485" xr:uid="{00000000-0005-0000-0000-0000E4010000}"/>
    <cellStyle name="Notiz 2 2 3 4" xfId="486" xr:uid="{00000000-0005-0000-0000-0000E5010000}"/>
    <cellStyle name="Notiz 2 2 3 5" xfId="487" xr:uid="{00000000-0005-0000-0000-0000E6010000}"/>
    <cellStyle name="Notiz 2 2 4" xfId="488" xr:uid="{00000000-0005-0000-0000-0000E7010000}"/>
    <cellStyle name="Notiz 2 2 4 2" xfId="489" xr:uid="{00000000-0005-0000-0000-0000E8010000}"/>
    <cellStyle name="Notiz 2 2 4 2 2" xfId="490" xr:uid="{00000000-0005-0000-0000-0000E9010000}"/>
    <cellStyle name="Notiz 2 2 4 2 3" xfId="491" xr:uid="{00000000-0005-0000-0000-0000EA010000}"/>
    <cellStyle name="Notiz 2 2 4 3" xfId="492" xr:uid="{00000000-0005-0000-0000-0000EB010000}"/>
    <cellStyle name="Notiz 2 2 4 4" xfId="493" xr:uid="{00000000-0005-0000-0000-0000EC010000}"/>
    <cellStyle name="Notiz 2 2 4 5" xfId="494" xr:uid="{00000000-0005-0000-0000-0000ED010000}"/>
    <cellStyle name="Notiz 2 2 5" xfId="495" xr:uid="{00000000-0005-0000-0000-0000EE010000}"/>
    <cellStyle name="Notiz 2 2 5 2" xfId="496" xr:uid="{00000000-0005-0000-0000-0000EF010000}"/>
    <cellStyle name="Notiz 2 2 5 3" xfId="497" xr:uid="{00000000-0005-0000-0000-0000F0010000}"/>
    <cellStyle name="Notiz 2 2 6" xfId="498" xr:uid="{00000000-0005-0000-0000-0000F1010000}"/>
    <cellStyle name="Notiz 2 2 6 2" xfId="499" xr:uid="{00000000-0005-0000-0000-0000F2010000}"/>
    <cellStyle name="Notiz 2 2 6 3" xfId="500" xr:uid="{00000000-0005-0000-0000-0000F3010000}"/>
    <cellStyle name="Notiz 2 2 7" xfId="501" xr:uid="{00000000-0005-0000-0000-0000F4010000}"/>
    <cellStyle name="Notiz 2 2 8" xfId="502" xr:uid="{00000000-0005-0000-0000-0000F5010000}"/>
    <cellStyle name="Notiz 2 2 9" xfId="503" xr:uid="{00000000-0005-0000-0000-0000F6010000}"/>
    <cellStyle name="Notiz 2 3" xfId="504" xr:uid="{00000000-0005-0000-0000-0000F7010000}"/>
    <cellStyle name="Notiz 2 3 2" xfId="505" xr:uid="{00000000-0005-0000-0000-0000F8010000}"/>
    <cellStyle name="Notiz 2 3 2 2" xfId="506" xr:uid="{00000000-0005-0000-0000-0000F9010000}"/>
    <cellStyle name="Notiz 2 3 2 2 2" xfId="507" xr:uid="{00000000-0005-0000-0000-0000FA010000}"/>
    <cellStyle name="Notiz 2 3 2 2 3" xfId="508" xr:uid="{00000000-0005-0000-0000-0000FB010000}"/>
    <cellStyle name="Notiz 2 3 2 3" xfId="509" xr:uid="{00000000-0005-0000-0000-0000FC010000}"/>
    <cellStyle name="Notiz 2 3 2 4" xfId="510" xr:uid="{00000000-0005-0000-0000-0000FD010000}"/>
    <cellStyle name="Notiz 2 3 2 5" xfId="511" xr:uid="{00000000-0005-0000-0000-0000FE010000}"/>
    <cellStyle name="Notiz 2 3 3" xfId="512" xr:uid="{00000000-0005-0000-0000-0000FF010000}"/>
    <cellStyle name="Notiz 2 3 3 2" xfId="513" xr:uid="{00000000-0005-0000-0000-000000020000}"/>
    <cellStyle name="Notiz 2 3 3 2 2" xfId="514" xr:uid="{00000000-0005-0000-0000-000001020000}"/>
    <cellStyle name="Notiz 2 3 3 2 3" xfId="515" xr:uid="{00000000-0005-0000-0000-000002020000}"/>
    <cellStyle name="Notiz 2 3 3 3" xfId="516" xr:uid="{00000000-0005-0000-0000-000003020000}"/>
    <cellStyle name="Notiz 2 3 3 4" xfId="517" xr:uid="{00000000-0005-0000-0000-000004020000}"/>
    <cellStyle name="Notiz 2 3 3 5" xfId="518" xr:uid="{00000000-0005-0000-0000-000005020000}"/>
    <cellStyle name="Notiz 2 3 4" xfId="519" xr:uid="{00000000-0005-0000-0000-000006020000}"/>
    <cellStyle name="Notiz 2 3 4 2" xfId="520" xr:uid="{00000000-0005-0000-0000-000007020000}"/>
    <cellStyle name="Notiz 2 3 4 3" xfId="521" xr:uid="{00000000-0005-0000-0000-000008020000}"/>
    <cellStyle name="Notiz 2 3 5" xfId="522" xr:uid="{00000000-0005-0000-0000-000009020000}"/>
    <cellStyle name="Notiz 2 3 6" xfId="523" xr:uid="{00000000-0005-0000-0000-00000A020000}"/>
    <cellStyle name="Notiz 2 4" xfId="524" xr:uid="{00000000-0005-0000-0000-00000B020000}"/>
    <cellStyle name="Notiz 2 4 2" xfId="525" xr:uid="{00000000-0005-0000-0000-00000C020000}"/>
    <cellStyle name="Notiz 2 4 2 2" xfId="526" xr:uid="{00000000-0005-0000-0000-00000D020000}"/>
    <cellStyle name="Notiz 2 4 2 3" xfId="527" xr:uid="{00000000-0005-0000-0000-00000E020000}"/>
    <cellStyle name="Notiz 2 4 3" xfId="528" xr:uid="{00000000-0005-0000-0000-00000F020000}"/>
    <cellStyle name="Notiz 2 4 4" xfId="529" xr:uid="{00000000-0005-0000-0000-000010020000}"/>
    <cellStyle name="Notiz 2 4 5" xfId="530" xr:uid="{00000000-0005-0000-0000-000011020000}"/>
    <cellStyle name="Notiz 2 5" xfId="531" xr:uid="{00000000-0005-0000-0000-000012020000}"/>
    <cellStyle name="Notiz 2 5 2" xfId="532" xr:uid="{00000000-0005-0000-0000-000013020000}"/>
    <cellStyle name="Notiz 2 5 2 2" xfId="533" xr:uid="{00000000-0005-0000-0000-000014020000}"/>
    <cellStyle name="Notiz 2 5 2 3" xfId="534" xr:uid="{00000000-0005-0000-0000-000015020000}"/>
    <cellStyle name="Notiz 2 5 3" xfId="535" xr:uid="{00000000-0005-0000-0000-000016020000}"/>
    <cellStyle name="Notiz 2 5 4" xfId="536" xr:uid="{00000000-0005-0000-0000-000017020000}"/>
    <cellStyle name="Notiz 2 5 5" xfId="537" xr:uid="{00000000-0005-0000-0000-000018020000}"/>
    <cellStyle name="Notiz 2 6" xfId="538" xr:uid="{00000000-0005-0000-0000-000019020000}"/>
    <cellStyle name="Notiz 2 6 2" xfId="539" xr:uid="{00000000-0005-0000-0000-00001A020000}"/>
    <cellStyle name="Notiz 2 6 3" xfId="540" xr:uid="{00000000-0005-0000-0000-00001B020000}"/>
    <cellStyle name="Notiz 2 7" xfId="541" xr:uid="{00000000-0005-0000-0000-00001C020000}"/>
    <cellStyle name="Notiz 2 7 2" xfId="542" xr:uid="{00000000-0005-0000-0000-00001D020000}"/>
    <cellStyle name="Notiz 2 7 3" xfId="543" xr:uid="{00000000-0005-0000-0000-00001E020000}"/>
    <cellStyle name="Notiz 2 8" xfId="544" xr:uid="{00000000-0005-0000-0000-00001F020000}"/>
    <cellStyle name="Notiz 2 9" xfId="545" xr:uid="{00000000-0005-0000-0000-000020020000}"/>
    <cellStyle name="Prozent" xfId="546" builtinId="5"/>
    <cellStyle name="Prozent 2" xfId="547" xr:uid="{00000000-0005-0000-0000-000022020000}"/>
    <cellStyle name="Prozent 3" xfId="548" xr:uid="{00000000-0005-0000-0000-000023020000}"/>
    <cellStyle name="Prozent 4" xfId="549" xr:uid="{00000000-0005-0000-0000-000024020000}"/>
    <cellStyle name="Prozent 5" xfId="550" xr:uid="{00000000-0005-0000-0000-000025020000}"/>
    <cellStyle name="Prozent 6" xfId="551" xr:uid="{00000000-0005-0000-0000-000026020000}"/>
    <cellStyle name="Prozent 7" xfId="552" xr:uid="{00000000-0005-0000-0000-000027020000}"/>
    <cellStyle name="Schlecht 2" xfId="553" xr:uid="{00000000-0005-0000-0000-000028020000}"/>
    <cellStyle name="Standard" xfId="0" builtinId="0"/>
    <cellStyle name="Standard 10" xfId="554" xr:uid="{00000000-0005-0000-0000-00002A020000}"/>
    <cellStyle name="Standard 10 2" xfId="555" xr:uid="{00000000-0005-0000-0000-00002B020000}"/>
    <cellStyle name="Standard 10 2 2" xfId="556" xr:uid="{00000000-0005-0000-0000-00002C020000}"/>
    <cellStyle name="Standard 10 2 2 2" xfId="557" xr:uid="{00000000-0005-0000-0000-00002D020000}"/>
    <cellStyle name="Standard 10 2 3" xfId="558" xr:uid="{00000000-0005-0000-0000-00002E020000}"/>
    <cellStyle name="Standard 10 2 4" xfId="559" xr:uid="{00000000-0005-0000-0000-00002F020000}"/>
    <cellStyle name="Standard 10 3" xfId="560" xr:uid="{00000000-0005-0000-0000-000030020000}"/>
    <cellStyle name="Standard 10 3 2" xfId="561" xr:uid="{00000000-0005-0000-0000-000031020000}"/>
    <cellStyle name="Standard 10 4" xfId="562" xr:uid="{00000000-0005-0000-0000-000032020000}"/>
    <cellStyle name="Standard 10 5" xfId="563" xr:uid="{00000000-0005-0000-0000-000033020000}"/>
    <cellStyle name="Standard 11" xfId="564" xr:uid="{00000000-0005-0000-0000-000034020000}"/>
    <cellStyle name="Standard 11 2" xfId="565" xr:uid="{00000000-0005-0000-0000-000035020000}"/>
    <cellStyle name="Standard 11 2 2" xfId="566" xr:uid="{00000000-0005-0000-0000-000036020000}"/>
    <cellStyle name="Standard 11 3" xfId="567" xr:uid="{00000000-0005-0000-0000-000037020000}"/>
    <cellStyle name="Standard 11 4" xfId="568" xr:uid="{00000000-0005-0000-0000-000038020000}"/>
    <cellStyle name="Standard 11 5" xfId="569" xr:uid="{00000000-0005-0000-0000-000039020000}"/>
    <cellStyle name="Standard 11 6" xfId="623" xr:uid="{00000000-0005-0000-0000-00003A020000}"/>
    <cellStyle name="Standard 12" xfId="570" xr:uid="{00000000-0005-0000-0000-00003B020000}"/>
    <cellStyle name="Standard 12 2" xfId="571" xr:uid="{00000000-0005-0000-0000-00003C020000}"/>
    <cellStyle name="Standard 12 3" xfId="572" xr:uid="{00000000-0005-0000-0000-00003D020000}"/>
    <cellStyle name="Standard 13" xfId="573" xr:uid="{00000000-0005-0000-0000-00003E020000}"/>
    <cellStyle name="Standard 14" xfId="574" xr:uid="{00000000-0005-0000-0000-00003F020000}"/>
    <cellStyle name="Standard 14 2" xfId="575" xr:uid="{00000000-0005-0000-0000-000040020000}"/>
    <cellStyle name="Standard 15" xfId="576" xr:uid="{00000000-0005-0000-0000-000041020000}"/>
    <cellStyle name="Standard 16" xfId="577" xr:uid="{00000000-0005-0000-0000-000042020000}"/>
    <cellStyle name="Standard 17" xfId="624" xr:uid="{00000000-0005-0000-0000-000043020000}"/>
    <cellStyle name="Standard 18" xfId="625" xr:uid="{00000000-0005-0000-0000-000044020000}"/>
    <cellStyle name="Standard 19" xfId="626" xr:uid="{00000000-0005-0000-0000-000045020000}"/>
    <cellStyle name="Standard 2" xfId="578" xr:uid="{00000000-0005-0000-0000-000046020000}"/>
    <cellStyle name="Standard 2 2" xfId="579" xr:uid="{00000000-0005-0000-0000-000047020000}"/>
    <cellStyle name="Standard 2 3" xfId="580" xr:uid="{00000000-0005-0000-0000-000048020000}"/>
    <cellStyle name="Standard 20" xfId="627" xr:uid="{00000000-0005-0000-0000-000049020000}"/>
    <cellStyle name="Standard 3" xfId="581" xr:uid="{00000000-0005-0000-0000-00004A020000}"/>
    <cellStyle name="Standard 4" xfId="582" xr:uid="{00000000-0005-0000-0000-00004B020000}"/>
    <cellStyle name="Standard 4 2" xfId="583" xr:uid="{00000000-0005-0000-0000-00004C020000}"/>
    <cellStyle name="Standard 4 2 2" xfId="584" xr:uid="{00000000-0005-0000-0000-00004D020000}"/>
    <cellStyle name="Standard 4 3" xfId="585" xr:uid="{00000000-0005-0000-0000-00004E020000}"/>
    <cellStyle name="Standard 5" xfId="586" xr:uid="{00000000-0005-0000-0000-00004F020000}"/>
    <cellStyle name="Standard 6" xfId="587" xr:uid="{00000000-0005-0000-0000-000050020000}"/>
    <cellStyle name="Standard 7" xfId="588" xr:uid="{00000000-0005-0000-0000-000051020000}"/>
    <cellStyle name="Standard 8" xfId="589" xr:uid="{00000000-0005-0000-0000-000052020000}"/>
    <cellStyle name="Standard 8 2" xfId="590" xr:uid="{00000000-0005-0000-0000-000053020000}"/>
    <cellStyle name="Standard 8 2 2" xfId="591" xr:uid="{00000000-0005-0000-0000-000054020000}"/>
    <cellStyle name="Standard 8 2 2 2" xfId="592" xr:uid="{00000000-0005-0000-0000-000055020000}"/>
    <cellStyle name="Standard 8 2 2 2 2" xfId="593" xr:uid="{00000000-0005-0000-0000-000056020000}"/>
    <cellStyle name="Standard 8 2 2 3" xfId="594" xr:uid="{00000000-0005-0000-0000-000057020000}"/>
    <cellStyle name="Standard 8 2 3" xfId="595" xr:uid="{00000000-0005-0000-0000-000058020000}"/>
    <cellStyle name="Standard 8 2 3 2" xfId="596" xr:uid="{00000000-0005-0000-0000-000059020000}"/>
    <cellStyle name="Standard 8 2 4" xfId="597" xr:uid="{00000000-0005-0000-0000-00005A020000}"/>
    <cellStyle name="Standard 8 2 5" xfId="598" xr:uid="{00000000-0005-0000-0000-00005B020000}"/>
    <cellStyle name="Standard 8 3" xfId="599" xr:uid="{00000000-0005-0000-0000-00005C020000}"/>
    <cellStyle name="Standard 8 3 2" xfId="600" xr:uid="{00000000-0005-0000-0000-00005D020000}"/>
    <cellStyle name="Standard 8 3 2 2" xfId="601" xr:uid="{00000000-0005-0000-0000-00005E020000}"/>
    <cellStyle name="Standard 8 3 3" xfId="602" xr:uid="{00000000-0005-0000-0000-00005F020000}"/>
    <cellStyle name="Standard 8 3 4" xfId="603" xr:uid="{00000000-0005-0000-0000-000060020000}"/>
    <cellStyle name="Standard 8 4" xfId="604" xr:uid="{00000000-0005-0000-0000-000061020000}"/>
    <cellStyle name="Standard 8 4 2" xfId="605" xr:uid="{00000000-0005-0000-0000-000062020000}"/>
    <cellStyle name="Standard 8 5" xfId="606" xr:uid="{00000000-0005-0000-0000-000063020000}"/>
    <cellStyle name="Standard 8 6" xfId="607" xr:uid="{00000000-0005-0000-0000-000064020000}"/>
    <cellStyle name="Standard 8 7" xfId="608" xr:uid="{00000000-0005-0000-0000-000065020000}"/>
    <cellStyle name="Standard 9" xfId="609" xr:uid="{00000000-0005-0000-0000-000066020000}"/>
    <cellStyle name="Überschrift 1 1" xfId="610" xr:uid="{00000000-0005-0000-0000-000067020000}"/>
    <cellStyle name="Überschrift 1 1 1" xfId="611" xr:uid="{00000000-0005-0000-0000-000068020000}"/>
    <cellStyle name="Überschrift 1 2" xfId="612" xr:uid="{00000000-0005-0000-0000-000069020000}"/>
    <cellStyle name="Überschrift 2 2" xfId="613" xr:uid="{00000000-0005-0000-0000-00006A020000}"/>
    <cellStyle name="Überschrift 3 2" xfId="614" xr:uid="{00000000-0005-0000-0000-00006B020000}"/>
    <cellStyle name="Überschrift 3 2 2" xfId="615" xr:uid="{00000000-0005-0000-0000-00006C020000}"/>
    <cellStyle name="Überschrift 4 2" xfId="616" xr:uid="{00000000-0005-0000-0000-00006D020000}"/>
    <cellStyle name="Verknüpfte Zelle 2" xfId="617" xr:uid="{00000000-0005-0000-0000-00006E020000}"/>
    <cellStyle name="Währung 2" xfId="618" xr:uid="{00000000-0005-0000-0000-00006F020000}"/>
    <cellStyle name="Währung 3" xfId="619" xr:uid="{00000000-0005-0000-0000-000070020000}"/>
    <cellStyle name="Währung 4" xfId="620" xr:uid="{00000000-0005-0000-0000-000071020000}"/>
    <cellStyle name="Warnender Text 2" xfId="621" xr:uid="{00000000-0005-0000-0000-000072020000}"/>
    <cellStyle name="Zelle überprüfen 2" xfId="622" xr:uid="{00000000-0005-0000-0000-000073020000}"/>
  </cellStyles>
  <dxfs count="376">
    <dxf>
      <font>
        <b/>
        <i val="0"/>
        <color rgb="FFFF0000"/>
      </font>
    </dxf>
    <dxf>
      <font>
        <b/>
        <i val="0"/>
        <color rgb="FFFF0000"/>
      </font>
    </dxf>
    <dxf>
      <font>
        <b/>
        <i val="0"/>
        <color rgb="FFFF0000"/>
      </font>
    </dxf>
    <dxf>
      <font>
        <b/>
        <i val="0"/>
        <color rgb="FFFF0000"/>
      </font>
    </dxf>
    <dxf>
      <font>
        <b/>
        <i val="0"/>
        <color rgb="FFFF0000"/>
      </font>
      <fill>
        <patternFill>
          <bgColor rgb="FFCCECFF"/>
        </patternFill>
      </fill>
    </dxf>
    <dxf>
      <font>
        <color theme="0"/>
      </font>
      <fill>
        <patternFill>
          <bgColor rgb="FFFF0000"/>
        </patternFill>
      </fill>
    </dxf>
    <dxf>
      <fill>
        <patternFill>
          <bgColor rgb="FFFFC000"/>
        </patternFill>
      </fill>
    </dxf>
    <dxf>
      <fill>
        <patternFill>
          <bgColor rgb="FFFFC000"/>
        </patternFill>
      </fill>
    </dxf>
    <dxf>
      <fill>
        <patternFill>
          <bgColor rgb="FFCCFFFF"/>
        </patternFill>
      </fill>
    </dxf>
    <dxf>
      <fill>
        <patternFill>
          <bgColor rgb="FFFFC000"/>
        </patternFill>
      </fill>
    </dxf>
    <dxf>
      <fill>
        <patternFill>
          <bgColor rgb="FFFFC000"/>
        </patternFill>
      </fill>
    </dxf>
    <dxf>
      <fill>
        <patternFill>
          <bgColor rgb="FF92D050"/>
        </patternFill>
      </fill>
    </dxf>
    <dxf>
      <fill>
        <patternFill patternType="solid">
          <fgColor auto="1"/>
          <bgColor rgb="FF92D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66FF33"/>
        </patternFill>
      </fill>
    </dxf>
    <dxf>
      <fill>
        <patternFill>
          <bgColor rgb="FFFFC000"/>
        </patternFill>
      </fill>
    </dxf>
    <dxf>
      <fill>
        <patternFill>
          <bgColor rgb="FFFFC000"/>
        </patternFill>
      </fill>
    </dxf>
    <dxf>
      <font>
        <b/>
        <i val="0"/>
        <color rgb="FFFF0000"/>
      </font>
      <fill>
        <patternFill>
          <bgColor rgb="FFCCFFFF"/>
        </patternFill>
      </fill>
    </dxf>
    <dxf>
      <font>
        <b/>
        <i val="0"/>
        <color rgb="FF008000"/>
      </font>
    </dxf>
    <dxf>
      <font>
        <b/>
        <i val="0"/>
        <strike val="0"/>
        <color rgb="FFFF0000"/>
      </font>
    </dxf>
    <dxf>
      <fill>
        <patternFill>
          <bgColor rgb="FFFFC000"/>
        </patternFill>
      </fill>
    </dxf>
    <dxf>
      <font>
        <strike val="0"/>
        <color rgb="FFFF0000"/>
      </font>
      <fill>
        <patternFill>
          <bgColor rgb="FFFFFFCC"/>
        </patternFill>
      </fill>
    </dxf>
    <dxf>
      <fill>
        <patternFill>
          <bgColor rgb="FFFFC000"/>
        </patternFill>
      </fill>
    </dxf>
    <dxf>
      <fill>
        <patternFill>
          <bgColor rgb="FF92D050"/>
        </patternFill>
      </fill>
    </dxf>
    <dxf>
      <fill>
        <patternFill>
          <bgColor rgb="FF92D050"/>
        </patternFill>
      </fill>
    </dxf>
    <dxf>
      <font>
        <strike val="0"/>
        <color rgb="FFFF0000"/>
      </font>
      <fill>
        <patternFill>
          <bgColor rgb="FFCCFF99"/>
        </patternFill>
      </fill>
    </dxf>
    <dxf>
      <font>
        <strike val="0"/>
        <color rgb="FFFF0000"/>
      </font>
      <fill>
        <patternFill>
          <bgColor rgb="FFFFFFCC"/>
        </patternFill>
      </fill>
    </dxf>
    <dxf>
      <fill>
        <patternFill>
          <bgColor rgb="FFFFC000"/>
        </patternFill>
      </fill>
      <border>
        <left style="thin">
          <color auto="1"/>
        </left>
        <right style="thin">
          <color auto="1"/>
        </right>
        <top style="thin">
          <color auto="1"/>
        </top>
        <bottom style="thin">
          <color auto="1"/>
        </bottom>
      </border>
    </dxf>
    <dxf>
      <font>
        <b val="0"/>
        <i val="0"/>
        <strike val="0"/>
      </font>
      <fill>
        <patternFill>
          <bgColor rgb="FFFFC000"/>
        </patternFill>
      </fill>
      <border>
        <left style="thin">
          <color auto="1"/>
        </left>
        <right style="thin">
          <color auto="1"/>
        </right>
        <top style="thin">
          <color auto="1"/>
        </top>
        <bottom style="thin">
          <color auto="1"/>
        </bottom>
      </border>
    </dxf>
    <dxf>
      <font>
        <strike val="0"/>
        <color rgb="FFFF0000"/>
      </font>
      <fill>
        <patternFill>
          <bgColor rgb="FFFFFFCC"/>
        </patternFill>
      </fill>
    </dxf>
    <dxf>
      <font>
        <strike val="0"/>
        <color rgb="FFFF0000"/>
      </font>
      <fill>
        <patternFill>
          <bgColor rgb="FFFFFFCC"/>
        </patternFill>
      </fill>
    </dxf>
    <dxf>
      <font>
        <strike val="0"/>
        <color rgb="FFFF0000"/>
      </font>
      <fill>
        <patternFill>
          <bgColor rgb="FFFFFFCC"/>
        </patternFill>
      </fill>
    </dxf>
    <dxf>
      <font>
        <b/>
        <i val="0"/>
        <strike val="0"/>
        <color rgb="FFFF0000"/>
      </font>
    </dxf>
    <dxf>
      <font>
        <b/>
        <i val="0"/>
        <strike val="0"/>
        <color rgb="FFFF0000"/>
      </font>
    </dxf>
    <dxf>
      <font>
        <b/>
        <i val="0"/>
        <strike val="0"/>
        <color rgb="FFFF0000"/>
      </font>
    </dxf>
    <dxf>
      <font>
        <b/>
        <i val="0"/>
        <strike val="0"/>
        <color rgb="FFFF0000"/>
      </font>
    </dxf>
    <dxf>
      <font>
        <b/>
        <i val="0"/>
        <color rgb="FFFF0000"/>
      </font>
      <fill>
        <patternFill>
          <bgColor rgb="FFCCFFFF"/>
        </patternFill>
      </fill>
    </dxf>
    <dxf>
      <font>
        <strike val="0"/>
        <color rgb="FFFF0000"/>
      </font>
      <fill>
        <patternFill>
          <bgColor rgb="FFFFFFCC"/>
        </patternFill>
      </fill>
    </dxf>
    <dxf>
      <fill>
        <patternFill>
          <bgColor rgb="FFFFC000"/>
        </patternFill>
      </fill>
    </dxf>
    <dxf>
      <fill>
        <patternFill>
          <bgColor rgb="FF92D050"/>
        </patternFill>
      </fill>
    </dxf>
    <dxf>
      <fill>
        <patternFill>
          <bgColor rgb="FF92D050"/>
        </patternFill>
      </fill>
    </dxf>
    <dxf>
      <font>
        <strike val="0"/>
        <color rgb="FFFF0000"/>
      </font>
      <fill>
        <patternFill>
          <bgColor rgb="FFCCFF99"/>
        </patternFill>
      </fill>
    </dxf>
    <dxf>
      <font>
        <strike val="0"/>
      </font>
      <fill>
        <patternFill>
          <bgColor rgb="FF92D050"/>
        </patternFill>
      </fill>
    </dxf>
    <dxf>
      <font>
        <strike val="0"/>
        <color rgb="FFFF0000"/>
      </font>
      <fill>
        <patternFill>
          <bgColor rgb="FFFFFFCC"/>
        </patternFill>
      </fill>
    </dxf>
    <dxf>
      <font>
        <strike val="0"/>
      </font>
      <fill>
        <patternFill>
          <bgColor rgb="FFFFC000"/>
        </patternFill>
      </fill>
    </dxf>
    <dxf>
      <fill>
        <patternFill>
          <bgColor rgb="FFFFC000"/>
        </patternFill>
      </fill>
    </dxf>
    <dxf>
      <font>
        <strike val="0"/>
        <color rgb="FFFF0000"/>
      </font>
      <fill>
        <patternFill>
          <bgColor rgb="FFFFFFCC"/>
        </patternFill>
      </fill>
    </dxf>
    <dxf>
      <font>
        <strike val="0"/>
        <color rgb="FFFF0000"/>
      </font>
      <fill>
        <patternFill>
          <bgColor rgb="FFFFFFCC"/>
        </patternFill>
      </fill>
    </dxf>
    <dxf>
      <font>
        <b val="0"/>
        <i val="0"/>
        <strike val="0"/>
        <color rgb="FFFF0000"/>
      </font>
      <fill>
        <patternFill>
          <bgColor rgb="FFFFFFCC"/>
        </patternFill>
      </fill>
    </dxf>
    <dxf>
      <font>
        <b val="0"/>
        <i val="0"/>
        <strike val="0"/>
        <color rgb="FFFF0000"/>
      </font>
      <fill>
        <patternFill>
          <bgColor rgb="FFFFFFCC"/>
        </patternFill>
      </fill>
    </dxf>
    <dxf>
      <font>
        <b val="0"/>
        <i val="0"/>
        <color rgb="FFFF0000"/>
      </font>
      <fill>
        <patternFill>
          <bgColor rgb="FFFFFFCC"/>
        </patternFill>
      </fill>
    </dxf>
    <dxf>
      <font>
        <b/>
        <i val="0"/>
        <strike val="0"/>
        <color rgb="FFFF0000"/>
      </font>
    </dxf>
    <dxf>
      <font>
        <b/>
        <i val="0"/>
        <strike val="0"/>
        <color rgb="FFFF0000"/>
      </font>
    </dxf>
    <dxf>
      <font>
        <b/>
        <i val="0"/>
        <strike val="0"/>
        <color rgb="FFFF0000"/>
      </font>
    </dxf>
    <dxf>
      <font>
        <b/>
        <i val="0"/>
        <strike val="0"/>
        <color rgb="FFFF0000"/>
      </font>
    </dxf>
    <dxf>
      <font>
        <b/>
        <i val="0"/>
        <color rgb="FFFF0000"/>
      </font>
      <fill>
        <patternFill patternType="solid">
          <bgColor rgb="FFCCFFFF"/>
        </patternFill>
      </fill>
    </dxf>
    <dxf>
      <fill>
        <patternFill>
          <bgColor rgb="FFFFC000"/>
        </patternFill>
      </fill>
    </dxf>
    <dxf>
      <font>
        <strike val="0"/>
        <color rgb="FFFF0000"/>
      </font>
      <fill>
        <patternFill>
          <bgColor rgb="FFFFFFCC"/>
        </patternFill>
      </fill>
    </dxf>
    <dxf>
      <fill>
        <patternFill>
          <bgColor rgb="FFFFC000"/>
        </patternFill>
      </fill>
    </dxf>
    <dxf>
      <font>
        <b val="0"/>
        <i val="0"/>
        <color rgb="FFFF0000"/>
      </font>
      <fill>
        <patternFill>
          <bgColor rgb="FFFFFFCC"/>
        </patternFill>
      </fill>
    </dxf>
    <dxf>
      <fill>
        <patternFill>
          <bgColor rgb="FF00B0F0"/>
        </patternFill>
      </fill>
    </dxf>
    <dxf>
      <fill>
        <patternFill>
          <bgColor rgb="FF92D050"/>
        </patternFill>
      </fill>
    </dxf>
    <dxf>
      <fill>
        <patternFill>
          <bgColor rgb="FF92D050"/>
        </patternFill>
      </fill>
    </dxf>
    <dxf>
      <fill>
        <patternFill>
          <bgColor rgb="FF92D050"/>
        </patternFill>
      </fill>
    </dxf>
    <dxf>
      <font>
        <strike val="0"/>
        <color rgb="FFFF0000"/>
      </font>
      <fill>
        <patternFill>
          <bgColor rgb="FFCCFF99"/>
        </patternFill>
      </fill>
    </dxf>
    <dxf>
      <fill>
        <patternFill>
          <bgColor rgb="FF92D050"/>
        </patternFill>
      </fill>
      <border>
        <left style="thin">
          <color auto="1"/>
        </left>
        <right style="thin">
          <color auto="1"/>
        </right>
        <top style="thin">
          <color auto="1"/>
        </top>
        <bottom style="thin">
          <color auto="1"/>
        </bottom>
      </border>
    </dxf>
    <dxf>
      <font>
        <strike val="0"/>
      </font>
      <fill>
        <patternFill>
          <bgColor rgb="FFFFC000"/>
        </patternFill>
      </fill>
      <border>
        <left style="thin">
          <color auto="1"/>
        </left>
        <right style="thin">
          <color auto="1"/>
        </right>
        <top style="thin">
          <color auto="1"/>
        </top>
        <bottom style="thin">
          <color auto="1"/>
        </bottom>
      </border>
    </dxf>
    <dxf>
      <font>
        <strike val="0"/>
      </font>
      <fill>
        <patternFill>
          <bgColor rgb="FFFFC000"/>
        </patternFill>
      </fill>
      <border>
        <left style="thin">
          <color auto="1"/>
        </left>
        <right style="thin">
          <color auto="1"/>
        </right>
        <top style="thin">
          <color auto="1"/>
        </top>
        <bottom style="thin">
          <color auto="1"/>
        </bottom>
      </border>
    </dxf>
    <dxf>
      <font>
        <strike val="0"/>
        <color rgb="FFFF0000"/>
      </font>
      <fill>
        <patternFill>
          <bgColor rgb="FFFFFFCC"/>
        </patternFill>
      </fill>
      <border>
        <left style="thin">
          <color auto="1"/>
        </left>
        <right style="thin">
          <color auto="1"/>
        </right>
        <top style="thin">
          <color auto="1"/>
        </top>
        <bottom style="thin">
          <color auto="1"/>
        </bottom>
      </border>
    </dxf>
    <dxf>
      <font>
        <strike val="0"/>
      </font>
      <fill>
        <patternFill>
          <bgColor rgb="FFFFC000"/>
        </patternFill>
      </fill>
      <border>
        <vertical/>
        <horizontal/>
      </border>
    </dxf>
    <dxf>
      <font>
        <b val="0"/>
        <i val="0"/>
        <strike val="0"/>
        <color rgb="FFFF0000"/>
      </font>
      <fill>
        <patternFill patternType="solid">
          <bgColor rgb="FFFFFFCC"/>
        </patternFill>
      </fill>
    </dxf>
    <dxf>
      <font>
        <strike val="0"/>
        <color rgb="FFFF0000"/>
      </font>
      <fill>
        <patternFill>
          <bgColor rgb="FFFFFFCC"/>
        </patternFill>
      </fill>
    </dxf>
    <dxf>
      <font>
        <strike val="0"/>
        <color rgb="FFFF0000"/>
      </font>
      <fill>
        <patternFill>
          <bgColor rgb="FFFFFFCC"/>
        </patternFill>
      </fill>
    </dxf>
    <dxf>
      <font>
        <strike val="0"/>
        <color rgb="FFFF0000"/>
      </font>
      <fill>
        <patternFill>
          <bgColor rgb="FFFFFFCC"/>
        </patternFill>
      </fill>
    </dxf>
    <dxf>
      <font>
        <strike val="0"/>
        <color rgb="FFFF0000"/>
      </font>
      <fill>
        <patternFill>
          <bgColor rgb="FFFFFFCC"/>
        </patternFill>
      </fill>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strike val="0"/>
        <color rgb="FFFF0000"/>
      </font>
    </dxf>
    <dxf>
      <font>
        <b/>
        <i val="0"/>
        <strike val="0"/>
        <color rgb="FFFF0000"/>
      </font>
    </dxf>
    <dxf>
      <font>
        <b/>
        <i val="0"/>
        <strike val="0"/>
        <color rgb="FFFF0000"/>
      </font>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border>
        <left style="thin">
          <color auto="1"/>
        </left>
        <right/>
        <top/>
        <bottom/>
        <vertical/>
        <horizontal/>
      </border>
    </dxf>
    <dxf>
      <fill>
        <patternFill patternType="solid">
          <fgColor indexed="51"/>
          <bgColor indexed="34"/>
        </patternFill>
      </fill>
    </dxf>
    <dxf>
      <font>
        <b/>
        <i val="0"/>
        <condense val="0"/>
        <extend val="0"/>
      </font>
      <fill>
        <patternFill patternType="solid">
          <fgColor indexed="34"/>
          <bgColor indexed="52"/>
        </patternFill>
      </fill>
    </dxf>
    <dxf>
      <font>
        <b val="0"/>
        <i val="0"/>
        <condense val="0"/>
        <extend val="0"/>
        <color indexed="9"/>
      </font>
      <fill>
        <patternFill patternType="solid">
          <fgColor indexed="60"/>
          <bgColor indexed="10"/>
        </patternFill>
      </fill>
    </dxf>
    <dxf>
      <fill>
        <patternFill>
          <bgColor rgb="FFFFC000"/>
        </patternFill>
      </fill>
      <border>
        <left style="thin">
          <color auto="1"/>
        </left>
        <right style="thin">
          <color auto="1"/>
        </right>
        <top style="thin">
          <color auto="1"/>
        </top>
        <bottom style="thin">
          <color auto="1"/>
        </bottom>
        <vertical/>
        <horizontal/>
      </border>
    </dxf>
    <dxf>
      <border>
        <left style="thin">
          <color auto="1"/>
        </left>
        <right/>
        <top style="thin">
          <color auto="1"/>
        </top>
        <bottom style="thin">
          <color auto="1"/>
        </bottom>
        <vertical/>
        <horizontal/>
      </border>
    </dxf>
    <dxf>
      <border>
        <left style="thin">
          <color auto="1"/>
        </left>
        <right/>
        <top style="thin">
          <color auto="1"/>
        </top>
        <bottom style="thin">
          <color auto="1"/>
        </bottom>
        <vertical/>
        <horizontal/>
      </border>
    </dxf>
    <dxf>
      <fill>
        <patternFill>
          <bgColor rgb="FFFFC000"/>
        </patternFill>
      </fill>
      <border>
        <left style="thin">
          <color auto="1"/>
        </left>
        <right style="thin">
          <color auto="1"/>
        </right>
        <top style="thin">
          <color auto="1"/>
        </top>
        <bottom style="thin">
          <color auto="1"/>
        </bottom>
        <vertical/>
        <horizontal/>
      </border>
    </dxf>
    <dxf>
      <fill>
        <patternFill>
          <bgColor rgb="FF92D050"/>
        </patternFill>
      </fill>
    </dxf>
    <dxf>
      <fill>
        <patternFill>
          <bgColor rgb="FF92D050"/>
        </patternFill>
      </fill>
    </dxf>
    <dxf>
      <font>
        <b/>
        <i val="0"/>
      </font>
    </dxf>
    <dxf>
      <font>
        <b/>
        <i val="0"/>
      </font>
    </dxf>
    <dxf>
      <fill>
        <patternFill>
          <bgColor rgb="FFFFC000"/>
        </patternFill>
      </fill>
    </dxf>
    <dxf>
      <fill>
        <patternFill>
          <bgColor theme="8" tint="0.59996337778862885"/>
        </patternFill>
      </fill>
      <border>
        <left style="thin">
          <color auto="1"/>
        </left>
        <right style="thin">
          <color auto="1"/>
        </right>
        <top style="thin">
          <color auto="1"/>
        </top>
        <bottom style="thin">
          <color auto="1"/>
        </bottom>
        <vertical/>
        <horizontal/>
      </border>
    </dxf>
    <dxf>
      <border>
        <left style="thin">
          <color auto="1"/>
        </left>
        <right/>
        <top style="thin">
          <color auto="1"/>
        </top>
        <bottom style="thin">
          <color auto="1"/>
        </bottom>
        <vertical/>
        <horizontal/>
      </border>
    </dxf>
    <dxf>
      <fill>
        <patternFill>
          <bgColor rgb="FFFFC000"/>
        </patternFill>
      </fill>
      <border>
        <left style="thin">
          <color auto="1"/>
        </left>
        <right style="thin">
          <color auto="1"/>
        </right>
        <top style="thin">
          <color auto="1"/>
        </top>
        <bottom style="thin">
          <color auto="1"/>
        </bottom>
        <vertical/>
        <horizontal/>
      </border>
    </dxf>
    <dxf>
      <fill>
        <patternFill>
          <bgColor rgb="FF92D050"/>
        </patternFill>
      </fill>
    </dxf>
    <dxf>
      <font>
        <b/>
        <i val="0"/>
      </font>
    </dxf>
    <dxf>
      <fill>
        <patternFill>
          <bgColor rgb="FFFFFFCC"/>
        </patternFill>
      </fill>
    </dxf>
    <dxf>
      <fill>
        <patternFill>
          <bgColor rgb="FFCCFFCC"/>
        </patternFill>
      </fill>
    </dxf>
    <dxf>
      <fill>
        <gradientFill degree="90">
          <stop position="0">
            <color rgb="FFCCFFCC"/>
          </stop>
          <stop position="1">
            <color rgb="FFFFFFCC"/>
          </stop>
        </gradient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66FF33"/>
        </patternFill>
      </fill>
    </dxf>
    <dxf>
      <fill>
        <patternFill patternType="solid">
          <fgColor indexed="41"/>
          <bgColor indexed="27"/>
        </patternFill>
      </fill>
    </dxf>
    <dxf>
      <fill>
        <patternFill patternType="solid">
          <fgColor indexed="41"/>
          <bgColor indexed="27"/>
        </patternFill>
      </fill>
    </dxf>
    <dxf>
      <fill>
        <patternFill>
          <bgColor rgb="FFFFC000"/>
        </patternFill>
      </fill>
    </dxf>
    <dxf>
      <fill>
        <patternFill>
          <bgColor rgb="FFFFC000"/>
        </patternFill>
      </fill>
    </dxf>
    <dxf>
      <fill>
        <patternFill>
          <bgColor rgb="FF00FF00"/>
        </patternFill>
      </fill>
    </dxf>
    <dxf>
      <fill>
        <patternFill>
          <bgColor rgb="FFFF3300"/>
        </patternFill>
      </fill>
    </dxf>
    <dxf>
      <fill>
        <patternFill>
          <bgColor rgb="FFFFC000"/>
        </patternFill>
      </fill>
    </dxf>
    <dxf>
      <font>
        <color theme="0"/>
      </font>
      <fill>
        <patternFill>
          <bgColor rgb="FF0070C0"/>
        </patternFill>
      </fill>
    </dxf>
    <dxf>
      <font>
        <color theme="0"/>
      </font>
      <fill>
        <patternFill>
          <bgColor rgb="FF0070C0"/>
        </patternFill>
      </fill>
    </dxf>
    <dxf>
      <font>
        <b/>
        <i val="0"/>
        <color theme="0"/>
      </font>
      <fill>
        <patternFill>
          <bgColor rgb="FF0066FF"/>
        </patternFill>
      </fill>
      <border>
        <left style="thin">
          <color auto="1"/>
        </left>
        <right style="thin">
          <color auto="1"/>
        </right>
        <top style="thin">
          <color auto="1"/>
        </top>
        <bottom style="thin">
          <color auto="1"/>
        </bottom>
      </border>
    </dxf>
    <dxf>
      <font>
        <b/>
        <i val="0"/>
        <color auto="1"/>
      </font>
      <fill>
        <patternFill>
          <bgColor rgb="FFFF6600"/>
        </patternFill>
      </fill>
      <border>
        <left style="thin">
          <color auto="1"/>
        </left>
        <right style="thin">
          <color auto="1"/>
        </right>
        <top style="thin">
          <color auto="1"/>
        </top>
        <bottom style="thin">
          <color auto="1"/>
        </bottom>
      </border>
    </dxf>
    <dxf>
      <font>
        <b/>
        <i val="0"/>
        <color rgb="FFFF0000"/>
      </font>
      <fill>
        <patternFill>
          <bgColor rgb="FFFFFFCC"/>
        </patternFill>
      </fill>
    </dxf>
    <dxf>
      <fill>
        <patternFill>
          <bgColor rgb="FFFF0000"/>
        </patternFill>
      </fill>
    </dxf>
    <dxf>
      <fill>
        <patternFill>
          <bgColor rgb="FFFFC000"/>
        </patternFill>
      </fill>
    </dxf>
    <dxf>
      <fill>
        <patternFill>
          <bgColor rgb="FFFFC000"/>
        </patternFill>
      </fill>
    </dxf>
    <dxf>
      <fill>
        <patternFill>
          <bgColor theme="9" tint="-0.24994659260841701"/>
        </patternFill>
      </fill>
    </dxf>
    <dxf>
      <fill>
        <patternFill>
          <bgColor rgb="FFFFC000"/>
        </patternFill>
      </fill>
    </dxf>
    <dxf>
      <font>
        <b/>
        <i val="0"/>
        <color rgb="FFFF0000"/>
      </font>
      <fill>
        <patternFill>
          <bgColor rgb="FFFFC000"/>
        </patternFill>
      </fill>
    </dxf>
    <dxf>
      <font>
        <b/>
        <i val="0"/>
      </font>
      <fill>
        <patternFill>
          <bgColor rgb="FFFFC000"/>
        </patternFill>
      </fill>
    </dxf>
    <dxf>
      <font>
        <b/>
        <i val="0"/>
        <color theme="0"/>
      </font>
      <fill>
        <patternFill>
          <bgColor rgb="FF0066FF"/>
        </patternFill>
      </fill>
      <border>
        <left style="thin">
          <color auto="1"/>
        </left>
        <right/>
        <top style="thin">
          <color auto="1"/>
        </top>
        <bottom style="thin">
          <color auto="1"/>
        </bottom>
      </border>
    </dxf>
    <dxf>
      <font>
        <b/>
        <i val="0"/>
        <color auto="1"/>
      </font>
      <fill>
        <patternFill>
          <bgColor rgb="FFFFC000"/>
        </patternFill>
      </fill>
    </dxf>
    <dxf>
      <font>
        <b/>
        <i val="0"/>
        <condense val="0"/>
        <extend val="0"/>
        <color indexed="10"/>
      </font>
      <fill>
        <patternFill patternType="solid">
          <fgColor indexed="26"/>
          <bgColor indexed="16"/>
        </patternFill>
      </fill>
    </dxf>
    <dxf>
      <font>
        <b/>
        <i val="0"/>
        <condense val="0"/>
        <extend val="0"/>
        <color indexed="8"/>
      </font>
      <fill>
        <patternFill patternType="solid">
          <fgColor indexed="41"/>
          <bgColor indexed="27"/>
        </patternFill>
      </fill>
    </dxf>
    <dxf>
      <font>
        <b/>
        <i val="0"/>
        <condense val="0"/>
        <extend val="0"/>
        <color indexed="10"/>
      </font>
      <fill>
        <patternFill patternType="solid">
          <fgColor indexed="26"/>
          <bgColor indexed="16"/>
        </patternFill>
      </fill>
    </dxf>
    <dxf>
      <font>
        <b/>
        <i val="0"/>
        <condense val="0"/>
        <extend val="0"/>
        <color indexed="8"/>
      </font>
      <fill>
        <patternFill patternType="solid">
          <fgColor indexed="41"/>
          <bgColor indexed="27"/>
        </patternFill>
      </fill>
    </dxf>
    <dxf>
      <fill>
        <patternFill>
          <bgColor rgb="FFFFC000"/>
        </patternFill>
      </fill>
    </dxf>
    <dxf>
      <font>
        <b/>
        <i val="0"/>
      </font>
      <fill>
        <patternFill>
          <bgColor rgb="FFFFC000"/>
        </patternFill>
      </fill>
      <border>
        <left style="thin">
          <color auto="1"/>
        </left>
        <right style="thin">
          <color auto="1"/>
        </right>
        <top style="thin">
          <color auto="1"/>
        </top>
        <bottom style="thin">
          <color auto="1"/>
        </bottom>
        <vertical/>
        <horizontal/>
      </border>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ill>
        <patternFill patternType="solid">
          <fgColor indexed="41"/>
          <bgColor indexed="27"/>
        </patternFill>
      </fill>
    </dxf>
    <dxf>
      <font>
        <color theme="0"/>
      </font>
      <fill>
        <patternFill>
          <bgColor rgb="FFFF0000"/>
        </patternFill>
      </fill>
    </dxf>
    <dxf>
      <fill>
        <patternFill patternType="solid">
          <fgColor indexed="41"/>
          <bgColor indexed="27"/>
        </patternFill>
      </fill>
    </dxf>
    <dxf>
      <fill>
        <patternFill patternType="solid">
          <fgColor indexed="41"/>
          <bgColor indexed="27"/>
        </patternFill>
      </fill>
    </dxf>
    <dxf>
      <font>
        <color rgb="FF92D050"/>
      </font>
      <fill>
        <patternFill>
          <bgColor rgb="FF92D050"/>
        </patternFill>
      </fill>
    </dxf>
    <dxf>
      <fill>
        <patternFill>
          <bgColor rgb="FF92D050"/>
        </patternFill>
      </fill>
    </dxf>
    <dxf>
      <fill>
        <patternFill>
          <bgColor rgb="FF92D050"/>
        </patternFill>
      </fill>
    </dxf>
    <dxf>
      <fill>
        <patternFill>
          <bgColor rgb="FFCCFFC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solid">
          <fgColor indexed="41"/>
          <bgColor indexed="27"/>
        </patternFill>
      </fill>
    </dxf>
    <dxf>
      <fill>
        <patternFill patternType="solid">
          <fgColor indexed="41"/>
          <bgColor indexed="27"/>
        </patternFill>
      </fill>
    </dxf>
    <dxf>
      <fill>
        <patternFill patternType="solid">
          <fgColor indexed="41"/>
          <bgColor indexed="27"/>
        </patternFill>
      </fill>
    </dxf>
    <dxf>
      <fill>
        <patternFill patternType="solid">
          <fgColor indexed="41"/>
          <bgColor indexed="27"/>
        </patternFill>
      </fill>
    </dxf>
    <dxf>
      <fill>
        <patternFill patternType="solid">
          <fgColor indexed="41"/>
          <bgColor indexed="27"/>
        </patternFill>
      </fill>
    </dxf>
    <dxf>
      <font>
        <b val="0"/>
        <i val="0"/>
        <strike val="0"/>
        <color theme="0"/>
      </font>
      <fill>
        <patternFill>
          <bgColor rgb="FFFF0000"/>
        </patternFill>
      </fill>
    </dxf>
    <dxf>
      <font>
        <b val="0"/>
        <i val="0"/>
        <color theme="0"/>
      </font>
      <fill>
        <patternFill>
          <bgColor rgb="FFFF0000"/>
        </patternFill>
      </fill>
    </dxf>
    <dxf>
      <font>
        <b/>
        <i val="0"/>
        <condense val="0"/>
        <extend val="0"/>
        <color indexed="9"/>
      </font>
      <fill>
        <patternFill patternType="solid">
          <fgColor indexed="60"/>
          <bgColor indexed="10"/>
        </patternFill>
      </fill>
    </dxf>
    <dxf>
      <font>
        <b/>
        <i val="0"/>
      </font>
      <fill>
        <patternFill>
          <bgColor rgb="FFCCFFCC"/>
        </patternFill>
      </fill>
    </dxf>
    <dxf>
      <font>
        <b/>
        <i val="0"/>
      </font>
      <fill>
        <patternFill>
          <bgColor rgb="FFCCFFCC"/>
        </patternFill>
      </fill>
    </dxf>
    <dxf>
      <font>
        <color rgb="FFFF0000"/>
      </font>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ill>
        <patternFill patternType="solid">
          <fgColor indexed="15"/>
          <bgColor indexed="42"/>
        </patternFill>
      </fill>
    </dxf>
    <dxf>
      <fill>
        <patternFill patternType="solid">
          <fgColor indexed="41"/>
          <bgColor indexed="27"/>
        </patternFill>
      </fill>
    </dxf>
    <dxf>
      <fill>
        <patternFill patternType="solid">
          <fgColor indexed="41"/>
          <bgColor indexed="27"/>
        </patternFill>
      </fill>
    </dxf>
    <dxf>
      <fill>
        <patternFill patternType="solid">
          <fgColor indexed="41"/>
          <bgColor indexed="27"/>
        </patternFill>
      </fill>
    </dxf>
    <dxf>
      <font>
        <strike/>
      </font>
    </dxf>
    <dxf>
      <font>
        <strike/>
      </font>
    </dxf>
    <dxf>
      <font>
        <strike/>
      </font>
    </dxf>
    <dxf>
      <font>
        <strike/>
      </font>
    </dxf>
    <dxf>
      <fill>
        <patternFill>
          <bgColor rgb="FFFFC000"/>
        </patternFill>
      </fill>
    </dxf>
    <dxf>
      <fill>
        <patternFill>
          <bgColor rgb="FFFFC000"/>
        </patternFill>
      </fill>
    </dxf>
    <dxf>
      <fill>
        <patternFill patternType="solid">
          <fgColor indexed="34"/>
          <bgColor indexed="51"/>
        </patternFill>
      </fill>
    </dxf>
    <dxf>
      <fill>
        <patternFill>
          <bgColor rgb="FFFFC000"/>
        </patternFill>
      </fill>
    </dxf>
    <dxf>
      <font>
        <b/>
        <i val="0"/>
        <condense val="0"/>
        <extend val="0"/>
        <color indexed="9"/>
      </font>
      <fill>
        <patternFill patternType="solid">
          <fgColor indexed="60"/>
          <bgColor indexed="10"/>
        </patternFill>
      </fill>
    </dxf>
    <dxf>
      <fill>
        <patternFill patternType="solid">
          <fgColor indexed="15"/>
          <bgColor indexed="42"/>
        </patternFill>
      </fill>
    </dxf>
    <dxf>
      <fill>
        <patternFill patternType="solid">
          <fgColor indexed="41"/>
          <bgColor indexed="27"/>
        </patternFill>
      </fill>
    </dxf>
    <dxf>
      <fill>
        <patternFill patternType="solid">
          <fgColor indexed="41"/>
          <bgColor indexed="27"/>
        </patternFill>
      </fill>
    </dxf>
    <dxf>
      <font>
        <b/>
        <i val="0"/>
      </font>
    </dxf>
    <dxf>
      <font>
        <strike/>
      </font>
    </dxf>
    <dxf>
      <font>
        <b/>
        <i val="0"/>
      </font>
    </dxf>
    <dxf>
      <font>
        <strike/>
      </font>
    </dxf>
    <dxf>
      <font>
        <strike/>
      </font>
    </dxf>
    <dxf>
      <fill>
        <patternFill>
          <bgColor rgb="FFFFC000"/>
        </patternFill>
      </fill>
    </dxf>
    <dxf>
      <fill>
        <patternFill>
          <bgColor rgb="FFFFC000"/>
        </patternFill>
      </fill>
    </dxf>
    <dxf>
      <fill>
        <patternFill>
          <bgColor rgb="FFFFC000"/>
        </patternFill>
      </fill>
    </dxf>
    <dxf>
      <font>
        <strike/>
      </font>
    </dxf>
    <dxf>
      <fill>
        <patternFill>
          <bgColor rgb="FFFFC000"/>
        </patternFill>
      </fill>
    </dxf>
    <dxf>
      <fill>
        <patternFill>
          <bgColor rgb="FF66FF33"/>
        </patternFill>
      </fill>
    </dxf>
    <dxf>
      <fill>
        <patternFill>
          <bgColor rgb="FF66FF33"/>
        </patternFill>
      </fill>
    </dxf>
    <dxf>
      <fill>
        <patternFill>
          <bgColor rgb="FF66FF33"/>
        </patternFill>
      </fill>
    </dxf>
    <dxf>
      <fill>
        <patternFill>
          <bgColor rgb="FFFFC000"/>
        </patternFill>
      </fill>
    </dxf>
    <dxf>
      <fill>
        <patternFill>
          <bgColor rgb="FFFFC000"/>
        </patternFill>
      </fill>
    </dxf>
    <dxf>
      <fill>
        <patternFill>
          <bgColor rgb="FF66FF33"/>
        </patternFill>
      </fill>
    </dxf>
    <dxf>
      <fill>
        <patternFill>
          <bgColor rgb="FF66FF33"/>
        </patternFill>
      </fill>
    </dxf>
    <dxf>
      <fill>
        <patternFill>
          <bgColor rgb="FF66FF33"/>
        </patternFill>
      </fill>
    </dxf>
    <dxf>
      <fill>
        <patternFill>
          <bgColor rgb="FF66FF33"/>
        </patternFill>
      </fill>
    </dxf>
    <dxf>
      <font>
        <b/>
        <i val="0"/>
        <condense val="0"/>
        <extend val="0"/>
        <color indexed="9"/>
      </font>
      <fill>
        <patternFill patternType="solid">
          <fgColor indexed="60"/>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border diagonalUp="0" diagonalDown="0">
        <left/>
        <right/>
        <top style="thin">
          <color theme="0"/>
        </top>
        <bottom/>
        <vertical/>
        <horizontal/>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font>
        <b/>
        <i val="0"/>
        <strike val="0"/>
        <condense val="0"/>
        <extend val="0"/>
        <outline val="0"/>
        <shadow val="0"/>
        <u val="none"/>
        <vertAlign val="baseline"/>
        <sz val="10"/>
        <color theme="0"/>
        <name val="Arial"/>
        <scheme val="none"/>
      </font>
      <fill>
        <patternFill patternType="solid">
          <fgColor theme="4"/>
          <bgColor theme="4"/>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border diagonalUp="0" diagonalDown="0">
        <left/>
        <right/>
        <top style="thin">
          <color theme="0"/>
        </top>
        <bottom/>
        <vertical/>
        <horizontal/>
      </border>
    </dxf>
    <dxf>
      <font>
        <b/>
        <i val="0"/>
        <strike val="0"/>
        <condense val="0"/>
        <extend val="0"/>
        <outline val="0"/>
        <shadow val="0"/>
        <u val="none"/>
        <vertAlign val="baseline"/>
        <sz val="10"/>
        <color theme="0"/>
        <name val="Arial"/>
        <scheme val="none"/>
      </font>
      <fill>
        <patternFill patternType="solid">
          <fgColor theme="4"/>
          <bgColor theme="4"/>
        </patternFill>
      </fill>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dxf>
    <dxf>
      <font>
        <b/>
        <i val="0"/>
        <strike val="0"/>
        <condense val="0"/>
        <extend val="0"/>
        <outline val="0"/>
        <shadow val="0"/>
        <u val="none"/>
        <vertAlign val="baseline"/>
        <sz val="10"/>
        <color theme="0"/>
        <name val="Arial"/>
        <scheme val="none"/>
      </font>
      <fill>
        <patternFill patternType="solid">
          <fgColor theme="5"/>
          <bgColor theme="5"/>
        </patternFill>
      </fill>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right/>
        <top style="medium">
          <color auto="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5" tint="0.59999389629810485"/>
          <bgColor theme="5" tint="0.59999389629810485"/>
        </patternFill>
      </fill>
      <border diagonalUp="0" diagonalDown="0">
        <left/>
        <right/>
        <top style="medium">
          <color auto="1"/>
        </top>
        <bottom/>
        <vertical/>
        <horizontal/>
      </border>
    </dxf>
    <dxf>
      <border outline="0">
        <right style="thin">
          <color theme="0"/>
        </right>
      </border>
    </dxf>
    <dxf>
      <font>
        <b val="0"/>
        <i val="0"/>
        <strike val="0"/>
        <condense val="0"/>
        <extend val="0"/>
        <outline val="0"/>
        <shadow val="0"/>
        <u val="none"/>
        <vertAlign val="baseline"/>
        <sz val="10"/>
        <color theme="1"/>
        <name val="Arial"/>
        <scheme val="none"/>
      </font>
      <fill>
        <patternFill patternType="solid">
          <fgColor theme="5" tint="0.59999389629810485"/>
          <bgColor theme="5" tint="0.59999389629810485"/>
        </patternFill>
      </fill>
    </dxf>
    <dxf>
      <font>
        <b/>
        <i val="0"/>
        <strike val="0"/>
        <condense val="0"/>
        <extend val="0"/>
        <outline val="0"/>
        <shadow val="0"/>
        <u val="none"/>
        <vertAlign val="baseline"/>
        <sz val="10"/>
        <color theme="0"/>
        <name val="Arial"/>
        <scheme val="none"/>
      </font>
      <fill>
        <patternFill patternType="solid">
          <fgColor theme="5"/>
          <bgColor theme="5"/>
        </patternFill>
      </fill>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indexed="8"/>
        <name val="Arial"/>
        <scheme val="none"/>
      </font>
      <numFmt numFmtId="0" formatCode="General"/>
      <fill>
        <patternFill patternType="solid">
          <fgColor theme="6" tint="0.79998168889431442"/>
          <bgColor theme="6"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2"/>
        <color auto="1"/>
        <name val="Arial"/>
        <scheme val="none"/>
      </font>
      <numFmt numFmtId="0" formatCode="General"/>
      <fill>
        <patternFill patternType="solid">
          <fgColor theme="6" tint="0.79998168889431442"/>
          <bgColor theme="6" tint="0.79998168889431442"/>
        </patternFill>
      </fill>
      <alignment horizontal="general" vertical="center" textRotation="0" wrapText="0" indent="0" justifyLastLine="0" shrinkToFit="0" readingOrder="0"/>
      <border diagonalUp="0" diagonalDown="0">
        <left/>
        <right/>
        <top style="thin">
          <color indexed="23"/>
        </top>
        <bottom/>
        <vertical/>
        <horizontal/>
      </border>
    </dxf>
    <dxf>
      <border outline="0">
        <bottom style="thin">
          <color auto="1"/>
        </bottom>
      </border>
    </dxf>
    <dxf>
      <font>
        <b val="0"/>
        <i val="0"/>
        <strike val="0"/>
        <condense val="0"/>
        <extend val="0"/>
        <outline val="0"/>
        <shadow val="0"/>
        <u val="none"/>
        <vertAlign val="baseline"/>
        <sz val="12"/>
        <color indexed="8"/>
        <name val="Arial"/>
        <scheme val="none"/>
      </font>
      <fill>
        <patternFill patternType="solid">
          <fgColor theme="6" tint="0.79998168889431442"/>
          <bgColor theme="6" tint="0.79998168889431442"/>
        </patternFill>
      </fill>
      <alignment horizontal="left" vertical="center" textRotation="0" wrapText="0" indent="0" justifyLastLine="0" shrinkToFit="0" readingOrder="0"/>
    </dxf>
    <dxf>
      <font>
        <b/>
        <i val="0"/>
        <strike val="0"/>
        <condense val="0"/>
        <extend val="0"/>
        <outline val="0"/>
        <shadow val="0"/>
        <u val="none"/>
        <vertAlign val="baseline"/>
        <sz val="10"/>
        <color theme="0"/>
        <name val="Arial"/>
        <scheme val="none"/>
      </font>
      <fill>
        <patternFill patternType="solid">
          <fgColor theme="6"/>
          <bgColor theme="6"/>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indexed="23"/>
        </top>
        <bottom style="thin">
          <color indexed="23"/>
        </bottom>
        <vertical/>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auto="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9" defaultPivotStyle="PivotStyleMedium4"/>
  <colors>
    <mruColors>
      <color rgb="FFFFFFCC"/>
      <color rgb="FF0066FF"/>
      <color rgb="FFCCFFCC"/>
      <color rgb="FFCCFFFF"/>
      <color rgb="FF66FF66"/>
      <color rgb="FFCCFF99"/>
      <color rgb="FF66FF33"/>
      <color rgb="FF3366FF"/>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2504513</xdr:colOff>
      <xdr:row>0</xdr:row>
      <xdr:rowOff>79376</xdr:rowOff>
    </xdr:from>
    <xdr:to>
      <xdr:col>2</xdr:col>
      <xdr:colOff>2692427</xdr:colOff>
      <xdr:row>0</xdr:row>
      <xdr:rowOff>697816</xdr:rowOff>
    </xdr:to>
    <xdr:pic>
      <xdr:nvPicPr>
        <xdr:cNvPr id="2049" name="Grafik 1">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30013" y="79376"/>
          <a:ext cx="2880314" cy="6184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twoCellAnchor>
    <xdr:from>
      <xdr:col>5</xdr:col>
      <xdr:colOff>0</xdr:colOff>
      <xdr:row>24</xdr:row>
      <xdr:rowOff>6350</xdr:rowOff>
    </xdr:from>
    <xdr:to>
      <xdr:col>5</xdr:col>
      <xdr:colOff>203200</xdr:colOff>
      <xdr:row>24</xdr:row>
      <xdr:rowOff>177800</xdr:rowOff>
    </xdr:to>
    <xdr:sp macro="" textlink="">
      <xdr:nvSpPr>
        <xdr:cNvPr id="1053" name="Rechteck 2">
          <a:extLst>
            <a:ext uri="{FF2B5EF4-FFF2-40B4-BE49-F238E27FC236}">
              <a16:creationId xmlns:a16="http://schemas.microsoft.com/office/drawing/2014/main" id="{00000000-0008-0000-0000-00001D040000}"/>
            </a:ext>
          </a:extLst>
        </xdr:cNvPr>
        <xdr:cNvSpPr>
          <a:spLocks noChangeArrowheads="1"/>
        </xdr:cNvSpPr>
      </xdr:nvSpPr>
      <xdr:spPr bwMode="auto">
        <a:xfrm>
          <a:off x="7708900" y="6178550"/>
          <a:ext cx="203200" cy="171450"/>
        </a:xfrm>
        <a:prstGeom prst="rect">
          <a:avLst/>
        </a:prstGeom>
        <a:solidFill>
          <a:srgbClr val="FFFFFF"/>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12700</xdr:colOff>
      <xdr:row>24</xdr:row>
      <xdr:rowOff>22225</xdr:rowOff>
    </xdr:from>
    <xdr:to>
      <xdr:col>5</xdr:col>
      <xdr:colOff>190500</xdr:colOff>
      <xdr:row>24</xdr:row>
      <xdr:rowOff>177800</xdr:rowOff>
    </xdr:to>
    <xdr:sp macro="" textlink="">
      <xdr:nvSpPr>
        <xdr:cNvPr id="1054" name="Flussdiagramm: Zusammenführen 4">
          <a:extLst>
            <a:ext uri="{FF2B5EF4-FFF2-40B4-BE49-F238E27FC236}">
              <a16:creationId xmlns:a16="http://schemas.microsoft.com/office/drawing/2014/main" id="{00000000-0008-0000-0000-00001E040000}"/>
            </a:ext>
          </a:extLst>
        </xdr:cNvPr>
        <xdr:cNvSpPr>
          <a:spLocks noChangeArrowheads="1"/>
        </xdr:cNvSpPr>
      </xdr:nvSpPr>
      <xdr:spPr bwMode="auto">
        <a:xfrm>
          <a:off x="7721600" y="6194425"/>
          <a:ext cx="177800" cy="155575"/>
        </a:xfrm>
        <a:prstGeom prst="flowChartMerge">
          <a:avLst/>
        </a:prstGeom>
        <a:solidFill>
          <a:srgbClr val="BFBFBF"/>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63500</xdr:colOff>
      <xdr:row>0</xdr:row>
      <xdr:rowOff>88900</xdr:rowOff>
    </xdr:from>
    <xdr:to>
      <xdr:col>5</xdr:col>
      <xdr:colOff>1865576</xdr:colOff>
      <xdr:row>0</xdr:row>
      <xdr:rowOff>702734</xdr:rowOff>
    </xdr:to>
    <xdr:pic>
      <xdr:nvPicPr>
        <xdr:cNvPr id="5" name="Grafik 1">
          <a:extLst>
            <a:ext uri="{FF2B5EF4-FFF2-40B4-BE49-F238E27FC236}">
              <a16:creationId xmlns:a16="http://schemas.microsoft.com/office/drawing/2014/main" id="{00000000-0008-0000-0100-0000010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654800" y="88900"/>
          <a:ext cx="2919676" cy="613834"/>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10584</xdr:colOff>
      <xdr:row>0</xdr:row>
      <xdr:rowOff>127000</xdr:rowOff>
    </xdr:from>
    <xdr:to>
      <xdr:col>5</xdr:col>
      <xdr:colOff>2930260</xdr:colOff>
      <xdr:row>0</xdr:row>
      <xdr:rowOff>740834</xdr:rowOff>
    </xdr:to>
    <xdr:pic>
      <xdr:nvPicPr>
        <xdr:cNvPr id="3073" name="Grafik 1">
          <a:extLst>
            <a:ext uri="{FF2B5EF4-FFF2-40B4-BE49-F238E27FC236}">
              <a16:creationId xmlns:a16="http://schemas.microsoft.com/office/drawing/2014/main" id="{00000000-0008-0000-0100-0000010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736167" y="127000"/>
          <a:ext cx="2919676" cy="613834"/>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twoCellAnchor>
    <xdr:from>
      <xdr:col>5</xdr:col>
      <xdr:colOff>42334</xdr:colOff>
      <xdr:row>2</xdr:row>
      <xdr:rowOff>169332</xdr:rowOff>
    </xdr:from>
    <xdr:to>
      <xdr:col>6</xdr:col>
      <xdr:colOff>1</xdr:colOff>
      <xdr:row>4</xdr:row>
      <xdr:rowOff>14552</xdr:rowOff>
    </xdr:to>
    <xdr:pic>
      <xdr:nvPicPr>
        <xdr:cNvPr id="3074" name="Grafik 2">
          <a:extLst>
            <a:ext uri="{FF2B5EF4-FFF2-40B4-BE49-F238E27FC236}">
              <a16:creationId xmlns:a16="http://schemas.microsoft.com/office/drawing/2014/main" id="{00000000-0008-0000-0100-0000020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67917" y="1142999"/>
          <a:ext cx="2995084" cy="58605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11906</xdr:colOff>
      <xdr:row>55</xdr:row>
      <xdr:rowOff>0</xdr:rowOff>
    </xdr:from>
    <xdr:to>
      <xdr:col>9</xdr:col>
      <xdr:colOff>617823</xdr:colOff>
      <xdr:row>62</xdr:row>
      <xdr:rowOff>559</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5667375" y="12334875"/>
          <a:ext cx="1463167" cy="2048434"/>
        </a:xfrm>
        <a:prstGeom prst="rect">
          <a:avLst/>
        </a:prstGeom>
      </xdr:spPr>
    </xdr:pic>
    <xdr:clientData/>
  </xdr:twoCellAnchor>
  <xdr:twoCellAnchor editAs="oneCell">
    <xdr:from>
      <xdr:col>8</xdr:col>
      <xdr:colOff>23813</xdr:colOff>
      <xdr:row>62</xdr:row>
      <xdr:rowOff>166687</xdr:rowOff>
    </xdr:from>
    <xdr:to>
      <xdr:col>9</xdr:col>
      <xdr:colOff>660212</xdr:colOff>
      <xdr:row>69</xdr:row>
      <xdr:rowOff>76184</xdr:rowOff>
    </xdr:to>
    <xdr:pic>
      <xdr:nvPicPr>
        <xdr:cNvPr id="3" name="Grafik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5679282" y="14549437"/>
          <a:ext cx="1493649" cy="2024047"/>
        </a:xfrm>
        <a:prstGeom prst="rect">
          <a:avLst/>
        </a:prstGeom>
      </xdr:spPr>
    </xdr:pic>
    <xdr:clientData/>
  </xdr:twoCellAnchor>
  <xdr:twoCellAnchor editAs="oneCell">
    <xdr:from>
      <xdr:col>9</xdr:col>
      <xdr:colOff>35718</xdr:colOff>
      <xdr:row>77</xdr:row>
      <xdr:rowOff>11907</xdr:rowOff>
    </xdr:from>
    <xdr:to>
      <xdr:col>10</xdr:col>
      <xdr:colOff>333079</xdr:colOff>
      <xdr:row>83</xdr:row>
      <xdr:rowOff>31689</xdr:rowOff>
    </xdr:to>
    <xdr:pic>
      <xdr:nvPicPr>
        <xdr:cNvPr id="4" name="Grafik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6536531" y="18657095"/>
          <a:ext cx="987924" cy="1853345"/>
        </a:xfrm>
        <a:prstGeom prst="rect">
          <a:avLst/>
        </a:prstGeom>
      </xdr:spPr>
    </xdr:pic>
    <xdr:clientData/>
  </xdr:twoCellAnchor>
  <xdr:twoCellAnchor editAs="oneCell">
    <xdr:from>
      <xdr:col>9</xdr:col>
      <xdr:colOff>35719</xdr:colOff>
      <xdr:row>84</xdr:row>
      <xdr:rowOff>11907</xdr:rowOff>
    </xdr:from>
    <xdr:to>
      <xdr:col>10</xdr:col>
      <xdr:colOff>662292</xdr:colOff>
      <xdr:row>90</xdr:row>
      <xdr:rowOff>6803</xdr:rowOff>
    </xdr:to>
    <xdr:pic>
      <xdr:nvPicPr>
        <xdr:cNvPr id="5" name="Grafik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stretch>
          <a:fillRect/>
        </a:stretch>
      </xdr:blipFill>
      <xdr:spPr>
        <a:xfrm>
          <a:off x="6548438" y="20526376"/>
          <a:ext cx="1329043" cy="1554615"/>
        </a:xfrm>
        <a:prstGeom prst="rect">
          <a:avLst/>
        </a:prstGeom>
      </xdr:spPr>
    </xdr:pic>
    <xdr:clientData/>
  </xdr:twoCellAnchor>
  <xdr:twoCellAnchor>
    <xdr:from>
      <xdr:col>8</xdr:col>
      <xdr:colOff>452437</xdr:colOff>
      <xdr:row>38</xdr:row>
      <xdr:rowOff>83344</xdr:rowOff>
    </xdr:from>
    <xdr:to>
      <xdr:col>8</xdr:col>
      <xdr:colOff>452437</xdr:colOff>
      <xdr:row>52</xdr:row>
      <xdr:rowOff>35455</xdr:rowOff>
    </xdr:to>
    <xdr:cxnSp macro="">
      <xdr:nvCxnSpPr>
        <xdr:cNvPr id="7" name="Gerade Verbindung mit Pfeil 6">
          <a:extLst>
            <a:ext uri="{FF2B5EF4-FFF2-40B4-BE49-F238E27FC236}">
              <a16:creationId xmlns:a16="http://schemas.microsoft.com/office/drawing/2014/main" id="{00000000-0008-0000-0900-000007000000}"/>
            </a:ext>
          </a:extLst>
        </xdr:cNvPr>
        <xdr:cNvCxnSpPr/>
      </xdr:nvCxnSpPr>
      <xdr:spPr bwMode="auto">
        <a:xfrm>
          <a:off x="6107906" y="9251157"/>
          <a:ext cx="0" cy="2845329"/>
        </a:xfrm>
        <a:prstGeom prst="straightConnector1">
          <a:avLst/>
        </a:prstGeom>
        <a:ln>
          <a:solidFill>
            <a:srgbClr val="FF0000"/>
          </a:solidFill>
          <a:headEnd type="none" w="med" len="med"/>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452437</xdr:colOff>
      <xdr:row>24</xdr:row>
      <xdr:rowOff>83345</xdr:rowOff>
    </xdr:from>
    <xdr:to>
      <xdr:col>8</xdr:col>
      <xdr:colOff>452437</xdr:colOff>
      <xdr:row>37</xdr:row>
      <xdr:rowOff>11642</xdr:rowOff>
    </xdr:to>
    <xdr:cxnSp macro="">
      <xdr:nvCxnSpPr>
        <xdr:cNvPr id="8" name="Gerade Verbindung mit Pfeil 7">
          <a:extLst>
            <a:ext uri="{FF2B5EF4-FFF2-40B4-BE49-F238E27FC236}">
              <a16:creationId xmlns:a16="http://schemas.microsoft.com/office/drawing/2014/main" id="{00000000-0008-0000-0900-000008000000}"/>
            </a:ext>
          </a:extLst>
        </xdr:cNvPr>
        <xdr:cNvCxnSpPr/>
      </xdr:nvCxnSpPr>
      <xdr:spPr bwMode="auto">
        <a:xfrm>
          <a:off x="6107906" y="6096001"/>
          <a:ext cx="0" cy="2845329"/>
        </a:xfrm>
        <a:prstGeom prst="straightConnector1">
          <a:avLst/>
        </a:prstGeom>
        <a:ln>
          <a:solidFill>
            <a:srgbClr val="FF0000"/>
          </a:solidFill>
          <a:headEnd type="none" w="med" len="med"/>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404811</xdr:colOff>
      <xdr:row>4</xdr:row>
      <xdr:rowOff>47625</xdr:rowOff>
    </xdr:from>
    <xdr:to>
      <xdr:col>8</xdr:col>
      <xdr:colOff>404811</xdr:colOff>
      <xdr:row>8</xdr:row>
      <xdr:rowOff>0</xdr:rowOff>
    </xdr:to>
    <xdr:cxnSp macro="">
      <xdr:nvCxnSpPr>
        <xdr:cNvPr id="9" name="Gerade Verbindung mit Pfeil 8">
          <a:extLst>
            <a:ext uri="{FF2B5EF4-FFF2-40B4-BE49-F238E27FC236}">
              <a16:creationId xmlns:a16="http://schemas.microsoft.com/office/drawing/2014/main" id="{00000000-0008-0000-0900-000009000000}"/>
            </a:ext>
          </a:extLst>
        </xdr:cNvPr>
        <xdr:cNvCxnSpPr/>
      </xdr:nvCxnSpPr>
      <xdr:spPr bwMode="auto">
        <a:xfrm>
          <a:off x="6060280" y="1273969"/>
          <a:ext cx="0" cy="892969"/>
        </a:xfrm>
        <a:prstGeom prst="straightConnector1">
          <a:avLst/>
        </a:prstGeom>
        <a:ln>
          <a:solidFill>
            <a:srgbClr val="FF0000"/>
          </a:solidFill>
          <a:headEnd type="none" w="med" len="med"/>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285750</xdr:colOff>
      <xdr:row>0</xdr:row>
      <xdr:rowOff>95250</xdr:rowOff>
    </xdr:from>
    <xdr:to>
      <xdr:col>5</xdr:col>
      <xdr:colOff>555625</xdr:colOff>
      <xdr:row>0</xdr:row>
      <xdr:rowOff>695325</xdr:rowOff>
    </xdr:to>
    <xdr:pic>
      <xdr:nvPicPr>
        <xdr:cNvPr id="11274" name="Grafik 1">
          <a:extLst>
            <a:ext uri="{FF2B5EF4-FFF2-40B4-BE49-F238E27FC236}">
              <a16:creationId xmlns:a16="http://schemas.microsoft.com/office/drawing/2014/main" id="{00000000-0008-0000-0800-00000A2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0925" y="95250"/>
          <a:ext cx="29622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e.lwk.at\dfs\persoenlich\kriesim\Downloads\D&#252;ngeobergrenzen_Feldgem&#252;se_Excel-Tool_202401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oe.lwk.at\dfs\A_PFL\BODENSCHUTZ\_Johannes\D&#252;ngerrechner\D&#252;ngerrechner_LK\LK-D&#252;ngerrechner_20171214_CC_2017Arbei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anleitung"/>
      <sheetName val="Feldgemüse"/>
      <sheetName val="Zusammenfassung für N_Bedarf"/>
      <sheetName val="N_max"/>
      <sheetName val="Düngewerttabelle"/>
      <sheetName val="N_max_Kulturen_DropDowns"/>
      <sheetName val="Tabelle2"/>
      <sheetName val="Macro1"/>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Protokoll"/>
      <sheetName val="Betrieb"/>
      <sheetName val="N_Bedarf"/>
      <sheetName val="Tiere"/>
      <sheetName val="Hofdung"/>
      <sheetName val="Tabelle1"/>
      <sheetName val="Organ__Dü"/>
      <sheetName val="Mineral"/>
      <sheetName val="Ergebnis"/>
      <sheetName val="N_Berechnung"/>
      <sheetName val="Düngeplanung"/>
      <sheetName val="System I"/>
      <sheetName val="Schw_Geflügel"/>
      <sheetName val="Weideblatt"/>
      <sheetName val="Bodennah"/>
      <sheetName val="Pfl_Schutz"/>
      <sheetName val="Kali u Kosten"/>
      <sheetName val="Tierzahlen"/>
      <sheetName val="Dü-Verbote"/>
    </sheetNames>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Liste_Grünland_DropDown" displayName="Liste_Grünland_DropDown" ref="EF1:ER21" totalsRowShown="0">
  <autoFilter ref="EF1:ER21" xr:uid="{00000000-0009-0000-0100-00000C000000}"/>
  <tableColumns count="13">
    <tableColumn id="1" xr3:uid="{00000000-0010-0000-0000-000001000000}" name="Grünland"/>
    <tableColumn id="2" xr3:uid="{00000000-0010-0000-0000-000002000000}" name="C32" dataDxfId="375">
      <calculatedColumnFormula>IFERROR(INDEX(Liste_Grünland_DropDown[Grünland],_xlfn.AGGREGATE(15,6,(ROW(Liste_Grünland_DropDown[Grünland])-1)/(--(SEARCH(EH$2,Liste_Grünland_DropDown[Grünland])&gt;0)),ROW()-2),1),"")</calculatedColumnFormula>
    </tableColumn>
    <tableColumn id="3" xr3:uid="{00000000-0010-0000-0000-000003000000}" name="Suchformel" dataDxfId="374">
      <calculatedColumnFormula>IF(N_Bedarf!$C57="","",IF(COUNTIF(Liste_Grünland_DropDown[Grünland],N_Bedarf!$C57),"",N_Bedarf!$C57))</calculatedColumnFormula>
    </tableColumn>
    <tableColumn id="4" xr3:uid="{00000000-0010-0000-0000-000004000000}" name="C33" dataDxfId="373">
      <calculatedColumnFormula>IFERROR(INDEX(Liste_Grünland_DropDown[Grünland],_xlfn.AGGREGATE(15,6,(ROW(Liste_Grünland_DropDown[Grünland])-1)/(--(SEARCH(EJ$2,Liste_Grünland_DropDown[Grünland])&gt;0)),ROW()-2),1),"")</calculatedColumnFormula>
    </tableColumn>
    <tableColumn id="5" xr3:uid="{00000000-0010-0000-0000-000005000000}" name="Suchformel2" dataDxfId="372"/>
    <tableColumn id="6" xr3:uid="{00000000-0010-0000-0000-000006000000}" name="C34" dataDxfId="371">
      <calculatedColumnFormula>IFERROR(INDEX(Liste_Grünland_DropDown[Grünland],_xlfn.AGGREGATE(15,6,(ROW(Liste_Grünland_DropDown[Grünland])-1)/(--(SEARCH(EL$2,Liste_Grünland_DropDown[Grünland])&gt;0)),ROW()-2),1),"")</calculatedColumnFormula>
    </tableColumn>
    <tableColumn id="7" xr3:uid="{00000000-0010-0000-0000-000007000000}" name="Suchformel3" dataDxfId="370"/>
    <tableColumn id="8" xr3:uid="{00000000-0010-0000-0000-000008000000}" name="C35" dataDxfId="369">
      <calculatedColumnFormula>IFERROR(INDEX(Liste_Grünland_DropDown[Grünland],_xlfn.AGGREGATE(15,6,(ROW(Liste_Grünland_DropDown[Grünland])-1)/(--(SEARCH(EN$2,Liste_Grünland_DropDown[Grünland])&gt;0)),ROW()-2),1),"")</calculatedColumnFormula>
    </tableColumn>
    <tableColumn id="9" xr3:uid="{00000000-0010-0000-0000-000009000000}" name="Suchformel4" dataDxfId="368"/>
    <tableColumn id="10" xr3:uid="{00000000-0010-0000-0000-00000A000000}" name="C36" dataDxfId="367">
      <calculatedColumnFormula array="1">IFERROR(INDEX(Liste_Grünland_DropDown[Grünland],_xlfn.AGGREGATE(15,6,(ROW(Liste_Grünland_DropDown[Grünland])-1)/(--(SEARCH(EP$2,Liste_Grünland_DropDown[Grünland])&gt;0)),ROW()-2),1),"")</calculatedColumnFormula>
    </tableColumn>
    <tableColumn id="11" xr3:uid="{00000000-0010-0000-0000-00000B000000}" name="Suchformel5" dataDxfId="366"/>
    <tableColumn id="12" xr3:uid="{00000000-0010-0000-0000-00000C000000}" name="C37" dataDxfId="365">
      <calculatedColumnFormula>IFERROR(INDEX(Liste_Grünland_DropDown[Grünland],_xlfn.AGGREGATE(15,6,(ROW(Liste_Grünland_DropDown[Grünland])-1)/(--(SEARCH(ER$2,Liste_Grünland_DropDown[Grünland])&gt;0)),ROW()-2),1),"")</calculatedColumnFormula>
    </tableColumn>
    <tableColumn id="13" xr3:uid="{00000000-0010-0000-0000-00000D000000}" name="Suchformel6" dataDxfId="364"/>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4" displayName="Tabelle4" ref="EU1:EU6" totalsRowShown="0" headerRowDxfId="363" dataDxfId="362" dataCellStyle="Standard 10 2">
  <autoFilter ref="EU1:EU6" xr:uid="{00000000-0009-0000-0100-000004000000}"/>
  <tableColumns count="1">
    <tableColumn id="1" xr3:uid="{00000000-0010-0000-0100-000001000000}" name="Brache Acker" dataDxfId="361" dataCellStyle="Standard 10 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Ackerkulturen" displayName="Ackerkulturen" ref="CE1:EC142" totalsRowShown="0" headerRowDxfId="360" dataDxfId="359" tableBorderDxfId="358">
  <autoFilter ref="CE1:EC142" xr:uid="{00000000-0009-0000-0100-000006000000}"/>
  <tableColumns count="51">
    <tableColumn id="1" xr3:uid="{00000000-0010-0000-0200-000001000000}" name="Ackerkulturen" dataDxfId="357" dataCellStyle="Standard 10 2"/>
    <tableColumn id="2" xr3:uid="{00000000-0010-0000-0200-000002000000}" name="C5" dataDxfId="356">
      <calculatedColumnFormula>IFERROR(INDEX(N_Bedarf!$CE$2:$CE$142,_xlfn.AGGREGATE(15,6,(ROW(N_Bedarf!$CE$2:$CE$142)-1)/(--(SEARCH(CG$2,N_Bedarf!$CE$2:$CE$142)&gt;0)),ROW()-2),1),"")</calculatedColumnFormula>
    </tableColumn>
    <tableColumn id="3" xr3:uid="{00000000-0010-0000-0200-000003000000}" name="Suchformel" dataDxfId="355"/>
    <tableColumn id="4" xr3:uid="{00000000-0010-0000-0200-000004000000}" name="C6" dataDxfId="354">
      <calculatedColumnFormula>IFERROR(INDEX(N_Bedarf!$CE$2:$CE$142,_xlfn.AGGREGATE(15,6,(ROW(N_Bedarf!$CE$2:$CE$142)-1)/(--(SEARCH(CI$2,N_Bedarf!$CE$2:$CE$142)&gt;0)),ROW()-2),1),"")</calculatedColumnFormula>
    </tableColumn>
    <tableColumn id="5" xr3:uid="{00000000-0010-0000-0200-000005000000}" name="Suchformel2" dataDxfId="353"/>
    <tableColumn id="6" xr3:uid="{00000000-0010-0000-0200-000006000000}" name="C7" dataDxfId="352">
      <calculatedColumnFormula>IFERROR(INDEX(N_Bedarf!$CE$2:$CE$142,_xlfn.AGGREGATE(15,6,(ROW(N_Bedarf!$CE$2:$CE$142)-1)/(--(SEARCH(CK$2,N_Bedarf!$CE$2:$CE$142)&gt;0)),ROW()-2),1),"")</calculatedColumnFormula>
    </tableColumn>
    <tableColumn id="7" xr3:uid="{00000000-0010-0000-0200-000007000000}" name="Suchformel3" dataDxfId="351"/>
    <tableColumn id="8" xr3:uid="{00000000-0010-0000-0200-000008000000}" name="C8" dataDxfId="350">
      <calculatedColumnFormula>IFERROR(INDEX(N_Bedarf!$CE$2:$CE$142,_xlfn.AGGREGATE(15,6,(ROW(N_Bedarf!$CE$2:$CE$142)-1)/(--(SEARCH(CM$2,N_Bedarf!$CE$2:$CE$142)&gt;0)),ROW()-2),1),"")</calculatedColumnFormula>
    </tableColumn>
    <tableColumn id="9" xr3:uid="{00000000-0010-0000-0200-000009000000}" name="Suchformel4" dataDxfId="349"/>
    <tableColumn id="10" xr3:uid="{00000000-0010-0000-0200-00000A000000}" name="C9" dataDxfId="348">
      <calculatedColumnFormula>IFERROR(INDEX(N_Bedarf!$CE$2:$CE$142,_xlfn.AGGREGATE(15,6,(ROW(N_Bedarf!$CE$2:$CE$142)-1)/(--(SEARCH(CO$2,N_Bedarf!$CE$2:$CE$142)&gt;0)),ROW()-2),1),"")</calculatedColumnFormula>
    </tableColumn>
    <tableColumn id="11" xr3:uid="{00000000-0010-0000-0200-00000B000000}" name="Suchformel5" dataDxfId="347"/>
    <tableColumn id="12" xr3:uid="{00000000-0010-0000-0200-00000C000000}" name="C10" dataDxfId="346">
      <calculatedColumnFormula>IFERROR(INDEX(N_Bedarf!$CE$2:$CE$142,_xlfn.AGGREGATE(15,6,(ROW(N_Bedarf!$CE$2:$CE$142)-1)/(--(SEARCH(CQ$2,N_Bedarf!$CE$2:$CE$142)&gt;0)),ROW()-2),1),"")</calculatedColumnFormula>
    </tableColumn>
    <tableColumn id="13" xr3:uid="{00000000-0010-0000-0200-00000D000000}" name="Suchformel6" dataDxfId="345"/>
    <tableColumn id="14" xr3:uid="{00000000-0010-0000-0200-00000E000000}" name="C11" dataDxfId="344">
      <calculatedColumnFormula>IFERROR(INDEX(N_Bedarf!$CE$2:$CE$142,_xlfn.AGGREGATE(15,6,(ROW(N_Bedarf!$CE$2:$CE$142)-1)/(--(SEARCH(CS$2,N_Bedarf!$CE$2:$CE$142)&gt;0)),ROW()-2),1),"")</calculatedColumnFormula>
    </tableColumn>
    <tableColumn id="15" xr3:uid="{00000000-0010-0000-0200-00000F000000}" name="Suchformel7" dataDxfId="343"/>
    <tableColumn id="16" xr3:uid="{00000000-0010-0000-0200-000010000000}" name="C12" dataDxfId="342">
      <calculatedColumnFormula>IFERROR(INDEX(N_Bedarf!$CE$2:$CE$142,_xlfn.AGGREGATE(15,6,(ROW(N_Bedarf!$CE$2:$CE$142)-1)/(--(SEARCH(CU$2,N_Bedarf!$CE$2:$CE$142)&gt;0)),ROW()-2),1),"")</calculatedColumnFormula>
    </tableColumn>
    <tableColumn id="17" xr3:uid="{00000000-0010-0000-0200-000011000000}" name="Suchformel8" dataDxfId="341"/>
    <tableColumn id="18" xr3:uid="{00000000-0010-0000-0200-000012000000}" name="C13" dataDxfId="340">
      <calculatedColumnFormula>IFERROR(INDEX(N_Bedarf!$CE$2:$CE$142,_xlfn.AGGREGATE(15,6,(ROW(N_Bedarf!$CE$2:$CE$142)-1)/(--(SEARCH(CW$2,N_Bedarf!$CE$2:$CE$142)&gt;0)),ROW()-2),1),"")</calculatedColumnFormula>
    </tableColumn>
    <tableColumn id="19" xr3:uid="{00000000-0010-0000-0200-000013000000}" name="Suchformel9" dataDxfId="339"/>
    <tableColumn id="20" xr3:uid="{00000000-0010-0000-0200-000014000000}" name="C14" dataDxfId="338">
      <calculatedColumnFormula>IFERROR(INDEX(N_Bedarf!$CE$2:$CE$142,_xlfn.AGGREGATE(15,6,(ROW(N_Bedarf!$CE$2:$CE$142)-1)/(--(SEARCH(CY$2,N_Bedarf!$CE$2:$CE$142)&gt;0)),ROW()-2),1),"")</calculatedColumnFormula>
    </tableColumn>
    <tableColumn id="21" xr3:uid="{00000000-0010-0000-0200-000015000000}" name="Suchformel10" dataDxfId="337"/>
    <tableColumn id="22" xr3:uid="{00000000-0010-0000-0200-000016000000}" name="C15" dataDxfId="336">
      <calculatedColumnFormula>IFERROR(INDEX(N_Bedarf!$CE$2:$CE$142,_xlfn.AGGREGATE(15,6,(ROW(N_Bedarf!$CE$2:$CE$142)-1)/(--(SEARCH(DA$2,N_Bedarf!$CE$2:$CE$142)&gt;0)),ROW()-2),1),"")</calculatedColumnFormula>
    </tableColumn>
    <tableColumn id="23" xr3:uid="{00000000-0010-0000-0200-000017000000}" name="Suchformel11" dataDxfId="335"/>
    <tableColumn id="24" xr3:uid="{00000000-0010-0000-0200-000018000000}" name="C16" dataDxfId="334">
      <calculatedColumnFormula>IFERROR(INDEX(N_Bedarf!$CE$2:$CE$142,_xlfn.AGGREGATE(15,6,(ROW(N_Bedarf!$CE$2:$CE$142)-1)/(--(SEARCH(DC$2,N_Bedarf!$CE$2:$CE$142)&gt;0)),ROW()-2),1),"")</calculatedColumnFormula>
    </tableColumn>
    <tableColumn id="25" xr3:uid="{00000000-0010-0000-0200-000019000000}" name="Suchformel12" dataDxfId="333"/>
    <tableColumn id="26" xr3:uid="{00000000-0010-0000-0200-00001A000000}" name="C17" dataDxfId="332">
      <calculatedColumnFormula>IFERROR(INDEX(N_Bedarf!$CE$2:$CE$142,_xlfn.AGGREGATE(15,6,(ROW(N_Bedarf!$CE$2:$CE$142)-1)/(--(SEARCH(DE$2,N_Bedarf!$CE$2:$CE$142)&gt;0)),ROW()-2),1),"")</calculatedColumnFormula>
    </tableColumn>
    <tableColumn id="27" xr3:uid="{00000000-0010-0000-0200-00001B000000}" name="Suchformel13" dataDxfId="331"/>
    <tableColumn id="28" xr3:uid="{00000000-0010-0000-0200-00001C000000}" name="C18" dataDxfId="330">
      <calculatedColumnFormula array="1">IFERROR(INDEX(N_Bedarf!$CE$2:$CE$142,_xlfn.AGGREGATE(15,6,(ROW(N_Bedarf!$CE$2:$CE$142)-1)/(--(SEARCH(DG$2,N_Bedarf!$CE$2:$CE$142)&gt;0)),ROW()-2),1),"")</calculatedColumnFormula>
    </tableColumn>
    <tableColumn id="29" xr3:uid="{00000000-0010-0000-0200-00001D000000}" name="Suchformel14" dataDxfId="329">
      <calculatedColumnFormula>IF(N_Bedarf!$C18="","",IF(COUNTIF(N_Bedarf!$CE$2:$CE$142,N_Bedarf!$C18),"",N_Bedarf!$C18))</calculatedColumnFormula>
    </tableColumn>
    <tableColumn id="30" xr3:uid="{00000000-0010-0000-0200-00001E000000}" name="C19" dataDxfId="328">
      <calculatedColumnFormula array="1">IFERROR(INDEX(N_Bedarf!$CE$2:$CE$142,_xlfn.AGGREGATE(15,6,(ROW(N_Bedarf!$CE$2:$CE$142)-1)/(--(SEARCH(DI$2,N_Bedarf!$CE$2:$CE$142)&gt;0)),ROW()-2),1),"")</calculatedColumnFormula>
    </tableColumn>
    <tableColumn id="31" xr3:uid="{00000000-0010-0000-0200-00001F000000}" name="Suchformel15" dataDxfId="327"/>
    <tableColumn id="32" xr3:uid="{00000000-0010-0000-0200-000020000000}" name="C20" dataDxfId="326"/>
    <tableColumn id="33" xr3:uid="{00000000-0010-0000-0200-000021000000}" name="Suchformel16" dataDxfId="325"/>
    <tableColumn id="34" xr3:uid="{00000000-0010-0000-0200-000022000000}" name="C21" dataDxfId="324">
      <calculatedColumnFormula array="1">IFERROR(INDEX(N_Bedarf!$CE$2:$CE$142,_xlfn.AGGREGATE(15,6,(ROW(N_Bedarf!$CE$2:$CE$142)-1)/(--(SEARCH(DM$2,N_Bedarf!$CE$2:$CE$142)&gt;0)),ROW()-2),1),"")</calculatedColumnFormula>
    </tableColumn>
    <tableColumn id="35" xr3:uid="{00000000-0010-0000-0200-000023000000}" name="Suchformel17" dataDxfId="323"/>
    <tableColumn id="36" xr3:uid="{00000000-0010-0000-0200-000024000000}" name="C22" dataDxfId="322">
      <calculatedColumnFormula array="1">IFERROR(INDEX(N_Bedarf!$CE$2:$CE$142,_xlfn.AGGREGATE(15,6,(ROW(N_Bedarf!$CE$2:$CE$142)-1)/(--(SEARCH(DO$2,N_Bedarf!$CE$2:$CE$142)&gt;0)),ROW()-2),1),"")</calculatedColumnFormula>
    </tableColumn>
    <tableColumn id="37" xr3:uid="{00000000-0010-0000-0200-000025000000}" name="Suchformel18" dataDxfId="321"/>
    <tableColumn id="38" xr3:uid="{00000000-0010-0000-0200-000026000000}" name="C23" dataDxfId="320">
      <calculatedColumnFormula array="1">IFERROR(INDEX(N_Bedarf!$CE$2:$CE$142,_xlfn.AGGREGATE(15,6,(ROW(N_Bedarf!$CE$2:$CE$142)-1)/(--(SEARCH(DQ$2,N_Bedarf!$CE$2:$CE$142)&gt;0)),ROW()-2),1),"")</calculatedColumnFormula>
    </tableColumn>
    <tableColumn id="39" xr3:uid="{00000000-0010-0000-0200-000027000000}" name="Suchformel19" dataDxfId="319"/>
    <tableColumn id="40" xr3:uid="{00000000-0010-0000-0200-000028000000}" name="C24" dataDxfId="318">
      <calculatedColumnFormula array="1">IFERROR(INDEX(N_Bedarf!$CE$2:$CE$142,_xlfn.AGGREGATE(15,6,(ROW(N_Bedarf!$CE$2:$CE$142)-1)/(--(SEARCH(DS$2,N_Bedarf!$CE$2:$CE$142)&gt;0)),ROW()-2),1),"")</calculatedColumnFormula>
    </tableColumn>
    <tableColumn id="41" xr3:uid="{00000000-0010-0000-0200-000029000000}" name="Suchformel20" dataDxfId="317"/>
    <tableColumn id="42" xr3:uid="{00000000-0010-0000-0200-00002A000000}" name="C25" dataDxfId="316">
      <calculatedColumnFormula array="1">IFERROR(INDEX(N_Bedarf!$CE$2:$CE$142,_xlfn.AGGREGATE(15,6,(ROW(N_Bedarf!$CE$2:$CE$142)-1)/(--(SEARCH(DU$2,N_Bedarf!$CE$2:$CE$142)&gt;0)),ROW()-2),1),"")</calculatedColumnFormula>
    </tableColumn>
    <tableColumn id="43" xr3:uid="{00000000-0010-0000-0200-00002B000000}" name="Suchformel21" dataDxfId="315"/>
    <tableColumn id="44" xr3:uid="{00000000-0010-0000-0200-00002C000000}" name="C26" dataDxfId="314">
      <calculatedColumnFormula array="1">IFERROR(INDEX(N_Bedarf!$CE$2:$CE$142,_xlfn.AGGREGATE(15,6,(ROW(N_Bedarf!$CE$2:$CE$142)-1)/(--(SEARCH(DW$2,N_Bedarf!$CE$2:$CE$142)&gt;0)),ROW()-2),1),"")</calculatedColumnFormula>
    </tableColumn>
    <tableColumn id="45" xr3:uid="{00000000-0010-0000-0200-00002D000000}" name="Suchformel22" dataDxfId="313"/>
    <tableColumn id="46" xr3:uid="{00000000-0010-0000-0200-00002E000000}" name="C27" dataDxfId="312">
      <calculatedColumnFormula array="1">IFERROR(INDEX(N_Bedarf!$CE$2:$CE$142,_xlfn.AGGREGATE(15,6,(ROW(N_Bedarf!$CE$2:$CE$142)-1)/(--(SEARCH(DY$2,N_Bedarf!$CE$2:$CE$142)&gt;0)),ROW()-2),1),"")</calculatedColumnFormula>
    </tableColumn>
    <tableColumn id="47" xr3:uid="{00000000-0010-0000-0200-00002F000000}" name="Suchformel23" dataDxfId="311"/>
    <tableColumn id="48" xr3:uid="{00000000-0010-0000-0200-000030000000}" name="C28" dataDxfId="310">
      <calculatedColumnFormula array="1">IFERROR(INDEX(N_Bedarf!$CE$2:$CE$142,_xlfn.AGGREGATE(15,6,(ROW(N_Bedarf!$CE$2:$CE$142)-1)/(--(SEARCH(EA$2,N_Bedarf!$CE$2:$CE$142)&gt;0)),ROW()-2),1),"")</calculatedColumnFormula>
    </tableColumn>
    <tableColumn id="49" xr3:uid="{00000000-0010-0000-0200-000031000000}" name="Suchformel 24" dataDxfId="309"/>
    <tableColumn id="50" xr3:uid="{00000000-0010-0000-0200-000032000000}" name="C29" dataDxfId="308">
      <calculatedColumnFormula array="1">IFERROR(INDEX(N_Bedarf!$CE$2:$CE$142,_xlfn.AGGREGATE(15,6,(ROW(N_Bedarf!$CE$2:$CE$142)-1)/(--(SEARCH(EC$2,N_Bedarf!$CE$2:$CE$142)&gt;0)),ROW()-2),1),"")</calculatedColumnFormula>
    </tableColumn>
    <tableColumn id="51" xr3:uid="{00000000-0010-0000-0200-000033000000}" name="Suchformel 25" dataDxfId="307"/>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iereDropDown" displayName="TiereDropDown" ref="AJ1:BM155" totalsRowShown="0" headerRowDxfId="306" dataDxfId="305" tableBorderDxfId="304">
  <autoFilter ref="AJ1:BM155" xr:uid="{00000000-0009-0000-0100-000002000000}"/>
  <tableColumns count="30">
    <tableColumn id="1" xr3:uid="{00000000-0010-0000-0300-000001000000}" name="B5" dataDxfId="303">
      <calculatedColumnFormula>IFERROR(IF(AK$2=$BO$1,#REF!,IF(AK$2=$BP$1,#REF!,IF(AK$2=$BQ$1,#REF!,IF(AK$2=$BR$1,#REF!,IF(AK$2=$BS$1,#REF!,IF(AK$2=$BS$1,#REF!,IF(AK$2=$BT$1,#REF!,IF(AK$2=$BU$1,#REF!,INDEX(Tiere!$BN$2:$BN$153,_xlfn.AGGREGATE(15,6,(ROW(Tiere!$BN$2:$BN$153)-1)/(--(SEARCH(AK$2,Tiere!$BN$2:$BN$153)&gt;0)),ROW()-2),1))))))))),"")</calculatedColumnFormula>
    </tableColumn>
    <tableColumn id="2" xr3:uid="{00000000-0010-0000-0300-000002000000}" name="Suchformel" dataDxfId="302">
      <calculatedColumnFormula>IF(AND($A$5=$BW$2,$B5=""),"",IF(AND($A$5=$BW$2,$B5&lt;&gt;""),$B5,IF($A5=$BO$1,$BO$1,IF($A$5=$BP$1,$BP$1,IF($A5=$BQ$1,$BQ$1,IF($A5=$BR$1,$BR$1,IF($A5=$BS$1,$BS$1,IF($A5=$BT$1,$BT$1,IF($A5=$BU$1,$BU$1,$B5)))))))))</calculatedColumnFormula>
    </tableColumn>
    <tableColumn id="3" xr3:uid="{00000000-0010-0000-0300-000003000000}" name="B6" dataDxfId="301">
      <calculatedColumnFormula>IFERROR(IF($A$6=$BO$1,$BO1,IF($A$6=$BP$1,$BP1,IF($A$6=$BQ$1,$BQ1,IF($A$6=$BR$1,$BR1,IF($A$6=$BS$1,$BS1,IF($A$6=$BT$1,$BT1,IF($A$6=$BU$1,$BU1,IF($A$6="",INDEX(Tiere!$BN$2:$BN$153,_xlfn.AGGREGATE(15,6,(ROW(Tiere!$BN$2:$BN$153)-1)/(--(SEARCH(AM$2,Tiere!$BN$2:$BN$153)&gt;0)),ROW()-2),1))))))))),"")</calculatedColumnFormula>
    </tableColumn>
    <tableColumn id="4" xr3:uid="{00000000-0010-0000-0300-000004000000}" name="Suchformel2" dataDxfId="300">
      <calculatedColumnFormula>IF(COUNTIF($BN$2:$BN$153,$B6),"",IF(AND($A6=$BW$2,$B6=""),"",IF(AND($A6=$BW$2,$B6&lt;&gt;""),$B6,IF($A6=$BO$1,$BO$1,IF($A6=$BP$1,$BP$1,IF($A6=$BQ$1,$BQ$1,IF($A6=$BR$1,$BR$1,IF($A6=$BS$1,$BS$1,IF($A6=$BT$1,$BT$1,IF($A6=$BU$1,$BU$1,$B6))))))))))</calculatedColumnFormula>
    </tableColumn>
    <tableColumn id="5" xr3:uid="{00000000-0010-0000-0300-000005000000}" name="B7" dataDxfId="299">
      <calculatedColumnFormula>IFERROR(IF($A$7=$BO$1,$BO1,IF($A$7=$BP$1,$BP1,IF($A$7=$BQ$1,$BQ1,IF($A$7=$BR$1,$BR1,IF($A$7=$BS$1,$BS1,IF($A$7=$BT$1,$BT1,IF($A$7=$BU$1,$BU1,IF($A$7="",INDEX(Tiere!$BN$2:$BN$153,_xlfn.AGGREGATE(15,6,(ROW(Tiere!$BN$2:$BN$153)-1)/(--(SEARCH(AM$2,Tiere!$BN$2:$BN$153)&gt;0)),ROW()-2),1))))))))),"")</calculatedColumnFormula>
    </tableColumn>
    <tableColumn id="6" xr3:uid="{00000000-0010-0000-0300-000006000000}" name="Suchformel3" dataDxfId="298">
      <calculatedColumnFormula>IF(AND($A7=$BW$2,$B7=""),"",IF(AND($A7=$BW$2,$B7&lt;&gt;""),$B7,IF($A7=$BO$1,$BO$1,IF($A7=$BP$1,$BP$1,IF($A7=$BQ$1,$BQ$1,IF($A7=$BR$1,$BR$1,IF($A7=$BS$1,$BS$1,IF($A7=$BT$1,$BT$1,IF($A7=$BU$1,$BU$1,$B7)))))))))</calculatedColumnFormula>
    </tableColumn>
    <tableColumn id="7" xr3:uid="{00000000-0010-0000-0300-000007000000}" name="B8" dataDxfId="297">
      <calculatedColumnFormula>IFERROR(IF(ISBLANK(AQ$2),#REF!,IF(AQ$2=$BO$1,#REF!,IF(AQ$2=$BP$1,#REF!,IF(AQ$2=$BQ$1,#REF!,IF(AQ$2=$BR$1,#REF!,IF(AQ$2=$BS$1,#REF!,IF(AQ$2=$BS$1,#REF!,IF(AQ$2=$BT$1,#REF!,IF(AQ$2=$BU$1,#REF!,INDEX(Tiere!$BN$2:$BN$153,_xlfn.AGGREGATE(15,6,(ROW(Tiere!$BN$2:$BN$153)-1)/(--(SEARCH(AQ$2,Tiere!$BN$2:$BN$153)&gt;0)),ROW()-1),1)))))))))),"")</calculatedColumnFormula>
    </tableColumn>
    <tableColumn id="8" xr3:uid="{00000000-0010-0000-0300-000008000000}" name="Suchformel4" dataDxfId="296">
      <calculatedColumnFormula>IF(AND($A8=$BW$2,$B8=""),"",IF(AND($A8=$BW$2,$B8&lt;&gt;""),$B8,IF($A8=$BO$1,$BO$1,IF($A8=$BP$1,$BP$1,IF($A8=$BQ$1,$BQ$1,IF($A8=$BR$1,$BR$1,IF($A8=$BS$1,$BS$1,IF($A8=$BT$1,$BT$1,IF($A8=$BU$1,$BU$1,$B8)))))))))</calculatedColumnFormula>
    </tableColumn>
    <tableColumn id="9" xr3:uid="{00000000-0010-0000-0300-000009000000}" name="B9" dataDxfId="295">
      <calculatedColumnFormula>IFERROR(IF(ISBLANK(AS$2),#REF!,IF(AS$2=$BO$1,#REF!,IF(AS$2=$BP$1,#REF!,IF(AS$2=$BQ$1,#REF!,IF(AS$2=$BR$1,#REF!,IF(AS$2=$BS$1,#REF!,IF(AS$2=$BS$1,#REF!,IF(AS$2=$BT$1,#REF!,IF(AS$2=$BU$1,#REF!,INDEX(Tiere!$BN$2:$BN$153,_xlfn.AGGREGATE(15,6,(ROW(Tiere!$BN$2:$BN$153)-1)/(--(SEARCH(AS$2,Tiere!$BN$2:$BN$153)&gt;0)),ROW()-1),1)))))))))),"")</calculatedColumnFormula>
    </tableColumn>
    <tableColumn id="10" xr3:uid="{00000000-0010-0000-0300-00000A000000}" name="Suchformel5" dataDxfId="294">
      <calculatedColumnFormula>IF(AND($A9=$BW$2,$B9=""),"",IF(AND($A9=$BW$2,$B9&lt;&gt;""),$B9,IF($A9=$BO$1,$BO$1,IF($A9=$BP$1,$BP$1,IF($A9=$BQ$1,$BQ$1,IF($A9=$BR$1,$BR$1,IF($A9=$BS$1,$BS$1,IF($A9=$BT$1,$BT$1,IF($A9=$BU$1,$BU$1,$B9)))))))))</calculatedColumnFormula>
    </tableColumn>
    <tableColumn id="11" xr3:uid="{00000000-0010-0000-0300-00000B000000}" name="B10" dataDxfId="293">
      <calculatedColumnFormula>IFERROR(IF(ISBLANK(AU$2),#REF!,IF(AU$2=$BO$1,#REF!,IF(AU$2=$BP$1,#REF!,IF(AU$2=$BQ$1,#REF!,IF(AU$2=$BR$1,#REF!,IF(AU$2=$BS$1,#REF!,IF(AU$2=$BS$1,#REF!,IF(AU$2=$BT$1,#REF!,IF(AU$2=$BU$1,#REF!,INDEX(Tiere!$BN$2:$BN$153,_xlfn.AGGREGATE(15,6,(ROW(Tiere!$BN$2:$BN$153)-1)/(--(SEARCH(AU$2,Tiere!$BN$2:$BN$153)&gt;0)),ROW()-1),1)))))))))),"")</calculatedColumnFormula>
    </tableColumn>
    <tableColumn id="12" xr3:uid="{00000000-0010-0000-0300-00000C000000}" name="Suchformel6" dataDxfId="292">
      <calculatedColumnFormula>IF(AND($A10=$BW$2,$B10=""),"",IF(AND($A10=$BW$2,$B10&lt;&gt;""),$B10,IF($A10=$BO$1,$BO$1,IF($A10=$BP$1,$BP$1,IF($A10=$BQ$1,$BQ$1,IF($A10=$BR$1,$BR$1,IF($A10=$BS$1,$BS$1,IF($A10=$BT$1,$BT$1,IF($A10=$BU$1,$BU$1,$B10)))))))))</calculatedColumnFormula>
    </tableColumn>
    <tableColumn id="13" xr3:uid="{00000000-0010-0000-0300-00000D000000}" name="B11" dataDxfId="291">
      <calculatedColumnFormula>IFERROR(IF(ISBLANK(AW$2),#REF!,IF(AW$2=$BO$1,#REF!,IF(AW$2=$BP$1,#REF!,IF(AW$2=$BQ$1,#REF!,IF(AW$2=$BR$1,#REF!,IF(AW$2=$BS$1,#REF!,IF(AW$2=$BS$1,#REF!,IF(AW$2=$BT$1,#REF!,IF(AW$2=$BU$1,#REF!,INDEX(Tiere!$BN$2:$BN$153,_xlfn.AGGREGATE(15,6,(ROW(Tiere!$BN$2:$BN$153)-1)/(--(SEARCH(AW$2,Tiere!$BN$2:$BN$153)&gt;0)),ROW()-1),1)))))))))),"")</calculatedColumnFormula>
    </tableColumn>
    <tableColumn id="14" xr3:uid="{00000000-0010-0000-0300-00000E000000}" name="Suchformel7" dataDxfId="290">
      <calculatedColumnFormula>IF(AND($A11=$BW$2,$B11=""),"",IF(AND($A11=$BW$2,$B11&lt;&gt;""),$B10,IF($A11=$BO$1,$BO$1,IF($A11=$BP$1,$BP$1,IF($A11=$BQ$1,$BQ$1,IF($A11=$BR$1,$BR$1,IF($A11=$BS$1,$BS$1,IF($A11=$BT$1,$BT$1,IF($A11=$BU$1,$BU$1,$B11)))))))))</calculatedColumnFormula>
    </tableColumn>
    <tableColumn id="15" xr3:uid="{00000000-0010-0000-0300-00000F000000}" name="B12" dataDxfId="289">
      <calculatedColumnFormula>IFERROR(IF(ISBLANK(AY$2),#REF!,IF(AY$2=$BO$1,#REF!,IF(AY$2=$BP$1,#REF!,IF(AY$2=$BQ$1,#REF!,IF(AY$2=$BR$1,#REF!,IF(AY$2=$BS$1,#REF!,IF(AY$2=$BS$1,#REF!,IF(AY$2=$BT$1,#REF!,IF(AY$2=$BU$1,#REF!,INDEX(Tiere!$BN$2:$BN$153,_xlfn.AGGREGATE(15,6,(ROW(Tiere!$BN$2:$BN$153)-1)/(--(SEARCH(AY$2,Tiere!$BN$2:$BN$153)&gt;0)),ROW()-1),1)))))))))),"")</calculatedColumnFormula>
    </tableColumn>
    <tableColumn id="16" xr3:uid="{00000000-0010-0000-0300-000010000000}" name="Suchformel8" dataDxfId="288">
      <calculatedColumnFormula>IF(AND($A12=$BW$2,$B12=""),"",IF(AND($A12=$BW$2,$B12&lt;&gt;""),$B12,IF($A12=$BO$1,$BO$1,IF($A12=$BP$1,$BP$1,IF($A12=$BQ$1,$BQ$1,IF($A12=$BR$1,$BR$1,IF($A12=$BS$1,$BS$1,IF($A12=$BT$1,$BT$1,IF($A12=$BU$1,$BU$1,$B12)))))))))</calculatedColumnFormula>
    </tableColumn>
    <tableColumn id="17" xr3:uid="{00000000-0010-0000-0300-000011000000}" name="B13" dataDxfId="287">
      <calculatedColumnFormula>IFERROR(IF(ISBLANK(BA$2),#REF!,IF(BA$2=$BO$1,#REF!,IF(BA$2=$BP$1,#REF!,IF(BA$2=$BQ$1,#REF!,IF(BA$2=$BR$1,#REF!,IF(BA$2=$BS$1,#REF!,IF(BA$2=$BS$1,#REF!,IF(BA$2=$BT$1,#REF!,IF(BA$2=$BU$1,#REF!,INDEX(Tiere!$BN$2:$BN$153,_xlfn.AGGREGATE(15,6,(ROW(Tiere!$BN$2:$BN$153)-1)/(--(SEARCH(BA$2,Tiere!$BN$2:$BN$153)&gt;0)),ROW()-1),1)))))))))),"")</calculatedColumnFormula>
    </tableColumn>
    <tableColumn id="18" xr3:uid="{00000000-0010-0000-0300-000012000000}" name="Suchformel9" dataDxfId="286">
      <calculatedColumnFormula>IF(AND($A13=$BW$2,$B13=""),"",IF(AND($A13=$BW$2,$B13&lt;&gt;""),$B13,IF($A13=$BO$1,$BO$1,IF($A13=$BP$1,$BP$1,IF($A13=$BQ$1,$BQ$1,IF($A13=$BR$1,$BR$1,IF($A13=$BS$1,$BS$1,IF($A13=$BT$1,$BT$1,IF($A13=$BU$1,$BU$1,$B13)))))))))</calculatedColumnFormula>
    </tableColumn>
    <tableColumn id="19" xr3:uid="{00000000-0010-0000-0300-000013000000}" name="B14" dataDxfId="285">
      <calculatedColumnFormula>IFERROR(IF(ISBLANK(BC$2),#REF!,IF(BC$2=$BO$1,#REF!,IF(BC$2=$BP$1,#REF!,IF(BC$2=$BQ$1,#REF!,IF(BC$2=$BR$1,#REF!,IF(BC$2=$BS$1,#REF!,IF(BC$2=$BS$1,#REF!,IF(BC$2=$BT$1,#REF!,IF(BC$2=$BU$1,#REF!,INDEX(Tiere!$BN$2:$BN$153,_xlfn.AGGREGATE(15,6,(ROW(Tiere!$BN$2:$BN$153)-1)/(--(SEARCH(BC$2,Tiere!$BN$2:$BN$153)&gt;0)),ROW()-1),1)))))))))),"")</calculatedColumnFormula>
    </tableColumn>
    <tableColumn id="20" xr3:uid="{00000000-0010-0000-0300-000014000000}" name="Suchformel10" dataDxfId="284">
      <calculatedColumnFormula>IF(AND($A14=$BW$2,$B14=""),"",IF(AND($A14=$BW$2,$B14&lt;&gt;""),$B14,IF($A14=$BO$1,$BO$1,IF($A14=$BP$1,$BP$1,IF($A14=$BQ$1,$BQ$1,IF($A14=$BR$1,$BR$1,IF($A14=$BS$1,$BS$1,IF($A14=$BT$1,$BT$1,IF($A14=$BU$1,$BU$1,$B14)))))))))</calculatedColumnFormula>
    </tableColumn>
    <tableColumn id="21" xr3:uid="{00000000-0010-0000-0300-000015000000}" name="B15" dataDxfId="283">
      <calculatedColumnFormula>IFERROR(IF(ISBLANK(BE$2),#REF!,IF(BE$2=$BO$1,#REF!,IF(BE$2=$BP$1,#REF!,IF(BE$2=$BQ$1,#REF!,IF(BE$2=$BR$1,#REF!,IF(BE$2=$BS$1,#REF!,IF(BE$2=$BS$1,#REF!,IF(BE$2=$BT$1,#REF!,IF(BE$2=$BU$1,#REF!,INDEX(Tiere!$BN$2:$BN$153,_xlfn.AGGREGATE(15,6,(ROW(Tiere!$BN$2:$BN$153)-1)/(--(SEARCH(BE$2,Tiere!$BN$2:$BN$153)&gt;0)),ROW()-1),1)))))))))),"")</calculatedColumnFormula>
    </tableColumn>
    <tableColumn id="22" xr3:uid="{00000000-0010-0000-0300-000016000000}" name="Suchformel11" dataDxfId="282">
      <calculatedColumnFormula>IF(AND($A15=$BW$2,$B15=""),"",IF(AND($A15=$BW$2,$B15&lt;&gt;""),$B15,IF($A15=$BO$1,$BO$1,IF($A15=$BP$1,$BP$1,IF($A15=$BQ$1,$BQ$1,IF($A15=$BR$1,$BR$1,IF($A15=$BS$1,$BS$1,IF($A15=$BT$1,$BT$1,IF($A15=$BU$1,$BU$1,$B15)))))))))</calculatedColumnFormula>
    </tableColumn>
    <tableColumn id="23" xr3:uid="{00000000-0010-0000-0300-000017000000}" name="B16" dataDxfId="281">
      <calculatedColumnFormula>IFERROR(IF(ISBLANK(BG$2),#REF!,IF(BG$2=$BO$1,#REF!,IF(BG$2=$BP$1,#REF!,IF(BG$2=$BQ$1,#REF!,IF(BG$2=$BR$1,#REF!,IF(BG$2=$BS$1,#REF!,IF(BG$2=$BS$1,#REF!,IF(BG$2=$BT$1,#REF!,IF(BG$2=$BU$1,#REF!,INDEX(Tiere!$BN$2:$BN$153,_xlfn.AGGREGATE(15,6,(ROW(Tiere!$BN$2:$BN$153)-1)/(--(SEARCH(BG$2,Tiere!$BN$2:$BN$153)&gt;0)),ROW()-1),1)))))))))),"")</calculatedColumnFormula>
    </tableColumn>
    <tableColumn id="24" xr3:uid="{00000000-0010-0000-0300-000018000000}" name="Suchformel12" dataDxfId="280">
      <calculatedColumnFormula>IF(AND($A16=$BW$2,$B16=""),"",IF(AND($A16=$BW$2,$B16&lt;&gt;""),$B16,IF($A16=$BO$1,$BO$1,IF($A16=$BP$1,$BP$1,IF($A16=$BQ$1,$BQ$1,IF($A16=$BR$1,$BR$1,IF($A16=$BS$1,$BS$1,IF($A16=$BT$1,$BT$1,IF($A16=$BU$1,$BU$1,$B16)))))))))</calculatedColumnFormula>
    </tableColumn>
    <tableColumn id="25" xr3:uid="{00000000-0010-0000-0300-000019000000}" name="B17" dataDxfId="279">
      <calculatedColumnFormula>IFERROR(IF(ISBLANK(BI$2),#REF!,IF(BI$2=$BO$1,#REF!,IF(BI$2=$BP$1,#REF!,IF(BI$2=$BQ$1,#REF!,IF(BI$2=$BR$1,#REF!,IF(BI$2=$BS$1,#REF!,IF(BI$2=$BS$1,#REF!,IF(BI$2=$BT$1,#REF!,IF(BI$2=$BU$1,#REF!,INDEX(Tiere!$BN$2:$BN$153,_xlfn.AGGREGATE(15,6,(ROW(Tiere!$BN$2:$BN$153)-1)/(--(SEARCH(BI$2,Tiere!$BN$2:$BN$153)&gt;0)),ROW()-1),1)))))))))),"")</calculatedColumnFormula>
    </tableColumn>
    <tableColumn id="26" xr3:uid="{00000000-0010-0000-0300-00001A000000}" name="Suchformel13" dataDxfId="278">
      <calculatedColumnFormula>IF(AND($A17=$BW$2,$B17=""),"",IF(AND($A17=$BW$2,$B17&lt;&gt;""),$B17,IF($A17=$BO$1,$BO$1,IF($A17=$BP$1,$BP$1,IF($A17=$BQ$1,$BQ$1,IF($A17=$BR$1,$BR$1,IF($A17=$BS$1,$BS$1,IF($A17=$BT$1,$BT$1,IF($A17=$BU$1,$BU$1,$B17)))))))))</calculatedColumnFormula>
    </tableColumn>
    <tableColumn id="27" xr3:uid="{00000000-0010-0000-0300-00001B000000}" name="B18" dataDxfId="277">
      <calculatedColumnFormula>IFERROR(IF(ISBLANK(BK$2),#REF!,IF(BK$2=$BO$1,#REF!,IF(BK$2=$BP$1,#REF!,IF(BK$2=$BQ$1,#REF!,IF(BK$2=$BR$1,#REF!,IF(BK$2=$BS$1,#REF!,IF(BK$2=$BS$1,#REF!,IF(BK$2=$BT$1,#REF!,IF(BK$2=$BU$1,#REF!,INDEX(Tiere!$BN$2:$BN$153,_xlfn.AGGREGATE(15,6,(ROW(Tiere!$BN$2:$BN$153)-1)/(--(SEARCH(BK$2,Tiere!$BN$2:$BN$153)&gt;0)),ROW()-1),1)))))))))),"")</calculatedColumnFormula>
    </tableColumn>
    <tableColumn id="28" xr3:uid="{00000000-0010-0000-0300-00001C000000}" name="Suchformel14" dataDxfId="276">
      <calculatedColumnFormula>IF(AND($A18=$BW$2,$B18=""),"",IF(AND($A18=$BW$2,$B18&lt;&gt;""),$B18,IF($A18=$BO$1,$BO$1,IF($A18=$BP$1,$BP$1,IF($A18=$BQ$1,$BQ$1,IF($A18=$BR$1,$BR$1,IF($A18=$BS$1,$BS$1,IF($A18=$BT$1,$BT$1,IF($A18=$BU$1,$BU$1,$B18)))))))))</calculatedColumnFormula>
    </tableColumn>
    <tableColumn id="29" xr3:uid="{00000000-0010-0000-0300-00001D000000}" name="B19" dataDxfId="275">
      <calculatedColumnFormula>IFERROR(IF(ISBLANK(BM$2),#REF!,IF(BM$2=$BO$1,#REF!,IF(BM$2=$BP$1,#REF!,IF(BM$2=$BQ$1,#REF!,IF(BM$2=$BR$1,#REF!,IF(BM$2=$BS$1,#REF!,IF(BM$2=$BS$1,#REF!,IF(BM$2=$BT$1,#REF!,IF(BM$2=$BU$1,#REF!,INDEX(Tiere!$BN$2:$BN$153,_xlfn.AGGREGATE(15,6,(ROW(Tiere!$BN$2:$BN$153)-1)/(--(SEARCH(BM$2,Tiere!$BN$2:$BN$153)&gt;0)),ROW()-1),1)))))))))),"")</calculatedColumnFormula>
    </tableColumn>
    <tableColumn id="30" xr3:uid="{00000000-0010-0000-0300-00001E000000}" name="Suchformel15" dataDxfId="274">
      <calculatedColumnFormula>IF(AND($A19=$BW$2,$B19=""),"",IF(AND($A19=$BW$2,$B19&lt;&gt;""),$B19,IF($A19=$BO$1,$BO$1,IF($A19=$BP$1,$BP$1,IF($A19=$BQ$1,$BQ$1,IF($A19=$BR$1,$BR$1,IF($A19=$BS$1,$BS$1,IF($A19=$BT$1,$BT$1,IF($A19=$BU$1,$BU$1,$B19)))))))))</calculatedColumnFormula>
    </tableColumn>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Liste_Tiere" displayName="Liste_Tiere" ref="BN1:BU154" totalsRowShown="0" headerRowDxfId="273" dataDxfId="272">
  <autoFilter ref="BN1:BU154" xr:uid="{00000000-0009-0000-0100-000003000000}"/>
  <tableColumns count="8">
    <tableColumn id="1" xr3:uid="{00000000-0010-0000-0400-000001000000}" name="Tiere gesamt" dataDxfId="271"/>
    <tableColumn id="2" xr3:uid="{00000000-0010-0000-0400-000002000000}" name="Rinder" dataDxfId="270"/>
    <tableColumn id="3" xr3:uid="{00000000-0010-0000-0400-000003000000}" name="Schweine" dataDxfId="269"/>
    <tableColumn id="4" xr3:uid="{00000000-0010-0000-0400-000004000000}" name="Geflügel" dataDxfId="268"/>
    <tableColumn id="5" xr3:uid="{00000000-0010-0000-0400-000005000000}" name="Schafe, Ziegen" dataDxfId="267"/>
    <tableColumn id="6" xr3:uid="{00000000-0010-0000-0400-000006000000}" name="Pferde" dataDxfId="266"/>
    <tableColumn id="7" xr3:uid="{00000000-0010-0000-0400-000007000000}" name="Weitere Tierarten" dataDxfId="265"/>
    <tableColumn id="8" xr3:uid="{00000000-0010-0000-0400-000008000000}" name="Zwergrinder" dataDxfId="26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Liste_Handelsünger" displayName="Liste_Handelsünger" ref="AJ1:BN324" totalsRowShown="0" headerRowDxfId="263">
  <autoFilter ref="AJ1:BN324" xr:uid="{00000000-0009-0000-0100-00000A000000}"/>
  <tableColumns count="31">
    <tableColumn id="1" xr3:uid="{00000000-0010-0000-0500-000001000000}" name="Handelsdünger" dataDxfId="262"/>
    <tableColumn id="2" xr3:uid="{00000000-0010-0000-0500-000002000000}" name="A3" dataDxfId="261">
      <calculatedColumnFormula>IFERROR(INDEX(Liste_Handelsünger[Handelsdünger],_xlfn.AGGREGATE(15,6,(ROW(Liste_Handelsünger[Handelsdünger])-1)/(--(SEARCH(AL$2,Liste_Handelsünger[Handelsdünger])&gt;0)),ROW()-2),1),"")</calculatedColumnFormula>
    </tableColumn>
    <tableColumn id="3" xr3:uid="{00000000-0010-0000-0500-000003000000}" name="Suchformel" dataDxfId="260">
      <calculatedColumnFormula>IF(($A$3=""),"",IF(COUNTIF(Mineral!$AJ$3:$AJ$324,$A$3),"",$A$3))</calculatedColumnFormula>
    </tableColumn>
    <tableColumn id="4" xr3:uid="{00000000-0010-0000-0500-000004000000}" name="A4" dataDxfId="259">
      <calculatedColumnFormula>IFERROR(INDEX(Liste_Handelsünger[Handelsdünger],_xlfn.AGGREGATE(15,6,(ROW(Liste_Handelsünger[Handelsdünger])-1)/(--(SEARCH(AN$2,Liste_Handelsünger[Handelsdünger])&gt;0)),ROW()-2),1),"")</calculatedColumnFormula>
    </tableColumn>
    <tableColumn id="5" xr3:uid="{00000000-0010-0000-0500-000005000000}" name="Suchformel2" dataDxfId="258">
      <calculatedColumnFormula>IF(($A4=""),"",IF(COUNTIF(Mineral!$AJ$3:$AJ$324,$A4),"",$A4))</calculatedColumnFormula>
    </tableColumn>
    <tableColumn id="6" xr3:uid="{00000000-0010-0000-0500-000006000000}" name="A5" dataDxfId="257">
      <calculatedColumnFormula>IFERROR(INDEX(Liste_Handelsünger[Handelsdünger],_xlfn.AGGREGATE(15,6,(ROW(Liste_Handelsünger[Handelsdünger])-1)/(--(SEARCH(AP$2,Liste_Handelsünger[Handelsdünger])&gt;0)),ROW()-2),1),"")</calculatedColumnFormula>
    </tableColumn>
    <tableColumn id="7" xr3:uid="{00000000-0010-0000-0500-000007000000}" name="Suchformel3" dataDxfId="256">
      <calculatedColumnFormula>IF(($A5=""),"",IF(COUNTIF(Mineral!$AJ$3:$AJ$324,$A5),"",$A5))</calculatedColumnFormula>
    </tableColumn>
    <tableColumn id="8" xr3:uid="{00000000-0010-0000-0500-000008000000}" name="A6" dataDxfId="255">
      <calculatedColumnFormula>IFERROR(INDEX(Liste_Handelsünger[Handelsdünger],_xlfn.AGGREGATE(15,6,(ROW(Liste_Handelsünger[Handelsdünger])-1)/(--(SEARCH(AR$2,Liste_Handelsünger[Handelsdünger])&gt;0)),ROW()-2),1),"")</calculatedColumnFormula>
    </tableColumn>
    <tableColumn id="9" xr3:uid="{00000000-0010-0000-0500-000009000000}" name="Suchformel4" dataDxfId="254">
      <calculatedColumnFormula>IF(($A6=""),"",IF(COUNTIF(Mineral!$AJ$3:$AJ$324,$A6),"",$A6))</calculatedColumnFormula>
    </tableColumn>
    <tableColumn id="10" xr3:uid="{00000000-0010-0000-0500-00000A000000}" name="A7" dataDxfId="253">
      <calculatedColumnFormula>IFERROR(INDEX(Liste_Handelsünger[Handelsdünger],_xlfn.AGGREGATE(15,6,(ROW(Liste_Handelsünger[Handelsdünger])-1)/(--(SEARCH(AT$2,Liste_Handelsünger[Handelsdünger])&gt;0)),ROW()-2),1),"")</calculatedColumnFormula>
    </tableColumn>
    <tableColumn id="11" xr3:uid="{00000000-0010-0000-0500-00000B000000}" name="Suchformel5" dataDxfId="252">
      <calculatedColumnFormula>IF(($A7=""),"",IF(COUNTIF(Mineral!$AJ$3:$AJ$324,$A7),"",$A7))</calculatedColumnFormula>
    </tableColumn>
    <tableColumn id="12" xr3:uid="{00000000-0010-0000-0500-00000C000000}" name="A8" dataDxfId="251">
      <calculatedColumnFormula>IFERROR(INDEX(Liste_Handelsünger[Handelsdünger],_xlfn.AGGREGATE(15,6,(ROW(Liste_Handelsünger[Handelsdünger])-1)/(--(SEARCH(AV$2,Liste_Handelsünger[Handelsdünger])&gt;0)),ROW()-2),1),"")</calculatedColumnFormula>
    </tableColumn>
    <tableColumn id="13" xr3:uid="{00000000-0010-0000-0500-00000D000000}" name="Suchformel6" dataDxfId="250">
      <calculatedColumnFormula>IF(($A8=""),"",IF(COUNTIF(Mineral!$AJ$3:$AJ$324,$A8),"",$A8))</calculatedColumnFormula>
    </tableColumn>
    <tableColumn id="14" xr3:uid="{00000000-0010-0000-0500-00000E000000}" name="A9" dataDxfId="249">
      <calculatedColumnFormula>IFERROR(INDEX(Liste_Handelsünger[Handelsdünger],_xlfn.AGGREGATE(15,6,(ROW(Liste_Handelsünger[Handelsdünger])-1)/(--(SEARCH(AX$2,Liste_Handelsünger[Handelsdünger])&gt;0)),ROW()-2),1),"")</calculatedColumnFormula>
    </tableColumn>
    <tableColumn id="15" xr3:uid="{00000000-0010-0000-0500-00000F000000}" name="Suchformel7" dataDxfId="248">
      <calculatedColumnFormula>IF(($A9=""),"",IF(COUNTIF(Mineral!$AJ$3:$AJ$324,$A9),"",$A9))</calculatedColumnFormula>
    </tableColumn>
    <tableColumn id="16" xr3:uid="{00000000-0010-0000-0500-000010000000}" name="A10" dataDxfId="247">
      <calculatedColumnFormula>IFERROR(INDEX(Liste_Handelsünger[Handelsdünger],_xlfn.AGGREGATE(15,6,(ROW(Liste_Handelsünger[Handelsdünger])-1)/(--(SEARCH(AZ$2,Liste_Handelsünger[Handelsdünger])&gt;0)),ROW()-2),1),"")</calculatedColumnFormula>
    </tableColumn>
    <tableColumn id="17" xr3:uid="{00000000-0010-0000-0500-000011000000}" name="Suchformel8" dataDxfId="246">
      <calculatedColumnFormula>IF(($A10=""),"",IF(COUNTIF(Mineral!$AJ$3:$AJ$324,$A10),"",$A10))</calculatedColumnFormula>
    </tableColumn>
    <tableColumn id="18" xr3:uid="{00000000-0010-0000-0500-000012000000}" name="A11" dataDxfId="245">
      <calculatedColumnFormula>IFERROR(INDEX(Liste_Handelsünger[Handelsdünger],_xlfn.AGGREGATE(15,6,(ROW(Liste_Handelsünger[Handelsdünger])-1)/(--(SEARCH(BB$2,Liste_Handelsünger[Handelsdünger])&gt;0)),ROW()-2),1),"")</calculatedColumnFormula>
    </tableColumn>
    <tableColumn id="19" xr3:uid="{00000000-0010-0000-0500-000013000000}" name="Suchformel9" dataDxfId="244">
      <calculatedColumnFormula>IF(($A11=""),"",IF(COUNTIF(Mineral!$AJ$3:$AJ$324,$A11),"",$A11))</calculatedColumnFormula>
    </tableColumn>
    <tableColumn id="20" xr3:uid="{00000000-0010-0000-0500-000014000000}" name="A12" dataDxfId="243">
      <calculatedColumnFormula>IFERROR(INDEX(Liste_Handelsünger[Handelsdünger],_xlfn.AGGREGATE(15,6,(ROW(Liste_Handelsünger[Handelsdünger])-1)/(--(SEARCH(BD$2,Liste_Handelsünger[Handelsdünger])&gt;0)),ROW()-2),1),"")</calculatedColumnFormula>
    </tableColumn>
    <tableColumn id="21" xr3:uid="{00000000-0010-0000-0500-000015000000}" name="Suchformel10" dataDxfId="242">
      <calculatedColumnFormula>IF(($A12=""),"",IF(COUNTIF(Mineral!$AJ$3:$AJ$324,$A12),"",$A12))</calculatedColumnFormula>
    </tableColumn>
    <tableColumn id="22" xr3:uid="{00000000-0010-0000-0500-000016000000}" name="A13" dataDxfId="241">
      <calculatedColumnFormula>IFERROR(INDEX(Liste_Handelsünger[Handelsdünger],_xlfn.AGGREGATE(15,6,(ROW(Liste_Handelsünger[Handelsdünger])-1)/(--(SEARCH(BF$2,Liste_Handelsünger[Handelsdünger])&gt;0)),ROW()-2),1),"")</calculatedColumnFormula>
    </tableColumn>
    <tableColumn id="23" xr3:uid="{00000000-0010-0000-0500-000017000000}" name="Suchformel11" dataDxfId="240">
      <calculatedColumnFormula>IF(($A13=""),"",IF(COUNTIF(Mineral!$AJ$3:$AJ$324,$A13),"",$A13))</calculatedColumnFormula>
    </tableColumn>
    <tableColumn id="24" xr3:uid="{00000000-0010-0000-0500-000018000000}" name="A14" dataDxfId="239">
      <calculatedColumnFormula>IFERROR(INDEX(Liste_Handelsünger[Handelsdünger],_xlfn.AGGREGATE(15,6,(ROW(Liste_Handelsünger[Handelsdünger])-1)/(--(SEARCH(BH$2,Liste_Handelsünger[Handelsdünger])&gt;0)),ROW()-2),1),"")</calculatedColumnFormula>
    </tableColumn>
    <tableColumn id="25" xr3:uid="{00000000-0010-0000-0500-000019000000}" name="Suchformel12" dataDxfId="238">
      <calculatedColumnFormula>IF(($A14=""),"",IF(COUNTIF(Mineral!$AJ$3:$AJ$324,$A14),"",$A14))</calculatedColumnFormula>
    </tableColumn>
    <tableColumn id="26" xr3:uid="{00000000-0010-0000-0500-00001A000000}" name="A15" dataDxfId="237">
      <calculatedColumnFormula>IFERROR(INDEX(Liste_Handelsünger[Handelsdünger],_xlfn.AGGREGATE(15,6,(ROW(Liste_Handelsünger[Handelsdünger])-1)/(--(SEARCH(BJ$2,Liste_Handelsünger[Handelsdünger])&gt;0)),ROW()-2),1),"")</calculatedColumnFormula>
    </tableColumn>
    <tableColumn id="27" xr3:uid="{00000000-0010-0000-0500-00001B000000}" name="Suchformel13" dataDxfId="236">
      <calculatedColumnFormula>IF(($A15=""),"",IF(COUNTIF(Mineral!$AJ$3:$AJ$324,$A15),"",$A15))</calculatedColumnFormula>
    </tableColumn>
    <tableColumn id="28" xr3:uid="{00000000-0010-0000-0500-00001C000000}" name="A16" dataDxfId="235">
      <calculatedColumnFormula>IFERROR(INDEX(Liste_Handelsünger[Handelsdünger],_xlfn.AGGREGATE(15,6,(ROW(Liste_Handelsünger[Handelsdünger])-1)/(--(SEARCH(BL$2,Liste_Handelsünger[Handelsdünger])&gt;0)),ROW()-2),1),"")</calculatedColumnFormula>
    </tableColumn>
    <tableColumn id="29" xr3:uid="{00000000-0010-0000-0500-00001D000000}" name="Suchformel14" dataDxfId="234"/>
    <tableColumn id="30" xr3:uid="{00000000-0010-0000-0500-00001E000000}" name="A17" dataDxfId="233">
      <calculatedColumnFormula>IFERROR(INDEX(Liste_Handelsünger[Handelsdünger],_xlfn.AGGREGATE(15,6,(ROW(Liste_Handelsünger[Handelsdünger])-1)/(--(SEARCH(BN$2,Liste_Handelsünger[Handelsdünger])&gt;0)),ROW()-2),1),"")</calculatedColumnFormula>
    </tableColumn>
    <tableColumn id="31" xr3:uid="{00000000-0010-0000-0500-00001F000000}" name="Suchformel15" dataDxfId="232">
      <calculatedColumnFormula>IF(($A17=""),"",IF(COUNTIF(Mineral!$AJ$3:$AJ$324,$A17),"",$A17))</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le7" displayName="Tabelle7" ref="AE1:AE58" totalsRowShown="0" headerRowDxfId="231" dataDxfId="230" tableBorderDxfId="229">
  <autoFilter ref="AE1:AE58" xr:uid="{00000000-0009-0000-0100-000007000000}"/>
  <tableColumns count="1">
    <tableColumn id="1" xr3:uid="{00000000-0010-0000-0600-000001000000}" name="Kulturen" dataDxfId="228"/>
  </tableColumns>
  <tableStyleInfo name="TableStyleMedium9" showFirstColumn="0" showLastColumn="0" showRowStripes="1" showColumnStripes="0"/>
</table>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imon.kriegner-schramml@lk-ooe.at" TargetMode="External"/><Relationship Id="rId1" Type="http://schemas.openxmlformats.org/officeDocument/2006/relationships/hyperlink" Target="http://www.ooe.lko.a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3.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ama.at/Fachliche-Informationen/Oepul/Listen"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oedueplanplus.at/"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4.bin"/><Relationship Id="rId1" Type="http://schemas.openxmlformats.org/officeDocument/2006/relationships/hyperlink" Target="https://www.ama.at/Fachliche-Informationen/Oepul/Listen" TargetMode="External"/><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5" tint="0.59999389629810485"/>
    <pageSetUpPr fitToPage="1"/>
  </sheetPr>
  <dimension ref="A1:K55"/>
  <sheetViews>
    <sheetView zoomScale="75" zoomScaleNormal="75" workbookViewId="0">
      <selection activeCell="C2" sqref="C2"/>
    </sheetView>
  </sheetViews>
  <sheetFormatPr baseColWidth="10" defaultColWidth="12.28515625" defaultRowHeight="12.75"/>
  <cols>
    <col min="2" max="2" width="40.28515625" customWidth="1"/>
    <col min="3" max="3" width="46.140625" customWidth="1"/>
    <col min="4" max="4" width="4.28515625" customWidth="1"/>
    <col min="6" max="6" width="34.42578125" customWidth="1"/>
    <col min="7" max="7" width="38.140625" customWidth="1"/>
    <col min="8" max="8" width="3.140625" customWidth="1"/>
    <col min="9" max="9" width="20.28515625" customWidth="1"/>
    <col min="10" max="10" width="60" customWidth="1"/>
  </cols>
  <sheetData>
    <row r="1" spans="1:11" ht="71.45" customHeight="1">
      <c r="A1" s="2376" t="s">
        <v>436</v>
      </c>
      <c r="B1" s="2376"/>
      <c r="C1" s="1044"/>
      <c r="D1" s="1045"/>
      <c r="E1" s="2377"/>
      <c r="F1" s="2377"/>
      <c r="G1" s="433" t="s">
        <v>867</v>
      </c>
      <c r="H1" s="150"/>
    </row>
    <row r="2" spans="1:11" ht="24" customHeight="1">
      <c r="A2" s="151"/>
      <c r="B2" s="149"/>
      <c r="C2" s="1893" t="s">
        <v>3051</v>
      </c>
      <c r="D2" s="149"/>
      <c r="E2" s="2378" t="s">
        <v>868</v>
      </c>
      <c r="F2" s="2378"/>
      <c r="G2" s="149"/>
      <c r="H2" s="150"/>
      <c r="I2" s="2307" t="s">
        <v>870</v>
      </c>
      <c r="J2" s="2386" t="s">
        <v>871</v>
      </c>
      <c r="K2" s="2386"/>
    </row>
    <row r="3" spans="1:11" ht="21" thickBot="1">
      <c r="A3" s="759" t="s">
        <v>422</v>
      </c>
      <c r="B3" s="760"/>
      <c r="C3" s="761"/>
      <c r="D3" s="152"/>
      <c r="E3" s="150"/>
      <c r="F3" s="150"/>
      <c r="G3" s="150"/>
      <c r="H3" s="150"/>
      <c r="I3" s="2306">
        <v>43881</v>
      </c>
      <c r="J3" s="2383" t="s">
        <v>1526</v>
      </c>
      <c r="K3" s="2383"/>
    </row>
    <row r="4" spans="1:11" ht="20.25" customHeight="1">
      <c r="A4" s="2379" t="s">
        <v>2406</v>
      </c>
      <c r="B4" s="2379"/>
      <c r="C4" s="2379"/>
      <c r="D4" s="149"/>
      <c r="E4" s="2246" t="s">
        <v>869</v>
      </c>
      <c r="F4" s="2247"/>
      <c r="G4" s="2248"/>
      <c r="H4" s="150"/>
      <c r="I4" s="2308">
        <v>44032</v>
      </c>
      <c r="J4" s="2383" t="s">
        <v>1567</v>
      </c>
      <c r="K4" s="2383"/>
    </row>
    <row r="5" spans="1:11" ht="21" customHeight="1">
      <c r="A5" s="2379"/>
      <c r="B5" s="2379"/>
      <c r="C5" s="2379"/>
      <c r="D5" s="149"/>
      <c r="E5" s="2380" t="s">
        <v>872</v>
      </c>
      <c r="F5" s="2381"/>
      <c r="G5" s="2382"/>
      <c r="H5" s="150"/>
      <c r="I5" s="2375">
        <v>44222</v>
      </c>
      <c r="J5" s="2384" t="s">
        <v>1603</v>
      </c>
      <c r="K5" s="2384"/>
    </row>
    <row r="6" spans="1:11" ht="21" customHeight="1">
      <c r="A6" s="2379"/>
      <c r="B6" s="2379"/>
      <c r="C6" s="2379"/>
      <c r="D6" s="149"/>
      <c r="E6" s="2380"/>
      <c r="F6" s="2381"/>
      <c r="G6" s="2382"/>
      <c r="H6" s="150"/>
      <c r="I6" s="2375"/>
      <c r="J6" s="2384"/>
      <c r="K6" s="2384"/>
    </row>
    <row r="7" spans="1:11" ht="21" customHeight="1">
      <c r="A7" s="2379"/>
      <c r="B7" s="2379"/>
      <c r="C7" s="2379"/>
      <c r="D7" s="149"/>
      <c r="E7" s="2380"/>
      <c r="F7" s="2381"/>
      <c r="G7" s="2382"/>
      <c r="H7" s="150"/>
      <c r="I7" s="2415" t="s">
        <v>1685</v>
      </c>
      <c r="J7" s="2385" t="s">
        <v>1684</v>
      </c>
      <c r="K7" s="2385"/>
    </row>
    <row r="8" spans="1:11" ht="15" customHeight="1">
      <c r="A8" s="762" t="s">
        <v>873</v>
      </c>
      <c r="B8" s="763"/>
      <c r="C8" s="763"/>
      <c r="D8" s="149"/>
      <c r="E8" s="2380" t="s">
        <v>874</v>
      </c>
      <c r="F8" s="2381"/>
      <c r="G8" s="2382"/>
      <c r="H8" s="150"/>
      <c r="I8" s="2415"/>
      <c r="J8" s="2385"/>
      <c r="K8" s="2385"/>
    </row>
    <row r="9" spans="1:11" ht="15" customHeight="1">
      <c r="A9" s="764" t="s">
        <v>875</v>
      </c>
      <c r="B9" s="763"/>
      <c r="C9" s="763"/>
      <c r="D9" s="149"/>
      <c r="E9" s="2380"/>
      <c r="F9" s="2381"/>
      <c r="G9" s="2382"/>
      <c r="H9" s="150"/>
      <c r="I9" s="2415"/>
      <c r="J9" s="2385"/>
      <c r="K9" s="2385"/>
    </row>
    <row r="10" spans="1:11" ht="16.5" customHeight="1">
      <c r="A10" s="2406" t="s">
        <v>1420</v>
      </c>
      <c r="B10" s="2406"/>
      <c r="C10" s="2406"/>
      <c r="D10" s="149"/>
      <c r="E10" s="2380"/>
      <c r="F10" s="2381"/>
      <c r="G10" s="2382"/>
      <c r="H10" s="150"/>
      <c r="I10" s="2416">
        <v>45038</v>
      </c>
      <c r="J10" s="2385" t="s">
        <v>2846</v>
      </c>
      <c r="K10" s="2385"/>
    </row>
    <row r="11" spans="1:11" ht="16.5" customHeight="1">
      <c r="A11" s="2406"/>
      <c r="B11" s="2406"/>
      <c r="C11" s="2406"/>
      <c r="D11" s="149"/>
      <c r="E11" s="2380"/>
      <c r="F11" s="2381"/>
      <c r="G11" s="2382"/>
      <c r="H11" s="150"/>
      <c r="I11" s="2416"/>
      <c r="J11" s="2385"/>
      <c r="K11" s="2385"/>
    </row>
    <row r="12" spans="1:11" ht="16.5" customHeight="1">
      <c r="A12" s="2406"/>
      <c r="B12" s="2406"/>
      <c r="C12" s="2406"/>
      <c r="D12" s="149"/>
      <c r="E12" s="2409" t="s">
        <v>2899</v>
      </c>
      <c r="F12" s="2410"/>
      <c r="G12" s="2411"/>
      <c r="H12" s="150"/>
      <c r="I12" s="2416"/>
      <c r="J12" s="2385"/>
      <c r="K12" s="2385"/>
    </row>
    <row r="13" spans="1:11" ht="16.5" customHeight="1">
      <c r="A13" s="2406"/>
      <c r="B13" s="2406"/>
      <c r="C13" s="2406"/>
      <c r="D13" s="149"/>
      <c r="E13" s="2409"/>
      <c r="F13" s="2410"/>
      <c r="G13" s="2411"/>
      <c r="H13" s="150"/>
      <c r="I13" s="2416"/>
      <c r="J13" s="2385"/>
      <c r="K13" s="2385"/>
    </row>
    <row r="14" spans="1:11" ht="15.95" customHeight="1">
      <c r="A14" s="765" t="s">
        <v>876</v>
      </c>
      <c r="B14" s="763"/>
      <c r="C14" s="763"/>
      <c r="D14" s="149"/>
      <c r="E14" s="2409"/>
      <c r="F14" s="2410"/>
      <c r="G14" s="2411"/>
      <c r="H14" s="150"/>
      <c r="I14" s="2416"/>
      <c r="J14" s="2385"/>
      <c r="K14" s="2385"/>
    </row>
    <row r="15" spans="1:11" ht="15.95" customHeight="1">
      <c r="A15" s="2407" t="s">
        <v>877</v>
      </c>
      <c r="B15" s="2407"/>
      <c r="C15" s="2407"/>
      <c r="D15" s="149"/>
      <c r="E15" s="2409"/>
      <c r="F15" s="2410"/>
      <c r="G15" s="2411"/>
      <c r="H15" s="150"/>
      <c r="I15" s="2375">
        <v>45049</v>
      </c>
      <c r="J15" s="2385" t="s">
        <v>2898</v>
      </c>
      <c r="K15" s="2385"/>
    </row>
    <row r="16" spans="1:11" ht="13.5" customHeight="1" thickBot="1">
      <c r="A16" s="2407"/>
      <c r="B16" s="2407"/>
      <c r="C16" s="2407"/>
      <c r="D16" s="149"/>
      <c r="E16" s="2412"/>
      <c r="F16" s="2413"/>
      <c r="G16" s="2414"/>
      <c r="H16" s="150"/>
      <c r="I16" s="2375"/>
      <c r="J16" s="2385"/>
      <c r="K16" s="2385"/>
    </row>
    <row r="17" spans="1:11" ht="16.5" customHeight="1">
      <c r="A17" s="2407"/>
      <c r="B17" s="2407"/>
      <c r="C17" s="2407"/>
      <c r="D17" s="149"/>
      <c r="E17" s="150"/>
      <c r="F17" s="150"/>
      <c r="G17" s="150"/>
      <c r="H17" s="150"/>
      <c r="I17" s="2375">
        <v>45058</v>
      </c>
      <c r="J17" s="2384" t="s">
        <v>2921</v>
      </c>
      <c r="K17" s="2384"/>
    </row>
    <row r="18" spans="1:11" ht="21" customHeight="1">
      <c r="A18" s="2407"/>
      <c r="B18" s="2407"/>
      <c r="C18" s="2407"/>
      <c r="D18" s="153"/>
      <c r="E18" s="756" t="s">
        <v>878</v>
      </c>
      <c r="F18" s="757"/>
      <c r="G18" s="1544" t="s">
        <v>1527</v>
      </c>
      <c r="H18" s="150"/>
      <c r="I18" s="2375"/>
      <c r="J18" s="2384"/>
      <c r="K18" s="2384"/>
    </row>
    <row r="19" spans="1:11" ht="19.5" customHeight="1">
      <c r="A19" s="2407"/>
      <c r="B19" s="2407"/>
      <c r="C19" s="2407"/>
      <c r="D19" s="153"/>
      <c r="E19" s="2408" t="s">
        <v>879</v>
      </c>
      <c r="F19" s="2408"/>
      <c r="G19" s="758" t="s">
        <v>880</v>
      </c>
      <c r="H19" s="150"/>
      <c r="I19" s="2375"/>
      <c r="J19" s="2384"/>
      <c r="K19" s="2384"/>
    </row>
    <row r="20" spans="1:11" ht="18.75" customHeight="1" thickBot="1">
      <c r="A20" s="765" t="s">
        <v>881</v>
      </c>
      <c r="B20" s="763"/>
      <c r="C20" s="763"/>
      <c r="D20" s="153"/>
      <c r="F20" s="149"/>
      <c r="G20" s="149"/>
      <c r="H20" s="150"/>
      <c r="I20" s="2417">
        <v>45110</v>
      </c>
      <c r="J20" s="2384" t="s">
        <v>2933</v>
      </c>
      <c r="K20" s="2384"/>
    </row>
    <row r="21" spans="1:11" ht="16.5" customHeight="1">
      <c r="A21" s="2407" t="s">
        <v>882</v>
      </c>
      <c r="B21" s="2407"/>
      <c r="C21" s="2407"/>
      <c r="D21" s="153"/>
      <c r="E21" s="2234" t="s">
        <v>883</v>
      </c>
      <c r="F21" s="2235"/>
      <c r="G21" s="2236"/>
      <c r="H21" s="150"/>
      <c r="I21" s="2417"/>
      <c r="J21" s="2384"/>
      <c r="K21" s="2384"/>
    </row>
    <row r="22" spans="1:11" ht="17.45" customHeight="1">
      <c r="A22" s="2407"/>
      <c r="B22" s="2407"/>
      <c r="C22" s="2407"/>
      <c r="D22" s="153"/>
      <c r="E22" s="2418" t="s">
        <v>884</v>
      </c>
      <c r="F22" s="2419"/>
      <c r="G22" s="2420"/>
      <c r="H22" s="150"/>
      <c r="I22" s="2417">
        <v>45125</v>
      </c>
      <c r="J22" s="2384" t="s">
        <v>2935</v>
      </c>
      <c r="K22" s="2384"/>
    </row>
    <row r="23" spans="1:11" ht="16.5" customHeight="1">
      <c r="A23" s="2407"/>
      <c r="B23" s="2407"/>
      <c r="C23" s="2407"/>
      <c r="D23" s="153"/>
      <c r="E23" s="2418"/>
      <c r="F23" s="2419"/>
      <c r="G23" s="2420"/>
      <c r="H23" s="150"/>
      <c r="I23" s="2417"/>
      <c r="J23" s="2384"/>
      <c r="K23" s="2384"/>
    </row>
    <row r="24" spans="1:11" ht="19.350000000000001" customHeight="1">
      <c r="A24" s="765" t="s">
        <v>885</v>
      </c>
      <c r="B24" s="763"/>
      <c r="C24" s="763"/>
      <c r="D24" s="149"/>
      <c r="E24" s="2237"/>
      <c r="F24" s="2238" t="s">
        <v>386</v>
      </c>
      <c r="G24" s="2239"/>
      <c r="H24" s="150"/>
      <c r="I24" s="2319">
        <v>45163</v>
      </c>
      <c r="J24" s="2421" t="s">
        <v>2939</v>
      </c>
      <c r="K24" s="2422"/>
    </row>
    <row r="25" spans="1:11" ht="28.5" customHeight="1">
      <c r="A25" s="2396" t="s">
        <v>1421</v>
      </c>
      <c r="B25" s="2396"/>
      <c r="C25" s="2396"/>
      <c r="D25" s="149"/>
      <c r="E25" s="2403"/>
      <c r="F25" s="2397" t="s">
        <v>2900</v>
      </c>
      <c r="G25" s="2398"/>
      <c r="H25" s="150"/>
      <c r="I25" s="2372">
        <v>45377</v>
      </c>
      <c r="J25" s="2423" t="s">
        <v>3032</v>
      </c>
      <c r="K25" s="2423"/>
    </row>
    <row r="26" spans="1:11" ht="28.5" customHeight="1">
      <c r="A26" s="2396"/>
      <c r="B26" s="2396"/>
      <c r="C26" s="2396"/>
      <c r="D26" s="149"/>
      <c r="E26" s="2404"/>
      <c r="F26" s="2399"/>
      <c r="G26" s="2400"/>
      <c r="H26" s="150"/>
      <c r="I26" s="2372">
        <v>45988</v>
      </c>
      <c r="J26" s="2423" t="s">
        <v>3052</v>
      </c>
      <c r="K26" s="2423"/>
    </row>
    <row r="27" spans="1:11" ht="30" customHeight="1">
      <c r="A27" s="2396"/>
      <c r="B27" s="2396"/>
      <c r="C27" s="2396"/>
      <c r="D27" s="149"/>
      <c r="E27" s="2405"/>
      <c r="F27" s="2401"/>
      <c r="G27" s="2402"/>
      <c r="H27" s="150"/>
    </row>
    <row r="28" spans="1:11" ht="29.25" customHeight="1">
      <c r="A28" s="2396"/>
      <c r="B28" s="2396"/>
      <c r="C28" s="2396"/>
      <c r="D28" s="149"/>
      <c r="E28" s="2240"/>
      <c r="F28" s="2241" t="s">
        <v>886</v>
      </c>
      <c r="G28" s="2242"/>
      <c r="H28" s="150"/>
    </row>
    <row r="29" spans="1:11" ht="20.25" customHeight="1">
      <c r="A29" s="762" t="s">
        <v>887</v>
      </c>
      <c r="B29" s="763"/>
      <c r="C29" s="763"/>
      <c r="D29" s="149"/>
      <c r="E29" s="2243" t="s">
        <v>888</v>
      </c>
      <c r="F29" s="2244"/>
      <c r="G29" s="2245"/>
      <c r="H29" s="150"/>
    </row>
    <row r="30" spans="1:11" ht="41.25" customHeight="1">
      <c r="A30" s="386" t="e">
        <f>{#REF!}</f>
        <v>#REF!</v>
      </c>
      <c r="B30" s="2387" t="s">
        <v>889</v>
      </c>
      <c r="C30" s="2387"/>
      <c r="D30" s="149"/>
      <c r="E30" s="2390" t="s">
        <v>337</v>
      </c>
      <c r="F30" s="2391"/>
      <c r="G30" s="2392"/>
      <c r="H30" s="150"/>
    </row>
    <row r="31" spans="1:11" ht="9.1999999999999993" customHeight="1">
      <c r="A31" s="385"/>
      <c r="B31" s="150"/>
      <c r="C31" s="150"/>
      <c r="D31" s="149"/>
      <c r="E31" s="2390"/>
      <c r="F31" s="2391"/>
      <c r="G31" s="2392"/>
      <c r="H31" s="150"/>
    </row>
    <row r="32" spans="1:11" ht="61.7" customHeight="1">
      <c r="A32" s="386" t="e">
        <f>{#VALUE!}</f>
        <v>#VALUE!</v>
      </c>
      <c r="B32" s="2388" t="s">
        <v>336</v>
      </c>
      <c r="C32" s="2389"/>
      <c r="D32" s="149"/>
      <c r="E32" s="2390"/>
      <c r="F32" s="2391"/>
      <c r="G32" s="2392"/>
      <c r="H32" s="150"/>
    </row>
    <row r="33" spans="1:8" ht="9.1999999999999993" customHeight="1">
      <c r="A33" s="385"/>
      <c r="B33" s="150"/>
      <c r="C33" s="150"/>
      <c r="D33" s="149"/>
      <c r="E33" s="2390"/>
      <c r="F33" s="2391"/>
      <c r="G33" s="2392"/>
      <c r="H33" s="150"/>
    </row>
    <row r="34" spans="1:8" ht="38.25" customHeight="1" thickBot="1">
      <c r="A34" s="387" t="e">
        <f>{#N/A}</f>
        <v>#N/A</v>
      </c>
      <c r="B34" s="2387" t="s">
        <v>890</v>
      </c>
      <c r="C34" s="2387"/>
      <c r="D34" s="149"/>
      <c r="E34" s="2393"/>
      <c r="F34" s="2394"/>
      <c r="G34" s="2395"/>
      <c r="H34" s="150"/>
    </row>
    <row r="35" spans="1:8">
      <c r="D35" s="149"/>
      <c r="E35" s="150"/>
      <c r="F35" s="150"/>
      <c r="G35" s="150"/>
      <c r="H35" s="150"/>
    </row>
    <row r="36" spans="1:8">
      <c r="D36" s="149"/>
      <c r="E36" s="150"/>
      <c r="F36" s="150"/>
      <c r="G36" s="150"/>
      <c r="H36" s="150"/>
    </row>
    <row r="37" spans="1:8">
      <c r="D37" s="149"/>
    </row>
    <row r="38" spans="1:8">
      <c r="D38" s="149"/>
    </row>
    <row r="39" spans="1:8">
      <c r="D39" s="149"/>
    </row>
    <row r="41" spans="1:8">
      <c r="D41" s="149"/>
    </row>
    <row r="42" spans="1:8">
      <c r="D42" s="149"/>
    </row>
    <row r="43" spans="1:8" ht="14.25" customHeight="1">
      <c r="D43" s="149"/>
    </row>
    <row r="44" spans="1:8">
      <c r="D44" s="149"/>
    </row>
    <row r="45" spans="1:8">
      <c r="D45" s="149"/>
    </row>
    <row r="46" spans="1:8">
      <c r="D46" s="149"/>
    </row>
    <row r="47" spans="1:8">
      <c r="D47" s="149"/>
    </row>
    <row r="49" spans="4:7" ht="15">
      <c r="D49" s="149"/>
      <c r="E49" s="155"/>
      <c r="F49" s="149"/>
      <c r="G49" s="149"/>
    </row>
    <row r="50" spans="4:7">
      <c r="D50" s="149"/>
      <c r="E50" s="149"/>
      <c r="F50" s="149"/>
      <c r="G50" s="149"/>
    </row>
    <row r="51" spans="4:7" ht="15">
      <c r="D51" s="149"/>
      <c r="E51" s="155"/>
      <c r="F51" s="149"/>
      <c r="G51" s="149"/>
    </row>
    <row r="52" spans="4:7">
      <c r="D52" s="149"/>
      <c r="E52" s="149"/>
      <c r="F52" s="149"/>
      <c r="G52" s="149"/>
    </row>
    <row r="53" spans="4:7" ht="15">
      <c r="D53" s="149"/>
      <c r="E53" s="155"/>
      <c r="F53" s="149"/>
      <c r="G53" s="149"/>
    </row>
    <row r="54" spans="4:7">
      <c r="D54" s="149"/>
      <c r="E54" s="149"/>
      <c r="F54" s="149"/>
      <c r="G54" s="149"/>
    </row>
    <row r="55" spans="4:7" ht="15">
      <c r="D55" s="149"/>
      <c r="E55" s="155"/>
      <c r="F55" s="149"/>
      <c r="G55" s="149"/>
    </row>
  </sheetData>
  <sheetProtection algorithmName="SHA-512" hashValue="gZCgHaBCuhpPofyGMO9XhUfw1LINw28YzNDUelALU9sq8vO6IkLNGOiAx72TtDTXdHr4/tElgsK6K//uP89Waw==" saltValue="NzdBH9pVAFEYpox+B8ASBw==" spinCount="100000" sheet="1" formatCells="0" formatRows="0"/>
  <mergeCells count="39">
    <mergeCell ref="I20:I21"/>
    <mergeCell ref="A21:C23"/>
    <mergeCell ref="E22:G23"/>
    <mergeCell ref="B30:C30"/>
    <mergeCell ref="J20:K21"/>
    <mergeCell ref="J22:K23"/>
    <mergeCell ref="I22:I23"/>
    <mergeCell ref="J24:K24"/>
    <mergeCell ref="J25:K25"/>
    <mergeCell ref="J26:K26"/>
    <mergeCell ref="J10:K14"/>
    <mergeCell ref="J15:K16"/>
    <mergeCell ref="J17:K19"/>
    <mergeCell ref="I7:I9"/>
    <mergeCell ref="I10:I14"/>
    <mergeCell ref="A10:C13"/>
    <mergeCell ref="A15:C19"/>
    <mergeCell ref="E19:F19"/>
    <mergeCell ref="I15:I16"/>
    <mergeCell ref="I17:I19"/>
    <mergeCell ref="E12:G16"/>
    <mergeCell ref="E8:G11"/>
    <mergeCell ref="B34:C34"/>
    <mergeCell ref="B32:C32"/>
    <mergeCell ref="E30:G34"/>
    <mergeCell ref="A25:C28"/>
    <mergeCell ref="F25:G27"/>
    <mergeCell ref="E25:E27"/>
    <mergeCell ref="J3:K3"/>
    <mergeCell ref="J4:K4"/>
    <mergeCell ref="J5:K6"/>
    <mergeCell ref="J7:K9"/>
    <mergeCell ref="J2:K2"/>
    <mergeCell ref="I5:I6"/>
    <mergeCell ref="A1:B1"/>
    <mergeCell ref="E1:F1"/>
    <mergeCell ref="E2:F2"/>
    <mergeCell ref="A4:C7"/>
    <mergeCell ref="E5:G7"/>
  </mergeCells>
  <phoneticPr fontId="41" type="noConversion"/>
  <hyperlinks>
    <hyperlink ref="G1" location="Betrieb!B3" display="  ►" xr:uid="{00000000-0004-0000-0000-000000000000}"/>
    <hyperlink ref="E2" r:id="rId1" xr:uid="{00000000-0004-0000-0000-000001000000}"/>
    <hyperlink ref="G18" r:id="rId2" xr:uid="{00000000-0004-0000-0000-000002000000}"/>
  </hyperlinks>
  <printOptions horizontalCentered="1" verticalCentered="1"/>
  <pageMargins left="0.47244094488188981" right="0.55118110236220474" top="0.59055118110236227" bottom="0.59055118110236227" header="0.51181102362204722" footer="0.31496062992125984"/>
  <pageSetup paperSize="9" scale="95" firstPageNumber="0" pageOrder="overThenDown" orientation="portrait" blackAndWhite="1" horizontalDpi="300" verticalDpi="300" r:id="rId3"/>
  <headerFooter alignWithMargins="0">
    <oddHeader xml:space="preserve">&amp;R
</oddHeader>
    <oddFooter>&amp;L&amp;F&amp;C&amp;A&amp;R&amp;P von &amp;N</oddFooter>
  </headerFooter>
  <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3">
    <tabColor rgb="FFFFFF00"/>
    <pageSetUpPr fitToPage="1"/>
  </sheetPr>
  <dimension ref="A1:XFD390"/>
  <sheetViews>
    <sheetView topLeftCell="A6" zoomScaleNormal="100" workbookViewId="0">
      <selection activeCell="A10" sqref="A10"/>
    </sheetView>
  </sheetViews>
  <sheetFormatPr baseColWidth="10" defaultRowHeight="12.75"/>
  <cols>
    <col min="1" max="1" width="51.85546875" customWidth="1"/>
    <col min="2" max="2" width="45.7109375" customWidth="1"/>
    <col min="3" max="3" width="17.42578125" customWidth="1"/>
    <col min="4" max="4" width="10.28515625" customWidth="1"/>
    <col min="5" max="5" width="10" customWidth="1"/>
    <col min="8" max="8" width="11.5703125" customWidth="1"/>
    <col min="11" max="11" width="12.140625" customWidth="1"/>
    <col min="12" max="15" width="11.42578125" hidden="1" customWidth="1"/>
    <col min="16" max="16" width="20.28515625" hidden="1" customWidth="1"/>
    <col min="17" max="18" width="11.42578125" hidden="1" customWidth="1"/>
    <col min="19" max="19" width="53.28515625" hidden="1" customWidth="1"/>
    <col min="20" max="20" width="14.5703125" hidden="1" customWidth="1"/>
    <col min="21" max="21" width="11.42578125" style="3120" hidden="1" customWidth="1"/>
    <col min="22" max="22" width="12.85546875" style="3120" hidden="1" customWidth="1"/>
    <col min="23" max="23" width="63.5703125" hidden="1" customWidth="1"/>
    <col min="24" max="25" width="11.42578125" hidden="1" customWidth="1"/>
    <col min="26" max="26" width="16.140625" hidden="1" customWidth="1"/>
    <col min="27" max="27" width="11.42578125" hidden="1" customWidth="1"/>
    <col min="28" max="28" width="12.7109375" hidden="1" customWidth="1"/>
    <col min="29" max="29" width="11.42578125" hidden="1" customWidth="1"/>
    <col min="30" max="30" width="12.7109375" hidden="1" customWidth="1"/>
    <col min="31" max="31" width="11.42578125" hidden="1" customWidth="1"/>
    <col min="32" max="32" width="13.28515625" hidden="1" customWidth="1"/>
    <col min="33" max="34" width="11.42578125" hidden="1" customWidth="1"/>
    <col min="35" max="35" width="83" hidden="1" customWidth="1"/>
    <col min="36" max="36" width="28.85546875" hidden="1" customWidth="1"/>
    <col min="37" max="37" width="22.42578125" hidden="1" customWidth="1"/>
    <col min="38" max="38" width="10.85546875" hidden="1" customWidth="1"/>
    <col min="39" max="39" width="9.42578125" hidden="1" customWidth="1"/>
    <col min="40" max="41" width="11.42578125" hidden="1" customWidth="1"/>
    <col min="42" max="42" width="12.7109375" bestFit="1" customWidth="1"/>
    <col min="47" max="47" width="13.28515625" bestFit="1" customWidth="1"/>
  </cols>
  <sheetData>
    <row r="1" spans="1:16384" customFormat="1" ht="12.75" customHeight="1">
      <c r="A1" s="2777" t="s">
        <v>2407</v>
      </c>
      <c r="B1" s="2777"/>
      <c r="C1" s="2777"/>
      <c r="D1" s="2777"/>
      <c r="E1" s="2777"/>
      <c r="F1" s="2783" t="s">
        <v>891</v>
      </c>
      <c r="G1" s="2786" t="s">
        <v>867</v>
      </c>
      <c r="H1" s="1960"/>
      <c r="I1" s="1960"/>
      <c r="J1" s="1960"/>
      <c r="K1" s="2053"/>
      <c r="L1" s="2053"/>
      <c r="M1" s="2776"/>
      <c r="N1" s="2776"/>
      <c r="O1" s="2776"/>
      <c r="P1" s="2776"/>
      <c r="Q1" s="2776"/>
      <c r="R1" s="2776"/>
      <c r="S1" s="2776"/>
      <c r="T1" s="2776"/>
      <c r="U1" s="2776"/>
      <c r="V1" s="2776"/>
      <c r="W1" s="2776"/>
      <c r="X1" s="2776"/>
      <c r="Y1" s="2776"/>
      <c r="Z1" s="2776"/>
      <c r="AA1" s="2776"/>
      <c r="AB1" s="2776"/>
      <c r="AC1" s="2776"/>
      <c r="AD1" s="2776"/>
      <c r="AE1" s="2776"/>
      <c r="AF1" s="2776"/>
      <c r="AG1" s="2776"/>
      <c r="AH1" s="2776"/>
      <c r="AI1" s="2776"/>
      <c r="AJ1" s="2776"/>
      <c r="AK1" s="2776"/>
      <c r="AL1" s="2776"/>
      <c r="AM1" s="2776"/>
      <c r="AN1" s="2776"/>
      <c r="AO1" s="2776"/>
      <c r="AP1" s="2776"/>
      <c r="AQ1" s="2776"/>
      <c r="AR1" s="2776"/>
      <c r="AS1" s="2776"/>
      <c r="AT1" s="2776"/>
      <c r="AU1" s="2776"/>
      <c r="AV1" s="2776"/>
      <c r="AW1" s="2776"/>
      <c r="AX1" s="2775"/>
      <c r="AY1" s="2775"/>
      <c r="AZ1" s="2775"/>
      <c r="BA1" s="2775"/>
      <c r="BB1" s="2775"/>
      <c r="BC1" s="2775"/>
      <c r="BD1" s="2775"/>
      <c r="BE1" s="2775"/>
      <c r="BF1" s="2775"/>
      <c r="BG1" s="2775"/>
      <c r="BH1" s="2775"/>
      <c r="BI1" s="2775"/>
      <c r="BJ1" s="2775"/>
      <c r="BK1" s="2775"/>
      <c r="BL1" s="2775"/>
      <c r="BM1" s="2775"/>
      <c r="BN1" s="2775"/>
      <c r="BO1" s="2775"/>
      <c r="BP1" s="2775"/>
      <c r="BQ1" s="2775"/>
      <c r="BR1" s="2775"/>
      <c r="BS1" s="2775"/>
      <c r="BT1" s="2775"/>
      <c r="BU1" s="2775"/>
      <c r="BV1" s="2775"/>
      <c r="BW1" s="2775"/>
      <c r="BX1" s="2775"/>
      <c r="BY1" s="2775"/>
      <c r="BZ1" s="2775"/>
      <c r="CA1" s="2775"/>
      <c r="CB1" s="2775"/>
      <c r="CC1" s="2775"/>
      <c r="CD1" s="2775"/>
      <c r="CE1" s="2775"/>
      <c r="CF1" s="2775"/>
      <c r="CG1" s="2775"/>
      <c r="CH1" s="2775"/>
      <c r="CI1" s="2775"/>
      <c r="CJ1" s="2775"/>
      <c r="CK1" s="2775"/>
      <c r="CL1" s="2775"/>
      <c r="CM1" s="2775"/>
      <c r="CN1" s="2775"/>
      <c r="CO1" s="2775"/>
      <c r="CP1" s="2775"/>
      <c r="CQ1" s="2775"/>
      <c r="CR1" s="2775"/>
      <c r="CS1" s="2775"/>
      <c r="CT1" s="2775"/>
      <c r="CU1" s="2775"/>
      <c r="CV1" s="2775"/>
      <c r="CW1" s="2775"/>
      <c r="CX1" s="2775"/>
      <c r="CY1" s="2775"/>
      <c r="CZ1" s="2775"/>
      <c r="DA1" s="2775"/>
      <c r="DB1" s="2775"/>
      <c r="DC1" s="2775"/>
      <c r="DD1" s="2775"/>
      <c r="DE1" s="2775"/>
      <c r="DF1" s="2775"/>
      <c r="DG1" s="2775"/>
      <c r="DH1" s="2775"/>
      <c r="DI1" s="2775"/>
      <c r="DJ1" s="2775"/>
      <c r="DK1" s="2775"/>
      <c r="DL1" s="2775"/>
      <c r="DM1" s="2775"/>
      <c r="DN1" s="2775"/>
      <c r="DO1" s="2775"/>
      <c r="DP1" s="2775"/>
      <c r="DQ1" s="2775"/>
      <c r="DR1" s="2775"/>
      <c r="DS1" s="2775"/>
      <c r="DT1" s="2775"/>
      <c r="DU1" s="2775"/>
      <c r="DV1" s="2775"/>
      <c r="DW1" s="2775"/>
      <c r="DX1" s="2775"/>
      <c r="DY1" s="2775"/>
      <c r="DZ1" s="2775"/>
      <c r="EA1" s="2775"/>
      <c r="EB1" s="2775"/>
      <c r="EC1" s="2775"/>
      <c r="ED1" s="2775"/>
      <c r="EE1" s="2775"/>
      <c r="EF1" s="2775"/>
      <c r="EG1" s="2775"/>
      <c r="EH1" s="2775"/>
      <c r="EI1" s="2775"/>
      <c r="EJ1" s="2775"/>
      <c r="EK1" s="2775"/>
      <c r="EL1" s="2775"/>
      <c r="EM1" s="2775"/>
      <c r="EN1" s="2775"/>
      <c r="EO1" s="2775"/>
      <c r="EP1" s="2775"/>
      <c r="EQ1" s="2775"/>
      <c r="ER1" s="2775"/>
      <c r="ES1" s="2775"/>
      <c r="ET1" s="2775"/>
      <c r="EU1" s="2775"/>
      <c r="EV1" s="2775"/>
      <c r="EW1" s="2775"/>
      <c r="EX1" s="2775"/>
      <c r="EY1" s="2775"/>
      <c r="EZ1" s="2775"/>
      <c r="FA1" s="2775"/>
      <c r="FB1" s="2775"/>
      <c r="FC1" s="2775"/>
      <c r="FD1" s="2775"/>
      <c r="FE1" s="2775"/>
      <c r="FF1" s="2775"/>
      <c r="FG1" s="2775"/>
      <c r="FH1" s="2775"/>
      <c r="FI1" s="2775"/>
      <c r="FJ1" s="2775"/>
      <c r="FK1" s="2775"/>
      <c r="FL1" s="2775"/>
      <c r="FM1" s="2775"/>
      <c r="FN1" s="2775"/>
      <c r="FO1" s="2775"/>
      <c r="FP1" s="2775"/>
      <c r="FQ1" s="2775"/>
      <c r="FR1" s="2775"/>
      <c r="FS1" s="2775"/>
      <c r="FT1" s="2775"/>
      <c r="FU1" s="2775"/>
      <c r="FV1" s="2775"/>
      <c r="FW1" s="2775"/>
      <c r="FX1" s="2775"/>
      <c r="FY1" s="2775"/>
      <c r="FZ1" s="2775"/>
      <c r="GA1" s="2775"/>
      <c r="GB1" s="2775"/>
      <c r="GC1" s="2775"/>
      <c r="GD1" s="2775"/>
      <c r="GE1" s="2775"/>
      <c r="GF1" s="2775"/>
      <c r="GG1" s="2775"/>
      <c r="GH1" s="2775"/>
      <c r="GI1" s="2775"/>
      <c r="GJ1" s="2775"/>
      <c r="GK1" s="2775"/>
      <c r="GL1" s="2775"/>
      <c r="GM1" s="2775"/>
      <c r="GN1" s="2775"/>
      <c r="GO1" s="2775"/>
      <c r="GP1" s="2775"/>
      <c r="GQ1" s="2775"/>
      <c r="GR1" s="2775"/>
      <c r="GS1" s="2775"/>
      <c r="GT1" s="2775"/>
      <c r="GU1" s="2775"/>
      <c r="GV1" s="2775"/>
      <c r="GW1" s="2775"/>
      <c r="GX1" s="2775"/>
      <c r="GY1" s="2775"/>
      <c r="GZ1" s="2775"/>
      <c r="HA1" s="2775"/>
      <c r="HB1" s="2775"/>
      <c r="HC1" s="2775"/>
      <c r="HD1" s="2775"/>
      <c r="HE1" s="2775"/>
      <c r="HF1" s="2775"/>
      <c r="HG1" s="2775"/>
      <c r="HH1" s="2775"/>
      <c r="HI1" s="2775"/>
      <c r="HJ1" s="2775"/>
      <c r="HK1" s="2775"/>
      <c r="HL1" s="2775"/>
      <c r="HM1" s="2775"/>
      <c r="HN1" s="2775"/>
      <c r="HO1" s="2775"/>
      <c r="HP1" s="2775"/>
      <c r="HQ1" s="2775"/>
      <c r="HR1" s="2775"/>
      <c r="HS1" s="2775"/>
      <c r="HT1" s="2775"/>
      <c r="HU1" s="2775"/>
      <c r="HV1" s="2775"/>
      <c r="HW1" s="2775"/>
      <c r="HX1" s="2775"/>
      <c r="HY1" s="2775"/>
      <c r="HZ1" s="2775"/>
      <c r="IA1" s="2775"/>
      <c r="IB1" s="2775"/>
      <c r="IC1" s="2775"/>
      <c r="ID1" s="2775"/>
      <c r="IE1" s="2775"/>
      <c r="IF1" s="2775"/>
      <c r="IG1" s="2775"/>
      <c r="IH1" s="2775"/>
      <c r="II1" s="2775"/>
      <c r="IJ1" s="2775"/>
      <c r="IK1" s="2775"/>
      <c r="IL1" s="2775"/>
      <c r="IM1" s="2775"/>
      <c r="IN1" s="2775"/>
      <c r="IO1" s="2775"/>
      <c r="IP1" s="2775"/>
      <c r="IQ1" s="2775"/>
      <c r="IR1" s="2775"/>
      <c r="IS1" s="2775"/>
      <c r="IT1" s="2775"/>
      <c r="IU1" s="2775"/>
      <c r="IV1" s="2775"/>
      <c r="IW1" s="2775"/>
      <c r="IX1" s="2775"/>
      <c r="IY1" s="2775"/>
      <c r="IZ1" s="2775"/>
      <c r="JA1" s="2775"/>
      <c r="JB1" s="2775"/>
      <c r="JC1" s="2775"/>
      <c r="JD1" s="2775"/>
      <c r="JE1" s="2775"/>
      <c r="JF1" s="2775"/>
      <c r="JG1" s="2775"/>
      <c r="JH1" s="2775"/>
      <c r="JI1" s="2775"/>
      <c r="JJ1" s="2775"/>
      <c r="JK1" s="2775"/>
      <c r="JL1" s="2775"/>
      <c r="JM1" s="2775"/>
      <c r="JN1" s="2775"/>
      <c r="JO1" s="2775"/>
      <c r="JP1" s="2775"/>
      <c r="JQ1" s="2775"/>
      <c r="JR1" s="2775"/>
      <c r="JS1" s="2775"/>
      <c r="JT1" s="2775"/>
      <c r="JU1" s="2775"/>
      <c r="JV1" s="2775"/>
      <c r="JW1" s="2775"/>
      <c r="JX1" s="2775"/>
      <c r="JY1" s="2775"/>
      <c r="JZ1" s="2775"/>
      <c r="KA1" s="2775"/>
      <c r="KB1" s="2775"/>
      <c r="KC1" s="2775"/>
      <c r="KD1" s="2775"/>
      <c r="KE1" s="2775"/>
      <c r="KF1" s="2775"/>
      <c r="KG1" s="2775"/>
      <c r="KH1" s="2775"/>
      <c r="KI1" s="2775"/>
      <c r="KJ1" s="2775"/>
      <c r="KK1" s="2775"/>
      <c r="KL1" s="2775"/>
      <c r="KM1" s="2775"/>
      <c r="KN1" s="2775"/>
      <c r="KO1" s="2775"/>
      <c r="KP1" s="2775"/>
      <c r="KQ1" s="2775"/>
      <c r="KR1" s="2775"/>
      <c r="KS1" s="2775"/>
      <c r="KT1" s="2775"/>
      <c r="KU1" s="2775"/>
      <c r="KV1" s="2775"/>
      <c r="KW1" s="2775"/>
      <c r="KX1" s="2775"/>
      <c r="KY1" s="2775"/>
      <c r="KZ1" s="2775"/>
      <c r="LA1" s="2775"/>
      <c r="LB1" s="2775"/>
      <c r="LC1" s="2775"/>
      <c r="LD1" s="2775"/>
      <c r="LE1" s="2775"/>
      <c r="LF1" s="2775"/>
      <c r="LG1" s="2775"/>
      <c r="LH1" s="2775"/>
      <c r="LI1" s="2775"/>
      <c r="LJ1" s="2775"/>
      <c r="LK1" s="2775"/>
      <c r="LL1" s="2775"/>
      <c r="LM1" s="2775"/>
      <c r="LN1" s="2775"/>
      <c r="LO1" s="2775"/>
      <c r="LP1" s="2775"/>
      <c r="LQ1" s="2775"/>
      <c r="LR1" s="2775"/>
      <c r="LS1" s="2775"/>
      <c r="LT1" s="2775"/>
      <c r="LU1" s="2775"/>
      <c r="LV1" s="2775"/>
      <c r="LW1" s="2775"/>
      <c r="LX1" s="2775"/>
      <c r="LY1" s="2775"/>
      <c r="LZ1" s="2775"/>
      <c r="MA1" s="2775"/>
      <c r="MB1" s="2775"/>
      <c r="MC1" s="2775"/>
      <c r="MD1" s="2775"/>
      <c r="ME1" s="2775"/>
      <c r="MF1" s="2775"/>
      <c r="MG1" s="2775"/>
      <c r="MH1" s="2775"/>
      <c r="MI1" s="2775"/>
      <c r="MJ1" s="2775"/>
      <c r="MK1" s="2775"/>
      <c r="ML1" s="2775"/>
      <c r="MM1" s="2775"/>
      <c r="MN1" s="2775"/>
      <c r="MO1" s="2775"/>
      <c r="MP1" s="2775"/>
      <c r="MQ1" s="2775"/>
      <c r="MR1" s="2775"/>
      <c r="MS1" s="2775"/>
      <c r="MT1" s="2775"/>
      <c r="MU1" s="2775"/>
      <c r="MV1" s="2775"/>
      <c r="MW1" s="2775"/>
      <c r="MX1" s="2775"/>
      <c r="MY1" s="2775"/>
      <c r="MZ1" s="2775"/>
      <c r="NA1" s="2775"/>
      <c r="NB1" s="2775"/>
      <c r="NC1" s="2775"/>
      <c r="ND1" s="2775"/>
      <c r="NE1" s="2775"/>
      <c r="NF1" s="2775"/>
      <c r="NG1" s="2775"/>
      <c r="NH1" s="2775"/>
      <c r="NI1" s="2775"/>
      <c r="NJ1" s="2775"/>
      <c r="NK1" s="2775"/>
      <c r="NL1" s="2775"/>
      <c r="NM1" s="2775"/>
      <c r="NN1" s="2775"/>
      <c r="NO1" s="2775"/>
      <c r="NP1" s="2775"/>
      <c r="NQ1" s="2775"/>
      <c r="NR1" s="2775"/>
      <c r="NS1" s="2775"/>
      <c r="NT1" s="2775"/>
      <c r="NU1" s="2775"/>
      <c r="NV1" s="2775"/>
      <c r="NW1" s="2775"/>
      <c r="NX1" s="2775"/>
      <c r="NY1" s="2775"/>
      <c r="NZ1" s="2775"/>
      <c r="OA1" s="2775"/>
      <c r="OB1" s="2775"/>
      <c r="OC1" s="2775"/>
      <c r="OD1" s="2775"/>
      <c r="OE1" s="2775"/>
      <c r="OF1" s="2775"/>
      <c r="OG1" s="2775"/>
      <c r="OH1" s="2775"/>
      <c r="OI1" s="2775"/>
      <c r="OJ1" s="2775"/>
      <c r="OK1" s="2775"/>
      <c r="OL1" s="2775"/>
      <c r="OM1" s="2775"/>
      <c r="ON1" s="2775"/>
      <c r="OO1" s="2775"/>
      <c r="OP1" s="2775"/>
      <c r="OQ1" s="2775"/>
      <c r="OR1" s="2775"/>
      <c r="OS1" s="2775"/>
      <c r="OT1" s="2775"/>
      <c r="OU1" s="2775"/>
      <c r="OV1" s="2775"/>
      <c r="OW1" s="2775"/>
      <c r="OX1" s="2775"/>
      <c r="OY1" s="2775"/>
      <c r="OZ1" s="2775"/>
      <c r="PA1" s="2775"/>
      <c r="PB1" s="2775"/>
      <c r="PC1" s="2775"/>
      <c r="PD1" s="2775"/>
      <c r="PE1" s="2775"/>
      <c r="PF1" s="2775"/>
      <c r="PG1" s="2775"/>
      <c r="PH1" s="2775"/>
      <c r="PI1" s="2775"/>
      <c r="PJ1" s="2775"/>
      <c r="PK1" s="2775"/>
      <c r="PL1" s="2775"/>
      <c r="PM1" s="2775"/>
      <c r="PN1" s="2775"/>
      <c r="PO1" s="2775"/>
      <c r="PP1" s="2775"/>
      <c r="PQ1" s="2775"/>
      <c r="PR1" s="2775"/>
      <c r="PS1" s="2775"/>
      <c r="PT1" s="2775"/>
      <c r="PU1" s="2775"/>
      <c r="PV1" s="2775"/>
      <c r="PW1" s="2775"/>
      <c r="PX1" s="2775"/>
      <c r="PY1" s="2775"/>
      <c r="PZ1" s="2775"/>
      <c r="QA1" s="2775"/>
      <c r="QB1" s="2775"/>
      <c r="QC1" s="2775"/>
      <c r="QD1" s="2775"/>
      <c r="QE1" s="2775"/>
      <c r="QF1" s="2775"/>
      <c r="QG1" s="2775"/>
      <c r="QH1" s="2775"/>
      <c r="QI1" s="2775"/>
      <c r="QJ1" s="2775"/>
      <c r="QK1" s="2775"/>
      <c r="QL1" s="2775"/>
      <c r="QM1" s="2775"/>
      <c r="QN1" s="2775"/>
      <c r="QO1" s="2775"/>
      <c r="QP1" s="2775"/>
      <c r="QQ1" s="2775"/>
      <c r="QR1" s="2775"/>
      <c r="QS1" s="2775"/>
      <c r="QT1" s="2775"/>
      <c r="QU1" s="2775"/>
      <c r="QV1" s="2775"/>
      <c r="QW1" s="2775"/>
      <c r="QX1" s="2775"/>
      <c r="QY1" s="2775"/>
      <c r="QZ1" s="2775"/>
      <c r="RA1" s="2775"/>
      <c r="RB1" s="2775"/>
      <c r="RC1" s="2775"/>
      <c r="RD1" s="2775"/>
      <c r="RE1" s="2775"/>
      <c r="RF1" s="2775"/>
      <c r="RG1" s="2775"/>
      <c r="RH1" s="2775"/>
      <c r="RI1" s="2775"/>
      <c r="RJ1" s="2775"/>
      <c r="RK1" s="2775"/>
      <c r="RL1" s="2775"/>
      <c r="RM1" s="2775"/>
      <c r="RN1" s="2775"/>
      <c r="RO1" s="2775"/>
      <c r="RP1" s="2775"/>
      <c r="RQ1" s="2775"/>
      <c r="RR1" s="2775"/>
      <c r="RS1" s="2775"/>
      <c r="RT1" s="2775"/>
      <c r="RU1" s="2775"/>
      <c r="RV1" s="2775"/>
      <c r="RW1" s="2775"/>
      <c r="RX1" s="2775"/>
      <c r="RY1" s="2775"/>
      <c r="RZ1" s="2775"/>
      <c r="SA1" s="2775"/>
      <c r="SB1" s="2775"/>
      <c r="SC1" s="2775"/>
      <c r="SD1" s="2775"/>
      <c r="SE1" s="2775"/>
      <c r="SF1" s="2775"/>
      <c r="SG1" s="2775"/>
      <c r="SH1" s="2775"/>
      <c r="SI1" s="2775"/>
      <c r="SJ1" s="2775"/>
      <c r="SK1" s="2775"/>
      <c r="SL1" s="2775"/>
      <c r="SM1" s="2775"/>
      <c r="SN1" s="2775"/>
      <c r="SO1" s="2775"/>
      <c r="SP1" s="2775"/>
      <c r="SQ1" s="2775"/>
      <c r="SR1" s="2775"/>
      <c r="SS1" s="2775"/>
      <c r="ST1" s="2775"/>
      <c r="SU1" s="2775"/>
      <c r="SV1" s="2775"/>
      <c r="SW1" s="2775"/>
      <c r="SX1" s="2775"/>
      <c r="SY1" s="2775"/>
      <c r="SZ1" s="2775"/>
      <c r="TA1" s="2775"/>
      <c r="TB1" s="2775"/>
      <c r="TC1" s="2775"/>
      <c r="TD1" s="2775"/>
      <c r="TE1" s="2775"/>
      <c r="TF1" s="2775"/>
      <c r="TG1" s="2775"/>
      <c r="TH1" s="2775"/>
      <c r="TI1" s="2775"/>
      <c r="TJ1" s="2775"/>
      <c r="TK1" s="2775"/>
      <c r="TL1" s="2775"/>
      <c r="TM1" s="2775"/>
      <c r="TN1" s="2775"/>
      <c r="TO1" s="2775"/>
      <c r="TP1" s="2775"/>
      <c r="TQ1" s="2775"/>
      <c r="TR1" s="2775"/>
      <c r="TS1" s="2775"/>
      <c r="TT1" s="2775"/>
      <c r="TU1" s="2775"/>
      <c r="TV1" s="2775"/>
      <c r="TW1" s="2775"/>
      <c r="TX1" s="2775"/>
      <c r="TY1" s="2775"/>
      <c r="TZ1" s="2775"/>
      <c r="UA1" s="2775"/>
      <c r="UB1" s="2775"/>
      <c r="UC1" s="2775"/>
      <c r="UD1" s="2775"/>
      <c r="UE1" s="2775"/>
      <c r="UF1" s="2775"/>
      <c r="UG1" s="2775"/>
      <c r="UH1" s="2775"/>
      <c r="UI1" s="2775"/>
      <c r="UJ1" s="2775"/>
      <c r="UK1" s="2775"/>
      <c r="UL1" s="2775"/>
      <c r="UM1" s="2775"/>
      <c r="UN1" s="2775"/>
      <c r="UO1" s="2775"/>
      <c r="UP1" s="2775"/>
      <c r="UQ1" s="2775"/>
      <c r="UR1" s="2775"/>
      <c r="US1" s="2775"/>
      <c r="UT1" s="2775"/>
      <c r="UU1" s="2775"/>
      <c r="UV1" s="2775"/>
      <c r="UW1" s="2775"/>
      <c r="UX1" s="2775"/>
      <c r="UY1" s="2775"/>
      <c r="UZ1" s="2775"/>
      <c r="VA1" s="2775"/>
      <c r="VB1" s="2775"/>
      <c r="VC1" s="2775"/>
      <c r="VD1" s="2775"/>
      <c r="VE1" s="2775"/>
      <c r="VF1" s="2775"/>
      <c r="VG1" s="2775"/>
      <c r="VH1" s="2775"/>
      <c r="VI1" s="2775"/>
      <c r="VJ1" s="2775"/>
      <c r="VK1" s="2775"/>
      <c r="VL1" s="2775"/>
      <c r="VM1" s="2775"/>
      <c r="VN1" s="2775"/>
      <c r="VO1" s="2775"/>
      <c r="VP1" s="2775"/>
      <c r="VQ1" s="2775"/>
      <c r="VR1" s="2775"/>
      <c r="VS1" s="2775"/>
      <c r="VT1" s="2775"/>
      <c r="VU1" s="2775"/>
      <c r="VV1" s="2775"/>
      <c r="VW1" s="2775"/>
      <c r="VX1" s="2775"/>
      <c r="VY1" s="2775"/>
      <c r="VZ1" s="2775"/>
      <c r="WA1" s="2775"/>
      <c r="WB1" s="2775"/>
      <c r="WC1" s="2775"/>
      <c r="WD1" s="2775"/>
      <c r="WE1" s="2775"/>
      <c r="WF1" s="2775"/>
      <c r="WG1" s="2775"/>
      <c r="WH1" s="2775"/>
      <c r="WI1" s="2775"/>
      <c r="WJ1" s="2775"/>
      <c r="WK1" s="2775"/>
      <c r="WL1" s="2775"/>
      <c r="WM1" s="2775"/>
      <c r="WN1" s="2775"/>
      <c r="WO1" s="2775"/>
      <c r="WP1" s="2775"/>
      <c r="WQ1" s="2775"/>
      <c r="WR1" s="2775"/>
      <c r="WS1" s="2775"/>
      <c r="WT1" s="2775"/>
      <c r="WU1" s="2775"/>
      <c r="WV1" s="2775"/>
      <c r="WW1" s="2775"/>
      <c r="WX1" s="2775"/>
      <c r="WY1" s="2775"/>
      <c r="WZ1" s="2775"/>
      <c r="XA1" s="2775"/>
      <c r="XB1" s="2775"/>
      <c r="XC1" s="2775"/>
      <c r="XD1" s="2775"/>
      <c r="XE1" s="2775"/>
      <c r="XF1" s="2775"/>
      <c r="XG1" s="2775"/>
      <c r="XH1" s="2775"/>
      <c r="XI1" s="2775"/>
      <c r="XJ1" s="2775"/>
      <c r="XK1" s="2775"/>
      <c r="XL1" s="2775"/>
      <c r="XM1" s="2775"/>
      <c r="XN1" s="2775"/>
      <c r="XO1" s="2775"/>
      <c r="XP1" s="2775"/>
      <c r="XQ1" s="2775"/>
      <c r="XR1" s="2775"/>
      <c r="XS1" s="2775"/>
      <c r="XT1" s="2775"/>
      <c r="XU1" s="2775"/>
      <c r="XV1" s="2775"/>
      <c r="XW1" s="2775"/>
      <c r="XX1" s="2775"/>
      <c r="XY1" s="2775"/>
      <c r="XZ1" s="2775"/>
      <c r="YA1" s="2775"/>
      <c r="YB1" s="2775"/>
      <c r="YC1" s="2775"/>
      <c r="YD1" s="2775"/>
      <c r="YE1" s="2775"/>
      <c r="YF1" s="2775"/>
      <c r="YG1" s="2775"/>
      <c r="YH1" s="2775"/>
      <c r="YI1" s="2775"/>
      <c r="YJ1" s="2775"/>
      <c r="YK1" s="2775"/>
      <c r="YL1" s="2775"/>
      <c r="YM1" s="2775"/>
      <c r="YN1" s="2775"/>
      <c r="YO1" s="2775"/>
      <c r="YP1" s="2775"/>
      <c r="YQ1" s="2775"/>
      <c r="YR1" s="2775"/>
      <c r="YS1" s="2775"/>
      <c r="YT1" s="2775"/>
      <c r="YU1" s="2775"/>
      <c r="YV1" s="2775"/>
      <c r="YW1" s="2775"/>
      <c r="YX1" s="2775"/>
      <c r="YY1" s="2775"/>
      <c r="YZ1" s="2775"/>
      <c r="ZA1" s="2775"/>
      <c r="ZB1" s="2775"/>
      <c r="ZC1" s="2775"/>
      <c r="ZD1" s="2775"/>
      <c r="ZE1" s="2775"/>
      <c r="ZF1" s="2775"/>
      <c r="ZG1" s="2775"/>
      <c r="ZH1" s="2775"/>
      <c r="ZI1" s="2775"/>
      <c r="ZJ1" s="2775"/>
      <c r="ZK1" s="2775"/>
      <c r="ZL1" s="2775"/>
      <c r="ZM1" s="2775"/>
      <c r="ZN1" s="2775"/>
      <c r="ZO1" s="2775"/>
      <c r="ZP1" s="2775"/>
      <c r="ZQ1" s="2775"/>
      <c r="ZR1" s="2775"/>
      <c r="ZS1" s="2775"/>
      <c r="ZT1" s="2775"/>
      <c r="ZU1" s="2775"/>
      <c r="ZV1" s="2775"/>
      <c r="ZW1" s="2775"/>
      <c r="ZX1" s="2775"/>
      <c r="ZY1" s="2775"/>
      <c r="ZZ1" s="2775"/>
      <c r="AAA1" s="2775"/>
      <c r="AAB1" s="2775"/>
      <c r="AAC1" s="2775"/>
      <c r="AAD1" s="2775"/>
      <c r="AAE1" s="2775"/>
      <c r="AAF1" s="2775"/>
      <c r="AAG1" s="2775"/>
      <c r="AAH1" s="2775"/>
      <c r="AAI1" s="2775"/>
      <c r="AAJ1" s="2775"/>
      <c r="AAK1" s="2775"/>
      <c r="AAL1" s="2775"/>
      <c r="AAM1" s="2775"/>
      <c r="AAN1" s="2775"/>
      <c r="AAO1" s="2775"/>
      <c r="AAP1" s="2775"/>
      <c r="AAQ1" s="2775"/>
      <c r="AAR1" s="2775"/>
      <c r="AAS1" s="2775"/>
      <c r="AAT1" s="2775"/>
      <c r="AAU1" s="2775"/>
      <c r="AAV1" s="2775"/>
      <c r="AAW1" s="2775"/>
      <c r="AAX1" s="2775"/>
      <c r="AAY1" s="2775"/>
      <c r="AAZ1" s="2775"/>
      <c r="ABA1" s="2775"/>
      <c r="ABB1" s="2775"/>
      <c r="ABC1" s="2775"/>
      <c r="ABD1" s="2775"/>
      <c r="ABE1" s="2775"/>
      <c r="ABF1" s="2775"/>
      <c r="ABG1" s="2775"/>
      <c r="ABH1" s="2775"/>
      <c r="ABI1" s="2775"/>
      <c r="ABJ1" s="2775"/>
      <c r="ABK1" s="2775"/>
      <c r="ABL1" s="2775"/>
      <c r="ABM1" s="2775"/>
      <c r="ABN1" s="2775"/>
      <c r="ABO1" s="2775"/>
      <c r="ABP1" s="2775"/>
      <c r="ABQ1" s="2775"/>
      <c r="ABR1" s="2775"/>
      <c r="ABS1" s="2775"/>
      <c r="ABT1" s="2775"/>
      <c r="ABU1" s="2775"/>
      <c r="ABV1" s="2775"/>
      <c r="ABW1" s="2775"/>
      <c r="ABX1" s="2775"/>
      <c r="ABY1" s="2775"/>
      <c r="ABZ1" s="2775"/>
      <c r="ACA1" s="2775"/>
      <c r="ACB1" s="2775"/>
      <c r="ACC1" s="2775"/>
      <c r="ACD1" s="2775"/>
      <c r="ACE1" s="2775"/>
      <c r="ACF1" s="2775"/>
      <c r="ACG1" s="2775"/>
      <c r="ACH1" s="2775"/>
      <c r="ACI1" s="2775"/>
      <c r="ACJ1" s="2775"/>
      <c r="ACK1" s="2775"/>
      <c r="ACL1" s="2775"/>
      <c r="ACM1" s="2775"/>
      <c r="ACN1" s="2775"/>
      <c r="ACO1" s="2775"/>
      <c r="ACP1" s="2775"/>
      <c r="ACQ1" s="2775"/>
      <c r="ACR1" s="2775"/>
      <c r="ACS1" s="2775"/>
      <c r="ACT1" s="2775"/>
      <c r="ACU1" s="2775"/>
      <c r="ACV1" s="2775"/>
      <c r="ACW1" s="2775"/>
      <c r="ACX1" s="2775"/>
      <c r="ACY1" s="2775"/>
      <c r="ACZ1" s="2775"/>
      <c r="ADA1" s="2775"/>
      <c r="ADB1" s="2775"/>
      <c r="ADC1" s="2775"/>
      <c r="ADD1" s="2775"/>
      <c r="ADE1" s="2775"/>
      <c r="ADF1" s="2775"/>
      <c r="ADG1" s="2775"/>
      <c r="ADH1" s="2775"/>
      <c r="ADI1" s="2775"/>
      <c r="ADJ1" s="2775"/>
      <c r="ADK1" s="2775"/>
      <c r="ADL1" s="2775"/>
      <c r="ADM1" s="2775"/>
      <c r="ADN1" s="2775"/>
      <c r="ADO1" s="2775"/>
      <c r="ADP1" s="2775"/>
      <c r="ADQ1" s="2775"/>
      <c r="ADR1" s="2775"/>
      <c r="ADS1" s="2775"/>
      <c r="ADT1" s="2775"/>
      <c r="ADU1" s="2775"/>
      <c r="ADV1" s="2775"/>
      <c r="ADW1" s="2775"/>
      <c r="ADX1" s="2775"/>
      <c r="ADY1" s="2775"/>
      <c r="ADZ1" s="2775"/>
      <c r="AEA1" s="2775"/>
      <c r="AEB1" s="2775"/>
      <c r="AEC1" s="2775"/>
      <c r="AED1" s="2775"/>
      <c r="AEE1" s="2775"/>
      <c r="AEF1" s="2775"/>
      <c r="AEG1" s="2775"/>
      <c r="AEH1" s="2775"/>
      <c r="AEI1" s="2775"/>
      <c r="AEJ1" s="2775"/>
      <c r="AEK1" s="2775"/>
      <c r="AEL1" s="2775"/>
      <c r="AEM1" s="2775"/>
      <c r="AEN1" s="2775"/>
      <c r="AEO1" s="2775"/>
      <c r="AEP1" s="2775"/>
      <c r="AEQ1" s="2775"/>
      <c r="AER1" s="2775"/>
      <c r="AES1" s="2775"/>
      <c r="AET1" s="2775"/>
      <c r="AEU1" s="2775"/>
      <c r="AEV1" s="2775"/>
      <c r="AEW1" s="2775"/>
      <c r="AEX1" s="2775"/>
      <c r="AEY1" s="2775"/>
      <c r="AEZ1" s="2775"/>
      <c r="AFA1" s="2775"/>
      <c r="AFB1" s="2775"/>
      <c r="AFC1" s="2775"/>
      <c r="AFD1" s="2775"/>
      <c r="AFE1" s="2775"/>
      <c r="AFF1" s="2775"/>
      <c r="AFG1" s="2775"/>
      <c r="AFH1" s="2775"/>
      <c r="AFI1" s="2775"/>
      <c r="AFJ1" s="2775"/>
      <c r="AFK1" s="2775"/>
      <c r="AFL1" s="2775"/>
      <c r="AFM1" s="2775"/>
      <c r="AFN1" s="2775"/>
      <c r="AFO1" s="2775"/>
      <c r="AFP1" s="2775"/>
      <c r="AFQ1" s="2775"/>
      <c r="AFR1" s="2775"/>
      <c r="AFS1" s="2775"/>
      <c r="AFT1" s="2775"/>
      <c r="AFU1" s="2775"/>
      <c r="AFV1" s="2775"/>
      <c r="AFW1" s="2775"/>
      <c r="AFX1" s="2775"/>
      <c r="AFY1" s="2775"/>
      <c r="AFZ1" s="2775"/>
      <c r="AGA1" s="2775"/>
      <c r="AGB1" s="2775"/>
      <c r="AGC1" s="2775"/>
      <c r="AGD1" s="2775"/>
      <c r="AGE1" s="2775"/>
      <c r="AGF1" s="2775"/>
      <c r="AGG1" s="2775"/>
      <c r="AGH1" s="2775"/>
      <c r="AGI1" s="2775"/>
      <c r="AGJ1" s="2775"/>
      <c r="AGK1" s="2775"/>
      <c r="AGL1" s="2775"/>
      <c r="AGM1" s="2775"/>
      <c r="AGN1" s="2775"/>
      <c r="AGO1" s="2775"/>
      <c r="AGP1" s="2775"/>
      <c r="AGQ1" s="2775"/>
      <c r="AGR1" s="2775"/>
      <c r="AGS1" s="2775"/>
      <c r="AGT1" s="2775"/>
      <c r="AGU1" s="2775"/>
      <c r="AGV1" s="2775"/>
      <c r="AGW1" s="2775"/>
      <c r="AGX1" s="2775"/>
      <c r="AGY1" s="2775"/>
      <c r="AGZ1" s="2775"/>
      <c r="AHA1" s="2775"/>
      <c r="AHB1" s="2775"/>
      <c r="AHC1" s="2775"/>
      <c r="AHD1" s="2775"/>
      <c r="AHE1" s="2775"/>
      <c r="AHF1" s="2775"/>
      <c r="AHG1" s="2775"/>
      <c r="AHH1" s="2775"/>
      <c r="AHI1" s="2775"/>
      <c r="AHJ1" s="2775"/>
      <c r="AHK1" s="2775"/>
      <c r="AHL1" s="2775"/>
      <c r="AHM1" s="2775"/>
      <c r="AHN1" s="2775"/>
      <c r="AHO1" s="2775"/>
      <c r="AHP1" s="2775"/>
      <c r="AHQ1" s="2775"/>
      <c r="AHR1" s="2775"/>
      <c r="AHS1" s="2775"/>
      <c r="AHT1" s="2775"/>
      <c r="AHU1" s="2775"/>
      <c r="AHV1" s="2775"/>
      <c r="AHW1" s="2775"/>
      <c r="AHX1" s="2775"/>
      <c r="AHY1" s="2775"/>
      <c r="AHZ1" s="2775"/>
      <c r="AIA1" s="2775"/>
      <c r="AIB1" s="2775"/>
      <c r="AIC1" s="2775"/>
      <c r="AID1" s="2775"/>
      <c r="AIE1" s="2775"/>
      <c r="AIF1" s="2775"/>
      <c r="AIG1" s="2775"/>
      <c r="AIH1" s="2775"/>
      <c r="AII1" s="2775"/>
      <c r="AIJ1" s="2775"/>
      <c r="AIK1" s="2775"/>
      <c r="AIL1" s="2775"/>
      <c r="AIM1" s="2775"/>
      <c r="AIN1" s="2775"/>
      <c r="AIO1" s="2775"/>
      <c r="AIP1" s="2775"/>
      <c r="AIQ1" s="2775"/>
      <c r="AIR1" s="2775"/>
      <c r="AIS1" s="2775"/>
      <c r="AIT1" s="2775"/>
      <c r="AIU1" s="2775"/>
      <c r="AIV1" s="2775"/>
      <c r="AIW1" s="2775"/>
      <c r="AIX1" s="2775"/>
      <c r="AIY1" s="2775"/>
      <c r="AIZ1" s="2775"/>
      <c r="AJA1" s="2775"/>
      <c r="AJB1" s="2775"/>
      <c r="AJC1" s="2775"/>
      <c r="AJD1" s="2775"/>
      <c r="AJE1" s="2775"/>
      <c r="AJF1" s="2775"/>
      <c r="AJG1" s="2775"/>
      <c r="AJH1" s="2775"/>
      <c r="AJI1" s="2775"/>
      <c r="AJJ1" s="2775"/>
      <c r="AJK1" s="2775"/>
      <c r="AJL1" s="2775"/>
      <c r="AJM1" s="2775"/>
      <c r="AJN1" s="2775"/>
      <c r="AJO1" s="2775"/>
      <c r="AJP1" s="2775"/>
      <c r="AJQ1" s="2775"/>
      <c r="AJR1" s="2775"/>
      <c r="AJS1" s="2775"/>
      <c r="AJT1" s="2775"/>
      <c r="AJU1" s="2775"/>
      <c r="AJV1" s="2775"/>
      <c r="AJW1" s="2775"/>
      <c r="AJX1" s="2775"/>
      <c r="AJY1" s="2775"/>
      <c r="AJZ1" s="2775"/>
      <c r="AKA1" s="2775"/>
      <c r="AKB1" s="2775"/>
      <c r="AKC1" s="2775"/>
      <c r="AKD1" s="2775"/>
      <c r="AKE1" s="2775"/>
      <c r="AKF1" s="2775"/>
      <c r="AKG1" s="2775"/>
      <c r="AKH1" s="2775"/>
      <c r="AKI1" s="2775"/>
      <c r="AKJ1" s="2775"/>
      <c r="AKK1" s="2775"/>
      <c r="AKL1" s="2775"/>
      <c r="AKM1" s="2775"/>
      <c r="AKN1" s="2775"/>
      <c r="AKO1" s="2775"/>
      <c r="AKP1" s="2775"/>
      <c r="AKQ1" s="2775"/>
      <c r="AKR1" s="2775"/>
      <c r="AKS1" s="2775"/>
      <c r="AKT1" s="2775"/>
      <c r="AKU1" s="2775"/>
      <c r="AKV1" s="2775"/>
      <c r="AKW1" s="2775"/>
      <c r="AKX1" s="2775"/>
      <c r="AKY1" s="2775"/>
      <c r="AKZ1" s="2775"/>
      <c r="ALA1" s="2775"/>
      <c r="ALB1" s="2775"/>
      <c r="ALC1" s="2775"/>
      <c r="ALD1" s="2775"/>
      <c r="ALE1" s="2775"/>
      <c r="ALF1" s="2775"/>
      <c r="ALG1" s="2775"/>
      <c r="ALH1" s="2775"/>
      <c r="ALI1" s="2775"/>
      <c r="ALJ1" s="2775"/>
      <c r="ALK1" s="2775"/>
      <c r="ALL1" s="2775"/>
      <c r="ALM1" s="2775"/>
      <c r="ALN1" s="2775"/>
      <c r="ALO1" s="2775"/>
      <c r="ALP1" s="2775"/>
      <c r="ALQ1" s="2775"/>
      <c r="ALR1" s="2775"/>
      <c r="ALS1" s="2775"/>
      <c r="ALT1" s="2775"/>
      <c r="ALU1" s="2775"/>
      <c r="ALV1" s="2775"/>
      <c r="ALW1" s="2775"/>
      <c r="ALX1" s="2775"/>
      <c r="ALY1" s="2775"/>
      <c r="ALZ1" s="2775"/>
      <c r="AMA1" s="2775"/>
      <c r="AMB1" s="2775"/>
      <c r="AMC1" s="2775"/>
      <c r="AMD1" s="2775"/>
      <c r="AME1" s="2775"/>
      <c r="AMF1" s="2775"/>
      <c r="AMG1" s="2775"/>
      <c r="AMH1" s="2775"/>
      <c r="AMI1" s="2775"/>
      <c r="AMJ1" s="2775"/>
      <c r="AMK1" s="2775"/>
      <c r="AML1" s="2775"/>
      <c r="AMM1" s="2775"/>
      <c r="AMN1" s="2775"/>
      <c r="AMO1" s="2775"/>
      <c r="AMP1" s="2775"/>
      <c r="AMQ1" s="2775"/>
      <c r="AMR1" s="2775"/>
      <c r="AMS1" s="2775"/>
      <c r="AMT1" s="2775"/>
      <c r="AMU1" s="2775"/>
      <c r="AMV1" s="2775"/>
      <c r="AMW1" s="2775"/>
      <c r="AMX1" s="2775"/>
      <c r="AMY1" s="2775"/>
      <c r="AMZ1" s="2775"/>
      <c r="ANA1" s="2775"/>
      <c r="ANB1" s="2775"/>
      <c r="ANC1" s="2775"/>
      <c r="AND1" s="2775"/>
      <c r="ANE1" s="2775"/>
      <c r="ANF1" s="2775"/>
      <c r="ANG1" s="2775"/>
      <c r="ANH1" s="2775"/>
      <c r="ANI1" s="2775"/>
      <c r="ANJ1" s="2775"/>
      <c r="ANK1" s="2775"/>
      <c r="ANL1" s="2775"/>
      <c r="ANM1" s="2775"/>
      <c r="ANN1" s="2775"/>
      <c r="ANO1" s="2775"/>
      <c r="ANP1" s="2775"/>
      <c r="ANQ1" s="2775"/>
      <c r="ANR1" s="2775"/>
      <c r="ANS1" s="2775"/>
      <c r="ANT1" s="2775"/>
      <c r="ANU1" s="2775"/>
      <c r="ANV1" s="2775"/>
      <c r="ANW1" s="2775"/>
      <c r="ANX1" s="2775"/>
      <c r="ANY1" s="2775"/>
      <c r="ANZ1" s="2775"/>
      <c r="AOA1" s="2775"/>
      <c r="AOB1" s="2775"/>
      <c r="AOC1" s="2775"/>
      <c r="AOD1" s="2775"/>
      <c r="AOE1" s="2775"/>
      <c r="AOF1" s="2775"/>
      <c r="AOG1" s="2775"/>
      <c r="AOH1" s="2775"/>
      <c r="AOI1" s="2775"/>
      <c r="AOJ1" s="2775"/>
      <c r="AOK1" s="2775"/>
      <c r="AOL1" s="2775"/>
      <c r="AOM1" s="2775"/>
      <c r="AON1" s="2775"/>
      <c r="AOO1" s="2775"/>
      <c r="AOP1" s="2775"/>
      <c r="AOQ1" s="2775"/>
      <c r="AOR1" s="2775"/>
      <c r="AOS1" s="2775"/>
      <c r="AOT1" s="2775"/>
      <c r="AOU1" s="2775"/>
      <c r="AOV1" s="2775"/>
      <c r="AOW1" s="2775"/>
      <c r="AOX1" s="2775"/>
      <c r="AOY1" s="2775"/>
      <c r="AOZ1" s="2775"/>
      <c r="APA1" s="2775"/>
      <c r="APB1" s="2775"/>
      <c r="APC1" s="2775"/>
      <c r="APD1" s="2775"/>
      <c r="APE1" s="2775"/>
      <c r="APF1" s="2775"/>
      <c r="APG1" s="2775"/>
      <c r="APH1" s="2775"/>
      <c r="API1" s="2775"/>
      <c r="APJ1" s="2775"/>
      <c r="APK1" s="2775"/>
      <c r="APL1" s="2775"/>
      <c r="APM1" s="2775"/>
      <c r="APN1" s="2775"/>
      <c r="APO1" s="2775"/>
      <c r="APP1" s="2775"/>
      <c r="APQ1" s="2775"/>
      <c r="APR1" s="2775"/>
      <c r="APS1" s="2775"/>
      <c r="APT1" s="2775"/>
      <c r="APU1" s="2775"/>
      <c r="APV1" s="2775"/>
      <c r="APW1" s="2775"/>
      <c r="APX1" s="2775"/>
      <c r="APY1" s="2775"/>
      <c r="APZ1" s="2775"/>
      <c r="AQA1" s="2775"/>
      <c r="AQB1" s="2775"/>
      <c r="AQC1" s="2775"/>
      <c r="AQD1" s="2775"/>
      <c r="AQE1" s="2775"/>
      <c r="AQF1" s="2775"/>
      <c r="AQG1" s="2775"/>
      <c r="AQH1" s="2775"/>
      <c r="AQI1" s="2775"/>
      <c r="AQJ1" s="2775"/>
      <c r="AQK1" s="2775"/>
      <c r="AQL1" s="2775"/>
      <c r="AQM1" s="2775"/>
      <c r="AQN1" s="2775"/>
      <c r="AQO1" s="2775"/>
      <c r="AQP1" s="2775"/>
      <c r="AQQ1" s="2775"/>
      <c r="AQR1" s="2775"/>
      <c r="AQS1" s="2775"/>
      <c r="AQT1" s="2775"/>
      <c r="AQU1" s="2775"/>
      <c r="AQV1" s="2775"/>
      <c r="AQW1" s="2775"/>
      <c r="AQX1" s="2775"/>
      <c r="AQY1" s="2775"/>
      <c r="AQZ1" s="2775"/>
      <c r="ARA1" s="2775"/>
      <c r="ARB1" s="2775"/>
      <c r="ARC1" s="2775"/>
      <c r="ARD1" s="2775"/>
      <c r="ARE1" s="2775"/>
      <c r="ARF1" s="2775"/>
      <c r="ARG1" s="2775"/>
      <c r="ARH1" s="2775"/>
      <c r="ARI1" s="2775"/>
      <c r="ARJ1" s="2775"/>
      <c r="ARK1" s="2775"/>
      <c r="ARL1" s="2775"/>
      <c r="ARM1" s="2775"/>
      <c r="ARN1" s="2775"/>
      <c r="ARO1" s="2775"/>
      <c r="ARP1" s="2775"/>
      <c r="ARQ1" s="2775"/>
      <c r="ARR1" s="2775"/>
      <c r="ARS1" s="2775"/>
      <c r="ART1" s="2775"/>
      <c r="ARU1" s="2775"/>
      <c r="ARV1" s="2775"/>
      <c r="ARW1" s="2775"/>
      <c r="ARX1" s="2775"/>
      <c r="ARY1" s="2775"/>
      <c r="ARZ1" s="2775"/>
      <c r="ASA1" s="2775"/>
      <c r="ASB1" s="2775"/>
      <c r="ASC1" s="2775"/>
      <c r="ASD1" s="2775"/>
      <c r="ASE1" s="2775"/>
      <c r="ASF1" s="2775"/>
      <c r="ASG1" s="2775"/>
      <c r="ASH1" s="2775"/>
      <c r="ASI1" s="2775"/>
      <c r="ASJ1" s="2775"/>
      <c r="ASK1" s="2775"/>
      <c r="ASL1" s="2775"/>
      <c r="ASM1" s="2775"/>
      <c r="ASN1" s="2775"/>
      <c r="ASO1" s="2775"/>
      <c r="ASP1" s="2775"/>
      <c r="ASQ1" s="2775"/>
      <c r="ASR1" s="2775"/>
      <c r="ASS1" s="2775"/>
      <c r="AST1" s="2775"/>
      <c r="ASU1" s="2775"/>
      <c r="ASV1" s="2775"/>
      <c r="ASW1" s="2775"/>
      <c r="ASX1" s="2775"/>
      <c r="ASY1" s="2775"/>
      <c r="ASZ1" s="2775"/>
      <c r="ATA1" s="2775"/>
      <c r="ATB1" s="2775"/>
      <c r="ATC1" s="2775"/>
      <c r="ATD1" s="2775"/>
      <c r="ATE1" s="2775"/>
      <c r="ATF1" s="2775"/>
      <c r="ATG1" s="2775"/>
      <c r="ATH1" s="2775"/>
      <c r="ATI1" s="2775"/>
      <c r="ATJ1" s="2775"/>
      <c r="ATK1" s="2775"/>
      <c r="ATL1" s="2775"/>
      <c r="ATM1" s="2775"/>
      <c r="ATN1" s="2775"/>
      <c r="ATO1" s="2775"/>
      <c r="ATP1" s="2775"/>
      <c r="ATQ1" s="2775"/>
      <c r="ATR1" s="2775"/>
      <c r="ATS1" s="2775"/>
      <c r="ATT1" s="2775"/>
      <c r="ATU1" s="2775"/>
      <c r="ATV1" s="2775"/>
      <c r="ATW1" s="2775"/>
      <c r="ATX1" s="2775"/>
      <c r="ATY1" s="2775"/>
      <c r="ATZ1" s="2775"/>
      <c r="AUA1" s="2775"/>
      <c r="AUB1" s="2775"/>
      <c r="AUC1" s="2775"/>
      <c r="AUD1" s="2775"/>
      <c r="AUE1" s="2775"/>
      <c r="AUF1" s="2775"/>
      <c r="AUG1" s="2775"/>
      <c r="AUH1" s="2775"/>
      <c r="AUI1" s="2775"/>
      <c r="AUJ1" s="2775"/>
      <c r="AUK1" s="2775"/>
      <c r="AUL1" s="2775"/>
      <c r="AUM1" s="2775"/>
      <c r="AUN1" s="2775"/>
      <c r="AUO1" s="2775"/>
      <c r="AUP1" s="2775"/>
      <c r="AUQ1" s="2775"/>
      <c r="AUR1" s="2775"/>
      <c r="AUS1" s="2775"/>
      <c r="AUT1" s="2775"/>
      <c r="AUU1" s="2775"/>
      <c r="AUV1" s="2775"/>
      <c r="AUW1" s="2775"/>
      <c r="AUX1" s="2775"/>
      <c r="AUY1" s="2775"/>
      <c r="AUZ1" s="2775"/>
      <c r="AVA1" s="2775"/>
      <c r="AVB1" s="2775"/>
      <c r="AVC1" s="2775"/>
      <c r="AVD1" s="2775"/>
      <c r="AVE1" s="2775"/>
      <c r="AVF1" s="2775"/>
      <c r="AVG1" s="2775"/>
      <c r="AVH1" s="2775"/>
      <c r="AVI1" s="2775"/>
      <c r="AVJ1" s="2775"/>
      <c r="AVK1" s="2775"/>
      <c r="AVL1" s="2775"/>
      <c r="AVM1" s="2775"/>
      <c r="AVN1" s="2775"/>
      <c r="AVO1" s="2775"/>
      <c r="AVP1" s="2775"/>
      <c r="AVQ1" s="2775"/>
      <c r="AVR1" s="2775"/>
      <c r="AVS1" s="2775"/>
      <c r="AVT1" s="2775"/>
      <c r="AVU1" s="2775"/>
      <c r="AVV1" s="2775"/>
      <c r="AVW1" s="2775"/>
      <c r="AVX1" s="2775"/>
      <c r="AVY1" s="2775"/>
      <c r="AVZ1" s="2775"/>
      <c r="AWA1" s="2775"/>
      <c r="AWB1" s="2775"/>
      <c r="AWC1" s="2775"/>
      <c r="AWD1" s="2775"/>
      <c r="AWE1" s="2775"/>
      <c r="AWF1" s="2775"/>
      <c r="AWG1" s="2775"/>
      <c r="AWH1" s="2775"/>
      <c r="AWI1" s="2775"/>
      <c r="AWJ1" s="2775"/>
      <c r="AWK1" s="2775"/>
      <c r="AWL1" s="2775"/>
      <c r="AWM1" s="2775"/>
      <c r="AWN1" s="2775"/>
      <c r="AWO1" s="2775"/>
      <c r="AWP1" s="2775"/>
      <c r="AWQ1" s="2775"/>
      <c r="AWR1" s="2775"/>
      <c r="AWS1" s="2775"/>
      <c r="AWT1" s="2775"/>
      <c r="AWU1" s="2775"/>
      <c r="AWV1" s="2775"/>
      <c r="AWW1" s="2775"/>
      <c r="AWX1" s="2775"/>
      <c r="AWY1" s="2775"/>
      <c r="AWZ1" s="2775"/>
      <c r="AXA1" s="2775"/>
      <c r="AXB1" s="2775"/>
      <c r="AXC1" s="2775"/>
      <c r="AXD1" s="2775"/>
      <c r="AXE1" s="2775"/>
      <c r="AXF1" s="2775"/>
      <c r="AXG1" s="2775"/>
      <c r="AXH1" s="2775"/>
      <c r="AXI1" s="2775"/>
      <c r="AXJ1" s="2775"/>
      <c r="AXK1" s="2775"/>
      <c r="AXL1" s="2775"/>
      <c r="AXM1" s="2775"/>
      <c r="AXN1" s="2775"/>
      <c r="AXO1" s="2775"/>
      <c r="AXP1" s="2775"/>
      <c r="AXQ1" s="2775"/>
      <c r="AXR1" s="2775"/>
      <c r="AXS1" s="2775"/>
      <c r="AXT1" s="2775"/>
      <c r="AXU1" s="2775"/>
      <c r="AXV1" s="2775"/>
      <c r="AXW1" s="2775"/>
      <c r="AXX1" s="2775"/>
      <c r="AXY1" s="2775"/>
      <c r="AXZ1" s="2775"/>
      <c r="AYA1" s="2775"/>
      <c r="AYB1" s="2775"/>
      <c r="AYC1" s="2775"/>
      <c r="AYD1" s="2775"/>
      <c r="AYE1" s="2775"/>
      <c r="AYF1" s="2775"/>
      <c r="AYG1" s="2775"/>
      <c r="AYH1" s="2775"/>
      <c r="AYI1" s="2775"/>
      <c r="AYJ1" s="2775"/>
      <c r="AYK1" s="2775"/>
      <c r="AYL1" s="2775"/>
      <c r="AYM1" s="2775"/>
      <c r="AYN1" s="2775"/>
      <c r="AYO1" s="2775"/>
      <c r="AYP1" s="2775"/>
      <c r="AYQ1" s="2775"/>
      <c r="AYR1" s="2775"/>
      <c r="AYS1" s="2775"/>
      <c r="AYT1" s="2775"/>
      <c r="AYU1" s="2775"/>
      <c r="AYV1" s="2775"/>
      <c r="AYW1" s="2775"/>
      <c r="AYX1" s="2775"/>
      <c r="AYY1" s="2775"/>
      <c r="AYZ1" s="2775"/>
      <c r="AZA1" s="2775"/>
      <c r="AZB1" s="2775"/>
      <c r="AZC1" s="2775"/>
      <c r="AZD1" s="2775"/>
      <c r="AZE1" s="2775"/>
      <c r="AZF1" s="2775"/>
      <c r="AZG1" s="2775"/>
      <c r="AZH1" s="2775"/>
      <c r="AZI1" s="2775"/>
      <c r="AZJ1" s="2775"/>
      <c r="AZK1" s="2775"/>
      <c r="AZL1" s="2775"/>
      <c r="AZM1" s="2775"/>
      <c r="AZN1" s="2775"/>
      <c r="AZO1" s="2775"/>
      <c r="AZP1" s="2775"/>
      <c r="AZQ1" s="2775"/>
      <c r="AZR1" s="2775"/>
      <c r="AZS1" s="2775"/>
      <c r="AZT1" s="2775"/>
      <c r="AZU1" s="2775"/>
      <c r="AZV1" s="2775"/>
      <c r="AZW1" s="2775"/>
      <c r="AZX1" s="2775"/>
      <c r="AZY1" s="2775"/>
      <c r="AZZ1" s="2775"/>
      <c r="BAA1" s="2775"/>
      <c r="BAB1" s="2775"/>
      <c r="BAC1" s="2775"/>
      <c r="BAD1" s="2775"/>
      <c r="BAE1" s="2775"/>
      <c r="BAF1" s="2775"/>
      <c r="BAG1" s="2775"/>
      <c r="BAH1" s="2775"/>
      <c r="BAI1" s="2775"/>
      <c r="BAJ1" s="2775"/>
      <c r="BAK1" s="2775"/>
      <c r="BAL1" s="2775"/>
      <c r="BAM1" s="2775"/>
      <c r="BAN1" s="2775"/>
      <c r="BAO1" s="2775"/>
      <c r="BAP1" s="2775"/>
      <c r="BAQ1" s="2775"/>
      <c r="BAR1" s="2775"/>
      <c r="BAS1" s="2775"/>
      <c r="BAT1" s="2775"/>
      <c r="BAU1" s="2775"/>
      <c r="BAV1" s="2775"/>
      <c r="BAW1" s="2775"/>
      <c r="BAX1" s="2775"/>
      <c r="BAY1" s="2775"/>
      <c r="BAZ1" s="2775"/>
      <c r="BBA1" s="2775"/>
      <c r="BBB1" s="2775"/>
      <c r="BBC1" s="2775"/>
      <c r="BBD1" s="2775"/>
      <c r="BBE1" s="2775"/>
      <c r="BBF1" s="2775"/>
      <c r="BBG1" s="2775"/>
      <c r="BBH1" s="2775"/>
      <c r="BBI1" s="2775"/>
      <c r="BBJ1" s="2775"/>
      <c r="BBK1" s="2775"/>
      <c r="BBL1" s="2775"/>
      <c r="BBM1" s="2775"/>
      <c r="BBN1" s="2775"/>
      <c r="BBO1" s="2775"/>
      <c r="BBP1" s="2775"/>
      <c r="BBQ1" s="2775"/>
      <c r="BBR1" s="2775"/>
      <c r="BBS1" s="2775"/>
      <c r="BBT1" s="2775"/>
      <c r="BBU1" s="2775"/>
      <c r="BBV1" s="2775"/>
      <c r="BBW1" s="2775"/>
      <c r="BBX1" s="2775"/>
      <c r="BBY1" s="2775"/>
      <c r="BBZ1" s="2775"/>
      <c r="BCA1" s="2775"/>
      <c r="BCB1" s="2775"/>
      <c r="BCC1" s="2775"/>
      <c r="BCD1" s="2775"/>
      <c r="BCE1" s="2775"/>
      <c r="BCF1" s="2775"/>
      <c r="BCG1" s="2775"/>
      <c r="BCH1" s="2775"/>
      <c r="BCI1" s="2775"/>
      <c r="BCJ1" s="2775"/>
      <c r="BCK1" s="2775"/>
      <c r="BCL1" s="2775"/>
      <c r="BCM1" s="2775"/>
      <c r="BCN1" s="2775"/>
      <c r="BCO1" s="2775"/>
      <c r="BCP1" s="2775"/>
      <c r="BCQ1" s="2775"/>
      <c r="BCR1" s="2775"/>
      <c r="BCS1" s="2775"/>
      <c r="BCT1" s="2775"/>
      <c r="BCU1" s="2775"/>
      <c r="BCV1" s="2775"/>
      <c r="BCW1" s="2775"/>
      <c r="BCX1" s="2775"/>
      <c r="BCY1" s="2775"/>
      <c r="BCZ1" s="2775"/>
      <c r="BDA1" s="2775"/>
      <c r="BDB1" s="2775"/>
      <c r="BDC1" s="2775"/>
      <c r="BDD1" s="2775"/>
      <c r="BDE1" s="2775"/>
      <c r="BDF1" s="2775"/>
      <c r="BDG1" s="2775"/>
      <c r="BDH1" s="2775"/>
      <c r="BDI1" s="2775"/>
      <c r="BDJ1" s="2775"/>
      <c r="BDK1" s="2775"/>
      <c r="BDL1" s="2775"/>
      <c r="BDM1" s="2775"/>
      <c r="BDN1" s="2775"/>
      <c r="BDO1" s="2775"/>
      <c r="BDP1" s="2775"/>
      <c r="BDQ1" s="2775"/>
      <c r="BDR1" s="2775"/>
      <c r="BDS1" s="2775"/>
      <c r="BDT1" s="2775"/>
      <c r="BDU1" s="2775"/>
      <c r="BDV1" s="2775"/>
      <c r="BDW1" s="2775"/>
      <c r="BDX1" s="2775"/>
      <c r="BDY1" s="2775"/>
      <c r="BDZ1" s="2775"/>
      <c r="BEA1" s="2775"/>
      <c r="BEB1" s="2775"/>
      <c r="BEC1" s="2775"/>
      <c r="BED1" s="2775"/>
      <c r="BEE1" s="2775"/>
      <c r="BEF1" s="2775"/>
      <c r="BEG1" s="2775"/>
      <c r="BEH1" s="2775"/>
      <c r="BEI1" s="2775"/>
      <c r="BEJ1" s="2775"/>
      <c r="BEK1" s="2775"/>
      <c r="BEL1" s="2775"/>
      <c r="BEM1" s="2775"/>
      <c r="BEN1" s="2775"/>
      <c r="BEO1" s="2775"/>
      <c r="BEP1" s="2775"/>
      <c r="BEQ1" s="2775"/>
      <c r="BER1" s="2775"/>
      <c r="BES1" s="2775"/>
      <c r="BET1" s="2775"/>
      <c r="BEU1" s="2775"/>
      <c r="BEV1" s="2775"/>
      <c r="BEW1" s="2775"/>
      <c r="BEX1" s="2775"/>
      <c r="BEY1" s="2775"/>
      <c r="BEZ1" s="2775"/>
      <c r="BFA1" s="2775"/>
      <c r="BFB1" s="2775"/>
      <c r="BFC1" s="2775"/>
      <c r="BFD1" s="2775"/>
      <c r="BFE1" s="2775"/>
      <c r="BFF1" s="2775"/>
      <c r="BFG1" s="2775"/>
      <c r="BFH1" s="2775"/>
      <c r="BFI1" s="2775"/>
      <c r="BFJ1" s="2775"/>
      <c r="BFK1" s="2775"/>
      <c r="BFL1" s="2775"/>
      <c r="BFM1" s="2775"/>
      <c r="BFN1" s="2775"/>
      <c r="BFO1" s="2775"/>
      <c r="BFP1" s="2775"/>
      <c r="BFQ1" s="2775"/>
      <c r="BFR1" s="2775"/>
      <c r="BFS1" s="2775"/>
      <c r="BFT1" s="2775"/>
      <c r="BFU1" s="2775"/>
      <c r="BFV1" s="2775"/>
      <c r="BFW1" s="2775"/>
      <c r="BFX1" s="2775"/>
      <c r="BFY1" s="2775"/>
      <c r="BFZ1" s="2775"/>
      <c r="BGA1" s="2775"/>
      <c r="BGB1" s="2775"/>
      <c r="BGC1" s="2775"/>
      <c r="BGD1" s="2775"/>
      <c r="BGE1" s="2775"/>
      <c r="BGF1" s="2775"/>
      <c r="BGG1" s="2775"/>
      <c r="BGH1" s="2775"/>
      <c r="BGI1" s="2775"/>
      <c r="BGJ1" s="2775"/>
      <c r="BGK1" s="2775"/>
      <c r="BGL1" s="2775"/>
      <c r="BGM1" s="2775"/>
      <c r="BGN1" s="2775"/>
      <c r="BGO1" s="2775"/>
      <c r="BGP1" s="2775"/>
      <c r="BGQ1" s="2775"/>
      <c r="BGR1" s="2775"/>
      <c r="BGS1" s="2775"/>
      <c r="BGT1" s="2775"/>
      <c r="BGU1" s="2775"/>
      <c r="BGV1" s="2775"/>
      <c r="BGW1" s="2775"/>
      <c r="BGX1" s="2775"/>
      <c r="BGY1" s="2775"/>
      <c r="BGZ1" s="2775"/>
      <c r="BHA1" s="2775"/>
      <c r="BHB1" s="2775"/>
      <c r="BHC1" s="2775"/>
      <c r="BHD1" s="2775"/>
      <c r="BHE1" s="2775"/>
      <c r="BHF1" s="2775"/>
      <c r="BHG1" s="2775"/>
      <c r="BHH1" s="2775"/>
      <c r="BHI1" s="2775"/>
      <c r="BHJ1" s="2775"/>
      <c r="BHK1" s="2775"/>
      <c r="BHL1" s="2775"/>
      <c r="BHM1" s="2775"/>
      <c r="BHN1" s="2775"/>
      <c r="BHO1" s="2775"/>
      <c r="BHP1" s="2775"/>
      <c r="BHQ1" s="2775"/>
      <c r="BHR1" s="2775"/>
      <c r="BHS1" s="2775"/>
      <c r="BHT1" s="2775"/>
      <c r="BHU1" s="2775"/>
      <c r="BHV1" s="2775"/>
      <c r="BHW1" s="2775"/>
      <c r="BHX1" s="2775"/>
      <c r="BHY1" s="2775"/>
      <c r="BHZ1" s="2775"/>
      <c r="BIA1" s="2775"/>
      <c r="BIB1" s="2775"/>
      <c r="BIC1" s="2775"/>
      <c r="BID1" s="2775"/>
      <c r="BIE1" s="2775"/>
      <c r="BIF1" s="2775"/>
      <c r="BIG1" s="2775"/>
      <c r="BIH1" s="2775"/>
      <c r="BII1" s="2775"/>
      <c r="BIJ1" s="2775"/>
      <c r="BIK1" s="2775"/>
      <c r="BIL1" s="2775"/>
      <c r="BIM1" s="2775"/>
      <c r="BIN1" s="2775"/>
      <c r="BIO1" s="2775"/>
      <c r="BIP1" s="2775"/>
      <c r="BIQ1" s="2775"/>
      <c r="BIR1" s="2775"/>
      <c r="BIS1" s="2775"/>
      <c r="BIT1" s="2775"/>
      <c r="BIU1" s="2775"/>
      <c r="BIV1" s="2775"/>
      <c r="BIW1" s="2775"/>
      <c r="BIX1" s="2775"/>
      <c r="BIY1" s="2775"/>
      <c r="BIZ1" s="2775"/>
      <c r="BJA1" s="2775"/>
      <c r="BJB1" s="2775"/>
      <c r="BJC1" s="2775"/>
      <c r="BJD1" s="2775"/>
      <c r="BJE1" s="2775"/>
      <c r="BJF1" s="2775"/>
      <c r="BJG1" s="2775"/>
      <c r="BJH1" s="2775"/>
      <c r="BJI1" s="2775"/>
      <c r="BJJ1" s="2775"/>
      <c r="BJK1" s="2775"/>
      <c r="BJL1" s="2775"/>
      <c r="BJM1" s="2775"/>
      <c r="BJN1" s="2775"/>
      <c r="BJO1" s="2775"/>
      <c r="BJP1" s="2775"/>
      <c r="BJQ1" s="2775"/>
      <c r="BJR1" s="2775"/>
      <c r="BJS1" s="2775"/>
      <c r="BJT1" s="2775"/>
      <c r="BJU1" s="2775"/>
      <c r="BJV1" s="2775"/>
      <c r="BJW1" s="2775"/>
      <c r="BJX1" s="2775"/>
      <c r="BJY1" s="2775"/>
      <c r="BJZ1" s="2775"/>
      <c r="BKA1" s="2775"/>
      <c r="BKB1" s="2775"/>
      <c r="BKC1" s="2775"/>
      <c r="BKD1" s="2775"/>
      <c r="BKE1" s="2775"/>
      <c r="BKF1" s="2775"/>
      <c r="BKG1" s="2775"/>
      <c r="BKH1" s="2775"/>
      <c r="BKI1" s="2775"/>
      <c r="BKJ1" s="2775"/>
      <c r="BKK1" s="2775"/>
      <c r="BKL1" s="2775"/>
      <c r="BKM1" s="2775"/>
      <c r="BKN1" s="2775"/>
      <c r="BKO1" s="2775"/>
      <c r="BKP1" s="2775"/>
      <c r="BKQ1" s="2775"/>
      <c r="BKR1" s="2775"/>
      <c r="BKS1" s="2775"/>
      <c r="BKT1" s="2775"/>
      <c r="BKU1" s="2775"/>
      <c r="BKV1" s="2775"/>
      <c r="BKW1" s="2775"/>
      <c r="BKX1" s="2775"/>
      <c r="BKY1" s="2775"/>
      <c r="BKZ1" s="2775"/>
      <c r="BLA1" s="2775"/>
      <c r="BLB1" s="2775"/>
      <c r="BLC1" s="2775"/>
      <c r="BLD1" s="2775"/>
      <c r="BLE1" s="2775"/>
      <c r="BLF1" s="2775"/>
      <c r="BLG1" s="2775"/>
      <c r="BLH1" s="2775"/>
      <c r="BLI1" s="2775"/>
      <c r="BLJ1" s="2775"/>
      <c r="BLK1" s="2775"/>
      <c r="BLL1" s="2775"/>
      <c r="BLM1" s="2775"/>
      <c r="BLN1" s="2775"/>
      <c r="BLO1" s="2775"/>
      <c r="BLP1" s="2775"/>
      <c r="BLQ1" s="2775"/>
      <c r="BLR1" s="2775"/>
      <c r="BLS1" s="2775"/>
      <c r="BLT1" s="2775"/>
      <c r="BLU1" s="2775"/>
      <c r="BLV1" s="2775"/>
      <c r="BLW1" s="2775"/>
      <c r="BLX1" s="2775"/>
      <c r="BLY1" s="2775"/>
      <c r="BLZ1" s="2775"/>
      <c r="BMA1" s="2775"/>
      <c r="BMB1" s="2775"/>
      <c r="BMC1" s="2775"/>
      <c r="BMD1" s="2775"/>
      <c r="BME1" s="2775"/>
      <c r="BMF1" s="2775"/>
      <c r="BMG1" s="2775"/>
      <c r="BMH1" s="2775"/>
      <c r="BMI1" s="2775"/>
      <c r="BMJ1" s="2775"/>
      <c r="BMK1" s="2775"/>
      <c r="BML1" s="2775"/>
      <c r="BMM1" s="2775"/>
      <c r="BMN1" s="2775"/>
      <c r="BMO1" s="2775"/>
      <c r="BMP1" s="2775"/>
      <c r="BMQ1" s="2775"/>
      <c r="BMR1" s="2775"/>
      <c r="BMS1" s="2775"/>
      <c r="BMT1" s="2775"/>
      <c r="BMU1" s="2775"/>
      <c r="BMV1" s="2775"/>
      <c r="BMW1" s="2775"/>
      <c r="BMX1" s="2775"/>
      <c r="BMY1" s="2775"/>
      <c r="BMZ1" s="2775"/>
      <c r="BNA1" s="2775"/>
      <c r="BNB1" s="2775"/>
      <c r="BNC1" s="2775"/>
      <c r="BND1" s="2775"/>
      <c r="BNE1" s="2775"/>
      <c r="BNF1" s="2775"/>
      <c r="BNG1" s="2775"/>
      <c r="BNH1" s="2775"/>
      <c r="BNI1" s="2775"/>
      <c r="BNJ1" s="2775"/>
      <c r="BNK1" s="2775"/>
      <c r="BNL1" s="2775"/>
      <c r="BNM1" s="2775"/>
      <c r="BNN1" s="2775"/>
      <c r="BNO1" s="2775"/>
      <c r="BNP1" s="2775"/>
      <c r="BNQ1" s="2775"/>
      <c r="BNR1" s="2775"/>
      <c r="BNS1" s="2775"/>
      <c r="BNT1" s="2775"/>
      <c r="BNU1" s="2775"/>
      <c r="BNV1" s="2775"/>
      <c r="BNW1" s="2775"/>
      <c r="BNX1" s="2775"/>
      <c r="BNY1" s="2775"/>
      <c r="BNZ1" s="2775"/>
      <c r="BOA1" s="2775"/>
      <c r="BOB1" s="2775"/>
      <c r="BOC1" s="2775"/>
      <c r="BOD1" s="2775"/>
      <c r="BOE1" s="2775"/>
      <c r="BOF1" s="2775"/>
      <c r="BOG1" s="2775"/>
      <c r="BOH1" s="2775"/>
      <c r="BOI1" s="2775"/>
      <c r="BOJ1" s="2775"/>
      <c r="BOK1" s="2775"/>
      <c r="BOL1" s="2775"/>
      <c r="BOM1" s="2775"/>
      <c r="BON1" s="2775"/>
      <c r="BOO1" s="2775"/>
      <c r="BOP1" s="2775"/>
      <c r="BOQ1" s="2775"/>
      <c r="BOR1" s="2775"/>
      <c r="BOS1" s="2775"/>
      <c r="BOT1" s="2775"/>
      <c r="BOU1" s="2775"/>
      <c r="BOV1" s="2775"/>
      <c r="BOW1" s="2775"/>
      <c r="BOX1" s="2775"/>
      <c r="BOY1" s="2775"/>
      <c r="BOZ1" s="2775"/>
      <c r="BPA1" s="2775"/>
      <c r="BPB1" s="2775"/>
      <c r="BPC1" s="2775"/>
      <c r="BPD1" s="2775"/>
      <c r="BPE1" s="2775"/>
      <c r="BPF1" s="2775"/>
      <c r="BPG1" s="2775"/>
      <c r="BPH1" s="2775"/>
      <c r="BPI1" s="2775"/>
      <c r="BPJ1" s="2775"/>
      <c r="BPK1" s="2775"/>
      <c r="BPL1" s="2775"/>
      <c r="BPM1" s="2775"/>
      <c r="BPN1" s="2775"/>
      <c r="BPO1" s="2775"/>
      <c r="BPP1" s="2775"/>
      <c r="BPQ1" s="2775"/>
      <c r="BPR1" s="2775"/>
      <c r="BPS1" s="2775"/>
      <c r="BPT1" s="2775"/>
      <c r="BPU1" s="2775"/>
      <c r="BPV1" s="2775"/>
      <c r="BPW1" s="2775"/>
      <c r="BPX1" s="2775"/>
      <c r="BPY1" s="2775"/>
      <c r="BPZ1" s="2775"/>
      <c r="BQA1" s="2775"/>
      <c r="BQB1" s="2775"/>
      <c r="BQC1" s="2775"/>
      <c r="BQD1" s="2775"/>
      <c r="BQE1" s="2775"/>
      <c r="BQF1" s="2775"/>
      <c r="BQG1" s="2775"/>
      <c r="BQH1" s="2775"/>
      <c r="BQI1" s="2775"/>
      <c r="BQJ1" s="2775"/>
      <c r="BQK1" s="2775"/>
      <c r="BQL1" s="2775"/>
      <c r="BQM1" s="2775"/>
      <c r="BQN1" s="2775"/>
      <c r="BQO1" s="2775"/>
      <c r="BQP1" s="2775"/>
      <c r="BQQ1" s="2775"/>
      <c r="BQR1" s="2775"/>
      <c r="BQS1" s="2775"/>
      <c r="BQT1" s="2775"/>
      <c r="BQU1" s="2775"/>
      <c r="BQV1" s="2775"/>
      <c r="BQW1" s="2775"/>
      <c r="BQX1" s="2775"/>
      <c r="BQY1" s="2775"/>
      <c r="BQZ1" s="2775"/>
      <c r="BRA1" s="2775"/>
      <c r="BRB1" s="2775"/>
      <c r="BRC1" s="2775"/>
      <c r="BRD1" s="2775"/>
      <c r="BRE1" s="2775"/>
      <c r="BRF1" s="2775"/>
      <c r="BRG1" s="2775"/>
      <c r="BRH1" s="2775"/>
      <c r="BRI1" s="2775"/>
      <c r="BRJ1" s="2775"/>
      <c r="BRK1" s="2775"/>
      <c r="BRL1" s="2775"/>
      <c r="BRM1" s="2775"/>
      <c r="BRN1" s="2775"/>
      <c r="BRO1" s="2775"/>
      <c r="BRP1" s="2775"/>
      <c r="BRQ1" s="2775"/>
      <c r="BRR1" s="2775"/>
      <c r="BRS1" s="2775"/>
      <c r="BRT1" s="2775"/>
      <c r="BRU1" s="2775"/>
      <c r="BRV1" s="2775"/>
      <c r="BRW1" s="2775"/>
      <c r="BRX1" s="2775"/>
      <c r="BRY1" s="2775"/>
      <c r="BRZ1" s="2775"/>
      <c r="BSA1" s="2775"/>
      <c r="BSB1" s="2775"/>
      <c r="BSC1" s="2775"/>
      <c r="BSD1" s="2775"/>
      <c r="BSE1" s="2775"/>
      <c r="BSF1" s="2775"/>
      <c r="BSG1" s="2775"/>
      <c r="BSH1" s="2775"/>
      <c r="BSI1" s="2775"/>
      <c r="BSJ1" s="2775"/>
      <c r="BSK1" s="2775"/>
      <c r="BSL1" s="2775"/>
      <c r="BSM1" s="2775"/>
      <c r="BSN1" s="2775"/>
      <c r="BSO1" s="2775"/>
      <c r="BSP1" s="2775"/>
      <c r="BSQ1" s="2775"/>
      <c r="BSR1" s="2775"/>
      <c r="BSS1" s="2775"/>
      <c r="BST1" s="2775"/>
      <c r="BSU1" s="2775"/>
      <c r="BSV1" s="2775"/>
      <c r="BSW1" s="2775"/>
      <c r="BSX1" s="2775"/>
      <c r="BSY1" s="2775"/>
      <c r="BSZ1" s="2775"/>
      <c r="BTA1" s="2775"/>
      <c r="BTB1" s="2775"/>
      <c r="BTC1" s="2775"/>
      <c r="BTD1" s="2775"/>
      <c r="BTE1" s="2775"/>
      <c r="BTF1" s="2775"/>
      <c r="BTG1" s="2775"/>
      <c r="BTH1" s="2775"/>
      <c r="BTI1" s="2775"/>
      <c r="BTJ1" s="2775"/>
      <c r="BTK1" s="2775"/>
      <c r="BTL1" s="2775"/>
      <c r="BTM1" s="2775"/>
      <c r="BTN1" s="2775"/>
      <c r="BTO1" s="2775"/>
      <c r="BTP1" s="2775"/>
      <c r="BTQ1" s="2775"/>
      <c r="BTR1" s="2775"/>
      <c r="BTS1" s="2775"/>
      <c r="BTT1" s="2775"/>
      <c r="BTU1" s="2775"/>
      <c r="BTV1" s="2775"/>
      <c r="BTW1" s="2775"/>
      <c r="BTX1" s="2775"/>
      <c r="BTY1" s="2775"/>
      <c r="BTZ1" s="2775"/>
      <c r="BUA1" s="2775"/>
      <c r="BUB1" s="2775"/>
      <c r="BUC1" s="2775"/>
      <c r="BUD1" s="2775"/>
      <c r="BUE1" s="2775"/>
      <c r="BUF1" s="2775"/>
      <c r="BUG1" s="2775"/>
      <c r="BUH1" s="2775"/>
      <c r="BUI1" s="2775"/>
      <c r="BUJ1" s="2775"/>
      <c r="BUK1" s="2775"/>
      <c r="BUL1" s="2775"/>
      <c r="BUM1" s="2775"/>
      <c r="BUN1" s="2775"/>
      <c r="BUO1" s="2775"/>
      <c r="BUP1" s="2775"/>
      <c r="BUQ1" s="2775"/>
      <c r="BUR1" s="2775"/>
      <c r="BUS1" s="2775"/>
      <c r="BUT1" s="2775"/>
      <c r="BUU1" s="2775"/>
      <c r="BUV1" s="2775"/>
      <c r="BUW1" s="2775"/>
      <c r="BUX1" s="2775"/>
      <c r="BUY1" s="2775"/>
      <c r="BUZ1" s="2775"/>
      <c r="BVA1" s="2775"/>
      <c r="BVB1" s="2775"/>
      <c r="BVC1" s="2775"/>
      <c r="BVD1" s="2775"/>
      <c r="BVE1" s="2775"/>
      <c r="BVF1" s="2775"/>
      <c r="BVG1" s="2775"/>
      <c r="BVH1" s="2775"/>
      <c r="BVI1" s="2775"/>
      <c r="BVJ1" s="2775"/>
      <c r="BVK1" s="2775"/>
      <c r="BVL1" s="2775"/>
      <c r="BVM1" s="2775"/>
      <c r="BVN1" s="2775"/>
      <c r="BVO1" s="2775"/>
      <c r="BVP1" s="2775"/>
      <c r="BVQ1" s="2775"/>
      <c r="BVR1" s="2775"/>
      <c r="BVS1" s="2775"/>
      <c r="BVT1" s="2775"/>
      <c r="BVU1" s="2775"/>
      <c r="BVV1" s="2775"/>
      <c r="BVW1" s="2775"/>
      <c r="BVX1" s="2775"/>
      <c r="BVY1" s="2775"/>
      <c r="BVZ1" s="2775"/>
      <c r="BWA1" s="2775"/>
      <c r="BWB1" s="2775"/>
      <c r="BWC1" s="2775"/>
      <c r="BWD1" s="2775"/>
      <c r="BWE1" s="2775"/>
      <c r="BWF1" s="2775"/>
      <c r="BWG1" s="2775"/>
      <c r="BWH1" s="2775"/>
      <c r="BWI1" s="2775"/>
      <c r="BWJ1" s="2775"/>
      <c r="BWK1" s="2775"/>
      <c r="BWL1" s="2775"/>
      <c r="BWM1" s="2775"/>
      <c r="BWN1" s="2775"/>
      <c r="BWO1" s="2775"/>
      <c r="BWP1" s="2775"/>
      <c r="BWQ1" s="2775"/>
      <c r="BWR1" s="2775"/>
      <c r="BWS1" s="2775"/>
      <c r="BWT1" s="2775"/>
      <c r="BWU1" s="2775"/>
      <c r="BWV1" s="2775"/>
      <c r="BWW1" s="2775"/>
      <c r="BWX1" s="2775"/>
      <c r="BWY1" s="2775"/>
      <c r="BWZ1" s="2775"/>
      <c r="BXA1" s="2775"/>
      <c r="BXB1" s="2775"/>
      <c r="BXC1" s="2775"/>
      <c r="BXD1" s="2775"/>
      <c r="BXE1" s="2775"/>
      <c r="BXF1" s="2775"/>
      <c r="BXG1" s="2775"/>
      <c r="BXH1" s="2775"/>
      <c r="BXI1" s="2775"/>
      <c r="BXJ1" s="2775"/>
      <c r="BXK1" s="2775"/>
      <c r="BXL1" s="2775"/>
      <c r="BXM1" s="2775"/>
      <c r="BXN1" s="2775"/>
      <c r="BXO1" s="2775"/>
      <c r="BXP1" s="2775"/>
      <c r="BXQ1" s="2775"/>
      <c r="BXR1" s="2775"/>
      <c r="BXS1" s="2775"/>
      <c r="BXT1" s="2775"/>
      <c r="BXU1" s="2775"/>
      <c r="BXV1" s="2775"/>
      <c r="BXW1" s="2775"/>
      <c r="BXX1" s="2775"/>
      <c r="BXY1" s="2775"/>
      <c r="BXZ1" s="2775"/>
      <c r="BYA1" s="2775"/>
      <c r="BYB1" s="2775"/>
      <c r="BYC1" s="2775"/>
      <c r="BYD1" s="2775"/>
      <c r="BYE1" s="2775"/>
      <c r="BYF1" s="2775"/>
      <c r="BYG1" s="2775"/>
      <c r="BYH1" s="2775"/>
      <c r="BYI1" s="2775"/>
      <c r="BYJ1" s="2775"/>
      <c r="BYK1" s="2775"/>
      <c r="BYL1" s="2775"/>
      <c r="BYM1" s="2775"/>
      <c r="BYN1" s="2775"/>
      <c r="BYO1" s="2775"/>
      <c r="BYP1" s="2775"/>
      <c r="BYQ1" s="2775"/>
      <c r="BYR1" s="2775"/>
      <c r="BYS1" s="2775"/>
      <c r="BYT1" s="2775"/>
      <c r="BYU1" s="2775"/>
      <c r="BYV1" s="2775"/>
      <c r="BYW1" s="2775"/>
      <c r="BYX1" s="2775"/>
      <c r="BYY1" s="2775"/>
      <c r="BYZ1" s="2775"/>
      <c r="BZA1" s="2775"/>
      <c r="BZB1" s="2775"/>
      <c r="BZC1" s="2775"/>
      <c r="BZD1" s="2775"/>
      <c r="BZE1" s="2775"/>
      <c r="BZF1" s="2775"/>
      <c r="BZG1" s="2775"/>
      <c r="BZH1" s="2775"/>
      <c r="BZI1" s="2775"/>
      <c r="BZJ1" s="2775"/>
      <c r="BZK1" s="2775"/>
      <c r="BZL1" s="2775"/>
      <c r="BZM1" s="2775"/>
      <c r="BZN1" s="2775"/>
      <c r="BZO1" s="2775"/>
      <c r="BZP1" s="2775"/>
      <c r="BZQ1" s="2775"/>
      <c r="BZR1" s="2775"/>
      <c r="BZS1" s="2775"/>
      <c r="BZT1" s="2775"/>
      <c r="BZU1" s="2775"/>
      <c r="BZV1" s="2775"/>
      <c r="BZW1" s="2775"/>
      <c r="BZX1" s="2775"/>
      <c r="BZY1" s="2775"/>
      <c r="BZZ1" s="2775"/>
      <c r="CAA1" s="2775"/>
      <c r="CAB1" s="2775"/>
      <c r="CAC1" s="2775"/>
      <c r="CAD1" s="2775"/>
      <c r="CAE1" s="2775"/>
      <c r="CAF1" s="2775"/>
      <c r="CAG1" s="2775"/>
      <c r="CAH1" s="2775"/>
      <c r="CAI1" s="2775"/>
      <c r="CAJ1" s="2775"/>
      <c r="CAK1" s="2775"/>
      <c r="CAL1" s="2775"/>
      <c r="CAM1" s="2775"/>
      <c r="CAN1" s="2775"/>
      <c r="CAO1" s="2775"/>
      <c r="CAP1" s="2775"/>
      <c r="CAQ1" s="2775"/>
      <c r="CAR1" s="2775"/>
      <c r="CAS1" s="2775"/>
      <c r="CAT1" s="2775"/>
      <c r="CAU1" s="2775"/>
      <c r="CAV1" s="2775"/>
      <c r="CAW1" s="2775"/>
      <c r="CAX1" s="2775"/>
      <c r="CAY1" s="2775"/>
      <c r="CAZ1" s="2775"/>
      <c r="CBA1" s="2775"/>
      <c r="CBB1" s="2775"/>
      <c r="CBC1" s="2775"/>
      <c r="CBD1" s="2775"/>
      <c r="CBE1" s="2775"/>
      <c r="CBF1" s="2775"/>
      <c r="CBG1" s="2775"/>
      <c r="CBH1" s="2775"/>
      <c r="CBI1" s="2775"/>
      <c r="CBJ1" s="2775"/>
      <c r="CBK1" s="2775"/>
      <c r="CBL1" s="2775"/>
      <c r="CBM1" s="2775"/>
      <c r="CBN1" s="2775"/>
      <c r="CBO1" s="2775"/>
      <c r="CBP1" s="2775"/>
      <c r="CBQ1" s="2775"/>
      <c r="CBR1" s="2775"/>
      <c r="CBS1" s="2775"/>
      <c r="CBT1" s="2775"/>
      <c r="CBU1" s="2775"/>
      <c r="CBV1" s="2775"/>
      <c r="CBW1" s="2775"/>
      <c r="CBX1" s="2775"/>
      <c r="CBY1" s="2775"/>
      <c r="CBZ1" s="2775"/>
      <c r="CCA1" s="2775"/>
      <c r="CCB1" s="2775"/>
      <c r="CCC1" s="2775"/>
      <c r="CCD1" s="2775"/>
      <c r="CCE1" s="2775"/>
      <c r="CCF1" s="2775"/>
      <c r="CCG1" s="2775"/>
      <c r="CCH1" s="2775"/>
      <c r="CCI1" s="2775"/>
      <c r="CCJ1" s="2775"/>
      <c r="CCK1" s="2775"/>
      <c r="CCL1" s="2775"/>
      <c r="CCM1" s="2775"/>
      <c r="CCN1" s="2775"/>
      <c r="CCO1" s="2775"/>
      <c r="CCP1" s="2775"/>
      <c r="CCQ1" s="2775"/>
      <c r="CCR1" s="2775"/>
      <c r="CCS1" s="2775"/>
      <c r="CCT1" s="2775"/>
      <c r="CCU1" s="2775"/>
      <c r="CCV1" s="2775"/>
      <c r="CCW1" s="2775"/>
      <c r="CCX1" s="2775"/>
      <c r="CCY1" s="2775"/>
      <c r="CCZ1" s="2775"/>
      <c r="CDA1" s="2775"/>
      <c r="CDB1" s="2775"/>
      <c r="CDC1" s="2775"/>
      <c r="CDD1" s="2775"/>
      <c r="CDE1" s="2775"/>
      <c r="CDF1" s="2775"/>
      <c r="CDG1" s="2775"/>
      <c r="CDH1" s="2775"/>
      <c r="CDI1" s="2775"/>
      <c r="CDJ1" s="2775"/>
      <c r="CDK1" s="2775"/>
      <c r="CDL1" s="2775"/>
      <c r="CDM1" s="2775"/>
      <c r="CDN1" s="2775"/>
      <c r="CDO1" s="2775"/>
      <c r="CDP1" s="2775"/>
      <c r="CDQ1" s="2775"/>
      <c r="CDR1" s="2775"/>
      <c r="CDS1" s="2775"/>
      <c r="CDT1" s="2775"/>
      <c r="CDU1" s="2775"/>
      <c r="CDV1" s="2775"/>
      <c r="CDW1" s="2775"/>
      <c r="CDX1" s="2775"/>
      <c r="CDY1" s="2775"/>
      <c r="CDZ1" s="2775"/>
      <c r="CEA1" s="2775"/>
      <c r="CEB1" s="2775"/>
      <c r="CEC1" s="2775"/>
      <c r="CED1" s="2775"/>
      <c r="CEE1" s="2775"/>
      <c r="CEF1" s="2775"/>
      <c r="CEG1" s="2775"/>
      <c r="CEH1" s="2775"/>
      <c r="CEI1" s="2775"/>
      <c r="CEJ1" s="2775"/>
      <c r="CEK1" s="2775"/>
      <c r="CEL1" s="2775"/>
      <c r="CEM1" s="2775"/>
      <c r="CEN1" s="2775"/>
      <c r="CEO1" s="2775"/>
      <c r="CEP1" s="2775"/>
      <c r="CEQ1" s="2775"/>
      <c r="CER1" s="2775"/>
      <c r="CES1" s="2775"/>
      <c r="CET1" s="2775"/>
      <c r="CEU1" s="2775"/>
      <c r="CEV1" s="2775"/>
      <c r="CEW1" s="2775"/>
      <c r="CEX1" s="2775"/>
      <c r="CEY1" s="2775"/>
      <c r="CEZ1" s="2775"/>
      <c r="CFA1" s="2775"/>
      <c r="CFB1" s="2775"/>
      <c r="CFC1" s="2775"/>
      <c r="CFD1" s="2775"/>
      <c r="CFE1" s="2775"/>
      <c r="CFF1" s="2775"/>
      <c r="CFG1" s="2775"/>
      <c r="CFH1" s="2775"/>
      <c r="CFI1" s="2775"/>
      <c r="CFJ1" s="2775"/>
      <c r="CFK1" s="2775"/>
      <c r="CFL1" s="2775"/>
      <c r="CFM1" s="2775"/>
      <c r="CFN1" s="2775"/>
      <c r="CFO1" s="2775"/>
      <c r="CFP1" s="2775"/>
      <c r="CFQ1" s="2775"/>
      <c r="CFR1" s="2775"/>
      <c r="CFS1" s="2775"/>
      <c r="CFT1" s="2775"/>
      <c r="CFU1" s="2775"/>
      <c r="CFV1" s="2775"/>
      <c r="CFW1" s="2775"/>
      <c r="CFX1" s="2775"/>
      <c r="CFY1" s="2775"/>
      <c r="CFZ1" s="2775"/>
      <c r="CGA1" s="2775"/>
      <c r="CGB1" s="2775"/>
      <c r="CGC1" s="2775"/>
      <c r="CGD1" s="2775"/>
      <c r="CGE1" s="2775"/>
      <c r="CGF1" s="2775"/>
      <c r="CGG1" s="2775"/>
      <c r="CGH1" s="2775"/>
      <c r="CGI1" s="2775"/>
      <c r="CGJ1" s="2775"/>
      <c r="CGK1" s="2775"/>
      <c r="CGL1" s="2775"/>
      <c r="CGM1" s="2775"/>
      <c r="CGN1" s="2775"/>
      <c r="CGO1" s="2775"/>
      <c r="CGP1" s="2775"/>
      <c r="CGQ1" s="2775"/>
      <c r="CGR1" s="2775"/>
      <c r="CGS1" s="2775"/>
      <c r="CGT1" s="2775"/>
      <c r="CGU1" s="2775"/>
      <c r="CGV1" s="2775"/>
      <c r="CGW1" s="2775"/>
      <c r="CGX1" s="2775"/>
      <c r="CGY1" s="2775"/>
      <c r="CGZ1" s="2775"/>
      <c r="CHA1" s="2775"/>
      <c r="CHB1" s="2775"/>
      <c r="CHC1" s="2775"/>
      <c r="CHD1" s="2775"/>
      <c r="CHE1" s="2775"/>
      <c r="CHF1" s="2775"/>
      <c r="CHG1" s="2775"/>
      <c r="CHH1" s="2775"/>
      <c r="CHI1" s="2775"/>
      <c r="CHJ1" s="2775"/>
      <c r="CHK1" s="2775"/>
      <c r="CHL1" s="2775"/>
      <c r="CHM1" s="2775"/>
      <c r="CHN1" s="2775"/>
      <c r="CHO1" s="2775"/>
      <c r="CHP1" s="2775"/>
      <c r="CHQ1" s="2775"/>
      <c r="CHR1" s="2775"/>
      <c r="CHS1" s="2775"/>
      <c r="CHT1" s="2775"/>
      <c r="CHU1" s="2775"/>
      <c r="CHV1" s="2775"/>
      <c r="CHW1" s="2775"/>
      <c r="CHX1" s="2775"/>
      <c r="CHY1" s="2775"/>
      <c r="CHZ1" s="2775"/>
      <c r="CIA1" s="2775"/>
      <c r="CIB1" s="2775"/>
      <c r="CIC1" s="2775"/>
      <c r="CID1" s="2775"/>
      <c r="CIE1" s="2775"/>
      <c r="CIF1" s="2775"/>
      <c r="CIG1" s="2775"/>
      <c r="CIH1" s="2775"/>
      <c r="CII1" s="2775"/>
      <c r="CIJ1" s="2775"/>
      <c r="CIK1" s="2775"/>
      <c r="CIL1" s="2775"/>
      <c r="CIM1" s="2775"/>
      <c r="CIN1" s="2775"/>
      <c r="CIO1" s="2775"/>
      <c r="CIP1" s="2775"/>
      <c r="CIQ1" s="2775"/>
      <c r="CIR1" s="2775"/>
      <c r="CIS1" s="2775"/>
      <c r="CIT1" s="2775"/>
      <c r="CIU1" s="2775"/>
      <c r="CIV1" s="2775"/>
      <c r="CIW1" s="2775"/>
      <c r="CIX1" s="2775"/>
      <c r="CIY1" s="2775"/>
      <c r="CIZ1" s="2775"/>
      <c r="CJA1" s="2775"/>
      <c r="CJB1" s="2775"/>
      <c r="CJC1" s="2775"/>
      <c r="CJD1" s="2775"/>
      <c r="CJE1" s="2775"/>
      <c r="CJF1" s="2775"/>
      <c r="CJG1" s="2775"/>
      <c r="CJH1" s="2775"/>
      <c r="CJI1" s="2775"/>
      <c r="CJJ1" s="2775"/>
      <c r="CJK1" s="2775"/>
      <c r="CJL1" s="2775"/>
      <c r="CJM1" s="2775"/>
      <c r="CJN1" s="2775"/>
      <c r="CJO1" s="2775"/>
      <c r="CJP1" s="2775"/>
      <c r="CJQ1" s="2775"/>
      <c r="CJR1" s="2775"/>
      <c r="CJS1" s="2775"/>
      <c r="CJT1" s="2775"/>
      <c r="CJU1" s="2775"/>
      <c r="CJV1" s="2775"/>
      <c r="CJW1" s="2775"/>
      <c r="CJX1" s="2775"/>
      <c r="CJY1" s="2775"/>
      <c r="CJZ1" s="2775"/>
      <c r="CKA1" s="2775"/>
      <c r="CKB1" s="2775"/>
      <c r="CKC1" s="2775"/>
      <c r="CKD1" s="2775"/>
      <c r="CKE1" s="2775"/>
      <c r="CKF1" s="2775"/>
      <c r="CKG1" s="2775"/>
      <c r="CKH1" s="2775"/>
      <c r="CKI1" s="2775"/>
      <c r="CKJ1" s="2775"/>
      <c r="CKK1" s="2775"/>
      <c r="CKL1" s="2775"/>
      <c r="CKM1" s="2775"/>
      <c r="CKN1" s="2775"/>
      <c r="CKO1" s="2775"/>
      <c r="CKP1" s="2775"/>
      <c r="CKQ1" s="2775"/>
      <c r="CKR1" s="2775"/>
      <c r="CKS1" s="2775"/>
      <c r="CKT1" s="2775"/>
      <c r="CKU1" s="2775"/>
      <c r="CKV1" s="2775"/>
      <c r="CKW1" s="2775"/>
      <c r="CKX1" s="2775"/>
      <c r="CKY1" s="2775"/>
      <c r="CKZ1" s="2775"/>
      <c r="CLA1" s="2775"/>
      <c r="CLB1" s="2775"/>
      <c r="CLC1" s="2775"/>
      <c r="CLD1" s="2775"/>
      <c r="CLE1" s="2775"/>
      <c r="CLF1" s="2775"/>
      <c r="CLG1" s="2775"/>
      <c r="CLH1" s="2775"/>
      <c r="CLI1" s="2775"/>
      <c r="CLJ1" s="2775"/>
      <c r="CLK1" s="2775"/>
      <c r="CLL1" s="2775"/>
      <c r="CLM1" s="2775"/>
      <c r="CLN1" s="2775"/>
      <c r="CLO1" s="2775"/>
      <c r="CLP1" s="2775"/>
      <c r="CLQ1" s="2775"/>
      <c r="CLR1" s="2775"/>
      <c r="CLS1" s="2775"/>
      <c r="CLT1" s="2775"/>
      <c r="CLU1" s="2775"/>
      <c r="CLV1" s="2775"/>
      <c r="CLW1" s="2775"/>
      <c r="CLX1" s="2775"/>
      <c r="CLY1" s="2775"/>
      <c r="CLZ1" s="2775"/>
      <c r="CMA1" s="2775"/>
      <c r="CMB1" s="2775"/>
      <c r="CMC1" s="2775"/>
      <c r="CMD1" s="2775"/>
      <c r="CME1" s="2775"/>
      <c r="CMF1" s="2775"/>
      <c r="CMG1" s="2775"/>
      <c r="CMH1" s="2775"/>
      <c r="CMI1" s="2775"/>
      <c r="CMJ1" s="2775"/>
      <c r="CMK1" s="2775"/>
      <c r="CML1" s="2775"/>
      <c r="CMM1" s="2775"/>
      <c r="CMN1" s="2775"/>
      <c r="CMO1" s="2775"/>
      <c r="CMP1" s="2775"/>
      <c r="CMQ1" s="2775"/>
      <c r="CMR1" s="2775"/>
      <c r="CMS1" s="2775"/>
      <c r="CMT1" s="2775"/>
      <c r="CMU1" s="2775"/>
      <c r="CMV1" s="2775"/>
      <c r="CMW1" s="2775"/>
      <c r="CMX1" s="2775"/>
      <c r="CMY1" s="2775"/>
      <c r="CMZ1" s="2775"/>
      <c r="CNA1" s="2775"/>
      <c r="CNB1" s="2775"/>
      <c r="CNC1" s="2775"/>
      <c r="CND1" s="2775"/>
      <c r="CNE1" s="2775"/>
      <c r="CNF1" s="2775"/>
      <c r="CNG1" s="2775"/>
      <c r="CNH1" s="2775"/>
      <c r="CNI1" s="2775"/>
      <c r="CNJ1" s="2775"/>
      <c r="CNK1" s="2775"/>
      <c r="CNL1" s="2775"/>
      <c r="CNM1" s="2775"/>
      <c r="CNN1" s="2775"/>
      <c r="CNO1" s="2775"/>
      <c r="CNP1" s="2775"/>
      <c r="CNQ1" s="2775"/>
      <c r="CNR1" s="2775"/>
      <c r="CNS1" s="2775"/>
      <c r="CNT1" s="2775"/>
      <c r="CNU1" s="2775"/>
      <c r="CNV1" s="2775"/>
      <c r="CNW1" s="2775"/>
      <c r="CNX1" s="2775"/>
      <c r="CNY1" s="2775"/>
      <c r="CNZ1" s="2775"/>
      <c r="COA1" s="2775"/>
      <c r="COB1" s="2775"/>
      <c r="COC1" s="2775"/>
      <c r="COD1" s="2775"/>
      <c r="COE1" s="2775"/>
      <c r="COF1" s="2775"/>
      <c r="COG1" s="2775"/>
      <c r="COH1" s="2775"/>
      <c r="COI1" s="2775"/>
      <c r="COJ1" s="2775"/>
      <c r="COK1" s="2775"/>
      <c r="COL1" s="2775"/>
      <c r="COM1" s="2775"/>
      <c r="CON1" s="2775"/>
      <c r="COO1" s="2775"/>
      <c r="COP1" s="2775"/>
      <c r="COQ1" s="2775"/>
      <c r="COR1" s="2775"/>
      <c r="COS1" s="2775"/>
      <c r="COT1" s="2775"/>
      <c r="COU1" s="2775"/>
      <c r="COV1" s="2775"/>
      <c r="COW1" s="2775"/>
      <c r="COX1" s="2775"/>
      <c r="COY1" s="2775"/>
      <c r="COZ1" s="2775"/>
      <c r="CPA1" s="2775"/>
      <c r="CPB1" s="2775"/>
      <c r="CPC1" s="2775"/>
      <c r="CPD1" s="2775"/>
      <c r="CPE1" s="2775"/>
      <c r="CPF1" s="2775"/>
      <c r="CPG1" s="2775"/>
      <c r="CPH1" s="2775"/>
      <c r="CPI1" s="2775"/>
      <c r="CPJ1" s="2775"/>
      <c r="CPK1" s="2775"/>
      <c r="CPL1" s="2775"/>
      <c r="CPM1" s="2775"/>
      <c r="CPN1" s="2775"/>
      <c r="CPO1" s="2775"/>
      <c r="CPP1" s="2775"/>
      <c r="CPQ1" s="2775"/>
      <c r="CPR1" s="2775"/>
      <c r="CPS1" s="2775"/>
      <c r="CPT1" s="2775"/>
      <c r="CPU1" s="2775"/>
      <c r="CPV1" s="2775"/>
      <c r="CPW1" s="2775"/>
      <c r="CPX1" s="2775"/>
      <c r="CPY1" s="2775"/>
      <c r="CPZ1" s="2775"/>
      <c r="CQA1" s="2775"/>
      <c r="CQB1" s="2775"/>
      <c r="CQC1" s="2775"/>
      <c r="CQD1" s="2775"/>
      <c r="CQE1" s="2775"/>
      <c r="CQF1" s="2775"/>
      <c r="CQG1" s="2775"/>
      <c r="CQH1" s="2775"/>
      <c r="CQI1" s="2775"/>
      <c r="CQJ1" s="2775"/>
      <c r="CQK1" s="2775"/>
      <c r="CQL1" s="2775"/>
      <c r="CQM1" s="2775"/>
      <c r="CQN1" s="2775"/>
      <c r="CQO1" s="2775"/>
      <c r="CQP1" s="2775"/>
      <c r="CQQ1" s="2775"/>
      <c r="CQR1" s="2775"/>
      <c r="CQS1" s="2775"/>
      <c r="CQT1" s="2775"/>
      <c r="CQU1" s="2775"/>
      <c r="CQV1" s="2775"/>
      <c r="CQW1" s="2775"/>
      <c r="CQX1" s="2775"/>
      <c r="CQY1" s="2775"/>
      <c r="CQZ1" s="2775"/>
      <c r="CRA1" s="2775"/>
      <c r="CRB1" s="2775"/>
      <c r="CRC1" s="2775"/>
      <c r="CRD1" s="2775"/>
      <c r="CRE1" s="2775"/>
      <c r="CRF1" s="2775"/>
      <c r="CRG1" s="2775"/>
      <c r="CRH1" s="2775"/>
      <c r="CRI1" s="2775"/>
      <c r="CRJ1" s="2775"/>
      <c r="CRK1" s="2775"/>
      <c r="CRL1" s="2775"/>
      <c r="CRM1" s="2775"/>
      <c r="CRN1" s="2775"/>
      <c r="CRO1" s="2775"/>
      <c r="CRP1" s="2775"/>
      <c r="CRQ1" s="2775"/>
      <c r="CRR1" s="2775"/>
      <c r="CRS1" s="2775"/>
      <c r="CRT1" s="2775"/>
      <c r="CRU1" s="2775"/>
      <c r="CRV1" s="2775"/>
      <c r="CRW1" s="2775"/>
      <c r="CRX1" s="2775"/>
      <c r="CRY1" s="2775"/>
      <c r="CRZ1" s="2775"/>
      <c r="CSA1" s="2775"/>
      <c r="CSB1" s="2775"/>
      <c r="CSC1" s="2775"/>
      <c r="CSD1" s="2775"/>
      <c r="CSE1" s="2775"/>
      <c r="CSF1" s="2775"/>
      <c r="CSG1" s="2775"/>
      <c r="CSH1" s="2775"/>
      <c r="CSI1" s="2775"/>
      <c r="CSJ1" s="2775"/>
      <c r="CSK1" s="2775"/>
      <c r="CSL1" s="2775"/>
      <c r="CSM1" s="2775"/>
      <c r="CSN1" s="2775"/>
      <c r="CSO1" s="2775"/>
      <c r="CSP1" s="2775"/>
      <c r="CSQ1" s="2775"/>
      <c r="CSR1" s="2775"/>
      <c r="CSS1" s="2775"/>
      <c r="CST1" s="2775"/>
      <c r="CSU1" s="2775"/>
      <c r="CSV1" s="2775"/>
      <c r="CSW1" s="2775"/>
      <c r="CSX1" s="2775"/>
      <c r="CSY1" s="2775"/>
      <c r="CSZ1" s="2775"/>
      <c r="CTA1" s="2775"/>
      <c r="CTB1" s="2775"/>
      <c r="CTC1" s="2775"/>
      <c r="CTD1" s="2775"/>
      <c r="CTE1" s="2775"/>
      <c r="CTF1" s="2775"/>
      <c r="CTG1" s="2775"/>
      <c r="CTH1" s="2775"/>
      <c r="CTI1" s="2775"/>
      <c r="CTJ1" s="2775"/>
      <c r="CTK1" s="2775"/>
      <c r="CTL1" s="2775"/>
      <c r="CTM1" s="2775"/>
      <c r="CTN1" s="2775"/>
      <c r="CTO1" s="2775"/>
      <c r="CTP1" s="2775"/>
      <c r="CTQ1" s="2775"/>
      <c r="CTR1" s="2775"/>
      <c r="CTS1" s="2775"/>
      <c r="CTT1" s="2775"/>
      <c r="CTU1" s="2775"/>
      <c r="CTV1" s="2775"/>
      <c r="CTW1" s="2775"/>
      <c r="CTX1" s="2775"/>
      <c r="CTY1" s="2775"/>
      <c r="CTZ1" s="2775"/>
      <c r="CUA1" s="2775"/>
      <c r="CUB1" s="2775"/>
      <c r="CUC1" s="2775"/>
      <c r="CUD1" s="2775"/>
      <c r="CUE1" s="2775"/>
      <c r="CUF1" s="2775"/>
      <c r="CUG1" s="2775"/>
      <c r="CUH1" s="2775"/>
      <c r="CUI1" s="2775"/>
      <c r="CUJ1" s="2775"/>
      <c r="CUK1" s="2775"/>
      <c r="CUL1" s="2775"/>
      <c r="CUM1" s="2775"/>
      <c r="CUN1" s="2775"/>
      <c r="CUO1" s="2775"/>
      <c r="CUP1" s="2775"/>
      <c r="CUQ1" s="2775"/>
      <c r="CUR1" s="2775"/>
      <c r="CUS1" s="2775"/>
      <c r="CUT1" s="2775"/>
      <c r="CUU1" s="2775"/>
      <c r="CUV1" s="2775"/>
      <c r="CUW1" s="2775"/>
      <c r="CUX1" s="2775"/>
      <c r="CUY1" s="2775"/>
      <c r="CUZ1" s="2775"/>
      <c r="CVA1" s="2775"/>
      <c r="CVB1" s="2775"/>
      <c r="CVC1" s="2775"/>
      <c r="CVD1" s="2775"/>
      <c r="CVE1" s="2775"/>
      <c r="CVF1" s="2775"/>
      <c r="CVG1" s="2775"/>
      <c r="CVH1" s="2775"/>
      <c r="CVI1" s="2775"/>
      <c r="CVJ1" s="2775"/>
      <c r="CVK1" s="2775"/>
      <c r="CVL1" s="2775"/>
      <c r="CVM1" s="2775"/>
      <c r="CVN1" s="2775"/>
      <c r="CVO1" s="2775"/>
      <c r="CVP1" s="2775"/>
      <c r="CVQ1" s="2775"/>
      <c r="CVR1" s="2775"/>
      <c r="CVS1" s="2775"/>
      <c r="CVT1" s="2775"/>
      <c r="CVU1" s="2775"/>
      <c r="CVV1" s="2775"/>
      <c r="CVW1" s="2775"/>
      <c r="CVX1" s="2775"/>
      <c r="CVY1" s="2775"/>
      <c r="CVZ1" s="2775"/>
      <c r="CWA1" s="2775"/>
      <c r="CWB1" s="2775"/>
      <c r="CWC1" s="2775"/>
      <c r="CWD1" s="2775"/>
      <c r="CWE1" s="2775"/>
      <c r="CWF1" s="2775"/>
      <c r="CWG1" s="2775"/>
      <c r="CWH1" s="2775"/>
      <c r="CWI1" s="2775"/>
      <c r="CWJ1" s="2775"/>
      <c r="CWK1" s="2775"/>
      <c r="CWL1" s="2775"/>
      <c r="CWM1" s="2775"/>
      <c r="CWN1" s="2775"/>
      <c r="CWO1" s="2775"/>
      <c r="CWP1" s="2775"/>
      <c r="CWQ1" s="2775"/>
      <c r="CWR1" s="2775"/>
      <c r="CWS1" s="2775"/>
      <c r="CWT1" s="2775"/>
      <c r="CWU1" s="2775"/>
      <c r="CWV1" s="2775"/>
      <c r="CWW1" s="2775"/>
      <c r="CWX1" s="2775"/>
      <c r="CWY1" s="2775"/>
      <c r="CWZ1" s="2775"/>
      <c r="CXA1" s="2775"/>
      <c r="CXB1" s="2775"/>
      <c r="CXC1" s="2775"/>
      <c r="CXD1" s="2775"/>
      <c r="CXE1" s="2775"/>
      <c r="CXF1" s="2775"/>
      <c r="CXG1" s="2775"/>
      <c r="CXH1" s="2775"/>
      <c r="CXI1" s="2775"/>
      <c r="CXJ1" s="2775"/>
      <c r="CXK1" s="2775"/>
      <c r="CXL1" s="2775"/>
      <c r="CXM1" s="2775"/>
      <c r="CXN1" s="2775"/>
      <c r="CXO1" s="2775"/>
      <c r="CXP1" s="2775"/>
      <c r="CXQ1" s="2775"/>
      <c r="CXR1" s="2775"/>
      <c r="CXS1" s="2775"/>
      <c r="CXT1" s="2775"/>
      <c r="CXU1" s="2775"/>
      <c r="CXV1" s="2775"/>
      <c r="CXW1" s="2775"/>
      <c r="CXX1" s="2775"/>
      <c r="CXY1" s="2775"/>
      <c r="CXZ1" s="2775"/>
      <c r="CYA1" s="2775"/>
      <c r="CYB1" s="2775"/>
      <c r="CYC1" s="2775"/>
      <c r="CYD1" s="2775"/>
      <c r="CYE1" s="2775"/>
      <c r="CYF1" s="2775"/>
      <c r="CYG1" s="2775"/>
      <c r="CYH1" s="2775"/>
      <c r="CYI1" s="2775"/>
      <c r="CYJ1" s="2775"/>
      <c r="CYK1" s="2775"/>
      <c r="CYL1" s="2775"/>
      <c r="CYM1" s="2775"/>
      <c r="CYN1" s="2775"/>
      <c r="CYO1" s="2775"/>
      <c r="CYP1" s="2775"/>
      <c r="CYQ1" s="2775"/>
      <c r="CYR1" s="2775"/>
      <c r="CYS1" s="2775"/>
      <c r="CYT1" s="2775"/>
      <c r="CYU1" s="2775"/>
      <c r="CYV1" s="2775"/>
      <c r="CYW1" s="2775"/>
      <c r="CYX1" s="2775"/>
      <c r="CYY1" s="2775"/>
      <c r="CYZ1" s="2775"/>
      <c r="CZA1" s="2775"/>
      <c r="CZB1" s="2775"/>
      <c r="CZC1" s="2775"/>
      <c r="CZD1" s="2775"/>
      <c r="CZE1" s="2775"/>
      <c r="CZF1" s="2775"/>
      <c r="CZG1" s="2775"/>
      <c r="CZH1" s="2775"/>
      <c r="CZI1" s="2775"/>
      <c r="CZJ1" s="2775"/>
      <c r="CZK1" s="2775"/>
      <c r="CZL1" s="2775"/>
      <c r="CZM1" s="2775"/>
      <c r="CZN1" s="2775"/>
      <c r="CZO1" s="2775"/>
      <c r="CZP1" s="2775"/>
      <c r="CZQ1" s="2775"/>
      <c r="CZR1" s="2775"/>
      <c r="CZS1" s="2775"/>
      <c r="CZT1" s="2775"/>
      <c r="CZU1" s="2775"/>
      <c r="CZV1" s="2775"/>
      <c r="CZW1" s="2775"/>
      <c r="CZX1" s="2775"/>
      <c r="CZY1" s="2775"/>
      <c r="CZZ1" s="2775"/>
      <c r="DAA1" s="2775"/>
      <c r="DAB1" s="2775"/>
      <c r="DAC1" s="2775"/>
      <c r="DAD1" s="2775"/>
      <c r="DAE1" s="2775"/>
      <c r="DAF1" s="2775"/>
      <c r="DAG1" s="2775"/>
      <c r="DAH1" s="2775"/>
      <c r="DAI1" s="2775"/>
      <c r="DAJ1" s="2775"/>
      <c r="DAK1" s="2775"/>
      <c r="DAL1" s="2775"/>
      <c r="DAM1" s="2775"/>
      <c r="DAN1" s="2775"/>
      <c r="DAO1" s="2775"/>
      <c r="DAP1" s="2775"/>
      <c r="DAQ1" s="2775"/>
      <c r="DAR1" s="2775"/>
      <c r="DAS1" s="2775"/>
      <c r="DAT1" s="2775"/>
      <c r="DAU1" s="2775"/>
      <c r="DAV1" s="2775"/>
      <c r="DAW1" s="2775"/>
      <c r="DAX1" s="2775"/>
      <c r="DAY1" s="2775"/>
      <c r="DAZ1" s="2775"/>
      <c r="DBA1" s="2775"/>
      <c r="DBB1" s="2775"/>
      <c r="DBC1" s="2775"/>
      <c r="DBD1" s="2775"/>
      <c r="DBE1" s="2775"/>
      <c r="DBF1" s="2775"/>
      <c r="DBG1" s="2775"/>
      <c r="DBH1" s="2775"/>
      <c r="DBI1" s="2775"/>
      <c r="DBJ1" s="2775"/>
      <c r="DBK1" s="2775"/>
      <c r="DBL1" s="2775"/>
      <c r="DBM1" s="2775"/>
      <c r="DBN1" s="2775"/>
      <c r="DBO1" s="2775"/>
      <c r="DBP1" s="2775"/>
      <c r="DBQ1" s="2775"/>
      <c r="DBR1" s="2775"/>
      <c r="DBS1" s="2775"/>
      <c r="DBT1" s="2775"/>
      <c r="DBU1" s="2775"/>
      <c r="DBV1" s="2775"/>
      <c r="DBW1" s="2775"/>
      <c r="DBX1" s="2775"/>
      <c r="DBY1" s="2775"/>
      <c r="DBZ1" s="2775"/>
      <c r="DCA1" s="2775"/>
      <c r="DCB1" s="2775"/>
      <c r="DCC1" s="2775"/>
      <c r="DCD1" s="2775"/>
      <c r="DCE1" s="2775"/>
      <c r="DCF1" s="2775"/>
      <c r="DCG1" s="2775"/>
      <c r="DCH1" s="2775"/>
      <c r="DCI1" s="2775"/>
      <c r="DCJ1" s="2775"/>
      <c r="DCK1" s="2775"/>
      <c r="DCL1" s="2775"/>
      <c r="DCM1" s="2775"/>
      <c r="DCN1" s="2775"/>
      <c r="DCO1" s="2775"/>
      <c r="DCP1" s="2775"/>
      <c r="DCQ1" s="2775"/>
      <c r="DCR1" s="2775"/>
      <c r="DCS1" s="2775"/>
      <c r="DCT1" s="2775"/>
      <c r="DCU1" s="2775"/>
      <c r="DCV1" s="2775"/>
      <c r="DCW1" s="2775"/>
      <c r="DCX1" s="2775"/>
      <c r="DCY1" s="2775"/>
      <c r="DCZ1" s="2775"/>
      <c r="DDA1" s="2775"/>
      <c r="DDB1" s="2775"/>
      <c r="DDC1" s="2775"/>
      <c r="DDD1" s="2775"/>
      <c r="DDE1" s="2775"/>
      <c r="DDF1" s="2775"/>
      <c r="DDG1" s="2775"/>
      <c r="DDH1" s="2775"/>
      <c r="DDI1" s="2775"/>
      <c r="DDJ1" s="2775"/>
      <c r="DDK1" s="2775"/>
      <c r="DDL1" s="2775"/>
      <c r="DDM1" s="2775"/>
      <c r="DDN1" s="2775"/>
      <c r="DDO1" s="2775"/>
      <c r="DDP1" s="2775"/>
      <c r="DDQ1" s="2775"/>
      <c r="DDR1" s="2775"/>
      <c r="DDS1" s="2775"/>
      <c r="DDT1" s="2775"/>
      <c r="DDU1" s="2775"/>
      <c r="DDV1" s="2775"/>
      <c r="DDW1" s="2775"/>
      <c r="DDX1" s="2775"/>
      <c r="DDY1" s="2775"/>
      <c r="DDZ1" s="2775"/>
      <c r="DEA1" s="2775"/>
      <c r="DEB1" s="2775"/>
      <c r="DEC1" s="2775"/>
      <c r="DED1" s="2775"/>
      <c r="DEE1" s="2775"/>
      <c r="DEF1" s="2775"/>
      <c r="DEG1" s="2775"/>
      <c r="DEH1" s="2775"/>
      <c r="DEI1" s="2775"/>
      <c r="DEJ1" s="2775"/>
      <c r="DEK1" s="2775"/>
      <c r="DEL1" s="2775"/>
      <c r="DEM1" s="2775"/>
      <c r="DEN1" s="2775"/>
      <c r="DEO1" s="2775"/>
      <c r="DEP1" s="2775"/>
      <c r="DEQ1" s="2775"/>
      <c r="DER1" s="2775"/>
      <c r="DES1" s="2775"/>
      <c r="DET1" s="2775"/>
      <c r="DEU1" s="2775"/>
      <c r="DEV1" s="2775"/>
      <c r="DEW1" s="2775"/>
      <c r="DEX1" s="2775"/>
      <c r="DEY1" s="2775"/>
      <c r="DEZ1" s="2775"/>
      <c r="DFA1" s="2775"/>
      <c r="DFB1" s="2775"/>
      <c r="DFC1" s="2775"/>
      <c r="DFD1" s="2775"/>
      <c r="DFE1" s="2775"/>
      <c r="DFF1" s="2775"/>
      <c r="DFG1" s="2775"/>
      <c r="DFH1" s="2775"/>
      <c r="DFI1" s="2775"/>
      <c r="DFJ1" s="2775"/>
      <c r="DFK1" s="2775"/>
      <c r="DFL1" s="2775"/>
      <c r="DFM1" s="2775"/>
      <c r="DFN1" s="2775"/>
      <c r="DFO1" s="2775"/>
      <c r="DFP1" s="2775"/>
      <c r="DFQ1" s="2775"/>
      <c r="DFR1" s="2775"/>
      <c r="DFS1" s="2775"/>
      <c r="DFT1" s="2775"/>
      <c r="DFU1" s="2775"/>
      <c r="DFV1" s="2775"/>
      <c r="DFW1" s="2775"/>
      <c r="DFX1" s="2775"/>
      <c r="DFY1" s="2775"/>
      <c r="DFZ1" s="2775"/>
      <c r="DGA1" s="2775"/>
      <c r="DGB1" s="2775"/>
      <c r="DGC1" s="2775"/>
      <c r="DGD1" s="2775"/>
      <c r="DGE1" s="2775"/>
      <c r="DGF1" s="2775"/>
      <c r="DGG1" s="2775"/>
      <c r="DGH1" s="2775"/>
      <c r="DGI1" s="2775"/>
      <c r="DGJ1" s="2775"/>
      <c r="DGK1" s="2775"/>
      <c r="DGL1" s="2775"/>
      <c r="DGM1" s="2775"/>
      <c r="DGN1" s="2775"/>
      <c r="DGO1" s="2775"/>
      <c r="DGP1" s="2775"/>
      <c r="DGQ1" s="2775"/>
      <c r="DGR1" s="2775"/>
      <c r="DGS1" s="2775"/>
      <c r="DGT1" s="2775"/>
      <c r="DGU1" s="2775"/>
      <c r="DGV1" s="2775"/>
      <c r="DGW1" s="2775"/>
      <c r="DGX1" s="2775"/>
      <c r="DGY1" s="2775"/>
      <c r="DGZ1" s="2775"/>
      <c r="DHA1" s="2775"/>
      <c r="DHB1" s="2775"/>
      <c r="DHC1" s="2775"/>
      <c r="DHD1" s="2775"/>
      <c r="DHE1" s="2775"/>
      <c r="DHF1" s="2775"/>
      <c r="DHG1" s="2775"/>
      <c r="DHH1" s="2775"/>
      <c r="DHI1" s="2775"/>
      <c r="DHJ1" s="2775"/>
      <c r="DHK1" s="2775"/>
      <c r="DHL1" s="2775"/>
      <c r="DHM1" s="2775"/>
      <c r="DHN1" s="2775"/>
      <c r="DHO1" s="2775"/>
      <c r="DHP1" s="2775"/>
      <c r="DHQ1" s="2775"/>
      <c r="DHR1" s="2775"/>
      <c r="DHS1" s="2775"/>
      <c r="DHT1" s="2775"/>
      <c r="DHU1" s="2775"/>
      <c r="DHV1" s="2775"/>
      <c r="DHW1" s="2775"/>
      <c r="DHX1" s="2775"/>
      <c r="DHY1" s="2775"/>
      <c r="DHZ1" s="2775"/>
      <c r="DIA1" s="2775"/>
      <c r="DIB1" s="2775"/>
      <c r="DIC1" s="2775"/>
      <c r="DID1" s="2775"/>
      <c r="DIE1" s="2775"/>
      <c r="DIF1" s="2775"/>
      <c r="DIG1" s="2775"/>
      <c r="DIH1" s="2775"/>
      <c r="DII1" s="2775"/>
      <c r="DIJ1" s="2775"/>
      <c r="DIK1" s="2775"/>
      <c r="DIL1" s="2775"/>
      <c r="DIM1" s="2775"/>
      <c r="DIN1" s="2775"/>
      <c r="DIO1" s="2775"/>
      <c r="DIP1" s="2775"/>
      <c r="DIQ1" s="2775"/>
      <c r="DIR1" s="2775"/>
      <c r="DIS1" s="2775"/>
      <c r="DIT1" s="2775"/>
      <c r="DIU1" s="2775"/>
      <c r="DIV1" s="2775"/>
      <c r="DIW1" s="2775"/>
      <c r="DIX1" s="2775"/>
      <c r="DIY1" s="2775"/>
      <c r="DIZ1" s="2775"/>
      <c r="DJA1" s="2775"/>
      <c r="DJB1" s="2775"/>
      <c r="DJC1" s="2775"/>
      <c r="DJD1" s="2775"/>
      <c r="DJE1" s="2775"/>
      <c r="DJF1" s="2775"/>
      <c r="DJG1" s="2775"/>
      <c r="DJH1" s="2775"/>
      <c r="DJI1" s="2775"/>
      <c r="DJJ1" s="2775"/>
      <c r="DJK1" s="2775"/>
      <c r="DJL1" s="2775"/>
      <c r="DJM1" s="2775"/>
      <c r="DJN1" s="2775"/>
      <c r="DJO1" s="2775"/>
      <c r="DJP1" s="2775"/>
      <c r="DJQ1" s="2775"/>
      <c r="DJR1" s="2775"/>
      <c r="DJS1" s="2775"/>
      <c r="DJT1" s="2775"/>
      <c r="DJU1" s="2775"/>
      <c r="DJV1" s="2775"/>
      <c r="DJW1" s="2775"/>
      <c r="DJX1" s="2775"/>
      <c r="DJY1" s="2775"/>
      <c r="DJZ1" s="2775"/>
      <c r="DKA1" s="2775"/>
      <c r="DKB1" s="2775"/>
      <c r="DKC1" s="2775"/>
      <c r="DKD1" s="2775"/>
      <c r="DKE1" s="2775"/>
      <c r="DKF1" s="2775"/>
      <c r="DKG1" s="2775"/>
      <c r="DKH1" s="2775"/>
      <c r="DKI1" s="2775"/>
      <c r="DKJ1" s="2775"/>
      <c r="DKK1" s="2775"/>
      <c r="DKL1" s="2775"/>
      <c r="DKM1" s="2775"/>
      <c r="DKN1" s="2775"/>
      <c r="DKO1" s="2775"/>
      <c r="DKP1" s="2775"/>
      <c r="DKQ1" s="2775"/>
      <c r="DKR1" s="2775"/>
      <c r="DKS1" s="2775"/>
      <c r="DKT1" s="2775"/>
      <c r="DKU1" s="2775"/>
      <c r="DKV1" s="2775"/>
      <c r="DKW1" s="2775"/>
      <c r="DKX1" s="2775"/>
      <c r="DKY1" s="2775"/>
      <c r="DKZ1" s="2775"/>
      <c r="DLA1" s="2775"/>
      <c r="DLB1" s="2775"/>
      <c r="DLC1" s="2775"/>
      <c r="DLD1" s="2775"/>
      <c r="DLE1" s="2775"/>
      <c r="DLF1" s="2775"/>
      <c r="DLG1" s="2775"/>
      <c r="DLH1" s="2775"/>
      <c r="DLI1" s="2775"/>
      <c r="DLJ1" s="2775"/>
      <c r="DLK1" s="2775"/>
      <c r="DLL1" s="2775"/>
      <c r="DLM1" s="2775"/>
      <c r="DLN1" s="2775"/>
      <c r="DLO1" s="2775"/>
      <c r="DLP1" s="2775"/>
      <c r="DLQ1" s="2775"/>
      <c r="DLR1" s="2775"/>
      <c r="DLS1" s="2775"/>
      <c r="DLT1" s="2775"/>
      <c r="DLU1" s="2775"/>
      <c r="DLV1" s="2775"/>
      <c r="DLW1" s="2775"/>
      <c r="DLX1" s="2775"/>
      <c r="DLY1" s="2775"/>
      <c r="DLZ1" s="2775"/>
      <c r="DMA1" s="2775"/>
      <c r="DMB1" s="2775"/>
      <c r="DMC1" s="2775"/>
      <c r="DMD1" s="2775"/>
      <c r="DME1" s="2775"/>
      <c r="DMF1" s="2775"/>
      <c r="DMG1" s="2775"/>
      <c r="DMH1" s="2775"/>
      <c r="DMI1" s="2775"/>
      <c r="DMJ1" s="2775"/>
      <c r="DMK1" s="2775"/>
      <c r="DML1" s="2775"/>
      <c r="DMM1" s="2775"/>
      <c r="DMN1" s="2775"/>
      <c r="DMO1" s="2775"/>
      <c r="DMP1" s="2775"/>
      <c r="DMQ1" s="2775"/>
      <c r="DMR1" s="2775"/>
      <c r="DMS1" s="2775"/>
      <c r="DMT1" s="2775"/>
      <c r="DMU1" s="2775"/>
      <c r="DMV1" s="2775"/>
      <c r="DMW1" s="2775"/>
      <c r="DMX1" s="2775"/>
      <c r="DMY1" s="2775"/>
      <c r="DMZ1" s="2775"/>
      <c r="DNA1" s="2775"/>
      <c r="DNB1" s="2775"/>
      <c r="DNC1" s="2775"/>
      <c r="DND1" s="2775"/>
      <c r="DNE1" s="2775"/>
      <c r="DNF1" s="2775"/>
      <c r="DNG1" s="2775"/>
      <c r="DNH1" s="2775"/>
      <c r="DNI1" s="2775"/>
      <c r="DNJ1" s="2775"/>
      <c r="DNK1" s="2775"/>
      <c r="DNL1" s="2775"/>
      <c r="DNM1" s="2775"/>
      <c r="DNN1" s="2775"/>
      <c r="DNO1" s="2775"/>
      <c r="DNP1" s="2775"/>
      <c r="DNQ1" s="2775"/>
      <c r="DNR1" s="2775"/>
      <c r="DNS1" s="2775"/>
      <c r="DNT1" s="2775"/>
      <c r="DNU1" s="2775"/>
      <c r="DNV1" s="2775"/>
      <c r="DNW1" s="2775"/>
      <c r="DNX1" s="2775"/>
      <c r="DNY1" s="2775"/>
      <c r="DNZ1" s="2775"/>
      <c r="DOA1" s="2775"/>
      <c r="DOB1" s="2775"/>
      <c r="DOC1" s="2775"/>
      <c r="DOD1" s="2775"/>
      <c r="DOE1" s="2775"/>
      <c r="DOF1" s="2775"/>
      <c r="DOG1" s="2775"/>
      <c r="DOH1" s="2775"/>
      <c r="DOI1" s="2775"/>
      <c r="DOJ1" s="2775"/>
      <c r="DOK1" s="2775"/>
      <c r="DOL1" s="2775"/>
      <c r="DOM1" s="2775"/>
      <c r="DON1" s="2775"/>
      <c r="DOO1" s="2775"/>
      <c r="DOP1" s="2775"/>
      <c r="DOQ1" s="2775"/>
      <c r="DOR1" s="2775"/>
      <c r="DOS1" s="2775"/>
      <c r="DOT1" s="2775"/>
      <c r="DOU1" s="2775"/>
      <c r="DOV1" s="2775"/>
      <c r="DOW1" s="2775"/>
      <c r="DOX1" s="2775"/>
      <c r="DOY1" s="2775"/>
      <c r="DOZ1" s="2775"/>
      <c r="DPA1" s="2775"/>
      <c r="DPB1" s="2775"/>
      <c r="DPC1" s="2775"/>
      <c r="DPD1" s="2775"/>
      <c r="DPE1" s="2775"/>
      <c r="DPF1" s="2775"/>
      <c r="DPG1" s="2775"/>
      <c r="DPH1" s="2775"/>
      <c r="DPI1" s="2775"/>
      <c r="DPJ1" s="2775"/>
      <c r="DPK1" s="2775"/>
      <c r="DPL1" s="2775"/>
      <c r="DPM1" s="2775"/>
      <c r="DPN1" s="2775"/>
      <c r="DPO1" s="2775"/>
      <c r="DPP1" s="2775"/>
      <c r="DPQ1" s="2775"/>
      <c r="DPR1" s="2775"/>
      <c r="DPS1" s="2775"/>
      <c r="DPT1" s="2775"/>
      <c r="DPU1" s="2775"/>
      <c r="DPV1" s="2775"/>
      <c r="DPW1" s="2775"/>
      <c r="DPX1" s="2775"/>
      <c r="DPY1" s="2775"/>
      <c r="DPZ1" s="2775"/>
      <c r="DQA1" s="2775"/>
      <c r="DQB1" s="2775"/>
      <c r="DQC1" s="2775"/>
      <c r="DQD1" s="2775"/>
      <c r="DQE1" s="2775"/>
      <c r="DQF1" s="2775"/>
      <c r="DQG1" s="2775"/>
      <c r="DQH1" s="2775"/>
      <c r="DQI1" s="2775"/>
      <c r="DQJ1" s="2775"/>
      <c r="DQK1" s="2775"/>
      <c r="DQL1" s="2775"/>
      <c r="DQM1" s="2775"/>
      <c r="DQN1" s="2775"/>
      <c r="DQO1" s="2775"/>
      <c r="DQP1" s="2775"/>
      <c r="DQQ1" s="2775"/>
      <c r="DQR1" s="2775"/>
      <c r="DQS1" s="2775"/>
      <c r="DQT1" s="2775"/>
      <c r="DQU1" s="2775"/>
      <c r="DQV1" s="2775"/>
      <c r="DQW1" s="2775"/>
      <c r="DQX1" s="2775"/>
      <c r="DQY1" s="2775"/>
      <c r="DQZ1" s="2775"/>
      <c r="DRA1" s="2775"/>
      <c r="DRB1" s="2775"/>
      <c r="DRC1" s="2775"/>
      <c r="DRD1" s="2775"/>
      <c r="DRE1" s="2775"/>
      <c r="DRF1" s="2775"/>
      <c r="DRG1" s="2775"/>
      <c r="DRH1" s="2775"/>
      <c r="DRI1" s="2775"/>
      <c r="DRJ1" s="2775"/>
      <c r="DRK1" s="2775"/>
      <c r="DRL1" s="2775"/>
      <c r="DRM1" s="2775"/>
      <c r="DRN1" s="2775"/>
      <c r="DRO1" s="2775"/>
      <c r="DRP1" s="2775"/>
      <c r="DRQ1" s="2775"/>
      <c r="DRR1" s="2775"/>
      <c r="DRS1" s="2775"/>
      <c r="DRT1" s="2775"/>
      <c r="DRU1" s="2775"/>
      <c r="DRV1" s="2775"/>
      <c r="DRW1" s="2775"/>
      <c r="DRX1" s="2775"/>
      <c r="DRY1" s="2775"/>
      <c r="DRZ1" s="2775"/>
      <c r="DSA1" s="2775"/>
      <c r="DSB1" s="2775"/>
      <c r="DSC1" s="2775"/>
      <c r="DSD1" s="2775"/>
      <c r="DSE1" s="2775"/>
      <c r="DSF1" s="2775"/>
      <c r="DSG1" s="2775"/>
      <c r="DSH1" s="2775"/>
      <c r="DSI1" s="2775"/>
      <c r="DSJ1" s="2775"/>
      <c r="DSK1" s="2775"/>
      <c r="DSL1" s="2775"/>
      <c r="DSM1" s="2775"/>
      <c r="DSN1" s="2775"/>
      <c r="DSO1" s="2775"/>
      <c r="DSP1" s="2775"/>
      <c r="DSQ1" s="2775"/>
      <c r="DSR1" s="2775"/>
      <c r="DSS1" s="2775"/>
      <c r="DST1" s="2775"/>
      <c r="DSU1" s="2775"/>
      <c r="DSV1" s="2775"/>
      <c r="DSW1" s="2775"/>
      <c r="DSX1" s="2775"/>
      <c r="DSY1" s="2775"/>
      <c r="DSZ1" s="2775"/>
      <c r="DTA1" s="2775"/>
      <c r="DTB1" s="2775"/>
      <c r="DTC1" s="2775"/>
      <c r="DTD1" s="2775"/>
      <c r="DTE1" s="2775"/>
      <c r="DTF1" s="2775"/>
      <c r="DTG1" s="2775"/>
      <c r="DTH1" s="2775"/>
      <c r="DTI1" s="2775"/>
      <c r="DTJ1" s="2775"/>
      <c r="DTK1" s="2775"/>
      <c r="DTL1" s="2775"/>
      <c r="DTM1" s="2775"/>
      <c r="DTN1" s="2775"/>
      <c r="DTO1" s="2775"/>
      <c r="DTP1" s="2775"/>
      <c r="DTQ1" s="2775"/>
      <c r="DTR1" s="2775"/>
      <c r="DTS1" s="2775"/>
      <c r="DTT1" s="2775"/>
      <c r="DTU1" s="2775"/>
      <c r="DTV1" s="2775"/>
      <c r="DTW1" s="2775"/>
      <c r="DTX1" s="2775"/>
      <c r="DTY1" s="2775"/>
      <c r="DTZ1" s="2775"/>
      <c r="DUA1" s="2775"/>
      <c r="DUB1" s="2775"/>
      <c r="DUC1" s="2775"/>
      <c r="DUD1" s="2775"/>
      <c r="DUE1" s="2775"/>
      <c r="DUF1" s="2775"/>
      <c r="DUG1" s="2775"/>
      <c r="DUH1" s="2775"/>
      <c r="DUI1" s="2775"/>
      <c r="DUJ1" s="2775"/>
      <c r="DUK1" s="2775"/>
      <c r="DUL1" s="2775"/>
      <c r="DUM1" s="2775"/>
      <c r="DUN1" s="2775"/>
      <c r="DUO1" s="2775"/>
      <c r="DUP1" s="2775"/>
      <c r="DUQ1" s="2775"/>
      <c r="DUR1" s="2775"/>
      <c r="DUS1" s="2775"/>
      <c r="DUT1" s="2775"/>
      <c r="DUU1" s="2775"/>
      <c r="DUV1" s="2775"/>
      <c r="DUW1" s="2775"/>
      <c r="DUX1" s="2775"/>
      <c r="DUY1" s="2775"/>
      <c r="DUZ1" s="2775"/>
      <c r="DVA1" s="2775"/>
      <c r="DVB1" s="2775"/>
      <c r="DVC1" s="2775"/>
      <c r="DVD1" s="2775"/>
      <c r="DVE1" s="2775"/>
      <c r="DVF1" s="2775"/>
      <c r="DVG1" s="2775"/>
      <c r="DVH1" s="2775"/>
      <c r="DVI1" s="2775"/>
      <c r="DVJ1" s="2775"/>
      <c r="DVK1" s="2775"/>
      <c r="DVL1" s="2775"/>
      <c r="DVM1" s="2775"/>
      <c r="DVN1" s="2775"/>
      <c r="DVO1" s="2775"/>
      <c r="DVP1" s="2775"/>
      <c r="DVQ1" s="2775"/>
      <c r="DVR1" s="2775"/>
      <c r="DVS1" s="2775"/>
      <c r="DVT1" s="2775"/>
      <c r="DVU1" s="2775"/>
      <c r="DVV1" s="2775"/>
      <c r="DVW1" s="2775"/>
      <c r="DVX1" s="2775"/>
      <c r="DVY1" s="2775"/>
      <c r="DVZ1" s="2775"/>
      <c r="DWA1" s="2775"/>
      <c r="DWB1" s="2775"/>
      <c r="DWC1" s="2775"/>
      <c r="DWD1" s="2775"/>
      <c r="DWE1" s="2775"/>
      <c r="DWF1" s="2775"/>
      <c r="DWG1" s="2775"/>
      <c r="DWH1" s="2775"/>
      <c r="DWI1" s="2775"/>
      <c r="DWJ1" s="2775"/>
      <c r="DWK1" s="2775"/>
      <c r="DWL1" s="2775"/>
      <c r="DWM1" s="2775"/>
      <c r="DWN1" s="2775"/>
      <c r="DWO1" s="2775"/>
      <c r="DWP1" s="2775"/>
      <c r="DWQ1" s="2775"/>
      <c r="DWR1" s="2775"/>
      <c r="DWS1" s="2775"/>
      <c r="DWT1" s="2775"/>
      <c r="DWU1" s="2775"/>
      <c r="DWV1" s="2775"/>
      <c r="DWW1" s="2775"/>
      <c r="DWX1" s="2775"/>
      <c r="DWY1" s="2775"/>
      <c r="DWZ1" s="2775"/>
      <c r="DXA1" s="2775"/>
      <c r="DXB1" s="2775"/>
      <c r="DXC1" s="2775"/>
      <c r="DXD1" s="2775"/>
      <c r="DXE1" s="2775"/>
      <c r="DXF1" s="2775"/>
      <c r="DXG1" s="2775"/>
      <c r="DXH1" s="2775"/>
      <c r="DXI1" s="2775"/>
      <c r="DXJ1" s="2775"/>
      <c r="DXK1" s="2775"/>
      <c r="DXL1" s="2775"/>
      <c r="DXM1" s="2775"/>
      <c r="DXN1" s="2775"/>
      <c r="DXO1" s="2775"/>
      <c r="DXP1" s="2775"/>
      <c r="DXQ1" s="2775"/>
      <c r="DXR1" s="2775"/>
      <c r="DXS1" s="2775"/>
      <c r="DXT1" s="2775"/>
      <c r="DXU1" s="2775"/>
      <c r="DXV1" s="2775"/>
      <c r="DXW1" s="2775"/>
      <c r="DXX1" s="2775"/>
      <c r="DXY1" s="2775"/>
      <c r="DXZ1" s="2775"/>
      <c r="DYA1" s="2775"/>
      <c r="DYB1" s="2775"/>
      <c r="DYC1" s="2775"/>
      <c r="DYD1" s="2775"/>
      <c r="DYE1" s="2775"/>
      <c r="DYF1" s="2775"/>
      <c r="DYG1" s="2775"/>
      <c r="DYH1" s="2775"/>
      <c r="DYI1" s="2775"/>
      <c r="DYJ1" s="2775"/>
      <c r="DYK1" s="2775"/>
      <c r="DYL1" s="2775"/>
      <c r="DYM1" s="2775"/>
      <c r="DYN1" s="2775"/>
      <c r="DYO1" s="2775"/>
      <c r="DYP1" s="2775"/>
      <c r="DYQ1" s="2775"/>
      <c r="DYR1" s="2775"/>
      <c r="DYS1" s="2775"/>
      <c r="DYT1" s="2775"/>
      <c r="DYU1" s="2775"/>
      <c r="DYV1" s="2775"/>
      <c r="DYW1" s="2775"/>
      <c r="DYX1" s="2775"/>
      <c r="DYY1" s="2775"/>
      <c r="DYZ1" s="2775"/>
      <c r="DZA1" s="2775"/>
      <c r="DZB1" s="2775"/>
      <c r="DZC1" s="2775"/>
      <c r="DZD1" s="2775"/>
      <c r="DZE1" s="2775"/>
      <c r="DZF1" s="2775"/>
      <c r="DZG1" s="2775"/>
      <c r="DZH1" s="2775"/>
      <c r="DZI1" s="2775"/>
      <c r="DZJ1" s="2775"/>
      <c r="DZK1" s="2775"/>
      <c r="DZL1" s="2775"/>
      <c r="DZM1" s="2775"/>
      <c r="DZN1" s="2775"/>
      <c r="DZO1" s="2775"/>
      <c r="DZP1" s="2775"/>
      <c r="DZQ1" s="2775"/>
      <c r="DZR1" s="2775"/>
      <c r="DZS1" s="2775"/>
      <c r="DZT1" s="2775"/>
      <c r="DZU1" s="2775"/>
      <c r="DZV1" s="2775"/>
      <c r="DZW1" s="2775"/>
      <c r="DZX1" s="2775"/>
      <c r="DZY1" s="2775"/>
      <c r="DZZ1" s="2775"/>
      <c r="EAA1" s="2775"/>
      <c r="EAB1" s="2775"/>
      <c r="EAC1" s="2775"/>
      <c r="EAD1" s="2775"/>
      <c r="EAE1" s="2775"/>
      <c r="EAF1" s="2775"/>
      <c r="EAG1" s="2775"/>
      <c r="EAH1" s="2775"/>
      <c r="EAI1" s="2775"/>
      <c r="EAJ1" s="2775"/>
      <c r="EAK1" s="2775"/>
      <c r="EAL1" s="2775"/>
      <c r="EAM1" s="2775"/>
      <c r="EAN1" s="2775"/>
      <c r="EAO1" s="2775"/>
      <c r="EAP1" s="2775"/>
      <c r="EAQ1" s="2775"/>
      <c r="EAR1" s="2775"/>
      <c r="EAS1" s="2775"/>
      <c r="EAT1" s="2775"/>
      <c r="EAU1" s="2775"/>
      <c r="EAV1" s="2775"/>
      <c r="EAW1" s="2775"/>
      <c r="EAX1" s="2775"/>
      <c r="EAY1" s="2775"/>
      <c r="EAZ1" s="2775"/>
      <c r="EBA1" s="2775"/>
      <c r="EBB1" s="2775"/>
      <c r="EBC1" s="2775"/>
      <c r="EBD1" s="2775"/>
      <c r="EBE1" s="2775"/>
      <c r="EBF1" s="2775"/>
      <c r="EBG1" s="2775"/>
      <c r="EBH1" s="2775"/>
      <c r="EBI1" s="2775"/>
      <c r="EBJ1" s="2775"/>
      <c r="EBK1" s="2775"/>
      <c r="EBL1" s="2775"/>
      <c r="EBM1" s="2775"/>
      <c r="EBN1" s="2775"/>
      <c r="EBO1" s="2775"/>
      <c r="EBP1" s="2775"/>
      <c r="EBQ1" s="2775"/>
      <c r="EBR1" s="2775"/>
      <c r="EBS1" s="2775"/>
      <c r="EBT1" s="2775"/>
      <c r="EBU1" s="2775"/>
      <c r="EBV1" s="2775"/>
      <c r="EBW1" s="2775"/>
      <c r="EBX1" s="2775"/>
      <c r="EBY1" s="2775"/>
      <c r="EBZ1" s="2775"/>
      <c r="ECA1" s="2775"/>
      <c r="ECB1" s="2775"/>
      <c r="ECC1" s="2775"/>
      <c r="ECD1" s="2775"/>
      <c r="ECE1" s="2775"/>
      <c r="ECF1" s="2775"/>
      <c r="ECG1" s="2775"/>
      <c r="ECH1" s="2775"/>
      <c r="ECI1" s="2775"/>
      <c r="ECJ1" s="2775"/>
      <c r="ECK1" s="2775"/>
      <c r="ECL1" s="2775"/>
      <c r="ECM1" s="2775"/>
      <c r="ECN1" s="2775"/>
      <c r="ECO1" s="2775"/>
      <c r="ECP1" s="2775"/>
      <c r="ECQ1" s="2775"/>
      <c r="ECR1" s="2775"/>
      <c r="ECS1" s="2775"/>
      <c r="ECT1" s="2775"/>
      <c r="ECU1" s="2775"/>
      <c r="ECV1" s="2775"/>
      <c r="ECW1" s="2775"/>
      <c r="ECX1" s="2775"/>
      <c r="ECY1" s="2775"/>
      <c r="ECZ1" s="2775"/>
      <c r="EDA1" s="2775"/>
      <c r="EDB1" s="2775"/>
      <c r="EDC1" s="2775"/>
      <c r="EDD1" s="2775"/>
      <c r="EDE1" s="2775"/>
      <c r="EDF1" s="2775"/>
      <c r="EDG1" s="2775"/>
      <c r="EDH1" s="2775"/>
      <c r="EDI1" s="2775"/>
      <c r="EDJ1" s="2775"/>
      <c r="EDK1" s="2775"/>
      <c r="EDL1" s="2775"/>
      <c r="EDM1" s="2775"/>
      <c r="EDN1" s="2775"/>
      <c r="EDO1" s="2775"/>
      <c r="EDP1" s="2775"/>
      <c r="EDQ1" s="2775"/>
      <c r="EDR1" s="2775"/>
      <c r="EDS1" s="2775"/>
      <c r="EDT1" s="2775"/>
      <c r="EDU1" s="2775"/>
      <c r="EDV1" s="2775"/>
      <c r="EDW1" s="2775"/>
      <c r="EDX1" s="2775"/>
      <c r="EDY1" s="2775"/>
      <c r="EDZ1" s="2775"/>
      <c r="EEA1" s="2775"/>
      <c r="EEB1" s="2775"/>
      <c r="EEC1" s="2775"/>
      <c r="EED1" s="2775"/>
      <c r="EEE1" s="2775"/>
      <c r="EEF1" s="2775"/>
      <c r="EEG1" s="2775"/>
      <c r="EEH1" s="2775"/>
      <c r="EEI1" s="2775"/>
      <c r="EEJ1" s="2775"/>
      <c r="EEK1" s="2775"/>
      <c r="EEL1" s="2775"/>
      <c r="EEM1" s="2775"/>
      <c r="EEN1" s="2775"/>
      <c r="EEO1" s="2775"/>
      <c r="EEP1" s="2775"/>
      <c r="EEQ1" s="2775"/>
      <c r="EER1" s="2775"/>
      <c r="EES1" s="2775"/>
      <c r="EET1" s="2775"/>
      <c r="EEU1" s="2775"/>
      <c r="EEV1" s="2775"/>
      <c r="EEW1" s="2775"/>
      <c r="EEX1" s="2775"/>
      <c r="EEY1" s="2775"/>
      <c r="EEZ1" s="2775"/>
      <c r="EFA1" s="2775"/>
      <c r="EFB1" s="2775"/>
      <c r="EFC1" s="2775"/>
      <c r="EFD1" s="2775"/>
      <c r="EFE1" s="2775"/>
      <c r="EFF1" s="2775"/>
      <c r="EFG1" s="2775"/>
      <c r="EFH1" s="2775"/>
      <c r="EFI1" s="2775"/>
      <c r="EFJ1" s="2775"/>
      <c r="EFK1" s="2775"/>
      <c r="EFL1" s="2775"/>
      <c r="EFM1" s="2775"/>
      <c r="EFN1" s="2775"/>
      <c r="EFO1" s="2775"/>
      <c r="EFP1" s="2775"/>
      <c r="EFQ1" s="2775"/>
      <c r="EFR1" s="2775"/>
      <c r="EFS1" s="2775"/>
      <c r="EFT1" s="2775"/>
      <c r="EFU1" s="2775"/>
      <c r="EFV1" s="2775"/>
      <c r="EFW1" s="2775"/>
      <c r="EFX1" s="2775"/>
      <c r="EFY1" s="2775"/>
      <c r="EFZ1" s="2775"/>
      <c r="EGA1" s="2775"/>
      <c r="EGB1" s="2775"/>
      <c r="EGC1" s="2775"/>
      <c r="EGD1" s="2775"/>
      <c r="EGE1" s="2775"/>
      <c r="EGF1" s="2775"/>
      <c r="EGG1" s="2775"/>
      <c r="EGH1" s="2775"/>
      <c r="EGI1" s="2775"/>
      <c r="EGJ1" s="2775"/>
      <c r="EGK1" s="2775"/>
      <c r="EGL1" s="2775"/>
      <c r="EGM1" s="2775"/>
      <c r="EGN1" s="2775"/>
      <c r="EGO1" s="2775"/>
      <c r="EGP1" s="2775"/>
      <c r="EGQ1" s="2775"/>
      <c r="EGR1" s="2775"/>
      <c r="EGS1" s="2775"/>
      <c r="EGT1" s="2775"/>
      <c r="EGU1" s="2775"/>
      <c r="EGV1" s="2775"/>
      <c r="EGW1" s="2775"/>
      <c r="EGX1" s="2775"/>
      <c r="EGY1" s="2775"/>
      <c r="EGZ1" s="2775"/>
      <c r="EHA1" s="2775"/>
      <c r="EHB1" s="2775"/>
      <c r="EHC1" s="2775"/>
      <c r="EHD1" s="2775"/>
      <c r="EHE1" s="2775"/>
      <c r="EHF1" s="2775"/>
      <c r="EHG1" s="2775"/>
      <c r="EHH1" s="2775"/>
      <c r="EHI1" s="2775"/>
      <c r="EHJ1" s="2775"/>
      <c r="EHK1" s="2775"/>
      <c r="EHL1" s="2775"/>
      <c r="EHM1" s="2775"/>
      <c r="EHN1" s="2775"/>
      <c r="EHO1" s="2775"/>
      <c r="EHP1" s="2775"/>
      <c r="EHQ1" s="2775"/>
      <c r="EHR1" s="2775"/>
      <c r="EHS1" s="2775"/>
      <c r="EHT1" s="2775"/>
      <c r="EHU1" s="2775"/>
      <c r="EHV1" s="2775"/>
      <c r="EHW1" s="2775"/>
      <c r="EHX1" s="2775"/>
      <c r="EHY1" s="2775"/>
      <c r="EHZ1" s="2775"/>
      <c r="EIA1" s="2775"/>
      <c r="EIB1" s="2775"/>
      <c r="EIC1" s="2775"/>
      <c r="EID1" s="2775"/>
      <c r="EIE1" s="2775"/>
      <c r="EIF1" s="2775"/>
      <c r="EIG1" s="2775"/>
      <c r="EIH1" s="2775"/>
      <c r="EII1" s="2775"/>
      <c r="EIJ1" s="2775"/>
      <c r="EIK1" s="2775"/>
      <c r="EIL1" s="2775"/>
      <c r="EIM1" s="2775"/>
      <c r="EIN1" s="2775"/>
      <c r="EIO1" s="2775"/>
      <c r="EIP1" s="2775"/>
      <c r="EIQ1" s="2775"/>
      <c r="EIR1" s="2775"/>
      <c r="EIS1" s="2775"/>
      <c r="EIT1" s="2775"/>
      <c r="EIU1" s="2775"/>
      <c r="EIV1" s="2775"/>
      <c r="EIW1" s="2775"/>
      <c r="EIX1" s="2775"/>
      <c r="EIY1" s="2775"/>
      <c r="EIZ1" s="2775"/>
      <c r="EJA1" s="2775"/>
      <c r="EJB1" s="2775"/>
      <c r="EJC1" s="2775"/>
      <c r="EJD1" s="2775"/>
      <c r="EJE1" s="2775"/>
      <c r="EJF1" s="2775"/>
      <c r="EJG1" s="2775"/>
      <c r="EJH1" s="2775"/>
      <c r="EJI1" s="2775"/>
      <c r="EJJ1" s="2775"/>
      <c r="EJK1" s="2775"/>
      <c r="EJL1" s="2775"/>
      <c r="EJM1" s="2775"/>
      <c r="EJN1" s="2775"/>
      <c r="EJO1" s="2775"/>
      <c r="EJP1" s="2775"/>
      <c r="EJQ1" s="2775"/>
      <c r="EJR1" s="2775"/>
      <c r="EJS1" s="2775"/>
      <c r="EJT1" s="2775"/>
      <c r="EJU1" s="2775"/>
      <c r="EJV1" s="2775"/>
      <c r="EJW1" s="2775"/>
      <c r="EJX1" s="2775"/>
      <c r="EJY1" s="2775"/>
      <c r="EJZ1" s="2775"/>
      <c r="EKA1" s="2775"/>
      <c r="EKB1" s="2775"/>
      <c r="EKC1" s="2775"/>
      <c r="EKD1" s="2775"/>
      <c r="EKE1" s="2775"/>
      <c r="EKF1" s="2775"/>
      <c r="EKG1" s="2775"/>
      <c r="EKH1" s="2775"/>
      <c r="EKI1" s="2775"/>
      <c r="EKJ1" s="2775"/>
      <c r="EKK1" s="2775"/>
      <c r="EKL1" s="2775"/>
      <c r="EKM1" s="2775"/>
      <c r="EKN1" s="2775"/>
      <c r="EKO1" s="2775"/>
      <c r="EKP1" s="2775"/>
      <c r="EKQ1" s="2775"/>
      <c r="EKR1" s="2775"/>
      <c r="EKS1" s="2775"/>
      <c r="EKT1" s="2775"/>
      <c r="EKU1" s="2775"/>
      <c r="EKV1" s="2775"/>
      <c r="EKW1" s="2775"/>
      <c r="EKX1" s="2775"/>
      <c r="EKY1" s="2775"/>
      <c r="EKZ1" s="2775"/>
      <c r="ELA1" s="2775"/>
      <c r="ELB1" s="2775"/>
      <c r="ELC1" s="2775"/>
      <c r="ELD1" s="2775"/>
      <c r="ELE1" s="2775"/>
      <c r="ELF1" s="2775"/>
      <c r="ELG1" s="2775"/>
      <c r="ELH1" s="2775"/>
      <c r="ELI1" s="2775"/>
      <c r="ELJ1" s="2775"/>
      <c r="ELK1" s="2775"/>
      <c r="ELL1" s="2775"/>
      <c r="ELM1" s="2775"/>
      <c r="ELN1" s="2775"/>
      <c r="ELO1" s="2775"/>
      <c r="ELP1" s="2775"/>
      <c r="ELQ1" s="2775"/>
      <c r="ELR1" s="2775"/>
      <c r="ELS1" s="2775"/>
      <c r="ELT1" s="2775"/>
      <c r="ELU1" s="2775"/>
      <c r="ELV1" s="2775"/>
      <c r="ELW1" s="2775"/>
      <c r="ELX1" s="2775"/>
      <c r="ELY1" s="2775"/>
      <c r="ELZ1" s="2775"/>
      <c r="EMA1" s="2775"/>
      <c r="EMB1" s="2775"/>
      <c r="EMC1" s="2775"/>
      <c r="EMD1" s="2775"/>
      <c r="EME1" s="2775"/>
      <c r="EMF1" s="2775"/>
      <c r="EMG1" s="2775"/>
      <c r="EMH1" s="2775"/>
      <c r="EMI1" s="2775"/>
      <c r="EMJ1" s="2775"/>
      <c r="EMK1" s="2775"/>
      <c r="EML1" s="2775"/>
      <c r="EMM1" s="2775"/>
      <c r="EMN1" s="2775"/>
      <c r="EMO1" s="2775"/>
      <c r="EMP1" s="2775"/>
      <c r="EMQ1" s="2775"/>
      <c r="EMR1" s="2775"/>
      <c r="EMS1" s="2775"/>
      <c r="EMT1" s="2775"/>
      <c r="EMU1" s="2775"/>
      <c r="EMV1" s="2775"/>
      <c r="EMW1" s="2775"/>
      <c r="EMX1" s="2775"/>
      <c r="EMY1" s="2775"/>
      <c r="EMZ1" s="2775"/>
      <c r="ENA1" s="2775"/>
      <c r="ENB1" s="2775"/>
      <c r="ENC1" s="2775"/>
      <c r="END1" s="2775"/>
      <c r="ENE1" s="2775"/>
      <c r="ENF1" s="2775"/>
      <c r="ENG1" s="2775"/>
      <c r="ENH1" s="2775"/>
      <c r="ENI1" s="2775"/>
      <c r="ENJ1" s="2775"/>
      <c r="ENK1" s="2775"/>
      <c r="ENL1" s="2775"/>
      <c r="ENM1" s="2775"/>
      <c r="ENN1" s="2775"/>
      <c r="ENO1" s="2775"/>
      <c r="ENP1" s="2775"/>
      <c r="ENQ1" s="2775"/>
      <c r="ENR1" s="2775"/>
      <c r="ENS1" s="2775"/>
      <c r="ENT1" s="2775"/>
      <c r="ENU1" s="2775"/>
      <c r="ENV1" s="2775"/>
      <c r="ENW1" s="2775"/>
      <c r="ENX1" s="2775"/>
      <c r="ENY1" s="2775"/>
      <c r="ENZ1" s="2775"/>
      <c r="EOA1" s="2775"/>
      <c r="EOB1" s="2775"/>
      <c r="EOC1" s="2775"/>
      <c r="EOD1" s="2775"/>
      <c r="EOE1" s="2775"/>
      <c r="EOF1" s="2775"/>
      <c r="EOG1" s="2775"/>
      <c r="EOH1" s="2775"/>
      <c r="EOI1" s="2775"/>
      <c r="EOJ1" s="2775"/>
      <c r="EOK1" s="2775"/>
      <c r="EOL1" s="2775"/>
      <c r="EOM1" s="2775"/>
      <c r="EON1" s="2775"/>
      <c r="EOO1" s="2775"/>
      <c r="EOP1" s="2775"/>
      <c r="EOQ1" s="2775"/>
      <c r="EOR1" s="2775"/>
      <c r="EOS1" s="2775"/>
      <c r="EOT1" s="2775"/>
      <c r="EOU1" s="2775"/>
      <c r="EOV1" s="2775"/>
      <c r="EOW1" s="2775"/>
      <c r="EOX1" s="2775"/>
      <c r="EOY1" s="2775"/>
      <c r="EOZ1" s="2775"/>
      <c r="EPA1" s="2775"/>
      <c r="EPB1" s="2775"/>
      <c r="EPC1" s="2775"/>
      <c r="EPD1" s="2775"/>
      <c r="EPE1" s="2775"/>
      <c r="EPF1" s="2775"/>
      <c r="EPG1" s="2775"/>
      <c r="EPH1" s="2775"/>
      <c r="EPI1" s="2775"/>
      <c r="EPJ1" s="2775"/>
      <c r="EPK1" s="2775"/>
      <c r="EPL1" s="2775"/>
      <c r="EPM1" s="2775"/>
      <c r="EPN1" s="2775"/>
      <c r="EPO1" s="2775"/>
      <c r="EPP1" s="2775"/>
      <c r="EPQ1" s="2775"/>
      <c r="EPR1" s="2775"/>
      <c r="EPS1" s="2775"/>
      <c r="EPT1" s="2775"/>
      <c r="EPU1" s="2775"/>
      <c r="EPV1" s="2775"/>
      <c r="EPW1" s="2775"/>
      <c r="EPX1" s="2775"/>
      <c r="EPY1" s="2775"/>
      <c r="EPZ1" s="2775"/>
      <c r="EQA1" s="2775"/>
      <c r="EQB1" s="2775"/>
      <c r="EQC1" s="2775"/>
      <c r="EQD1" s="2775"/>
      <c r="EQE1" s="2775"/>
      <c r="EQF1" s="2775"/>
      <c r="EQG1" s="2775"/>
      <c r="EQH1" s="2775"/>
      <c r="EQI1" s="2775"/>
      <c r="EQJ1" s="2775"/>
      <c r="EQK1" s="2775"/>
      <c r="EQL1" s="2775"/>
      <c r="EQM1" s="2775"/>
      <c r="EQN1" s="2775"/>
      <c r="EQO1" s="2775"/>
      <c r="EQP1" s="2775"/>
      <c r="EQQ1" s="2775"/>
      <c r="EQR1" s="2775"/>
      <c r="EQS1" s="2775"/>
      <c r="EQT1" s="2775"/>
      <c r="EQU1" s="2775"/>
      <c r="EQV1" s="2775"/>
      <c r="EQW1" s="2775"/>
      <c r="EQX1" s="2775"/>
      <c r="EQY1" s="2775"/>
      <c r="EQZ1" s="2775"/>
      <c r="ERA1" s="2775"/>
      <c r="ERB1" s="2775"/>
      <c r="ERC1" s="2775"/>
      <c r="ERD1" s="2775"/>
      <c r="ERE1" s="2775"/>
      <c r="ERF1" s="2775"/>
      <c r="ERG1" s="2775"/>
      <c r="ERH1" s="2775"/>
      <c r="ERI1" s="2775"/>
      <c r="ERJ1" s="2775"/>
      <c r="ERK1" s="2775"/>
      <c r="ERL1" s="2775"/>
      <c r="ERM1" s="2775"/>
      <c r="ERN1" s="2775"/>
      <c r="ERO1" s="2775"/>
      <c r="ERP1" s="2775"/>
      <c r="ERQ1" s="2775"/>
      <c r="ERR1" s="2775"/>
      <c r="ERS1" s="2775"/>
      <c r="ERT1" s="2775"/>
      <c r="ERU1" s="2775"/>
      <c r="ERV1" s="2775"/>
      <c r="ERW1" s="2775"/>
      <c r="ERX1" s="2775"/>
      <c r="ERY1" s="2775"/>
      <c r="ERZ1" s="2775"/>
      <c r="ESA1" s="2775"/>
      <c r="ESB1" s="2775"/>
      <c r="ESC1" s="2775"/>
      <c r="ESD1" s="2775"/>
      <c r="ESE1" s="2775"/>
      <c r="ESF1" s="2775"/>
      <c r="ESG1" s="2775"/>
      <c r="ESH1" s="2775"/>
      <c r="ESI1" s="2775"/>
      <c r="ESJ1" s="2775"/>
      <c r="ESK1" s="2775"/>
      <c r="ESL1" s="2775"/>
      <c r="ESM1" s="2775"/>
      <c r="ESN1" s="2775"/>
      <c r="ESO1" s="2775"/>
      <c r="ESP1" s="2775"/>
      <c r="ESQ1" s="2775"/>
      <c r="ESR1" s="2775"/>
      <c r="ESS1" s="2775"/>
      <c r="EST1" s="2775"/>
      <c r="ESU1" s="2775"/>
      <c r="ESV1" s="2775"/>
      <c r="ESW1" s="2775"/>
      <c r="ESX1" s="2775"/>
      <c r="ESY1" s="2775"/>
      <c r="ESZ1" s="2775"/>
      <c r="ETA1" s="2775"/>
      <c r="ETB1" s="2775"/>
      <c r="ETC1" s="2775"/>
      <c r="ETD1" s="2775"/>
      <c r="ETE1" s="2775"/>
      <c r="ETF1" s="2775"/>
      <c r="ETG1" s="2775"/>
      <c r="ETH1" s="2775"/>
      <c r="ETI1" s="2775"/>
      <c r="ETJ1" s="2775"/>
      <c r="ETK1" s="2775"/>
      <c r="ETL1" s="2775"/>
      <c r="ETM1" s="2775"/>
      <c r="ETN1" s="2775"/>
      <c r="ETO1" s="2775"/>
      <c r="ETP1" s="2775"/>
      <c r="ETQ1" s="2775"/>
      <c r="ETR1" s="2775"/>
      <c r="ETS1" s="2775"/>
      <c r="ETT1" s="2775"/>
      <c r="ETU1" s="2775"/>
      <c r="ETV1" s="2775"/>
      <c r="ETW1" s="2775"/>
      <c r="ETX1" s="2775"/>
      <c r="ETY1" s="2775"/>
      <c r="ETZ1" s="2775"/>
      <c r="EUA1" s="2775"/>
      <c r="EUB1" s="2775"/>
      <c r="EUC1" s="2775"/>
      <c r="EUD1" s="2775"/>
      <c r="EUE1" s="2775"/>
      <c r="EUF1" s="2775"/>
      <c r="EUG1" s="2775"/>
      <c r="EUH1" s="2775"/>
      <c r="EUI1" s="2775"/>
      <c r="EUJ1" s="2775"/>
      <c r="EUK1" s="2775"/>
      <c r="EUL1" s="2775"/>
      <c r="EUM1" s="2775"/>
      <c r="EUN1" s="2775"/>
      <c r="EUO1" s="2775"/>
      <c r="EUP1" s="2775"/>
      <c r="EUQ1" s="2775"/>
      <c r="EUR1" s="2775"/>
      <c r="EUS1" s="2775"/>
      <c r="EUT1" s="2775"/>
      <c r="EUU1" s="2775"/>
      <c r="EUV1" s="2775"/>
      <c r="EUW1" s="2775"/>
      <c r="EUX1" s="2775"/>
      <c r="EUY1" s="2775"/>
      <c r="EUZ1" s="2775"/>
      <c r="EVA1" s="2775"/>
      <c r="EVB1" s="2775"/>
      <c r="EVC1" s="2775"/>
      <c r="EVD1" s="2775"/>
      <c r="EVE1" s="2775"/>
      <c r="EVF1" s="2775"/>
      <c r="EVG1" s="2775"/>
      <c r="EVH1" s="2775"/>
      <c r="EVI1" s="2775"/>
      <c r="EVJ1" s="2775"/>
      <c r="EVK1" s="2775"/>
      <c r="EVL1" s="2775"/>
      <c r="EVM1" s="2775"/>
      <c r="EVN1" s="2775"/>
      <c r="EVO1" s="2775"/>
      <c r="EVP1" s="2775"/>
      <c r="EVQ1" s="2775"/>
      <c r="EVR1" s="2775"/>
      <c r="EVS1" s="2775"/>
      <c r="EVT1" s="2775"/>
      <c r="EVU1" s="2775"/>
      <c r="EVV1" s="2775"/>
      <c r="EVW1" s="2775"/>
      <c r="EVX1" s="2775"/>
      <c r="EVY1" s="2775"/>
      <c r="EVZ1" s="2775"/>
      <c r="EWA1" s="2775"/>
      <c r="EWB1" s="2775"/>
      <c r="EWC1" s="2775"/>
      <c r="EWD1" s="2775"/>
      <c r="EWE1" s="2775"/>
      <c r="EWF1" s="2775"/>
      <c r="EWG1" s="2775"/>
      <c r="EWH1" s="2775"/>
      <c r="EWI1" s="2775"/>
      <c r="EWJ1" s="2775"/>
      <c r="EWK1" s="2775"/>
      <c r="EWL1" s="2775"/>
      <c r="EWM1" s="2775"/>
      <c r="EWN1" s="2775"/>
      <c r="EWO1" s="2775"/>
      <c r="EWP1" s="2775"/>
      <c r="EWQ1" s="2775"/>
      <c r="EWR1" s="2775"/>
      <c r="EWS1" s="2775"/>
      <c r="EWT1" s="2775"/>
      <c r="EWU1" s="2775"/>
      <c r="EWV1" s="2775"/>
      <c r="EWW1" s="2775"/>
      <c r="EWX1" s="2775"/>
      <c r="EWY1" s="2775"/>
      <c r="EWZ1" s="2775"/>
      <c r="EXA1" s="2775"/>
      <c r="EXB1" s="2775"/>
      <c r="EXC1" s="2775"/>
      <c r="EXD1" s="2775"/>
      <c r="EXE1" s="2775"/>
      <c r="EXF1" s="2775"/>
      <c r="EXG1" s="2775"/>
      <c r="EXH1" s="2775"/>
      <c r="EXI1" s="2775"/>
      <c r="EXJ1" s="2775"/>
      <c r="EXK1" s="2775"/>
      <c r="EXL1" s="2775"/>
      <c r="EXM1" s="2775"/>
      <c r="EXN1" s="2775"/>
      <c r="EXO1" s="2775"/>
      <c r="EXP1" s="2775"/>
      <c r="EXQ1" s="2775"/>
      <c r="EXR1" s="2775"/>
      <c r="EXS1" s="2775"/>
      <c r="EXT1" s="2775"/>
      <c r="EXU1" s="2775"/>
      <c r="EXV1" s="2775"/>
      <c r="EXW1" s="2775"/>
      <c r="EXX1" s="2775"/>
      <c r="EXY1" s="2775"/>
      <c r="EXZ1" s="2775"/>
      <c r="EYA1" s="2775"/>
      <c r="EYB1" s="2775"/>
      <c r="EYC1" s="2775"/>
      <c r="EYD1" s="2775"/>
      <c r="EYE1" s="2775"/>
      <c r="EYF1" s="2775"/>
      <c r="EYG1" s="2775"/>
      <c r="EYH1" s="2775"/>
      <c r="EYI1" s="2775"/>
      <c r="EYJ1" s="2775"/>
      <c r="EYK1" s="2775"/>
      <c r="EYL1" s="2775"/>
      <c r="EYM1" s="2775"/>
      <c r="EYN1" s="2775"/>
      <c r="EYO1" s="2775"/>
      <c r="EYP1" s="2775"/>
      <c r="EYQ1" s="2775"/>
      <c r="EYR1" s="2775"/>
      <c r="EYS1" s="2775"/>
      <c r="EYT1" s="2775"/>
      <c r="EYU1" s="2775"/>
      <c r="EYV1" s="2775"/>
      <c r="EYW1" s="2775"/>
      <c r="EYX1" s="2775"/>
      <c r="EYY1" s="2775"/>
      <c r="EYZ1" s="2775"/>
      <c r="EZA1" s="2775"/>
      <c r="EZB1" s="2775"/>
      <c r="EZC1" s="2775"/>
      <c r="EZD1" s="2775"/>
      <c r="EZE1" s="2775"/>
      <c r="EZF1" s="2775"/>
      <c r="EZG1" s="2775"/>
      <c r="EZH1" s="2775"/>
      <c r="EZI1" s="2775"/>
      <c r="EZJ1" s="2775"/>
      <c r="EZK1" s="2775"/>
      <c r="EZL1" s="2775"/>
      <c r="EZM1" s="2775"/>
      <c r="EZN1" s="2775"/>
      <c r="EZO1" s="2775"/>
      <c r="EZP1" s="2775"/>
      <c r="EZQ1" s="2775"/>
      <c r="EZR1" s="2775"/>
      <c r="EZS1" s="2775"/>
      <c r="EZT1" s="2775"/>
      <c r="EZU1" s="2775"/>
      <c r="EZV1" s="2775"/>
      <c r="EZW1" s="2775"/>
      <c r="EZX1" s="2775"/>
      <c r="EZY1" s="2775"/>
      <c r="EZZ1" s="2775"/>
      <c r="FAA1" s="2775"/>
      <c r="FAB1" s="2775"/>
      <c r="FAC1" s="2775"/>
      <c r="FAD1" s="2775"/>
      <c r="FAE1" s="2775"/>
      <c r="FAF1" s="2775"/>
      <c r="FAG1" s="2775"/>
      <c r="FAH1" s="2775"/>
      <c r="FAI1" s="2775"/>
      <c r="FAJ1" s="2775"/>
      <c r="FAK1" s="2775"/>
      <c r="FAL1" s="2775"/>
      <c r="FAM1" s="2775"/>
      <c r="FAN1" s="2775"/>
      <c r="FAO1" s="2775"/>
      <c r="FAP1" s="2775"/>
      <c r="FAQ1" s="2775"/>
      <c r="FAR1" s="2775"/>
      <c r="FAS1" s="2775"/>
      <c r="FAT1" s="2775"/>
      <c r="FAU1" s="2775"/>
      <c r="FAV1" s="2775"/>
      <c r="FAW1" s="2775"/>
      <c r="FAX1" s="2775"/>
      <c r="FAY1" s="2775"/>
      <c r="FAZ1" s="2775"/>
      <c r="FBA1" s="2775"/>
      <c r="FBB1" s="2775"/>
      <c r="FBC1" s="2775"/>
      <c r="FBD1" s="2775"/>
      <c r="FBE1" s="2775"/>
      <c r="FBF1" s="2775"/>
      <c r="FBG1" s="2775"/>
      <c r="FBH1" s="2775"/>
      <c r="FBI1" s="2775"/>
      <c r="FBJ1" s="2775"/>
      <c r="FBK1" s="2775"/>
      <c r="FBL1" s="2775"/>
      <c r="FBM1" s="2775"/>
      <c r="FBN1" s="2775"/>
      <c r="FBO1" s="2775"/>
      <c r="FBP1" s="2775"/>
      <c r="FBQ1" s="2775"/>
      <c r="FBR1" s="2775"/>
      <c r="FBS1" s="2775"/>
      <c r="FBT1" s="2775"/>
      <c r="FBU1" s="2775"/>
      <c r="FBV1" s="2775"/>
      <c r="FBW1" s="2775"/>
      <c r="FBX1" s="2775"/>
      <c r="FBY1" s="2775"/>
      <c r="FBZ1" s="2775"/>
      <c r="FCA1" s="2775"/>
      <c r="FCB1" s="2775"/>
      <c r="FCC1" s="2775"/>
      <c r="FCD1" s="2775"/>
      <c r="FCE1" s="2775"/>
      <c r="FCF1" s="2775"/>
      <c r="FCG1" s="2775"/>
      <c r="FCH1" s="2775"/>
      <c r="FCI1" s="2775"/>
      <c r="FCJ1" s="2775"/>
      <c r="FCK1" s="2775"/>
      <c r="FCL1" s="2775"/>
      <c r="FCM1" s="2775"/>
      <c r="FCN1" s="2775"/>
      <c r="FCO1" s="2775"/>
      <c r="FCP1" s="2775"/>
      <c r="FCQ1" s="2775"/>
      <c r="FCR1" s="2775"/>
      <c r="FCS1" s="2775"/>
      <c r="FCT1" s="2775"/>
      <c r="FCU1" s="2775"/>
      <c r="FCV1" s="2775"/>
      <c r="FCW1" s="2775"/>
      <c r="FCX1" s="2775"/>
      <c r="FCY1" s="2775"/>
      <c r="FCZ1" s="2775"/>
      <c r="FDA1" s="2775"/>
      <c r="FDB1" s="2775"/>
      <c r="FDC1" s="2775"/>
      <c r="FDD1" s="2775"/>
      <c r="FDE1" s="2775"/>
      <c r="FDF1" s="2775"/>
      <c r="FDG1" s="2775"/>
      <c r="FDH1" s="2775"/>
      <c r="FDI1" s="2775"/>
      <c r="FDJ1" s="2775"/>
      <c r="FDK1" s="2775"/>
      <c r="FDL1" s="2775"/>
      <c r="FDM1" s="2775"/>
      <c r="FDN1" s="2775"/>
      <c r="FDO1" s="2775"/>
      <c r="FDP1" s="2775"/>
      <c r="FDQ1" s="2775"/>
      <c r="FDR1" s="2775"/>
      <c r="FDS1" s="2775"/>
      <c r="FDT1" s="2775"/>
      <c r="FDU1" s="2775"/>
      <c r="FDV1" s="2775"/>
      <c r="FDW1" s="2775"/>
      <c r="FDX1" s="2775"/>
      <c r="FDY1" s="2775"/>
      <c r="FDZ1" s="2775"/>
      <c r="FEA1" s="2775"/>
      <c r="FEB1" s="2775"/>
      <c r="FEC1" s="2775"/>
      <c r="FED1" s="2775"/>
      <c r="FEE1" s="2775"/>
      <c r="FEF1" s="2775"/>
      <c r="FEG1" s="2775"/>
      <c r="FEH1" s="2775"/>
      <c r="FEI1" s="2775"/>
      <c r="FEJ1" s="2775"/>
      <c r="FEK1" s="2775"/>
      <c r="FEL1" s="2775"/>
      <c r="FEM1" s="2775"/>
      <c r="FEN1" s="2775"/>
      <c r="FEO1" s="2775"/>
      <c r="FEP1" s="2775"/>
      <c r="FEQ1" s="2775"/>
      <c r="FER1" s="2775"/>
      <c r="FES1" s="2775"/>
      <c r="FET1" s="2775"/>
      <c r="FEU1" s="2775"/>
      <c r="FEV1" s="2775"/>
      <c r="FEW1" s="2775"/>
      <c r="FEX1" s="2775"/>
      <c r="FEY1" s="2775"/>
      <c r="FEZ1" s="2775"/>
      <c r="FFA1" s="2775"/>
      <c r="FFB1" s="2775"/>
      <c r="FFC1" s="2775"/>
      <c r="FFD1" s="2775"/>
      <c r="FFE1" s="2775"/>
      <c r="FFF1" s="2775"/>
      <c r="FFG1" s="2775"/>
      <c r="FFH1" s="2775"/>
      <c r="FFI1" s="2775"/>
      <c r="FFJ1" s="2775"/>
      <c r="FFK1" s="2775"/>
      <c r="FFL1" s="2775"/>
      <c r="FFM1" s="2775"/>
      <c r="FFN1" s="2775"/>
      <c r="FFO1" s="2775"/>
      <c r="FFP1" s="2775"/>
      <c r="FFQ1" s="2775"/>
      <c r="FFR1" s="2775"/>
      <c r="FFS1" s="2775"/>
      <c r="FFT1" s="2775"/>
      <c r="FFU1" s="2775"/>
      <c r="FFV1" s="2775"/>
      <c r="FFW1" s="2775"/>
      <c r="FFX1" s="2775"/>
      <c r="FFY1" s="2775"/>
      <c r="FFZ1" s="2775"/>
      <c r="FGA1" s="2775"/>
      <c r="FGB1" s="2775"/>
      <c r="FGC1" s="2775"/>
      <c r="FGD1" s="2775"/>
      <c r="FGE1" s="2775"/>
      <c r="FGF1" s="2775"/>
      <c r="FGG1" s="2775"/>
      <c r="FGH1" s="2775"/>
      <c r="FGI1" s="2775"/>
      <c r="FGJ1" s="2775"/>
      <c r="FGK1" s="2775"/>
      <c r="FGL1" s="2775"/>
      <c r="FGM1" s="2775"/>
      <c r="FGN1" s="2775"/>
      <c r="FGO1" s="2775"/>
      <c r="FGP1" s="2775"/>
      <c r="FGQ1" s="2775"/>
      <c r="FGR1" s="2775"/>
      <c r="FGS1" s="2775"/>
      <c r="FGT1" s="2775"/>
      <c r="FGU1" s="2775"/>
      <c r="FGV1" s="2775"/>
      <c r="FGW1" s="2775"/>
      <c r="FGX1" s="2775"/>
      <c r="FGY1" s="2775"/>
      <c r="FGZ1" s="2775"/>
      <c r="FHA1" s="2775"/>
      <c r="FHB1" s="2775"/>
      <c r="FHC1" s="2775"/>
      <c r="FHD1" s="2775"/>
      <c r="FHE1" s="2775"/>
      <c r="FHF1" s="2775"/>
      <c r="FHG1" s="2775"/>
      <c r="FHH1" s="2775"/>
      <c r="FHI1" s="2775"/>
      <c r="FHJ1" s="2775"/>
      <c r="FHK1" s="2775"/>
      <c r="FHL1" s="2775"/>
      <c r="FHM1" s="2775"/>
      <c r="FHN1" s="2775"/>
      <c r="FHO1" s="2775"/>
      <c r="FHP1" s="2775"/>
      <c r="FHQ1" s="2775"/>
      <c r="FHR1" s="2775"/>
      <c r="FHS1" s="2775"/>
      <c r="FHT1" s="2775"/>
      <c r="FHU1" s="2775"/>
      <c r="FHV1" s="2775"/>
      <c r="FHW1" s="2775"/>
      <c r="FHX1" s="2775"/>
      <c r="FHY1" s="2775"/>
      <c r="FHZ1" s="2775"/>
      <c r="FIA1" s="2775"/>
      <c r="FIB1" s="2775"/>
      <c r="FIC1" s="2775"/>
      <c r="FID1" s="2775"/>
      <c r="FIE1" s="2775"/>
      <c r="FIF1" s="2775"/>
      <c r="FIG1" s="2775"/>
      <c r="FIH1" s="2775"/>
      <c r="FII1" s="2775"/>
      <c r="FIJ1" s="2775"/>
      <c r="FIK1" s="2775"/>
      <c r="FIL1" s="2775"/>
      <c r="FIM1" s="2775"/>
      <c r="FIN1" s="2775"/>
      <c r="FIO1" s="2775"/>
      <c r="FIP1" s="2775"/>
      <c r="FIQ1" s="2775"/>
      <c r="FIR1" s="2775"/>
      <c r="FIS1" s="2775"/>
      <c r="FIT1" s="2775"/>
      <c r="FIU1" s="2775"/>
      <c r="FIV1" s="2775"/>
      <c r="FIW1" s="2775"/>
      <c r="FIX1" s="2775"/>
      <c r="FIY1" s="2775"/>
      <c r="FIZ1" s="2775"/>
      <c r="FJA1" s="2775"/>
      <c r="FJB1" s="2775"/>
      <c r="FJC1" s="2775"/>
      <c r="FJD1" s="2775"/>
      <c r="FJE1" s="2775"/>
      <c r="FJF1" s="2775"/>
      <c r="FJG1" s="2775"/>
      <c r="FJH1" s="2775"/>
      <c r="FJI1" s="2775"/>
      <c r="FJJ1" s="2775"/>
      <c r="FJK1" s="2775"/>
      <c r="FJL1" s="2775"/>
      <c r="FJM1" s="2775"/>
      <c r="FJN1" s="2775"/>
      <c r="FJO1" s="2775"/>
      <c r="FJP1" s="2775"/>
      <c r="FJQ1" s="2775"/>
      <c r="FJR1" s="2775"/>
      <c r="FJS1" s="2775"/>
      <c r="FJT1" s="2775"/>
      <c r="FJU1" s="2775"/>
      <c r="FJV1" s="2775"/>
      <c r="FJW1" s="2775"/>
      <c r="FJX1" s="2775"/>
      <c r="FJY1" s="2775"/>
      <c r="FJZ1" s="2775"/>
      <c r="FKA1" s="2775"/>
      <c r="FKB1" s="2775"/>
      <c r="FKC1" s="2775"/>
      <c r="FKD1" s="2775"/>
      <c r="FKE1" s="2775"/>
      <c r="FKF1" s="2775"/>
      <c r="FKG1" s="2775"/>
      <c r="FKH1" s="2775"/>
      <c r="FKI1" s="2775"/>
      <c r="FKJ1" s="2775"/>
      <c r="FKK1" s="2775"/>
      <c r="FKL1" s="2775"/>
      <c r="FKM1" s="2775"/>
      <c r="FKN1" s="2775"/>
      <c r="FKO1" s="2775"/>
      <c r="FKP1" s="2775"/>
      <c r="FKQ1" s="2775"/>
      <c r="FKR1" s="2775"/>
      <c r="FKS1" s="2775"/>
      <c r="FKT1" s="2775"/>
      <c r="FKU1" s="2775"/>
      <c r="FKV1" s="2775"/>
      <c r="FKW1" s="2775"/>
      <c r="FKX1" s="2775"/>
      <c r="FKY1" s="2775"/>
      <c r="FKZ1" s="2775"/>
      <c r="FLA1" s="2775"/>
      <c r="FLB1" s="2775"/>
      <c r="FLC1" s="2775"/>
      <c r="FLD1" s="2775"/>
      <c r="FLE1" s="2775"/>
      <c r="FLF1" s="2775"/>
      <c r="FLG1" s="2775"/>
      <c r="FLH1" s="2775"/>
      <c r="FLI1" s="2775"/>
      <c r="FLJ1" s="2775"/>
      <c r="FLK1" s="2775"/>
      <c r="FLL1" s="2775"/>
      <c r="FLM1" s="2775"/>
      <c r="FLN1" s="2775"/>
      <c r="FLO1" s="2775"/>
      <c r="FLP1" s="2775"/>
      <c r="FLQ1" s="2775"/>
      <c r="FLR1" s="2775"/>
      <c r="FLS1" s="2775"/>
      <c r="FLT1" s="2775"/>
      <c r="FLU1" s="2775"/>
      <c r="FLV1" s="2775"/>
      <c r="FLW1" s="2775"/>
      <c r="FLX1" s="2775"/>
      <c r="FLY1" s="2775"/>
      <c r="FLZ1" s="2775"/>
      <c r="FMA1" s="2775"/>
      <c r="FMB1" s="2775"/>
      <c r="FMC1" s="2775"/>
      <c r="FMD1" s="2775"/>
      <c r="FME1" s="2775"/>
      <c r="FMF1" s="2775"/>
      <c r="FMG1" s="2775"/>
      <c r="FMH1" s="2775"/>
      <c r="FMI1" s="2775"/>
      <c r="FMJ1" s="2775"/>
      <c r="FMK1" s="2775"/>
      <c r="FML1" s="2775"/>
      <c r="FMM1" s="2775"/>
      <c r="FMN1" s="2775"/>
      <c r="FMO1" s="2775"/>
      <c r="FMP1" s="2775"/>
      <c r="FMQ1" s="2775"/>
      <c r="FMR1" s="2775"/>
      <c r="FMS1" s="2775"/>
      <c r="FMT1" s="2775"/>
      <c r="FMU1" s="2775"/>
      <c r="FMV1" s="2775"/>
      <c r="FMW1" s="2775"/>
      <c r="FMX1" s="2775"/>
      <c r="FMY1" s="2775"/>
      <c r="FMZ1" s="2775"/>
      <c r="FNA1" s="2775"/>
      <c r="FNB1" s="2775"/>
      <c r="FNC1" s="2775"/>
      <c r="FND1" s="2775"/>
      <c r="FNE1" s="2775"/>
      <c r="FNF1" s="2775"/>
      <c r="FNG1" s="2775"/>
      <c r="FNH1" s="2775"/>
      <c r="FNI1" s="2775"/>
      <c r="FNJ1" s="2775"/>
      <c r="FNK1" s="2775"/>
      <c r="FNL1" s="2775"/>
      <c r="FNM1" s="2775"/>
      <c r="FNN1" s="2775"/>
      <c r="FNO1" s="2775"/>
      <c r="FNP1" s="2775"/>
      <c r="FNQ1" s="2775"/>
      <c r="FNR1" s="2775"/>
      <c r="FNS1" s="2775"/>
      <c r="FNT1" s="2775"/>
      <c r="FNU1" s="2775"/>
      <c r="FNV1" s="2775"/>
      <c r="FNW1" s="2775"/>
      <c r="FNX1" s="2775"/>
      <c r="FNY1" s="2775"/>
      <c r="FNZ1" s="2775"/>
      <c r="FOA1" s="2775"/>
      <c r="FOB1" s="2775"/>
      <c r="FOC1" s="2775"/>
      <c r="FOD1" s="2775"/>
      <c r="FOE1" s="2775"/>
      <c r="FOF1" s="2775"/>
      <c r="FOG1" s="2775"/>
      <c r="FOH1" s="2775"/>
      <c r="FOI1" s="2775"/>
      <c r="FOJ1" s="2775"/>
      <c r="FOK1" s="2775"/>
      <c r="FOL1" s="2775"/>
      <c r="FOM1" s="2775"/>
      <c r="FON1" s="2775"/>
      <c r="FOO1" s="2775"/>
      <c r="FOP1" s="2775"/>
      <c r="FOQ1" s="2775"/>
      <c r="FOR1" s="2775"/>
      <c r="FOS1" s="2775"/>
      <c r="FOT1" s="2775"/>
      <c r="FOU1" s="2775"/>
      <c r="FOV1" s="2775"/>
      <c r="FOW1" s="2775"/>
      <c r="FOX1" s="2775"/>
      <c r="FOY1" s="2775"/>
      <c r="FOZ1" s="2775"/>
      <c r="FPA1" s="2775"/>
      <c r="FPB1" s="2775"/>
      <c r="FPC1" s="2775"/>
      <c r="FPD1" s="2775"/>
      <c r="FPE1" s="2775"/>
      <c r="FPF1" s="2775"/>
      <c r="FPG1" s="2775"/>
      <c r="FPH1" s="2775"/>
      <c r="FPI1" s="2775"/>
      <c r="FPJ1" s="2775"/>
      <c r="FPK1" s="2775"/>
      <c r="FPL1" s="2775"/>
      <c r="FPM1" s="2775"/>
      <c r="FPN1" s="2775"/>
      <c r="FPO1" s="2775"/>
      <c r="FPP1" s="2775"/>
      <c r="FPQ1" s="2775"/>
      <c r="FPR1" s="2775"/>
      <c r="FPS1" s="2775"/>
      <c r="FPT1" s="2775"/>
      <c r="FPU1" s="2775"/>
      <c r="FPV1" s="2775"/>
      <c r="FPW1" s="2775"/>
      <c r="FPX1" s="2775"/>
      <c r="FPY1" s="2775"/>
      <c r="FPZ1" s="2775"/>
      <c r="FQA1" s="2775"/>
      <c r="FQB1" s="2775"/>
      <c r="FQC1" s="2775"/>
      <c r="FQD1" s="2775"/>
      <c r="FQE1" s="2775"/>
      <c r="FQF1" s="2775"/>
      <c r="FQG1" s="2775"/>
      <c r="FQH1" s="2775"/>
      <c r="FQI1" s="2775"/>
      <c r="FQJ1" s="2775"/>
      <c r="FQK1" s="2775"/>
      <c r="FQL1" s="2775"/>
      <c r="FQM1" s="2775"/>
      <c r="FQN1" s="2775"/>
      <c r="FQO1" s="2775"/>
      <c r="FQP1" s="2775"/>
      <c r="FQQ1" s="2775"/>
      <c r="FQR1" s="2775"/>
      <c r="FQS1" s="2775"/>
      <c r="FQT1" s="2775"/>
      <c r="FQU1" s="2775"/>
      <c r="FQV1" s="2775"/>
      <c r="FQW1" s="2775"/>
      <c r="FQX1" s="2775"/>
      <c r="FQY1" s="2775"/>
      <c r="FQZ1" s="2775"/>
      <c r="FRA1" s="2775"/>
      <c r="FRB1" s="2775"/>
      <c r="FRC1" s="2775"/>
      <c r="FRD1" s="2775"/>
      <c r="FRE1" s="2775"/>
      <c r="FRF1" s="2775"/>
      <c r="FRG1" s="2775"/>
      <c r="FRH1" s="2775"/>
      <c r="FRI1" s="2775"/>
      <c r="FRJ1" s="2775"/>
      <c r="FRK1" s="2775"/>
      <c r="FRL1" s="2775"/>
      <c r="FRM1" s="2775"/>
      <c r="FRN1" s="2775"/>
      <c r="FRO1" s="2775"/>
      <c r="FRP1" s="2775"/>
      <c r="FRQ1" s="2775"/>
      <c r="FRR1" s="2775"/>
      <c r="FRS1" s="2775"/>
      <c r="FRT1" s="2775"/>
      <c r="FRU1" s="2775"/>
      <c r="FRV1" s="2775"/>
      <c r="FRW1" s="2775"/>
      <c r="FRX1" s="2775"/>
      <c r="FRY1" s="2775"/>
      <c r="FRZ1" s="2775"/>
      <c r="FSA1" s="2775"/>
      <c r="FSB1" s="2775"/>
      <c r="FSC1" s="2775"/>
      <c r="FSD1" s="2775"/>
      <c r="FSE1" s="2775"/>
      <c r="FSF1" s="2775"/>
      <c r="FSG1" s="2775"/>
      <c r="FSH1" s="2775"/>
      <c r="FSI1" s="2775"/>
      <c r="FSJ1" s="2775"/>
      <c r="FSK1" s="2775"/>
      <c r="FSL1" s="2775"/>
      <c r="FSM1" s="2775"/>
      <c r="FSN1" s="2775"/>
      <c r="FSO1" s="2775"/>
      <c r="FSP1" s="2775"/>
      <c r="FSQ1" s="2775"/>
      <c r="FSR1" s="2775"/>
      <c r="FSS1" s="2775"/>
      <c r="FST1" s="2775"/>
      <c r="FSU1" s="2775"/>
      <c r="FSV1" s="2775"/>
      <c r="FSW1" s="2775"/>
      <c r="FSX1" s="2775"/>
      <c r="FSY1" s="2775"/>
      <c r="FSZ1" s="2775"/>
      <c r="FTA1" s="2775"/>
      <c r="FTB1" s="2775"/>
      <c r="FTC1" s="2775"/>
      <c r="FTD1" s="2775"/>
      <c r="FTE1" s="2775"/>
      <c r="FTF1" s="2775"/>
      <c r="FTG1" s="2775"/>
      <c r="FTH1" s="2775"/>
      <c r="FTI1" s="2775"/>
      <c r="FTJ1" s="2775"/>
      <c r="FTK1" s="2775"/>
      <c r="FTL1" s="2775"/>
      <c r="FTM1" s="2775"/>
      <c r="FTN1" s="2775"/>
      <c r="FTO1" s="2775"/>
      <c r="FTP1" s="2775"/>
      <c r="FTQ1" s="2775"/>
      <c r="FTR1" s="2775"/>
      <c r="FTS1" s="2775"/>
      <c r="FTT1" s="2775"/>
      <c r="FTU1" s="2775"/>
      <c r="FTV1" s="2775"/>
      <c r="FTW1" s="2775"/>
      <c r="FTX1" s="2775"/>
      <c r="FTY1" s="2775"/>
      <c r="FTZ1" s="2775"/>
      <c r="FUA1" s="2775"/>
      <c r="FUB1" s="2775"/>
      <c r="FUC1" s="2775"/>
      <c r="FUD1" s="2775"/>
      <c r="FUE1" s="2775"/>
      <c r="FUF1" s="2775"/>
      <c r="FUG1" s="2775"/>
      <c r="FUH1" s="2775"/>
      <c r="FUI1" s="2775"/>
      <c r="FUJ1" s="2775"/>
      <c r="FUK1" s="2775"/>
      <c r="FUL1" s="2775"/>
      <c r="FUM1" s="2775"/>
      <c r="FUN1" s="2775"/>
      <c r="FUO1" s="2775"/>
      <c r="FUP1" s="2775"/>
      <c r="FUQ1" s="2775"/>
      <c r="FUR1" s="2775"/>
      <c r="FUS1" s="2775"/>
      <c r="FUT1" s="2775"/>
      <c r="FUU1" s="2775"/>
      <c r="FUV1" s="2775"/>
      <c r="FUW1" s="2775"/>
      <c r="FUX1" s="2775"/>
      <c r="FUY1" s="2775"/>
      <c r="FUZ1" s="2775"/>
      <c r="FVA1" s="2775"/>
      <c r="FVB1" s="2775"/>
      <c r="FVC1" s="2775"/>
      <c r="FVD1" s="2775"/>
      <c r="FVE1" s="2775"/>
      <c r="FVF1" s="2775"/>
      <c r="FVG1" s="2775"/>
      <c r="FVH1" s="2775"/>
      <c r="FVI1" s="2775"/>
      <c r="FVJ1" s="2775"/>
      <c r="FVK1" s="2775"/>
      <c r="FVL1" s="2775"/>
      <c r="FVM1" s="2775"/>
      <c r="FVN1" s="2775"/>
      <c r="FVO1" s="2775"/>
      <c r="FVP1" s="2775"/>
      <c r="FVQ1" s="2775"/>
      <c r="FVR1" s="2775"/>
      <c r="FVS1" s="2775"/>
      <c r="FVT1" s="2775"/>
      <c r="FVU1" s="2775"/>
      <c r="FVV1" s="2775"/>
      <c r="FVW1" s="2775"/>
      <c r="FVX1" s="2775"/>
      <c r="FVY1" s="2775"/>
      <c r="FVZ1" s="2775"/>
      <c r="FWA1" s="2775"/>
      <c r="FWB1" s="2775"/>
      <c r="FWC1" s="2775"/>
      <c r="FWD1" s="2775"/>
      <c r="FWE1" s="2775"/>
      <c r="FWF1" s="2775"/>
      <c r="FWG1" s="2775"/>
      <c r="FWH1" s="2775"/>
      <c r="FWI1" s="2775"/>
      <c r="FWJ1" s="2775"/>
      <c r="FWK1" s="2775"/>
      <c r="FWL1" s="2775"/>
      <c r="FWM1" s="2775"/>
      <c r="FWN1" s="2775"/>
      <c r="FWO1" s="2775"/>
      <c r="FWP1" s="2775"/>
      <c r="FWQ1" s="2775"/>
      <c r="FWR1" s="2775"/>
      <c r="FWS1" s="2775"/>
      <c r="FWT1" s="2775"/>
      <c r="FWU1" s="2775"/>
      <c r="FWV1" s="2775"/>
      <c r="FWW1" s="2775"/>
      <c r="FWX1" s="2775"/>
      <c r="FWY1" s="2775"/>
      <c r="FWZ1" s="2775"/>
      <c r="FXA1" s="2775"/>
      <c r="FXB1" s="2775"/>
      <c r="FXC1" s="2775"/>
      <c r="FXD1" s="2775"/>
      <c r="FXE1" s="2775"/>
      <c r="FXF1" s="2775"/>
      <c r="FXG1" s="2775"/>
      <c r="FXH1" s="2775"/>
      <c r="FXI1" s="2775"/>
      <c r="FXJ1" s="2775"/>
      <c r="FXK1" s="2775"/>
      <c r="FXL1" s="2775"/>
      <c r="FXM1" s="2775"/>
      <c r="FXN1" s="2775"/>
      <c r="FXO1" s="2775"/>
      <c r="FXP1" s="2775"/>
      <c r="FXQ1" s="2775"/>
      <c r="FXR1" s="2775"/>
      <c r="FXS1" s="2775"/>
      <c r="FXT1" s="2775"/>
      <c r="FXU1" s="2775"/>
      <c r="FXV1" s="2775"/>
      <c r="FXW1" s="2775"/>
      <c r="FXX1" s="2775"/>
      <c r="FXY1" s="2775"/>
      <c r="FXZ1" s="2775"/>
      <c r="FYA1" s="2775"/>
      <c r="FYB1" s="2775"/>
      <c r="FYC1" s="2775"/>
      <c r="FYD1" s="2775"/>
      <c r="FYE1" s="2775"/>
      <c r="FYF1" s="2775"/>
      <c r="FYG1" s="2775"/>
      <c r="FYH1" s="2775"/>
      <c r="FYI1" s="2775"/>
      <c r="FYJ1" s="2775"/>
      <c r="FYK1" s="2775"/>
      <c r="FYL1" s="2775"/>
      <c r="FYM1" s="2775"/>
      <c r="FYN1" s="2775"/>
      <c r="FYO1" s="2775"/>
      <c r="FYP1" s="2775"/>
      <c r="FYQ1" s="2775"/>
      <c r="FYR1" s="2775"/>
      <c r="FYS1" s="2775"/>
      <c r="FYT1" s="2775"/>
      <c r="FYU1" s="2775"/>
      <c r="FYV1" s="2775"/>
      <c r="FYW1" s="2775"/>
      <c r="FYX1" s="2775"/>
      <c r="FYY1" s="2775"/>
      <c r="FYZ1" s="2775"/>
      <c r="FZA1" s="2775"/>
      <c r="FZB1" s="2775"/>
      <c r="FZC1" s="2775"/>
      <c r="FZD1" s="2775"/>
      <c r="FZE1" s="2775"/>
      <c r="FZF1" s="2775"/>
      <c r="FZG1" s="2775"/>
      <c r="FZH1" s="2775"/>
      <c r="FZI1" s="2775"/>
      <c r="FZJ1" s="2775"/>
      <c r="FZK1" s="2775"/>
      <c r="FZL1" s="2775"/>
      <c r="FZM1" s="2775"/>
      <c r="FZN1" s="2775"/>
      <c r="FZO1" s="2775"/>
      <c r="FZP1" s="2775"/>
      <c r="FZQ1" s="2775"/>
      <c r="FZR1" s="2775"/>
      <c r="FZS1" s="2775"/>
      <c r="FZT1" s="2775"/>
      <c r="FZU1" s="2775"/>
      <c r="FZV1" s="2775"/>
      <c r="FZW1" s="2775"/>
      <c r="FZX1" s="2775"/>
      <c r="FZY1" s="2775"/>
      <c r="FZZ1" s="2775"/>
      <c r="GAA1" s="2775"/>
      <c r="GAB1" s="2775"/>
      <c r="GAC1" s="2775"/>
      <c r="GAD1" s="2775"/>
      <c r="GAE1" s="2775"/>
      <c r="GAF1" s="2775"/>
      <c r="GAG1" s="2775"/>
      <c r="GAH1" s="2775"/>
      <c r="GAI1" s="2775"/>
      <c r="GAJ1" s="2775"/>
      <c r="GAK1" s="2775"/>
      <c r="GAL1" s="2775"/>
      <c r="GAM1" s="2775"/>
      <c r="GAN1" s="2775"/>
      <c r="GAO1" s="2775"/>
      <c r="GAP1" s="2775"/>
      <c r="GAQ1" s="2775"/>
      <c r="GAR1" s="2775"/>
      <c r="GAS1" s="2775"/>
      <c r="GAT1" s="2775"/>
      <c r="GAU1" s="2775"/>
      <c r="GAV1" s="2775"/>
      <c r="GAW1" s="2775"/>
      <c r="GAX1" s="2775"/>
      <c r="GAY1" s="2775"/>
      <c r="GAZ1" s="2775"/>
      <c r="GBA1" s="2775"/>
      <c r="GBB1" s="2775"/>
      <c r="GBC1" s="2775"/>
      <c r="GBD1" s="2775"/>
      <c r="GBE1" s="2775"/>
      <c r="GBF1" s="2775"/>
      <c r="GBG1" s="2775"/>
      <c r="GBH1" s="2775"/>
      <c r="GBI1" s="2775"/>
      <c r="GBJ1" s="2775"/>
      <c r="GBK1" s="2775"/>
      <c r="GBL1" s="2775"/>
      <c r="GBM1" s="2775"/>
      <c r="GBN1" s="2775"/>
      <c r="GBO1" s="2775"/>
      <c r="GBP1" s="2775"/>
      <c r="GBQ1" s="2775"/>
      <c r="GBR1" s="2775"/>
      <c r="GBS1" s="2775"/>
      <c r="GBT1" s="2775"/>
      <c r="GBU1" s="2775"/>
      <c r="GBV1" s="2775"/>
      <c r="GBW1" s="2775"/>
      <c r="GBX1" s="2775"/>
      <c r="GBY1" s="2775"/>
      <c r="GBZ1" s="2775"/>
      <c r="GCA1" s="2775"/>
      <c r="GCB1" s="2775"/>
      <c r="GCC1" s="2775"/>
      <c r="GCD1" s="2775"/>
      <c r="GCE1" s="2775"/>
      <c r="GCF1" s="2775"/>
      <c r="GCG1" s="2775"/>
      <c r="GCH1" s="2775"/>
      <c r="GCI1" s="2775"/>
      <c r="GCJ1" s="2775"/>
      <c r="GCK1" s="2775"/>
      <c r="GCL1" s="2775"/>
      <c r="GCM1" s="2775"/>
      <c r="GCN1" s="2775"/>
      <c r="GCO1" s="2775"/>
      <c r="GCP1" s="2775"/>
      <c r="GCQ1" s="2775"/>
      <c r="GCR1" s="2775"/>
      <c r="GCS1" s="2775"/>
      <c r="GCT1" s="2775"/>
      <c r="GCU1" s="2775"/>
      <c r="GCV1" s="2775"/>
      <c r="GCW1" s="2775"/>
      <c r="GCX1" s="2775"/>
      <c r="GCY1" s="2775"/>
      <c r="GCZ1" s="2775"/>
      <c r="GDA1" s="2775"/>
      <c r="GDB1" s="2775"/>
      <c r="GDC1" s="2775"/>
      <c r="GDD1" s="2775"/>
      <c r="GDE1" s="2775"/>
      <c r="GDF1" s="2775"/>
      <c r="GDG1" s="2775"/>
      <c r="GDH1" s="2775"/>
      <c r="GDI1" s="2775"/>
      <c r="GDJ1" s="2775"/>
      <c r="GDK1" s="2775"/>
      <c r="GDL1" s="2775"/>
      <c r="GDM1" s="2775"/>
      <c r="GDN1" s="2775"/>
      <c r="GDO1" s="2775"/>
      <c r="GDP1" s="2775"/>
      <c r="GDQ1" s="2775"/>
      <c r="GDR1" s="2775"/>
      <c r="GDS1" s="2775"/>
      <c r="GDT1" s="2775"/>
      <c r="GDU1" s="2775"/>
      <c r="GDV1" s="2775"/>
      <c r="GDW1" s="2775"/>
      <c r="GDX1" s="2775"/>
      <c r="GDY1" s="2775"/>
      <c r="GDZ1" s="2775"/>
      <c r="GEA1" s="2775"/>
      <c r="GEB1" s="2775"/>
      <c r="GEC1" s="2775"/>
      <c r="GED1" s="2775"/>
      <c r="GEE1" s="2775"/>
      <c r="GEF1" s="2775"/>
      <c r="GEG1" s="2775"/>
      <c r="GEH1" s="2775"/>
      <c r="GEI1" s="2775"/>
      <c r="GEJ1" s="2775"/>
      <c r="GEK1" s="2775"/>
      <c r="GEL1" s="2775"/>
      <c r="GEM1" s="2775"/>
      <c r="GEN1" s="2775"/>
      <c r="GEO1" s="2775"/>
      <c r="GEP1" s="2775"/>
      <c r="GEQ1" s="2775"/>
      <c r="GER1" s="2775"/>
      <c r="GES1" s="2775"/>
      <c r="GET1" s="2775"/>
      <c r="GEU1" s="2775"/>
      <c r="GEV1" s="2775"/>
      <c r="GEW1" s="2775"/>
      <c r="GEX1" s="2775"/>
      <c r="GEY1" s="2775"/>
      <c r="GEZ1" s="2775"/>
      <c r="GFA1" s="2775"/>
      <c r="GFB1" s="2775"/>
      <c r="GFC1" s="2775"/>
      <c r="GFD1" s="2775"/>
      <c r="GFE1" s="2775"/>
      <c r="GFF1" s="2775"/>
      <c r="GFG1" s="2775"/>
      <c r="GFH1" s="2775"/>
      <c r="GFI1" s="2775"/>
      <c r="GFJ1" s="2775"/>
      <c r="GFK1" s="2775"/>
      <c r="GFL1" s="2775"/>
      <c r="GFM1" s="2775"/>
      <c r="GFN1" s="2775"/>
      <c r="GFO1" s="2775"/>
      <c r="GFP1" s="2775"/>
      <c r="GFQ1" s="2775"/>
      <c r="GFR1" s="2775"/>
      <c r="GFS1" s="2775"/>
      <c r="GFT1" s="2775"/>
      <c r="GFU1" s="2775"/>
      <c r="GFV1" s="2775"/>
      <c r="GFW1" s="2775"/>
      <c r="GFX1" s="2775"/>
      <c r="GFY1" s="2775"/>
      <c r="GFZ1" s="2775"/>
      <c r="GGA1" s="2775"/>
      <c r="GGB1" s="2775"/>
      <c r="GGC1" s="2775"/>
      <c r="GGD1" s="2775"/>
      <c r="GGE1" s="2775"/>
      <c r="GGF1" s="2775"/>
      <c r="GGG1" s="2775"/>
      <c r="GGH1" s="2775"/>
      <c r="GGI1" s="2775"/>
      <c r="GGJ1" s="2775"/>
      <c r="GGK1" s="2775"/>
      <c r="GGL1" s="2775"/>
      <c r="GGM1" s="2775"/>
      <c r="GGN1" s="2775"/>
      <c r="GGO1" s="2775"/>
      <c r="GGP1" s="2775"/>
      <c r="GGQ1" s="2775"/>
      <c r="GGR1" s="2775"/>
      <c r="GGS1" s="2775"/>
      <c r="GGT1" s="2775"/>
      <c r="GGU1" s="2775"/>
      <c r="GGV1" s="2775"/>
      <c r="GGW1" s="2775"/>
      <c r="GGX1" s="2775"/>
      <c r="GGY1" s="2775"/>
      <c r="GGZ1" s="2775"/>
      <c r="GHA1" s="2775"/>
      <c r="GHB1" s="2775"/>
      <c r="GHC1" s="2775"/>
      <c r="GHD1" s="2775"/>
      <c r="GHE1" s="2775"/>
      <c r="GHF1" s="2775"/>
      <c r="GHG1" s="2775"/>
      <c r="GHH1" s="2775"/>
      <c r="GHI1" s="2775"/>
      <c r="GHJ1" s="2775"/>
      <c r="GHK1" s="2775"/>
      <c r="GHL1" s="2775"/>
      <c r="GHM1" s="2775"/>
      <c r="GHN1" s="2775"/>
      <c r="GHO1" s="2775"/>
      <c r="GHP1" s="2775"/>
      <c r="GHQ1" s="2775"/>
      <c r="GHR1" s="2775"/>
      <c r="GHS1" s="2775"/>
      <c r="GHT1" s="2775"/>
      <c r="GHU1" s="2775"/>
      <c r="GHV1" s="2775"/>
      <c r="GHW1" s="2775"/>
      <c r="GHX1" s="2775"/>
      <c r="GHY1" s="2775"/>
      <c r="GHZ1" s="2775"/>
      <c r="GIA1" s="2775"/>
      <c r="GIB1" s="2775"/>
      <c r="GIC1" s="2775"/>
      <c r="GID1" s="2775"/>
      <c r="GIE1" s="2775"/>
      <c r="GIF1" s="2775"/>
      <c r="GIG1" s="2775"/>
      <c r="GIH1" s="2775"/>
      <c r="GII1" s="2775"/>
      <c r="GIJ1" s="2775"/>
      <c r="GIK1" s="2775"/>
      <c r="GIL1" s="2775"/>
      <c r="GIM1" s="2775"/>
      <c r="GIN1" s="2775"/>
      <c r="GIO1" s="2775"/>
      <c r="GIP1" s="2775"/>
      <c r="GIQ1" s="2775"/>
      <c r="GIR1" s="2775"/>
      <c r="GIS1" s="2775"/>
      <c r="GIT1" s="2775"/>
      <c r="GIU1" s="2775"/>
      <c r="GIV1" s="2775"/>
      <c r="GIW1" s="2775"/>
      <c r="GIX1" s="2775"/>
      <c r="GIY1" s="2775"/>
      <c r="GIZ1" s="2775"/>
      <c r="GJA1" s="2775"/>
      <c r="GJB1" s="2775"/>
      <c r="GJC1" s="2775"/>
      <c r="GJD1" s="2775"/>
      <c r="GJE1" s="2775"/>
      <c r="GJF1" s="2775"/>
      <c r="GJG1" s="2775"/>
      <c r="GJH1" s="2775"/>
      <c r="GJI1" s="2775"/>
      <c r="GJJ1" s="2775"/>
      <c r="GJK1" s="2775"/>
      <c r="GJL1" s="2775"/>
      <c r="GJM1" s="2775"/>
      <c r="GJN1" s="2775"/>
      <c r="GJO1" s="2775"/>
      <c r="GJP1" s="2775"/>
      <c r="GJQ1" s="2775"/>
      <c r="GJR1" s="2775"/>
      <c r="GJS1" s="2775"/>
      <c r="GJT1" s="2775"/>
      <c r="GJU1" s="2775"/>
      <c r="GJV1" s="2775"/>
      <c r="GJW1" s="2775"/>
      <c r="GJX1" s="2775"/>
      <c r="GJY1" s="2775"/>
      <c r="GJZ1" s="2775"/>
      <c r="GKA1" s="2775"/>
      <c r="GKB1" s="2775"/>
      <c r="GKC1" s="2775"/>
      <c r="GKD1" s="2775"/>
      <c r="GKE1" s="2775"/>
      <c r="GKF1" s="2775"/>
      <c r="GKG1" s="2775"/>
      <c r="GKH1" s="2775"/>
      <c r="GKI1" s="2775"/>
      <c r="GKJ1" s="2775"/>
      <c r="GKK1" s="2775"/>
      <c r="GKL1" s="2775"/>
      <c r="GKM1" s="2775"/>
      <c r="GKN1" s="2775"/>
      <c r="GKO1" s="2775"/>
      <c r="GKP1" s="2775"/>
      <c r="GKQ1" s="2775"/>
      <c r="GKR1" s="2775"/>
      <c r="GKS1" s="2775"/>
      <c r="GKT1" s="2775"/>
      <c r="GKU1" s="2775"/>
      <c r="GKV1" s="2775"/>
      <c r="GKW1" s="2775"/>
      <c r="GKX1" s="2775"/>
      <c r="GKY1" s="2775"/>
      <c r="GKZ1" s="2775"/>
      <c r="GLA1" s="2775"/>
      <c r="GLB1" s="2775"/>
      <c r="GLC1" s="2775"/>
      <c r="GLD1" s="2775"/>
      <c r="GLE1" s="2775"/>
      <c r="GLF1" s="2775"/>
      <c r="GLG1" s="2775"/>
      <c r="GLH1" s="2775"/>
      <c r="GLI1" s="2775"/>
      <c r="GLJ1" s="2775"/>
      <c r="GLK1" s="2775"/>
      <c r="GLL1" s="2775"/>
      <c r="GLM1" s="2775"/>
      <c r="GLN1" s="2775"/>
      <c r="GLO1" s="2775"/>
      <c r="GLP1" s="2775"/>
      <c r="GLQ1" s="2775"/>
      <c r="GLR1" s="2775"/>
      <c r="GLS1" s="2775"/>
      <c r="GLT1" s="2775"/>
      <c r="GLU1" s="2775"/>
      <c r="GLV1" s="2775"/>
      <c r="GLW1" s="2775"/>
      <c r="GLX1" s="2775"/>
      <c r="GLY1" s="2775"/>
      <c r="GLZ1" s="2775"/>
      <c r="GMA1" s="2775"/>
      <c r="GMB1" s="2775"/>
      <c r="GMC1" s="2775"/>
      <c r="GMD1" s="2775"/>
      <c r="GME1" s="2775"/>
      <c r="GMF1" s="2775"/>
      <c r="GMG1" s="2775"/>
      <c r="GMH1" s="2775"/>
      <c r="GMI1" s="2775"/>
      <c r="GMJ1" s="2775"/>
      <c r="GMK1" s="2775"/>
      <c r="GML1" s="2775"/>
      <c r="GMM1" s="2775"/>
      <c r="GMN1" s="2775"/>
      <c r="GMO1" s="2775"/>
      <c r="GMP1" s="2775"/>
      <c r="GMQ1" s="2775"/>
      <c r="GMR1" s="2775"/>
      <c r="GMS1" s="2775"/>
      <c r="GMT1" s="2775"/>
      <c r="GMU1" s="2775"/>
      <c r="GMV1" s="2775"/>
      <c r="GMW1" s="2775"/>
      <c r="GMX1" s="2775"/>
      <c r="GMY1" s="2775"/>
      <c r="GMZ1" s="2775"/>
      <c r="GNA1" s="2775"/>
      <c r="GNB1" s="2775"/>
      <c r="GNC1" s="2775"/>
      <c r="GND1" s="2775"/>
      <c r="GNE1" s="2775"/>
      <c r="GNF1" s="2775"/>
      <c r="GNG1" s="2775"/>
      <c r="GNH1" s="2775"/>
      <c r="GNI1" s="2775"/>
      <c r="GNJ1" s="2775"/>
      <c r="GNK1" s="2775"/>
      <c r="GNL1" s="2775"/>
      <c r="GNM1" s="2775"/>
      <c r="GNN1" s="2775"/>
      <c r="GNO1" s="2775"/>
      <c r="GNP1" s="2775"/>
      <c r="GNQ1" s="2775"/>
      <c r="GNR1" s="2775"/>
      <c r="GNS1" s="2775"/>
      <c r="GNT1" s="2775"/>
      <c r="GNU1" s="2775"/>
      <c r="GNV1" s="2775"/>
      <c r="GNW1" s="2775"/>
      <c r="GNX1" s="2775"/>
      <c r="GNY1" s="2775"/>
      <c r="GNZ1" s="2775"/>
      <c r="GOA1" s="2775"/>
      <c r="GOB1" s="2775"/>
      <c r="GOC1" s="2775"/>
      <c r="GOD1" s="2775"/>
      <c r="GOE1" s="2775"/>
      <c r="GOF1" s="2775"/>
      <c r="GOG1" s="2775"/>
      <c r="GOH1" s="2775"/>
      <c r="GOI1" s="2775"/>
      <c r="GOJ1" s="2775"/>
      <c r="GOK1" s="2775"/>
      <c r="GOL1" s="2775"/>
      <c r="GOM1" s="2775"/>
      <c r="GON1" s="2775"/>
      <c r="GOO1" s="2775"/>
      <c r="GOP1" s="2775"/>
      <c r="GOQ1" s="2775"/>
      <c r="GOR1" s="2775"/>
      <c r="GOS1" s="2775"/>
      <c r="GOT1" s="2775"/>
      <c r="GOU1" s="2775"/>
      <c r="GOV1" s="2775"/>
      <c r="GOW1" s="2775"/>
      <c r="GOX1" s="2775"/>
      <c r="GOY1" s="2775"/>
      <c r="GOZ1" s="2775"/>
      <c r="GPA1" s="2775"/>
      <c r="GPB1" s="2775"/>
      <c r="GPC1" s="2775"/>
      <c r="GPD1" s="2775"/>
      <c r="GPE1" s="2775"/>
      <c r="GPF1" s="2775"/>
      <c r="GPG1" s="2775"/>
      <c r="GPH1" s="2775"/>
      <c r="GPI1" s="2775"/>
      <c r="GPJ1" s="2775"/>
      <c r="GPK1" s="2775"/>
      <c r="GPL1" s="2775"/>
      <c r="GPM1" s="2775"/>
      <c r="GPN1" s="2775"/>
      <c r="GPO1" s="2775"/>
      <c r="GPP1" s="2775"/>
      <c r="GPQ1" s="2775"/>
      <c r="GPR1" s="2775"/>
      <c r="GPS1" s="2775"/>
      <c r="GPT1" s="2775"/>
      <c r="GPU1" s="2775"/>
      <c r="GPV1" s="2775"/>
      <c r="GPW1" s="2775"/>
      <c r="GPX1" s="2775"/>
      <c r="GPY1" s="2775"/>
      <c r="GPZ1" s="2775"/>
      <c r="GQA1" s="2775"/>
      <c r="GQB1" s="2775"/>
      <c r="GQC1" s="2775"/>
      <c r="GQD1" s="2775"/>
      <c r="GQE1" s="2775"/>
      <c r="GQF1" s="2775"/>
      <c r="GQG1" s="2775"/>
      <c r="GQH1" s="2775"/>
      <c r="GQI1" s="2775"/>
      <c r="GQJ1" s="2775"/>
      <c r="GQK1" s="2775"/>
      <c r="GQL1" s="2775"/>
      <c r="GQM1" s="2775"/>
      <c r="GQN1" s="2775"/>
      <c r="GQO1" s="2775"/>
      <c r="GQP1" s="2775"/>
      <c r="GQQ1" s="2775"/>
      <c r="GQR1" s="2775"/>
      <c r="GQS1" s="2775"/>
      <c r="GQT1" s="2775"/>
      <c r="GQU1" s="2775"/>
      <c r="GQV1" s="2775"/>
      <c r="GQW1" s="2775"/>
      <c r="GQX1" s="2775"/>
      <c r="GQY1" s="2775"/>
      <c r="GQZ1" s="2775"/>
      <c r="GRA1" s="2775"/>
      <c r="GRB1" s="2775"/>
      <c r="GRC1" s="2775"/>
      <c r="GRD1" s="2775"/>
      <c r="GRE1" s="2775"/>
      <c r="GRF1" s="2775"/>
      <c r="GRG1" s="2775"/>
      <c r="GRH1" s="2775"/>
      <c r="GRI1" s="2775"/>
      <c r="GRJ1" s="2775"/>
      <c r="GRK1" s="2775"/>
      <c r="GRL1" s="2775"/>
      <c r="GRM1" s="2775"/>
      <c r="GRN1" s="2775"/>
      <c r="GRO1" s="2775"/>
      <c r="GRP1" s="2775"/>
      <c r="GRQ1" s="2775"/>
      <c r="GRR1" s="2775"/>
      <c r="GRS1" s="2775"/>
      <c r="GRT1" s="2775"/>
      <c r="GRU1" s="2775"/>
      <c r="GRV1" s="2775"/>
      <c r="GRW1" s="2775"/>
      <c r="GRX1" s="2775"/>
      <c r="GRY1" s="2775"/>
      <c r="GRZ1" s="2775"/>
      <c r="GSA1" s="2775"/>
      <c r="GSB1" s="2775"/>
      <c r="GSC1" s="2775"/>
      <c r="GSD1" s="2775"/>
      <c r="GSE1" s="2775"/>
      <c r="GSF1" s="2775"/>
      <c r="GSG1" s="2775"/>
      <c r="GSH1" s="2775"/>
      <c r="GSI1" s="2775"/>
      <c r="GSJ1" s="2775"/>
      <c r="GSK1" s="2775"/>
      <c r="GSL1" s="2775"/>
      <c r="GSM1" s="2775"/>
      <c r="GSN1" s="2775"/>
      <c r="GSO1" s="2775"/>
      <c r="GSP1" s="2775"/>
      <c r="GSQ1" s="2775"/>
      <c r="GSR1" s="2775"/>
      <c r="GSS1" s="2775"/>
      <c r="GST1" s="2775"/>
      <c r="GSU1" s="2775"/>
      <c r="GSV1" s="2775"/>
      <c r="GSW1" s="2775"/>
      <c r="GSX1" s="2775"/>
      <c r="GSY1" s="2775"/>
      <c r="GSZ1" s="2775"/>
      <c r="GTA1" s="2775"/>
      <c r="GTB1" s="2775"/>
      <c r="GTC1" s="2775"/>
      <c r="GTD1" s="2775"/>
      <c r="GTE1" s="2775"/>
      <c r="GTF1" s="2775"/>
      <c r="GTG1" s="2775"/>
      <c r="GTH1" s="2775"/>
      <c r="GTI1" s="2775"/>
      <c r="GTJ1" s="2775"/>
      <c r="GTK1" s="2775"/>
      <c r="GTL1" s="2775"/>
      <c r="GTM1" s="2775"/>
      <c r="GTN1" s="2775"/>
      <c r="GTO1" s="2775"/>
      <c r="GTP1" s="2775"/>
      <c r="GTQ1" s="2775"/>
      <c r="GTR1" s="2775"/>
      <c r="GTS1" s="2775"/>
      <c r="GTT1" s="2775"/>
      <c r="GTU1" s="2775"/>
      <c r="GTV1" s="2775"/>
      <c r="GTW1" s="2775"/>
      <c r="GTX1" s="2775"/>
      <c r="GTY1" s="2775"/>
      <c r="GTZ1" s="2775"/>
      <c r="GUA1" s="2775"/>
      <c r="GUB1" s="2775"/>
      <c r="GUC1" s="2775"/>
      <c r="GUD1" s="2775"/>
      <c r="GUE1" s="2775"/>
      <c r="GUF1" s="2775"/>
      <c r="GUG1" s="2775"/>
      <c r="GUH1" s="2775"/>
      <c r="GUI1" s="2775"/>
      <c r="GUJ1" s="2775"/>
      <c r="GUK1" s="2775"/>
      <c r="GUL1" s="2775"/>
      <c r="GUM1" s="2775"/>
      <c r="GUN1" s="2775"/>
      <c r="GUO1" s="2775"/>
      <c r="GUP1" s="2775"/>
      <c r="GUQ1" s="2775"/>
      <c r="GUR1" s="2775"/>
      <c r="GUS1" s="2775"/>
      <c r="GUT1" s="2775"/>
      <c r="GUU1" s="2775"/>
      <c r="GUV1" s="2775"/>
      <c r="GUW1" s="2775"/>
      <c r="GUX1" s="2775"/>
      <c r="GUY1" s="2775"/>
      <c r="GUZ1" s="2775"/>
      <c r="GVA1" s="2775"/>
      <c r="GVB1" s="2775"/>
      <c r="GVC1" s="2775"/>
      <c r="GVD1" s="2775"/>
      <c r="GVE1" s="2775"/>
      <c r="GVF1" s="2775"/>
      <c r="GVG1" s="2775"/>
      <c r="GVH1" s="2775"/>
      <c r="GVI1" s="2775"/>
      <c r="GVJ1" s="2775"/>
      <c r="GVK1" s="2775"/>
      <c r="GVL1" s="2775"/>
      <c r="GVM1" s="2775"/>
      <c r="GVN1" s="2775"/>
      <c r="GVO1" s="2775"/>
      <c r="GVP1" s="2775"/>
      <c r="GVQ1" s="2775"/>
      <c r="GVR1" s="2775"/>
      <c r="GVS1" s="2775"/>
      <c r="GVT1" s="2775"/>
      <c r="GVU1" s="2775"/>
      <c r="GVV1" s="2775"/>
      <c r="GVW1" s="2775"/>
      <c r="GVX1" s="2775"/>
      <c r="GVY1" s="2775"/>
      <c r="GVZ1" s="2775"/>
      <c r="GWA1" s="2775"/>
      <c r="GWB1" s="2775"/>
      <c r="GWC1" s="2775"/>
      <c r="GWD1" s="2775"/>
      <c r="GWE1" s="2775"/>
      <c r="GWF1" s="2775"/>
      <c r="GWG1" s="2775"/>
      <c r="GWH1" s="2775"/>
      <c r="GWI1" s="2775"/>
      <c r="GWJ1" s="2775"/>
      <c r="GWK1" s="2775"/>
      <c r="GWL1" s="2775"/>
      <c r="GWM1" s="2775"/>
      <c r="GWN1" s="2775"/>
      <c r="GWO1" s="2775"/>
      <c r="GWP1" s="2775"/>
      <c r="GWQ1" s="2775"/>
      <c r="GWR1" s="2775"/>
      <c r="GWS1" s="2775"/>
      <c r="GWT1" s="2775"/>
      <c r="GWU1" s="2775"/>
      <c r="GWV1" s="2775"/>
      <c r="GWW1" s="2775"/>
      <c r="GWX1" s="2775"/>
      <c r="GWY1" s="2775"/>
      <c r="GWZ1" s="2775"/>
      <c r="GXA1" s="2775"/>
      <c r="GXB1" s="2775"/>
      <c r="GXC1" s="2775"/>
      <c r="GXD1" s="2775"/>
      <c r="GXE1" s="2775"/>
      <c r="GXF1" s="2775"/>
      <c r="GXG1" s="2775"/>
      <c r="GXH1" s="2775"/>
      <c r="GXI1" s="2775"/>
      <c r="GXJ1" s="2775"/>
      <c r="GXK1" s="2775"/>
      <c r="GXL1" s="2775"/>
      <c r="GXM1" s="2775"/>
      <c r="GXN1" s="2775"/>
      <c r="GXO1" s="2775"/>
      <c r="GXP1" s="2775"/>
      <c r="GXQ1" s="2775"/>
      <c r="GXR1" s="2775"/>
      <c r="GXS1" s="2775"/>
      <c r="GXT1" s="2775"/>
      <c r="GXU1" s="2775"/>
      <c r="GXV1" s="2775"/>
      <c r="GXW1" s="2775"/>
      <c r="GXX1" s="2775"/>
      <c r="GXY1" s="2775"/>
      <c r="GXZ1" s="2775"/>
      <c r="GYA1" s="2775"/>
      <c r="GYB1" s="2775"/>
      <c r="GYC1" s="2775"/>
      <c r="GYD1" s="2775"/>
      <c r="GYE1" s="2775"/>
      <c r="GYF1" s="2775"/>
      <c r="GYG1" s="2775"/>
      <c r="GYH1" s="2775"/>
      <c r="GYI1" s="2775"/>
      <c r="GYJ1" s="2775"/>
      <c r="GYK1" s="2775"/>
      <c r="GYL1" s="2775"/>
      <c r="GYM1" s="2775"/>
      <c r="GYN1" s="2775"/>
      <c r="GYO1" s="2775"/>
      <c r="GYP1" s="2775"/>
      <c r="GYQ1" s="2775"/>
      <c r="GYR1" s="2775"/>
      <c r="GYS1" s="2775"/>
      <c r="GYT1" s="2775"/>
      <c r="GYU1" s="2775"/>
      <c r="GYV1" s="2775"/>
      <c r="GYW1" s="2775"/>
      <c r="GYX1" s="2775"/>
      <c r="GYY1" s="2775"/>
      <c r="GYZ1" s="2775"/>
      <c r="GZA1" s="2775"/>
      <c r="GZB1" s="2775"/>
      <c r="GZC1" s="2775"/>
      <c r="GZD1" s="2775"/>
      <c r="GZE1" s="2775"/>
      <c r="GZF1" s="2775"/>
      <c r="GZG1" s="2775"/>
      <c r="GZH1" s="2775"/>
      <c r="GZI1" s="2775"/>
      <c r="GZJ1" s="2775"/>
      <c r="GZK1" s="2775"/>
      <c r="GZL1" s="2775"/>
      <c r="GZM1" s="2775"/>
      <c r="GZN1" s="2775"/>
      <c r="GZO1" s="2775"/>
      <c r="GZP1" s="2775"/>
      <c r="GZQ1" s="2775"/>
      <c r="GZR1" s="2775"/>
      <c r="GZS1" s="2775"/>
      <c r="GZT1" s="2775"/>
      <c r="GZU1" s="2775"/>
      <c r="GZV1" s="2775"/>
      <c r="GZW1" s="2775"/>
      <c r="GZX1" s="2775"/>
      <c r="GZY1" s="2775"/>
      <c r="GZZ1" s="2775"/>
      <c r="HAA1" s="2775"/>
      <c r="HAB1" s="2775"/>
      <c r="HAC1" s="2775"/>
      <c r="HAD1" s="2775"/>
      <c r="HAE1" s="2775"/>
      <c r="HAF1" s="2775"/>
      <c r="HAG1" s="2775"/>
      <c r="HAH1" s="2775"/>
      <c r="HAI1" s="2775"/>
      <c r="HAJ1" s="2775"/>
      <c r="HAK1" s="2775"/>
      <c r="HAL1" s="2775"/>
      <c r="HAM1" s="2775"/>
      <c r="HAN1" s="2775"/>
      <c r="HAO1" s="2775"/>
      <c r="HAP1" s="2775"/>
      <c r="HAQ1" s="2775"/>
      <c r="HAR1" s="2775"/>
      <c r="HAS1" s="2775"/>
      <c r="HAT1" s="2775"/>
      <c r="HAU1" s="2775"/>
      <c r="HAV1" s="2775"/>
      <c r="HAW1" s="2775"/>
      <c r="HAX1" s="2775"/>
      <c r="HAY1" s="2775"/>
      <c r="HAZ1" s="2775"/>
      <c r="HBA1" s="2775"/>
      <c r="HBB1" s="2775"/>
      <c r="HBC1" s="2775"/>
      <c r="HBD1" s="2775"/>
      <c r="HBE1" s="2775"/>
      <c r="HBF1" s="2775"/>
      <c r="HBG1" s="2775"/>
      <c r="HBH1" s="2775"/>
      <c r="HBI1" s="2775"/>
      <c r="HBJ1" s="2775"/>
      <c r="HBK1" s="2775"/>
      <c r="HBL1" s="2775"/>
      <c r="HBM1" s="2775"/>
      <c r="HBN1" s="2775"/>
      <c r="HBO1" s="2775"/>
      <c r="HBP1" s="2775"/>
      <c r="HBQ1" s="2775"/>
      <c r="HBR1" s="2775"/>
      <c r="HBS1" s="2775"/>
      <c r="HBT1" s="2775"/>
      <c r="HBU1" s="2775"/>
      <c r="HBV1" s="2775"/>
      <c r="HBW1" s="2775"/>
      <c r="HBX1" s="2775"/>
      <c r="HBY1" s="2775"/>
      <c r="HBZ1" s="2775"/>
      <c r="HCA1" s="2775"/>
      <c r="HCB1" s="2775"/>
      <c r="HCC1" s="2775"/>
      <c r="HCD1" s="2775"/>
      <c r="HCE1" s="2775"/>
      <c r="HCF1" s="2775"/>
      <c r="HCG1" s="2775"/>
      <c r="HCH1" s="2775"/>
      <c r="HCI1" s="2775"/>
      <c r="HCJ1" s="2775"/>
      <c r="HCK1" s="2775"/>
      <c r="HCL1" s="2775"/>
      <c r="HCM1" s="2775"/>
      <c r="HCN1" s="2775"/>
      <c r="HCO1" s="2775"/>
      <c r="HCP1" s="2775"/>
      <c r="HCQ1" s="2775"/>
      <c r="HCR1" s="2775"/>
      <c r="HCS1" s="2775"/>
      <c r="HCT1" s="2775"/>
      <c r="HCU1" s="2775"/>
      <c r="HCV1" s="2775"/>
      <c r="HCW1" s="2775"/>
      <c r="HCX1" s="2775"/>
      <c r="HCY1" s="2775"/>
      <c r="HCZ1" s="2775"/>
      <c r="HDA1" s="2775"/>
      <c r="HDB1" s="2775"/>
      <c r="HDC1" s="2775"/>
      <c r="HDD1" s="2775"/>
      <c r="HDE1" s="2775"/>
      <c r="HDF1" s="2775"/>
      <c r="HDG1" s="2775"/>
      <c r="HDH1" s="2775"/>
      <c r="HDI1" s="2775"/>
      <c r="HDJ1" s="2775"/>
      <c r="HDK1" s="2775"/>
      <c r="HDL1" s="2775"/>
      <c r="HDM1" s="2775"/>
      <c r="HDN1" s="2775"/>
      <c r="HDO1" s="2775"/>
      <c r="HDP1" s="2775"/>
      <c r="HDQ1" s="2775"/>
      <c r="HDR1" s="2775"/>
      <c r="HDS1" s="2775"/>
      <c r="HDT1" s="2775"/>
      <c r="HDU1" s="2775"/>
      <c r="HDV1" s="2775"/>
      <c r="HDW1" s="2775"/>
      <c r="HDX1" s="2775"/>
      <c r="HDY1" s="2775"/>
      <c r="HDZ1" s="2775"/>
      <c r="HEA1" s="2775"/>
      <c r="HEB1" s="2775"/>
      <c r="HEC1" s="2775"/>
      <c r="HED1" s="2775"/>
      <c r="HEE1" s="2775"/>
      <c r="HEF1" s="2775"/>
      <c r="HEG1" s="2775"/>
      <c r="HEH1" s="2775"/>
      <c r="HEI1" s="2775"/>
      <c r="HEJ1" s="2775"/>
      <c r="HEK1" s="2775"/>
      <c r="HEL1" s="2775"/>
      <c r="HEM1" s="2775"/>
      <c r="HEN1" s="2775"/>
      <c r="HEO1" s="2775"/>
      <c r="HEP1" s="2775"/>
      <c r="HEQ1" s="2775"/>
      <c r="HER1" s="2775"/>
      <c r="HES1" s="2775"/>
      <c r="HET1" s="2775"/>
      <c r="HEU1" s="2775"/>
      <c r="HEV1" s="2775"/>
      <c r="HEW1" s="2775"/>
      <c r="HEX1" s="2775"/>
      <c r="HEY1" s="2775"/>
      <c r="HEZ1" s="2775"/>
      <c r="HFA1" s="2775"/>
      <c r="HFB1" s="2775"/>
      <c r="HFC1" s="2775"/>
      <c r="HFD1" s="2775"/>
      <c r="HFE1" s="2775"/>
      <c r="HFF1" s="2775"/>
      <c r="HFG1" s="2775"/>
      <c r="HFH1" s="2775"/>
      <c r="HFI1" s="2775"/>
      <c r="HFJ1" s="2775"/>
      <c r="HFK1" s="2775"/>
      <c r="HFL1" s="2775"/>
      <c r="HFM1" s="2775"/>
      <c r="HFN1" s="2775"/>
      <c r="HFO1" s="2775"/>
      <c r="HFP1" s="2775"/>
      <c r="HFQ1" s="2775"/>
      <c r="HFR1" s="2775"/>
      <c r="HFS1" s="2775"/>
      <c r="HFT1" s="2775"/>
      <c r="HFU1" s="2775"/>
      <c r="HFV1" s="2775"/>
      <c r="HFW1" s="2775"/>
      <c r="HFX1" s="2775"/>
      <c r="HFY1" s="2775"/>
      <c r="HFZ1" s="2775"/>
      <c r="HGA1" s="2775"/>
      <c r="HGB1" s="2775"/>
      <c r="HGC1" s="2775"/>
      <c r="HGD1" s="2775"/>
      <c r="HGE1" s="2775"/>
      <c r="HGF1" s="2775"/>
      <c r="HGG1" s="2775"/>
      <c r="HGH1" s="2775"/>
      <c r="HGI1" s="2775"/>
      <c r="HGJ1" s="2775"/>
      <c r="HGK1" s="2775"/>
      <c r="HGL1" s="2775"/>
      <c r="HGM1" s="2775"/>
      <c r="HGN1" s="2775"/>
      <c r="HGO1" s="2775"/>
      <c r="HGP1" s="2775"/>
      <c r="HGQ1" s="2775"/>
      <c r="HGR1" s="2775"/>
      <c r="HGS1" s="2775"/>
      <c r="HGT1" s="2775"/>
      <c r="HGU1" s="2775"/>
      <c r="HGV1" s="2775"/>
      <c r="HGW1" s="2775"/>
      <c r="HGX1" s="2775"/>
      <c r="HGY1" s="2775"/>
      <c r="HGZ1" s="2775"/>
      <c r="HHA1" s="2775"/>
      <c r="HHB1" s="2775"/>
      <c r="HHC1" s="2775"/>
      <c r="HHD1" s="2775"/>
      <c r="HHE1" s="2775"/>
      <c r="HHF1" s="2775"/>
      <c r="HHG1" s="2775"/>
      <c r="HHH1" s="2775"/>
      <c r="HHI1" s="2775"/>
      <c r="HHJ1" s="2775"/>
      <c r="HHK1" s="2775"/>
      <c r="HHL1" s="2775"/>
      <c r="HHM1" s="2775"/>
      <c r="HHN1" s="2775"/>
      <c r="HHO1" s="2775"/>
      <c r="HHP1" s="2775"/>
      <c r="HHQ1" s="2775"/>
      <c r="HHR1" s="2775"/>
      <c r="HHS1" s="2775"/>
      <c r="HHT1" s="2775"/>
      <c r="HHU1" s="2775"/>
      <c r="HHV1" s="2775"/>
      <c r="HHW1" s="2775"/>
      <c r="HHX1" s="2775"/>
      <c r="HHY1" s="2775"/>
      <c r="HHZ1" s="2775"/>
      <c r="HIA1" s="2775"/>
      <c r="HIB1" s="2775"/>
      <c r="HIC1" s="2775"/>
      <c r="HID1" s="2775"/>
      <c r="HIE1" s="2775"/>
      <c r="HIF1" s="2775"/>
      <c r="HIG1" s="2775"/>
      <c r="HIH1" s="2775"/>
      <c r="HII1" s="2775"/>
      <c r="HIJ1" s="2775"/>
      <c r="HIK1" s="2775"/>
      <c r="HIL1" s="2775"/>
      <c r="HIM1" s="2775"/>
      <c r="HIN1" s="2775"/>
      <c r="HIO1" s="2775"/>
      <c r="HIP1" s="2775"/>
      <c r="HIQ1" s="2775"/>
      <c r="HIR1" s="2775"/>
      <c r="HIS1" s="2775"/>
      <c r="HIT1" s="2775"/>
      <c r="HIU1" s="2775"/>
      <c r="HIV1" s="2775"/>
      <c r="HIW1" s="2775"/>
      <c r="HIX1" s="2775"/>
      <c r="HIY1" s="2775"/>
      <c r="HIZ1" s="2775"/>
      <c r="HJA1" s="2775"/>
      <c r="HJB1" s="2775"/>
      <c r="HJC1" s="2775"/>
      <c r="HJD1" s="2775"/>
      <c r="HJE1" s="2775"/>
      <c r="HJF1" s="2775"/>
      <c r="HJG1" s="2775"/>
      <c r="HJH1" s="2775"/>
      <c r="HJI1" s="2775"/>
      <c r="HJJ1" s="2775"/>
      <c r="HJK1" s="2775"/>
      <c r="HJL1" s="2775"/>
      <c r="HJM1" s="2775"/>
      <c r="HJN1" s="2775"/>
      <c r="HJO1" s="2775"/>
      <c r="HJP1" s="2775"/>
      <c r="HJQ1" s="2775"/>
      <c r="HJR1" s="2775"/>
      <c r="HJS1" s="2775"/>
      <c r="HJT1" s="2775"/>
      <c r="HJU1" s="2775"/>
      <c r="HJV1" s="2775"/>
      <c r="HJW1" s="2775"/>
      <c r="HJX1" s="2775"/>
      <c r="HJY1" s="2775"/>
      <c r="HJZ1" s="2775"/>
      <c r="HKA1" s="2775"/>
      <c r="HKB1" s="2775"/>
      <c r="HKC1" s="2775"/>
      <c r="HKD1" s="2775"/>
      <c r="HKE1" s="2775"/>
      <c r="HKF1" s="2775"/>
      <c r="HKG1" s="2775"/>
      <c r="HKH1" s="2775"/>
      <c r="HKI1" s="2775"/>
      <c r="HKJ1" s="2775"/>
      <c r="HKK1" s="2775"/>
      <c r="HKL1" s="2775"/>
      <c r="HKM1" s="2775"/>
      <c r="HKN1" s="2775"/>
      <c r="HKO1" s="2775"/>
      <c r="HKP1" s="2775"/>
      <c r="HKQ1" s="2775"/>
      <c r="HKR1" s="2775"/>
      <c r="HKS1" s="2775"/>
      <c r="HKT1" s="2775"/>
      <c r="HKU1" s="2775"/>
      <c r="HKV1" s="2775"/>
      <c r="HKW1" s="2775"/>
      <c r="HKX1" s="2775"/>
      <c r="HKY1" s="2775"/>
      <c r="HKZ1" s="2775"/>
      <c r="HLA1" s="2775"/>
      <c r="HLB1" s="2775"/>
      <c r="HLC1" s="2775"/>
      <c r="HLD1" s="2775"/>
      <c r="HLE1" s="2775"/>
      <c r="HLF1" s="2775"/>
      <c r="HLG1" s="2775"/>
      <c r="HLH1" s="2775"/>
      <c r="HLI1" s="2775"/>
      <c r="HLJ1" s="2775"/>
      <c r="HLK1" s="2775"/>
      <c r="HLL1" s="2775"/>
      <c r="HLM1" s="2775"/>
      <c r="HLN1" s="2775"/>
      <c r="HLO1" s="2775"/>
      <c r="HLP1" s="2775"/>
      <c r="HLQ1" s="2775"/>
      <c r="HLR1" s="2775"/>
      <c r="HLS1" s="2775"/>
      <c r="HLT1" s="2775"/>
      <c r="HLU1" s="2775"/>
      <c r="HLV1" s="2775"/>
      <c r="HLW1" s="2775"/>
      <c r="HLX1" s="2775"/>
      <c r="HLY1" s="2775"/>
      <c r="HLZ1" s="2775"/>
      <c r="HMA1" s="2775"/>
      <c r="HMB1" s="2775"/>
      <c r="HMC1" s="2775"/>
      <c r="HMD1" s="2775"/>
      <c r="HME1" s="2775"/>
      <c r="HMF1" s="2775"/>
      <c r="HMG1" s="2775"/>
      <c r="HMH1" s="2775"/>
      <c r="HMI1" s="2775"/>
      <c r="HMJ1" s="2775"/>
      <c r="HMK1" s="2775"/>
      <c r="HML1" s="2775"/>
      <c r="HMM1" s="2775"/>
      <c r="HMN1" s="2775"/>
      <c r="HMO1" s="2775"/>
      <c r="HMP1" s="2775"/>
      <c r="HMQ1" s="2775"/>
      <c r="HMR1" s="2775"/>
      <c r="HMS1" s="2775"/>
      <c r="HMT1" s="2775"/>
      <c r="HMU1" s="2775"/>
      <c r="HMV1" s="2775"/>
      <c r="HMW1" s="2775"/>
      <c r="HMX1" s="2775"/>
      <c r="HMY1" s="2775"/>
      <c r="HMZ1" s="2775"/>
      <c r="HNA1" s="2775"/>
      <c r="HNB1" s="2775"/>
      <c r="HNC1" s="2775"/>
      <c r="HND1" s="2775"/>
      <c r="HNE1" s="2775"/>
      <c r="HNF1" s="2775"/>
      <c r="HNG1" s="2775"/>
      <c r="HNH1" s="2775"/>
      <c r="HNI1" s="2775"/>
      <c r="HNJ1" s="2775"/>
      <c r="HNK1" s="2775"/>
      <c r="HNL1" s="2775"/>
      <c r="HNM1" s="2775"/>
      <c r="HNN1" s="2775"/>
      <c r="HNO1" s="2775"/>
      <c r="HNP1" s="2775"/>
      <c r="HNQ1" s="2775"/>
      <c r="HNR1" s="2775"/>
      <c r="HNS1" s="2775"/>
      <c r="HNT1" s="2775"/>
      <c r="HNU1" s="2775"/>
      <c r="HNV1" s="2775"/>
      <c r="HNW1" s="2775"/>
      <c r="HNX1" s="2775"/>
      <c r="HNY1" s="2775"/>
      <c r="HNZ1" s="2775"/>
      <c r="HOA1" s="2775"/>
      <c r="HOB1" s="2775"/>
      <c r="HOC1" s="2775"/>
      <c r="HOD1" s="2775"/>
      <c r="HOE1" s="2775"/>
      <c r="HOF1" s="2775"/>
      <c r="HOG1" s="2775"/>
      <c r="HOH1" s="2775"/>
      <c r="HOI1" s="2775"/>
      <c r="HOJ1" s="2775"/>
      <c r="HOK1" s="2775"/>
      <c r="HOL1" s="2775"/>
      <c r="HOM1" s="2775"/>
      <c r="HON1" s="2775"/>
      <c r="HOO1" s="2775"/>
      <c r="HOP1" s="2775"/>
      <c r="HOQ1" s="2775"/>
      <c r="HOR1" s="2775"/>
      <c r="HOS1" s="2775"/>
      <c r="HOT1" s="2775"/>
      <c r="HOU1" s="2775"/>
      <c r="HOV1" s="2775"/>
      <c r="HOW1" s="2775"/>
      <c r="HOX1" s="2775"/>
      <c r="HOY1" s="2775"/>
      <c r="HOZ1" s="2775"/>
      <c r="HPA1" s="2775"/>
      <c r="HPB1" s="2775"/>
      <c r="HPC1" s="2775"/>
      <c r="HPD1" s="2775"/>
      <c r="HPE1" s="2775"/>
      <c r="HPF1" s="2775"/>
      <c r="HPG1" s="2775"/>
      <c r="HPH1" s="2775"/>
      <c r="HPI1" s="2775"/>
      <c r="HPJ1" s="2775"/>
      <c r="HPK1" s="2775"/>
      <c r="HPL1" s="2775"/>
      <c r="HPM1" s="2775"/>
      <c r="HPN1" s="2775"/>
      <c r="HPO1" s="2775"/>
      <c r="HPP1" s="2775"/>
      <c r="HPQ1" s="2775"/>
      <c r="HPR1" s="2775"/>
      <c r="HPS1" s="2775"/>
      <c r="HPT1" s="2775"/>
      <c r="HPU1" s="2775"/>
      <c r="HPV1" s="2775"/>
      <c r="HPW1" s="2775"/>
      <c r="HPX1" s="2775"/>
      <c r="HPY1" s="2775"/>
      <c r="HPZ1" s="2775"/>
      <c r="HQA1" s="2775"/>
      <c r="HQB1" s="2775"/>
      <c r="HQC1" s="2775"/>
      <c r="HQD1" s="2775"/>
      <c r="HQE1" s="2775"/>
      <c r="HQF1" s="2775"/>
      <c r="HQG1" s="2775"/>
      <c r="HQH1" s="2775"/>
      <c r="HQI1" s="2775"/>
      <c r="HQJ1" s="2775"/>
      <c r="HQK1" s="2775"/>
      <c r="HQL1" s="2775"/>
      <c r="HQM1" s="2775"/>
      <c r="HQN1" s="2775"/>
      <c r="HQO1" s="2775"/>
      <c r="HQP1" s="2775"/>
      <c r="HQQ1" s="2775"/>
      <c r="HQR1" s="2775"/>
      <c r="HQS1" s="2775"/>
      <c r="HQT1" s="2775"/>
      <c r="HQU1" s="2775"/>
      <c r="HQV1" s="2775"/>
      <c r="HQW1" s="2775"/>
      <c r="HQX1" s="2775"/>
      <c r="HQY1" s="2775"/>
      <c r="HQZ1" s="2775"/>
      <c r="HRA1" s="2775"/>
      <c r="HRB1" s="2775"/>
      <c r="HRC1" s="2775"/>
      <c r="HRD1" s="2775"/>
      <c r="HRE1" s="2775"/>
      <c r="HRF1" s="2775"/>
      <c r="HRG1" s="2775"/>
      <c r="HRH1" s="2775"/>
      <c r="HRI1" s="2775"/>
      <c r="HRJ1" s="2775"/>
      <c r="HRK1" s="2775"/>
      <c r="HRL1" s="2775"/>
      <c r="HRM1" s="2775"/>
      <c r="HRN1" s="2775"/>
      <c r="HRO1" s="2775"/>
      <c r="HRP1" s="2775"/>
      <c r="HRQ1" s="2775"/>
      <c r="HRR1" s="2775"/>
      <c r="HRS1" s="2775"/>
      <c r="HRT1" s="2775"/>
      <c r="HRU1" s="2775"/>
      <c r="HRV1" s="2775"/>
      <c r="HRW1" s="2775"/>
      <c r="HRX1" s="2775"/>
      <c r="HRY1" s="2775"/>
      <c r="HRZ1" s="2775"/>
      <c r="HSA1" s="2775"/>
      <c r="HSB1" s="2775"/>
      <c r="HSC1" s="2775"/>
      <c r="HSD1" s="2775"/>
      <c r="HSE1" s="2775"/>
      <c r="HSF1" s="2775"/>
      <c r="HSG1" s="2775"/>
      <c r="HSH1" s="2775"/>
      <c r="HSI1" s="2775"/>
      <c r="HSJ1" s="2775"/>
      <c r="HSK1" s="2775"/>
      <c r="HSL1" s="2775"/>
      <c r="HSM1" s="2775"/>
      <c r="HSN1" s="2775"/>
      <c r="HSO1" s="2775"/>
      <c r="HSP1" s="2775"/>
      <c r="HSQ1" s="2775"/>
      <c r="HSR1" s="2775"/>
      <c r="HSS1" s="2775"/>
      <c r="HST1" s="2775"/>
      <c r="HSU1" s="2775"/>
      <c r="HSV1" s="2775"/>
      <c r="HSW1" s="2775"/>
      <c r="HSX1" s="2775"/>
      <c r="HSY1" s="2775"/>
      <c r="HSZ1" s="2775"/>
      <c r="HTA1" s="2775"/>
      <c r="HTB1" s="2775"/>
      <c r="HTC1" s="2775"/>
      <c r="HTD1" s="2775"/>
      <c r="HTE1" s="2775"/>
      <c r="HTF1" s="2775"/>
      <c r="HTG1" s="2775"/>
      <c r="HTH1" s="2775"/>
      <c r="HTI1" s="2775"/>
      <c r="HTJ1" s="2775"/>
      <c r="HTK1" s="2775"/>
      <c r="HTL1" s="2775"/>
      <c r="HTM1" s="2775"/>
      <c r="HTN1" s="2775"/>
      <c r="HTO1" s="2775"/>
      <c r="HTP1" s="2775"/>
      <c r="HTQ1" s="2775"/>
      <c r="HTR1" s="2775"/>
      <c r="HTS1" s="2775"/>
      <c r="HTT1" s="2775"/>
      <c r="HTU1" s="2775"/>
      <c r="HTV1" s="2775"/>
      <c r="HTW1" s="2775"/>
      <c r="HTX1" s="2775"/>
      <c r="HTY1" s="2775"/>
      <c r="HTZ1" s="2775"/>
      <c r="HUA1" s="2775"/>
      <c r="HUB1" s="2775"/>
      <c r="HUC1" s="2775"/>
      <c r="HUD1" s="2775"/>
      <c r="HUE1" s="2775"/>
      <c r="HUF1" s="2775"/>
      <c r="HUG1" s="2775"/>
      <c r="HUH1" s="2775"/>
      <c r="HUI1" s="2775"/>
      <c r="HUJ1" s="2775"/>
      <c r="HUK1" s="2775"/>
      <c r="HUL1" s="2775"/>
      <c r="HUM1" s="2775"/>
      <c r="HUN1" s="2775"/>
      <c r="HUO1" s="2775"/>
      <c r="HUP1" s="2775"/>
      <c r="HUQ1" s="2775"/>
      <c r="HUR1" s="2775"/>
      <c r="HUS1" s="2775"/>
      <c r="HUT1" s="2775"/>
      <c r="HUU1" s="2775"/>
      <c r="HUV1" s="2775"/>
      <c r="HUW1" s="2775"/>
      <c r="HUX1" s="2775"/>
      <c r="HUY1" s="2775"/>
      <c r="HUZ1" s="2775"/>
      <c r="HVA1" s="2775"/>
      <c r="HVB1" s="2775"/>
      <c r="HVC1" s="2775"/>
      <c r="HVD1" s="2775"/>
      <c r="HVE1" s="2775"/>
      <c r="HVF1" s="2775"/>
      <c r="HVG1" s="2775"/>
      <c r="HVH1" s="2775"/>
      <c r="HVI1" s="2775"/>
      <c r="HVJ1" s="2775"/>
      <c r="HVK1" s="2775"/>
      <c r="HVL1" s="2775"/>
      <c r="HVM1" s="2775"/>
      <c r="HVN1" s="2775"/>
      <c r="HVO1" s="2775"/>
      <c r="HVP1" s="2775"/>
      <c r="HVQ1" s="2775"/>
      <c r="HVR1" s="2775"/>
      <c r="HVS1" s="2775"/>
      <c r="HVT1" s="2775"/>
      <c r="HVU1" s="2775"/>
      <c r="HVV1" s="2775"/>
      <c r="HVW1" s="2775"/>
      <c r="HVX1" s="2775"/>
      <c r="HVY1" s="2775"/>
      <c r="HVZ1" s="2775"/>
      <c r="HWA1" s="2775"/>
      <c r="HWB1" s="2775"/>
      <c r="HWC1" s="2775"/>
      <c r="HWD1" s="2775"/>
      <c r="HWE1" s="2775"/>
      <c r="HWF1" s="2775"/>
      <c r="HWG1" s="2775"/>
      <c r="HWH1" s="2775"/>
      <c r="HWI1" s="2775"/>
      <c r="HWJ1" s="2775"/>
      <c r="HWK1" s="2775"/>
      <c r="HWL1" s="2775"/>
      <c r="HWM1" s="2775"/>
      <c r="HWN1" s="2775"/>
      <c r="HWO1" s="2775"/>
      <c r="HWP1" s="2775"/>
      <c r="HWQ1" s="2775"/>
      <c r="HWR1" s="2775"/>
      <c r="HWS1" s="2775"/>
      <c r="HWT1" s="2775"/>
      <c r="HWU1" s="2775"/>
      <c r="HWV1" s="2775"/>
      <c r="HWW1" s="2775"/>
      <c r="HWX1" s="2775"/>
      <c r="HWY1" s="2775"/>
      <c r="HWZ1" s="2775"/>
      <c r="HXA1" s="2775"/>
      <c r="HXB1" s="2775"/>
      <c r="HXC1" s="2775"/>
      <c r="HXD1" s="2775"/>
      <c r="HXE1" s="2775"/>
      <c r="HXF1" s="2775"/>
      <c r="HXG1" s="2775"/>
      <c r="HXH1" s="2775"/>
      <c r="HXI1" s="2775"/>
      <c r="HXJ1" s="2775"/>
      <c r="HXK1" s="2775"/>
      <c r="HXL1" s="2775"/>
      <c r="HXM1" s="2775"/>
      <c r="HXN1" s="2775"/>
      <c r="HXO1" s="2775"/>
      <c r="HXP1" s="2775"/>
      <c r="HXQ1" s="2775"/>
      <c r="HXR1" s="2775"/>
      <c r="HXS1" s="2775"/>
      <c r="HXT1" s="2775"/>
      <c r="HXU1" s="2775"/>
      <c r="HXV1" s="2775"/>
      <c r="HXW1" s="2775"/>
      <c r="HXX1" s="2775"/>
      <c r="HXY1" s="2775"/>
      <c r="HXZ1" s="2775"/>
      <c r="HYA1" s="2775"/>
      <c r="HYB1" s="2775"/>
      <c r="HYC1" s="2775"/>
      <c r="HYD1" s="2775"/>
      <c r="HYE1" s="2775"/>
      <c r="HYF1" s="2775"/>
      <c r="HYG1" s="2775"/>
      <c r="HYH1" s="2775"/>
      <c r="HYI1" s="2775"/>
      <c r="HYJ1" s="2775"/>
      <c r="HYK1" s="2775"/>
      <c r="HYL1" s="2775"/>
      <c r="HYM1" s="2775"/>
      <c r="HYN1" s="2775"/>
      <c r="HYO1" s="2775"/>
      <c r="HYP1" s="2775"/>
      <c r="HYQ1" s="2775"/>
      <c r="HYR1" s="2775"/>
      <c r="HYS1" s="2775"/>
      <c r="HYT1" s="2775"/>
      <c r="HYU1" s="2775"/>
      <c r="HYV1" s="2775"/>
      <c r="HYW1" s="2775"/>
      <c r="HYX1" s="2775"/>
      <c r="HYY1" s="2775"/>
      <c r="HYZ1" s="2775"/>
      <c r="HZA1" s="2775"/>
      <c r="HZB1" s="2775"/>
      <c r="HZC1" s="2775"/>
      <c r="HZD1" s="2775"/>
      <c r="HZE1" s="2775"/>
      <c r="HZF1" s="2775"/>
      <c r="HZG1" s="2775"/>
      <c r="HZH1" s="2775"/>
      <c r="HZI1" s="2775"/>
      <c r="HZJ1" s="2775"/>
      <c r="HZK1" s="2775"/>
      <c r="HZL1" s="2775"/>
      <c r="HZM1" s="2775"/>
      <c r="HZN1" s="2775"/>
      <c r="HZO1" s="2775"/>
      <c r="HZP1" s="2775"/>
      <c r="HZQ1" s="2775"/>
      <c r="HZR1" s="2775"/>
      <c r="HZS1" s="2775"/>
      <c r="HZT1" s="2775"/>
      <c r="HZU1" s="2775"/>
      <c r="HZV1" s="2775"/>
      <c r="HZW1" s="2775"/>
      <c r="HZX1" s="2775"/>
      <c r="HZY1" s="2775"/>
      <c r="HZZ1" s="2775"/>
      <c r="IAA1" s="2775"/>
      <c r="IAB1" s="2775"/>
      <c r="IAC1" s="2775"/>
      <c r="IAD1" s="2775"/>
      <c r="IAE1" s="2775"/>
      <c r="IAF1" s="2775"/>
      <c r="IAG1" s="2775"/>
      <c r="IAH1" s="2775"/>
      <c r="IAI1" s="2775"/>
      <c r="IAJ1" s="2775"/>
      <c r="IAK1" s="2775"/>
      <c r="IAL1" s="2775"/>
      <c r="IAM1" s="2775"/>
      <c r="IAN1" s="2775"/>
      <c r="IAO1" s="2775"/>
      <c r="IAP1" s="2775"/>
      <c r="IAQ1" s="2775"/>
      <c r="IAR1" s="2775"/>
      <c r="IAS1" s="2775"/>
      <c r="IAT1" s="2775"/>
      <c r="IAU1" s="2775"/>
      <c r="IAV1" s="2775"/>
      <c r="IAW1" s="2775"/>
      <c r="IAX1" s="2775"/>
      <c r="IAY1" s="2775"/>
      <c r="IAZ1" s="2775"/>
      <c r="IBA1" s="2775"/>
      <c r="IBB1" s="2775"/>
      <c r="IBC1" s="2775"/>
      <c r="IBD1" s="2775"/>
      <c r="IBE1" s="2775"/>
      <c r="IBF1" s="2775"/>
      <c r="IBG1" s="2775"/>
      <c r="IBH1" s="2775"/>
      <c r="IBI1" s="2775"/>
      <c r="IBJ1" s="2775"/>
      <c r="IBK1" s="2775"/>
      <c r="IBL1" s="2775"/>
      <c r="IBM1" s="2775"/>
      <c r="IBN1" s="2775"/>
      <c r="IBO1" s="2775"/>
      <c r="IBP1" s="2775"/>
      <c r="IBQ1" s="2775"/>
      <c r="IBR1" s="2775"/>
      <c r="IBS1" s="2775"/>
      <c r="IBT1" s="2775"/>
      <c r="IBU1" s="2775"/>
      <c r="IBV1" s="2775"/>
      <c r="IBW1" s="2775"/>
      <c r="IBX1" s="2775"/>
      <c r="IBY1" s="2775"/>
      <c r="IBZ1" s="2775"/>
      <c r="ICA1" s="2775"/>
      <c r="ICB1" s="2775"/>
      <c r="ICC1" s="2775"/>
      <c r="ICD1" s="2775"/>
      <c r="ICE1" s="2775"/>
      <c r="ICF1" s="2775"/>
      <c r="ICG1" s="2775"/>
      <c r="ICH1" s="2775"/>
      <c r="ICI1" s="2775"/>
      <c r="ICJ1" s="2775"/>
      <c r="ICK1" s="2775"/>
      <c r="ICL1" s="2775"/>
      <c r="ICM1" s="2775"/>
      <c r="ICN1" s="2775"/>
      <c r="ICO1" s="2775"/>
      <c r="ICP1" s="2775"/>
      <c r="ICQ1" s="2775"/>
      <c r="ICR1" s="2775"/>
      <c r="ICS1" s="2775"/>
      <c r="ICT1" s="2775"/>
      <c r="ICU1" s="2775"/>
      <c r="ICV1" s="2775"/>
      <c r="ICW1" s="2775"/>
      <c r="ICX1" s="2775"/>
      <c r="ICY1" s="2775"/>
      <c r="ICZ1" s="2775"/>
      <c r="IDA1" s="2775"/>
      <c r="IDB1" s="2775"/>
      <c r="IDC1" s="2775"/>
      <c r="IDD1" s="2775"/>
      <c r="IDE1" s="2775"/>
      <c r="IDF1" s="2775"/>
      <c r="IDG1" s="2775"/>
      <c r="IDH1" s="2775"/>
      <c r="IDI1" s="2775"/>
      <c r="IDJ1" s="2775"/>
      <c r="IDK1" s="2775"/>
      <c r="IDL1" s="2775"/>
      <c r="IDM1" s="2775"/>
      <c r="IDN1" s="2775"/>
      <c r="IDO1" s="2775"/>
      <c r="IDP1" s="2775"/>
      <c r="IDQ1" s="2775"/>
      <c r="IDR1" s="2775"/>
      <c r="IDS1" s="2775"/>
      <c r="IDT1" s="2775"/>
      <c r="IDU1" s="2775"/>
      <c r="IDV1" s="2775"/>
      <c r="IDW1" s="2775"/>
      <c r="IDX1" s="2775"/>
      <c r="IDY1" s="2775"/>
      <c r="IDZ1" s="2775"/>
      <c r="IEA1" s="2775"/>
      <c r="IEB1" s="2775"/>
      <c r="IEC1" s="2775"/>
      <c r="IED1" s="2775"/>
      <c r="IEE1" s="2775"/>
      <c r="IEF1" s="2775"/>
      <c r="IEG1" s="2775"/>
      <c r="IEH1" s="2775"/>
      <c r="IEI1" s="2775"/>
      <c r="IEJ1" s="2775"/>
      <c r="IEK1" s="2775"/>
      <c r="IEL1" s="2775"/>
      <c r="IEM1" s="2775"/>
      <c r="IEN1" s="2775"/>
      <c r="IEO1" s="2775"/>
      <c r="IEP1" s="2775"/>
      <c r="IEQ1" s="2775"/>
      <c r="IER1" s="2775"/>
      <c r="IES1" s="2775"/>
      <c r="IET1" s="2775"/>
      <c r="IEU1" s="2775"/>
      <c r="IEV1" s="2775"/>
      <c r="IEW1" s="2775"/>
      <c r="IEX1" s="2775"/>
      <c r="IEY1" s="2775"/>
      <c r="IEZ1" s="2775"/>
      <c r="IFA1" s="2775"/>
      <c r="IFB1" s="2775"/>
      <c r="IFC1" s="2775"/>
      <c r="IFD1" s="2775"/>
      <c r="IFE1" s="2775"/>
      <c r="IFF1" s="2775"/>
      <c r="IFG1" s="2775"/>
      <c r="IFH1" s="2775"/>
      <c r="IFI1" s="2775"/>
      <c r="IFJ1" s="2775"/>
      <c r="IFK1" s="2775"/>
      <c r="IFL1" s="2775"/>
      <c r="IFM1" s="2775"/>
      <c r="IFN1" s="2775"/>
      <c r="IFO1" s="2775"/>
      <c r="IFP1" s="2775"/>
      <c r="IFQ1" s="2775"/>
      <c r="IFR1" s="2775"/>
      <c r="IFS1" s="2775"/>
      <c r="IFT1" s="2775"/>
      <c r="IFU1" s="2775"/>
      <c r="IFV1" s="2775"/>
      <c r="IFW1" s="2775"/>
      <c r="IFX1" s="2775"/>
      <c r="IFY1" s="2775"/>
      <c r="IFZ1" s="2775"/>
      <c r="IGA1" s="2775"/>
      <c r="IGB1" s="2775"/>
      <c r="IGC1" s="2775"/>
      <c r="IGD1" s="2775"/>
      <c r="IGE1" s="2775"/>
      <c r="IGF1" s="2775"/>
      <c r="IGG1" s="2775"/>
      <c r="IGH1" s="2775"/>
      <c r="IGI1" s="2775"/>
      <c r="IGJ1" s="2775"/>
      <c r="IGK1" s="2775"/>
      <c r="IGL1" s="2775"/>
      <c r="IGM1" s="2775"/>
      <c r="IGN1" s="2775"/>
      <c r="IGO1" s="2775"/>
      <c r="IGP1" s="2775"/>
      <c r="IGQ1" s="2775"/>
      <c r="IGR1" s="2775"/>
      <c r="IGS1" s="2775"/>
      <c r="IGT1" s="2775"/>
      <c r="IGU1" s="2775"/>
      <c r="IGV1" s="2775"/>
      <c r="IGW1" s="2775"/>
      <c r="IGX1" s="2775"/>
      <c r="IGY1" s="2775"/>
      <c r="IGZ1" s="2775"/>
      <c r="IHA1" s="2775"/>
      <c r="IHB1" s="2775"/>
      <c r="IHC1" s="2775"/>
      <c r="IHD1" s="2775"/>
      <c r="IHE1" s="2775"/>
      <c r="IHF1" s="2775"/>
      <c r="IHG1" s="2775"/>
      <c r="IHH1" s="2775"/>
      <c r="IHI1" s="2775"/>
      <c r="IHJ1" s="2775"/>
      <c r="IHK1" s="2775"/>
      <c r="IHL1" s="2775"/>
      <c r="IHM1" s="2775"/>
      <c r="IHN1" s="2775"/>
      <c r="IHO1" s="2775"/>
      <c r="IHP1" s="2775"/>
      <c r="IHQ1" s="2775"/>
      <c r="IHR1" s="2775"/>
      <c r="IHS1" s="2775"/>
      <c r="IHT1" s="2775"/>
      <c r="IHU1" s="2775"/>
      <c r="IHV1" s="2775"/>
      <c r="IHW1" s="2775"/>
      <c r="IHX1" s="2775"/>
      <c r="IHY1" s="2775"/>
      <c r="IHZ1" s="2775"/>
      <c r="IIA1" s="2775"/>
      <c r="IIB1" s="2775"/>
      <c r="IIC1" s="2775"/>
      <c r="IID1" s="2775"/>
      <c r="IIE1" s="2775"/>
      <c r="IIF1" s="2775"/>
      <c r="IIG1" s="2775"/>
      <c r="IIH1" s="2775"/>
      <c r="III1" s="2775"/>
      <c r="IIJ1" s="2775"/>
      <c r="IIK1" s="2775"/>
      <c r="IIL1" s="2775"/>
      <c r="IIM1" s="2775"/>
      <c r="IIN1" s="2775"/>
      <c r="IIO1" s="2775"/>
      <c r="IIP1" s="2775"/>
      <c r="IIQ1" s="2775"/>
      <c r="IIR1" s="2775"/>
      <c r="IIS1" s="2775"/>
      <c r="IIT1" s="2775"/>
      <c r="IIU1" s="2775"/>
      <c r="IIV1" s="2775"/>
      <c r="IIW1" s="2775"/>
      <c r="IIX1" s="2775"/>
      <c r="IIY1" s="2775"/>
      <c r="IIZ1" s="2775"/>
      <c r="IJA1" s="2775"/>
      <c r="IJB1" s="2775"/>
      <c r="IJC1" s="2775"/>
      <c r="IJD1" s="2775"/>
      <c r="IJE1" s="2775"/>
      <c r="IJF1" s="2775"/>
      <c r="IJG1" s="2775"/>
      <c r="IJH1" s="2775"/>
      <c r="IJI1" s="2775"/>
      <c r="IJJ1" s="2775"/>
      <c r="IJK1" s="2775"/>
      <c r="IJL1" s="2775"/>
      <c r="IJM1" s="2775"/>
      <c r="IJN1" s="2775"/>
      <c r="IJO1" s="2775"/>
      <c r="IJP1" s="2775"/>
      <c r="IJQ1" s="2775"/>
      <c r="IJR1" s="2775"/>
      <c r="IJS1" s="2775"/>
      <c r="IJT1" s="2775"/>
      <c r="IJU1" s="2775"/>
      <c r="IJV1" s="2775"/>
      <c r="IJW1" s="2775"/>
      <c r="IJX1" s="2775"/>
      <c r="IJY1" s="2775"/>
      <c r="IJZ1" s="2775"/>
      <c r="IKA1" s="2775"/>
      <c r="IKB1" s="2775"/>
      <c r="IKC1" s="2775"/>
      <c r="IKD1" s="2775"/>
      <c r="IKE1" s="2775"/>
      <c r="IKF1" s="2775"/>
      <c r="IKG1" s="2775"/>
      <c r="IKH1" s="2775"/>
      <c r="IKI1" s="2775"/>
      <c r="IKJ1" s="2775"/>
      <c r="IKK1" s="2775"/>
      <c r="IKL1" s="2775"/>
      <c r="IKM1" s="2775"/>
      <c r="IKN1" s="2775"/>
      <c r="IKO1" s="2775"/>
      <c r="IKP1" s="2775"/>
      <c r="IKQ1" s="2775"/>
      <c r="IKR1" s="2775"/>
      <c r="IKS1" s="2775"/>
      <c r="IKT1" s="2775"/>
      <c r="IKU1" s="2775"/>
      <c r="IKV1" s="2775"/>
      <c r="IKW1" s="2775"/>
      <c r="IKX1" s="2775"/>
      <c r="IKY1" s="2775"/>
      <c r="IKZ1" s="2775"/>
      <c r="ILA1" s="2775"/>
      <c r="ILB1" s="2775"/>
      <c r="ILC1" s="2775"/>
      <c r="ILD1" s="2775"/>
      <c r="ILE1" s="2775"/>
      <c r="ILF1" s="2775"/>
      <c r="ILG1" s="2775"/>
      <c r="ILH1" s="2775"/>
      <c r="ILI1" s="2775"/>
      <c r="ILJ1" s="2775"/>
      <c r="ILK1" s="2775"/>
      <c r="ILL1" s="2775"/>
      <c r="ILM1" s="2775"/>
      <c r="ILN1" s="2775"/>
      <c r="ILO1" s="2775"/>
      <c r="ILP1" s="2775"/>
      <c r="ILQ1" s="2775"/>
      <c r="ILR1" s="2775"/>
      <c r="ILS1" s="2775"/>
      <c r="ILT1" s="2775"/>
      <c r="ILU1" s="2775"/>
      <c r="ILV1" s="2775"/>
      <c r="ILW1" s="2775"/>
      <c r="ILX1" s="2775"/>
      <c r="ILY1" s="2775"/>
      <c r="ILZ1" s="2775"/>
      <c r="IMA1" s="2775"/>
      <c r="IMB1" s="2775"/>
      <c r="IMC1" s="2775"/>
      <c r="IMD1" s="2775"/>
      <c r="IME1" s="2775"/>
      <c r="IMF1" s="2775"/>
      <c r="IMG1" s="2775"/>
      <c r="IMH1" s="2775"/>
      <c r="IMI1" s="2775"/>
      <c r="IMJ1" s="2775"/>
      <c r="IMK1" s="2775"/>
      <c r="IML1" s="2775"/>
      <c r="IMM1" s="2775"/>
      <c r="IMN1" s="2775"/>
      <c r="IMO1" s="2775"/>
      <c r="IMP1" s="2775"/>
      <c r="IMQ1" s="2775"/>
      <c r="IMR1" s="2775"/>
      <c r="IMS1" s="2775"/>
      <c r="IMT1" s="2775"/>
      <c r="IMU1" s="2775"/>
      <c r="IMV1" s="2775"/>
      <c r="IMW1" s="2775"/>
      <c r="IMX1" s="2775"/>
      <c r="IMY1" s="2775"/>
      <c r="IMZ1" s="2775"/>
      <c r="INA1" s="2775"/>
      <c r="INB1" s="2775"/>
      <c r="INC1" s="2775"/>
      <c r="IND1" s="2775"/>
      <c r="INE1" s="2775"/>
      <c r="INF1" s="2775"/>
      <c r="ING1" s="2775"/>
      <c r="INH1" s="2775"/>
      <c r="INI1" s="2775"/>
      <c r="INJ1" s="2775"/>
      <c r="INK1" s="2775"/>
      <c r="INL1" s="2775"/>
      <c r="INM1" s="2775"/>
      <c r="INN1" s="2775"/>
      <c r="INO1" s="2775"/>
      <c r="INP1" s="2775"/>
      <c r="INQ1" s="2775"/>
      <c r="INR1" s="2775"/>
      <c r="INS1" s="2775"/>
      <c r="INT1" s="2775"/>
      <c r="INU1" s="2775"/>
      <c r="INV1" s="2775"/>
      <c r="INW1" s="2775"/>
      <c r="INX1" s="2775"/>
      <c r="INY1" s="2775"/>
      <c r="INZ1" s="2775"/>
      <c r="IOA1" s="2775"/>
      <c r="IOB1" s="2775"/>
      <c r="IOC1" s="2775"/>
      <c r="IOD1" s="2775"/>
      <c r="IOE1" s="2775"/>
      <c r="IOF1" s="2775"/>
      <c r="IOG1" s="2775"/>
      <c r="IOH1" s="2775"/>
      <c r="IOI1" s="2775"/>
      <c r="IOJ1" s="2775"/>
      <c r="IOK1" s="2775"/>
      <c r="IOL1" s="2775"/>
      <c r="IOM1" s="2775"/>
      <c r="ION1" s="2775"/>
      <c r="IOO1" s="2775"/>
      <c r="IOP1" s="2775"/>
      <c r="IOQ1" s="2775"/>
      <c r="IOR1" s="2775"/>
      <c r="IOS1" s="2775"/>
      <c r="IOT1" s="2775"/>
      <c r="IOU1" s="2775"/>
      <c r="IOV1" s="2775"/>
      <c r="IOW1" s="2775"/>
      <c r="IOX1" s="2775"/>
      <c r="IOY1" s="2775"/>
      <c r="IOZ1" s="2775"/>
      <c r="IPA1" s="2775"/>
      <c r="IPB1" s="2775"/>
      <c r="IPC1" s="2775"/>
      <c r="IPD1" s="2775"/>
      <c r="IPE1" s="2775"/>
      <c r="IPF1" s="2775"/>
      <c r="IPG1" s="2775"/>
      <c r="IPH1" s="2775"/>
      <c r="IPI1" s="2775"/>
      <c r="IPJ1" s="2775"/>
      <c r="IPK1" s="2775"/>
      <c r="IPL1" s="2775"/>
      <c r="IPM1" s="2775"/>
      <c r="IPN1" s="2775"/>
      <c r="IPO1" s="2775"/>
      <c r="IPP1" s="2775"/>
      <c r="IPQ1" s="2775"/>
      <c r="IPR1" s="2775"/>
      <c r="IPS1" s="2775"/>
      <c r="IPT1" s="2775"/>
      <c r="IPU1" s="2775"/>
      <c r="IPV1" s="2775"/>
      <c r="IPW1" s="2775"/>
      <c r="IPX1" s="2775"/>
      <c r="IPY1" s="2775"/>
      <c r="IPZ1" s="2775"/>
      <c r="IQA1" s="2775"/>
      <c r="IQB1" s="2775"/>
      <c r="IQC1" s="2775"/>
      <c r="IQD1" s="2775"/>
      <c r="IQE1" s="2775"/>
      <c r="IQF1" s="2775"/>
      <c r="IQG1" s="2775"/>
      <c r="IQH1" s="2775"/>
      <c r="IQI1" s="2775"/>
      <c r="IQJ1" s="2775"/>
      <c r="IQK1" s="2775"/>
      <c r="IQL1" s="2775"/>
      <c r="IQM1" s="2775"/>
      <c r="IQN1" s="2775"/>
      <c r="IQO1" s="2775"/>
      <c r="IQP1" s="2775"/>
      <c r="IQQ1" s="2775"/>
      <c r="IQR1" s="2775"/>
      <c r="IQS1" s="2775"/>
      <c r="IQT1" s="2775"/>
      <c r="IQU1" s="2775"/>
      <c r="IQV1" s="2775"/>
      <c r="IQW1" s="2775"/>
      <c r="IQX1" s="2775"/>
      <c r="IQY1" s="2775"/>
      <c r="IQZ1" s="2775"/>
      <c r="IRA1" s="2775"/>
      <c r="IRB1" s="2775"/>
      <c r="IRC1" s="2775"/>
      <c r="IRD1" s="2775"/>
      <c r="IRE1" s="2775"/>
      <c r="IRF1" s="2775"/>
      <c r="IRG1" s="2775"/>
      <c r="IRH1" s="2775"/>
      <c r="IRI1" s="2775"/>
      <c r="IRJ1" s="2775"/>
      <c r="IRK1" s="2775"/>
      <c r="IRL1" s="2775"/>
      <c r="IRM1" s="2775"/>
      <c r="IRN1" s="2775"/>
      <c r="IRO1" s="2775"/>
      <c r="IRP1" s="2775"/>
      <c r="IRQ1" s="2775"/>
      <c r="IRR1" s="2775"/>
      <c r="IRS1" s="2775"/>
      <c r="IRT1" s="2775"/>
      <c r="IRU1" s="2775"/>
      <c r="IRV1" s="2775"/>
      <c r="IRW1" s="2775"/>
      <c r="IRX1" s="2775"/>
      <c r="IRY1" s="2775"/>
      <c r="IRZ1" s="2775"/>
      <c r="ISA1" s="2775"/>
      <c r="ISB1" s="2775"/>
      <c r="ISC1" s="2775"/>
      <c r="ISD1" s="2775"/>
      <c r="ISE1" s="2775"/>
      <c r="ISF1" s="2775"/>
      <c r="ISG1" s="2775"/>
      <c r="ISH1" s="2775"/>
      <c r="ISI1" s="2775"/>
      <c r="ISJ1" s="2775"/>
      <c r="ISK1" s="2775"/>
      <c r="ISL1" s="2775"/>
      <c r="ISM1" s="2775"/>
      <c r="ISN1" s="2775"/>
      <c r="ISO1" s="2775"/>
      <c r="ISP1" s="2775"/>
      <c r="ISQ1" s="2775"/>
      <c r="ISR1" s="2775"/>
      <c r="ISS1" s="2775"/>
      <c r="IST1" s="2775"/>
      <c r="ISU1" s="2775"/>
      <c r="ISV1" s="2775"/>
      <c r="ISW1" s="2775"/>
      <c r="ISX1" s="2775"/>
      <c r="ISY1" s="2775"/>
      <c r="ISZ1" s="2775"/>
      <c r="ITA1" s="2775"/>
      <c r="ITB1" s="2775"/>
      <c r="ITC1" s="2775"/>
      <c r="ITD1" s="2775"/>
      <c r="ITE1" s="2775"/>
      <c r="ITF1" s="2775"/>
      <c r="ITG1" s="2775"/>
      <c r="ITH1" s="2775"/>
      <c r="ITI1" s="2775"/>
      <c r="ITJ1" s="2775"/>
      <c r="ITK1" s="2775"/>
      <c r="ITL1" s="2775"/>
      <c r="ITM1" s="2775"/>
      <c r="ITN1" s="2775"/>
      <c r="ITO1" s="2775"/>
      <c r="ITP1" s="2775"/>
      <c r="ITQ1" s="2775"/>
      <c r="ITR1" s="2775"/>
      <c r="ITS1" s="2775"/>
      <c r="ITT1" s="2775"/>
      <c r="ITU1" s="2775"/>
      <c r="ITV1" s="2775"/>
      <c r="ITW1" s="2775"/>
      <c r="ITX1" s="2775"/>
      <c r="ITY1" s="2775"/>
      <c r="ITZ1" s="2775"/>
      <c r="IUA1" s="2775"/>
      <c r="IUB1" s="2775"/>
      <c r="IUC1" s="2775"/>
      <c r="IUD1" s="2775"/>
      <c r="IUE1" s="2775"/>
      <c r="IUF1" s="2775"/>
      <c r="IUG1" s="2775"/>
      <c r="IUH1" s="2775"/>
      <c r="IUI1" s="2775"/>
      <c r="IUJ1" s="2775"/>
      <c r="IUK1" s="2775"/>
      <c r="IUL1" s="2775"/>
      <c r="IUM1" s="2775"/>
      <c r="IUN1" s="2775"/>
      <c r="IUO1" s="2775"/>
      <c r="IUP1" s="2775"/>
      <c r="IUQ1" s="2775"/>
      <c r="IUR1" s="2775"/>
      <c r="IUS1" s="2775"/>
      <c r="IUT1" s="2775"/>
      <c r="IUU1" s="2775"/>
      <c r="IUV1" s="2775"/>
      <c r="IUW1" s="2775"/>
      <c r="IUX1" s="2775"/>
      <c r="IUY1" s="2775"/>
      <c r="IUZ1" s="2775"/>
      <c r="IVA1" s="2775"/>
      <c r="IVB1" s="2775"/>
      <c r="IVC1" s="2775"/>
      <c r="IVD1" s="2775"/>
      <c r="IVE1" s="2775"/>
      <c r="IVF1" s="2775"/>
      <c r="IVG1" s="2775"/>
      <c r="IVH1" s="2775"/>
      <c r="IVI1" s="2775"/>
      <c r="IVJ1" s="2775"/>
      <c r="IVK1" s="2775"/>
      <c r="IVL1" s="2775"/>
      <c r="IVM1" s="2775"/>
      <c r="IVN1" s="2775"/>
      <c r="IVO1" s="2775"/>
      <c r="IVP1" s="2775"/>
      <c r="IVQ1" s="2775"/>
      <c r="IVR1" s="2775"/>
      <c r="IVS1" s="2775"/>
      <c r="IVT1" s="2775"/>
      <c r="IVU1" s="2775"/>
      <c r="IVV1" s="2775"/>
      <c r="IVW1" s="2775"/>
      <c r="IVX1" s="2775"/>
      <c r="IVY1" s="2775"/>
      <c r="IVZ1" s="2775"/>
      <c r="IWA1" s="2775"/>
      <c r="IWB1" s="2775"/>
      <c r="IWC1" s="2775"/>
      <c r="IWD1" s="2775"/>
      <c r="IWE1" s="2775"/>
      <c r="IWF1" s="2775"/>
      <c r="IWG1" s="2775"/>
      <c r="IWH1" s="2775"/>
      <c r="IWI1" s="2775"/>
      <c r="IWJ1" s="2775"/>
      <c r="IWK1" s="2775"/>
      <c r="IWL1" s="2775"/>
      <c r="IWM1" s="2775"/>
      <c r="IWN1" s="2775"/>
      <c r="IWO1" s="2775"/>
      <c r="IWP1" s="2775"/>
      <c r="IWQ1" s="2775"/>
      <c r="IWR1" s="2775"/>
      <c r="IWS1" s="2775"/>
      <c r="IWT1" s="2775"/>
      <c r="IWU1" s="2775"/>
      <c r="IWV1" s="2775"/>
      <c r="IWW1" s="2775"/>
      <c r="IWX1" s="2775"/>
      <c r="IWY1" s="2775"/>
      <c r="IWZ1" s="2775"/>
      <c r="IXA1" s="2775"/>
      <c r="IXB1" s="2775"/>
      <c r="IXC1" s="2775"/>
      <c r="IXD1" s="2775"/>
      <c r="IXE1" s="2775"/>
      <c r="IXF1" s="2775"/>
      <c r="IXG1" s="2775"/>
      <c r="IXH1" s="2775"/>
      <c r="IXI1" s="2775"/>
      <c r="IXJ1" s="2775"/>
      <c r="IXK1" s="2775"/>
      <c r="IXL1" s="2775"/>
      <c r="IXM1" s="2775"/>
      <c r="IXN1" s="2775"/>
      <c r="IXO1" s="2775"/>
      <c r="IXP1" s="2775"/>
      <c r="IXQ1" s="2775"/>
      <c r="IXR1" s="2775"/>
      <c r="IXS1" s="2775"/>
      <c r="IXT1" s="2775"/>
      <c r="IXU1" s="2775"/>
      <c r="IXV1" s="2775"/>
      <c r="IXW1" s="2775"/>
      <c r="IXX1" s="2775"/>
      <c r="IXY1" s="2775"/>
      <c r="IXZ1" s="2775"/>
      <c r="IYA1" s="2775"/>
      <c r="IYB1" s="2775"/>
      <c r="IYC1" s="2775"/>
      <c r="IYD1" s="2775"/>
      <c r="IYE1" s="2775"/>
      <c r="IYF1" s="2775"/>
      <c r="IYG1" s="2775"/>
      <c r="IYH1" s="2775"/>
      <c r="IYI1" s="2775"/>
      <c r="IYJ1" s="2775"/>
      <c r="IYK1" s="2775"/>
      <c r="IYL1" s="2775"/>
      <c r="IYM1" s="2775"/>
      <c r="IYN1" s="2775"/>
      <c r="IYO1" s="2775"/>
      <c r="IYP1" s="2775"/>
      <c r="IYQ1" s="2775"/>
      <c r="IYR1" s="2775"/>
      <c r="IYS1" s="2775"/>
      <c r="IYT1" s="2775"/>
      <c r="IYU1" s="2775"/>
      <c r="IYV1" s="2775"/>
      <c r="IYW1" s="2775"/>
      <c r="IYX1" s="2775"/>
      <c r="IYY1" s="2775"/>
      <c r="IYZ1" s="2775"/>
      <c r="IZA1" s="2775"/>
      <c r="IZB1" s="2775"/>
      <c r="IZC1" s="2775"/>
      <c r="IZD1" s="2775"/>
      <c r="IZE1" s="2775"/>
      <c r="IZF1" s="2775"/>
      <c r="IZG1" s="2775"/>
      <c r="IZH1" s="2775"/>
      <c r="IZI1" s="2775"/>
      <c r="IZJ1" s="2775"/>
      <c r="IZK1" s="2775"/>
      <c r="IZL1" s="2775"/>
      <c r="IZM1" s="2775"/>
      <c r="IZN1" s="2775"/>
      <c r="IZO1" s="2775"/>
      <c r="IZP1" s="2775"/>
      <c r="IZQ1" s="2775"/>
      <c r="IZR1" s="2775"/>
      <c r="IZS1" s="2775"/>
      <c r="IZT1" s="2775"/>
      <c r="IZU1" s="2775"/>
      <c r="IZV1" s="2775"/>
      <c r="IZW1" s="2775"/>
      <c r="IZX1" s="2775"/>
      <c r="IZY1" s="2775"/>
      <c r="IZZ1" s="2775"/>
      <c r="JAA1" s="2775"/>
      <c r="JAB1" s="2775"/>
      <c r="JAC1" s="2775"/>
      <c r="JAD1" s="2775"/>
      <c r="JAE1" s="2775"/>
      <c r="JAF1" s="2775"/>
      <c r="JAG1" s="2775"/>
      <c r="JAH1" s="2775"/>
      <c r="JAI1" s="2775"/>
      <c r="JAJ1" s="2775"/>
      <c r="JAK1" s="2775"/>
      <c r="JAL1" s="2775"/>
      <c r="JAM1" s="2775"/>
      <c r="JAN1" s="2775"/>
      <c r="JAO1" s="2775"/>
      <c r="JAP1" s="2775"/>
      <c r="JAQ1" s="2775"/>
      <c r="JAR1" s="2775"/>
      <c r="JAS1" s="2775"/>
      <c r="JAT1" s="2775"/>
      <c r="JAU1" s="2775"/>
      <c r="JAV1" s="2775"/>
      <c r="JAW1" s="2775"/>
      <c r="JAX1" s="2775"/>
      <c r="JAY1" s="2775"/>
      <c r="JAZ1" s="2775"/>
      <c r="JBA1" s="2775"/>
      <c r="JBB1" s="2775"/>
      <c r="JBC1" s="2775"/>
      <c r="JBD1" s="2775"/>
      <c r="JBE1" s="2775"/>
      <c r="JBF1" s="2775"/>
      <c r="JBG1" s="2775"/>
      <c r="JBH1" s="2775"/>
      <c r="JBI1" s="2775"/>
      <c r="JBJ1" s="2775"/>
      <c r="JBK1" s="2775"/>
      <c r="JBL1" s="2775"/>
      <c r="JBM1" s="2775"/>
      <c r="JBN1" s="2775"/>
      <c r="JBO1" s="2775"/>
      <c r="JBP1" s="2775"/>
      <c r="JBQ1" s="2775"/>
      <c r="JBR1" s="2775"/>
      <c r="JBS1" s="2775"/>
      <c r="JBT1" s="2775"/>
      <c r="JBU1" s="2775"/>
      <c r="JBV1" s="2775"/>
      <c r="JBW1" s="2775"/>
      <c r="JBX1" s="2775"/>
      <c r="JBY1" s="2775"/>
      <c r="JBZ1" s="2775"/>
      <c r="JCA1" s="2775"/>
      <c r="JCB1" s="2775"/>
      <c r="JCC1" s="2775"/>
      <c r="JCD1" s="2775"/>
      <c r="JCE1" s="2775"/>
      <c r="JCF1" s="2775"/>
      <c r="JCG1" s="2775"/>
      <c r="JCH1" s="2775"/>
      <c r="JCI1" s="2775"/>
      <c r="JCJ1" s="2775"/>
      <c r="JCK1" s="2775"/>
      <c r="JCL1" s="2775"/>
      <c r="JCM1" s="2775"/>
      <c r="JCN1" s="2775"/>
      <c r="JCO1" s="2775"/>
      <c r="JCP1" s="2775"/>
      <c r="JCQ1" s="2775"/>
      <c r="JCR1" s="2775"/>
      <c r="JCS1" s="2775"/>
      <c r="JCT1" s="2775"/>
      <c r="JCU1" s="2775"/>
      <c r="JCV1" s="2775"/>
      <c r="JCW1" s="2775"/>
      <c r="JCX1" s="2775"/>
      <c r="JCY1" s="2775"/>
      <c r="JCZ1" s="2775"/>
      <c r="JDA1" s="2775"/>
      <c r="JDB1" s="2775"/>
      <c r="JDC1" s="2775"/>
      <c r="JDD1" s="2775"/>
      <c r="JDE1" s="2775"/>
      <c r="JDF1" s="2775"/>
      <c r="JDG1" s="2775"/>
      <c r="JDH1" s="2775"/>
      <c r="JDI1" s="2775"/>
      <c r="JDJ1" s="2775"/>
      <c r="JDK1" s="2775"/>
      <c r="JDL1" s="2775"/>
      <c r="JDM1" s="2775"/>
      <c r="JDN1" s="2775"/>
      <c r="JDO1" s="2775"/>
      <c r="JDP1" s="2775"/>
      <c r="JDQ1" s="2775"/>
      <c r="JDR1" s="2775"/>
      <c r="JDS1" s="2775"/>
      <c r="JDT1" s="2775"/>
      <c r="JDU1" s="2775"/>
      <c r="JDV1" s="2775"/>
      <c r="JDW1" s="2775"/>
      <c r="JDX1" s="2775"/>
      <c r="JDY1" s="2775"/>
      <c r="JDZ1" s="2775"/>
      <c r="JEA1" s="2775"/>
      <c r="JEB1" s="2775"/>
      <c r="JEC1" s="2775"/>
      <c r="JED1" s="2775"/>
      <c r="JEE1" s="2775"/>
      <c r="JEF1" s="2775"/>
      <c r="JEG1" s="2775"/>
      <c r="JEH1" s="2775"/>
      <c r="JEI1" s="2775"/>
      <c r="JEJ1" s="2775"/>
      <c r="JEK1" s="2775"/>
      <c r="JEL1" s="2775"/>
      <c r="JEM1" s="2775"/>
      <c r="JEN1" s="2775"/>
      <c r="JEO1" s="2775"/>
      <c r="JEP1" s="2775"/>
      <c r="JEQ1" s="2775"/>
      <c r="JER1" s="2775"/>
      <c r="JES1" s="2775"/>
      <c r="JET1" s="2775"/>
      <c r="JEU1" s="2775"/>
      <c r="JEV1" s="2775"/>
      <c r="JEW1" s="2775"/>
      <c r="JEX1" s="2775"/>
      <c r="JEY1" s="2775"/>
      <c r="JEZ1" s="2775"/>
      <c r="JFA1" s="2775"/>
      <c r="JFB1" s="2775"/>
      <c r="JFC1" s="2775"/>
      <c r="JFD1" s="2775"/>
      <c r="JFE1" s="2775"/>
      <c r="JFF1" s="2775"/>
      <c r="JFG1" s="2775"/>
      <c r="JFH1" s="2775"/>
      <c r="JFI1" s="2775"/>
      <c r="JFJ1" s="2775"/>
      <c r="JFK1" s="2775"/>
      <c r="JFL1" s="2775"/>
      <c r="JFM1" s="2775"/>
      <c r="JFN1" s="2775"/>
      <c r="JFO1" s="2775"/>
      <c r="JFP1" s="2775"/>
      <c r="JFQ1" s="2775"/>
      <c r="JFR1" s="2775"/>
      <c r="JFS1" s="2775"/>
      <c r="JFT1" s="2775"/>
      <c r="JFU1" s="2775"/>
      <c r="JFV1" s="2775"/>
      <c r="JFW1" s="2775"/>
      <c r="JFX1" s="2775"/>
      <c r="JFY1" s="2775"/>
      <c r="JFZ1" s="2775"/>
      <c r="JGA1" s="2775"/>
      <c r="JGB1" s="2775"/>
      <c r="JGC1" s="2775"/>
      <c r="JGD1" s="2775"/>
      <c r="JGE1" s="2775"/>
      <c r="JGF1" s="2775"/>
      <c r="JGG1" s="2775"/>
      <c r="JGH1" s="2775"/>
      <c r="JGI1" s="2775"/>
      <c r="JGJ1" s="2775"/>
      <c r="JGK1" s="2775"/>
      <c r="JGL1" s="2775"/>
      <c r="JGM1" s="2775"/>
      <c r="JGN1" s="2775"/>
      <c r="JGO1" s="2775"/>
      <c r="JGP1" s="2775"/>
      <c r="JGQ1" s="2775"/>
      <c r="JGR1" s="2775"/>
      <c r="JGS1" s="2775"/>
      <c r="JGT1" s="2775"/>
      <c r="JGU1" s="2775"/>
      <c r="JGV1" s="2775"/>
      <c r="JGW1" s="2775"/>
      <c r="JGX1" s="2775"/>
      <c r="JGY1" s="2775"/>
      <c r="JGZ1" s="2775"/>
      <c r="JHA1" s="2775"/>
      <c r="JHB1" s="2775"/>
      <c r="JHC1" s="2775"/>
      <c r="JHD1" s="2775"/>
      <c r="JHE1" s="2775"/>
      <c r="JHF1" s="2775"/>
      <c r="JHG1" s="2775"/>
      <c r="JHH1" s="2775"/>
      <c r="JHI1" s="2775"/>
      <c r="JHJ1" s="2775"/>
      <c r="JHK1" s="2775"/>
      <c r="JHL1" s="2775"/>
      <c r="JHM1" s="2775"/>
      <c r="JHN1" s="2775"/>
      <c r="JHO1" s="2775"/>
      <c r="JHP1" s="2775"/>
      <c r="JHQ1" s="2775"/>
      <c r="JHR1" s="2775"/>
      <c r="JHS1" s="2775"/>
      <c r="JHT1" s="2775"/>
      <c r="JHU1" s="2775"/>
      <c r="JHV1" s="2775"/>
      <c r="JHW1" s="2775"/>
      <c r="JHX1" s="2775"/>
      <c r="JHY1" s="2775"/>
      <c r="JHZ1" s="2775"/>
      <c r="JIA1" s="2775"/>
      <c r="JIB1" s="2775"/>
      <c r="JIC1" s="2775"/>
      <c r="JID1" s="2775"/>
      <c r="JIE1" s="2775"/>
      <c r="JIF1" s="2775"/>
      <c r="JIG1" s="2775"/>
      <c r="JIH1" s="2775"/>
      <c r="JII1" s="2775"/>
      <c r="JIJ1" s="2775"/>
      <c r="JIK1" s="2775"/>
      <c r="JIL1" s="2775"/>
      <c r="JIM1" s="2775"/>
      <c r="JIN1" s="2775"/>
      <c r="JIO1" s="2775"/>
      <c r="JIP1" s="2775"/>
      <c r="JIQ1" s="2775"/>
      <c r="JIR1" s="2775"/>
      <c r="JIS1" s="2775"/>
      <c r="JIT1" s="2775"/>
      <c r="JIU1" s="2775"/>
      <c r="JIV1" s="2775"/>
      <c r="JIW1" s="2775"/>
      <c r="JIX1" s="2775"/>
      <c r="JIY1" s="2775"/>
      <c r="JIZ1" s="2775"/>
      <c r="JJA1" s="2775"/>
      <c r="JJB1" s="2775"/>
      <c r="JJC1" s="2775"/>
      <c r="JJD1" s="2775"/>
      <c r="JJE1" s="2775"/>
      <c r="JJF1" s="2775"/>
      <c r="JJG1" s="2775"/>
      <c r="JJH1" s="2775"/>
      <c r="JJI1" s="2775"/>
      <c r="JJJ1" s="2775"/>
      <c r="JJK1" s="2775"/>
      <c r="JJL1" s="2775"/>
      <c r="JJM1" s="2775"/>
      <c r="JJN1" s="2775"/>
      <c r="JJO1" s="2775"/>
      <c r="JJP1" s="2775"/>
      <c r="JJQ1" s="2775"/>
      <c r="JJR1" s="2775"/>
      <c r="JJS1" s="2775"/>
      <c r="JJT1" s="2775"/>
      <c r="JJU1" s="2775"/>
      <c r="JJV1" s="2775"/>
      <c r="JJW1" s="2775"/>
      <c r="JJX1" s="2775"/>
      <c r="JJY1" s="2775"/>
      <c r="JJZ1" s="2775"/>
      <c r="JKA1" s="2775"/>
      <c r="JKB1" s="2775"/>
      <c r="JKC1" s="2775"/>
      <c r="JKD1" s="2775"/>
      <c r="JKE1" s="2775"/>
      <c r="JKF1" s="2775"/>
      <c r="JKG1" s="2775"/>
      <c r="JKH1" s="2775"/>
      <c r="JKI1" s="2775"/>
      <c r="JKJ1" s="2775"/>
      <c r="JKK1" s="2775"/>
      <c r="JKL1" s="2775"/>
      <c r="JKM1" s="2775"/>
      <c r="JKN1" s="2775"/>
      <c r="JKO1" s="2775"/>
      <c r="JKP1" s="2775"/>
      <c r="JKQ1" s="2775"/>
      <c r="JKR1" s="2775"/>
      <c r="JKS1" s="2775"/>
      <c r="JKT1" s="2775"/>
      <c r="JKU1" s="2775"/>
      <c r="JKV1" s="2775"/>
      <c r="JKW1" s="2775"/>
      <c r="JKX1" s="2775"/>
      <c r="JKY1" s="2775"/>
      <c r="JKZ1" s="2775"/>
      <c r="JLA1" s="2775"/>
      <c r="JLB1" s="2775"/>
      <c r="JLC1" s="2775"/>
      <c r="JLD1" s="2775"/>
      <c r="JLE1" s="2775"/>
      <c r="JLF1" s="2775"/>
      <c r="JLG1" s="2775"/>
      <c r="JLH1" s="2775"/>
      <c r="JLI1" s="2775"/>
      <c r="JLJ1" s="2775"/>
      <c r="JLK1" s="2775"/>
      <c r="JLL1" s="2775"/>
      <c r="JLM1" s="2775"/>
      <c r="JLN1" s="2775"/>
      <c r="JLO1" s="2775"/>
      <c r="JLP1" s="2775"/>
      <c r="JLQ1" s="2775"/>
      <c r="JLR1" s="2775"/>
      <c r="JLS1" s="2775"/>
      <c r="JLT1" s="2775"/>
      <c r="JLU1" s="2775"/>
      <c r="JLV1" s="2775"/>
      <c r="JLW1" s="2775"/>
      <c r="JLX1" s="2775"/>
      <c r="JLY1" s="2775"/>
      <c r="JLZ1" s="2775"/>
      <c r="JMA1" s="2775"/>
      <c r="JMB1" s="2775"/>
      <c r="JMC1" s="2775"/>
      <c r="JMD1" s="2775"/>
      <c r="JME1" s="2775"/>
      <c r="JMF1" s="2775"/>
      <c r="JMG1" s="2775"/>
      <c r="JMH1" s="2775"/>
      <c r="JMI1" s="2775"/>
      <c r="JMJ1" s="2775"/>
      <c r="JMK1" s="2775"/>
      <c r="JML1" s="2775"/>
      <c r="JMM1" s="2775"/>
      <c r="JMN1" s="2775"/>
      <c r="JMO1" s="2775"/>
      <c r="JMP1" s="2775"/>
      <c r="JMQ1" s="2775"/>
      <c r="JMR1" s="2775"/>
      <c r="JMS1" s="2775"/>
      <c r="JMT1" s="2775"/>
      <c r="JMU1" s="2775"/>
      <c r="JMV1" s="2775"/>
      <c r="JMW1" s="2775"/>
      <c r="JMX1" s="2775"/>
      <c r="JMY1" s="2775"/>
      <c r="JMZ1" s="2775"/>
      <c r="JNA1" s="2775"/>
      <c r="JNB1" s="2775"/>
      <c r="JNC1" s="2775"/>
      <c r="JND1" s="2775"/>
      <c r="JNE1" s="2775"/>
      <c r="JNF1" s="2775"/>
      <c r="JNG1" s="2775"/>
      <c r="JNH1" s="2775"/>
      <c r="JNI1" s="2775"/>
      <c r="JNJ1" s="2775"/>
      <c r="JNK1" s="2775"/>
      <c r="JNL1" s="2775"/>
      <c r="JNM1" s="2775"/>
      <c r="JNN1" s="2775"/>
      <c r="JNO1" s="2775"/>
      <c r="JNP1" s="2775"/>
      <c r="JNQ1" s="2775"/>
      <c r="JNR1" s="2775"/>
      <c r="JNS1" s="2775"/>
      <c r="JNT1" s="2775"/>
      <c r="JNU1" s="2775"/>
      <c r="JNV1" s="2775"/>
      <c r="JNW1" s="2775"/>
      <c r="JNX1" s="2775"/>
      <c r="JNY1" s="2775"/>
      <c r="JNZ1" s="2775"/>
      <c r="JOA1" s="2775"/>
      <c r="JOB1" s="2775"/>
      <c r="JOC1" s="2775"/>
      <c r="JOD1" s="2775"/>
      <c r="JOE1" s="2775"/>
      <c r="JOF1" s="2775"/>
      <c r="JOG1" s="2775"/>
      <c r="JOH1" s="2775"/>
      <c r="JOI1" s="2775"/>
      <c r="JOJ1" s="2775"/>
      <c r="JOK1" s="2775"/>
      <c r="JOL1" s="2775"/>
      <c r="JOM1" s="2775"/>
      <c r="JON1" s="2775"/>
      <c r="JOO1" s="2775"/>
      <c r="JOP1" s="2775"/>
      <c r="JOQ1" s="2775"/>
      <c r="JOR1" s="2775"/>
      <c r="JOS1" s="2775"/>
      <c r="JOT1" s="2775"/>
      <c r="JOU1" s="2775"/>
      <c r="JOV1" s="2775"/>
      <c r="JOW1" s="2775"/>
      <c r="JOX1" s="2775"/>
      <c r="JOY1" s="2775"/>
      <c r="JOZ1" s="2775"/>
      <c r="JPA1" s="2775"/>
      <c r="JPB1" s="2775"/>
      <c r="JPC1" s="2775"/>
      <c r="JPD1" s="2775"/>
      <c r="JPE1" s="2775"/>
      <c r="JPF1" s="2775"/>
      <c r="JPG1" s="2775"/>
      <c r="JPH1" s="2775"/>
      <c r="JPI1" s="2775"/>
      <c r="JPJ1" s="2775"/>
      <c r="JPK1" s="2775"/>
      <c r="JPL1" s="2775"/>
      <c r="JPM1" s="2775"/>
      <c r="JPN1" s="2775"/>
      <c r="JPO1" s="2775"/>
      <c r="JPP1" s="2775"/>
      <c r="JPQ1" s="2775"/>
      <c r="JPR1" s="2775"/>
      <c r="JPS1" s="2775"/>
      <c r="JPT1" s="2775"/>
      <c r="JPU1" s="2775"/>
      <c r="JPV1" s="2775"/>
      <c r="JPW1" s="2775"/>
      <c r="JPX1" s="2775"/>
      <c r="JPY1" s="2775"/>
      <c r="JPZ1" s="2775"/>
      <c r="JQA1" s="2775"/>
      <c r="JQB1" s="2775"/>
      <c r="JQC1" s="2775"/>
      <c r="JQD1" s="2775"/>
      <c r="JQE1" s="2775"/>
      <c r="JQF1" s="2775"/>
      <c r="JQG1" s="2775"/>
      <c r="JQH1" s="2775"/>
      <c r="JQI1" s="2775"/>
      <c r="JQJ1" s="2775"/>
      <c r="JQK1" s="2775"/>
      <c r="JQL1" s="2775"/>
      <c r="JQM1" s="2775"/>
      <c r="JQN1" s="2775"/>
      <c r="JQO1" s="2775"/>
      <c r="JQP1" s="2775"/>
      <c r="JQQ1" s="2775"/>
      <c r="JQR1" s="2775"/>
      <c r="JQS1" s="2775"/>
      <c r="JQT1" s="2775"/>
      <c r="JQU1" s="2775"/>
      <c r="JQV1" s="2775"/>
      <c r="JQW1" s="2775"/>
      <c r="JQX1" s="2775"/>
      <c r="JQY1" s="2775"/>
      <c r="JQZ1" s="2775"/>
      <c r="JRA1" s="2775"/>
      <c r="JRB1" s="2775"/>
      <c r="JRC1" s="2775"/>
      <c r="JRD1" s="2775"/>
      <c r="JRE1" s="2775"/>
      <c r="JRF1" s="2775"/>
      <c r="JRG1" s="2775"/>
      <c r="JRH1" s="2775"/>
      <c r="JRI1" s="2775"/>
      <c r="JRJ1" s="2775"/>
      <c r="JRK1" s="2775"/>
      <c r="JRL1" s="2775"/>
      <c r="JRM1" s="2775"/>
      <c r="JRN1" s="2775"/>
      <c r="JRO1" s="2775"/>
      <c r="JRP1" s="2775"/>
      <c r="JRQ1" s="2775"/>
      <c r="JRR1" s="2775"/>
      <c r="JRS1" s="2775"/>
      <c r="JRT1" s="2775"/>
      <c r="JRU1" s="2775"/>
      <c r="JRV1" s="2775"/>
      <c r="JRW1" s="2775"/>
      <c r="JRX1" s="2775"/>
      <c r="JRY1" s="2775"/>
      <c r="JRZ1" s="2775"/>
      <c r="JSA1" s="2775"/>
      <c r="JSB1" s="2775"/>
      <c r="JSC1" s="2775"/>
      <c r="JSD1" s="2775"/>
      <c r="JSE1" s="2775"/>
      <c r="JSF1" s="2775"/>
      <c r="JSG1" s="2775"/>
      <c r="JSH1" s="2775"/>
      <c r="JSI1" s="2775"/>
      <c r="JSJ1" s="2775"/>
      <c r="JSK1" s="2775"/>
      <c r="JSL1" s="2775"/>
      <c r="JSM1" s="2775"/>
      <c r="JSN1" s="2775"/>
      <c r="JSO1" s="2775"/>
      <c r="JSP1" s="2775"/>
      <c r="JSQ1" s="2775"/>
      <c r="JSR1" s="2775"/>
      <c r="JSS1" s="2775"/>
      <c r="JST1" s="2775"/>
      <c r="JSU1" s="2775"/>
      <c r="JSV1" s="2775"/>
      <c r="JSW1" s="2775"/>
      <c r="JSX1" s="2775"/>
      <c r="JSY1" s="2775"/>
      <c r="JSZ1" s="2775"/>
      <c r="JTA1" s="2775"/>
      <c r="JTB1" s="2775"/>
      <c r="JTC1" s="2775"/>
      <c r="JTD1" s="2775"/>
      <c r="JTE1" s="2775"/>
      <c r="JTF1" s="2775"/>
      <c r="JTG1" s="2775"/>
      <c r="JTH1" s="2775"/>
      <c r="JTI1" s="2775"/>
      <c r="JTJ1" s="2775"/>
      <c r="JTK1" s="2775"/>
      <c r="JTL1" s="2775"/>
      <c r="JTM1" s="2775"/>
      <c r="JTN1" s="2775"/>
      <c r="JTO1" s="2775"/>
      <c r="JTP1" s="2775"/>
      <c r="JTQ1" s="2775"/>
      <c r="JTR1" s="2775"/>
      <c r="JTS1" s="2775"/>
      <c r="JTT1" s="2775"/>
      <c r="JTU1" s="2775"/>
      <c r="JTV1" s="2775"/>
      <c r="JTW1" s="2775"/>
      <c r="JTX1" s="2775"/>
      <c r="JTY1" s="2775"/>
      <c r="JTZ1" s="2775"/>
      <c r="JUA1" s="2775"/>
      <c r="JUB1" s="2775"/>
      <c r="JUC1" s="2775"/>
      <c r="JUD1" s="2775"/>
      <c r="JUE1" s="2775"/>
      <c r="JUF1" s="2775"/>
      <c r="JUG1" s="2775"/>
      <c r="JUH1" s="2775"/>
      <c r="JUI1" s="2775"/>
      <c r="JUJ1" s="2775"/>
      <c r="JUK1" s="2775"/>
      <c r="JUL1" s="2775"/>
      <c r="JUM1" s="2775"/>
      <c r="JUN1" s="2775"/>
      <c r="JUO1" s="2775"/>
      <c r="JUP1" s="2775"/>
      <c r="JUQ1" s="2775"/>
      <c r="JUR1" s="2775"/>
      <c r="JUS1" s="2775"/>
      <c r="JUT1" s="2775"/>
      <c r="JUU1" s="2775"/>
      <c r="JUV1" s="2775"/>
      <c r="JUW1" s="2775"/>
      <c r="JUX1" s="2775"/>
      <c r="JUY1" s="2775"/>
      <c r="JUZ1" s="2775"/>
      <c r="JVA1" s="2775"/>
      <c r="JVB1" s="2775"/>
      <c r="JVC1" s="2775"/>
      <c r="JVD1" s="2775"/>
      <c r="JVE1" s="2775"/>
      <c r="JVF1" s="2775"/>
      <c r="JVG1" s="2775"/>
      <c r="JVH1" s="2775"/>
      <c r="JVI1" s="2775"/>
      <c r="JVJ1" s="2775"/>
      <c r="JVK1" s="2775"/>
      <c r="JVL1" s="2775"/>
      <c r="JVM1" s="2775"/>
      <c r="JVN1" s="2775"/>
      <c r="JVO1" s="2775"/>
      <c r="JVP1" s="2775"/>
      <c r="JVQ1" s="2775"/>
      <c r="JVR1" s="2775"/>
      <c r="JVS1" s="2775"/>
      <c r="JVT1" s="2775"/>
      <c r="JVU1" s="2775"/>
      <c r="JVV1" s="2775"/>
      <c r="JVW1" s="2775"/>
      <c r="JVX1" s="2775"/>
      <c r="JVY1" s="2775"/>
      <c r="JVZ1" s="2775"/>
      <c r="JWA1" s="2775"/>
      <c r="JWB1" s="2775"/>
      <c r="JWC1" s="2775"/>
      <c r="JWD1" s="2775"/>
      <c r="JWE1" s="2775"/>
      <c r="JWF1" s="2775"/>
      <c r="JWG1" s="2775"/>
      <c r="JWH1" s="2775"/>
      <c r="JWI1" s="2775"/>
      <c r="JWJ1" s="2775"/>
      <c r="JWK1" s="2775"/>
      <c r="JWL1" s="2775"/>
      <c r="JWM1" s="2775"/>
      <c r="JWN1" s="2775"/>
      <c r="JWO1" s="2775"/>
      <c r="JWP1" s="2775"/>
      <c r="JWQ1" s="2775"/>
      <c r="JWR1" s="2775"/>
      <c r="JWS1" s="2775"/>
      <c r="JWT1" s="2775"/>
      <c r="JWU1" s="2775"/>
      <c r="JWV1" s="2775"/>
      <c r="JWW1" s="2775"/>
      <c r="JWX1" s="2775"/>
      <c r="JWY1" s="2775"/>
      <c r="JWZ1" s="2775"/>
      <c r="JXA1" s="2775"/>
      <c r="JXB1" s="2775"/>
      <c r="JXC1" s="2775"/>
      <c r="JXD1" s="2775"/>
      <c r="JXE1" s="2775"/>
      <c r="JXF1" s="2775"/>
      <c r="JXG1" s="2775"/>
      <c r="JXH1" s="2775"/>
      <c r="JXI1" s="2775"/>
      <c r="JXJ1" s="2775"/>
      <c r="JXK1" s="2775"/>
      <c r="JXL1" s="2775"/>
      <c r="JXM1" s="2775"/>
      <c r="JXN1" s="2775"/>
      <c r="JXO1" s="2775"/>
      <c r="JXP1" s="2775"/>
      <c r="JXQ1" s="2775"/>
      <c r="JXR1" s="2775"/>
      <c r="JXS1" s="2775"/>
      <c r="JXT1" s="2775"/>
      <c r="JXU1" s="2775"/>
      <c r="JXV1" s="2775"/>
      <c r="JXW1" s="2775"/>
      <c r="JXX1" s="2775"/>
      <c r="JXY1" s="2775"/>
      <c r="JXZ1" s="2775"/>
      <c r="JYA1" s="2775"/>
      <c r="JYB1" s="2775"/>
      <c r="JYC1" s="2775"/>
      <c r="JYD1" s="2775"/>
      <c r="JYE1" s="2775"/>
      <c r="JYF1" s="2775"/>
      <c r="JYG1" s="2775"/>
      <c r="JYH1" s="2775"/>
      <c r="JYI1" s="2775"/>
      <c r="JYJ1" s="2775"/>
      <c r="JYK1" s="2775"/>
      <c r="JYL1" s="2775"/>
      <c r="JYM1" s="2775"/>
      <c r="JYN1" s="2775"/>
      <c r="JYO1" s="2775"/>
      <c r="JYP1" s="2775"/>
      <c r="JYQ1" s="2775"/>
      <c r="JYR1" s="2775"/>
      <c r="JYS1" s="2775"/>
      <c r="JYT1" s="2775"/>
      <c r="JYU1" s="2775"/>
      <c r="JYV1" s="2775"/>
      <c r="JYW1" s="2775"/>
      <c r="JYX1" s="2775"/>
      <c r="JYY1" s="2775"/>
      <c r="JYZ1" s="2775"/>
      <c r="JZA1" s="2775"/>
      <c r="JZB1" s="2775"/>
      <c r="JZC1" s="2775"/>
      <c r="JZD1" s="2775"/>
      <c r="JZE1" s="2775"/>
      <c r="JZF1" s="2775"/>
      <c r="JZG1" s="2775"/>
      <c r="JZH1" s="2775"/>
      <c r="JZI1" s="2775"/>
      <c r="JZJ1" s="2775"/>
      <c r="JZK1" s="2775"/>
      <c r="JZL1" s="2775"/>
      <c r="JZM1" s="2775"/>
      <c r="JZN1" s="2775"/>
      <c r="JZO1" s="2775"/>
      <c r="JZP1" s="2775"/>
      <c r="JZQ1" s="2775"/>
      <c r="JZR1" s="2775"/>
      <c r="JZS1" s="2775"/>
      <c r="JZT1" s="2775"/>
      <c r="JZU1" s="2775"/>
      <c r="JZV1" s="2775"/>
      <c r="JZW1" s="2775"/>
      <c r="JZX1" s="2775"/>
      <c r="JZY1" s="2775"/>
      <c r="JZZ1" s="2775"/>
      <c r="KAA1" s="2775"/>
      <c r="KAB1" s="2775"/>
      <c r="KAC1" s="2775"/>
      <c r="KAD1" s="2775"/>
      <c r="KAE1" s="2775"/>
      <c r="KAF1" s="2775"/>
      <c r="KAG1" s="2775"/>
      <c r="KAH1" s="2775"/>
      <c r="KAI1" s="2775"/>
      <c r="KAJ1" s="2775"/>
      <c r="KAK1" s="2775"/>
      <c r="KAL1" s="2775"/>
      <c r="KAM1" s="2775"/>
      <c r="KAN1" s="2775"/>
      <c r="KAO1" s="2775"/>
      <c r="KAP1" s="2775"/>
      <c r="KAQ1" s="2775"/>
      <c r="KAR1" s="2775"/>
      <c r="KAS1" s="2775"/>
      <c r="KAT1" s="2775"/>
      <c r="KAU1" s="2775"/>
      <c r="KAV1" s="2775"/>
      <c r="KAW1" s="2775"/>
      <c r="KAX1" s="2775"/>
      <c r="KAY1" s="2775"/>
      <c r="KAZ1" s="2775"/>
      <c r="KBA1" s="2775"/>
      <c r="KBB1" s="2775"/>
      <c r="KBC1" s="2775"/>
      <c r="KBD1" s="2775"/>
      <c r="KBE1" s="2775"/>
      <c r="KBF1" s="2775"/>
      <c r="KBG1" s="2775"/>
      <c r="KBH1" s="2775"/>
      <c r="KBI1" s="2775"/>
      <c r="KBJ1" s="2775"/>
      <c r="KBK1" s="2775"/>
      <c r="KBL1" s="2775"/>
      <c r="KBM1" s="2775"/>
      <c r="KBN1" s="2775"/>
      <c r="KBO1" s="2775"/>
      <c r="KBP1" s="2775"/>
      <c r="KBQ1" s="2775"/>
      <c r="KBR1" s="2775"/>
      <c r="KBS1" s="2775"/>
      <c r="KBT1" s="2775"/>
      <c r="KBU1" s="2775"/>
      <c r="KBV1" s="2775"/>
      <c r="KBW1" s="2775"/>
      <c r="KBX1" s="2775"/>
      <c r="KBY1" s="2775"/>
      <c r="KBZ1" s="2775"/>
      <c r="KCA1" s="2775"/>
      <c r="KCB1" s="2775"/>
      <c r="KCC1" s="2775"/>
      <c r="KCD1" s="2775"/>
      <c r="KCE1" s="2775"/>
      <c r="KCF1" s="2775"/>
      <c r="KCG1" s="2775"/>
      <c r="KCH1" s="2775"/>
      <c r="KCI1" s="2775"/>
      <c r="KCJ1" s="2775"/>
      <c r="KCK1" s="2775"/>
      <c r="KCL1" s="2775"/>
      <c r="KCM1" s="2775"/>
      <c r="KCN1" s="2775"/>
      <c r="KCO1" s="2775"/>
      <c r="KCP1" s="2775"/>
      <c r="KCQ1" s="2775"/>
      <c r="KCR1" s="2775"/>
      <c r="KCS1" s="2775"/>
      <c r="KCT1" s="2775"/>
      <c r="KCU1" s="2775"/>
      <c r="KCV1" s="2775"/>
      <c r="KCW1" s="2775"/>
      <c r="KCX1" s="2775"/>
      <c r="KCY1" s="2775"/>
      <c r="KCZ1" s="2775"/>
      <c r="KDA1" s="2775"/>
      <c r="KDB1" s="2775"/>
      <c r="KDC1" s="2775"/>
      <c r="KDD1" s="2775"/>
      <c r="KDE1" s="2775"/>
      <c r="KDF1" s="2775"/>
      <c r="KDG1" s="2775"/>
      <c r="KDH1" s="2775"/>
      <c r="KDI1" s="2775"/>
      <c r="KDJ1" s="2775"/>
      <c r="KDK1" s="2775"/>
      <c r="KDL1" s="2775"/>
      <c r="KDM1" s="2775"/>
      <c r="KDN1" s="2775"/>
      <c r="KDO1" s="2775"/>
      <c r="KDP1" s="2775"/>
      <c r="KDQ1" s="2775"/>
      <c r="KDR1" s="2775"/>
      <c r="KDS1" s="2775"/>
      <c r="KDT1" s="2775"/>
      <c r="KDU1" s="2775"/>
      <c r="KDV1" s="2775"/>
      <c r="KDW1" s="2775"/>
      <c r="KDX1" s="2775"/>
      <c r="KDY1" s="2775"/>
      <c r="KDZ1" s="2775"/>
      <c r="KEA1" s="2775"/>
      <c r="KEB1" s="2775"/>
      <c r="KEC1" s="2775"/>
      <c r="KED1" s="2775"/>
      <c r="KEE1" s="2775"/>
      <c r="KEF1" s="2775"/>
      <c r="KEG1" s="2775"/>
      <c r="KEH1" s="2775"/>
      <c r="KEI1" s="2775"/>
      <c r="KEJ1" s="2775"/>
      <c r="KEK1" s="2775"/>
      <c r="KEL1" s="2775"/>
      <c r="KEM1" s="2775"/>
      <c r="KEN1" s="2775"/>
      <c r="KEO1" s="2775"/>
      <c r="KEP1" s="2775"/>
      <c r="KEQ1" s="2775"/>
      <c r="KER1" s="2775"/>
      <c r="KES1" s="2775"/>
      <c r="KET1" s="2775"/>
      <c r="KEU1" s="2775"/>
      <c r="KEV1" s="2775"/>
      <c r="KEW1" s="2775"/>
      <c r="KEX1" s="2775"/>
      <c r="KEY1" s="2775"/>
      <c r="KEZ1" s="2775"/>
      <c r="KFA1" s="2775"/>
      <c r="KFB1" s="2775"/>
      <c r="KFC1" s="2775"/>
      <c r="KFD1" s="2775"/>
      <c r="KFE1" s="2775"/>
      <c r="KFF1" s="2775"/>
      <c r="KFG1" s="2775"/>
      <c r="KFH1" s="2775"/>
      <c r="KFI1" s="2775"/>
      <c r="KFJ1" s="2775"/>
      <c r="KFK1" s="2775"/>
      <c r="KFL1" s="2775"/>
      <c r="KFM1" s="2775"/>
      <c r="KFN1" s="2775"/>
      <c r="KFO1" s="2775"/>
      <c r="KFP1" s="2775"/>
      <c r="KFQ1" s="2775"/>
      <c r="KFR1" s="2775"/>
      <c r="KFS1" s="2775"/>
      <c r="KFT1" s="2775"/>
      <c r="KFU1" s="2775"/>
      <c r="KFV1" s="2775"/>
      <c r="KFW1" s="2775"/>
      <c r="KFX1" s="2775"/>
      <c r="KFY1" s="2775"/>
      <c r="KFZ1" s="2775"/>
      <c r="KGA1" s="2775"/>
      <c r="KGB1" s="2775"/>
      <c r="KGC1" s="2775"/>
      <c r="KGD1" s="2775"/>
      <c r="KGE1" s="2775"/>
      <c r="KGF1" s="2775"/>
      <c r="KGG1" s="2775"/>
      <c r="KGH1" s="2775"/>
      <c r="KGI1" s="2775"/>
      <c r="KGJ1" s="2775"/>
      <c r="KGK1" s="2775"/>
      <c r="KGL1" s="2775"/>
      <c r="KGM1" s="2775"/>
      <c r="KGN1" s="2775"/>
      <c r="KGO1" s="2775"/>
      <c r="KGP1" s="2775"/>
      <c r="KGQ1" s="2775"/>
      <c r="KGR1" s="2775"/>
      <c r="KGS1" s="2775"/>
      <c r="KGT1" s="2775"/>
      <c r="KGU1" s="2775"/>
      <c r="KGV1" s="2775"/>
      <c r="KGW1" s="2775"/>
      <c r="KGX1" s="2775"/>
      <c r="KGY1" s="2775"/>
      <c r="KGZ1" s="2775"/>
      <c r="KHA1" s="2775"/>
      <c r="KHB1" s="2775"/>
      <c r="KHC1" s="2775"/>
      <c r="KHD1" s="2775"/>
      <c r="KHE1" s="2775"/>
      <c r="KHF1" s="2775"/>
      <c r="KHG1" s="2775"/>
      <c r="KHH1" s="2775"/>
      <c r="KHI1" s="2775"/>
      <c r="KHJ1" s="2775"/>
      <c r="KHK1" s="2775"/>
      <c r="KHL1" s="2775"/>
      <c r="KHM1" s="2775"/>
      <c r="KHN1" s="2775"/>
      <c r="KHO1" s="2775"/>
      <c r="KHP1" s="2775"/>
      <c r="KHQ1" s="2775"/>
      <c r="KHR1" s="2775"/>
      <c r="KHS1" s="2775"/>
      <c r="KHT1" s="2775"/>
      <c r="KHU1" s="2775"/>
      <c r="KHV1" s="2775"/>
      <c r="KHW1" s="2775"/>
      <c r="KHX1" s="2775"/>
      <c r="KHY1" s="2775"/>
      <c r="KHZ1" s="2775"/>
      <c r="KIA1" s="2775"/>
      <c r="KIB1" s="2775"/>
      <c r="KIC1" s="2775"/>
      <c r="KID1" s="2775"/>
      <c r="KIE1" s="2775"/>
      <c r="KIF1" s="2775"/>
      <c r="KIG1" s="2775"/>
      <c r="KIH1" s="2775"/>
      <c r="KII1" s="2775"/>
      <c r="KIJ1" s="2775"/>
      <c r="KIK1" s="2775"/>
      <c r="KIL1" s="2775"/>
      <c r="KIM1" s="2775"/>
      <c r="KIN1" s="2775"/>
      <c r="KIO1" s="2775"/>
      <c r="KIP1" s="2775"/>
      <c r="KIQ1" s="2775"/>
      <c r="KIR1" s="2775"/>
      <c r="KIS1" s="2775"/>
      <c r="KIT1" s="2775"/>
      <c r="KIU1" s="2775"/>
      <c r="KIV1" s="2775"/>
      <c r="KIW1" s="2775"/>
      <c r="KIX1" s="2775"/>
      <c r="KIY1" s="2775"/>
      <c r="KIZ1" s="2775"/>
      <c r="KJA1" s="2775"/>
      <c r="KJB1" s="2775"/>
      <c r="KJC1" s="2775"/>
      <c r="KJD1" s="2775"/>
      <c r="KJE1" s="2775"/>
      <c r="KJF1" s="2775"/>
      <c r="KJG1" s="2775"/>
      <c r="KJH1" s="2775"/>
      <c r="KJI1" s="2775"/>
      <c r="KJJ1" s="2775"/>
      <c r="KJK1" s="2775"/>
      <c r="KJL1" s="2775"/>
      <c r="KJM1" s="2775"/>
      <c r="KJN1" s="2775"/>
      <c r="KJO1" s="2775"/>
      <c r="KJP1" s="2775"/>
      <c r="KJQ1" s="2775"/>
      <c r="KJR1" s="2775"/>
      <c r="KJS1" s="2775"/>
      <c r="KJT1" s="2775"/>
      <c r="KJU1" s="2775"/>
      <c r="KJV1" s="2775"/>
      <c r="KJW1" s="2775"/>
      <c r="KJX1" s="2775"/>
      <c r="KJY1" s="2775"/>
      <c r="KJZ1" s="2775"/>
      <c r="KKA1" s="2775"/>
      <c r="KKB1" s="2775"/>
      <c r="KKC1" s="2775"/>
      <c r="KKD1" s="2775"/>
      <c r="KKE1" s="2775"/>
      <c r="KKF1" s="2775"/>
      <c r="KKG1" s="2775"/>
      <c r="KKH1" s="2775"/>
      <c r="KKI1" s="2775"/>
      <c r="KKJ1" s="2775"/>
      <c r="KKK1" s="2775"/>
      <c r="KKL1" s="2775"/>
      <c r="KKM1" s="2775"/>
      <c r="KKN1" s="2775"/>
      <c r="KKO1" s="2775"/>
      <c r="KKP1" s="2775"/>
      <c r="KKQ1" s="2775"/>
      <c r="KKR1" s="2775"/>
      <c r="KKS1" s="2775"/>
      <c r="KKT1" s="2775"/>
      <c r="KKU1" s="2775"/>
      <c r="KKV1" s="2775"/>
      <c r="KKW1" s="2775"/>
      <c r="KKX1" s="2775"/>
      <c r="KKY1" s="2775"/>
      <c r="KKZ1" s="2775"/>
      <c r="KLA1" s="2775"/>
      <c r="KLB1" s="2775"/>
      <c r="KLC1" s="2775"/>
      <c r="KLD1" s="2775"/>
      <c r="KLE1" s="2775"/>
      <c r="KLF1" s="2775"/>
      <c r="KLG1" s="2775"/>
      <c r="KLH1" s="2775"/>
      <c r="KLI1" s="2775"/>
      <c r="KLJ1" s="2775"/>
      <c r="KLK1" s="2775"/>
      <c r="KLL1" s="2775"/>
      <c r="KLM1" s="2775"/>
      <c r="KLN1" s="2775"/>
      <c r="KLO1" s="2775"/>
      <c r="KLP1" s="2775"/>
      <c r="KLQ1" s="2775"/>
      <c r="KLR1" s="2775"/>
      <c r="KLS1" s="2775"/>
      <c r="KLT1" s="2775"/>
      <c r="KLU1" s="2775"/>
      <c r="KLV1" s="2775"/>
      <c r="KLW1" s="2775"/>
      <c r="KLX1" s="2775"/>
      <c r="KLY1" s="2775"/>
      <c r="KLZ1" s="2775"/>
      <c r="KMA1" s="2775"/>
      <c r="KMB1" s="2775"/>
      <c r="KMC1" s="2775"/>
      <c r="KMD1" s="2775"/>
      <c r="KME1" s="2775"/>
      <c r="KMF1" s="2775"/>
      <c r="KMG1" s="2775"/>
      <c r="KMH1" s="2775"/>
      <c r="KMI1" s="2775"/>
      <c r="KMJ1" s="2775"/>
      <c r="KMK1" s="2775"/>
      <c r="KML1" s="2775"/>
      <c r="KMM1" s="2775"/>
      <c r="KMN1" s="2775"/>
      <c r="KMO1" s="2775"/>
      <c r="KMP1" s="2775"/>
      <c r="KMQ1" s="2775"/>
      <c r="KMR1" s="2775"/>
      <c r="KMS1" s="2775"/>
      <c r="KMT1" s="2775"/>
      <c r="KMU1" s="2775"/>
      <c r="KMV1" s="2775"/>
      <c r="KMW1" s="2775"/>
      <c r="KMX1" s="2775"/>
      <c r="KMY1" s="2775"/>
      <c r="KMZ1" s="2775"/>
      <c r="KNA1" s="2775"/>
      <c r="KNB1" s="2775"/>
      <c r="KNC1" s="2775"/>
      <c r="KND1" s="2775"/>
      <c r="KNE1" s="2775"/>
      <c r="KNF1" s="2775"/>
      <c r="KNG1" s="2775"/>
      <c r="KNH1" s="2775"/>
      <c r="KNI1" s="2775"/>
      <c r="KNJ1" s="2775"/>
      <c r="KNK1" s="2775"/>
      <c r="KNL1" s="2775"/>
      <c r="KNM1" s="2775"/>
      <c r="KNN1" s="2775"/>
      <c r="KNO1" s="2775"/>
      <c r="KNP1" s="2775"/>
      <c r="KNQ1" s="2775"/>
      <c r="KNR1" s="2775"/>
      <c r="KNS1" s="2775"/>
      <c r="KNT1" s="2775"/>
      <c r="KNU1" s="2775"/>
      <c r="KNV1" s="2775"/>
      <c r="KNW1" s="2775"/>
      <c r="KNX1" s="2775"/>
      <c r="KNY1" s="2775"/>
      <c r="KNZ1" s="2775"/>
      <c r="KOA1" s="2775"/>
      <c r="KOB1" s="2775"/>
      <c r="KOC1" s="2775"/>
      <c r="KOD1" s="2775"/>
      <c r="KOE1" s="2775"/>
      <c r="KOF1" s="2775"/>
      <c r="KOG1" s="2775"/>
      <c r="KOH1" s="2775"/>
      <c r="KOI1" s="2775"/>
      <c r="KOJ1" s="2775"/>
      <c r="KOK1" s="2775"/>
      <c r="KOL1" s="2775"/>
      <c r="KOM1" s="2775"/>
      <c r="KON1" s="2775"/>
      <c r="KOO1" s="2775"/>
      <c r="KOP1" s="2775"/>
      <c r="KOQ1" s="2775"/>
      <c r="KOR1" s="2775"/>
      <c r="KOS1" s="2775"/>
      <c r="KOT1" s="2775"/>
      <c r="KOU1" s="2775"/>
      <c r="KOV1" s="2775"/>
      <c r="KOW1" s="2775"/>
      <c r="KOX1" s="2775"/>
      <c r="KOY1" s="2775"/>
      <c r="KOZ1" s="2775"/>
      <c r="KPA1" s="2775"/>
      <c r="KPB1" s="2775"/>
      <c r="KPC1" s="2775"/>
      <c r="KPD1" s="2775"/>
      <c r="KPE1" s="2775"/>
      <c r="KPF1" s="2775"/>
      <c r="KPG1" s="2775"/>
      <c r="KPH1" s="2775"/>
      <c r="KPI1" s="2775"/>
      <c r="KPJ1" s="2775"/>
      <c r="KPK1" s="2775"/>
      <c r="KPL1" s="2775"/>
      <c r="KPM1" s="2775"/>
      <c r="KPN1" s="2775"/>
      <c r="KPO1" s="2775"/>
      <c r="KPP1" s="2775"/>
      <c r="KPQ1" s="2775"/>
      <c r="KPR1" s="2775"/>
      <c r="KPS1" s="2775"/>
      <c r="KPT1" s="2775"/>
      <c r="KPU1" s="2775"/>
      <c r="KPV1" s="2775"/>
      <c r="KPW1" s="2775"/>
      <c r="KPX1" s="2775"/>
      <c r="KPY1" s="2775"/>
      <c r="KPZ1" s="2775"/>
      <c r="KQA1" s="2775"/>
      <c r="KQB1" s="2775"/>
      <c r="KQC1" s="2775"/>
      <c r="KQD1" s="2775"/>
      <c r="KQE1" s="2775"/>
      <c r="KQF1" s="2775"/>
      <c r="KQG1" s="2775"/>
      <c r="KQH1" s="2775"/>
      <c r="KQI1" s="2775"/>
      <c r="KQJ1" s="2775"/>
      <c r="KQK1" s="2775"/>
      <c r="KQL1" s="2775"/>
      <c r="KQM1" s="2775"/>
      <c r="KQN1" s="2775"/>
      <c r="KQO1" s="2775"/>
      <c r="KQP1" s="2775"/>
      <c r="KQQ1" s="2775"/>
      <c r="KQR1" s="2775"/>
      <c r="KQS1" s="2775"/>
      <c r="KQT1" s="2775"/>
      <c r="KQU1" s="2775"/>
      <c r="KQV1" s="2775"/>
      <c r="KQW1" s="2775"/>
      <c r="KQX1" s="2775"/>
      <c r="KQY1" s="2775"/>
      <c r="KQZ1" s="2775"/>
      <c r="KRA1" s="2775"/>
      <c r="KRB1" s="2775"/>
      <c r="KRC1" s="2775"/>
      <c r="KRD1" s="2775"/>
      <c r="KRE1" s="2775"/>
      <c r="KRF1" s="2775"/>
      <c r="KRG1" s="2775"/>
      <c r="KRH1" s="2775"/>
      <c r="KRI1" s="2775"/>
      <c r="KRJ1" s="2775"/>
      <c r="KRK1" s="2775"/>
      <c r="KRL1" s="2775"/>
      <c r="KRM1" s="2775"/>
      <c r="KRN1" s="2775"/>
      <c r="KRO1" s="2775"/>
      <c r="KRP1" s="2775"/>
      <c r="KRQ1" s="2775"/>
      <c r="KRR1" s="2775"/>
      <c r="KRS1" s="2775"/>
      <c r="KRT1" s="2775"/>
      <c r="KRU1" s="2775"/>
      <c r="KRV1" s="2775"/>
      <c r="KRW1" s="2775"/>
      <c r="KRX1" s="2775"/>
      <c r="KRY1" s="2775"/>
      <c r="KRZ1" s="2775"/>
      <c r="KSA1" s="2775"/>
      <c r="KSB1" s="2775"/>
      <c r="KSC1" s="2775"/>
      <c r="KSD1" s="2775"/>
      <c r="KSE1" s="2775"/>
      <c r="KSF1" s="2775"/>
      <c r="KSG1" s="2775"/>
      <c r="KSH1" s="2775"/>
      <c r="KSI1" s="2775"/>
      <c r="KSJ1" s="2775"/>
      <c r="KSK1" s="2775"/>
      <c r="KSL1" s="2775"/>
      <c r="KSM1" s="2775"/>
      <c r="KSN1" s="2775"/>
      <c r="KSO1" s="2775"/>
      <c r="KSP1" s="2775"/>
      <c r="KSQ1" s="2775"/>
      <c r="KSR1" s="2775"/>
      <c r="KSS1" s="2775"/>
      <c r="KST1" s="2775"/>
      <c r="KSU1" s="2775"/>
      <c r="KSV1" s="2775"/>
      <c r="KSW1" s="2775"/>
      <c r="KSX1" s="2775"/>
      <c r="KSY1" s="2775"/>
      <c r="KSZ1" s="2775"/>
      <c r="KTA1" s="2775"/>
      <c r="KTB1" s="2775"/>
      <c r="KTC1" s="2775"/>
      <c r="KTD1" s="2775"/>
      <c r="KTE1" s="2775"/>
      <c r="KTF1" s="2775"/>
      <c r="KTG1" s="2775"/>
      <c r="KTH1" s="2775"/>
      <c r="KTI1" s="2775"/>
      <c r="KTJ1" s="2775"/>
      <c r="KTK1" s="2775"/>
      <c r="KTL1" s="2775"/>
      <c r="KTM1" s="2775"/>
      <c r="KTN1" s="2775"/>
      <c r="KTO1" s="2775"/>
      <c r="KTP1" s="2775"/>
      <c r="KTQ1" s="2775"/>
      <c r="KTR1" s="2775"/>
      <c r="KTS1" s="2775"/>
      <c r="KTT1" s="2775"/>
      <c r="KTU1" s="2775"/>
      <c r="KTV1" s="2775"/>
      <c r="KTW1" s="2775"/>
      <c r="KTX1" s="2775"/>
      <c r="KTY1" s="2775"/>
      <c r="KTZ1" s="2775"/>
      <c r="KUA1" s="2775"/>
      <c r="KUB1" s="2775"/>
      <c r="KUC1" s="2775"/>
      <c r="KUD1" s="2775"/>
      <c r="KUE1" s="2775"/>
      <c r="KUF1" s="2775"/>
      <c r="KUG1" s="2775"/>
      <c r="KUH1" s="2775"/>
      <c r="KUI1" s="2775"/>
      <c r="KUJ1" s="2775"/>
      <c r="KUK1" s="2775"/>
      <c r="KUL1" s="2775"/>
      <c r="KUM1" s="2775"/>
      <c r="KUN1" s="2775"/>
      <c r="KUO1" s="2775"/>
      <c r="KUP1" s="2775"/>
      <c r="KUQ1" s="2775"/>
      <c r="KUR1" s="2775"/>
      <c r="KUS1" s="2775"/>
      <c r="KUT1" s="2775"/>
      <c r="KUU1" s="2775"/>
      <c r="KUV1" s="2775"/>
      <c r="KUW1" s="2775"/>
      <c r="KUX1" s="2775"/>
      <c r="KUY1" s="2775"/>
      <c r="KUZ1" s="2775"/>
      <c r="KVA1" s="2775"/>
      <c r="KVB1" s="2775"/>
      <c r="KVC1" s="2775"/>
      <c r="KVD1" s="2775"/>
      <c r="KVE1" s="2775"/>
      <c r="KVF1" s="2775"/>
      <c r="KVG1" s="2775"/>
      <c r="KVH1" s="2775"/>
      <c r="KVI1" s="2775"/>
      <c r="KVJ1" s="2775"/>
      <c r="KVK1" s="2775"/>
      <c r="KVL1" s="2775"/>
      <c r="KVM1" s="2775"/>
      <c r="KVN1" s="2775"/>
      <c r="KVO1" s="2775"/>
      <c r="KVP1" s="2775"/>
      <c r="KVQ1" s="2775"/>
      <c r="KVR1" s="2775"/>
      <c r="KVS1" s="2775"/>
      <c r="KVT1" s="2775"/>
      <c r="KVU1" s="2775"/>
      <c r="KVV1" s="2775"/>
      <c r="KVW1" s="2775"/>
      <c r="KVX1" s="2775"/>
      <c r="KVY1" s="2775"/>
      <c r="KVZ1" s="2775"/>
      <c r="KWA1" s="2775"/>
      <c r="KWB1" s="2775"/>
      <c r="KWC1" s="2775"/>
      <c r="KWD1" s="2775"/>
      <c r="KWE1" s="2775"/>
      <c r="KWF1" s="2775"/>
      <c r="KWG1" s="2775"/>
      <c r="KWH1" s="2775"/>
      <c r="KWI1" s="2775"/>
      <c r="KWJ1" s="2775"/>
      <c r="KWK1" s="2775"/>
      <c r="KWL1" s="2775"/>
      <c r="KWM1" s="2775"/>
      <c r="KWN1" s="2775"/>
      <c r="KWO1" s="2775"/>
      <c r="KWP1" s="2775"/>
      <c r="KWQ1" s="2775"/>
      <c r="KWR1" s="2775"/>
      <c r="KWS1" s="2775"/>
      <c r="KWT1" s="2775"/>
      <c r="KWU1" s="2775"/>
      <c r="KWV1" s="2775"/>
      <c r="KWW1" s="2775"/>
      <c r="KWX1" s="2775"/>
      <c r="KWY1" s="2775"/>
      <c r="KWZ1" s="2775"/>
      <c r="KXA1" s="2775"/>
      <c r="KXB1" s="2775"/>
      <c r="KXC1" s="2775"/>
      <c r="KXD1" s="2775"/>
      <c r="KXE1" s="2775"/>
      <c r="KXF1" s="2775"/>
      <c r="KXG1" s="2775"/>
      <c r="KXH1" s="2775"/>
      <c r="KXI1" s="2775"/>
      <c r="KXJ1" s="2775"/>
      <c r="KXK1" s="2775"/>
      <c r="KXL1" s="2775"/>
      <c r="KXM1" s="2775"/>
      <c r="KXN1" s="2775"/>
      <c r="KXO1" s="2775"/>
      <c r="KXP1" s="2775"/>
      <c r="KXQ1" s="2775"/>
      <c r="KXR1" s="2775"/>
      <c r="KXS1" s="2775"/>
      <c r="KXT1" s="2775"/>
      <c r="KXU1" s="2775"/>
      <c r="KXV1" s="2775"/>
      <c r="KXW1" s="2775"/>
      <c r="KXX1" s="2775"/>
      <c r="KXY1" s="2775"/>
      <c r="KXZ1" s="2775"/>
      <c r="KYA1" s="2775"/>
      <c r="KYB1" s="2775"/>
      <c r="KYC1" s="2775"/>
      <c r="KYD1" s="2775"/>
      <c r="KYE1" s="2775"/>
      <c r="KYF1" s="2775"/>
      <c r="KYG1" s="2775"/>
      <c r="KYH1" s="2775"/>
      <c r="KYI1" s="2775"/>
      <c r="KYJ1" s="2775"/>
      <c r="KYK1" s="2775"/>
      <c r="KYL1" s="2775"/>
      <c r="KYM1" s="2775"/>
      <c r="KYN1" s="2775"/>
      <c r="KYO1" s="2775"/>
      <c r="KYP1" s="2775"/>
      <c r="KYQ1" s="2775"/>
      <c r="KYR1" s="2775"/>
      <c r="KYS1" s="2775"/>
      <c r="KYT1" s="2775"/>
      <c r="KYU1" s="2775"/>
      <c r="KYV1" s="2775"/>
      <c r="KYW1" s="2775"/>
      <c r="KYX1" s="2775"/>
      <c r="KYY1" s="2775"/>
      <c r="KYZ1" s="2775"/>
      <c r="KZA1" s="2775"/>
      <c r="KZB1" s="2775"/>
      <c r="KZC1" s="2775"/>
      <c r="KZD1" s="2775"/>
      <c r="KZE1" s="2775"/>
      <c r="KZF1" s="2775"/>
      <c r="KZG1" s="2775"/>
      <c r="KZH1" s="2775"/>
      <c r="KZI1" s="2775"/>
      <c r="KZJ1" s="2775"/>
      <c r="KZK1" s="2775"/>
      <c r="KZL1" s="2775"/>
      <c r="KZM1" s="2775"/>
      <c r="KZN1" s="2775"/>
      <c r="KZO1" s="2775"/>
      <c r="KZP1" s="2775"/>
      <c r="KZQ1" s="2775"/>
      <c r="KZR1" s="2775"/>
      <c r="KZS1" s="2775"/>
      <c r="KZT1" s="2775"/>
      <c r="KZU1" s="2775"/>
      <c r="KZV1" s="2775"/>
      <c r="KZW1" s="2775"/>
      <c r="KZX1" s="2775"/>
      <c r="KZY1" s="2775"/>
      <c r="KZZ1" s="2775"/>
      <c r="LAA1" s="2775"/>
      <c r="LAB1" s="2775"/>
      <c r="LAC1" s="2775"/>
      <c r="LAD1" s="2775"/>
      <c r="LAE1" s="2775"/>
      <c r="LAF1" s="2775"/>
      <c r="LAG1" s="2775"/>
      <c r="LAH1" s="2775"/>
      <c r="LAI1" s="2775"/>
      <c r="LAJ1" s="2775"/>
      <c r="LAK1" s="2775"/>
      <c r="LAL1" s="2775"/>
      <c r="LAM1" s="2775"/>
      <c r="LAN1" s="2775"/>
      <c r="LAO1" s="2775"/>
      <c r="LAP1" s="2775"/>
      <c r="LAQ1" s="2775"/>
      <c r="LAR1" s="2775"/>
      <c r="LAS1" s="2775"/>
      <c r="LAT1" s="2775"/>
      <c r="LAU1" s="2775"/>
      <c r="LAV1" s="2775"/>
      <c r="LAW1" s="2775"/>
      <c r="LAX1" s="2775"/>
      <c r="LAY1" s="2775"/>
      <c r="LAZ1" s="2775"/>
      <c r="LBA1" s="2775"/>
      <c r="LBB1" s="2775"/>
      <c r="LBC1" s="2775"/>
      <c r="LBD1" s="2775"/>
      <c r="LBE1" s="2775"/>
      <c r="LBF1" s="2775"/>
      <c r="LBG1" s="2775"/>
      <c r="LBH1" s="2775"/>
      <c r="LBI1" s="2775"/>
      <c r="LBJ1" s="2775"/>
      <c r="LBK1" s="2775"/>
      <c r="LBL1" s="2775"/>
      <c r="LBM1" s="2775"/>
      <c r="LBN1" s="2775"/>
      <c r="LBO1" s="2775"/>
      <c r="LBP1" s="2775"/>
      <c r="LBQ1" s="2775"/>
      <c r="LBR1" s="2775"/>
      <c r="LBS1" s="2775"/>
      <c r="LBT1" s="2775"/>
      <c r="LBU1" s="2775"/>
      <c r="LBV1" s="2775"/>
      <c r="LBW1" s="2775"/>
      <c r="LBX1" s="2775"/>
      <c r="LBY1" s="2775"/>
      <c r="LBZ1" s="2775"/>
      <c r="LCA1" s="2775"/>
      <c r="LCB1" s="2775"/>
      <c r="LCC1" s="2775"/>
      <c r="LCD1" s="2775"/>
      <c r="LCE1" s="2775"/>
      <c r="LCF1" s="2775"/>
      <c r="LCG1" s="2775"/>
      <c r="LCH1" s="2775"/>
      <c r="LCI1" s="2775"/>
      <c r="LCJ1" s="2775"/>
      <c r="LCK1" s="2775"/>
      <c r="LCL1" s="2775"/>
      <c r="LCM1" s="2775"/>
      <c r="LCN1" s="2775"/>
      <c r="LCO1" s="2775"/>
      <c r="LCP1" s="2775"/>
      <c r="LCQ1" s="2775"/>
      <c r="LCR1" s="2775"/>
      <c r="LCS1" s="2775"/>
      <c r="LCT1" s="2775"/>
      <c r="LCU1" s="2775"/>
      <c r="LCV1" s="2775"/>
      <c r="LCW1" s="2775"/>
      <c r="LCX1" s="2775"/>
      <c r="LCY1" s="2775"/>
      <c r="LCZ1" s="2775"/>
      <c r="LDA1" s="2775"/>
      <c r="LDB1" s="2775"/>
      <c r="LDC1" s="2775"/>
      <c r="LDD1" s="2775"/>
      <c r="LDE1" s="2775"/>
      <c r="LDF1" s="2775"/>
      <c r="LDG1" s="2775"/>
      <c r="LDH1" s="2775"/>
      <c r="LDI1" s="2775"/>
      <c r="LDJ1" s="2775"/>
      <c r="LDK1" s="2775"/>
      <c r="LDL1" s="2775"/>
      <c r="LDM1" s="2775"/>
      <c r="LDN1" s="2775"/>
      <c r="LDO1" s="2775"/>
      <c r="LDP1" s="2775"/>
      <c r="LDQ1" s="2775"/>
      <c r="LDR1" s="2775"/>
      <c r="LDS1" s="2775"/>
      <c r="LDT1" s="2775"/>
      <c r="LDU1" s="2775"/>
      <c r="LDV1" s="2775"/>
      <c r="LDW1" s="2775"/>
      <c r="LDX1" s="2775"/>
      <c r="LDY1" s="2775"/>
      <c r="LDZ1" s="2775"/>
      <c r="LEA1" s="2775"/>
      <c r="LEB1" s="2775"/>
      <c r="LEC1" s="2775"/>
      <c r="LED1" s="2775"/>
      <c r="LEE1" s="2775"/>
      <c r="LEF1" s="2775"/>
      <c r="LEG1" s="2775"/>
      <c r="LEH1" s="2775"/>
      <c r="LEI1" s="2775"/>
      <c r="LEJ1" s="2775"/>
      <c r="LEK1" s="2775"/>
      <c r="LEL1" s="2775"/>
      <c r="LEM1" s="2775"/>
      <c r="LEN1" s="2775"/>
      <c r="LEO1" s="2775"/>
      <c r="LEP1" s="2775"/>
      <c r="LEQ1" s="2775"/>
      <c r="LER1" s="2775"/>
      <c r="LES1" s="2775"/>
      <c r="LET1" s="2775"/>
      <c r="LEU1" s="2775"/>
      <c r="LEV1" s="2775"/>
      <c r="LEW1" s="2775"/>
      <c r="LEX1" s="2775"/>
      <c r="LEY1" s="2775"/>
      <c r="LEZ1" s="2775"/>
      <c r="LFA1" s="2775"/>
      <c r="LFB1" s="2775"/>
      <c r="LFC1" s="2775"/>
      <c r="LFD1" s="2775"/>
      <c r="LFE1" s="2775"/>
      <c r="LFF1" s="2775"/>
      <c r="LFG1" s="2775"/>
      <c r="LFH1" s="2775"/>
      <c r="LFI1" s="2775"/>
      <c r="LFJ1" s="2775"/>
      <c r="LFK1" s="2775"/>
      <c r="LFL1" s="2775"/>
      <c r="LFM1" s="2775"/>
      <c r="LFN1" s="2775"/>
      <c r="LFO1" s="2775"/>
      <c r="LFP1" s="2775"/>
      <c r="LFQ1" s="2775"/>
      <c r="LFR1" s="2775"/>
      <c r="LFS1" s="2775"/>
      <c r="LFT1" s="2775"/>
      <c r="LFU1" s="2775"/>
      <c r="LFV1" s="2775"/>
      <c r="LFW1" s="2775"/>
      <c r="LFX1" s="2775"/>
      <c r="LFY1" s="2775"/>
      <c r="LFZ1" s="2775"/>
      <c r="LGA1" s="2775"/>
      <c r="LGB1" s="2775"/>
      <c r="LGC1" s="2775"/>
      <c r="LGD1" s="2775"/>
      <c r="LGE1" s="2775"/>
      <c r="LGF1" s="2775"/>
      <c r="LGG1" s="2775"/>
      <c r="LGH1" s="2775"/>
      <c r="LGI1" s="2775"/>
      <c r="LGJ1" s="2775"/>
      <c r="LGK1" s="2775"/>
      <c r="LGL1" s="2775"/>
      <c r="LGM1" s="2775"/>
      <c r="LGN1" s="2775"/>
      <c r="LGO1" s="2775"/>
      <c r="LGP1" s="2775"/>
      <c r="LGQ1" s="2775"/>
      <c r="LGR1" s="2775"/>
      <c r="LGS1" s="2775"/>
      <c r="LGT1" s="2775"/>
      <c r="LGU1" s="2775"/>
      <c r="LGV1" s="2775"/>
      <c r="LGW1" s="2775"/>
      <c r="LGX1" s="2775"/>
      <c r="LGY1" s="2775"/>
      <c r="LGZ1" s="2775"/>
      <c r="LHA1" s="2775"/>
      <c r="LHB1" s="2775"/>
      <c r="LHC1" s="2775"/>
      <c r="LHD1" s="2775"/>
      <c r="LHE1" s="2775"/>
      <c r="LHF1" s="2775"/>
      <c r="LHG1" s="2775"/>
      <c r="LHH1" s="2775"/>
      <c r="LHI1" s="2775"/>
      <c r="LHJ1" s="2775"/>
      <c r="LHK1" s="2775"/>
      <c r="LHL1" s="2775"/>
      <c r="LHM1" s="2775"/>
      <c r="LHN1" s="2775"/>
      <c r="LHO1" s="2775"/>
      <c r="LHP1" s="2775"/>
      <c r="LHQ1" s="2775"/>
      <c r="LHR1" s="2775"/>
      <c r="LHS1" s="2775"/>
      <c r="LHT1" s="2775"/>
      <c r="LHU1" s="2775"/>
      <c r="LHV1" s="2775"/>
      <c r="LHW1" s="2775"/>
      <c r="LHX1" s="2775"/>
      <c r="LHY1" s="2775"/>
      <c r="LHZ1" s="2775"/>
      <c r="LIA1" s="2775"/>
      <c r="LIB1" s="2775"/>
      <c r="LIC1" s="2775"/>
      <c r="LID1" s="2775"/>
      <c r="LIE1" s="2775"/>
      <c r="LIF1" s="2775"/>
      <c r="LIG1" s="2775"/>
      <c r="LIH1" s="2775"/>
      <c r="LII1" s="2775"/>
      <c r="LIJ1" s="2775"/>
      <c r="LIK1" s="2775"/>
      <c r="LIL1" s="2775"/>
      <c r="LIM1" s="2775"/>
      <c r="LIN1" s="2775"/>
      <c r="LIO1" s="2775"/>
      <c r="LIP1" s="2775"/>
      <c r="LIQ1" s="2775"/>
      <c r="LIR1" s="2775"/>
      <c r="LIS1" s="2775"/>
      <c r="LIT1" s="2775"/>
      <c r="LIU1" s="2775"/>
      <c r="LIV1" s="2775"/>
      <c r="LIW1" s="2775"/>
      <c r="LIX1" s="2775"/>
      <c r="LIY1" s="2775"/>
      <c r="LIZ1" s="2775"/>
      <c r="LJA1" s="2775"/>
      <c r="LJB1" s="2775"/>
      <c r="LJC1" s="2775"/>
      <c r="LJD1" s="2775"/>
      <c r="LJE1" s="2775"/>
      <c r="LJF1" s="2775"/>
      <c r="LJG1" s="2775"/>
      <c r="LJH1" s="2775"/>
      <c r="LJI1" s="2775"/>
      <c r="LJJ1" s="2775"/>
      <c r="LJK1" s="2775"/>
      <c r="LJL1" s="2775"/>
      <c r="LJM1" s="2775"/>
      <c r="LJN1" s="2775"/>
      <c r="LJO1" s="2775"/>
      <c r="LJP1" s="2775"/>
      <c r="LJQ1" s="2775"/>
      <c r="LJR1" s="2775"/>
      <c r="LJS1" s="2775"/>
      <c r="LJT1" s="2775"/>
      <c r="LJU1" s="2775"/>
      <c r="LJV1" s="2775"/>
      <c r="LJW1" s="2775"/>
      <c r="LJX1" s="2775"/>
      <c r="LJY1" s="2775"/>
      <c r="LJZ1" s="2775"/>
      <c r="LKA1" s="2775"/>
      <c r="LKB1" s="2775"/>
      <c r="LKC1" s="2775"/>
      <c r="LKD1" s="2775"/>
      <c r="LKE1" s="2775"/>
      <c r="LKF1" s="2775"/>
      <c r="LKG1" s="2775"/>
      <c r="LKH1" s="2775"/>
      <c r="LKI1" s="2775"/>
      <c r="LKJ1" s="2775"/>
      <c r="LKK1" s="2775"/>
      <c r="LKL1" s="2775"/>
      <c r="LKM1" s="2775"/>
      <c r="LKN1" s="2775"/>
      <c r="LKO1" s="2775"/>
      <c r="LKP1" s="2775"/>
      <c r="LKQ1" s="2775"/>
      <c r="LKR1" s="2775"/>
      <c r="LKS1" s="2775"/>
      <c r="LKT1" s="2775"/>
      <c r="LKU1" s="2775"/>
      <c r="LKV1" s="2775"/>
      <c r="LKW1" s="2775"/>
      <c r="LKX1" s="2775"/>
      <c r="LKY1" s="2775"/>
      <c r="LKZ1" s="2775"/>
      <c r="LLA1" s="2775"/>
      <c r="LLB1" s="2775"/>
      <c r="LLC1" s="2775"/>
      <c r="LLD1" s="2775"/>
      <c r="LLE1" s="2775"/>
      <c r="LLF1" s="2775"/>
      <c r="LLG1" s="2775"/>
      <c r="LLH1" s="2775"/>
      <c r="LLI1" s="2775"/>
      <c r="LLJ1" s="2775"/>
      <c r="LLK1" s="2775"/>
      <c r="LLL1" s="2775"/>
      <c r="LLM1" s="2775"/>
      <c r="LLN1" s="2775"/>
      <c r="LLO1" s="2775"/>
      <c r="LLP1" s="2775"/>
      <c r="LLQ1" s="2775"/>
      <c r="LLR1" s="2775"/>
      <c r="LLS1" s="2775"/>
      <c r="LLT1" s="2775"/>
      <c r="LLU1" s="2775"/>
      <c r="LLV1" s="2775"/>
      <c r="LLW1" s="2775"/>
      <c r="LLX1" s="2775"/>
      <c r="LLY1" s="2775"/>
      <c r="LLZ1" s="2775"/>
      <c r="LMA1" s="2775"/>
      <c r="LMB1" s="2775"/>
      <c r="LMC1" s="2775"/>
      <c r="LMD1" s="2775"/>
      <c r="LME1" s="2775"/>
      <c r="LMF1" s="2775"/>
      <c r="LMG1" s="2775"/>
      <c r="LMH1" s="2775"/>
      <c r="LMI1" s="2775"/>
      <c r="LMJ1" s="2775"/>
      <c r="LMK1" s="2775"/>
      <c r="LML1" s="2775"/>
      <c r="LMM1" s="2775"/>
      <c r="LMN1" s="2775"/>
      <c r="LMO1" s="2775"/>
      <c r="LMP1" s="2775"/>
      <c r="LMQ1" s="2775"/>
      <c r="LMR1" s="2775"/>
      <c r="LMS1" s="2775"/>
      <c r="LMT1" s="2775"/>
      <c r="LMU1" s="2775"/>
      <c r="LMV1" s="2775"/>
      <c r="LMW1" s="2775"/>
      <c r="LMX1" s="2775"/>
      <c r="LMY1" s="2775"/>
      <c r="LMZ1" s="2775"/>
      <c r="LNA1" s="2775"/>
      <c r="LNB1" s="2775"/>
      <c r="LNC1" s="2775"/>
      <c r="LND1" s="2775"/>
      <c r="LNE1" s="2775"/>
      <c r="LNF1" s="2775"/>
      <c r="LNG1" s="2775"/>
      <c r="LNH1" s="2775"/>
      <c r="LNI1" s="2775"/>
      <c r="LNJ1" s="2775"/>
      <c r="LNK1" s="2775"/>
      <c r="LNL1" s="2775"/>
      <c r="LNM1" s="2775"/>
      <c r="LNN1" s="2775"/>
      <c r="LNO1" s="2775"/>
      <c r="LNP1" s="2775"/>
      <c r="LNQ1" s="2775"/>
      <c r="LNR1" s="2775"/>
      <c r="LNS1" s="2775"/>
      <c r="LNT1" s="2775"/>
      <c r="LNU1" s="2775"/>
      <c r="LNV1" s="2775"/>
      <c r="LNW1" s="2775"/>
      <c r="LNX1" s="2775"/>
      <c r="LNY1" s="2775"/>
      <c r="LNZ1" s="2775"/>
      <c r="LOA1" s="2775"/>
      <c r="LOB1" s="2775"/>
      <c r="LOC1" s="2775"/>
      <c r="LOD1" s="2775"/>
      <c r="LOE1" s="2775"/>
      <c r="LOF1" s="2775"/>
      <c r="LOG1" s="2775"/>
      <c r="LOH1" s="2775"/>
      <c r="LOI1" s="2775"/>
      <c r="LOJ1" s="2775"/>
      <c r="LOK1" s="2775"/>
      <c r="LOL1" s="2775"/>
      <c r="LOM1" s="2775"/>
      <c r="LON1" s="2775"/>
      <c r="LOO1" s="2775"/>
      <c r="LOP1" s="2775"/>
      <c r="LOQ1" s="2775"/>
      <c r="LOR1" s="2775"/>
      <c r="LOS1" s="2775"/>
      <c r="LOT1" s="2775"/>
      <c r="LOU1" s="2775"/>
      <c r="LOV1" s="2775"/>
      <c r="LOW1" s="2775"/>
      <c r="LOX1" s="2775"/>
      <c r="LOY1" s="2775"/>
      <c r="LOZ1" s="2775"/>
      <c r="LPA1" s="2775"/>
      <c r="LPB1" s="2775"/>
      <c r="LPC1" s="2775"/>
      <c r="LPD1" s="2775"/>
      <c r="LPE1" s="2775"/>
      <c r="LPF1" s="2775"/>
      <c r="LPG1" s="2775"/>
      <c r="LPH1" s="2775"/>
      <c r="LPI1" s="2775"/>
      <c r="LPJ1" s="2775"/>
      <c r="LPK1" s="2775"/>
      <c r="LPL1" s="2775"/>
      <c r="LPM1" s="2775"/>
      <c r="LPN1" s="2775"/>
      <c r="LPO1" s="2775"/>
      <c r="LPP1" s="2775"/>
      <c r="LPQ1" s="2775"/>
      <c r="LPR1" s="2775"/>
      <c r="LPS1" s="2775"/>
      <c r="LPT1" s="2775"/>
      <c r="LPU1" s="2775"/>
      <c r="LPV1" s="2775"/>
      <c r="LPW1" s="2775"/>
      <c r="LPX1" s="2775"/>
      <c r="LPY1" s="2775"/>
      <c r="LPZ1" s="2775"/>
      <c r="LQA1" s="2775"/>
      <c r="LQB1" s="2775"/>
      <c r="LQC1" s="2775"/>
      <c r="LQD1" s="2775"/>
      <c r="LQE1" s="2775"/>
      <c r="LQF1" s="2775"/>
      <c r="LQG1" s="2775"/>
      <c r="LQH1" s="2775"/>
      <c r="LQI1" s="2775"/>
      <c r="LQJ1" s="2775"/>
      <c r="LQK1" s="2775"/>
      <c r="LQL1" s="2775"/>
      <c r="LQM1" s="2775"/>
      <c r="LQN1" s="2775"/>
      <c r="LQO1" s="2775"/>
      <c r="LQP1" s="2775"/>
      <c r="LQQ1" s="2775"/>
      <c r="LQR1" s="2775"/>
      <c r="LQS1" s="2775"/>
      <c r="LQT1" s="2775"/>
      <c r="LQU1" s="2775"/>
      <c r="LQV1" s="2775"/>
      <c r="LQW1" s="2775"/>
      <c r="LQX1" s="2775"/>
      <c r="LQY1" s="2775"/>
      <c r="LQZ1" s="2775"/>
      <c r="LRA1" s="2775"/>
      <c r="LRB1" s="2775"/>
      <c r="LRC1" s="2775"/>
      <c r="LRD1" s="2775"/>
      <c r="LRE1" s="2775"/>
      <c r="LRF1" s="2775"/>
      <c r="LRG1" s="2775"/>
      <c r="LRH1" s="2775"/>
      <c r="LRI1" s="2775"/>
      <c r="LRJ1" s="2775"/>
      <c r="LRK1" s="2775"/>
      <c r="LRL1" s="2775"/>
      <c r="LRM1" s="2775"/>
      <c r="LRN1" s="2775"/>
      <c r="LRO1" s="2775"/>
      <c r="LRP1" s="2775"/>
      <c r="LRQ1" s="2775"/>
      <c r="LRR1" s="2775"/>
      <c r="LRS1" s="2775"/>
      <c r="LRT1" s="2775"/>
      <c r="LRU1" s="2775"/>
      <c r="LRV1" s="2775"/>
      <c r="LRW1" s="2775"/>
      <c r="LRX1" s="2775"/>
      <c r="LRY1" s="2775"/>
      <c r="LRZ1" s="2775"/>
      <c r="LSA1" s="2775"/>
      <c r="LSB1" s="2775"/>
      <c r="LSC1" s="2775"/>
      <c r="LSD1" s="2775"/>
      <c r="LSE1" s="2775"/>
      <c r="LSF1" s="2775"/>
      <c r="LSG1" s="2775"/>
      <c r="LSH1" s="2775"/>
      <c r="LSI1" s="2775"/>
      <c r="LSJ1" s="2775"/>
      <c r="LSK1" s="2775"/>
      <c r="LSL1" s="2775"/>
      <c r="LSM1" s="2775"/>
      <c r="LSN1" s="2775"/>
      <c r="LSO1" s="2775"/>
      <c r="LSP1" s="2775"/>
      <c r="LSQ1" s="2775"/>
      <c r="LSR1" s="2775"/>
      <c r="LSS1" s="2775"/>
      <c r="LST1" s="2775"/>
      <c r="LSU1" s="2775"/>
      <c r="LSV1" s="2775"/>
      <c r="LSW1" s="2775"/>
      <c r="LSX1" s="2775"/>
      <c r="LSY1" s="2775"/>
      <c r="LSZ1" s="2775"/>
      <c r="LTA1" s="2775"/>
      <c r="LTB1" s="2775"/>
      <c r="LTC1" s="2775"/>
      <c r="LTD1" s="2775"/>
      <c r="LTE1" s="2775"/>
      <c r="LTF1" s="2775"/>
      <c r="LTG1" s="2775"/>
      <c r="LTH1" s="2775"/>
      <c r="LTI1" s="2775"/>
      <c r="LTJ1" s="2775"/>
      <c r="LTK1" s="2775"/>
      <c r="LTL1" s="2775"/>
      <c r="LTM1" s="2775"/>
      <c r="LTN1" s="2775"/>
      <c r="LTO1" s="2775"/>
      <c r="LTP1" s="2775"/>
      <c r="LTQ1" s="2775"/>
      <c r="LTR1" s="2775"/>
      <c r="LTS1" s="2775"/>
      <c r="LTT1" s="2775"/>
      <c r="LTU1" s="2775"/>
      <c r="LTV1" s="2775"/>
      <c r="LTW1" s="2775"/>
      <c r="LTX1" s="2775"/>
      <c r="LTY1" s="2775"/>
      <c r="LTZ1" s="2775"/>
      <c r="LUA1" s="2775"/>
      <c r="LUB1" s="2775"/>
      <c r="LUC1" s="2775"/>
      <c r="LUD1" s="2775"/>
      <c r="LUE1" s="2775"/>
      <c r="LUF1" s="2775"/>
      <c r="LUG1" s="2775"/>
      <c r="LUH1" s="2775"/>
      <c r="LUI1" s="2775"/>
      <c r="LUJ1" s="2775"/>
      <c r="LUK1" s="2775"/>
      <c r="LUL1" s="2775"/>
      <c r="LUM1" s="2775"/>
      <c r="LUN1" s="2775"/>
      <c r="LUO1" s="2775"/>
      <c r="LUP1" s="2775"/>
      <c r="LUQ1" s="2775"/>
      <c r="LUR1" s="2775"/>
      <c r="LUS1" s="2775"/>
      <c r="LUT1" s="2775"/>
      <c r="LUU1" s="2775"/>
      <c r="LUV1" s="2775"/>
      <c r="LUW1" s="2775"/>
      <c r="LUX1" s="2775"/>
      <c r="LUY1" s="2775"/>
      <c r="LUZ1" s="2775"/>
      <c r="LVA1" s="2775"/>
      <c r="LVB1" s="2775"/>
      <c r="LVC1" s="2775"/>
      <c r="LVD1" s="2775"/>
      <c r="LVE1" s="2775"/>
      <c r="LVF1" s="2775"/>
      <c r="LVG1" s="2775"/>
      <c r="LVH1" s="2775"/>
      <c r="LVI1" s="2775"/>
      <c r="LVJ1" s="2775"/>
      <c r="LVK1" s="2775"/>
      <c r="LVL1" s="2775"/>
      <c r="LVM1" s="2775"/>
      <c r="LVN1" s="2775"/>
      <c r="LVO1" s="2775"/>
      <c r="LVP1" s="2775"/>
      <c r="LVQ1" s="2775"/>
      <c r="LVR1" s="2775"/>
      <c r="LVS1" s="2775"/>
      <c r="LVT1" s="2775"/>
      <c r="LVU1" s="2775"/>
      <c r="LVV1" s="2775"/>
      <c r="LVW1" s="2775"/>
      <c r="LVX1" s="2775"/>
      <c r="LVY1" s="2775"/>
      <c r="LVZ1" s="2775"/>
      <c r="LWA1" s="2775"/>
      <c r="LWB1" s="2775"/>
      <c r="LWC1" s="2775"/>
      <c r="LWD1" s="2775"/>
      <c r="LWE1" s="2775"/>
      <c r="LWF1" s="2775"/>
      <c r="LWG1" s="2775"/>
      <c r="LWH1" s="2775"/>
      <c r="LWI1" s="2775"/>
      <c r="LWJ1" s="2775"/>
      <c r="LWK1" s="2775"/>
      <c r="LWL1" s="2775"/>
      <c r="LWM1" s="2775"/>
      <c r="LWN1" s="2775"/>
      <c r="LWO1" s="2775"/>
      <c r="LWP1" s="2775"/>
      <c r="LWQ1" s="2775"/>
      <c r="LWR1" s="2775"/>
      <c r="LWS1" s="2775"/>
      <c r="LWT1" s="2775"/>
      <c r="LWU1" s="2775"/>
      <c r="LWV1" s="2775"/>
      <c r="LWW1" s="2775"/>
      <c r="LWX1" s="2775"/>
      <c r="LWY1" s="2775"/>
      <c r="LWZ1" s="2775"/>
      <c r="LXA1" s="2775"/>
      <c r="LXB1" s="2775"/>
      <c r="LXC1" s="2775"/>
      <c r="LXD1" s="2775"/>
      <c r="LXE1" s="2775"/>
      <c r="LXF1" s="2775"/>
      <c r="LXG1" s="2775"/>
      <c r="LXH1" s="2775"/>
      <c r="LXI1" s="2775"/>
      <c r="LXJ1" s="2775"/>
      <c r="LXK1" s="2775"/>
      <c r="LXL1" s="2775"/>
      <c r="LXM1" s="2775"/>
      <c r="LXN1" s="2775"/>
      <c r="LXO1" s="2775"/>
      <c r="LXP1" s="2775"/>
      <c r="LXQ1" s="2775"/>
      <c r="LXR1" s="2775"/>
      <c r="LXS1" s="2775"/>
      <c r="LXT1" s="2775"/>
      <c r="LXU1" s="2775"/>
      <c r="LXV1" s="2775"/>
      <c r="LXW1" s="2775"/>
      <c r="LXX1" s="2775"/>
      <c r="LXY1" s="2775"/>
      <c r="LXZ1" s="2775"/>
      <c r="LYA1" s="2775"/>
      <c r="LYB1" s="2775"/>
      <c r="LYC1" s="2775"/>
      <c r="LYD1" s="2775"/>
      <c r="LYE1" s="2775"/>
      <c r="LYF1" s="2775"/>
      <c r="LYG1" s="2775"/>
      <c r="LYH1" s="2775"/>
      <c r="LYI1" s="2775"/>
      <c r="LYJ1" s="2775"/>
      <c r="LYK1" s="2775"/>
      <c r="LYL1" s="2775"/>
      <c r="LYM1" s="2775"/>
      <c r="LYN1" s="2775"/>
      <c r="LYO1" s="2775"/>
      <c r="LYP1" s="2775"/>
      <c r="LYQ1" s="2775"/>
      <c r="LYR1" s="2775"/>
      <c r="LYS1" s="2775"/>
      <c r="LYT1" s="2775"/>
      <c r="LYU1" s="2775"/>
      <c r="LYV1" s="2775"/>
      <c r="LYW1" s="2775"/>
      <c r="LYX1" s="2775"/>
      <c r="LYY1" s="2775"/>
      <c r="LYZ1" s="2775"/>
      <c r="LZA1" s="2775"/>
      <c r="LZB1" s="2775"/>
      <c r="LZC1" s="2775"/>
      <c r="LZD1" s="2775"/>
      <c r="LZE1" s="2775"/>
      <c r="LZF1" s="2775"/>
      <c r="LZG1" s="2775"/>
      <c r="LZH1" s="2775"/>
      <c r="LZI1" s="2775"/>
      <c r="LZJ1" s="2775"/>
      <c r="LZK1" s="2775"/>
      <c r="LZL1" s="2775"/>
      <c r="LZM1" s="2775"/>
      <c r="LZN1" s="2775"/>
      <c r="LZO1" s="2775"/>
      <c r="LZP1" s="2775"/>
      <c r="LZQ1" s="2775"/>
      <c r="LZR1" s="2775"/>
      <c r="LZS1" s="2775"/>
      <c r="LZT1" s="2775"/>
      <c r="LZU1" s="2775"/>
      <c r="LZV1" s="2775"/>
      <c r="LZW1" s="2775"/>
      <c r="LZX1" s="2775"/>
      <c r="LZY1" s="2775"/>
      <c r="LZZ1" s="2775"/>
      <c r="MAA1" s="2775"/>
      <c r="MAB1" s="2775"/>
      <c r="MAC1" s="2775"/>
      <c r="MAD1" s="2775"/>
      <c r="MAE1" s="2775"/>
      <c r="MAF1" s="2775"/>
      <c r="MAG1" s="2775"/>
      <c r="MAH1" s="2775"/>
      <c r="MAI1" s="2775"/>
      <c r="MAJ1" s="2775"/>
      <c r="MAK1" s="2775"/>
      <c r="MAL1" s="2775"/>
      <c r="MAM1" s="2775"/>
      <c r="MAN1" s="2775"/>
      <c r="MAO1" s="2775"/>
      <c r="MAP1" s="2775"/>
      <c r="MAQ1" s="2775"/>
      <c r="MAR1" s="2775"/>
      <c r="MAS1" s="2775"/>
      <c r="MAT1" s="2775"/>
      <c r="MAU1" s="2775"/>
      <c r="MAV1" s="2775"/>
      <c r="MAW1" s="2775"/>
      <c r="MAX1" s="2775"/>
      <c r="MAY1" s="2775"/>
      <c r="MAZ1" s="2775"/>
      <c r="MBA1" s="2775"/>
      <c r="MBB1" s="2775"/>
      <c r="MBC1" s="2775"/>
      <c r="MBD1" s="2775"/>
      <c r="MBE1" s="2775"/>
      <c r="MBF1" s="2775"/>
      <c r="MBG1" s="2775"/>
      <c r="MBH1" s="2775"/>
      <c r="MBI1" s="2775"/>
      <c r="MBJ1" s="2775"/>
      <c r="MBK1" s="2775"/>
      <c r="MBL1" s="2775"/>
      <c r="MBM1" s="2775"/>
      <c r="MBN1" s="2775"/>
      <c r="MBO1" s="2775"/>
      <c r="MBP1" s="2775"/>
      <c r="MBQ1" s="2775"/>
      <c r="MBR1" s="2775"/>
      <c r="MBS1" s="2775"/>
      <c r="MBT1" s="2775"/>
      <c r="MBU1" s="2775"/>
      <c r="MBV1" s="2775"/>
      <c r="MBW1" s="2775"/>
      <c r="MBX1" s="2775"/>
      <c r="MBY1" s="2775"/>
      <c r="MBZ1" s="2775"/>
      <c r="MCA1" s="2775"/>
      <c r="MCB1" s="2775"/>
      <c r="MCC1" s="2775"/>
      <c r="MCD1" s="2775"/>
      <c r="MCE1" s="2775"/>
      <c r="MCF1" s="2775"/>
      <c r="MCG1" s="2775"/>
      <c r="MCH1" s="2775"/>
      <c r="MCI1" s="2775"/>
      <c r="MCJ1" s="2775"/>
      <c r="MCK1" s="2775"/>
      <c r="MCL1" s="2775"/>
      <c r="MCM1" s="2775"/>
      <c r="MCN1" s="2775"/>
      <c r="MCO1" s="2775"/>
      <c r="MCP1" s="2775"/>
      <c r="MCQ1" s="2775"/>
      <c r="MCR1" s="2775"/>
      <c r="MCS1" s="2775"/>
      <c r="MCT1" s="2775"/>
      <c r="MCU1" s="2775"/>
      <c r="MCV1" s="2775"/>
      <c r="MCW1" s="2775"/>
      <c r="MCX1" s="2775"/>
      <c r="MCY1" s="2775"/>
      <c r="MCZ1" s="2775"/>
      <c r="MDA1" s="2775"/>
      <c r="MDB1" s="2775"/>
      <c r="MDC1" s="2775"/>
      <c r="MDD1" s="2775"/>
      <c r="MDE1" s="2775"/>
      <c r="MDF1" s="2775"/>
      <c r="MDG1" s="2775"/>
      <c r="MDH1" s="2775"/>
      <c r="MDI1" s="2775"/>
      <c r="MDJ1" s="2775"/>
      <c r="MDK1" s="2775"/>
      <c r="MDL1" s="2775"/>
      <c r="MDM1" s="2775"/>
      <c r="MDN1" s="2775"/>
      <c r="MDO1" s="2775"/>
      <c r="MDP1" s="2775"/>
      <c r="MDQ1" s="2775"/>
      <c r="MDR1" s="2775"/>
      <c r="MDS1" s="2775"/>
      <c r="MDT1" s="2775"/>
      <c r="MDU1" s="2775"/>
      <c r="MDV1" s="2775"/>
      <c r="MDW1" s="2775"/>
      <c r="MDX1" s="2775"/>
      <c r="MDY1" s="2775"/>
      <c r="MDZ1" s="2775"/>
      <c r="MEA1" s="2775"/>
      <c r="MEB1" s="2775"/>
      <c r="MEC1" s="2775"/>
      <c r="MED1" s="2775"/>
      <c r="MEE1" s="2775"/>
      <c r="MEF1" s="2775"/>
      <c r="MEG1" s="2775"/>
      <c r="MEH1" s="2775"/>
      <c r="MEI1" s="2775"/>
      <c r="MEJ1" s="2775"/>
      <c r="MEK1" s="2775"/>
      <c r="MEL1" s="2775"/>
      <c r="MEM1" s="2775"/>
      <c r="MEN1" s="2775"/>
      <c r="MEO1" s="2775"/>
      <c r="MEP1" s="2775"/>
      <c r="MEQ1" s="2775"/>
      <c r="MER1" s="2775"/>
      <c r="MES1" s="2775"/>
      <c r="MET1" s="2775"/>
      <c r="MEU1" s="2775"/>
      <c r="MEV1" s="2775"/>
      <c r="MEW1" s="2775"/>
      <c r="MEX1" s="2775"/>
      <c r="MEY1" s="2775"/>
      <c r="MEZ1" s="2775"/>
      <c r="MFA1" s="2775"/>
      <c r="MFB1" s="2775"/>
      <c r="MFC1" s="2775"/>
      <c r="MFD1" s="2775"/>
      <c r="MFE1" s="2775"/>
      <c r="MFF1" s="2775"/>
      <c r="MFG1" s="2775"/>
      <c r="MFH1" s="2775"/>
      <c r="MFI1" s="2775"/>
      <c r="MFJ1" s="2775"/>
      <c r="MFK1" s="2775"/>
      <c r="MFL1" s="2775"/>
      <c r="MFM1" s="2775"/>
      <c r="MFN1" s="2775"/>
      <c r="MFO1" s="2775"/>
      <c r="MFP1" s="2775"/>
      <c r="MFQ1" s="2775"/>
      <c r="MFR1" s="2775"/>
      <c r="MFS1" s="2775"/>
      <c r="MFT1" s="2775"/>
      <c r="MFU1" s="2775"/>
      <c r="MFV1" s="2775"/>
      <c r="MFW1" s="2775"/>
      <c r="MFX1" s="2775"/>
      <c r="MFY1" s="2775"/>
      <c r="MFZ1" s="2775"/>
      <c r="MGA1" s="2775"/>
      <c r="MGB1" s="2775"/>
      <c r="MGC1" s="2775"/>
      <c r="MGD1" s="2775"/>
      <c r="MGE1" s="2775"/>
      <c r="MGF1" s="2775"/>
      <c r="MGG1" s="2775"/>
      <c r="MGH1" s="2775"/>
      <c r="MGI1" s="2775"/>
      <c r="MGJ1" s="2775"/>
      <c r="MGK1" s="2775"/>
      <c r="MGL1" s="2775"/>
      <c r="MGM1" s="2775"/>
      <c r="MGN1" s="2775"/>
      <c r="MGO1" s="2775"/>
      <c r="MGP1" s="2775"/>
      <c r="MGQ1" s="2775"/>
      <c r="MGR1" s="2775"/>
      <c r="MGS1" s="2775"/>
      <c r="MGT1" s="2775"/>
      <c r="MGU1" s="2775"/>
      <c r="MGV1" s="2775"/>
      <c r="MGW1" s="2775"/>
      <c r="MGX1" s="2775"/>
      <c r="MGY1" s="2775"/>
      <c r="MGZ1" s="2775"/>
      <c r="MHA1" s="2775"/>
      <c r="MHB1" s="2775"/>
      <c r="MHC1" s="2775"/>
      <c r="MHD1" s="2775"/>
      <c r="MHE1" s="2775"/>
      <c r="MHF1" s="2775"/>
      <c r="MHG1" s="2775"/>
      <c r="MHH1" s="2775"/>
      <c r="MHI1" s="2775"/>
      <c r="MHJ1" s="2775"/>
      <c r="MHK1" s="2775"/>
      <c r="MHL1" s="2775"/>
      <c r="MHM1" s="2775"/>
      <c r="MHN1" s="2775"/>
      <c r="MHO1" s="2775"/>
      <c r="MHP1" s="2775"/>
      <c r="MHQ1" s="2775"/>
      <c r="MHR1" s="2775"/>
      <c r="MHS1" s="2775"/>
      <c r="MHT1" s="2775"/>
      <c r="MHU1" s="2775"/>
      <c r="MHV1" s="2775"/>
      <c r="MHW1" s="2775"/>
      <c r="MHX1" s="2775"/>
      <c r="MHY1" s="2775"/>
      <c r="MHZ1" s="2775"/>
      <c r="MIA1" s="2775"/>
      <c r="MIB1" s="2775"/>
      <c r="MIC1" s="2775"/>
      <c r="MID1" s="2775"/>
      <c r="MIE1" s="2775"/>
      <c r="MIF1" s="2775"/>
      <c r="MIG1" s="2775"/>
      <c r="MIH1" s="2775"/>
      <c r="MII1" s="2775"/>
      <c r="MIJ1" s="2775"/>
      <c r="MIK1" s="2775"/>
      <c r="MIL1" s="2775"/>
      <c r="MIM1" s="2775"/>
      <c r="MIN1" s="2775"/>
      <c r="MIO1" s="2775"/>
      <c r="MIP1" s="2775"/>
      <c r="MIQ1" s="2775"/>
      <c r="MIR1" s="2775"/>
      <c r="MIS1" s="2775"/>
      <c r="MIT1" s="2775"/>
      <c r="MIU1" s="2775"/>
      <c r="MIV1" s="2775"/>
      <c r="MIW1" s="2775"/>
      <c r="MIX1" s="2775"/>
      <c r="MIY1" s="2775"/>
      <c r="MIZ1" s="2775"/>
      <c r="MJA1" s="2775"/>
      <c r="MJB1" s="2775"/>
      <c r="MJC1" s="2775"/>
      <c r="MJD1" s="2775"/>
      <c r="MJE1" s="2775"/>
      <c r="MJF1" s="2775"/>
      <c r="MJG1" s="2775"/>
      <c r="MJH1" s="2775"/>
      <c r="MJI1" s="2775"/>
      <c r="MJJ1" s="2775"/>
      <c r="MJK1" s="2775"/>
      <c r="MJL1" s="2775"/>
      <c r="MJM1" s="2775"/>
      <c r="MJN1" s="2775"/>
      <c r="MJO1" s="2775"/>
      <c r="MJP1" s="2775"/>
      <c r="MJQ1" s="2775"/>
      <c r="MJR1" s="2775"/>
      <c r="MJS1" s="2775"/>
      <c r="MJT1" s="2775"/>
      <c r="MJU1" s="2775"/>
      <c r="MJV1" s="2775"/>
      <c r="MJW1" s="2775"/>
      <c r="MJX1" s="2775"/>
      <c r="MJY1" s="2775"/>
      <c r="MJZ1" s="2775"/>
      <c r="MKA1" s="2775"/>
      <c r="MKB1" s="2775"/>
      <c r="MKC1" s="2775"/>
      <c r="MKD1" s="2775"/>
      <c r="MKE1" s="2775"/>
      <c r="MKF1" s="2775"/>
      <c r="MKG1" s="2775"/>
      <c r="MKH1" s="2775"/>
      <c r="MKI1" s="2775"/>
      <c r="MKJ1" s="2775"/>
      <c r="MKK1" s="2775"/>
      <c r="MKL1" s="2775"/>
      <c r="MKM1" s="2775"/>
      <c r="MKN1" s="2775"/>
      <c r="MKO1" s="2775"/>
      <c r="MKP1" s="2775"/>
      <c r="MKQ1" s="2775"/>
      <c r="MKR1" s="2775"/>
      <c r="MKS1" s="2775"/>
      <c r="MKT1" s="2775"/>
      <c r="MKU1" s="2775"/>
      <c r="MKV1" s="2775"/>
      <c r="MKW1" s="2775"/>
      <c r="MKX1" s="2775"/>
      <c r="MKY1" s="2775"/>
      <c r="MKZ1" s="2775"/>
      <c r="MLA1" s="2775"/>
      <c r="MLB1" s="2775"/>
      <c r="MLC1" s="2775"/>
      <c r="MLD1" s="2775"/>
      <c r="MLE1" s="2775"/>
      <c r="MLF1" s="2775"/>
      <c r="MLG1" s="2775"/>
      <c r="MLH1" s="2775"/>
      <c r="MLI1" s="2775"/>
      <c r="MLJ1" s="2775"/>
      <c r="MLK1" s="2775"/>
      <c r="MLL1" s="2775"/>
      <c r="MLM1" s="2775"/>
      <c r="MLN1" s="2775"/>
      <c r="MLO1" s="2775"/>
      <c r="MLP1" s="2775"/>
      <c r="MLQ1" s="2775"/>
      <c r="MLR1" s="2775"/>
      <c r="MLS1" s="2775"/>
      <c r="MLT1" s="2775"/>
      <c r="MLU1" s="2775"/>
      <c r="MLV1" s="2775"/>
      <c r="MLW1" s="2775"/>
      <c r="MLX1" s="2775"/>
      <c r="MLY1" s="2775"/>
      <c r="MLZ1" s="2775"/>
      <c r="MMA1" s="2775"/>
      <c r="MMB1" s="2775"/>
      <c r="MMC1" s="2775"/>
      <c r="MMD1" s="2775"/>
      <c r="MME1" s="2775"/>
      <c r="MMF1" s="2775"/>
      <c r="MMG1" s="2775"/>
      <c r="MMH1" s="2775"/>
      <c r="MMI1" s="2775"/>
      <c r="MMJ1" s="2775"/>
      <c r="MMK1" s="2775"/>
      <c r="MML1" s="2775"/>
      <c r="MMM1" s="2775"/>
      <c r="MMN1" s="2775"/>
      <c r="MMO1" s="2775"/>
      <c r="MMP1" s="2775"/>
      <c r="MMQ1" s="2775"/>
      <c r="MMR1" s="2775"/>
      <c r="MMS1" s="2775"/>
      <c r="MMT1" s="2775"/>
      <c r="MMU1" s="2775"/>
      <c r="MMV1" s="2775"/>
      <c r="MMW1" s="2775"/>
      <c r="MMX1" s="2775"/>
      <c r="MMY1" s="2775"/>
      <c r="MMZ1" s="2775"/>
      <c r="MNA1" s="2775"/>
      <c r="MNB1" s="2775"/>
      <c r="MNC1" s="2775"/>
      <c r="MND1" s="2775"/>
      <c r="MNE1" s="2775"/>
      <c r="MNF1" s="2775"/>
      <c r="MNG1" s="2775"/>
      <c r="MNH1" s="2775"/>
      <c r="MNI1" s="2775"/>
      <c r="MNJ1" s="2775"/>
      <c r="MNK1" s="2775"/>
      <c r="MNL1" s="2775"/>
      <c r="MNM1" s="2775"/>
      <c r="MNN1" s="2775"/>
      <c r="MNO1" s="2775"/>
      <c r="MNP1" s="2775"/>
      <c r="MNQ1" s="2775"/>
      <c r="MNR1" s="2775"/>
      <c r="MNS1" s="2775"/>
      <c r="MNT1" s="2775"/>
      <c r="MNU1" s="2775"/>
      <c r="MNV1" s="2775"/>
      <c r="MNW1" s="2775"/>
      <c r="MNX1" s="2775"/>
      <c r="MNY1" s="2775"/>
      <c r="MNZ1" s="2775"/>
      <c r="MOA1" s="2775"/>
      <c r="MOB1" s="2775"/>
      <c r="MOC1" s="2775"/>
      <c r="MOD1" s="2775"/>
      <c r="MOE1" s="2775"/>
      <c r="MOF1" s="2775"/>
      <c r="MOG1" s="2775"/>
      <c r="MOH1" s="2775"/>
      <c r="MOI1" s="2775"/>
      <c r="MOJ1" s="2775"/>
      <c r="MOK1" s="2775"/>
      <c r="MOL1" s="2775"/>
      <c r="MOM1" s="2775"/>
      <c r="MON1" s="2775"/>
      <c r="MOO1" s="2775"/>
      <c r="MOP1" s="2775"/>
      <c r="MOQ1" s="2775"/>
      <c r="MOR1" s="2775"/>
      <c r="MOS1" s="2775"/>
      <c r="MOT1" s="2775"/>
      <c r="MOU1" s="2775"/>
      <c r="MOV1" s="2775"/>
      <c r="MOW1" s="2775"/>
      <c r="MOX1" s="2775"/>
      <c r="MOY1" s="2775"/>
      <c r="MOZ1" s="2775"/>
      <c r="MPA1" s="2775"/>
      <c r="MPB1" s="2775"/>
      <c r="MPC1" s="2775"/>
      <c r="MPD1" s="2775"/>
      <c r="MPE1" s="2775"/>
      <c r="MPF1" s="2775"/>
      <c r="MPG1" s="2775"/>
      <c r="MPH1" s="2775"/>
      <c r="MPI1" s="2775"/>
      <c r="MPJ1" s="2775"/>
      <c r="MPK1" s="2775"/>
      <c r="MPL1" s="2775"/>
      <c r="MPM1" s="2775"/>
      <c r="MPN1" s="2775"/>
      <c r="MPO1" s="2775"/>
      <c r="MPP1" s="2775"/>
      <c r="MPQ1" s="2775"/>
      <c r="MPR1" s="2775"/>
      <c r="MPS1" s="2775"/>
      <c r="MPT1" s="2775"/>
      <c r="MPU1" s="2775"/>
      <c r="MPV1" s="2775"/>
      <c r="MPW1" s="2775"/>
      <c r="MPX1" s="2775"/>
      <c r="MPY1" s="2775"/>
      <c r="MPZ1" s="2775"/>
      <c r="MQA1" s="2775"/>
      <c r="MQB1" s="2775"/>
      <c r="MQC1" s="2775"/>
      <c r="MQD1" s="2775"/>
      <c r="MQE1" s="2775"/>
      <c r="MQF1" s="2775"/>
      <c r="MQG1" s="2775"/>
      <c r="MQH1" s="2775"/>
      <c r="MQI1" s="2775"/>
      <c r="MQJ1" s="2775"/>
      <c r="MQK1" s="2775"/>
      <c r="MQL1" s="2775"/>
      <c r="MQM1" s="2775"/>
      <c r="MQN1" s="2775"/>
      <c r="MQO1" s="2775"/>
      <c r="MQP1" s="2775"/>
      <c r="MQQ1" s="2775"/>
      <c r="MQR1" s="2775"/>
      <c r="MQS1" s="2775"/>
      <c r="MQT1" s="2775"/>
      <c r="MQU1" s="2775"/>
      <c r="MQV1" s="2775"/>
      <c r="MQW1" s="2775"/>
      <c r="MQX1" s="2775"/>
      <c r="MQY1" s="2775"/>
      <c r="MQZ1" s="2775"/>
      <c r="MRA1" s="2775"/>
      <c r="MRB1" s="2775"/>
      <c r="MRC1" s="2775"/>
      <c r="MRD1" s="2775"/>
      <c r="MRE1" s="2775"/>
      <c r="MRF1" s="2775"/>
      <c r="MRG1" s="2775"/>
      <c r="MRH1" s="2775"/>
      <c r="MRI1" s="2775"/>
      <c r="MRJ1" s="2775"/>
      <c r="MRK1" s="2775"/>
      <c r="MRL1" s="2775"/>
      <c r="MRM1" s="2775"/>
      <c r="MRN1" s="2775"/>
      <c r="MRO1" s="2775"/>
      <c r="MRP1" s="2775"/>
      <c r="MRQ1" s="2775"/>
      <c r="MRR1" s="2775"/>
      <c r="MRS1" s="2775"/>
      <c r="MRT1" s="2775"/>
      <c r="MRU1" s="2775"/>
      <c r="MRV1" s="2775"/>
      <c r="MRW1" s="2775"/>
      <c r="MRX1" s="2775"/>
      <c r="MRY1" s="2775"/>
      <c r="MRZ1" s="2775"/>
      <c r="MSA1" s="2775"/>
      <c r="MSB1" s="2775"/>
      <c r="MSC1" s="2775"/>
      <c r="MSD1" s="2775"/>
      <c r="MSE1" s="2775"/>
      <c r="MSF1" s="2775"/>
      <c r="MSG1" s="2775"/>
      <c r="MSH1" s="2775"/>
      <c r="MSI1" s="2775"/>
      <c r="MSJ1" s="2775"/>
      <c r="MSK1" s="2775"/>
      <c r="MSL1" s="2775"/>
      <c r="MSM1" s="2775"/>
      <c r="MSN1" s="2775"/>
      <c r="MSO1" s="2775"/>
      <c r="MSP1" s="2775"/>
      <c r="MSQ1" s="2775"/>
      <c r="MSR1" s="2775"/>
      <c r="MSS1" s="2775"/>
      <c r="MST1" s="2775"/>
      <c r="MSU1" s="2775"/>
      <c r="MSV1" s="2775"/>
      <c r="MSW1" s="2775"/>
      <c r="MSX1" s="2775"/>
      <c r="MSY1" s="2775"/>
      <c r="MSZ1" s="2775"/>
      <c r="MTA1" s="2775"/>
      <c r="MTB1" s="2775"/>
      <c r="MTC1" s="2775"/>
      <c r="MTD1" s="2775"/>
      <c r="MTE1" s="2775"/>
      <c r="MTF1" s="2775"/>
      <c r="MTG1" s="2775"/>
      <c r="MTH1" s="2775"/>
      <c r="MTI1" s="2775"/>
      <c r="MTJ1" s="2775"/>
      <c r="MTK1" s="2775"/>
      <c r="MTL1" s="2775"/>
      <c r="MTM1" s="2775"/>
      <c r="MTN1" s="2775"/>
      <c r="MTO1" s="2775"/>
      <c r="MTP1" s="2775"/>
      <c r="MTQ1" s="2775"/>
      <c r="MTR1" s="2775"/>
      <c r="MTS1" s="2775"/>
      <c r="MTT1" s="2775"/>
      <c r="MTU1" s="2775"/>
      <c r="MTV1" s="2775"/>
      <c r="MTW1" s="2775"/>
      <c r="MTX1" s="2775"/>
      <c r="MTY1" s="2775"/>
      <c r="MTZ1" s="2775"/>
      <c r="MUA1" s="2775"/>
      <c r="MUB1" s="2775"/>
      <c r="MUC1" s="2775"/>
      <c r="MUD1" s="2775"/>
      <c r="MUE1" s="2775"/>
      <c r="MUF1" s="2775"/>
      <c r="MUG1" s="2775"/>
      <c r="MUH1" s="2775"/>
      <c r="MUI1" s="2775"/>
      <c r="MUJ1" s="2775"/>
      <c r="MUK1" s="2775"/>
      <c r="MUL1" s="2775"/>
      <c r="MUM1" s="2775"/>
      <c r="MUN1" s="2775"/>
      <c r="MUO1" s="2775"/>
      <c r="MUP1" s="2775"/>
      <c r="MUQ1" s="2775"/>
      <c r="MUR1" s="2775"/>
      <c r="MUS1" s="2775"/>
      <c r="MUT1" s="2775"/>
      <c r="MUU1" s="2775"/>
      <c r="MUV1" s="2775"/>
      <c r="MUW1" s="2775"/>
      <c r="MUX1" s="2775"/>
      <c r="MUY1" s="2775"/>
      <c r="MUZ1" s="2775"/>
      <c r="MVA1" s="2775"/>
      <c r="MVB1" s="2775"/>
      <c r="MVC1" s="2775"/>
      <c r="MVD1" s="2775"/>
      <c r="MVE1" s="2775"/>
      <c r="MVF1" s="2775"/>
      <c r="MVG1" s="2775"/>
      <c r="MVH1" s="2775"/>
      <c r="MVI1" s="2775"/>
      <c r="MVJ1" s="2775"/>
      <c r="MVK1" s="2775"/>
      <c r="MVL1" s="2775"/>
      <c r="MVM1" s="2775"/>
      <c r="MVN1" s="2775"/>
      <c r="MVO1" s="2775"/>
      <c r="MVP1" s="2775"/>
      <c r="MVQ1" s="2775"/>
      <c r="MVR1" s="2775"/>
      <c r="MVS1" s="2775"/>
      <c r="MVT1" s="2775"/>
      <c r="MVU1" s="2775"/>
      <c r="MVV1" s="2775"/>
      <c r="MVW1" s="2775"/>
      <c r="MVX1" s="2775"/>
      <c r="MVY1" s="2775"/>
      <c r="MVZ1" s="2775"/>
      <c r="MWA1" s="2775"/>
      <c r="MWB1" s="2775"/>
      <c r="MWC1" s="2775"/>
      <c r="MWD1" s="2775"/>
      <c r="MWE1" s="2775"/>
      <c r="MWF1" s="2775"/>
      <c r="MWG1" s="2775"/>
      <c r="MWH1" s="2775"/>
      <c r="MWI1" s="2775"/>
      <c r="MWJ1" s="2775"/>
      <c r="MWK1" s="2775"/>
      <c r="MWL1" s="2775"/>
      <c r="MWM1" s="2775"/>
      <c r="MWN1" s="2775"/>
      <c r="MWO1" s="2775"/>
      <c r="MWP1" s="2775"/>
      <c r="MWQ1" s="2775"/>
      <c r="MWR1" s="2775"/>
      <c r="MWS1" s="2775"/>
      <c r="MWT1" s="2775"/>
      <c r="MWU1" s="2775"/>
      <c r="MWV1" s="2775"/>
      <c r="MWW1" s="2775"/>
      <c r="MWX1" s="2775"/>
      <c r="MWY1" s="2775"/>
      <c r="MWZ1" s="2775"/>
      <c r="MXA1" s="2775"/>
      <c r="MXB1" s="2775"/>
      <c r="MXC1" s="2775"/>
      <c r="MXD1" s="2775"/>
      <c r="MXE1" s="2775"/>
      <c r="MXF1" s="2775"/>
      <c r="MXG1" s="2775"/>
      <c r="MXH1" s="2775"/>
      <c r="MXI1" s="2775"/>
      <c r="MXJ1" s="2775"/>
      <c r="MXK1" s="2775"/>
      <c r="MXL1" s="2775"/>
      <c r="MXM1" s="2775"/>
      <c r="MXN1" s="2775"/>
      <c r="MXO1" s="2775"/>
      <c r="MXP1" s="2775"/>
      <c r="MXQ1" s="2775"/>
      <c r="MXR1" s="2775"/>
      <c r="MXS1" s="2775"/>
      <c r="MXT1" s="2775"/>
      <c r="MXU1" s="2775"/>
      <c r="MXV1" s="2775"/>
      <c r="MXW1" s="2775"/>
      <c r="MXX1" s="2775"/>
      <c r="MXY1" s="2775"/>
      <c r="MXZ1" s="2775"/>
      <c r="MYA1" s="2775"/>
      <c r="MYB1" s="2775"/>
      <c r="MYC1" s="2775"/>
      <c r="MYD1" s="2775"/>
      <c r="MYE1" s="2775"/>
      <c r="MYF1" s="2775"/>
      <c r="MYG1" s="2775"/>
      <c r="MYH1" s="2775"/>
      <c r="MYI1" s="2775"/>
      <c r="MYJ1" s="2775"/>
      <c r="MYK1" s="2775"/>
      <c r="MYL1" s="2775"/>
      <c r="MYM1" s="2775"/>
      <c r="MYN1" s="2775"/>
      <c r="MYO1" s="2775"/>
      <c r="MYP1" s="2775"/>
      <c r="MYQ1" s="2775"/>
      <c r="MYR1" s="2775"/>
      <c r="MYS1" s="2775"/>
      <c r="MYT1" s="2775"/>
      <c r="MYU1" s="2775"/>
      <c r="MYV1" s="2775"/>
      <c r="MYW1" s="2775"/>
      <c r="MYX1" s="2775"/>
      <c r="MYY1" s="2775"/>
      <c r="MYZ1" s="2775"/>
      <c r="MZA1" s="2775"/>
      <c r="MZB1" s="2775"/>
      <c r="MZC1" s="2775"/>
      <c r="MZD1" s="2775"/>
      <c r="MZE1" s="2775"/>
      <c r="MZF1" s="2775"/>
      <c r="MZG1" s="2775"/>
      <c r="MZH1" s="2775"/>
      <c r="MZI1" s="2775"/>
      <c r="MZJ1" s="2775"/>
      <c r="MZK1" s="2775"/>
      <c r="MZL1" s="2775"/>
      <c r="MZM1" s="2775"/>
      <c r="MZN1" s="2775"/>
      <c r="MZO1" s="2775"/>
      <c r="MZP1" s="2775"/>
      <c r="MZQ1" s="2775"/>
      <c r="MZR1" s="2775"/>
      <c r="MZS1" s="2775"/>
      <c r="MZT1" s="2775"/>
      <c r="MZU1" s="2775"/>
      <c r="MZV1" s="2775"/>
      <c r="MZW1" s="2775"/>
      <c r="MZX1" s="2775"/>
      <c r="MZY1" s="2775"/>
      <c r="MZZ1" s="2775"/>
      <c r="NAA1" s="2775"/>
      <c r="NAB1" s="2775"/>
      <c r="NAC1" s="2775"/>
      <c r="NAD1" s="2775"/>
      <c r="NAE1" s="2775"/>
      <c r="NAF1" s="2775"/>
      <c r="NAG1" s="2775"/>
      <c r="NAH1" s="2775"/>
      <c r="NAI1" s="2775"/>
      <c r="NAJ1" s="2775"/>
      <c r="NAK1" s="2775"/>
      <c r="NAL1" s="2775"/>
      <c r="NAM1" s="2775"/>
      <c r="NAN1" s="2775"/>
      <c r="NAO1" s="2775"/>
      <c r="NAP1" s="2775"/>
      <c r="NAQ1" s="2775"/>
      <c r="NAR1" s="2775"/>
      <c r="NAS1" s="2775"/>
      <c r="NAT1" s="2775"/>
      <c r="NAU1" s="2775"/>
      <c r="NAV1" s="2775"/>
      <c r="NAW1" s="2775"/>
      <c r="NAX1" s="2775"/>
      <c r="NAY1" s="2775"/>
      <c r="NAZ1" s="2775"/>
      <c r="NBA1" s="2775"/>
      <c r="NBB1" s="2775"/>
      <c r="NBC1" s="2775"/>
      <c r="NBD1" s="2775"/>
      <c r="NBE1" s="2775"/>
      <c r="NBF1" s="2775"/>
      <c r="NBG1" s="2775"/>
      <c r="NBH1" s="2775"/>
      <c r="NBI1" s="2775"/>
      <c r="NBJ1" s="2775"/>
      <c r="NBK1" s="2775"/>
      <c r="NBL1" s="2775"/>
      <c r="NBM1" s="2775"/>
      <c r="NBN1" s="2775"/>
      <c r="NBO1" s="2775"/>
      <c r="NBP1" s="2775"/>
      <c r="NBQ1" s="2775"/>
      <c r="NBR1" s="2775"/>
      <c r="NBS1" s="2775"/>
      <c r="NBT1" s="2775"/>
      <c r="NBU1" s="2775"/>
      <c r="NBV1" s="2775"/>
      <c r="NBW1" s="2775"/>
      <c r="NBX1" s="2775"/>
      <c r="NBY1" s="2775"/>
      <c r="NBZ1" s="2775"/>
      <c r="NCA1" s="2775"/>
      <c r="NCB1" s="2775"/>
      <c r="NCC1" s="2775"/>
      <c r="NCD1" s="2775"/>
      <c r="NCE1" s="2775"/>
      <c r="NCF1" s="2775"/>
      <c r="NCG1" s="2775"/>
      <c r="NCH1" s="2775"/>
      <c r="NCI1" s="2775"/>
      <c r="NCJ1" s="2775"/>
      <c r="NCK1" s="2775"/>
      <c r="NCL1" s="2775"/>
      <c r="NCM1" s="2775"/>
      <c r="NCN1" s="2775"/>
      <c r="NCO1" s="2775"/>
      <c r="NCP1" s="2775"/>
      <c r="NCQ1" s="2775"/>
      <c r="NCR1" s="2775"/>
      <c r="NCS1" s="2775"/>
      <c r="NCT1" s="2775"/>
      <c r="NCU1" s="2775"/>
      <c r="NCV1" s="2775"/>
      <c r="NCW1" s="2775"/>
      <c r="NCX1" s="2775"/>
      <c r="NCY1" s="2775"/>
      <c r="NCZ1" s="2775"/>
      <c r="NDA1" s="2775"/>
      <c r="NDB1" s="2775"/>
      <c r="NDC1" s="2775"/>
      <c r="NDD1" s="2775"/>
      <c r="NDE1" s="2775"/>
      <c r="NDF1" s="2775"/>
      <c r="NDG1" s="2775"/>
      <c r="NDH1" s="2775"/>
      <c r="NDI1" s="2775"/>
      <c r="NDJ1" s="2775"/>
      <c r="NDK1" s="2775"/>
      <c r="NDL1" s="2775"/>
      <c r="NDM1" s="2775"/>
      <c r="NDN1" s="2775"/>
      <c r="NDO1" s="2775"/>
      <c r="NDP1" s="2775"/>
      <c r="NDQ1" s="2775"/>
      <c r="NDR1" s="2775"/>
      <c r="NDS1" s="2775"/>
      <c r="NDT1" s="2775"/>
      <c r="NDU1" s="2775"/>
      <c r="NDV1" s="2775"/>
      <c r="NDW1" s="2775"/>
      <c r="NDX1" s="2775"/>
      <c r="NDY1" s="2775"/>
      <c r="NDZ1" s="2775"/>
      <c r="NEA1" s="2775"/>
      <c r="NEB1" s="2775"/>
      <c r="NEC1" s="2775"/>
      <c r="NED1" s="2775"/>
      <c r="NEE1" s="2775"/>
      <c r="NEF1" s="2775"/>
      <c r="NEG1" s="2775"/>
      <c r="NEH1" s="2775"/>
      <c r="NEI1" s="2775"/>
      <c r="NEJ1" s="2775"/>
      <c r="NEK1" s="2775"/>
      <c r="NEL1" s="2775"/>
      <c r="NEM1" s="2775"/>
      <c r="NEN1" s="2775"/>
      <c r="NEO1" s="2775"/>
      <c r="NEP1" s="2775"/>
      <c r="NEQ1" s="2775"/>
      <c r="NER1" s="2775"/>
      <c r="NES1" s="2775"/>
      <c r="NET1" s="2775"/>
      <c r="NEU1" s="2775"/>
      <c r="NEV1" s="2775"/>
      <c r="NEW1" s="2775"/>
      <c r="NEX1" s="2775"/>
      <c r="NEY1" s="2775"/>
      <c r="NEZ1" s="2775"/>
      <c r="NFA1" s="2775"/>
      <c r="NFB1" s="2775"/>
      <c r="NFC1" s="2775"/>
      <c r="NFD1" s="2775"/>
      <c r="NFE1" s="2775"/>
      <c r="NFF1" s="2775"/>
      <c r="NFG1" s="2775"/>
      <c r="NFH1" s="2775"/>
      <c r="NFI1" s="2775"/>
      <c r="NFJ1" s="2775"/>
      <c r="NFK1" s="2775"/>
      <c r="NFL1" s="2775"/>
      <c r="NFM1" s="2775"/>
      <c r="NFN1" s="2775"/>
      <c r="NFO1" s="2775"/>
      <c r="NFP1" s="2775"/>
      <c r="NFQ1" s="2775"/>
      <c r="NFR1" s="2775"/>
      <c r="NFS1" s="2775"/>
      <c r="NFT1" s="2775"/>
      <c r="NFU1" s="2775"/>
      <c r="NFV1" s="2775"/>
      <c r="NFW1" s="2775"/>
      <c r="NFX1" s="2775"/>
      <c r="NFY1" s="2775"/>
      <c r="NFZ1" s="2775"/>
      <c r="NGA1" s="2775"/>
      <c r="NGB1" s="2775"/>
      <c r="NGC1" s="2775"/>
      <c r="NGD1" s="2775"/>
      <c r="NGE1" s="2775"/>
      <c r="NGF1" s="2775"/>
      <c r="NGG1" s="2775"/>
      <c r="NGH1" s="2775"/>
      <c r="NGI1" s="2775"/>
      <c r="NGJ1" s="2775"/>
      <c r="NGK1" s="2775"/>
      <c r="NGL1" s="2775"/>
      <c r="NGM1" s="2775"/>
      <c r="NGN1" s="2775"/>
      <c r="NGO1" s="2775"/>
      <c r="NGP1" s="2775"/>
      <c r="NGQ1" s="2775"/>
      <c r="NGR1" s="2775"/>
      <c r="NGS1" s="2775"/>
      <c r="NGT1" s="2775"/>
      <c r="NGU1" s="2775"/>
      <c r="NGV1" s="2775"/>
      <c r="NGW1" s="2775"/>
      <c r="NGX1" s="2775"/>
      <c r="NGY1" s="2775"/>
      <c r="NGZ1" s="2775"/>
      <c r="NHA1" s="2775"/>
      <c r="NHB1" s="2775"/>
      <c r="NHC1" s="2775"/>
      <c r="NHD1" s="2775"/>
      <c r="NHE1" s="2775"/>
      <c r="NHF1" s="2775"/>
      <c r="NHG1" s="2775"/>
      <c r="NHH1" s="2775"/>
      <c r="NHI1" s="2775"/>
      <c r="NHJ1" s="2775"/>
      <c r="NHK1" s="2775"/>
      <c r="NHL1" s="2775"/>
      <c r="NHM1" s="2775"/>
      <c r="NHN1" s="2775"/>
      <c r="NHO1" s="2775"/>
      <c r="NHP1" s="2775"/>
      <c r="NHQ1" s="2775"/>
      <c r="NHR1" s="2775"/>
      <c r="NHS1" s="2775"/>
      <c r="NHT1" s="2775"/>
      <c r="NHU1" s="2775"/>
      <c r="NHV1" s="2775"/>
      <c r="NHW1" s="2775"/>
      <c r="NHX1" s="2775"/>
      <c r="NHY1" s="2775"/>
      <c r="NHZ1" s="2775"/>
      <c r="NIA1" s="2775"/>
      <c r="NIB1" s="2775"/>
      <c r="NIC1" s="2775"/>
      <c r="NID1" s="2775"/>
      <c r="NIE1" s="2775"/>
      <c r="NIF1" s="2775"/>
      <c r="NIG1" s="2775"/>
      <c r="NIH1" s="2775"/>
      <c r="NII1" s="2775"/>
      <c r="NIJ1" s="2775"/>
      <c r="NIK1" s="2775"/>
      <c r="NIL1" s="2775"/>
      <c r="NIM1" s="2775"/>
      <c r="NIN1" s="2775"/>
      <c r="NIO1" s="2775"/>
      <c r="NIP1" s="2775"/>
      <c r="NIQ1" s="2775"/>
      <c r="NIR1" s="2775"/>
      <c r="NIS1" s="2775"/>
      <c r="NIT1" s="2775"/>
      <c r="NIU1" s="2775"/>
      <c r="NIV1" s="2775"/>
      <c r="NIW1" s="2775"/>
      <c r="NIX1" s="2775"/>
      <c r="NIY1" s="2775"/>
      <c r="NIZ1" s="2775"/>
      <c r="NJA1" s="2775"/>
      <c r="NJB1" s="2775"/>
      <c r="NJC1" s="2775"/>
      <c r="NJD1" s="2775"/>
      <c r="NJE1" s="2775"/>
      <c r="NJF1" s="2775"/>
      <c r="NJG1" s="2775"/>
      <c r="NJH1" s="2775"/>
      <c r="NJI1" s="2775"/>
      <c r="NJJ1" s="2775"/>
      <c r="NJK1" s="2775"/>
      <c r="NJL1" s="2775"/>
      <c r="NJM1" s="2775"/>
      <c r="NJN1" s="2775"/>
      <c r="NJO1" s="2775"/>
      <c r="NJP1" s="2775"/>
      <c r="NJQ1" s="2775"/>
      <c r="NJR1" s="2775"/>
      <c r="NJS1" s="2775"/>
      <c r="NJT1" s="2775"/>
      <c r="NJU1" s="2775"/>
      <c r="NJV1" s="2775"/>
      <c r="NJW1" s="2775"/>
      <c r="NJX1" s="2775"/>
      <c r="NJY1" s="2775"/>
      <c r="NJZ1" s="2775"/>
      <c r="NKA1" s="2775"/>
      <c r="NKB1" s="2775"/>
      <c r="NKC1" s="2775"/>
      <c r="NKD1" s="2775"/>
      <c r="NKE1" s="2775"/>
      <c r="NKF1" s="2775"/>
      <c r="NKG1" s="2775"/>
      <c r="NKH1" s="2775"/>
      <c r="NKI1" s="2775"/>
      <c r="NKJ1" s="2775"/>
      <c r="NKK1" s="2775"/>
      <c r="NKL1" s="2775"/>
      <c r="NKM1" s="2775"/>
      <c r="NKN1" s="2775"/>
      <c r="NKO1" s="2775"/>
      <c r="NKP1" s="2775"/>
      <c r="NKQ1" s="2775"/>
      <c r="NKR1" s="2775"/>
      <c r="NKS1" s="2775"/>
      <c r="NKT1" s="2775"/>
      <c r="NKU1" s="2775"/>
      <c r="NKV1" s="2775"/>
      <c r="NKW1" s="2775"/>
      <c r="NKX1" s="2775"/>
      <c r="NKY1" s="2775"/>
      <c r="NKZ1" s="2775"/>
      <c r="NLA1" s="2775"/>
      <c r="NLB1" s="2775"/>
      <c r="NLC1" s="2775"/>
      <c r="NLD1" s="2775"/>
      <c r="NLE1" s="2775"/>
      <c r="NLF1" s="2775"/>
      <c r="NLG1" s="2775"/>
      <c r="NLH1" s="2775"/>
      <c r="NLI1" s="2775"/>
      <c r="NLJ1" s="2775"/>
      <c r="NLK1" s="2775"/>
      <c r="NLL1" s="2775"/>
      <c r="NLM1" s="2775"/>
      <c r="NLN1" s="2775"/>
      <c r="NLO1" s="2775"/>
      <c r="NLP1" s="2775"/>
      <c r="NLQ1" s="2775"/>
      <c r="NLR1" s="2775"/>
      <c r="NLS1" s="2775"/>
      <c r="NLT1" s="2775"/>
      <c r="NLU1" s="2775"/>
      <c r="NLV1" s="2775"/>
      <c r="NLW1" s="2775"/>
      <c r="NLX1" s="2775"/>
      <c r="NLY1" s="2775"/>
      <c r="NLZ1" s="2775"/>
      <c r="NMA1" s="2775"/>
      <c r="NMB1" s="2775"/>
      <c r="NMC1" s="2775"/>
      <c r="NMD1" s="2775"/>
      <c r="NME1" s="2775"/>
      <c r="NMF1" s="2775"/>
      <c r="NMG1" s="2775"/>
      <c r="NMH1" s="2775"/>
      <c r="NMI1" s="2775"/>
      <c r="NMJ1" s="2775"/>
      <c r="NMK1" s="2775"/>
      <c r="NML1" s="2775"/>
      <c r="NMM1" s="2775"/>
      <c r="NMN1" s="2775"/>
      <c r="NMO1" s="2775"/>
      <c r="NMP1" s="2775"/>
      <c r="NMQ1" s="2775"/>
      <c r="NMR1" s="2775"/>
      <c r="NMS1" s="2775"/>
      <c r="NMT1" s="2775"/>
      <c r="NMU1" s="2775"/>
      <c r="NMV1" s="2775"/>
      <c r="NMW1" s="2775"/>
      <c r="NMX1" s="2775"/>
      <c r="NMY1" s="2775"/>
      <c r="NMZ1" s="2775"/>
      <c r="NNA1" s="2775"/>
      <c r="NNB1" s="2775"/>
      <c r="NNC1" s="2775"/>
      <c r="NND1" s="2775"/>
      <c r="NNE1" s="2775"/>
      <c r="NNF1" s="2775"/>
      <c r="NNG1" s="2775"/>
      <c r="NNH1" s="2775"/>
      <c r="NNI1" s="2775"/>
      <c r="NNJ1" s="2775"/>
      <c r="NNK1" s="2775"/>
      <c r="NNL1" s="2775"/>
      <c r="NNM1" s="2775"/>
      <c r="NNN1" s="2775"/>
      <c r="NNO1" s="2775"/>
      <c r="NNP1" s="2775"/>
      <c r="NNQ1" s="2775"/>
      <c r="NNR1" s="2775"/>
      <c r="NNS1" s="2775"/>
      <c r="NNT1" s="2775"/>
      <c r="NNU1" s="2775"/>
      <c r="NNV1" s="2775"/>
      <c r="NNW1" s="2775"/>
      <c r="NNX1" s="2775"/>
      <c r="NNY1" s="2775"/>
      <c r="NNZ1" s="2775"/>
      <c r="NOA1" s="2775"/>
      <c r="NOB1" s="2775"/>
      <c r="NOC1" s="2775"/>
      <c r="NOD1" s="2775"/>
      <c r="NOE1" s="2775"/>
      <c r="NOF1" s="2775"/>
      <c r="NOG1" s="2775"/>
      <c r="NOH1" s="2775"/>
      <c r="NOI1" s="2775"/>
      <c r="NOJ1" s="2775"/>
      <c r="NOK1" s="2775"/>
      <c r="NOL1" s="2775"/>
      <c r="NOM1" s="2775"/>
      <c r="NON1" s="2775"/>
      <c r="NOO1" s="2775"/>
      <c r="NOP1" s="2775"/>
      <c r="NOQ1" s="2775"/>
      <c r="NOR1" s="2775"/>
      <c r="NOS1" s="2775"/>
      <c r="NOT1" s="2775"/>
      <c r="NOU1" s="2775"/>
      <c r="NOV1" s="2775"/>
      <c r="NOW1" s="2775"/>
      <c r="NOX1" s="2775"/>
      <c r="NOY1" s="2775"/>
      <c r="NOZ1" s="2775"/>
      <c r="NPA1" s="2775"/>
      <c r="NPB1" s="2775"/>
      <c r="NPC1" s="2775"/>
      <c r="NPD1" s="2775"/>
      <c r="NPE1" s="2775"/>
      <c r="NPF1" s="2775"/>
      <c r="NPG1" s="2775"/>
      <c r="NPH1" s="2775"/>
      <c r="NPI1" s="2775"/>
      <c r="NPJ1" s="2775"/>
      <c r="NPK1" s="2775"/>
      <c r="NPL1" s="2775"/>
      <c r="NPM1" s="2775"/>
      <c r="NPN1" s="2775"/>
      <c r="NPO1" s="2775"/>
      <c r="NPP1" s="2775"/>
      <c r="NPQ1" s="2775"/>
      <c r="NPR1" s="2775"/>
      <c r="NPS1" s="2775"/>
      <c r="NPT1" s="2775"/>
      <c r="NPU1" s="2775"/>
      <c r="NPV1" s="2775"/>
      <c r="NPW1" s="2775"/>
      <c r="NPX1" s="2775"/>
      <c r="NPY1" s="2775"/>
      <c r="NPZ1" s="2775"/>
      <c r="NQA1" s="2775"/>
      <c r="NQB1" s="2775"/>
      <c r="NQC1" s="2775"/>
      <c r="NQD1" s="2775"/>
      <c r="NQE1" s="2775"/>
      <c r="NQF1" s="2775"/>
      <c r="NQG1" s="2775"/>
      <c r="NQH1" s="2775"/>
      <c r="NQI1" s="2775"/>
      <c r="NQJ1" s="2775"/>
      <c r="NQK1" s="2775"/>
      <c r="NQL1" s="2775"/>
      <c r="NQM1" s="2775"/>
      <c r="NQN1" s="2775"/>
      <c r="NQO1" s="2775"/>
      <c r="NQP1" s="2775"/>
      <c r="NQQ1" s="2775"/>
      <c r="NQR1" s="2775"/>
      <c r="NQS1" s="2775"/>
      <c r="NQT1" s="2775"/>
      <c r="NQU1" s="2775"/>
      <c r="NQV1" s="2775"/>
      <c r="NQW1" s="2775"/>
      <c r="NQX1" s="2775"/>
      <c r="NQY1" s="2775"/>
      <c r="NQZ1" s="2775"/>
      <c r="NRA1" s="2775"/>
      <c r="NRB1" s="2775"/>
      <c r="NRC1" s="2775"/>
      <c r="NRD1" s="2775"/>
      <c r="NRE1" s="2775"/>
      <c r="NRF1" s="2775"/>
      <c r="NRG1" s="2775"/>
      <c r="NRH1" s="2775"/>
      <c r="NRI1" s="2775"/>
      <c r="NRJ1" s="2775"/>
      <c r="NRK1" s="2775"/>
      <c r="NRL1" s="2775"/>
      <c r="NRM1" s="2775"/>
      <c r="NRN1" s="2775"/>
      <c r="NRO1" s="2775"/>
      <c r="NRP1" s="2775"/>
      <c r="NRQ1" s="2775"/>
      <c r="NRR1" s="2775"/>
      <c r="NRS1" s="2775"/>
      <c r="NRT1" s="2775"/>
      <c r="NRU1" s="2775"/>
      <c r="NRV1" s="2775"/>
      <c r="NRW1" s="2775"/>
      <c r="NRX1" s="2775"/>
      <c r="NRY1" s="2775"/>
      <c r="NRZ1" s="2775"/>
      <c r="NSA1" s="2775"/>
      <c r="NSB1" s="2775"/>
      <c r="NSC1" s="2775"/>
      <c r="NSD1" s="2775"/>
      <c r="NSE1" s="2775"/>
      <c r="NSF1" s="2775"/>
      <c r="NSG1" s="2775"/>
      <c r="NSH1" s="2775"/>
      <c r="NSI1" s="2775"/>
      <c r="NSJ1" s="2775"/>
      <c r="NSK1" s="2775"/>
      <c r="NSL1" s="2775"/>
      <c r="NSM1" s="2775"/>
      <c r="NSN1" s="2775"/>
      <c r="NSO1" s="2775"/>
      <c r="NSP1" s="2775"/>
      <c r="NSQ1" s="2775"/>
      <c r="NSR1" s="2775"/>
      <c r="NSS1" s="2775"/>
      <c r="NST1" s="2775"/>
      <c r="NSU1" s="2775"/>
      <c r="NSV1" s="2775"/>
      <c r="NSW1" s="2775"/>
      <c r="NSX1" s="2775"/>
      <c r="NSY1" s="2775"/>
      <c r="NSZ1" s="2775"/>
      <c r="NTA1" s="2775"/>
      <c r="NTB1" s="2775"/>
      <c r="NTC1" s="2775"/>
      <c r="NTD1" s="2775"/>
      <c r="NTE1" s="2775"/>
      <c r="NTF1" s="2775"/>
      <c r="NTG1" s="2775"/>
      <c r="NTH1" s="2775"/>
      <c r="NTI1" s="2775"/>
      <c r="NTJ1" s="2775"/>
      <c r="NTK1" s="2775"/>
      <c r="NTL1" s="2775"/>
      <c r="NTM1" s="2775"/>
      <c r="NTN1" s="2775"/>
      <c r="NTO1" s="2775"/>
      <c r="NTP1" s="2775"/>
      <c r="NTQ1" s="2775"/>
      <c r="NTR1" s="2775"/>
      <c r="NTS1" s="2775"/>
      <c r="NTT1" s="2775"/>
      <c r="NTU1" s="2775"/>
      <c r="NTV1" s="2775"/>
      <c r="NTW1" s="2775"/>
      <c r="NTX1" s="2775"/>
      <c r="NTY1" s="2775"/>
      <c r="NTZ1" s="2775"/>
      <c r="NUA1" s="2775"/>
      <c r="NUB1" s="2775"/>
      <c r="NUC1" s="2775"/>
      <c r="NUD1" s="2775"/>
      <c r="NUE1" s="2775"/>
      <c r="NUF1" s="2775"/>
      <c r="NUG1" s="2775"/>
      <c r="NUH1" s="2775"/>
      <c r="NUI1" s="2775"/>
      <c r="NUJ1" s="2775"/>
      <c r="NUK1" s="2775"/>
      <c r="NUL1" s="2775"/>
      <c r="NUM1" s="2775"/>
      <c r="NUN1" s="2775"/>
      <c r="NUO1" s="2775"/>
      <c r="NUP1" s="2775"/>
      <c r="NUQ1" s="2775"/>
      <c r="NUR1" s="2775"/>
      <c r="NUS1" s="2775"/>
      <c r="NUT1" s="2775"/>
      <c r="NUU1" s="2775"/>
      <c r="NUV1" s="2775"/>
      <c r="NUW1" s="2775"/>
      <c r="NUX1" s="2775"/>
      <c r="NUY1" s="2775"/>
      <c r="NUZ1" s="2775"/>
      <c r="NVA1" s="2775"/>
      <c r="NVB1" s="2775"/>
      <c r="NVC1" s="2775"/>
      <c r="NVD1" s="2775"/>
      <c r="NVE1" s="2775"/>
      <c r="NVF1" s="2775"/>
      <c r="NVG1" s="2775"/>
      <c r="NVH1" s="2775"/>
      <c r="NVI1" s="2775"/>
      <c r="NVJ1" s="2775"/>
      <c r="NVK1" s="2775"/>
      <c r="NVL1" s="2775"/>
      <c r="NVM1" s="2775"/>
      <c r="NVN1" s="2775"/>
      <c r="NVO1" s="2775"/>
      <c r="NVP1" s="2775"/>
      <c r="NVQ1" s="2775"/>
      <c r="NVR1" s="2775"/>
      <c r="NVS1" s="2775"/>
      <c r="NVT1" s="2775"/>
      <c r="NVU1" s="2775"/>
      <c r="NVV1" s="2775"/>
      <c r="NVW1" s="2775"/>
      <c r="NVX1" s="2775"/>
      <c r="NVY1" s="2775"/>
      <c r="NVZ1" s="2775"/>
      <c r="NWA1" s="2775"/>
      <c r="NWB1" s="2775"/>
      <c r="NWC1" s="2775"/>
      <c r="NWD1" s="2775"/>
      <c r="NWE1" s="2775"/>
      <c r="NWF1" s="2775"/>
      <c r="NWG1" s="2775"/>
      <c r="NWH1" s="2775"/>
      <c r="NWI1" s="2775"/>
      <c r="NWJ1" s="2775"/>
      <c r="NWK1" s="2775"/>
      <c r="NWL1" s="2775"/>
      <c r="NWM1" s="2775"/>
      <c r="NWN1" s="2775"/>
      <c r="NWO1" s="2775"/>
      <c r="NWP1" s="2775"/>
      <c r="NWQ1" s="2775"/>
      <c r="NWR1" s="2775"/>
      <c r="NWS1" s="2775"/>
      <c r="NWT1" s="2775"/>
      <c r="NWU1" s="2775"/>
      <c r="NWV1" s="2775"/>
      <c r="NWW1" s="2775"/>
      <c r="NWX1" s="2775"/>
      <c r="NWY1" s="2775"/>
      <c r="NWZ1" s="2775"/>
      <c r="NXA1" s="2775"/>
      <c r="NXB1" s="2775"/>
      <c r="NXC1" s="2775"/>
      <c r="NXD1" s="2775"/>
      <c r="NXE1" s="2775"/>
      <c r="NXF1" s="2775"/>
      <c r="NXG1" s="2775"/>
      <c r="NXH1" s="2775"/>
      <c r="NXI1" s="2775"/>
      <c r="NXJ1" s="2775"/>
      <c r="NXK1" s="2775"/>
      <c r="NXL1" s="2775"/>
      <c r="NXM1" s="2775"/>
      <c r="NXN1" s="2775"/>
      <c r="NXO1" s="2775"/>
      <c r="NXP1" s="2775"/>
      <c r="NXQ1" s="2775"/>
      <c r="NXR1" s="2775"/>
      <c r="NXS1" s="2775"/>
      <c r="NXT1" s="2775"/>
      <c r="NXU1" s="2775"/>
      <c r="NXV1" s="2775"/>
      <c r="NXW1" s="2775"/>
      <c r="NXX1" s="2775"/>
      <c r="NXY1" s="2775"/>
      <c r="NXZ1" s="2775"/>
      <c r="NYA1" s="2775"/>
      <c r="NYB1" s="2775"/>
      <c r="NYC1" s="2775"/>
      <c r="NYD1" s="2775"/>
      <c r="NYE1" s="2775"/>
      <c r="NYF1" s="2775"/>
      <c r="NYG1" s="2775"/>
      <c r="NYH1" s="2775"/>
      <c r="NYI1" s="2775"/>
      <c r="NYJ1" s="2775"/>
      <c r="NYK1" s="2775"/>
      <c r="NYL1" s="2775"/>
      <c r="NYM1" s="2775"/>
      <c r="NYN1" s="2775"/>
      <c r="NYO1" s="2775"/>
      <c r="NYP1" s="2775"/>
      <c r="NYQ1" s="2775"/>
      <c r="NYR1" s="2775"/>
      <c r="NYS1" s="2775"/>
      <c r="NYT1" s="2775"/>
      <c r="NYU1" s="2775"/>
      <c r="NYV1" s="2775"/>
      <c r="NYW1" s="2775"/>
      <c r="NYX1" s="2775"/>
      <c r="NYY1" s="2775"/>
      <c r="NYZ1" s="2775"/>
      <c r="NZA1" s="2775"/>
      <c r="NZB1" s="2775"/>
      <c r="NZC1" s="2775"/>
      <c r="NZD1" s="2775"/>
      <c r="NZE1" s="2775"/>
      <c r="NZF1" s="2775"/>
      <c r="NZG1" s="2775"/>
      <c r="NZH1" s="2775"/>
      <c r="NZI1" s="2775"/>
      <c r="NZJ1" s="2775"/>
      <c r="NZK1" s="2775"/>
      <c r="NZL1" s="2775"/>
      <c r="NZM1" s="2775"/>
      <c r="NZN1" s="2775"/>
      <c r="NZO1" s="2775"/>
      <c r="NZP1" s="2775"/>
      <c r="NZQ1" s="2775"/>
      <c r="NZR1" s="2775"/>
      <c r="NZS1" s="2775"/>
      <c r="NZT1" s="2775"/>
      <c r="NZU1" s="2775"/>
      <c r="NZV1" s="2775"/>
      <c r="NZW1" s="2775"/>
      <c r="NZX1" s="2775"/>
      <c r="NZY1" s="2775"/>
      <c r="NZZ1" s="2775"/>
      <c r="OAA1" s="2775"/>
      <c r="OAB1" s="2775"/>
      <c r="OAC1" s="2775"/>
      <c r="OAD1" s="2775"/>
      <c r="OAE1" s="2775"/>
      <c r="OAF1" s="2775"/>
      <c r="OAG1" s="2775"/>
      <c r="OAH1" s="2775"/>
      <c r="OAI1" s="2775"/>
      <c r="OAJ1" s="2775"/>
      <c r="OAK1" s="2775"/>
      <c r="OAL1" s="2775"/>
      <c r="OAM1" s="2775"/>
      <c r="OAN1" s="2775"/>
      <c r="OAO1" s="2775"/>
      <c r="OAP1" s="2775"/>
      <c r="OAQ1" s="2775"/>
      <c r="OAR1" s="2775"/>
      <c r="OAS1" s="2775"/>
      <c r="OAT1" s="2775"/>
      <c r="OAU1" s="2775"/>
      <c r="OAV1" s="2775"/>
      <c r="OAW1" s="2775"/>
      <c r="OAX1" s="2775"/>
      <c r="OAY1" s="2775"/>
      <c r="OAZ1" s="2775"/>
      <c r="OBA1" s="2775"/>
      <c r="OBB1" s="2775"/>
      <c r="OBC1" s="2775"/>
      <c r="OBD1" s="2775"/>
      <c r="OBE1" s="2775"/>
      <c r="OBF1" s="2775"/>
      <c r="OBG1" s="2775"/>
      <c r="OBH1" s="2775"/>
      <c r="OBI1" s="2775"/>
      <c r="OBJ1" s="2775"/>
      <c r="OBK1" s="2775"/>
      <c r="OBL1" s="2775"/>
      <c r="OBM1" s="2775"/>
      <c r="OBN1" s="2775"/>
      <c r="OBO1" s="2775"/>
      <c r="OBP1" s="2775"/>
      <c r="OBQ1" s="2775"/>
      <c r="OBR1" s="2775"/>
      <c r="OBS1" s="2775"/>
      <c r="OBT1" s="2775"/>
      <c r="OBU1" s="2775"/>
      <c r="OBV1" s="2775"/>
      <c r="OBW1" s="2775"/>
      <c r="OBX1" s="2775"/>
      <c r="OBY1" s="2775"/>
      <c r="OBZ1" s="2775"/>
      <c r="OCA1" s="2775"/>
      <c r="OCB1" s="2775"/>
      <c r="OCC1" s="2775"/>
      <c r="OCD1" s="2775"/>
      <c r="OCE1" s="2775"/>
      <c r="OCF1" s="2775"/>
      <c r="OCG1" s="2775"/>
      <c r="OCH1" s="2775"/>
      <c r="OCI1" s="2775"/>
      <c r="OCJ1" s="2775"/>
      <c r="OCK1" s="2775"/>
      <c r="OCL1" s="2775"/>
      <c r="OCM1" s="2775"/>
      <c r="OCN1" s="2775"/>
      <c r="OCO1" s="2775"/>
      <c r="OCP1" s="2775"/>
      <c r="OCQ1" s="2775"/>
      <c r="OCR1" s="2775"/>
      <c r="OCS1" s="2775"/>
      <c r="OCT1" s="2775"/>
      <c r="OCU1" s="2775"/>
      <c r="OCV1" s="2775"/>
      <c r="OCW1" s="2775"/>
      <c r="OCX1" s="2775"/>
      <c r="OCY1" s="2775"/>
      <c r="OCZ1" s="2775"/>
      <c r="ODA1" s="2775"/>
      <c r="ODB1" s="2775"/>
      <c r="ODC1" s="2775"/>
      <c r="ODD1" s="2775"/>
      <c r="ODE1" s="2775"/>
      <c r="ODF1" s="2775"/>
      <c r="ODG1" s="2775"/>
      <c r="ODH1" s="2775"/>
      <c r="ODI1" s="2775"/>
      <c r="ODJ1" s="2775"/>
      <c r="ODK1" s="2775"/>
      <c r="ODL1" s="2775"/>
      <c r="ODM1" s="2775"/>
      <c r="ODN1" s="2775"/>
      <c r="ODO1" s="2775"/>
      <c r="ODP1" s="2775"/>
      <c r="ODQ1" s="2775"/>
      <c r="ODR1" s="2775"/>
      <c r="ODS1" s="2775"/>
      <c r="ODT1" s="2775"/>
      <c r="ODU1" s="2775"/>
      <c r="ODV1" s="2775"/>
      <c r="ODW1" s="2775"/>
      <c r="ODX1" s="2775"/>
      <c r="ODY1" s="2775"/>
      <c r="ODZ1" s="2775"/>
      <c r="OEA1" s="2775"/>
      <c r="OEB1" s="2775"/>
      <c r="OEC1" s="2775"/>
      <c r="OED1" s="2775"/>
      <c r="OEE1" s="2775"/>
      <c r="OEF1" s="2775"/>
      <c r="OEG1" s="2775"/>
      <c r="OEH1" s="2775"/>
      <c r="OEI1" s="2775"/>
      <c r="OEJ1" s="2775"/>
      <c r="OEK1" s="2775"/>
      <c r="OEL1" s="2775"/>
      <c r="OEM1" s="2775"/>
      <c r="OEN1" s="2775"/>
      <c r="OEO1" s="2775"/>
      <c r="OEP1" s="2775"/>
      <c r="OEQ1" s="2775"/>
      <c r="OER1" s="2775"/>
      <c r="OES1" s="2775"/>
      <c r="OET1" s="2775"/>
      <c r="OEU1" s="2775"/>
      <c r="OEV1" s="2775"/>
      <c r="OEW1" s="2775"/>
      <c r="OEX1" s="2775"/>
      <c r="OEY1" s="2775"/>
      <c r="OEZ1" s="2775"/>
      <c r="OFA1" s="2775"/>
      <c r="OFB1" s="2775"/>
      <c r="OFC1" s="2775"/>
      <c r="OFD1" s="2775"/>
      <c r="OFE1" s="2775"/>
      <c r="OFF1" s="2775"/>
      <c r="OFG1" s="2775"/>
      <c r="OFH1" s="2775"/>
      <c r="OFI1" s="2775"/>
      <c r="OFJ1" s="2775"/>
      <c r="OFK1" s="2775"/>
      <c r="OFL1" s="2775"/>
      <c r="OFM1" s="2775"/>
      <c r="OFN1" s="2775"/>
      <c r="OFO1" s="2775"/>
      <c r="OFP1" s="2775"/>
      <c r="OFQ1" s="2775"/>
      <c r="OFR1" s="2775"/>
      <c r="OFS1" s="2775"/>
      <c r="OFT1" s="2775"/>
      <c r="OFU1" s="2775"/>
      <c r="OFV1" s="2775"/>
      <c r="OFW1" s="2775"/>
      <c r="OFX1" s="2775"/>
      <c r="OFY1" s="2775"/>
      <c r="OFZ1" s="2775"/>
      <c r="OGA1" s="2775"/>
      <c r="OGB1" s="2775"/>
      <c r="OGC1" s="2775"/>
      <c r="OGD1" s="2775"/>
      <c r="OGE1" s="2775"/>
      <c r="OGF1" s="2775"/>
      <c r="OGG1" s="2775"/>
      <c r="OGH1" s="2775"/>
      <c r="OGI1" s="2775"/>
      <c r="OGJ1" s="2775"/>
      <c r="OGK1" s="2775"/>
      <c r="OGL1" s="2775"/>
      <c r="OGM1" s="2775"/>
      <c r="OGN1" s="2775"/>
      <c r="OGO1" s="2775"/>
      <c r="OGP1" s="2775"/>
      <c r="OGQ1" s="2775"/>
      <c r="OGR1" s="2775"/>
      <c r="OGS1" s="2775"/>
      <c r="OGT1" s="2775"/>
      <c r="OGU1" s="2775"/>
      <c r="OGV1" s="2775"/>
      <c r="OGW1" s="2775"/>
      <c r="OGX1" s="2775"/>
      <c r="OGY1" s="2775"/>
      <c r="OGZ1" s="2775"/>
      <c r="OHA1" s="2775"/>
      <c r="OHB1" s="2775"/>
      <c r="OHC1" s="2775"/>
      <c r="OHD1" s="2775"/>
      <c r="OHE1" s="2775"/>
      <c r="OHF1" s="2775"/>
      <c r="OHG1" s="2775"/>
      <c r="OHH1" s="2775"/>
      <c r="OHI1" s="2775"/>
      <c r="OHJ1" s="2775"/>
      <c r="OHK1" s="2775"/>
      <c r="OHL1" s="2775"/>
      <c r="OHM1" s="2775"/>
      <c r="OHN1" s="2775"/>
      <c r="OHO1" s="2775"/>
      <c r="OHP1" s="2775"/>
      <c r="OHQ1" s="2775"/>
      <c r="OHR1" s="2775"/>
      <c r="OHS1" s="2775"/>
      <c r="OHT1" s="2775"/>
      <c r="OHU1" s="2775"/>
      <c r="OHV1" s="2775"/>
      <c r="OHW1" s="2775"/>
      <c r="OHX1" s="2775"/>
      <c r="OHY1" s="2775"/>
      <c r="OHZ1" s="2775"/>
      <c r="OIA1" s="2775"/>
      <c r="OIB1" s="2775"/>
      <c r="OIC1" s="2775"/>
      <c r="OID1" s="2775"/>
      <c r="OIE1" s="2775"/>
      <c r="OIF1" s="2775"/>
      <c r="OIG1" s="2775"/>
      <c r="OIH1" s="2775"/>
      <c r="OII1" s="2775"/>
      <c r="OIJ1" s="2775"/>
      <c r="OIK1" s="2775"/>
      <c r="OIL1" s="2775"/>
      <c r="OIM1" s="2775"/>
      <c r="OIN1" s="2775"/>
      <c r="OIO1" s="2775"/>
      <c r="OIP1" s="2775"/>
      <c r="OIQ1" s="2775"/>
      <c r="OIR1" s="2775"/>
      <c r="OIS1" s="2775"/>
      <c r="OIT1" s="2775"/>
      <c r="OIU1" s="2775"/>
      <c r="OIV1" s="2775"/>
      <c r="OIW1" s="2775"/>
      <c r="OIX1" s="2775"/>
      <c r="OIY1" s="2775"/>
      <c r="OIZ1" s="2775"/>
      <c r="OJA1" s="2775"/>
      <c r="OJB1" s="2775"/>
      <c r="OJC1" s="2775"/>
      <c r="OJD1" s="2775"/>
      <c r="OJE1" s="2775"/>
      <c r="OJF1" s="2775"/>
      <c r="OJG1" s="2775"/>
      <c r="OJH1" s="2775"/>
      <c r="OJI1" s="2775"/>
      <c r="OJJ1" s="2775"/>
      <c r="OJK1" s="2775"/>
      <c r="OJL1" s="2775"/>
      <c r="OJM1" s="2775"/>
      <c r="OJN1" s="2775"/>
      <c r="OJO1" s="2775"/>
      <c r="OJP1" s="2775"/>
      <c r="OJQ1" s="2775"/>
      <c r="OJR1" s="2775"/>
      <c r="OJS1" s="2775"/>
      <c r="OJT1" s="2775"/>
      <c r="OJU1" s="2775"/>
      <c r="OJV1" s="2775"/>
      <c r="OJW1" s="2775"/>
      <c r="OJX1" s="2775"/>
      <c r="OJY1" s="2775"/>
      <c r="OJZ1" s="2775"/>
      <c r="OKA1" s="2775"/>
      <c r="OKB1" s="2775"/>
      <c r="OKC1" s="2775"/>
      <c r="OKD1" s="2775"/>
      <c r="OKE1" s="2775"/>
      <c r="OKF1" s="2775"/>
      <c r="OKG1" s="2775"/>
      <c r="OKH1" s="2775"/>
      <c r="OKI1" s="2775"/>
      <c r="OKJ1" s="2775"/>
      <c r="OKK1" s="2775"/>
      <c r="OKL1" s="2775"/>
      <c r="OKM1" s="2775"/>
      <c r="OKN1" s="2775"/>
      <c r="OKO1" s="2775"/>
      <c r="OKP1" s="2775"/>
      <c r="OKQ1" s="2775"/>
      <c r="OKR1" s="2775"/>
      <c r="OKS1" s="2775"/>
      <c r="OKT1" s="2775"/>
      <c r="OKU1" s="2775"/>
      <c r="OKV1" s="2775"/>
      <c r="OKW1" s="2775"/>
      <c r="OKX1" s="2775"/>
      <c r="OKY1" s="2775"/>
      <c r="OKZ1" s="2775"/>
      <c r="OLA1" s="2775"/>
      <c r="OLB1" s="2775"/>
      <c r="OLC1" s="2775"/>
      <c r="OLD1" s="2775"/>
      <c r="OLE1" s="2775"/>
      <c r="OLF1" s="2775"/>
      <c r="OLG1" s="2775"/>
      <c r="OLH1" s="2775"/>
      <c r="OLI1" s="2775"/>
      <c r="OLJ1" s="2775"/>
      <c r="OLK1" s="2775"/>
      <c r="OLL1" s="2775"/>
      <c r="OLM1" s="2775"/>
      <c r="OLN1" s="2775"/>
      <c r="OLO1" s="2775"/>
      <c r="OLP1" s="2775"/>
      <c r="OLQ1" s="2775"/>
      <c r="OLR1" s="2775"/>
      <c r="OLS1" s="2775"/>
      <c r="OLT1" s="2775"/>
      <c r="OLU1" s="2775"/>
      <c r="OLV1" s="2775"/>
      <c r="OLW1" s="2775"/>
      <c r="OLX1" s="2775"/>
      <c r="OLY1" s="2775"/>
      <c r="OLZ1" s="2775"/>
      <c r="OMA1" s="2775"/>
      <c r="OMB1" s="2775"/>
      <c r="OMC1" s="2775"/>
      <c r="OMD1" s="2775"/>
      <c r="OME1" s="2775"/>
      <c r="OMF1" s="2775"/>
      <c r="OMG1" s="2775"/>
      <c r="OMH1" s="2775"/>
      <c r="OMI1" s="2775"/>
      <c r="OMJ1" s="2775"/>
      <c r="OMK1" s="2775"/>
      <c r="OML1" s="2775"/>
      <c r="OMM1" s="2775"/>
      <c r="OMN1" s="2775"/>
      <c r="OMO1" s="2775"/>
      <c r="OMP1" s="2775"/>
      <c r="OMQ1" s="2775"/>
      <c r="OMR1" s="2775"/>
      <c r="OMS1" s="2775"/>
      <c r="OMT1" s="2775"/>
      <c r="OMU1" s="2775"/>
      <c r="OMV1" s="2775"/>
      <c r="OMW1" s="2775"/>
      <c r="OMX1" s="2775"/>
      <c r="OMY1" s="2775"/>
      <c r="OMZ1" s="2775"/>
      <c r="ONA1" s="2775"/>
      <c r="ONB1" s="2775"/>
      <c r="ONC1" s="2775"/>
      <c r="OND1" s="2775"/>
      <c r="ONE1" s="2775"/>
      <c r="ONF1" s="2775"/>
      <c r="ONG1" s="2775"/>
      <c r="ONH1" s="2775"/>
      <c r="ONI1" s="2775"/>
      <c r="ONJ1" s="2775"/>
      <c r="ONK1" s="2775"/>
      <c r="ONL1" s="2775"/>
      <c r="ONM1" s="2775"/>
      <c r="ONN1" s="2775"/>
      <c r="ONO1" s="2775"/>
      <c r="ONP1" s="2775"/>
      <c r="ONQ1" s="2775"/>
      <c r="ONR1" s="2775"/>
      <c r="ONS1" s="2775"/>
      <c r="ONT1" s="2775"/>
      <c r="ONU1" s="2775"/>
      <c r="ONV1" s="2775"/>
      <c r="ONW1" s="2775"/>
      <c r="ONX1" s="2775"/>
      <c r="ONY1" s="2775"/>
      <c r="ONZ1" s="2775"/>
      <c r="OOA1" s="2775"/>
      <c r="OOB1" s="2775"/>
      <c r="OOC1" s="2775"/>
      <c r="OOD1" s="2775"/>
      <c r="OOE1" s="2775"/>
      <c r="OOF1" s="2775"/>
      <c r="OOG1" s="2775"/>
      <c r="OOH1" s="2775"/>
      <c r="OOI1" s="2775"/>
      <c r="OOJ1" s="2775"/>
      <c r="OOK1" s="2775"/>
      <c r="OOL1" s="2775"/>
      <c r="OOM1" s="2775"/>
      <c r="OON1" s="2775"/>
      <c r="OOO1" s="2775"/>
      <c r="OOP1" s="2775"/>
      <c r="OOQ1" s="2775"/>
      <c r="OOR1" s="2775"/>
      <c r="OOS1" s="2775"/>
      <c r="OOT1" s="2775"/>
      <c r="OOU1" s="2775"/>
      <c r="OOV1" s="2775"/>
      <c r="OOW1" s="2775"/>
      <c r="OOX1" s="2775"/>
      <c r="OOY1" s="2775"/>
      <c r="OOZ1" s="2775"/>
      <c r="OPA1" s="2775"/>
      <c r="OPB1" s="2775"/>
      <c r="OPC1" s="2775"/>
      <c r="OPD1" s="2775"/>
      <c r="OPE1" s="2775"/>
      <c r="OPF1" s="2775"/>
      <c r="OPG1" s="2775"/>
      <c r="OPH1" s="2775"/>
      <c r="OPI1" s="2775"/>
      <c r="OPJ1" s="2775"/>
      <c r="OPK1" s="2775"/>
      <c r="OPL1" s="2775"/>
      <c r="OPM1" s="2775"/>
      <c r="OPN1" s="2775"/>
      <c r="OPO1" s="2775"/>
      <c r="OPP1" s="2775"/>
      <c r="OPQ1" s="2775"/>
      <c r="OPR1" s="2775"/>
      <c r="OPS1" s="2775"/>
      <c r="OPT1" s="2775"/>
      <c r="OPU1" s="2775"/>
      <c r="OPV1" s="2775"/>
      <c r="OPW1" s="2775"/>
      <c r="OPX1" s="2775"/>
      <c r="OPY1" s="2775"/>
      <c r="OPZ1" s="2775"/>
      <c r="OQA1" s="2775"/>
      <c r="OQB1" s="2775"/>
      <c r="OQC1" s="2775"/>
      <c r="OQD1" s="2775"/>
      <c r="OQE1" s="2775"/>
      <c r="OQF1" s="2775"/>
      <c r="OQG1" s="2775"/>
      <c r="OQH1" s="2775"/>
      <c r="OQI1" s="2775"/>
      <c r="OQJ1" s="2775"/>
      <c r="OQK1" s="2775"/>
      <c r="OQL1" s="2775"/>
      <c r="OQM1" s="2775"/>
      <c r="OQN1" s="2775"/>
      <c r="OQO1" s="2775"/>
      <c r="OQP1" s="2775"/>
      <c r="OQQ1" s="2775"/>
      <c r="OQR1" s="2775"/>
      <c r="OQS1" s="2775"/>
      <c r="OQT1" s="2775"/>
      <c r="OQU1" s="2775"/>
      <c r="OQV1" s="2775"/>
      <c r="OQW1" s="2775"/>
      <c r="OQX1" s="2775"/>
      <c r="OQY1" s="2775"/>
      <c r="OQZ1" s="2775"/>
      <c r="ORA1" s="2775"/>
      <c r="ORB1" s="2775"/>
      <c r="ORC1" s="2775"/>
      <c r="ORD1" s="2775"/>
      <c r="ORE1" s="2775"/>
      <c r="ORF1" s="2775"/>
      <c r="ORG1" s="2775"/>
      <c r="ORH1" s="2775"/>
      <c r="ORI1" s="2775"/>
      <c r="ORJ1" s="2775"/>
      <c r="ORK1" s="2775"/>
      <c r="ORL1" s="2775"/>
      <c r="ORM1" s="2775"/>
      <c r="ORN1" s="2775"/>
      <c r="ORO1" s="2775"/>
      <c r="ORP1" s="2775"/>
      <c r="ORQ1" s="2775"/>
      <c r="ORR1" s="2775"/>
      <c r="ORS1" s="2775"/>
      <c r="ORT1" s="2775"/>
      <c r="ORU1" s="2775"/>
      <c r="ORV1" s="2775"/>
      <c r="ORW1" s="2775"/>
      <c r="ORX1" s="2775"/>
      <c r="ORY1" s="2775"/>
      <c r="ORZ1" s="2775"/>
      <c r="OSA1" s="2775"/>
      <c r="OSB1" s="2775"/>
      <c r="OSC1" s="2775"/>
      <c r="OSD1" s="2775"/>
      <c r="OSE1" s="2775"/>
      <c r="OSF1" s="2775"/>
      <c r="OSG1" s="2775"/>
      <c r="OSH1" s="2775"/>
      <c r="OSI1" s="2775"/>
      <c r="OSJ1" s="2775"/>
      <c r="OSK1" s="2775"/>
      <c r="OSL1" s="2775"/>
      <c r="OSM1" s="2775"/>
      <c r="OSN1" s="2775"/>
      <c r="OSO1" s="2775"/>
      <c r="OSP1" s="2775"/>
      <c r="OSQ1" s="2775"/>
      <c r="OSR1" s="2775"/>
      <c r="OSS1" s="2775"/>
      <c r="OST1" s="2775"/>
      <c r="OSU1" s="2775"/>
      <c r="OSV1" s="2775"/>
      <c r="OSW1" s="2775"/>
      <c r="OSX1" s="2775"/>
      <c r="OSY1" s="2775"/>
      <c r="OSZ1" s="2775"/>
      <c r="OTA1" s="2775"/>
      <c r="OTB1" s="2775"/>
      <c r="OTC1" s="2775"/>
      <c r="OTD1" s="2775"/>
      <c r="OTE1" s="2775"/>
      <c r="OTF1" s="2775"/>
      <c r="OTG1" s="2775"/>
      <c r="OTH1" s="2775"/>
      <c r="OTI1" s="2775"/>
      <c r="OTJ1" s="2775"/>
      <c r="OTK1" s="2775"/>
      <c r="OTL1" s="2775"/>
      <c r="OTM1" s="2775"/>
      <c r="OTN1" s="2775"/>
      <c r="OTO1" s="2775"/>
      <c r="OTP1" s="2775"/>
      <c r="OTQ1" s="2775"/>
      <c r="OTR1" s="2775"/>
      <c r="OTS1" s="2775"/>
      <c r="OTT1" s="2775"/>
      <c r="OTU1" s="2775"/>
      <c r="OTV1" s="2775"/>
      <c r="OTW1" s="2775"/>
      <c r="OTX1" s="2775"/>
      <c r="OTY1" s="2775"/>
      <c r="OTZ1" s="2775"/>
      <c r="OUA1" s="2775"/>
      <c r="OUB1" s="2775"/>
      <c r="OUC1" s="2775"/>
      <c r="OUD1" s="2775"/>
      <c r="OUE1" s="2775"/>
      <c r="OUF1" s="2775"/>
      <c r="OUG1" s="2775"/>
      <c r="OUH1" s="2775"/>
      <c r="OUI1" s="2775"/>
      <c r="OUJ1" s="2775"/>
      <c r="OUK1" s="2775"/>
      <c r="OUL1" s="2775"/>
      <c r="OUM1" s="2775"/>
      <c r="OUN1" s="2775"/>
      <c r="OUO1" s="2775"/>
      <c r="OUP1" s="2775"/>
      <c r="OUQ1" s="2775"/>
      <c r="OUR1" s="2775"/>
      <c r="OUS1" s="2775"/>
      <c r="OUT1" s="2775"/>
      <c r="OUU1" s="2775"/>
      <c r="OUV1" s="2775"/>
      <c r="OUW1" s="2775"/>
      <c r="OUX1" s="2775"/>
      <c r="OUY1" s="2775"/>
      <c r="OUZ1" s="2775"/>
      <c r="OVA1" s="2775"/>
      <c r="OVB1" s="2775"/>
      <c r="OVC1" s="2775"/>
      <c r="OVD1" s="2775"/>
      <c r="OVE1" s="2775"/>
      <c r="OVF1" s="2775"/>
      <c r="OVG1" s="2775"/>
      <c r="OVH1" s="2775"/>
      <c r="OVI1" s="2775"/>
      <c r="OVJ1" s="2775"/>
      <c r="OVK1" s="2775"/>
      <c r="OVL1" s="2775"/>
      <c r="OVM1" s="2775"/>
      <c r="OVN1" s="2775"/>
      <c r="OVO1" s="2775"/>
      <c r="OVP1" s="2775"/>
      <c r="OVQ1" s="2775"/>
      <c r="OVR1" s="2775"/>
      <c r="OVS1" s="2775"/>
      <c r="OVT1" s="2775"/>
      <c r="OVU1" s="2775"/>
      <c r="OVV1" s="2775"/>
      <c r="OVW1" s="2775"/>
      <c r="OVX1" s="2775"/>
      <c r="OVY1" s="2775"/>
      <c r="OVZ1" s="2775"/>
      <c r="OWA1" s="2775"/>
      <c r="OWB1" s="2775"/>
      <c r="OWC1" s="2775"/>
      <c r="OWD1" s="2775"/>
      <c r="OWE1" s="2775"/>
      <c r="OWF1" s="2775"/>
      <c r="OWG1" s="2775"/>
      <c r="OWH1" s="2775"/>
      <c r="OWI1" s="2775"/>
      <c r="OWJ1" s="2775"/>
      <c r="OWK1" s="2775"/>
      <c r="OWL1" s="2775"/>
      <c r="OWM1" s="2775"/>
      <c r="OWN1" s="2775"/>
      <c r="OWO1" s="2775"/>
      <c r="OWP1" s="2775"/>
      <c r="OWQ1" s="2775"/>
      <c r="OWR1" s="2775"/>
      <c r="OWS1" s="2775"/>
      <c r="OWT1" s="2775"/>
      <c r="OWU1" s="2775"/>
      <c r="OWV1" s="2775"/>
      <c r="OWW1" s="2775"/>
      <c r="OWX1" s="2775"/>
      <c r="OWY1" s="2775"/>
      <c r="OWZ1" s="2775"/>
      <c r="OXA1" s="2775"/>
      <c r="OXB1" s="2775"/>
      <c r="OXC1" s="2775"/>
      <c r="OXD1" s="2775"/>
      <c r="OXE1" s="2775"/>
      <c r="OXF1" s="2775"/>
      <c r="OXG1" s="2775"/>
      <c r="OXH1" s="2775"/>
      <c r="OXI1" s="2775"/>
      <c r="OXJ1" s="2775"/>
      <c r="OXK1" s="2775"/>
      <c r="OXL1" s="2775"/>
      <c r="OXM1" s="2775"/>
      <c r="OXN1" s="2775"/>
      <c r="OXO1" s="2775"/>
      <c r="OXP1" s="2775"/>
      <c r="OXQ1" s="2775"/>
      <c r="OXR1" s="2775"/>
      <c r="OXS1" s="2775"/>
      <c r="OXT1" s="2775"/>
      <c r="OXU1" s="2775"/>
      <c r="OXV1" s="2775"/>
      <c r="OXW1" s="2775"/>
      <c r="OXX1" s="2775"/>
      <c r="OXY1" s="2775"/>
      <c r="OXZ1" s="2775"/>
      <c r="OYA1" s="2775"/>
      <c r="OYB1" s="2775"/>
      <c r="OYC1" s="2775"/>
      <c r="OYD1" s="2775"/>
      <c r="OYE1" s="2775"/>
      <c r="OYF1" s="2775"/>
      <c r="OYG1" s="2775"/>
      <c r="OYH1" s="2775"/>
      <c r="OYI1" s="2775"/>
      <c r="OYJ1" s="2775"/>
      <c r="OYK1" s="2775"/>
      <c r="OYL1" s="2775"/>
      <c r="OYM1" s="2775"/>
      <c r="OYN1" s="2775"/>
      <c r="OYO1" s="2775"/>
      <c r="OYP1" s="2775"/>
      <c r="OYQ1" s="2775"/>
      <c r="OYR1" s="2775"/>
      <c r="OYS1" s="2775"/>
      <c r="OYT1" s="2775"/>
      <c r="OYU1" s="2775"/>
      <c r="OYV1" s="2775"/>
      <c r="OYW1" s="2775"/>
      <c r="OYX1" s="2775"/>
      <c r="OYY1" s="2775"/>
      <c r="OYZ1" s="2775"/>
      <c r="OZA1" s="2775"/>
      <c r="OZB1" s="2775"/>
      <c r="OZC1" s="2775"/>
      <c r="OZD1" s="2775"/>
      <c r="OZE1" s="2775"/>
      <c r="OZF1" s="2775"/>
      <c r="OZG1" s="2775"/>
      <c r="OZH1" s="2775"/>
      <c r="OZI1" s="2775"/>
      <c r="OZJ1" s="2775"/>
      <c r="OZK1" s="2775"/>
      <c r="OZL1" s="2775"/>
      <c r="OZM1" s="2775"/>
      <c r="OZN1" s="2775"/>
      <c r="OZO1" s="2775"/>
      <c r="OZP1" s="2775"/>
      <c r="OZQ1" s="2775"/>
      <c r="OZR1" s="2775"/>
      <c r="OZS1" s="2775"/>
      <c r="OZT1" s="2775"/>
      <c r="OZU1" s="2775"/>
      <c r="OZV1" s="2775"/>
      <c r="OZW1" s="2775"/>
      <c r="OZX1" s="2775"/>
      <c r="OZY1" s="2775"/>
      <c r="OZZ1" s="2775"/>
      <c r="PAA1" s="2775"/>
      <c r="PAB1" s="2775"/>
      <c r="PAC1" s="2775"/>
      <c r="PAD1" s="2775"/>
      <c r="PAE1" s="2775"/>
      <c r="PAF1" s="2775"/>
      <c r="PAG1" s="2775"/>
      <c r="PAH1" s="2775"/>
      <c r="PAI1" s="2775"/>
      <c r="PAJ1" s="2775"/>
      <c r="PAK1" s="2775"/>
      <c r="PAL1" s="2775"/>
      <c r="PAM1" s="2775"/>
      <c r="PAN1" s="2775"/>
      <c r="PAO1" s="2775"/>
      <c r="PAP1" s="2775"/>
      <c r="PAQ1" s="2775"/>
      <c r="PAR1" s="2775"/>
      <c r="PAS1" s="2775"/>
      <c r="PAT1" s="2775"/>
      <c r="PAU1" s="2775"/>
      <c r="PAV1" s="2775"/>
      <c r="PAW1" s="2775"/>
      <c r="PAX1" s="2775"/>
      <c r="PAY1" s="2775"/>
      <c r="PAZ1" s="2775"/>
      <c r="PBA1" s="2775"/>
      <c r="PBB1" s="2775"/>
      <c r="PBC1" s="2775"/>
      <c r="PBD1" s="2775"/>
      <c r="PBE1" s="2775"/>
      <c r="PBF1" s="2775"/>
      <c r="PBG1" s="2775"/>
      <c r="PBH1" s="2775"/>
      <c r="PBI1" s="2775"/>
      <c r="PBJ1" s="2775"/>
      <c r="PBK1" s="2775"/>
      <c r="PBL1" s="2775"/>
      <c r="PBM1" s="2775"/>
      <c r="PBN1" s="2775"/>
      <c r="PBO1" s="2775"/>
      <c r="PBP1" s="2775"/>
      <c r="PBQ1" s="2775"/>
      <c r="PBR1" s="2775"/>
      <c r="PBS1" s="2775"/>
      <c r="PBT1" s="2775"/>
      <c r="PBU1" s="2775"/>
      <c r="PBV1" s="2775"/>
      <c r="PBW1" s="2775"/>
      <c r="PBX1" s="2775"/>
      <c r="PBY1" s="2775"/>
      <c r="PBZ1" s="2775"/>
      <c r="PCA1" s="2775"/>
      <c r="PCB1" s="2775"/>
      <c r="PCC1" s="2775"/>
      <c r="PCD1" s="2775"/>
      <c r="PCE1" s="2775"/>
      <c r="PCF1" s="2775"/>
      <c r="PCG1" s="2775"/>
      <c r="PCH1" s="2775"/>
      <c r="PCI1" s="2775"/>
      <c r="PCJ1" s="2775"/>
      <c r="PCK1" s="2775"/>
      <c r="PCL1" s="2775"/>
      <c r="PCM1" s="2775"/>
      <c r="PCN1" s="2775"/>
      <c r="PCO1" s="2775"/>
      <c r="PCP1" s="2775"/>
      <c r="PCQ1" s="2775"/>
      <c r="PCR1" s="2775"/>
      <c r="PCS1" s="2775"/>
      <c r="PCT1" s="2775"/>
      <c r="PCU1" s="2775"/>
      <c r="PCV1" s="2775"/>
      <c r="PCW1" s="2775"/>
      <c r="PCX1" s="2775"/>
      <c r="PCY1" s="2775"/>
      <c r="PCZ1" s="2775"/>
      <c r="PDA1" s="2775"/>
      <c r="PDB1" s="2775"/>
      <c r="PDC1" s="2775"/>
      <c r="PDD1" s="2775"/>
      <c r="PDE1" s="2775"/>
      <c r="PDF1" s="2775"/>
      <c r="PDG1" s="2775"/>
      <c r="PDH1" s="2775"/>
      <c r="PDI1" s="2775"/>
      <c r="PDJ1" s="2775"/>
      <c r="PDK1" s="2775"/>
      <c r="PDL1" s="2775"/>
      <c r="PDM1" s="2775"/>
      <c r="PDN1" s="2775"/>
      <c r="PDO1" s="2775"/>
      <c r="PDP1" s="2775"/>
      <c r="PDQ1" s="2775"/>
      <c r="PDR1" s="2775"/>
      <c r="PDS1" s="2775"/>
      <c r="PDT1" s="2775"/>
      <c r="PDU1" s="2775"/>
      <c r="PDV1" s="2775"/>
      <c r="PDW1" s="2775"/>
      <c r="PDX1" s="2775"/>
      <c r="PDY1" s="2775"/>
      <c r="PDZ1" s="2775"/>
      <c r="PEA1" s="2775"/>
      <c r="PEB1" s="2775"/>
      <c r="PEC1" s="2775"/>
      <c r="PED1" s="2775"/>
      <c r="PEE1" s="2775"/>
      <c r="PEF1" s="2775"/>
      <c r="PEG1" s="2775"/>
      <c r="PEH1" s="2775"/>
      <c r="PEI1" s="2775"/>
      <c r="PEJ1" s="2775"/>
      <c r="PEK1" s="2775"/>
      <c r="PEL1" s="2775"/>
      <c r="PEM1" s="2775"/>
      <c r="PEN1" s="2775"/>
      <c r="PEO1" s="2775"/>
      <c r="PEP1" s="2775"/>
      <c r="PEQ1" s="2775"/>
      <c r="PER1" s="2775"/>
      <c r="PES1" s="2775"/>
      <c r="PET1" s="2775"/>
      <c r="PEU1" s="2775"/>
      <c r="PEV1" s="2775"/>
      <c r="PEW1" s="2775"/>
      <c r="PEX1" s="2775"/>
      <c r="PEY1" s="2775"/>
      <c r="PEZ1" s="2775"/>
      <c r="PFA1" s="2775"/>
      <c r="PFB1" s="2775"/>
      <c r="PFC1" s="2775"/>
      <c r="PFD1" s="2775"/>
      <c r="PFE1" s="2775"/>
      <c r="PFF1" s="2775"/>
      <c r="PFG1" s="2775"/>
      <c r="PFH1" s="2775"/>
      <c r="PFI1" s="2775"/>
      <c r="PFJ1" s="2775"/>
      <c r="PFK1" s="2775"/>
      <c r="PFL1" s="2775"/>
      <c r="PFM1" s="2775"/>
      <c r="PFN1" s="2775"/>
      <c r="PFO1" s="2775"/>
      <c r="PFP1" s="2775"/>
      <c r="PFQ1" s="2775"/>
      <c r="PFR1" s="2775"/>
      <c r="PFS1" s="2775"/>
      <c r="PFT1" s="2775"/>
      <c r="PFU1" s="2775"/>
      <c r="PFV1" s="2775"/>
      <c r="PFW1" s="2775"/>
      <c r="PFX1" s="2775"/>
      <c r="PFY1" s="2775"/>
      <c r="PFZ1" s="2775"/>
      <c r="PGA1" s="2775"/>
      <c r="PGB1" s="2775"/>
      <c r="PGC1" s="2775"/>
      <c r="PGD1" s="2775"/>
      <c r="PGE1" s="2775"/>
      <c r="PGF1" s="2775"/>
      <c r="PGG1" s="2775"/>
      <c r="PGH1" s="2775"/>
      <c r="PGI1" s="2775"/>
      <c r="PGJ1" s="2775"/>
      <c r="PGK1" s="2775"/>
      <c r="PGL1" s="2775"/>
      <c r="PGM1" s="2775"/>
      <c r="PGN1" s="2775"/>
      <c r="PGO1" s="2775"/>
      <c r="PGP1" s="2775"/>
      <c r="PGQ1" s="2775"/>
      <c r="PGR1" s="2775"/>
      <c r="PGS1" s="2775"/>
      <c r="PGT1" s="2775"/>
      <c r="PGU1" s="2775"/>
      <c r="PGV1" s="2775"/>
      <c r="PGW1" s="2775"/>
      <c r="PGX1" s="2775"/>
      <c r="PGY1" s="2775"/>
      <c r="PGZ1" s="2775"/>
      <c r="PHA1" s="2775"/>
      <c r="PHB1" s="2775"/>
      <c r="PHC1" s="2775"/>
      <c r="PHD1" s="2775"/>
      <c r="PHE1" s="2775"/>
      <c r="PHF1" s="2775"/>
      <c r="PHG1" s="2775"/>
      <c r="PHH1" s="2775"/>
      <c r="PHI1" s="2775"/>
      <c r="PHJ1" s="2775"/>
      <c r="PHK1" s="2775"/>
      <c r="PHL1" s="2775"/>
      <c r="PHM1" s="2775"/>
      <c r="PHN1" s="2775"/>
      <c r="PHO1" s="2775"/>
      <c r="PHP1" s="2775"/>
      <c r="PHQ1" s="2775"/>
      <c r="PHR1" s="2775"/>
      <c r="PHS1" s="2775"/>
      <c r="PHT1" s="2775"/>
      <c r="PHU1" s="2775"/>
      <c r="PHV1" s="2775"/>
      <c r="PHW1" s="2775"/>
      <c r="PHX1" s="2775"/>
      <c r="PHY1" s="2775"/>
      <c r="PHZ1" s="2775"/>
      <c r="PIA1" s="2775"/>
      <c r="PIB1" s="2775"/>
      <c r="PIC1" s="2775"/>
      <c r="PID1" s="2775"/>
      <c r="PIE1" s="2775"/>
      <c r="PIF1" s="2775"/>
      <c r="PIG1" s="2775"/>
      <c r="PIH1" s="2775"/>
      <c r="PII1" s="2775"/>
      <c r="PIJ1" s="2775"/>
      <c r="PIK1" s="2775"/>
      <c r="PIL1" s="2775"/>
      <c r="PIM1" s="2775"/>
      <c r="PIN1" s="2775"/>
      <c r="PIO1" s="2775"/>
      <c r="PIP1" s="2775"/>
      <c r="PIQ1" s="2775"/>
      <c r="PIR1" s="2775"/>
      <c r="PIS1" s="2775"/>
      <c r="PIT1" s="2775"/>
      <c r="PIU1" s="2775"/>
      <c r="PIV1" s="2775"/>
      <c r="PIW1" s="2775"/>
      <c r="PIX1" s="2775"/>
      <c r="PIY1" s="2775"/>
      <c r="PIZ1" s="2775"/>
      <c r="PJA1" s="2775"/>
      <c r="PJB1" s="2775"/>
      <c r="PJC1" s="2775"/>
      <c r="PJD1" s="2775"/>
      <c r="PJE1" s="2775"/>
      <c r="PJF1" s="2775"/>
      <c r="PJG1" s="2775"/>
      <c r="PJH1" s="2775"/>
      <c r="PJI1" s="2775"/>
      <c r="PJJ1" s="2775"/>
      <c r="PJK1" s="2775"/>
      <c r="PJL1" s="2775"/>
      <c r="PJM1" s="2775"/>
      <c r="PJN1" s="2775"/>
      <c r="PJO1" s="2775"/>
      <c r="PJP1" s="2775"/>
      <c r="PJQ1" s="2775"/>
      <c r="PJR1" s="2775"/>
      <c r="PJS1" s="2775"/>
      <c r="PJT1" s="2775"/>
      <c r="PJU1" s="2775"/>
      <c r="PJV1" s="2775"/>
      <c r="PJW1" s="2775"/>
      <c r="PJX1" s="2775"/>
      <c r="PJY1" s="2775"/>
      <c r="PJZ1" s="2775"/>
      <c r="PKA1" s="2775"/>
      <c r="PKB1" s="2775"/>
      <c r="PKC1" s="2775"/>
      <c r="PKD1" s="2775"/>
      <c r="PKE1" s="2775"/>
      <c r="PKF1" s="2775"/>
      <c r="PKG1" s="2775"/>
      <c r="PKH1" s="2775"/>
      <c r="PKI1" s="2775"/>
      <c r="PKJ1" s="2775"/>
      <c r="PKK1" s="2775"/>
      <c r="PKL1" s="2775"/>
      <c r="PKM1" s="2775"/>
      <c r="PKN1" s="2775"/>
      <c r="PKO1" s="2775"/>
      <c r="PKP1" s="2775"/>
      <c r="PKQ1" s="2775"/>
      <c r="PKR1" s="2775"/>
      <c r="PKS1" s="2775"/>
      <c r="PKT1" s="2775"/>
      <c r="PKU1" s="2775"/>
      <c r="PKV1" s="2775"/>
      <c r="PKW1" s="2775"/>
      <c r="PKX1" s="2775"/>
      <c r="PKY1" s="2775"/>
      <c r="PKZ1" s="2775"/>
      <c r="PLA1" s="2775"/>
      <c r="PLB1" s="2775"/>
      <c r="PLC1" s="2775"/>
      <c r="PLD1" s="2775"/>
      <c r="PLE1" s="2775"/>
      <c r="PLF1" s="2775"/>
      <c r="PLG1" s="2775"/>
      <c r="PLH1" s="2775"/>
      <c r="PLI1" s="2775"/>
      <c r="PLJ1" s="2775"/>
      <c r="PLK1" s="2775"/>
      <c r="PLL1" s="2775"/>
      <c r="PLM1" s="2775"/>
      <c r="PLN1" s="2775"/>
      <c r="PLO1" s="2775"/>
      <c r="PLP1" s="2775"/>
      <c r="PLQ1" s="2775"/>
      <c r="PLR1" s="2775"/>
      <c r="PLS1" s="2775"/>
      <c r="PLT1" s="2775"/>
      <c r="PLU1" s="2775"/>
      <c r="PLV1" s="2775"/>
      <c r="PLW1" s="2775"/>
      <c r="PLX1" s="2775"/>
      <c r="PLY1" s="2775"/>
      <c r="PLZ1" s="2775"/>
      <c r="PMA1" s="2775"/>
      <c r="PMB1" s="2775"/>
      <c r="PMC1" s="2775"/>
      <c r="PMD1" s="2775"/>
      <c r="PME1" s="2775"/>
      <c r="PMF1" s="2775"/>
      <c r="PMG1" s="2775"/>
      <c r="PMH1" s="2775"/>
      <c r="PMI1" s="2775"/>
      <c r="PMJ1" s="2775"/>
      <c r="PMK1" s="2775"/>
      <c r="PML1" s="2775"/>
      <c r="PMM1" s="2775"/>
      <c r="PMN1" s="2775"/>
      <c r="PMO1" s="2775"/>
      <c r="PMP1" s="2775"/>
      <c r="PMQ1" s="2775"/>
      <c r="PMR1" s="2775"/>
      <c r="PMS1" s="2775"/>
      <c r="PMT1" s="2775"/>
      <c r="PMU1" s="2775"/>
      <c r="PMV1" s="2775"/>
      <c r="PMW1" s="2775"/>
      <c r="PMX1" s="2775"/>
      <c r="PMY1" s="2775"/>
      <c r="PMZ1" s="2775"/>
      <c r="PNA1" s="2775"/>
      <c r="PNB1" s="2775"/>
      <c r="PNC1" s="2775"/>
      <c r="PND1" s="2775"/>
      <c r="PNE1" s="2775"/>
      <c r="PNF1" s="2775"/>
      <c r="PNG1" s="2775"/>
      <c r="PNH1" s="2775"/>
      <c r="PNI1" s="2775"/>
      <c r="PNJ1" s="2775"/>
      <c r="PNK1" s="2775"/>
      <c r="PNL1" s="2775"/>
      <c r="PNM1" s="2775"/>
      <c r="PNN1" s="2775"/>
      <c r="PNO1" s="2775"/>
      <c r="PNP1" s="2775"/>
      <c r="PNQ1" s="2775"/>
      <c r="PNR1" s="2775"/>
      <c r="PNS1" s="2775"/>
      <c r="PNT1" s="2775"/>
      <c r="PNU1" s="2775"/>
      <c r="PNV1" s="2775"/>
      <c r="PNW1" s="2775"/>
      <c r="PNX1" s="2775"/>
      <c r="PNY1" s="2775"/>
      <c r="PNZ1" s="2775"/>
      <c r="POA1" s="2775"/>
      <c r="POB1" s="2775"/>
      <c r="POC1" s="2775"/>
      <c r="POD1" s="2775"/>
      <c r="POE1" s="2775"/>
      <c r="POF1" s="2775"/>
      <c r="POG1" s="2775"/>
      <c r="POH1" s="2775"/>
      <c r="POI1" s="2775"/>
      <c r="POJ1" s="2775"/>
      <c r="POK1" s="2775"/>
      <c r="POL1" s="2775"/>
      <c r="POM1" s="2775"/>
      <c r="PON1" s="2775"/>
      <c r="POO1" s="2775"/>
      <c r="POP1" s="2775"/>
      <c r="POQ1" s="2775"/>
      <c r="POR1" s="2775"/>
      <c r="POS1" s="2775"/>
      <c r="POT1" s="2775"/>
      <c r="POU1" s="2775"/>
      <c r="POV1" s="2775"/>
      <c r="POW1" s="2775"/>
      <c r="POX1" s="2775"/>
      <c r="POY1" s="2775"/>
      <c r="POZ1" s="2775"/>
      <c r="PPA1" s="2775"/>
      <c r="PPB1" s="2775"/>
      <c r="PPC1" s="2775"/>
      <c r="PPD1" s="2775"/>
      <c r="PPE1" s="2775"/>
      <c r="PPF1" s="2775"/>
      <c r="PPG1" s="2775"/>
      <c r="PPH1" s="2775"/>
      <c r="PPI1" s="2775"/>
      <c r="PPJ1" s="2775"/>
      <c r="PPK1" s="2775"/>
      <c r="PPL1" s="2775"/>
      <c r="PPM1" s="2775"/>
      <c r="PPN1" s="2775"/>
      <c r="PPO1" s="2775"/>
      <c r="PPP1" s="2775"/>
      <c r="PPQ1" s="2775"/>
      <c r="PPR1" s="2775"/>
      <c r="PPS1" s="2775"/>
      <c r="PPT1" s="2775"/>
      <c r="PPU1" s="2775"/>
      <c r="PPV1" s="2775"/>
      <c r="PPW1" s="2775"/>
      <c r="PPX1" s="2775"/>
      <c r="PPY1" s="2775"/>
      <c r="PPZ1" s="2775"/>
      <c r="PQA1" s="2775"/>
      <c r="PQB1" s="2775"/>
      <c r="PQC1" s="2775"/>
      <c r="PQD1" s="2775"/>
      <c r="PQE1" s="2775"/>
      <c r="PQF1" s="2775"/>
      <c r="PQG1" s="2775"/>
      <c r="PQH1" s="2775"/>
      <c r="PQI1" s="2775"/>
      <c r="PQJ1" s="2775"/>
      <c r="PQK1" s="2775"/>
      <c r="PQL1" s="2775"/>
      <c r="PQM1" s="2775"/>
      <c r="PQN1" s="2775"/>
      <c r="PQO1" s="2775"/>
      <c r="PQP1" s="2775"/>
      <c r="PQQ1" s="2775"/>
      <c r="PQR1" s="2775"/>
      <c r="PQS1" s="2775"/>
      <c r="PQT1" s="2775"/>
      <c r="PQU1" s="2775"/>
      <c r="PQV1" s="2775"/>
      <c r="PQW1" s="2775"/>
      <c r="PQX1" s="2775"/>
      <c r="PQY1" s="2775"/>
      <c r="PQZ1" s="2775"/>
      <c r="PRA1" s="2775"/>
      <c r="PRB1" s="2775"/>
      <c r="PRC1" s="2775"/>
      <c r="PRD1" s="2775"/>
      <c r="PRE1" s="2775"/>
      <c r="PRF1" s="2775"/>
      <c r="PRG1" s="2775"/>
      <c r="PRH1" s="2775"/>
      <c r="PRI1" s="2775"/>
      <c r="PRJ1" s="2775"/>
      <c r="PRK1" s="2775"/>
      <c r="PRL1" s="2775"/>
      <c r="PRM1" s="2775"/>
      <c r="PRN1" s="2775"/>
      <c r="PRO1" s="2775"/>
      <c r="PRP1" s="2775"/>
      <c r="PRQ1" s="2775"/>
      <c r="PRR1" s="2775"/>
      <c r="PRS1" s="2775"/>
      <c r="PRT1" s="2775"/>
      <c r="PRU1" s="2775"/>
      <c r="PRV1" s="2775"/>
      <c r="PRW1" s="2775"/>
      <c r="PRX1" s="2775"/>
      <c r="PRY1" s="2775"/>
      <c r="PRZ1" s="2775"/>
      <c r="PSA1" s="2775"/>
      <c r="PSB1" s="2775"/>
      <c r="PSC1" s="2775"/>
      <c r="PSD1" s="2775"/>
      <c r="PSE1" s="2775"/>
      <c r="PSF1" s="2775"/>
      <c r="PSG1" s="2775"/>
      <c r="PSH1" s="2775"/>
      <c r="PSI1" s="2775"/>
      <c r="PSJ1" s="2775"/>
      <c r="PSK1" s="2775"/>
      <c r="PSL1" s="2775"/>
      <c r="PSM1" s="2775"/>
      <c r="PSN1" s="2775"/>
      <c r="PSO1" s="2775"/>
      <c r="PSP1" s="2775"/>
      <c r="PSQ1" s="2775"/>
      <c r="PSR1" s="2775"/>
      <c r="PSS1" s="2775"/>
      <c r="PST1" s="2775"/>
      <c r="PSU1" s="2775"/>
      <c r="PSV1" s="2775"/>
      <c r="PSW1" s="2775"/>
      <c r="PSX1" s="2775"/>
      <c r="PSY1" s="2775"/>
      <c r="PSZ1" s="2775"/>
      <c r="PTA1" s="2775"/>
      <c r="PTB1" s="2775"/>
      <c r="PTC1" s="2775"/>
      <c r="PTD1" s="2775"/>
      <c r="PTE1" s="2775"/>
      <c r="PTF1" s="2775"/>
      <c r="PTG1" s="2775"/>
      <c r="PTH1" s="2775"/>
      <c r="PTI1" s="2775"/>
      <c r="PTJ1" s="2775"/>
      <c r="PTK1" s="2775"/>
      <c r="PTL1" s="2775"/>
      <c r="PTM1" s="2775"/>
      <c r="PTN1" s="2775"/>
      <c r="PTO1" s="2775"/>
      <c r="PTP1" s="2775"/>
      <c r="PTQ1" s="2775"/>
      <c r="PTR1" s="2775"/>
      <c r="PTS1" s="2775"/>
      <c r="PTT1" s="2775"/>
      <c r="PTU1" s="2775"/>
      <c r="PTV1" s="2775"/>
      <c r="PTW1" s="2775"/>
      <c r="PTX1" s="2775"/>
      <c r="PTY1" s="2775"/>
      <c r="PTZ1" s="2775"/>
      <c r="PUA1" s="2775"/>
      <c r="PUB1" s="2775"/>
      <c r="PUC1" s="2775"/>
      <c r="PUD1" s="2775"/>
      <c r="PUE1" s="2775"/>
      <c r="PUF1" s="2775"/>
      <c r="PUG1" s="2775"/>
      <c r="PUH1" s="2775"/>
      <c r="PUI1" s="2775"/>
      <c r="PUJ1" s="2775"/>
      <c r="PUK1" s="2775"/>
      <c r="PUL1" s="2775"/>
      <c r="PUM1" s="2775"/>
      <c r="PUN1" s="2775"/>
      <c r="PUO1" s="2775"/>
      <c r="PUP1" s="2775"/>
      <c r="PUQ1" s="2775"/>
      <c r="PUR1" s="2775"/>
      <c r="PUS1" s="2775"/>
      <c r="PUT1" s="2775"/>
      <c r="PUU1" s="2775"/>
      <c r="PUV1" s="2775"/>
      <c r="PUW1" s="2775"/>
      <c r="PUX1" s="2775"/>
      <c r="PUY1" s="2775"/>
      <c r="PUZ1" s="2775"/>
      <c r="PVA1" s="2775"/>
      <c r="PVB1" s="2775"/>
      <c r="PVC1" s="2775"/>
      <c r="PVD1" s="2775"/>
      <c r="PVE1" s="2775"/>
      <c r="PVF1" s="2775"/>
      <c r="PVG1" s="2775"/>
      <c r="PVH1" s="2775"/>
      <c r="PVI1" s="2775"/>
      <c r="PVJ1" s="2775"/>
      <c r="PVK1" s="2775"/>
      <c r="PVL1" s="2775"/>
      <c r="PVM1" s="2775"/>
      <c r="PVN1" s="2775"/>
      <c r="PVO1" s="2775"/>
      <c r="PVP1" s="2775"/>
      <c r="PVQ1" s="2775"/>
      <c r="PVR1" s="2775"/>
      <c r="PVS1" s="2775"/>
      <c r="PVT1" s="2775"/>
      <c r="PVU1" s="2775"/>
      <c r="PVV1" s="2775"/>
      <c r="PVW1" s="2775"/>
      <c r="PVX1" s="2775"/>
      <c r="PVY1" s="2775"/>
      <c r="PVZ1" s="2775"/>
      <c r="PWA1" s="2775"/>
      <c r="PWB1" s="2775"/>
      <c r="PWC1" s="2775"/>
      <c r="PWD1" s="2775"/>
      <c r="PWE1" s="2775"/>
      <c r="PWF1" s="2775"/>
      <c r="PWG1" s="2775"/>
      <c r="PWH1" s="2775"/>
      <c r="PWI1" s="2775"/>
      <c r="PWJ1" s="2775"/>
      <c r="PWK1" s="2775"/>
      <c r="PWL1" s="2775"/>
      <c r="PWM1" s="2775"/>
      <c r="PWN1" s="2775"/>
      <c r="PWO1" s="2775"/>
      <c r="PWP1" s="2775"/>
      <c r="PWQ1" s="2775"/>
      <c r="PWR1" s="2775"/>
      <c r="PWS1" s="2775"/>
      <c r="PWT1" s="2775"/>
      <c r="PWU1" s="2775"/>
      <c r="PWV1" s="2775"/>
      <c r="PWW1" s="2775"/>
      <c r="PWX1" s="2775"/>
      <c r="PWY1" s="2775"/>
      <c r="PWZ1" s="2775"/>
      <c r="PXA1" s="2775"/>
      <c r="PXB1" s="2775"/>
      <c r="PXC1" s="2775"/>
      <c r="PXD1" s="2775"/>
      <c r="PXE1" s="2775"/>
      <c r="PXF1" s="2775"/>
      <c r="PXG1" s="2775"/>
      <c r="PXH1" s="2775"/>
      <c r="PXI1" s="2775"/>
      <c r="PXJ1" s="2775"/>
      <c r="PXK1" s="2775"/>
      <c r="PXL1" s="2775"/>
      <c r="PXM1" s="2775"/>
      <c r="PXN1" s="2775"/>
      <c r="PXO1" s="2775"/>
      <c r="PXP1" s="2775"/>
      <c r="PXQ1" s="2775"/>
      <c r="PXR1" s="2775"/>
      <c r="PXS1" s="2775"/>
      <c r="PXT1" s="2775"/>
      <c r="PXU1" s="2775"/>
      <c r="PXV1" s="2775"/>
      <c r="PXW1" s="2775"/>
      <c r="PXX1" s="2775"/>
      <c r="PXY1" s="2775"/>
      <c r="PXZ1" s="2775"/>
      <c r="PYA1" s="2775"/>
      <c r="PYB1" s="2775"/>
      <c r="PYC1" s="2775"/>
      <c r="PYD1" s="2775"/>
      <c r="PYE1" s="2775"/>
      <c r="PYF1" s="2775"/>
      <c r="PYG1" s="2775"/>
      <c r="PYH1" s="2775"/>
      <c r="PYI1" s="2775"/>
      <c r="PYJ1" s="2775"/>
      <c r="PYK1" s="2775"/>
      <c r="PYL1" s="2775"/>
      <c r="PYM1" s="2775"/>
      <c r="PYN1" s="2775"/>
      <c r="PYO1" s="2775"/>
      <c r="PYP1" s="2775"/>
      <c r="PYQ1" s="2775"/>
      <c r="PYR1" s="2775"/>
      <c r="PYS1" s="2775"/>
      <c r="PYT1" s="2775"/>
      <c r="PYU1" s="2775"/>
      <c r="PYV1" s="2775"/>
      <c r="PYW1" s="2775"/>
      <c r="PYX1" s="2775"/>
      <c r="PYY1" s="2775"/>
      <c r="PYZ1" s="2775"/>
      <c r="PZA1" s="2775"/>
      <c r="PZB1" s="2775"/>
      <c r="PZC1" s="2775"/>
      <c r="PZD1" s="2775"/>
      <c r="PZE1" s="2775"/>
      <c r="PZF1" s="2775"/>
      <c r="PZG1" s="2775"/>
      <c r="PZH1" s="2775"/>
      <c r="PZI1" s="2775"/>
      <c r="PZJ1" s="2775"/>
      <c r="PZK1" s="2775"/>
      <c r="PZL1" s="2775"/>
      <c r="PZM1" s="2775"/>
      <c r="PZN1" s="2775"/>
      <c r="PZO1" s="2775"/>
      <c r="PZP1" s="2775"/>
      <c r="PZQ1" s="2775"/>
      <c r="PZR1" s="2775"/>
      <c r="PZS1" s="2775"/>
      <c r="PZT1" s="2775"/>
      <c r="PZU1" s="2775"/>
      <c r="PZV1" s="2775"/>
      <c r="PZW1" s="2775"/>
      <c r="PZX1" s="2775"/>
      <c r="PZY1" s="2775"/>
      <c r="PZZ1" s="2775"/>
      <c r="QAA1" s="2775"/>
      <c r="QAB1" s="2775"/>
      <c r="QAC1" s="2775"/>
      <c r="QAD1" s="2775"/>
      <c r="QAE1" s="2775"/>
      <c r="QAF1" s="2775"/>
      <c r="QAG1" s="2775"/>
      <c r="QAH1" s="2775"/>
      <c r="QAI1" s="2775"/>
      <c r="QAJ1" s="2775"/>
      <c r="QAK1" s="2775"/>
      <c r="QAL1" s="2775"/>
      <c r="QAM1" s="2775"/>
      <c r="QAN1" s="2775"/>
      <c r="QAO1" s="2775"/>
      <c r="QAP1" s="2775"/>
      <c r="QAQ1" s="2775"/>
      <c r="QAR1" s="2775"/>
      <c r="QAS1" s="2775"/>
      <c r="QAT1" s="2775"/>
      <c r="QAU1" s="2775"/>
      <c r="QAV1" s="2775"/>
      <c r="QAW1" s="2775"/>
      <c r="QAX1" s="2775"/>
      <c r="QAY1" s="2775"/>
      <c r="QAZ1" s="2775"/>
      <c r="QBA1" s="2775"/>
      <c r="QBB1" s="2775"/>
      <c r="QBC1" s="2775"/>
      <c r="QBD1" s="2775"/>
      <c r="QBE1" s="2775"/>
      <c r="QBF1" s="2775"/>
      <c r="QBG1" s="2775"/>
      <c r="QBH1" s="2775"/>
      <c r="QBI1" s="2775"/>
      <c r="QBJ1" s="2775"/>
      <c r="QBK1" s="2775"/>
      <c r="QBL1" s="2775"/>
      <c r="QBM1" s="2775"/>
      <c r="QBN1" s="2775"/>
      <c r="QBO1" s="2775"/>
      <c r="QBP1" s="2775"/>
      <c r="QBQ1" s="2775"/>
      <c r="QBR1" s="2775"/>
      <c r="QBS1" s="2775"/>
      <c r="QBT1" s="2775"/>
      <c r="QBU1" s="2775"/>
      <c r="QBV1" s="2775"/>
      <c r="QBW1" s="2775"/>
      <c r="QBX1" s="2775"/>
      <c r="QBY1" s="2775"/>
      <c r="QBZ1" s="2775"/>
      <c r="QCA1" s="2775"/>
      <c r="QCB1" s="2775"/>
      <c r="QCC1" s="2775"/>
      <c r="QCD1" s="2775"/>
      <c r="QCE1" s="2775"/>
      <c r="QCF1" s="2775"/>
      <c r="QCG1" s="2775"/>
      <c r="QCH1" s="2775"/>
      <c r="QCI1" s="2775"/>
      <c r="QCJ1" s="2775"/>
      <c r="QCK1" s="2775"/>
      <c r="QCL1" s="2775"/>
      <c r="QCM1" s="2775"/>
      <c r="QCN1" s="2775"/>
      <c r="QCO1" s="2775"/>
      <c r="QCP1" s="2775"/>
      <c r="QCQ1" s="2775"/>
      <c r="QCR1" s="2775"/>
      <c r="QCS1" s="2775"/>
      <c r="QCT1" s="2775"/>
      <c r="QCU1" s="2775"/>
      <c r="QCV1" s="2775"/>
      <c r="QCW1" s="2775"/>
      <c r="QCX1" s="2775"/>
      <c r="QCY1" s="2775"/>
      <c r="QCZ1" s="2775"/>
      <c r="QDA1" s="2775"/>
      <c r="QDB1" s="2775"/>
      <c r="QDC1" s="2775"/>
      <c r="QDD1" s="2775"/>
      <c r="QDE1" s="2775"/>
      <c r="QDF1" s="2775"/>
      <c r="QDG1" s="2775"/>
      <c r="QDH1" s="2775"/>
      <c r="QDI1" s="2775"/>
      <c r="QDJ1" s="2775"/>
      <c r="QDK1" s="2775"/>
      <c r="QDL1" s="2775"/>
      <c r="QDM1" s="2775"/>
      <c r="QDN1" s="2775"/>
      <c r="QDO1" s="2775"/>
      <c r="QDP1" s="2775"/>
      <c r="QDQ1" s="2775"/>
      <c r="QDR1" s="2775"/>
      <c r="QDS1" s="2775"/>
      <c r="QDT1" s="2775"/>
      <c r="QDU1" s="2775"/>
      <c r="QDV1" s="2775"/>
      <c r="QDW1" s="2775"/>
      <c r="QDX1" s="2775"/>
      <c r="QDY1" s="2775"/>
      <c r="QDZ1" s="2775"/>
      <c r="QEA1" s="2775"/>
      <c r="QEB1" s="2775"/>
      <c r="QEC1" s="2775"/>
      <c r="QED1" s="2775"/>
      <c r="QEE1" s="2775"/>
      <c r="QEF1" s="2775"/>
      <c r="QEG1" s="2775"/>
      <c r="QEH1" s="2775"/>
      <c r="QEI1" s="2775"/>
      <c r="QEJ1" s="2775"/>
      <c r="QEK1" s="2775"/>
      <c r="QEL1" s="2775"/>
      <c r="QEM1" s="2775"/>
      <c r="QEN1" s="2775"/>
      <c r="QEO1" s="2775"/>
      <c r="QEP1" s="2775"/>
      <c r="QEQ1" s="2775"/>
      <c r="QER1" s="2775"/>
      <c r="QES1" s="2775"/>
      <c r="QET1" s="2775"/>
      <c r="QEU1" s="2775"/>
      <c r="QEV1" s="2775"/>
      <c r="QEW1" s="2775"/>
      <c r="QEX1" s="2775"/>
      <c r="QEY1" s="2775"/>
      <c r="QEZ1" s="2775"/>
      <c r="QFA1" s="2775"/>
      <c r="QFB1" s="2775"/>
      <c r="QFC1" s="2775"/>
      <c r="QFD1" s="2775"/>
      <c r="QFE1" s="2775"/>
      <c r="QFF1" s="2775"/>
      <c r="QFG1" s="2775"/>
      <c r="QFH1" s="2775"/>
      <c r="QFI1" s="2775"/>
      <c r="QFJ1" s="2775"/>
      <c r="QFK1" s="2775"/>
      <c r="QFL1" s="2775"/>
      <c r="QFM1" s="2775"/>
      <c r="QFN1" s="2775"/>
      <c r="QFO1" s="2775"/>
      <c r="QFP1" s="2775"/>
      <c r="QFQ1" s="2775"/>
      <c r="QFR1" s="2775"/>
      <c r="QFS1" s="2775"/>
      <c r="QFT1" s="2775"/>
      <c r="QFU1" s="2775"/>
      <c r="QFV1" s="2775"/>
      <c r="QFW1" s="2775"/>
      <c r="QFX1" s="2775"/>
      <c r="QFY1" s="2775"/>
      <c r="QFZ1" s="2775"/>
      <c r="QGA1" s="2775"/>
      <c r="QGB1" s="2775"/>
      <c r="QGC1" s="2775"/>
      <c r="QGD1" s="2775"/>
      <c r="QGE1" s="2775"/>
      <c r="QGF1" s="2775"/>
      <c r="QGG1" s="2775"/>
      <c r="QGH1" s="2775"/>
      <c r="QGI1" s="2775"/>
      <c r="QGJ1" s="2775"/>
      <c r="QGK1" s="2775"/>
      <c r="QGL1" s="2775"/>
      <c r="QGM1" s="2775"/>
      <c r="QGN1" s="2775"/>
      <c r="QGO1" s="2775"/>
      <c r="QGP1" s="2775"/>
      <c r="QGQ1" s="2775"/>
      <c r="QGR1" s="2775"/>
      <c r="QGS1" s="2775"/>
      <c r="QGT1" s="2775"/>
      <c r="QGU1" s="2775"/>
      <c r="QGV1" s="2775"/>
      <c r="QGW1" s="2775"/>
      <c r="QGX1" s="2775"/>
      <c r="QGY1" s="2775"/>
      <c r="QGZ1" s="2775"/>
      <c r="QHA1" s="2775"/>
      <c r="QHB1" s="2775"/>
      <c r="QHC1" s="2775"/>
      <c r="QHD1" s="2775"/>
      <c r="QHE1" s="2775"/>
      <c r="QHF1" s="2775"/>
      <c r="QHG1" s="2775"/>
      <c r="QHH1" s="2775"/>
      <c r="QHI1" s="2775"/>
      <c r="QHJ1" s="2775"/>
      <c r="QHK1" s="2775"/>
      <c r="QHL1" s="2775"/>
      <c r="QHM1" s="2775"/>
      <c r="QHN1" s="2775"/>
      <c r="QHO1" s="2775"/>
      <c r="QHP1" s="2775"/>
      <c r="QHQ1" s="2775"/>
      <c r="QHR1" s="2775"/>
      <c r="QHS1" s="2775"/>
      <c r="QHT1" s="2775"/>
      <c r="QHU1" s="2775"/>
      <c r="QHV1" s="2775"/>
      <c r="QHW1" s="2775"/>
      <c r="QHX1" s="2775"/>
      <c r="QHY1" s="2775"/>
      <c r="QHZ1" s="2775"/>
      <c r="QIA1" s="2775"/>
      <c r="QIB1" s="2775"/>
      <c r="QIC1" s="2775"/>
      <c r="QID1" s="2775"/>
      <c r="QIE1" s="2775"/>
      <c r="QIF1" s="2775"/>
      <c r="QIG1" s="2775"/>
      <c r="QIH1" s="2775"/>
      <c r="QII1" s="2775"/>
      <c r="QIJ1" s="2775"/>
      <c r="QIK1" s="2775"/>
      <c r="QIL1" s="2775"/>
      <c r="QIM1" s="2775"/>
      <c r="QIN1" s="2775"/>
      <c r="QIO1" s="2775"/>
      <c r="QIP1" s="2775"/>
      <c r="QIQ1" s="2775"/>
      <c r="QIR1" s="2775"/>
      <c r="QIS1" s="2775"/>
      <c r="QIT1" s="2775"/>
      <c r="QIU1" s="2775"/>
      <c r="QIV1" s="2775"/>
      <c r="QIW1" s="2775"/>
      <c r="QIX1" s="2775"/>
      <c r="QIY1" s="2775"/>
      <c r="QIZ1" s="2775"/>
      <c r="QJA1" s="2775"/>
      <c r="QJB1" s="2775"/>
      <c r="QJC1" s="2775"/>
      <c r="QJD1" s="2775"/>
      <c r="QJE1" s="2775"/>
      <c r="QJF1" s="2775"/>
      <c r="QJG1" s="2775"/>
      <c r="QJH1" s="2775"/>
      <c r="QJI1" s="2775"/>
      <c r="QJJ1" s="2775"/>
      <c r="QJK1" s="2775"/>
      <c r="QJL1" s="2775"/>
      <c r="QJM1" s="2775"/>
      <c r="QJN1" s="2775"/>
      <c r="QJO1" s="2775"/>
      <c r="QJP1" s="2775"/>
      <c r="QJQ1" s="2775"/>
      <c r="QJR1" s="2775"/>
      <c r="QJS1" s="2775"/>
      <c r="QJT1" s="2775"/>
      <c r="QJU1" s="2775"/>
      <c r="QJV1" s="2775"/>
      <c r="QJW1" s="2775"/>
      <c r="QJX1" s="2775"/>
      <c r="QJY1" s="2775"/>
      <c r="QJZ1" s="2775"/>
      <c r="QKA1" s="2775"/>
      <c r="QKB1" s="2775"/>
      <c r="QKC1" s="2775"/>
      <c r="QKD1" s="2775"/>
      <c r="QKE1" s="2775"/>
      <c r="QKF1" s="2775"/>
      <c r="QKG1" s="2775"/>
      <c r="QKH1" s="2775"/>
      <c r="QKI1" s="2775"/>
      <c r="QKJ1" s="2775"/>
      <c r="QKK1" s="2775"/>
      <c r="QKL1" s="2775"/>
      <c r="QKM1" s="2775"/>
      <c r="QKN1" s="2775"/>
      <c r="QKO1" s="2775"/>
      <c r="QKP1" s="2775"/>
      <c r="QKQ1" s="2775"/>
      <c r="QKR1" s="2775"/>
      <c r="QKS1" s="2775"/>
      <c r="QKT1" s="2775"/>
      <c r="QKU1" s="2775"/>
      <c r="QKV1" s="2775"/>
      <c r="QKW1" s="2775"/>
      <c r="QKX1" s="2775"/>
      <c r="QKY1" s="2775"/>
      <c r="QKZ1" s="2775"/>
      <c r="QLA1" s="2775"/>
      <c r="QLB1" s="2775"/>
      <c r="QLC1" s="2775"/>
      <c r="QLD1" s="2775"/>
      <c r="QLE1" s="2775"/>
      <c r="QLF1" s="2775"/>
      <c r="QLG1" s="2775"/>
      <c r="QLH1" s="2775"/>
      <c r="QLI1" s="2775"/>
      <c r="QLJ1" s="2775"/>
      <c r="QLK1" s="2775"/>
      <c r="QLL1" s="2775"/>
      <c r="QLM1" s="2775"/>
      <c r="QLN1" s="2775"/>
      <c r="QLO1" s="2775"/>
      <c r="QLP1" s="2775"/>
      <c r="QLQ1" s="2775"/>
      <c r="QLR1" s="2775"/>
      <c r="QLS1" s="2775"/>
      <c r="QLT1" s="2775"/>
      <c r="QLU1" s="2775"/>
      <c r="QLV1" s="2775"/>
      <c r="QLW1" s="2775"/>
      <c r="QLX1" s="2775"/>
      <c r="QLY1" s="2775"/>
      <c r="QLZ1" s="2775"/>
      <c r="QMA1" s="2775"/>
      <c r="QMB1" s="2775"/>
      <c r="QMC1" s="2775"/>
      <c r="QMD1" s="2775"/>
      <c r="QME1" s="2775"/>
      <c r="QMF1" s="2775"/>
      <c r="QMG1" s="2775"/>
      <c r="QMH1" s="2775"/>
      <c r="QMI1" s="2775"/>
      <c r="QMJ1" s="2775"/>
      <c r="QMK1" s="2775"/>
      <c r="QML1" s="2775"/>
      <c r="QMM1" s="2775"/>
      <c r="QMN1" s="2775"/>
      <c r="QMO1" s="2775"/>
      <c r="QMP1" s="2775"/>
      <c r="QMQ1" s="2775"/>
      <c r="QMR1" s="2775"/>
      <c r="QMS1" s="2775"/>
      <c r="QMT1" s="2775"/>
      <c r="QMU1" s="2775"/>
      <c r="QMV1" s="2775"/>
      <c r="QMW1" s="2775"/>
      <c r="QMX1" s="2775"/>
      <c r="QMY1" s="2775"/>
      <c r="QMZ1" s="2775"/>
      <c r="QNA1" s="2775"/>
      <c r="QNB1" s="2775"/>
      <c r="QNC1" s="2775"/>
      <c r="QND1" s="2775"/>
      <c r="QNE1" s="2775"/>
      <c r="QNF1" s="2775"/>
      <c r="QNG1" s="2775"/>
      <c r="QNH1" s="2775"/>
      <c r="QNI1" s="2775"/>
      <c r="QNJ1" s="2775"/>
      <c r="QNK1" s="2775"/>
      <c r="QNL1" s="2775"/>
      <c r="QNM1" s="2775"/>
      <c r="QNN1" s="2775"/>
      <c r="QNO1" s="2775"/>
      <c r="QNP1" s="2775"/>
      <c r="QNQ1" s="2775"/>
      <c r="QNR1" s="2775"/>
      <c r="QNS1" s="2775"/>
      <c r="QNT1" s="2775"/>
      <c r="QNU1" s="2775"/>
      <c r="QNV1" s="2775"/>
      <c r="QNW1" s="2775"/>
      <c r="QNX1" s="2775"/>
      <c r="QNY1" s="2775"/>
      <c r="QNZ1" s="2775"/>
      <c r="QOA1" s="2775"/>
      <c r="QOB1" s="2775"/>
      <c r="QOC1" s="2775"/>
      <c r="QOD1" s="2775"/>
      <c r="QOE1" s="2775"/>
      <c r="QOF1" s="2775"/>
      <c r="QOG1" s="2775"/>
      <c r="QOH1" s="2775"/>
      <c r="QOI1" s="2775"/>
      <c r="QOJ1" s="2775"/>
      <c r="QOK1" s="2775"/>
      <c r="QOL1" s="2775"/>
      <c r="QOM1" s="2775"/>
      <c r="QON1" s="2775"/>
      <c r="QOO1" s="2775"/>
      <c r="QOP1" s="2775"/>
      <c r="QOQ1" s="2775"/>
      <c r="QOR1" s="2775"/>
      <c r="QOS1" s="2775"/>
      <c r="QOT1" s="2775"/>
      <c r="QOU1" s="2775"/>
      <c r="QOV1" s="2775"/>
      <c r="QOW1" s="2775"/>
      <c r="QOX1" s="2775"/>
      <c r="QOY1" s="2775"/>
      <c r="QOZ1" s="2775"/>
      <c r="QPA1" s="2775"/>
      <c r="QPB1" s="2775"/>
      <c r="QPC1" s="2775"/>
      <c r="QPD1" s="2775"/>
      <c r="QPE1" s="2775"/>
      <c r="QPF1" s="2775"/>
      <c r="QPG1" s="2775"/>
      <c r="QPH1" s="2775"/>
      <c r="QPI1" s="2775"/>
      <c r="QPJ1" s="2775"/>
      <c r="QPK1" s="2775"/>
      <c r="QPL1" s="2775"/>
      <c r="QPM1" s="2775"/>
      <c r="QPN1" s="2775"/>
      <c r="QPO1" s="2775"/>
      <c r="QPP1" s="2775"/>
      <c r="QPQ1" s="2775"/>
      <c r="QPR1" s="2775"/>
      <c r="QPS1" s="2775"/>
      <c r="QPT1" s="2775"/>
      <c r="QPU1" s="2775"/>
      <c r="QPV1" s="2775"/>
      <c r="QPW1" s="2775"/>
      <c r="QPX1" s="2775"/>
      <c r="QPY1" s="2775"/>
      <c r="QPZ1" s="2775"/>
      <c r="QQA1" s="2775"/>
      <c r="QQB1" s="2775"/>
      <c r="QQC1" s="2775"/>
      <c r="QQD1" s="2775"/>
      <c r="QQE1" s="2775"/>
      <c r="QQF1" s="2775"/>
      <c r="QQG1" s="2775"/>
      <c r="QQH1" s="2775"/>
      <c r="QQI1" s="2775"/>
      <c r="QQJ1" s="2775"/>
      <c r="QQK1" s="2775"/>
      <c r="QQL1" s="2775"/>
      <c r="QQM1" s="2775"/>
      <c r="QQN1" s="2775"/>
      <c r="QQO1" s="2775"/>
      <c r="QQP1" s="2775"/>
      <c r="QQQ1" s="2775"/>
      <c r="QQR1" s="2775"/>
      <c r="QQS1" s="2775"/>
      <c r="QQT1" s="2775"/>
      <c r="QQU1" s="2775"/>
      <c r="QQV1" s="2775"/>
      <c r="QQW1" s="2775"/>
      <c r="QQX1" s="2775"/>
      <c r="QQY1" s="2775"/>
      <c r="QQZ1" s="2775"/>
      <c r="QRA1" s="2775"/>
      <c r="QRB1" s="2775"/>
      <c r="QRC1" s="2775"/>
      <c r="QRD1" s="2775"/>
      <c r="QRE1" s="2775"/>
      <c r="QRF1" s="2775"/>
      <c r="QRG1" s="2775"/>
      <c r="QRH1" s="2775"/>
      <c r="QRI1" s="2775"/>
      <c r="QRJ1" s="2775"/>
      <c r="QRK1" s="2775"/>
      <c r="QRL1" s="2775"/>
      <c r="QRM1" s="2775"/>
      <c r="QRN1" s="2775"/>
      <c r="QRO1" s="2775"/>
      <c r="QRP1" s="2775"/>
      <c r="QRQ1" s="2775"/>
      <c r="QRR1" s="2775"/>
      <c r="QRS1" s="2775"/>
      <c r="QRT1" s="2775"/>
      <c r="QRU1" s="2775"/>
      <c r="QRV1" s="2775"/>
      <c r="QRW1" s="2775"/>
      <c r="QRX1" s="2775"/>
      <c r="QRY1" s="2775"/>
      <c r="QRZ1" s="2775"/>
      <c r="QSA1" s="2775"/>
      <c r="QSB1" s="2775"/>
      <c r="QSC1" s="2775"/>
      <c r="QSD1" s="2775"/>
      <c r="QSE1" s="2775"/>
      <c r="QSF1" s="2775"/>
      <c r="QSG1" s="2775"/>
      <c r="QSH1" s="2775"/>
      <c r="QSI1" s="2775"/>
      <c r="QSJ1" s="2775"/>
      <c r="QSK1" s="2775"/>
      <c r="QSL1" s="2775"/>
      <c r="QSM1" s="2775"/>
      <c r="QSN1" s="2775"/>
      <c r="QSO1" s="2775"/>
      <c r="QSP1" s="2775"/>
      <c r="QSQ1" s="2775"/>
      <c r="QSR1" s="2775"/>
      <c r="QSS1" s="2775"/>
      <c r="QST1" s="2775"/>
      <c r="QSU1" s="2775"/>
      <c r="QSV1" s="2775"/>
      <c r="QSW1" s="2775"/>
      <c r="QSX1" s="2775"/>
      <c r="QSY1" s="2775"/>
      <c r="QSZ1" s="2775"/>
      <c r="QTA1" s="2775"/>
      <c r="QTB1" s="2775"/>
      <c r="QTC1" s="2775"/>
      <c r="QTD1" s="2775"/>
      <c r="QTE1" s="2775"/>
      <c r="QTF1" s="2775"/>
      <c r="QTG1" s="2775"/>
      <c r="QTH1" s="2775"/>
      <c r="QTI1" s="2775"/>
      <c r="QTJ1" s="2775"/>
      <c r="QTK1" s="2775"/>
      <c r="QTL1" s="2775"/>
      <c r="QTM1" s="2775"/>
      <c r="QTN1" s="2775"/>
      <c r="QTO1" s="2775"/>
      <c r="QTP1" s="2775"/>
      <c r="QTQ1" s="2775"/>
      <c r="QTR1" s="2775"/>
      <c r="QTS1" s="2775"/>
      <c r="QTT1" s="2775"/>
      <c r="QTU1" s="2775"/>
      <c r="QTV1" s="2775"/>
      <c r="QTW1" s="2775"/>
      <c r="QTX1" s="2775"/>
      <c r="QTY1" s="2775"/>
      <c r="QTZ1" s="2775"/>
      <c r="QUA1" s="2775"/>
      <c r="QUB1" s="2775"/>
      <c r="QUC1" s="2775"/>
      <c r="QUD1" s="2775"/>
      <c r="QUE1" s="2775"/>
      <c r="QUF1" s="2775"/>
      <c r="QUG1" s="2775"/>
      <c r="QUH1" s="2775"/>
      <c r="QUI1" s="2775"/>
      <c r="QUJ1" s="2775"/>
      <c r="QUK1" s="2775"/>
      <c r="QUL1" s="2775"/>
      <c r="QUM1" s="2775"/>
      <c r="QUN1" s="2775"/>
      <c r="QUO1" s="2775"/>
      <c r="QUP1" s="2775"/>
      <c r="QUQ1" s="2775"/>
      <c r="QUR1" s="2775"/>
      <c r="QUS1" s="2775"/>
      <c r="QUT1" s="2775"/>
      <c r="QUU1" s="2775"/>
      <c r="QUV1" s="2775"/>
      <c r="QUW1" s="2775"/>
      <c r="QUX1" s="2775"/>
      <c r="QUY1" s="2775"/>
      <c r="QUZ1" s="2775"/>
      <c r="QVA1" s="2775"/>
      <c r="QVB1" s="2775"/>
      <c r="QVC1" s="2775"/>
      <c r="QVD1" s="2775"/>
      <c r="QVE1" s="2775"/>
      <c r="QVF1" s="2775"/>
      <c r="QVG1" s="2775"/>
      <c r="QVH1" s="2775"/>
      <c r="QVI1" s="2775"/>
      <c r="QVJ1" s="2775"/>
      <c r="QVK1" s="2775"/>
      <c r="QVL1" s="2775"/>
      <c r="QVM1" s="2775"/>
      <c r="QVN1" s="2775"/>
      <c r="QVO1" s="2775"/>
      <c r="QVP1" s="2775"/>
      <c r="QVQ1" s="2775"/>
      <c r="QVR1" s="2775"/>
      <c r="QVS1" s="2775"/>
      <c r="QVT1" s="2775"/>
      <c r="QVU1" s="2775"/>
      <c r="QVV1" s="2775"/>
      <c r="QVW1" s="2775"/>
      <c r="QVX1" s="2775"/>
      <c r="QVY1" s="2775"/>
      <c r="QVZ1" s="2775"/>
      <c r="QWA1" s="2775"/>
      <c r="QWB1" s="2775"/>
      <c r="QWC1" s="2775"/>
      <c r="QWD1" s="2775"/>
      <c r="QWE1" s="2775"/>
      <c r="QWF1" s="2775"/>
      <c r="QWG1" s="2775"/>
      <c r="QWH1" s="2775"/>
      <c r="QWI1" s="2775"/>
      <c r="QWJ1" s="2775"/>
      <c r="QWK1" s="2775"/>
      <c r="QWL1" s="2775"/>
      <c r="QWM1" s="2775"/>
      <c r="QWN1" s="2775"/>
      <c r="QWO1" s="2775"/>
      <c r="QWP1" s="2775"/>
      <c r="QWQ1" s="2775"/>
      <c r="QWR1" s="2775"/>
      <c r="QWS1" s="2775"/>
      <c r="QWT1" s="2775"/>
      <c r="QWU1" s="2775"/>
      <c r="QWV1" s="2775"/>
      <c r="QWW1" s="2775"/>
      <c r="QWX1" s="2775"/>
      <c r="QWY1" s="2775"/>
      <c r="QWZ1" s="2775"/>
      <c r="QXA1" s="2775"/>
      <c r="QXB1" s="2775"/>
      <c r="QXC1" s="2775"/>
      <c r="QXD1" s="2775"/>
      <c r="QXE1" s="2775"/>
      <c r="QXF1" s="2775"/>
      <c r="QXG1" s="2775"/>
      <c r="QXH1" s="2775"/>
      <c r="QXI1" s="2775"/>
      <c r="QXJ1" s="2775"/>
      <c r="QXK1" s="2775"/>
      <c r="QXL1" s="2775"/>
      <c r="QXM1" s="2775"/>
      <c r="QXN1" s="2775"/>
      <c r="QXO1" s="2775"/>
      <c r="QXP1" s="2775"/>
      <c r="QXQ1" s="2775"/>
      <c r="QXR1" s="2775"/>
      <c r="QXS1" s="2775"/>
      <c r="QXT1" s="2775"/>
      <c r="QXU1" s="2775"/>
      <c r="QXV1" s="2775"/>
      <c r="QXW1" s="2775"/>
      <c r="QXX1" s="2775"/>
      <c r="QXY1" s="2775"/>
      <c r="QXZ1" s="2775"/>
      <c r="QYA1" s="2775"/>
      <c r="QYB1" s="2775"/>
      <c r="QYC1" s="2775"/>
      <c r="QYD1" s="2775"/>
      <c r="QYE1" s="2775"/>
      <c r="QYF1" s="2775"/>
      <c r="QYG1" s="2775"/>
      <c r="QYH1" s="2775"/>
      <c r="QYI1" s="2775"/>
      <c r="QYJ1" s="2775"/>
      <c r="QYK1" s="2775"/>
      <c r="QYL1" s="2775"/>
      <c r="QYM1" s="2775"/>
      <c r="QYN1" s="2775"/>
      <c r="QYO1" s="2775"/>
      <c r="QYP1" s="2775"/>
      <c r="QYQ1" s="2775"/>
      <c r="QYR1" s="2775"/>
      <c r="QYS1" s="2775"/>
      <c r="QYT1" s="2775"/>
      <c r="QYU1" s="2775"/>
      <c r="QYV1" s="2775"/>
      <c r="QYW1" s="2775"/>
      <c r="QYX1" s="2775"/>
      <c r="QYY1" s="2775"/>
      <c r="QYZ1" s="2775"/>
      <c r="QZA1" s="2775"/>
      <c r="QZB1" s="2775"/>
      <c r="QZC1" s="2775"/>
      <c r="QZD1" s="2775"/>
      <c r="QZE1" s="2775"/>
      <c r="QZF1" s="2775"/>
      <c r="QZG1" s="2775"/>
      <c r="QZH1" s="2775"/>
      <c r="QZI1" s="2775"/>
      <c r="QZJ1" s="2775"/>
      <c r="QZK1" s="2775"/>
      <c r="QZL1" s="2775"/>
      <c r="QZM1" s="2775"/>
      <c r="QZN1" s="2775"/>
      <c r="QZO1" s="2775"/>
      <c r="QZP1" s="2775"/>
      <c r="QZQ1" s="2775"/>
      <c r="QZR1" s="2775"/>
      <c r="QZS1" s="2775"/>
      <c r="QZT1" s="2775"/>
      <c r="QZU1" s="2775"/>
      <c r="QZV1" s="2775"/>
      <c r="QZW1" s="2775"/>
      <c r="QZX1" s="2775"/>
      <c r="QZY1" s="2775"/>
      <c r="QZZ1" s="2775"/>
      <c r="RAA1" s="2775"/>
      <c r="RAB1" s="2775"/>
      <c r="RAC1" s="2775"/>
      <c r="RAD1" s="2775"/>
      <c r="RAE1" s="2775"/>
      <c r="RAF1" s="2775"/>
      <c r="RAG1" s="2775"/>
      <c r="RAH1" s="2775"/>
      <c r="RAI1" s="2775"/>
      <c r="RAJ1" s="2775"/>
      <c r="RAK1" s="2775"/>
      <c r="RAL1" s="2775"/>
      <c r="RAM1" s="2775"/>
      <c r="RAN1" s="2775"/>
      <c r="RAO1" s="2775"/>
      <c r="RAP1" s="2775"/>
      <c r="RAQ1" s="2775"/>
      <c r="RAR1" s="2775"/>
      <c r="RAS1" s="2775"/>
      <c r="RAT1" s="2775"/>
      <c r="RAU1" s="2775"/>
      <c r="RAV1" s="2775"/>
      <c r="RAW1" s="2775"/>
      <c r="RAX1" s="2775"/>
      <c r="RAY1" s="2775"/>
      <c r="RAZ1" s="2775"/>
      <c r="RBA1" s="2775"/>
      <c r="RBB1" s="2775"/>
      <c r="RBC1" s="2775"/>
      <c r="RBD1" s="2775"/>
      <c r="RBE1" s="2775"/>
      <c r="RBF1" s="2775"/>
      <c r="RBG1" s="2775"/>
      <c r="RBH1" s="2775"/>
      <c r="RBI1" s="2775"/>
      <c r="RBJ1" s="2775"/>
      <c r="RBK1" s="2775"/>
      <c r="RBL1" s="2775"/>
      <c r="RBM1" s="2775"/>
      <c r="RBN1" s="2775"/>
      <c r="RBO1" s="2775"/>
      <c r="RBP1" s="2775"/>
      <c r="RBQ1" s="2775"/>
      <c r="RBR1" s="2775"/>
      <c r="RBS1" s="2775"/>
      <c r="RBT1" s="2775"/>
      <c r="RBU1" s="2775"/>
      <c r="RBV1" s="2775"/>
      <c r="RBW1" s="2775"/>
      <c r="RBX1" s="2775"/>
      <c r="RBY1" s="2775"/>
      <c r="RBZ1" s="2775"/>
      <c r="RCA1" s="2775"/>
      <c r="RCB1" s="2775"/>
      <c r="RCC1" s="2775"/>
      <c r="RCD1" s="2775"/>
      <c r="RCE1" s="2775"/>
      <c r="RCF1" s="2775"/>
      <c r="RCG1" s="2775"/>
      <c r="RCH1" s="2775"/>
      <c r="RCI1" s="2775"/>
      <c r="RCJ1" s="2775"/>
      <c r="RCK1" s="2775"/>
      <c r="RCL1" s="2775"/>
      <c r="RCM1" s="2775"/>
      <c r="RCN1" s="2775"/>
      <c r="RCO1" s="2775"/>
      <c r="RCP1" s="2775"/>
      <c r="RCQ1" s="2775"/>
      <c r="RCR1" s="2775"/>
      <c r="RCS1" s="2775"/>
      <c r="RCT1" s="2775"/>
      <c r="RCU1" s="2775"/>
      <c r="RCV1" s="2775"/>
      <c r="RCW1" s="2775"/>
      <c r="RCX1" s="2775"/>
      <c r="RCY1" s="2775"/>
      <c r="RCZ1" s="2775"/>
      <c r="RDA1" s="2775"/>
      <c r="RDB1" s="2775"/>
      <c r="RDC1" s="2775"/>
      <c r="RDD1" s="2775"/>
      <c r="RDE1" s="2775"/>
      <c r="RDF1" s="2775"/>
      <c r="RDG1" s="2775"/>
      <c r="RDH1" s="2775"/>
      <c r="RDI1" s="2775"/>
      <c r="RDJ1" s="2775"/>
      <c r="RDK1" s="2775"/>
      <c r="RDL1" s="2775"/>
      <c r="RDM1" s="2775"/>
      <c r="RDN1" s="2775"/>
      <c r="RDO1" s="2775"/>
      <c r="RDP1" s="2775"/>
      <c r="RDQ1" s="2775"/>
      <c r="RDR1" s="2775"/>
      <c r="RDS1" s="2775"/>
      <c r="RDT1" s="2775"/>
      <c r="RDU1" s="2775"/>
      <c r="RDV1" s="2775"/>
      <c r="RDW1" s="2775"/>
      <c r="RDX1" s="2775"/>
      <c r="RDY1" s="2775"/>
      <c r="RDZ1" s="2775"/>
      <c r="REA1" s="2775"/>
      <c r="REB1" s="2775"/>
      <c r="REC1" s="2775"/>
      <c r="RED1" s="2775"/>
      <c r="REE1" s="2775"/>
      <c r="REF1" s="2775"/>
      <c r="REG1" s="2775"/>
      <c r="REH1" s="2775"/>
      <c r="REI1" s="2775"/>
      <c r="REJ1" s="2775"/>
      <c r="REK1" s="2775"/>
      <c r="REL1" s="2775"/>
      <c r="REM1" s="2775"/>
      <c r="REN1" s="2775"/>
      <c r="REO1" s="2775"/>
      <c r="REP1" s="2775"/>
      <c r="REQ1" s="2775"/>
      <c r="RER1" s="2775"/>
      <c r="RES1" s="2775"/>
      <c r="RET1" s="2775"/>
      <c r="REU1" s="2775"/>
      <c r="REV1" s="2775"/>
      <c r="REW1" s="2775"/>
      <c r="REX1" s="2775"/>
      <c r="REY1" s="2775"/>
      <c r="REZ1" s="2775"/>
      <c r="RFA1" s="2775"/>
      <c r="RFB1" s="2775"/>
      <c r="RFC1" s="2775"/>
      <c r="RFD1" s="2775"/>
      <c r="RFE1" s="2775"/>
      <c r="RFF1" s="2775"/>
      <c r="RFG1" s="2775"/>
      <c r="RFH1" s="2775"/>
      <c r="RFI1" s="2775"/>
      <c r="RFJ1" s="2775"/>
      <c r="RFK1" s="2775"/>
      <c r="RFL1" s="2775"/>
      <c r="RFM1" s="2775"/>
      <c r="RFN1" s="2775"/>
      <c r="RFO1" s="2775"/>
      <c r="RFP1" s="2775"/>
      <c r="RFQ1" s="2775"/>
      <c r="RFR1" s="2775"/>
      <c r="RFS1" s="2775"/>
      <c r="RFT1" s="2775"/>
      <c r="RFU1" s="2775"/>
      <c r="RFV1" s="2775"/>
      <c r="RFW1" s="2775"/>
      <c r="RFX1" s="2775"/>
      <c r="RFY1" s="2775"/>
      <c r="RFZ1" s="2775"/>
      <c r="RGA1" s="2775"/>
      <c r="RGB1" s="2775"/>
      <c r="RGC1" s="2775"/>
      <c r="RGD1" s="2775"/>
      <c r="RGE1" s="2775"/>
      <c r="RGF1" s="2775"/>
      <c r="RGG1" s="2775"/>
      <c r="RGH1" s="2775"/>
      <c r="RGI1" s="2775"/>
      <c r="RGJ1" s="2775"/>
      <c r="RGK1" s="2775"/>
      <c r="RGL1" s="2775"/>
      <c r="RGM1" s="2775"/>
      <c r="RGN1" s="2775"/>
      <c r="RGO1" s="2775"/>
      <c r="RGP1" s="2775"/>
      <c r="RGQ1" s="2775"/>
      <c r="RGR1" s="2775"/>
      <c r="RGS1" s="2775"/>
      <c r="RGT1" s="2775"/>
      <c r="RGU1" s="2775"/>
      <c r="RGV1" s="2775"/>
      <c r="RGW1" s="2775"/>
      <c r="RGX1" s="2775"/>
      <c r="RGY1" s="2775"/>
      <c r="RGZ1" s="2775"/>
      <c r="RHA1" s="2775"/>
      <c r="RHB1" s="2775"/>
      <c r="RHC1" s="2775"/>
      <c r="RHD1" s="2775"/>
      <c r="RHE1" s="2775"/>
      <c r="RHF1" s="2775"/>
      <c r="RHG1" s="2775"/>
      <c r="RHH1" s="2775"/>
      <c r="RHI1" s="2775"/>
      <c r="RHJ1" s="2775"/>
      <c r="RHK1" s="2775"/>
      <c r="RHL1" s="2775"/>
      <c r="RHM1" s="2775"/>
      <c r="RHN1" s="2775"/>
      <c r="RHO1" s="2775"/>
      <c r="RHP1" s="2775"/>
      <c r="RHQ1" s="2775"/>
      <c r="RHR1" s="2775"/>
      <c r="RHS1" s="2775"/>
      <c r="RHT1" s="2775"/>
      <c r="RHU1" s="2775"/>
      <c r="RHV1" s="2775"/>
      <c r="RHW1" s="2775"/>
      <c r="RHX1" s="2775"/>
      <c r="RHY1" s="2775"/>
      <c r="RHZ1" s="2775"/>
      <c r="RIA1" s="2775"/>
      <c r="RIB1" s="2775"/>
      <c r="RIC1" s="2775"/>
      <c r="RID1" s="2775"/>
      <c r="RIE1" s="2775"/>
      <c r="RIF1" s="2775"/>
      <c r="RIG1" s="2775"/>
      <c r="RIH1" s="2775"/>
      <c r="RII1" s="2775"/>
      <c r="RIJ1" s="2775"/>
      <c r="RIK1" s="2775"/>
      <c r="RIL1" s="2775"/>
      <c r="RIM1" s="2775"/>
      <c r="RIN1" s="2775"/>
      <c r="RIO1" s="2775"/>
      <c r="RIP1" s="2775"/>
      <c r="RIQ1" s="2775"/>
      <c r="RIR1" s="2775"/>
      <c r="RIS1" s="2775"/>
      <c r="RIT1" s="2775"/>
      <c r="RIU1" s="2775"/>
      <c r="RIV1" s="2775"/>
      <c r="RIW1" s="2775"/>
      <c r="RIX1" s="2775"/>
      <c r="RIY1" s="2775"/>
      <c r="RIZ1" s="2775"/>
      <c r="RJA1" s="2775"/>
      <c r="RJB1" s="2775"/>
      <c r="RJC1" s="2775"/>
      <c r="RJD1" s="2775"/>
      <c r="RJE1" s="2775"/>
      <c r="RJF1" s="2775"/>
      <c r="RJG1" s="2775"/>
      <c r="RJH1" s="2775"/>
      <c r="RJI1" s="2775"/>
      <c r="RJJ1" s="2775"/>
      <c r="RJK1" s="2775"/>
      <c r="RJL1" s="2775"/>
      <c r="RJM1" s="2775"/>
      <c r="RJN1" s="2775"/>
      <c r="RJO1" s="2775"/>
      <c r="RJP1" s="2775"/>
      <c r="RJQ1" s="2775"/>
      <c r="RJR1" s="2775"/>
      <c r="RJS1" s="2775"/>
      <c r="RJT1" s="2775"/>
      <c r="RJU1" s="2775"/>
      <c r="RJV1" s="2775"/>
      <c r="RJW1" s="2775"/>
      <c r="RJX1" s="2775"/>
      <c r="RJY1" s="2775"/>
      <c r="RJZ1" s="2775"/>
      <c r="RKA1" s="2775"/>
      <c r="RKB1" s="2775"/>
      <c r="RKC1" s="2775"/>
      <c r="RKD1" s="2775"/>
      <c r="RKE1" s="2775"/>
      <c r="RKF1" s="2775"/>
      <c r="RKG1" s="2775"/>
      <c r="RKH1" s="2775"/>
      <c r="RKI1" s="2775"/>
      <c r="RKJ1" s="2775"/>
      <c r="RKK1" s="2775"/>
      <c r="RKL1" s="2775"/>
      <c r="RKM1" s="2775"/>
      <c r="RKN1" s="2775"/>
      <c r="RKO1" s="2775"/>
      <c r="RKP1" s="2775"/>
      <c r="RKQ1" s="2775"/>
      <c r="RKR1" s="2775"/>
      <c r="RKS1" s="2775"/>
      <c r="RKT1" s="2775"/>
      <c r="RKU1" s="2775"/>
      <c r="RKV1" s="2775"/>
      <c r="RKW1" s="2775"/>
      <c r="RKX1" s="2775"/>
      <c r="RKY1" s="2775"/>
      <c r="RKZ1" s="2775"/>
      <c r="RLA1" s="2775"/>
      <c r="RLB1" s="2775"/>
      <c r="RLC1" s="2775"/>
      <c r="RLD1" s="2775"/>
      <c r="RLE1" s="2775"/>
      <c r="RLF1" s="2775"/>
      <c r="RLG1" s="2775"/>
      <c r="RLH1" s="2775"/>
      <c r="RLI1" s="2775"/>
      <c r="RLJ1" s="2775"/>
      <c r="RLK1" s="2775"/>
      <c r="RLL1" s="2775"/>
      <c r="RLM1" s="2775"/>
      <c r="RLN1" s="2775"/>
      <c r="RLO1" s="2775"/>
      <c r="RLP1" s="2775"/>
      <c r="RLQ1" s="2775"/>
      <c r="RLR1" s="2775"/>
      <c r="RLS1" s="2775"/>
      <c r="RLT1" s="2775"/>
      <c r="RLU1" s="2775"/>
      <c r="RLV1" s="2775"/>
      <c r="RLW1" s="2775"/>
      <c r="RLX1" s="2775"/>
      <c r="RLY1" s="2775"/>
      <c r="RLZ1" s="2775"/>
      <c r="RMA1" s="2775"/>
      <c r="RMB1" s="2775"/>
      <c r="RMC1" s="2775"/>
      <c r="RMD1" s="2775"/>
      <c r="RME1" s="2775"/>
      <c r="RMF1" s="2775"/>
      <c r="RMG1" s="2775"/>
      <c r="RMH1" s="2775"/>
      <c r="RMI1" s="2775"/>
      <c r="RMJ1" s="2775"/>
      <c r="RMK1" s="2775"/>
      <c r="RML1" s="2775"/>
      <c r="RMM1" s="2775"/>
      <c r="RMN1" s="2775"/>
      <c r="RMO1" s="2775"/>
      <c r="RMP1" s="2775"/>
      <c r="RMQ1" s="2775"/>
      <c r="RMR1" s="2775"/>
      <c r="RMS1" s="2775"/>
      <c r="RMT1" s="2775"/>
      <c r="RMU1" s="2775"/>
      <c r="RMV1" s="2775"/>
      <c r="RMW1" s="2775"/>
      <c r="RMX1" s="2775"/>
      <c r="RMY1" s="2775"/>
      <c r="RMZ1" s="2775"/>
      <c r="RNA1" s="2775"/>
      <c r="RNB1" s="2775"/>
      <c r="RNC1" s="2775"/>
      <c r="RND1" s="2775"/>
      <c r="RNE1" s="2775"/>
      <c r="RNF1" s="2775"/>
      <c r="RNG1" s="2775"/>
      <c r="RNH1" s="2775"/>
      <c r="RNI1" s="2775"/>
      <c r="RNJ1" s="2775"/>
      <c r="RNK1" s="2775"/>
      <c r="RNL1" s="2775"/>
      <c r="RNM1" s="2775"/>
      <c r="RNN1" s="2775"/>
      <c r="RNO1" s="2775"/>
      <c r="RNP1" s="2775"/>
      <c r="RNQ1" s="2775"/>
      <c r="RNR1" s="2775"/>
      <c r="RNS1" s="2775"/>
      <c r="RNT1" s="2775"/>
      <c r="RNU1" s="2775"/>
      <c r="RNV1" s="2775"/>
      <c r="RNW1" s="2775"/>
      <c r="RNX1" s="2775"/>
      <c r="RNY1" s="2775"/>
      <c r="RNZ1" s="2775"/>
      <c r="ROA1" s="2775"/>
      <c r="ROB1" s="2775"/>
      <c r="ROC1" s="2775"/>
      <c r="ROD1" s="2775"/>
      <c r="ROE1" s="2775"/>
      <c r="ROF1" s="2775"/>
      <c r="ROG1" s="2775"/>
      <c r="ROH1" s="2775"/>
      <c r="ROI1" s="2775"/>
      <c r="ROJ1" s="2775"/>
      <c r="ROK1" s="2775"/>
      <c r="ROL1" s="2775"/>
      <c r="ROM1" s="2775"/>
      <c r="RON1" s="2775"/>
      <c r="ROO1" s="2775"/>
      <c r="ROP1" s="2775"/>
      <c r="ROQ1" s="2775"/>
      <c r="ROR1" s="2775"/>
      <c r="ROS1" s="2775"/>
      <c r="ROT1" s="2775"/>
      <c r="ROU1" s="2775"/>
      <c r="ROV1" s="2775"/>
      <c r="ROW1" s="2775"/>
      <c r="ROX1" s="2775"/>
      <c r="ROY1" s="2775"/>
      <c r="ROZ1" s="2775"/>
      <c r="RPA1" s="2775"/>
      <c r="RPB1" s="2775"/>
      <c r="RPC1" s="2775"/>
      <c r="RPD1" s="2775"/>
      <c r="RPE1" s="2775"/>
      <c r="RPF1" s="2775"/>
      <c r="RPG1" s="2775"/>
      <c r="RPH1" s="2775"/>
      <c r="RPI1" s="2775"/>
      <c r="RPJ1" s="2775"/>
      <c r="RPK1" s="2775"/>
      <c r="RPL1" s="2775"/>
      <c r="RPM1" s="2775"/>
      <c r="RPN1" s="2775"/>
      <c r="RPO1" s="2775"/>
      <c r="RPP1" s="2775"/>
      <c r="RPQ1" s="2775"/>
      <c r="RPR1" s="2775"/>
      <c r="RPS1" s="2775"/>
      <c r="RPT1" s="2775"/>
      <c r="RPU1" s="2775"/>
      <c r="RPV1" s="2775"/>
      <c r="RPW1" s="2775"/>
      <c r="RPX1" s="2775"/>
      <c r="RPY1" s="2775"/>
      <c r="RPZ1" s="2775"/>
      <c r="RQA1" s="2775"/>
      <c r="RQB1" s="2775"/>
      <c r="RQC1" s="2775"/>
      <c r="RQD1" s="2775"/>
      <c r="RQE1" s="2775"/>
      <c r="RQF1" s="2775"/>
      <c r="RQG1" s="2775"/>
      <c r="RQH1" s="2775"/>
      <c r="RQI1" s="2775"/>
      <c r="RQJ1" s="2775"/>
      <c r="RQK1" s="2775"/>
      <c r="RQL1" s="2775"/>
      <c r="RQM1" s="2775"/>
      <c r="RQN1" s="2775"/>
      <c r="RQO1" s="2775"/>
      <c r="RQP1" s="2775"/>
      <c r="RQQ1" s="2775"/>
      <c r="RQR1" s="2775"/>
      <c r="RQS1" s="2775"/>
      <c r="RQT1" s="2775"/>
      <c r="RQU1" s="2775"/>
      <c r="RQV1" s="2775"/>
      <c r="RQW1" s="2775"/>
      <c r="RQX1" s="2775"/>
      <c r="RQY1" s="2775"/>
      <c r="RQZ1" s="2775"/>
      <c r="RRA1" s="2775"/>
      <c r="RRB1" s="2775"/>
      <c r="RRC1" s="2775"/>
      <c r="RRD1" s="2775"/>
      <c r="RRE1" s="2775"/>
      <c r="RRF1" s="2775"/>
      <c r="RRG1" s="2775"/>
      <c r="RRH1" s="2775"/>
      <c r="RRI1" s="2775"/>
      <c r="RRJ1" s="2775"/>
      <c r="RRK1" s="2775"/>
      <c r="RRL1" s="2775"/>
      <c r="RRM1" s="2775"/>
      <c r="RRN1" s="2775"/>
      <c r="RRO1" s="2775"/>
      <c r="RRP1" s="2775"/>
      <c r="RRQ1" s="2775"/>
      <c r="RRR1" s="2775"/>
      <c r="RRS1" s="2775"/>
      <c r="RRT1" s="2775"/>
      <c r="RRU1" s="2775"/>
      <c r="RRV1" s="2775"/>
      <c r="RRW1" s="2775"/>
      <c r="RRX1" s="2775"/>
      <c r="RRY1" s="2775"/>
      <c r="RRZ1" s="2775"/>
      <c r="RSA1" s="2775"/>
      <c r="RSB1" s="2775"/>
      <c r="RSC1" s="2775"/>
      <c r="RSD1" s="2775"/>
      <c r="RSE1" s="2775"/>
      <c r="RSF1" s="2775"/>
      <c r="RSG1" s="2775"/>
      <c r="RSH1" s="2775"/>
      <c r="RSI1" s="2775"/>
      <c r="RSJ1" s="2775"/>
      <c r="RSK1" s="2775"/>
      <c r="RSL1" s="2775"/>
      <c r="RSM1" s="2775"/>
      <c r="RSN1" s="2775"/>
      <c r="RSO1" s="2775"/>
      <c r="RSP1" s="2775"/>
      <c r="RSQ1" s="2775"/>
      <c r="RSR1" s="2775"/>
      <c r="RSS1" s="2775"/>
      <c r="RST1" s="2775"/>
      <c r="RSU1" s="2775"/>
      <c r="RSV1" s="2775"/>
      <c r="RSW1" s="2775"/>
      <c r="RSX1" s="2775"/>
      <c r="RSY1" s="2775"/>
      <c r="RSZ1" s="2775"/>
      <c r="RTA1" s="2775"/>
      <c r="RTB1" s="2775"/>
      <c r="RTC1" s="2775"/>
      <c r="RTD1" s="2775"/>
      <c r="RTE1" s="2775"/>
      <c r="RTF1" s="2775"/>
      <c r="RTG1" s="2775"/>
      <c r="RTH1" s="2775"/>
      <c r="RTI1" s="2775"/>
      <c r="RTJ1" s="2775"/>
      <c r="RTK1" s="2775"/>
      <c r="RTL1" s="2775"/>
      <c r="RTM1" s="2775"/>
      <c r="RTN1" s="2775"/>
      <c r="RTO1" s="2775"/>
      <c r="RTP1" s="2775"/>
      <c r="RTQ1" s="2775"/>
      <c r="RTR1" s="2775"/>
      <c r="RTS1" s="2775"/>
      <c r="RTT1" s="2775"/>
      <c r="RTU1" s="2775"/>
      <c r="RTV1" s="2775"/>
      <c r="RTW1" s="2775"/>
      <c r="RTX1" s="2775"/>
      <c r="RTY1" s="2775"/>
      <c r="RTZ1" s="2775"/>
      <c r="RUA1" s="2775"/>
      <c r="RUB1" s="2775"/>
      <c r="RUC1" s="2775"/>
      <c r="RUD1" s="2775"/>
      <c r="RUE1" s="2775"/>
      <c r="RUF1" s="2775"/>
      <c r="RUG1" s="2775"/>
      <c r="RUH1" s="2775"/>
      <c r="RUI1" s="2775"/>
      <c r="RUJ1" s="2775"/>
      <c r="RUK1" s="2775"/>
      <c r="RUL1" s="2775"/>
      <c r="RUM1" s="2775"/>
      <c r="RUN1" s="2775"/>
      <c r="RUO1" s="2775"/>
      <c r="RUP1" s="2775"/>
      <c r="RUQ1" s="2775"/>
      <c r="RUR1" s="2775"/>
      <c r="RUS1" s="2775"/>
      <c r="RUT1" s="2775"/>
      <c r="RUU1" s="2775"/>
      <c r="RUV1" s="2775"/>
      <c r="RUW1" s="2775"/>
      <c r="RUX1" s="2775"/>
      <c r="RUY1" s="2775"/>
      <c r="RUZ1" s="2775"/>
      <c r="RVA1" s="2775"/>
      <c r="RVB1" s="2775"/>
      <c r="RVC1" s="2775"/>
      <c r="RVD1" s="2775"/>
      <c r="RVE1" s="2775"/>
      <c r="RVF1" s="2775"/>
      <c r="RVG1" s="2775"/>
      <c r="RVH1" s="2775"/>
      <c r="RVI1" s="2775"/>
      <c r="RVJ1" s="2775"/>
      <c r="RVK1" s="2775"/>
      <c r="RVL1" s="2775"/>
      <c r="RVM1" s="2775"/>
      <c r="RVN1" s="2775"/>
      <c r="RVO1" s="2775"/>
      <c r="RVP1" s="2775"/>
      <c r="RVQ1" s="2775"/>
      <c r="RVR1" s="2775"/>
      <c r="RVS1" s="2775"/>
      <c r="RVT1" s="2775"/>
      <c r="RVU1" s="2775"/>
      <c r="RVV1" s="2775"/>
      <c r="RVW1" s="2775"/>
      <c r="RVX1" s="2775"/>
      <c r="RVY1" s="2775"/>
      <c r="RVZ1" s="2775"/>
      <c r="RWA1" s="2775"/>
      <c r="RWB1" s="2775"/>
      <c r="RWC1" s="2775"/>
      <c r="RWD1" s="2775"/>
      <c r="RWE1" s="2775"/>
      <c r="RWF1" s="2775"/>
      <c r="RWG1" s="2775"/>
      <c r="RWH1" s="2775"/>
      <c r="RWI1" s="2775"/>
      <c r="RWJ1" s="2775"/>
      <c r="RWK1" s="2775"/>
      <c r="RWL1" s="2775"/>
      <c r="RWM1" s="2775"/>
      <c r="RWN1" s="2775"/>
      <c r="RWO1" s="2775"/>
      <c r="RWP1" s="2775"/>
      <c r="RWQ1" s="2775"/>
      <c r="RWR1" s="2775"/>
      <c r="RWS1" s="2775"/>
      <c r="RWT1" s="2775"/>
      <c r="RWU1" s="2775"/>
      <c r="RWV1" s="2775"/>
      <c r="RWW1" s="2775"/>
      <c r="RWX1" s="2775"/>
      <c r="RWY1" s="2775"/>
      <c r="RWZ1" s="2775"/>
      <c r="RXA1" s="2775"/>
      <c r="RXB1" s="2775"/>
      <c r="RXC1" s="2775"/>
      <c r="RXD1" s="2775"/>
      <c r="RXE1" s="2775"/>
      <c r="RXF1" s="2775"/>
      <c r="RXG1" s="2775"/>
      <c r="RXH1" s="2775"/>
      <c r="RXI1" s="2775"/>
      <c r="RXJ1" s="2775"/>
      <c r="RXK1" s="2775"/>
      <c r="RXL1" s="2775"/>
      <c r="RXM1" s="2775"/>
      <c r="RXN1" s="2775"/>
      <c r="RXO1" s="2775"/>
      <c r="RXP1" s="2775"/>
      <c r="RXQ1" s="2775"/>
      <c r="RXR1" s="2775"/>
      <c r="RXS1" s="2775"/>
      <c r="RXT1" s="2775"/>
      <c r="RXU1" s="2775"/>
      <c r="RXV1" s="2775"/>
      <c r="RXW1" s="2775"/>
      <c r="RXX1" s="2775"/>
      <c r="RXY1" s="2775"/>
      <c r="RXZ1" s="2775"/>
      <c r="RYA1" s="2775"/>
      <c r="RYB1" s="2775"/>
      <c r="RYC1" s="2775"/>
      <c r="RYD1" s="2775"/>
      <c r="RYE1" s="2775"/>
      <c r="RYF1" s="2775"/>
      <c r="RYG1" s="2775"/>
      <c r="RYH1" s="2775"/>
      <c r="RYI1" s="2775"/>
      <c r="RYJ1" s="2775"/>
      <c r="RYK1" s="2775"/>
      <c r="RYL1" s="2775"/>
      <c r="RYM1" s="2775"/>
      <c r="RYN1" s="2775"/>
      <c r="RYO1" s="2775"/>
      <c r="RYP1" s="2775"/>
      <c r="RYQ1" s="2775"/>
      <c r="RYR1" s="2775"/>
      <c r="RYS1" s="2775"/>
      <c r="RYT1" s="2775"/>
      <c r="RYU1" s="2775"/>
      <c r="RYV1" s="2775"/>
      <c r="RYW1" s="2775"/>
      <c r="RYX1" s="2775"/>
      <c r="RYY1" s="2775"/>
      <c r="RYZ1" s="2775"/>
      <c r="RZA1" s="2775"/>
      <c r="RZB1" s="2775"/>
      <c r="RZC1" s="2775"/>
      <c r="RZD1" s="2775"/>
      <c r="RZE1" s="2775"/>
      <c r="RZF1" s="2775"/>
      <c r="RZG1" s="2775"/>
      <c r="RZH1" s="2775"/>
      <c r="RZI1" s="2775"/>
      <c r="RZJ1" s="2775"/>
      <c r="RZK1" s="2775"/>
      <c r="RZL1" s="2775"/>
      <c r="RZM1" s="2775"/>
      <c r="RZN1" s="2775"/>
      <c r="RZO1" s="2775"/>
      <c r="RZP1" s="2775"/>
      <c r="RZQ1" s="2775"/>
      <c r="RZR1" s="2775"/>
      <c r="RZS1" s="2775"/>
      <c r="RZT1" s="2775"/>
      <c r="RZU1" s="2775"/>
      <c r="RZV1" s="2775"/>
      <c r="RZW1" s="2775"/>
      <c r="RZX1" s="2775"/>
      <c r="RZY1" s="2775"/>
      <c r="RZZ1" s="2775"/>
      <c r="SAA1" s="2775"/>
      <c r="SAB1" s="2775"/>
      <c r="SAC1" s="2775"/>
      <c r="SAD1" s="2775"/>
      <c r="SAE1" s="2775"/>
      <c r="SAF1" s="2775"/>
      <c r="SAG1" s="2775"/>
      <c r="SAH1" s="2775"/>
      <c r="SAI1" s="2775"/>
      <c r="SAJ1" s="2775"/>
      <c r="SAK1" s="2775"/>
      <c r="SAL1" s="2775"/>
      <c r="SAM1" s="2775"/>
      <c r="SAN1" s="2775"/>
      <c r="SAO1" s="2775"/>
      <c r="SAP1" s="2775"/>
      <c r="SAQ1" s="2775"/>
      <c r="SAR1" s="2775"/>
      <c r="SAS1" s="2775"/>
      <c r="SAT1" s="2775"/>
      <c r="SAU1" s="2775"/>
      <c r="SAV1" s="2775"/>
      <c r="SAW1" s="2775"/>
      <c r="SAX1" s="2775"/>
      <c r="SAY1" s="2775"/>
      <c r="SAZ1" s="2775"/>
      <c r="SBA1" s="2775"/>
      <c r="SBB1" s="2775"/>
      <c r="SBC1" s="2775"/>
      <c r="SBD1" s="2775"/>
      <c r="SBE1" s="2775"/>
      <c r="SBF1" s="2775"/>
      <c r="SBG1" s="2775"/>
      <c r="SBH1" s="2775"/>
      <c r="SBI1" s="2775"/>
      <c r="SBJ1" s="2775"/>
      <c r="SBK1" s="2775"/>
      <c r="SBL1" s="2775"/>
      <c r="SBM1" s="2775"/>
      <c r="SBN1" s="2775"/>
      <c r="SBO1" s="2775"/>
      <c r="SBP1" s="2775"/>
      <c r="SBQ1" s="2775"/>
      <c r="SBR1" s="2775"/>
      <c r="SBS1" s="2775"/>
      <c r="SBT1" s="2775"/>
      <c r="SBU1" s="2775"/>
      <c r="SBV1" s="2775"/>
      <c r="SBW1" s="2775"/>
      <c r="SBX1" s="2775"/>
      <c r="SBY1" s="2775"/>
      <c r="SBZ1" s="2775"/>
      <c r="SCA1" s="2775"/>
      <c r="SCB1" s="2775"/>
      <c r="SCC1" s="2775"/>
      <c r="SCD1" s="2775"/>
      <c r="SCE1" s="2775"/>
      <c r="SCF1" s="2775"/>
      <c r="SCG1" s="2775"/>
      <c r="SCH1" s="2775"/>
      <c r="SCI1" s="2775"/>
      <c r="SCJ1" s="2775"/>
      <c r="SCK1" s="2775"/>
      <c r="SCL1" s="2775"/>
      <c r="SCM1" s="2775"/>
      <c r="SCN1" s="2775"/>
      <c r="SCO1" s="2775"/>
      <c r="SCP1" s="2775"/>
      <c r="SCQ1" s="2775"/>
      <c r="SCR1" s="2775"/>
      <c r="SCS1" s="2775"/>
      <c r="SCT1" s="2775"/>
      <c r="SCU1" s="2775"/>
      <c r="SCV1" s="2775"/>
      <c r="SCW1" s="2775"/>
      <c r="SCX1" s="2775"/>
      <c r="SCY1" s="2775"/>
      <c r="SCZ1" s="2775"/>
      <c r="SDA1" s="2775"/>
      <c r="SDB1" s="2775"/>
      <c r="SDC1" s="2775"/>
      <c r="SDD1" s="2775"/>
      <c r="SDE1" s="2775"/>
      <c r="SDF1" s="2775"/>
      <c r="SDG1" s="2775"/>
      <c r="SDH1" s="2775"/>
      <c r="SDI1" s="2775"/>
      <c r="SDJ1" s="2775"/>
      <c r="SDK1" s="2775"/>
      <c r="SDL1" s="2775"/>
      <c r="SDM1" s="2775"/>
      <c r="SDN1" s="2775"/>
      <c r="SDO1" s="2775"/>
      <c r="SDP1" s="2775"/>
      <c r="SDQ1" s="2775"/>
      <c r="SDR1" s="2775"/>
      <c r="SDS1" s="2775"/>
      <c r="SDT1" s="2775"/>
      <c r="SDU1" s="2775"/>
      <c r="SDV1" s="2775"/>
      <c r="SDW1" s="2775"/>
      <c r="SDX1" s="2775"/>
      <c r="SDY1" s="2775"/>
      <c r="SDZ1" s="2775"/>
      <c r="SEA1" s="2775"/>
      <c r="SEB1" s="2775"/>
      <c r="SEC1" s="2775"/>
      <c r="SED1" s="2775"/>
      <c r="SEE1" s="2775"/>
      <c r="SEF1" s="2775"/>
      <c r="SEG1" s="2775"/>
      <c r="SEH1" s="2775"/>
      <c r="SEI1" s="2775"/>
      <c r="SEJ1" s="2775"/>
      <c r="SEK1" s="2775"/>
      <c r="SEL1" s="2775"/>
      <c r="SEM1" s="2775"/>
      <c r="SEN1" s="2775"/>
      <c r="SEO1" s="2775"/>
      <c r="SEP1" s="2775"/>
      <c r="SEQ1" s="2775"/>
      <c r="SER1" s="2775"/>
      <c r="SES1" s="2775"/>
      <c r="SET1" s="2775"/>
      <c r="SEU1" s="2775"/>
      <c r="SEV1" s="2775"/>
      <c r="SEW1" s="2775"/>
      <c r="SEX1" s="2775"/>
      <c r="SEY1" s="2775"/>
      <c r="SEZ1" s="2775"/>
      <c r="SFA1" s="2775"/>
      <c r="SFB1" s="2775"/>
      <c r="SFC1" s="2775"/>
      <c r="SFD1" s="2775"/>
      <c r="SFE1" s="2775"/>
      <c r="SFF1" s="2775"/>
      <c r="SFG1" s="2775"/>
      <c r="SFH1" s="2775"/>
      <c r="SFI1" s="2775"/>
      <c r="SFJ1" s="2775"/>
      <c r="SFK1" s="2775"/>
      <c r="SFL1" s="2775"/>
      <c r="SFM1" s="2775"/>
      <c r="SFN1" s="2775"/>
      <c r="SFO1" s="2775"/>
      <c r="SFP1" s="2775"/>
      <c r="SFQ1" s="2775"/>
      <c r="SFR1" s="2775"/>
      <c r="SFS1" s="2775"/>
      <c r="SFT1" s="2775"/>
      <c r="SFU1" s="2775"/>
      <c r="SFV1" s="2775"/>
      <c r="SFW1" s="2775"/>
      <c r="SFX1" s="2775"/>
      <c r="SFY1" s="2775"/>
      <c r="SFZ1" s="2775"/>
      <c r="SGA1" s="2775"/>
      <c r="SGB1" s="2775"/>
      <c r="SGC1" s="2775"/>
      <c r="SGD1" s="2775"/>
      <c r="SGE1" s="2775"/>
      <c r="SGF1" s="2775"/>
      <c r="SGG1" s="2775"/>
      <c r="SGH1" s="2775"/>
      <c r="SGI1" s="2775"/>
      <c r="SGJ1" s="2775"/>
      <c r="SGK1" s="2775"/>
      <c r="SGL1" s="2775"/>
      <c r="SGM1" s="2775"/>
      <c r="SGN1" s="2775"/>
      <c r="SGO1" s="2775"/>
      <c r="SGP1" s="2775"/>
      <c r="SGQ1" s="2775"/>
      <c r="SGR1" s="2775"/>
      <c r="SGS1" s="2775"/>
      <c r="SGT1" s="2775"/>
      <c r="SGU1" s="2775"/>
      <c r="SGV1" s="2775"/>
      <c r="SGW1" s="2775"/>
      <c r="SGX1" s="2775"/>
      <c r="SGY1" s="2775"/>
      <c r="SGZ1" s="2775"/>
      <c r="SHA1" s="2775"/>
      <c r="SHB1" s="2775"/>
      <c r="SHC1" s="2775"/>
      <c r="SHD1" s="2775"/>
      <c r="SHE1" s="2775"/>
      <c r="SHF1" s="2775"/>
      <c r="SHG1" s="2775"/>
      <c r="SHH1" s="2775"/>
      <c r="SHI1" s="2775"/>
      <c r="SHJ1" s="2775"/>
      <c r="SHK1" s="2775"/>
      <c r="SHL1" s="2775"/>
      <c r="SHM1" s="2775"/>
      <c r="SHN1" s="2775"/>
      <c r="SHO1" s="2775"/>
      <c r="SHP1" s="2775"/>
      <c r="SHQ1" s="2775"/>
      <c r="SHR1" s="2775"/>
      <c r="SHS1" s="2775"/>
      <c r="SHT1" s="2775"/>
      <c r="SHU1" s="2775"/>
      <c r="SHV1" s="2775"/>
      <c r="SHW1" s="2775"/>
      <c r="SHX1" s="2775"/>
      <c r="SHY1" s="2775"/>
      <c r="SHZ1" s="2775"/>
      <c r="SIA1" s="2775"/>
      <c r="SIB1" s="2775"/>
      <c r="SIC1" s="2775"/>
      <c r="SID1" s="2775"/>
      <c r="SIE1" s="2775"/>
      <c r="SIF1" s="2775"/>
      <c r="SIG1" s="2775"/>
      <c r="SIH1" s="2775"/>
      <c r="SII1" s="2775"/>
      <c r="SIJ1" s="2775"/>
      <c r="SIK1" s="2775"/>
      <c r="SIL1" s="2775"/>
      <c r="SIM1" s="2775"/>
      <c r="SIN1" s="2775"/>
      <c r="SIO1" s="2775"/>
      <c r="SIP1" s="2775"/>
      <c r="SIQ1" s="2775"/>
      <c r="SIR1" s="2775"/>
      <c r="SIS1" s="2775"/>
      <c r="SIT1" s="2775"/>
      <c r="SIU1" s="2775"/>
      <c r="SIV1" s="2775"/>
      <c r="SIW1" s="2775"/>
      <c r="SIX1" s="2775"/>
      <c r="SIY1" s="2775"/>
      <c r="SIZ1" s="2775"/>
      <c r="SJA1" s="2775"/>
      <c r="SJB1" s="2775"/>
      <c r="SJC1" s="2775"/>
      <c r="SJD1" s="2775"/>
      <c r="SJE1" s="2775"/>
      <c r="SJF1" s="2775"/>
      <c r="SJG1" s="2775"/>
      <c r="SJH1" s="2775"/>
      <c r="SJI1" s="2775"/>
      <c r="SJJ1" s="2775"/>
      <c r="SJK1" s="2775"/>
      <c r="SJL1" s="2775"/>
      <c r="SJM1" s="2775"/>
      <c r="SJN1" s="2775"/>
      <c r="SJO1" s="2775"/>
      <c r="SJP1" s="2775"/>
      <c r="SJQ1" s="2775"/>
      <c r="SJR1" s="2775"/>
      <c r="SJS1" s="2775"/>
      <c r="SJT1" s="2775"/>
      <c r="SJU1" s="2775"/>
      <c r="SJV1" s="2775"/>
      <c r="SJW1" s="2775"/>
      <c r="SJX1" s="2775"/>
      <c r="SJY1" s="2775"/>
      <c r="SJZ1" s="2775"/>
      <c r="SKA1" s="2775"/>
      <c r="SKB1" s="2775"/>
      <c r="SKC1" s="2775"/>
      <c r="SKD1" s="2775"/>
      <c r="SKE1" s="2775"/>
      <c r="SKF1" s="2775"/>
      <c r="SKG1" s="2775"/>
      <c r="SKH1" s="2775"/>
      <c r="SKI1" s="2775"/>
      <c r="SKJ1" s="2775"/>
      <c r="SKK1" s="2775"/>
      <c r="SKL1" s="2775"/>
      <c r="SKM1" s="2775"/>
      <c r="SKN1" s="2775"/>
      <c r="SKO1" s="2775"/>
      <c r="SKP1" s="2775"/>
      <c r="SKQ1" s="2775"/>
      <c r="SKR1" s="2775"/>
      <c r="SKS1" s="2775"/>
      <c r="SKT1" s="2775"/>
      <c r="SKU1" s="2775"/>
      <c r="SKV1" s="2775"/>
      <c r="SKW1" s="2775"/>
      <c r="SKX1" s="2775"/>
      <c r="SKY1" s="2775"/>
      <c r="SKZ1" s="2775"/>
      <c r="SLA1" s="2775"/>
      <c r="SLB1" s="2775"/>
      <c r="SLC1" s="2775"/>
      <c r="SLD1" s="2775"/>
      <c r="SLE1" s="2775"/>
      <c r="SLF1" s="2775"/>
      <c r="SLG1" s="2775"/>
      <c r="SLH1" s="2775"/>
      <c r="SLI1" s="2775"/>
      <c r="SLJ1" s="2775"/>
      <c r="SLK1" s="2775"/>
      <c r="SLL1" s="2775"/>
      <c r="SLM1" s="2775"/>
      <c r="SLN1" s="2775"/>
      <c r="SLO1" s="2775"/>
      <c r="SLP1" s="2775"/>
      <c r="SLQ1" s="2775"/>
      <c r="SLR1" s="2775"/>
      <c r="SLS1" s="2775"/>
      <c r="SLT1" s="2775"/>
      <c r="SLU1" s="2775"/>
      <c r="SLV1" s="2775"/>
      <c r="SLW1" s="2775"/>
      <c r="SLX1" s="2775"/>
      <c r="SLY1" s="2775"/>
      <c r="SLZ1" s="2775"/>
      <c r="SMA1" s="2775"/>
      <c r="SMB1" s="2775"/>
      <c r="SMC1" s="2775"/>
      <c r="SMD1" s="2775"/>
      <c r="SME1" s="2775"/>
      <c r="SMF1" s="2775"/>
      <c r="SMG1" s="2775"/>
      <c r="SMH1" s="2775"/>
      <c r="SMI1" s="2775"/>
      <c r="SMJ1" s="2775"/>
      <c r="SMK1" s="2775"/>
      <c r="SML1" s="2775"/>
      <c r="SMM1" s="2775"/>
      <c r="SMN1" s="2775"/>
      <c r="SMO1" s="2775"/>
      <c r="SMP1" s="2775"/>
      <c r="SMQ1" s="2775"/>
      <c r="SMR1" s="2775"/>
      <c r="SMS1" s="2775"/>
      <c r="SMT1" s="2775"/>
      <c r="SMU1" s="2775"/>
      <c r="SMV1" s="2775"/>
      <c r="SMW1" s="2775"/>
      <c r="SMX1" s="2775"/>
      <c r="SMY1" s="2775"/>
      <c r="SMZ1" s="2775"/>
      <c r="SNA1" s="2775"/>
      <c r="SNB1" s="2775"/>
      <c r="SNC1" s="2775"/>
      <c r="SND1" s="2775"/>
      <c r="SNE1" s="2775"/>
      <c r="SNF1" s="2775"/>
      <c r="SNG1" s="2775"/>
      <c r="SNH1" s="2775"/>
      <c r="SNI1" s="2775"/>
      <c r="SNJ1" s="2775"/>
      <c r="SNK1" s="2775"/>
      <c r="SNL1" s="2775"/>
      <c r="SNM1" s="2775"/>
      <c r="SNN1" s="2775"/>
      <c r="SNO1" s="2775"/>
      <c r="SNP1" s="2775"/>
      <c r="SNQ1" s="2775"/>
      <c r="SNR1" s="2775"/>
      <c r="SNS1" s="2775"/>
      <c r="SNT1" s="2775"/>
      <c r="SNU1" s="2775"/>
      <c r="SNV1" s="2775"/>
      <c r="SNW1" s="2775"/>
      <c r="SNX1" s="2775"/>
      <c r="SNY1" s="2775"/>
      <c r="SNZ1" s="2775"/>
      <c r="SOA1" s="2775"/>
      <c r="SOB1" s="2775"/>
      <c r="SOC1" s="2775"/>
      <c r="SOD1" s="2775"/>
      <c r="SOE1" s="2775"/>
      <c r="SOF1" s="2775"/>
      <c r="SOG1" s="2775"/>
      <c r="SOH1" s="2775"/>
      <c r="SOI1" s="2775"/>
      <c r="SOJ1" s="2775"/>
      <c r="SOK1" s="2775"/>
      <c r="SOL1" s="2775"/>
      <c r="SOM1" s="2775"/>
      <c r="SON1" s="2775"/>
      <c r="SOO1" s="2775"/>
      <c r="SOP1" s="2775"/>
      <c r="SOQ1" s="2775"/>
      <c r="SOR1" s="2775"/>
      <c r="SOS1" s="2775"/>
      <c r="SOT1" s="2775"/>
      <c r="SOU1" s="2775"/>
      <c r="SOV1" s="2775"/>
      <c r="SOW1" s="2775"/>
      <c r="SOX1" s="2775"/>
      <c r="SOY1" s="2775"/>
      <c r="SOZ1" s="2775"/>
      <c r="SPA1" s="2775"/>
      <c r="SPB1" s="2775"/>
      <c r="SPC1" s="2775"/>
      <c r="SPD1" s="2775"/>
      <c r="SPE1" s="2775"/>
      <c r="SPF1" s="2775"/>
      <c r="SPG1" s="2775"/>
      <c r="SPH1" s="2775"/>
      <c r="SPI1" s="2775"/>
      <c r="SPJ1" s="2775"/>
      <c r="SPK1" s="2775"/>
      <c r="SPL1" s="2775"/>
      <c r="SPM1" s="2775"/>
      <c r="SPN1" s="2775"/>
      <c r="SPO1" s="2775"/>
      <c r="SPP1" s="2775"/>
      <c r="SPQ1" s="2775"/>
      <c r="SPR1" s="2775"/>
      <c r="SPS1" s="2775"/>
      <c r="SPT1" s="2775"/>
      <c r="SPU1" s="2775"/>
      <c r="SPV1" s="2775"/>
      <c r="SPW1" s="2775"/>
      <c r="SPX1" s="2775"/>
      <c r="SPY1" s="2775"/>
      <c r="SPZ1" s="2775"/>
      <c r="SQA1" s="2775"/>
      <c r="SQB1" s="2775"/>
      <c r="SQC1" s="2775"/>
      <c r="SQD1" s="2775"/>
      <c r="SQE1" s="2775"/>
      <c r="SQF1" s="2775"/>
      <c r="SQG1" s="2775"/>
      <c r="SQH1" s="2775"/>
      <c r="SQI1" s="2775"/>
      <c r="SQJ1" s="2775"/>
      <c r="SQK1" s="2775"/>
      <c r="SQL1" s="2775"/>
      <c r="SQM1" s="2775"/>
      <c r="SQN1" s="2775"/>
      <c r="SQO1" s="2775"/>
      <c r="SQP1" s="2775"/>
      <c r="SQQ1" s="2775"/>
      <c r="SQR1" s="2775"/>
      <c r="SQS1" s="2775"/>
      <c r="SQT1" s="2775"/>
      <c r="SQU1" s="2775"/>
      <c r="SQV1" s="2775"/>
      <c r="SQW1" s="2775"/>
      <c r="SQX1" s="2775"/>
      <c r="SQY1" s="2775"/>
      <c r="SQZ1" s="2775"/>
      <c r="SRA1" s="2775"/>
      <c r="SRB1" s="2775"/>
      <c r="SRC1" s="2775"/>
      <c r="SRD1" s="2775"/>
      <c r="SRE1" s="2775"/>
      <c r="SRF1" s="2775"/>
      <c r="SRG1" s="2775"/>
      <c r="SRH1" s="2775"/>
      <c r="SRI1" s="2775"/>
      <c r="SRJ1" s="2775"/>
      <c r="SRK1" s="2775"/>
      <c r="SRL1" s="2775"/>
      <c r="SRM1" s="2775"/>
      <c r="SRN1" s="2775"/>
      <c r="SRO1" s="2775"/>
      <c r="SRP1" s="2775"/>
      <c r="SRQ1" s="2775"/>
      <c r="SRR1" s="2775"/>
      <c r="SRS1" s="2775"/>
      <c r="SRT1" s="2775"/>
      <c r="SRU1" s="2775"/>
      <c r="SRV1" s="2775"/>
      <c r="SRW1" s="2775"/>
      <c r="SRX1" s="2775"/>
      <c r="SRY1" s="2775"/>
      <c r="SRZ1" s="2775"/>
      <c r="SSA1" s="2775"/>
      <c r="SSB1" s="2775"/>
      <c r="SSC1" s="2775"/>
      <c r="SSD1" s="2775"/>
      <c r="SSE1" s="2775"/>
      <c r="SSF1" s="2775"/>
      <c r="SSG1" s="2775"/>
      <c r="SSH1" s="2775"/>
      <c r="SSI1" s="2775"/>
      <c r="SSJ1" s="2775"/>
      <c r="SSK1" s="2775"/>
      <c r="SSL1" s="2775"/>
      <c r="SSM1" s="2775"/>
      <c r="SSN1" s="2775"/>
      <c r="SSO1" s="2775"/>
      <c r="SSP1" s="2775"/>
      <c r="SSQ1" s="2775"/>
      <c r="SSR1" s="2775"/>
      <c r="SSS1" s="2775"/>
      <c r="SST1" s="2775"/>
      <c r="SSU1" s="2775"/>
      <c r="SSV1" s="2775"/>
      <c r="SSW1" s="2775"/>
      <c r="SSX1" s="2775"/>
      <c r="SSY1" s="2775"/>
      <c r="SSZ1" s="2775"/>
      <c r="STA1" s="2775"/>
      <c r="STB1" s="2775"/>
      <c r="STC1" s="2775"/>
      <c r="STD1" s="2775"/>
      <c r="STE1" s="2775"/>
      <c r="STF1" s="2775"/>
      <c r="STG1" s="2775"/>
      <c r="STH1" s="2775"/>
      <c r="STI1" s="2775"/>
      <c r="STJ1" s="2775"/>
      <c r="STK1" s="2775"/>
      <c r="STL1" s="2775"/>
      <c r="STM1" s="2775"/>
      <c r="STN1" s="2775"/>
      <c r="STO1" s="2775"/>
      <c r="STP1" s="2775"/>
      <c r="STQ1" s="2775"/>
      <c r="STR1" s="2775"/>
      <c r="STS1" s="2775"/>
      <c r="STT1" s="2775"/>
      <c r="STU1" s="2775"/>
      <c r="STV1" s="2775"/>
      <c r="STW1" s="2775"/>
      <c r="STX1" s="2775"/>
      <c r="STY1" s="2775"/>
      <c r="STZ1" s="2775"/>
      <c r="SUA1" s="2775"/>
      <c r="SUB1" s="2775"/>
      <c r="SUC1" s="2775"/>
      <c r="SUD1" s="2775"/>
      <c r="SUE1" s="2775"/>
      <c r="SUF1" s="2775"/>
      <c r="SUG1" s="2775"/>
      <c r="SUH1" s="2775"/>
      <c r="SUI1" s="2775"/>
      <c r="SUJ1" s="2775"/>
      <c r="SUK1" s="2775"/>
      <c r="SUL1" s="2775"/>
      <c r="SUM1" s="2775"/>
      <c r="SUN1" s="2775"/>
      <c r="SUO1" s="2775"/>
      <c r="SUP1" s="2775"/>
      <c r="SUQ1" s="2775"/>
      <c r="SUR1" s="2775"/>
      <c r="SUS1" s="2775"/>
      <c r="SUT1" s="2775"/>
      <c r="SUU1" s="2775"/>
      <c r="SUV1" s="2775"/>
      <c r="SUW1" s="2775"/>
      <c r="SUX1" s="2775"/>
      <c r="SUY1" s="2775"/>
      <c r="SUZ1" s="2775"/>
      <c r="SVA1" s="2775"/>
      <c r="SVB1" s="2775"/>
      <c r="SVC1" s="2775"/>
      <c r="SVD1" s="2775"/>
      <c r="SVE1" s="2775"/>
      <c r="SVF1" s="2775"/>
      <c r="SVG1" s="2775"/>
      <c r="SVH1" s="2775"/>
      <c r="SVI1" s="2775"/>
      <c r="SVJ1" s="2775"/>
      <c r="SVK1" s="2775"/>
      <c r="SVL1" s="2775"/>
      <c r="SVM1" s="2775"/>
      <c r="SVN1" s="2775"/>
      <c r="SVO1" s="2775"/>
      <c r="SVP1" s="2775"/>
      <c r="SVQ1" s="2775"/>
      <c r="SVR1" s="2775"/>
      <c r="SVS1" s="2775"/>
      <c r="SVT1" s="2775"/>
      <c r="SVU1" s="2775"/>
      <c r="SVV1" s="2775"/>
      <c r="SVW1" s="2775"/>
      <c r="SVX1" s="2775"/>
      <c r="SVY1" s="2775"/>
      <c r="SVZ1" s="2775"/>
      <c r="SWA1" s="2775"/>
      <c r="SWB1" s="2775"/>
      <c r="SWC1" s="2775"/>
      <c r="SWD1" s="2775"/>
      <c r="SWE1" s="2775"/>
      <c r="SWF1" s="2775"/>
      <c r="SWG1" s="2775"/>
      <c r="SWH1" s="2775"/>
      <c r="SWI1" s="2775"/>
      <c r="SWJ1" s="2775"/>
      <c r="SWK1" s="2775"/>
      <c r="SWL1" s="2775"/>
      <c r="SWM1" s="2775"/>
      <c r="SWN1" s="2775"/>
      <c r="SWO1" s="2775"/>
      <c r="SWP1" s="2775"/>
      <c r="SWQ1" s="2775"/>
      <c r="SWR1" s="2775"/>
      <c r="SWS1" s="2775"/>
      <c r="SWT1" s="2775"/>
      <c r="SWU1" s="2775"/>
      <c r="SWV1" s="2775"/>
      <c r="SWW1" s="2775"/>
      <c r="SWX1" s="2775"/>
      <c r="SWY1" s="2775"/>
      <c r="SWZ1" s="2775"/>
      <c r="SXA1" s="2775"/>
      <c r="SXB1" s="2775"/>
      <c r="SXC1" s="2775"/>
      <c r="SXD1" s="2775"/>
      <c r="SXE1" s="2775"/>
      <c r="SXF1" s="2775"/>
      <c r="SXG1" s="2775"/>
      <c r="SXH1" s="2775"/>
      <c r="SXI1" s="2775"/>
      <c r="SXJ1" s="2775"/>
      <c r="SXK1" s="2775"/>
      <c r="SXL1" s="2775"/>
      <c r="SXM1" s="2775"/>
      <c r="SXN1" s="2775"/>
      <c r="SXO1" s="2775"/>
      <c r="SXP1" s="2775"/>
      <c r="SXQ1" s="2775"/>
      <c r="SXR1" s="2775"/>
      <c r="SXS1" s="2775"/>
      <c r="SXT1" s="2775"/>
      <c r="SXU1" s="2775"/>
      <c r="SXV1" s="2775"/>
      <c r="SXW1" s="2775"/>
      <c r="SXX1" s="2775"/>
      <c r="SXY1" s="2775"/>
      <c r="SXZ1" s="2775"/>
      <c r="SYA1" s="2775"/>
      <c r="SYB1" s="2775"/>
      <c r="SYC1" s="2775"/>
      <c r="SYD1" s="2775"/>
      <c r="SYE1" s="2775"/>
      <c r="SYF1" s="2775"/>
      <c r="SYG1" s="2775"/>
      <c r="SYH1" s="2775"/>
      <c r="SYI1" s="2775"/>
      <c r="SYJ1" s="2775"/>
      <c r="SYK1" s="2775"/>
      <c r="SYL1" s="2775"/>
      <c r="SYM1" s="2775"/>
      <c r="SYN1" s="2775"/>
      <c r="SYO1" s="2775"/>
      <c r="SYP1" s="2775"/>
      <c r="SYQ1" s="2775"/>
      <c r="SYR1" s="2775"/>
      <c r="SYS1" s="2775"/>
      <c r="SYT1" s="2775"/>
      <c r="SYU1" s="2775"/>
      <c r="SYV1" s="2775"/>
      <c r="SYW1" s="2775"/>
      <c r="SYX1" s="2775"/>
      <c r="SYY1" s="2775"/>
      <c r="SYZ1" s="2775"/>
      <c r="SZA1" s="2775"/>
      <c r="SZB1" s="2775"/>
      <c r="SZC1" s="2775"/>
      <c r="SZD1" s="2775"/>
      <c r="SZE1" s="2775"/>
      <c r="SZF1" s="2775"/>
      <c r="SZG1" s="2775"/>
      <c r="SZH1" s="2775"/>
      <c r="SZI1" s="2775"/>
      <c r="SZJ1" s="2775"/>
      <c r="SZK1" s="2775"/>
      <c r="SZL1" s="2775"/>
      <c r="SZM1" s="2775"/>
      <c r="SZN1" s="2775"/>
      <c r="SZO1" s="2775"/>
      <c r="SZP1" s="2775"/>
      <c r="SZQ1" s="2775"/>
      <c r="SZR1" s="2775"/>
      <c r="SZS1" s="2775"/>
      <c r="SZT1" s="2775"/>
      <c r="SZU1" s="2775"/>
      <c r="SZV1" s="2775"/>
      <c r="SZW1" s="2775"/>
      <c r="SZX1" s="2775"/>
      <c r="SZY1" s="2775"/>
      <c r="SZZ1" s="2775"/>
      <c r="TAA1" s="2775"/>
      <c r="TAB1" s="2775"/>
      <c r="TAC1" s="2775"/>
      <c r="TAD1" s="2775"/>
      <c r="TAE1" s="2775"/>
      <c r="TAF1" s="2775"/>
      <c r="TAG1" s="2775"/>
      <c r="TAH1" s="2775"/>
      <c r="TAI1" s="2775"/>
      <c r="TAJ1" s="2775"/>
      <c r="TAK1" s="2775"/>
      <c r="TAL1" s="2775"/>
      <c r="TAM1" s="2775"/>
      <c r="TAN1" s="2775"/>
      <c r="TAO1" s="2775"/>
      <c r="TAP1" s="2775"/>
      <c r="TAQ1" s="2775"/>
      <c r="TAR1" s="2775"/>
      <c r="TAS1" s="2775"/>
      <c r="TAT1" s="2775"/>
      <c r="TAU1" s="2775"/>
      <c r="TAV1" s="2775"/>
      <c r="TAW1" s="2775"/>
      <c r="TAX1" s="2775"/>
      <c r="TAY1" s="2775"/>
      <c r="TAZ1" s="2775"/>
      <c r="TBA1" s="2775"/>
      <c r="TBB1" s="2775"/>
      <c r="TBC1" s="2775"/>
      <c r="TBD1" s="2775"/>
      <c r="TBE1" s="2775"/>
      <c r="TBF1" s="2775"/>
      <c r="TBG1" s="2775"/>
      <c r="TBH1" s="2775"/>
      <c r="TBI1" s="2775"/>
      <c r="TBJ1" s="2775"/>
      <c r="TBK1" s="2775"/>
      <c r="TBL1" s="2775"/>
      <c r="TBM1" s="2775"/>
      <c r="TBN1" s="2775"/>
      <c r="TBO1" s="2775"/>
      <c r="TBP1" s="2775"/>
      <c r="TBQ1" s="2775"/>
      <c r="TBR1" s="2775"/>
      <c r="TBS1" s="2775"/>
      <c r="TBT1" s="2775"/>
      <c r="TBU1" s="2775"/>
      <c r="TBV1" s="2775"/>
      <c r="TBW1" s="2775"/>
      <c r="TBX1" s="2775"/>
      <c r="TBY1" s="2775"/>
      <c r="TBZ1" s="2775"/>
      <c r="TCA1" s="2775"/>
      <c r="TCB1" s="2775"/>
      <c r="TCC1" s="2775"/>
      <c r="TCD1" s="2775"/>
      <c r="TCE1" s="2775"/>
      <c r="TCF1" s="2775"/>
      <c r="TCG1" s="2775"/>
      <c r="TCH1" s="2775"/>
      <c r="TCI1" s="2775"/>
      <c r="TCJ1" s="2775"/>
      <c r="TCK1" s="2775"/>
      <c r="TCL1" s="2775"/>
      <c r="TCM1" s="2775"/>
      <c r="TCN1" s="2775"/>
      <c r="TCO1" s="2775"/>
      <c r="TCP1" s="2775"/>
      <c r="TCQ1" s="2775"/>
      <c r="TCR1" s="2775"/>
      <c r="TCS1" s="2775"/>
      <c r="TCT1" s="2775"/>
      <c r="TCU1" s="2775"/>
      <c r="TCV1" s="2775"/>
      <c r="TCW1" s="2775"/>
      <c r="TCX1" s="2775"/>
      <c r="TCY1" s="2775"/>
      <c r="TCZ1" s="2775"/>
      <c r="TDA1" s="2775"/>
      <c r="TDB1" s="2775"/>
      <c r="TDC1" s="2775"/>
      <c r="TDD1" s="2775"/>
      <c r="TDE1" s="2775"/>
      <c r="TDF1" s="2775"/>
      <c r="TDG1" s="2775"/>
      <c r="TDH1" s="2775"/>
      <c r="TDI1" s="2775"/>
      <c r="TDJ1" s="2775"/>
      <c r="TDK1" s="2775"/>
      <c r="TDL1" s="2775"/>
      <c r="TDM1" s="2775"/>
      <c r="TDN1" s="2775"/>
      <c r="TDO1" s="2775"/>
      <c r="TDP1" s="2775"/>
      <c r="TDQ1" s="2775"/>
      <c r="TDR1" s="2775"/>
      <c r="TDS1" s="2775"/>
      <c r="TDT1" s="2775"/>
      <c r="TDU1" s="2775"/>
      <c r="TDV1" s="2775"/>
      <c r="TDW1" s="2775"/>
      <c r="TDX1" s="2775"/>
      <c r="TDY1" s="2775"/>
      <c r="TDZ1" s="2775"/>
      <c r="TEA1" s="2775"/>
      <c r="TEB1" s="2775"/>
      <c r="TEC1" s="2775"/>
      <c r="TED1" s="2775"/>
      <c r="TEE1" s="2775"/>
      <c r="TEF1" s="2775"/>
      <c r="TEG1" s="2775"/>
      <c r="TEH1" s="2775"/>
      <c r="TEI1" s="2775"/>
      <c r="TEJ1" s="2775"/>
      <c r="TEK1" s="2775"/>
      <c r="TEL1" s="2775"/>
      <c r="TEM1" s="2775"/>
      <c r="TEN1" s="2775"/>
      <c r="TEO1" s="2775"/>
      <c r="TEP1" s="2775"/>
      <c r="TEQ1" s="2775"/>
      <c r="TER1" s="2775"/>
      <c r="TES1" s="2775"/>
      <c r="TET1" s="2775"/>
      <c r="TEU1" s="2775"/>
      <c r="TEV1" s="2775"/>
      <c r="TEW1" s="2775"/>
      <c r="TEX1" s="2775"/>
      <c r="TEY1" s="2775"/>
      <c r="TEZ1" s="2775"/>
      <c r="TFA1" s="2775"/>
      <c r="TFB1" s="2775"/>
      <c r="TFC1" s="2775"/>
      <c r="TFD1" s="2775"/>
      <c r="TFE1" s="2775"/>
      <c r="TFF1" s="2775"/>
      <c r="TFG1" s="2775"/>
      <c r="TFH1" s="2775"/>
      <c r="TFI1" s="2775"/>
      <c r="TFJ1" s="2775"/>
      <c r="TFK1" s="2775"/>
      <c r="TFL1" s="2775"/>
      <c r="TFM1" s="2775"/>
      <c r="TFN1" s="2775"/>
      <c r="TFO1" s="2775"/>
      <c r="TFP1" s="2775"/>
      <c r="TFQ1" s="2775"/>
      <c r="TFR1" s="2775"/>
      <c r="TFS1" s="2775"/>
      <c r="TFT1" s="2775"/>
      <c r="TFU1" s="2775"/>
      <c r="TFV1" s="2775"/>
      <c r="TFW1" s="2775"/>
      <c r="TFX1" s="2775"/>
      <c r="TFY1" s="2775"/>
      <c r="TFZ1" s="2775"/>
      <c r="TGA1" s="2775"/>
      <c r="TGB1" s="2775"/>
      <c r="TGC1" s="2775"/>
      <c r="TGD1" s="2775"/>
      <c r="TGE1" s="2775"/>
      <c r="TGF1" s="2775"/>
      <c r="TGG1" s="2775"/>
      <c r="TGH1" s="2775"/>
      <c r="TGI1" s="2775"/>
      <c r="TGJ1" s="2775"/>
      <c r="TGK1" s="2775"/>
      <c r="TGL1" s="2775"/>
      <c r="TGM1" s="2775"/>
      <c r="TGN1" s="2775"/>
      <c r="TGO1" s="2775"/>
      <c r="TGP1" s="2775"/>
      <c r="TGQ1" s="2775"/>
      <c r="TGR1" s="2775"/>
      <c r="TGS1" s="2775"/>
      <c r="TGT1" s="2775"/>
      <c r="TGU1" s="2775"/>
      <c r="TGV1" s="2775"/>
      <c r="TGW1" s="2775"/>
      <c r="TGX1" s="2775"/>
      <c r="TGY1" s="2775"/>
      <c r="TGZ1" s="2775"/>
      <c r="THA1" s="2775"/>
      <c r="THB1" s="2775"/>
      <c r="THC1" s="2775"/>
      <c r="THD1" s="2775"/>
      <c r="THE1" s="2775"/>
      <c r="THF1" s="2775"/>
      <c r="THG1" s="2775"/>
      <c r="THH1" s="2775"/>
      <c r="THI1" s="2775"/>
      <c r="THJ1" s="2775"/>
      <c r="THK1" s="2775"/>
      <c r="THL1" s="2775"/>
      <c r="THM1" s="2775"/>
      <c r="THN1" s="2775"/>
      <c r="THO1" s="2775"/>
      <c r="THP1" s="2775"/>
      <c r="THQ1" s="2775"/>
      <c r="THR1" s="2775"/>
      <c r="THS1" s="2775"/>
      <c r="THT1" s="2775"/>
      <c r="THU1" s="2775"/>
      <c r="THV1" s="2775"/>
      <c r="THW1" s="2775"/>
      <c r="THX1" s="2775"/>
      <c r="THY1" s="2775"/>
      <c r="THZ1" s="2775"/>
      <c r="TIA1" s="2775"/>
      <c r="TIB1" s="2775"/>
      <c r="TIC1" s="2775"/>
      <c r="TID1" s="2775"/>
      <c r="TIE1" s="2775"/>
      <c r="TIF1" s="2775"/>
      <c r="TIG1" s="2775"/>
      <c r="TIH1" s="2775"/>
      <c r="TII1" s="2775"/>
      <c r="TIJ1" s="2775"/>
      <c r="TIK1" s="2775"/>
      <c r="TIL1" s="2775"/>
      <c r="TIM1" s="2775"/>
      <c r="TIN1" s="2775"/>
      <c r="TIO1" s="2775"/>
      <c r="TIP1" s="2775"/>
      <c r="TIQ1" s="2775"/>
      <c r="TIR1" s="2775"/>
      <c r="TIS1" s="2775"/>
      <c r="TIT1" s="2775"/>
      <c r="TIU1" s="2775"/>
      <c r="TIV1" s="2775"/>
      <c r="TIW1" s="2775"/>
      <c r="TIX1" s="2775"/>
      <c r="TIY1" s="2775"/>
      <c r="TIZ1" s="2775"/>
      <c r="TJA1" s="2775"/>
      <c r="TJB1" s="2775"/>
      <c r="TJC1" s="2775"/>
      <c r="TJD1" s="2775"/>
      <c r="TJE1" s="2775"/>
      <c r="TJF1" s="2775"/>
      <c r="TJG1" s="2775"/>
      <c r="TJH1" s="2775"/>
      <c r="TJI1" s="2775"/>
      <c r="TJJ1" s="2775"/>
      <c r="TJK1" s="2775"/>
      <c r="TJL1" s="2775"/>
      <c r="TJM1" s="2775"/>
      <c r="TJN1" s="2775"/>
      <c r="TJO1" s="2775"/>
      <c r="TJP1" s="2775"/>
      <c r="TJQ1" s="2775"/>
      <c r="TJR1" s="2775"/>
      <c r="TJS1" s="2775"/>
      <c r="TJT1" s="2775"/>
      <c r="TJU1" s="2775"/>
      <c r="TJV1" s="2775"/>
      <c r="TJW1" s="2775"/>
      <c r="TJX1" s="2775"/>
      <c r="TJY1" s="2775"/>
      <c r="TJZ1" s="2775"/>
      <c r="TKA1" s="2775"/>
      <c r="TKB1" s="2775"/>
      <c r="TKC1" s="2775"/>
      <c r="TKD1" s="2775"/>
      <c r="TKE1" s="2775"/>
      <c r="TKF1" s="2775"/>
      <c r="TKG1" s="2775"/>
      <c r="TKH1" s="2775"/>
      <c r="TKI1" s="2775"/>
      <c r="TKJ1" s="2775"/>
      <c r="TKK1" s="2775"/>
      <c r="TKL1" s="2775"/>
      <c r="TKM1" s="2775"/>
      <c r="TKN1" s="2775"/>
      <c r="TKO1" s="2775"/>
      <c r="TKP1" s="2775"/>
      <c r="TKQ1" s="2775"/>
      <c r="TKR1" s="2775"/>
      <c r="TKS1" s="2775"/>
      <c r="TKT1" s="2775"/>
      <c r="TKU1" s="2775"/>
      <c r="TKV1" s="2775"/>
      <c r="TKW1" s="2775"/>
      <c r="TKX1" s="2775"/>
      <c r="TKY1" s="2775"/>
      <c r="TKZ1" s="2775"/>
      <c r="TLA1" s="2775"/>
      <c r="TLB1" s="2775"/>
      <c r="TLC1" s="2775"/>
      <c r="TLD1" s="2775"/>
      <c r="TLE1" s="2775"/>
      <c r="TLF1" s="2775"/>
      <c r="TLG1" s="2775"/>
      <c r="TLH1" s="2775"/>
      <c r="TLI1" s="2775"/>
      <c r="TLJ1" s="2775"/>
      <c r="TLK1" s="2775"/>
      <c r="TLL1" s="2775"/>
      <c r="TLM1" s="2775"/>
      <c r="TLN1" s="2775"/>
      <c r="TLO1" s="2775"/>
      <c r="TLP1" s="2775"/>
      <c r="TLQ1" s="2775"/>
      <c r="TLR1" s="2775"/>
      <c r="TLS1" s="2775"/>
      <c r="TLT1" s="2775"/>
      <c r="TLU1" s="2775"/>
      <c r="TLV1" s="2775"/>
      <c r="TLW1" s="2775"/>
      <c r="TLX1" s="2775"/>
      <c r="TLY1" s="2775"/>
      <c r="TLZ1" s="2775"/>
      <c r="TMA1" s="2775"/>
      <c r="TMB1" s="2775"/>
      <c r="TMC1" s="2775"/>
      <c r="TMD1" s="2775"/>
      <c r="TME1" s="2775"/>
      <c r="TMF1" s="2775"/>
      <c r="TMG1" s="2775"/>
      <c r="TMH1" s="2775"/>
      <c r="TMI1" s="2775"/>
      <c r="TMJ1" s="2775"/>
      <c r="TMK1" s="2775"/>
      <c r="TML1" s="2775"/>
      <c r="TMM1" s="2775"/>
      <c r="TMN1" s="2775"/>
      <c r="TMO1" s="2775"/>
      <c r="TMP1" s="2775"/>
      <c r="TMQ1" s="2775"/>
      <c r="TMR1" s="2775"/>
      <c r="TMS1" s="2775"/>
      <c r="TMT1" s="2775"/>
      <c r="TMU1" s="2775"/>
      <c r="TMV1" s="2775"/>
      <c r="TMW1" s="2775"/>
      <c r="TMX1" s="2775"/>
      <c r="TMY1" s="2775"/>
      <c r="TMZ1" s="2775"/>
      <c r="TNA1" s="2775"/>
      <c r="TNB1" s="2775"/>
      <c r="TNC1" s="2775"/>
      <c r="TND1" s="2775"/>
      <c r="TNE1" s="2775"/>
      <c r="TNF1" s="2775"/>
      <c r="TNG1" s="2775"/>
      <c r="TNH1" s="2775"/>
      <c r="TNI1" s="2775"/>
      <c r="TNJ1" s="2775"/>
      <c r="TNK1" s="2775"/>
      <c r="TNL1" s="2775"/>
      <c r="TNM1" s="2775"/>
      <c r="TNN1" s="2775"/>
      <c r="TNO1" s="2775"/>
      <c r="TNP1" s="2775"/>
      <c r="TNQ1" s="2775"/>
      <c r="TNR1" s="2775"/>
      <c r="TNS1" s="2775"/>
      <c r="TNT1" s="2775"/>
      <c r="TNU1" s="2775"/>
      <c r="TNV1" s="2775"/>
      <c r="TNW1" s="2775"/>
      <c r="TNX1" s="2775"/>
      <c r="TNY1" s="2775"/>
      <c r="TNZ1" s="2775"/>
      <c r="TOA1" s="2775"/>
      <c r="TOB1" s="2775"/>
      <c r="TOC1" s="2775"/>
      <c r="TOD1" s="2775"/>
      <c r="TOE1" s="2775"/>
      <c r="TOF1" s="2775"/>
      <c r="TOG1" s="2775"/>
      <c r="TOH1" s="2775"/>
      <c r="TOI1" s="2775"/>
      <c r="TOJ1" s="2775"/>
      <c r="TOK1" s="2775"/>
      <c r="TOL1" s="2775"/>
      <c r="TOM1" s="2775"/>
      <c r="TON1" s="2775"/>
      <c r="TOO1" s="2775"/>
      <c r="TOP1" s="2775"/>
      <c r="TOQ1" s="2775"/>
      <c r="TOR1" s="2775"/>
      <c r="TOS1" s="2775"/>
      <c r="TOT1" s="2775"/>
      <c r="TOU1" s="2775"/>
      <c r="TOV1" s="2775"/>
      <c r="TOW1" s="2775"/>
      <c r="TOX1" s="2775"/>
      <c r="TOY1" s="2775"/>
      <c r="TOZ1" s="2775"/>
      <c r="TPA1" s="2775"/>
      <c r="TPB1" s="2775"/>
      <c r="TPC1" s="2775"/>
      <c r="TPD1" s="2775"/>
      <c r="TPE1" s="2775"/>
      <c r="TPF1" s="2775"/>
      <c r="TPG1" s="2775"/>
      <c r="TPH1" s="2775"/>
      <c r="TPI1" s="2775"/>
      <c r="TPJ1" s="2775"/>
      <c r="TPK1" s="2775"/>
      <c r="TPL1" s="2775"/>
      <c r="TPM1" s="2775"/>
      <c r="TPN1" s="2775"/>
      <c r="TPO1" s="2775"/>
      <c r="TPP1" s="2775"/>
      <c r="TPQ1" s="2775"/>
      <c r="TPR1" s="2775"/>
      <c r="TPS1" s="2775"/>
      <c r="TPT1" s="2775"/>
      <c r="TPU1" s="2775"/>
      <c r="TPV1" s="2775"/>
      <c r="TPW1" s="2775"/>
      <c r="TPX1" s="2775"/>
      <c r="TPY1" s="2775"/>
      <c r="TPZ1" s="2775"/>
      <c r="TQA1" s="2775"/>
      <c r="TQB1" s="2775"/>
      <c r="TQC1" s="2775"/>
      <c r="TQD1" s="2775"/>
      <c r="TQE1" s="2775"/>
      <c r="TQF1" s="2775"/>
      <c r="TQG1" s="2775"/>
      <c r="TQH1" s="2775"/>
      <c r="TQI1" s="2775"/>
      <c r="TQJ1" s="2775"/>
      <c r="TQK1" s="2775"/>
      <c r="TQL1" s="2775"/>
      <c r="TQM1" s="2775"/>
      <c r="TQN1" s="2775"/>
      <c r="TQO1" s="2775"/>
      <c r="TQP1" s="2775"/>
      <c r="TQQ1" s="2775"/>
      <c r="TQR1" s="2775"/>
      <c r="TQS1" s="2775"/>
      <c r="TQT1" s="2775"/>
      <c r="TQU1" s="2775"/>
      <c r="TQV1" s="2775"/>
      <c r="TQW1" s="2775"/>
      <c r="TQX1" s="2775"/>
      <c r="TQY1" s="2775"/>
      <c r="TQZ1" s="2775"/>
      <c r="TRA1" s="2775"/>
      <c r="TRB1" s="2775"/>
      <c r="TRC1" s="2775"/>
      <c r="TRD1" s="2775"/>
      <c r="TRE1" s="2775"/>
      <c r="TRF1" s="2775"/>
      <c r="TRG1" s="2775"/>
      <c r="TRH1" s="2775"/>
      <c r="TRI1" s="2775"/>
      <c r="TRJ1" s="2775"/>
      <c r="TRK1" s="2775"/>
      <c r="TRL1" s="2775"/>
      <c r="TRM1" s="2775"/>
      <c r="TRN1" s="2775"/>
      <c r="TRO1" s="2775"/>
      <c r="TRP1" s="2775"/>
      <c r="TRQ1" s="2775"/>
      <c r="TRR1" s="2775"/>
      <c r="TRS1" s="2775"/>
      <c r="TRT1" s="2775"/>
      <c r="TRU1" s="2775"/>
      <c r="TRV1" s="2775"/>
      <c r="TRW1" s="2775"/>
      <c r="TRX1" s="2775"/>
      <c r="TRY1" s="2775"/>
      <c r="TRZ1" s="2775"/>
      <c r="TSA1" s="2775"/>
      <c r="TSB1" s="2775"/>
      <c r="TSC1" s="2775"/>
      <c r="TSD1" s="2775"/>
      <c r="TSE1" s="2775"/>
      <c r="TSF1" s="2775"/>
      <c r="TSG1" s="2775"/>
      <c r="TSH1" s="2775"/>
      <c r="TSI1" s="2775"/>
      <c r="TSJ1" s="2775"/>
      <c r="TSK1" s="2775"/>
      <c r="TSL1" s="2775"/>
      <c r="TSM1" s="2775"/>
      <c r="TSN1" s="2775"/>
      <c r="TSO1" s="2775"/>
      <c r="TSP1" s="2775"/>
      <c r="TSQ1" s="2775"/>
      <c r="TSR1" s="2775"/>
      <c r="TSS1" s="2775"/>
      <c r="TST1" s="2775"/>
      <c r="TSU1" s="2775"/>
      <c r="TSV1" s="2775"/>
      <c r="TSW1" s="2775"/>
      <c r="TSX1" s="2775"/>
      <c r="TSY1" s="2775"/>
      <c r="TSZ1" s="2775"/>
      <c r="TTA1" s="2775"/>
      <c r="TTB1" s="2775"/>
      <c r="TTC1" s="2775"/>
      <c r="TTD1" s="2775"/>
      <c r="TTE1" s="2775"/>
      <c r="TTF1" s="2775"/>
      <c r="TTG1" s="2775"/>
      <c r="TTH1" s="2775"/>
      <c r="TTI1" s="2775"/>
      <c r="TTJ1" s="2775"/>
      <c r="TTK1" s="2775"/>
      <c r="TTL1" s="2775"/>
      <c r="TTM1" s="2775"/>
      <c r="TTN1" s="2775"/>
      <c r="TTO1" s="2775"/>
      <c r="TTP1" s="2775"/>
      <c r="TTQ1" s="2775"/>
      <c r="TTR1" s="2775"/>
      <c r="TTS1" s="2775"/>
      <c r="TTT1" s="2775"/>
      <c r="TTU1" s="2775"/>
      <c r="TTV1" s="2775"/>
      <c r="TTW1" s="2775"/>
      <c r="TTX1" s="2775"/>
      <c r="TTY1" s="2775"/>
      <c r="TTZ1" s="2775"/>
      <c r="TUA1" s="2775"/>
      <c r="TUB1" s="2775"/>
      <c r="TUC1" s="2775"/>
      <c r="TUD1" s="2775"/>
      <c r="TUE1" s="2775"/>
      <c r="TUF1" s="2775"/>
      <c r="TUG1" s="2775"/>
      <c r="TUH1" s="2775"/>
      <c r="TUI1" s="2775"/>
      <c r="TUJ1" s="2775"/>
      <c r="TUK1" s="2775"/>
      <c r="TUL1" s="2775"/>
      <c r="TUM1" s="2775"/>
      <c r="TUN1" s="2775"/>
      <c r="TUO1" s="2775"/>
      <c r="TUP1" s="2775"/>
      <c r="TUQ1" s="2775"/>
      <c r="TUR1" s="2775"/>
      <c r="TUS1" s="2775"/>
      <c r="TUT1" s="2775"/>
      <c r="TUU1" s="2775"/>
      <c r="TUV1" s="2775"/>
      <c r="TUW1" s="2775"/>
      <c r="TUX1" s="2775"/>
      <c r="TUY1" s="2775"/>
      <c r="TUZ1" s="2775"/>
      <c r="TVA1" s="2775"/>
      <c r="TVB1" s="2775"/>
      <c r="TVC1" s="2775"/>
      <c r="TVD1" s="2775"/>
      <c r="TVE1" s="2775"/>
      <c r="TVF1" s="2775"/>
      <c r="TVG1" s="2775"/>
      <c r="TVH1" s="2775"/>
      <c r="TVI1" s="2775"/>
      <c r="TVJ1" s="2775"/>
      <c r="TVK1" s="2775"/>
      <c r="TVL1" s="2775"/>
      <c r="TVM1" s="2775"/>
      <c r="TVN1" s="2775"/>
      <c r="TVO1" s="2775"/>
      <c r="TVP1" s="2775"/>
      <c r="TVQ1" s="2775"/>
      <c r="TVR1" s="2775"/>
      <c r="TVS1" s="2775"/>
      <c r="TVT1" s="2775"/>
      <c r="TVU1" s="2775"/>
      <c r="TVV1" s="2775"/>
      <c r="TVW1" s="2775"/>
      <c r="TVX1" s="2775"/>
      <c r="TVY1" s="2775"/>
      <c r="TVZ1" s="2775"/>
      <c r="TWA1" s="2775"/>
      <c r="TWB1" s="2775"/>
      <c r="TWC1" s="2775"/>
      <c r="TWD1" s="2775"/>
      <c r="TWE1" s="2775"/>
      <c r="TWF1" s="2775"/>
      <c r="TWG1" s="2775"/>
      <c r="TWH1" s="2775"/>
      <c r="TWI1" s="2775"/>
      <c r="TWJ1" s="2775"/>
      <c r="TWK1" s="2775"/>
      <c r="TWL1" s="2775"/>
      <c r="TWM1" s="2775"/>
      <c r="TWN1" s="2775"/>
      <c r="TWO1" s="2775"/>
      <c r="TWP1" s="2775"/>
      <c r="TWQ1" s="2775"/>
      <c r="TWR1" s="2775"/>
      <c r="TWS1" s="2775"/>
      <c r="TWT1" s="2775"/>
      <c r="TWU1" s="2775"/>
      <c r="TWV1" s="2775"/>
      <c r="TWW1" s="2775"/>
      <c r="TWX1" s="2775"/>
      <c r="TWY1" s="2775"/>
      <c r="TWZ1" s="2775"/>
      <c r="TXA1" s="2775"/>
      <c r="TXB1" s="2775"/>
      <c r="TXC1" s="2775"/>
      <c r="TXD1" s="2775"/>
      <c r="TXE1" s="2775"/>
      <c r="TXF1" s="2775"/>
      <c r="TXG1" s="2775"/>
      <c r="TXH1" s="2775"/>
      <c r="TXI1" s="2775"/>
      <c r="TXJ1" s="2775"/>
      <c r="TXK1" s="2775"/>
      <c r="TXL1" s="2775"/>
      <c r="TXM1" s="2775"/>
      <c r="TXN1" s="2775"/>
      <c r="TXO1" s="2775"/>
      <c r="TXP1" s="2775"/>
      <c r="TXQ1" s="2775"/>
      <c r="TXR1" s="2775"/>
      <c r="TXS1" s="2775"/>
      <c r="TXT1" s="2775"/>
      <c r="TXU1" s="2775"/>
      <c r="TXV1" s="2775"/>
      <c r="TXW1" s="2775"/>
      <c r="TXX1" s="2775"/>
      <c r="TXY1" s="2775"/>
      <c r="TXZ1" s="2775"/>
      <c r="TYA1" s="2775"/>
      <c r="TYB1" s="2775"/>
      <c r="TYC1" s="2775"/>
      <c r="TYD1" s="2775"/>
      <c r="TYE1" s="2775"/>
      <c r="TYF1" s="2775"/>
      <c r="TYG1" s="2775"/>
      <c r="TYH1" s="2775"/>
      <c r="TYI1" s="2775"/>
      <c r="TYJ1" s="2775"/>
      <c r="TYK1" s="2775"/>
      <c r="TYL1" s="2775"/>
      <c r="TYM1" s="2775"/>
      <c r="TYN1" s="2775"/>
      <c r="TYO1" s="2775"/>
      <c r="TYP1" s="2775"/>
      <c r="TYQ1" s="2775"/>
      <c r="TYR1" s="2775"/>
      <c r="TYS1" s="2775"/>
      <c r="TYT1" s="2775"/>
      <c r="TYU1" s="2775"/>
      <c r="TYV1" s="2775"/>
      <c r="TYW1" s="2775"/>
      <c r="TYX1" s="2775"/>
      <c r="TYY1" s="2775"/>
      <c r="TYZ1" s="2775"/>
      <c r="TZA1" s="2775"/>
      <c r="TZB1" s="2775"/>
      <c r="TZC1" s="2775"/>
      <c r="TZD1" s="2775"/>
      <c r="TZE1" s="2775"/>
      <c r="TZF1" s="2775"/>
      <c r="TZG1" s="2775"/>
      <c r="TZH1" s="2775"/>
      <c r="TZI1" s="2775"/>
      <c r="TZJ1" s="2775"/>
      <c r="TZK1" s="2775"/>
      <c r="TZL1" s="2775"/>
      <c r="TZM1" s="2775"/>
      <c r="TZN1" s="2775"/>
      <c r="TZO1" s="2775"/>
      <c r="TZP1" s="2775"/>
      <c r="TZQ1" s="2775"/>
      <c r="TZR1" s="2775"/>
      <c r="TZS1" s="2775"/>
      <c r="TZT1" s="2775"/>
      <c r="TZU1" s="2775"/>
      <c r="TZV1" s="2775"/>
      <c r="TZW1" s="2775"/>
      <c r="TZX1" s="2775"/>
      <c r="TZY1" s="2775"/>
      <c r="TZZ1" s="2775"/>
      <c r="UAA1" s="2775"/>
      <c r="UAB1" s="2775"/>
      <c r="UAC1" s="2775"/>
      <c r="UAD1" s="2775"/>
      <c r="UAE1" s="2775"/>
      <c r="UAF1" s="2775"/>
      <c r="UAG1" s="2775"/>
      <c r="UAH1" s="2775"/>
      <c r="UAI1" s="2775"/>
      <c r="UAJ1" s="2775"/>
      <c r="UAK1" s="2775"/>
      <c r="UAL1" s="2775"/>
      <c r="UAM1" s="2775"/>
      <c r="UAN1" s="2775"/>
      <c r="UAO1" s="2775"/>
      <c r="UAP1" s="2775"/>
      <c r="UAQ1" s="2775"/>
      <c r="UAR1" s="2775"/>
      <c r="UAS1" s="2775"/>
      <c r="UAT1" s="2775"/>
      <c r="UAU1" s="2775"/>
      <c r="UAV1" s="2775"/>
      <c r="UAW1" s="2775"/>
      <c r="UAX1" s="2775"/>
      <c r="UAY1" s="2775"/>
      <c r="UAZ1" s="2775"/>
      <c r="UBA1" s="2775"/>
      <c r="UBB1" s="2775"/>
      <c r="UBC1" s="2775"/>
      <c r="UBD1" s="2775"/>
      <c r="UBE1" s="2775"/>
      <c r="UBF1" s="2775"/>
      <c r="UBG1" s="2775"/>
      <c r="UBH1" s="2775"/>
      <c r="UBI1" s="2775"/>
      <c r="UBJ1" s="2775"/>
      <c r="UBK1" s="2775"/>
      <c r="UBL1" s="2775"/>
      <c r="UBM1" s="2775"/>
      <c r="UBN1" s="2775"/>
      <c r="UBO1" s="2775"/>
      <c r="UBP1" s="2775"/>
      <c r="UBQ1" s="2775"/>
      <c r="UBR1" s="2775"/>
      <c r="UBS1" s="2775"/>
      <c r="UBT1" s="2775"/>
      <c r="UBU1" s="2775"/>
      <c r="UBV1" s="2775"/>
      <c r="UBW1" s="2775"/>
      <c r="UBX1" s="2775"/>
      <c r="UBY1" s="2775"/>
      <c r="UBZ1" s="2775"/>
      <c r="UCA1" s="2775"/>
      <c r="UCB1" s="2775"/>
      <c r="UCC1" s="2775"/>
      <c r="UCD1" s="2775"/>
      <c r="UCE1" s="2775"/>
      <c r="UCF1" s="2775"/>
      <c r="UCG1" s="2775"/>
      <c r="UCH1" s="2775"/>
      <c r="UCI1" s="2775"/>
      <c r="UCJ1" s="2775"/>
      <c r="UCK1" s="2775"/>
      <c r="UCL1" s="2775"/>
      <c r="UCM1" s="2775"/>
      <c r="UCN1" s="2775"/>
      <c r="UCO1" s="2775"/>
      <c r="UCP1" s="2775"/>
      <c r="UCQ1" s="2775"/>
      <c r="UCR1" s="2775"/>
      <c r="UCS1" s="2775"/>
      <c r="UCT1" s="2775"/>
      <c r="UCU1" s="2775"/>
      <c r="UCV1" s="2775"/>
      <c r="UCW1" s="2775"/>
      <c r="UCX1" s="2775"/>
      <c r="UCY1" s="2775"/>
      <c r="UCZ1" s="2775"/>
      <c r="UDA1" s="2775"/>
      <c r="UDB1" s="2775"/>
      <c r="UDC1" s="2775"/>
      <c r="UDD1" s="2775"/>
      <c r="UDE1" s="2775"/>
      <c r="UDF1" s="2775"/>
      <c r="UDG1" s="2775"/>
      <c r="UDH1" s="2775"/>
      <c r="UDI1" s="2775"/>
      <c r="UDJ1" s="2775"/>
      <c r="UDK1" s="2775"/>
      <c r="UDL1" s="2775"/>
      <c r="UDM1" s="2775"/>
      <c r="UDN1" s="2775"/>
      <c r="UDO1" s="2775"/>
      <c r="UDP1" s="2775"/>
      <c r="UDQ1" s="2775"/>
      <c r="UDR1" s="2775"/>
      <c r="UDS1" s="2775"/>
      <c r="UDT1" s="2775"/>
      <c r="UDU1" s="2775"/>
      <c r="UDV1" s="2775"/>
      <c r="UDW1" s="2775"/>
      <c r="UDX1" s="2775"/>
      <c r="UDY1" s="2775"/>
      <c r="UDZ1" s="2775"/>
      <c r="UEA1" s="2775"/>
      <c r="UEB1" s="2775"/>
      <c r="UEC1" s="2775"/>
      <c r="UED1" s="2775"/>
      <c r="UEE1" s="2775"/>
      <c r="UEF1" s="2775"/>
      <c r="UEG1" s="2775"/>
      <c r="UEH1" s="2775"/>
      <c r="UEI1" s="2775"/>
      <c r="UEJ1" s="2775"/>
      <c r="UEK1" s="2775"/>
      <c r="UEL1" s="2775"/>
      <c r="UEM1" s="2775"/>
      <c r="UEN1" s="2775"/>
      <c r="UEO1" s="2775"/>
      <c r="UEP1" s="2775"/>
      <c r="UEQ1" s="2775"/>
      <c r="UER1" s="2775"/>
      <c r="UES1" s="2775"/>
      <c r="UET1" s="2775"/>
      <c r="UEU1" s="2775"/>
      <c r="UEV1" s="2775"/>
      <c r="UEW1" s="2775"/>
      <c r="UEX1" s="2775"/>
      <c r="UEY1" s="2775"/>
      <c r="UEZ1" s="2775"/>
      <c r="UFA1" s="2775"/>
      <c r="UFB1" s="2775"/>
      <c r="UFC1" s="2775"/>
      <c r="UFD1" s="2775"/>
      <c r="UFE1" s="2775"/>
      <c r="UFF1" s="2775"/>
      <c r="UFG1" s="2775"/>
      <c r="UFH1" s="2775"/>
      <c r="UFI1" s="2775"/>
      <c r="UFJ1" s="2775"/>
      <c r="UFK1" s="2775"/>
      <c r="UFL1" s="2775"/>
      <c r="UFM1" s="2775"/>
      <c r="UFN1" s="2775"/>
      <c r="UFO1" s="2775"/>
      <c r="UFP1" s="2775"/>
      <c r="UFQ1" s="2775"/>
      <c r="UFR1" s="2775"/>
      <c r="UFS1" s="2775"/>
      <c r="UFT1" s="2775"/>
      <c r="UFU1" s="2775"/>
      <c r="UFV1" s="2775"/>
      <c r="UFW1" s="2775"/>
      <c r="UFX1" s="2775"/>
      <c r="UFY1" s="2775"/>
      <c r="UFZ1" s="2775"/>
      <c r="UGA1" s="2775"/>
      <c r="UGB1" s="2775"/>
      <c r="UGC1" s="2775"/>
      <c r="UGD1" s="2775"/>
      <c r="UGE1" s="2775"/>
      <c r="UGF1" s="2775"/>
      <c r="UGG1" s="2775"/>
      <c r="UGH1" s="2775"/>
      <c r="UGI1" s="2775"/>
      <c r="UGJ1" s="2775"/>
      <c r="UGK1" s="2775"/>
      <c r="UGL1" s="2775"/>
      <c r="UGM1" s="2775"/>
      <c r="UGN1" s="2775"/>
      <c r="UGO1" s="2775"/>
      <c r="UGP1" s="2775"/>
      <c r="UGQ1" s="2775"/>
      <c r="UGR1" s="2775"/>
      <c r="UGS1" s="2775"/>
      <c r="UGT1" s="2775"/>
      <c r="UGU1" s="2775"/>
      <c r="UGV1" s="2775"/>
      <c r="UGW1" s="2775"/>
      <c r="UGX1" s="2775"/>
      <c r="UGY1" s="2775"/>
      <c r="UGZ1" s="2775"/>
      <c r="UHA1" s="2775"/>
      <c r="UHB1" s="2775"/>
      <c r="UHC1" s="2775"/>
      <c r="UHD1" s="2775"/>
      <c r="UHE1" s="2775"/>
      <c r="UHF1" s="2775"/>
      <c r="UHG1" s="2775"/>
      <c r="UHH1" s="2775"/>
      <c r="UHI1" s="2775"/>
      <c r="UHJ1" s="2775"/>
      <c r="UHK1" s="2775"/>
      <c r="UHL1" s="2775"/>
      <c r="UHM1" s="2775"/>
      <c r="UHN1" s="2775"/>
      <c r="UHO1" s="2775"/>
      <c r="UHP1" s="2775"/>
      <c r="UHQ1" s="2775"/>
      <c r="UHR1" s="2775"/>
      <c r="UHS1" s="2775"/>
      <c r="UHT1" s="2775"/>
      <c r="UHU1" s="2775"/>
      <c r="UHV1" s="2775"/>
      <c r="UHW1" s="2775"/>
      <c r="UHX1" s="2775"/>
      <c r="UHY1" s="2775"/>
      <c r="UHZ1" s="2775"/>
      <c r="UIA1" s="2775"/>
      <c r="UIB1" s="2775"/>
      <c r="UIC1" s="2775"/>
      <c r="UID1" s="2775"/>
      <c r="UIE1" s="2775"/>
      <c r="UIF1" s="2775"/>
      <c r="UIG1" s="2775"/>
      <c r="UIH1" s="2775"/>
      <c r="UII1" s="2775"/>
      <c r="UIJ1" s="2775"/>
      <c r="UIK1" s="2775"/>
      <c r="UIL1" s="2775"/>
      <c r="UIM1" s="2775"/>
      <c r="UIN1" s="2775"/>
      <c r="UIO1" s="2775"/>
      <c r="UIP1" s="2775"/>
      <c r="UIQ1" s="2775"/>
      <c r="UIR1" s="2775"/>
      <c r="UIS1" s="2775"/>
      <c r="UIT1" s="2775"/>
      <c r="UIU1" s="2775"/>
      <c r="UIV1" s="2775"/>
      <c r="UIW1" s="2775"/>
      <c r="UIX1" s="2775"/>
      <c r="UIY1" s="2775"/>
      <c r="UIZ1" s="2775"/>
      <c r="UJA1" s="2775"/>
      <c r="UJB1" s="2775"/>
      <c r="UJC1" s="2775"/>
      <c r="UJD1" s="2775"/>
      <c r="UJE1" s="2775"/>
      <c r="UJF1" s="2775"/>
      <c r="UJG1" s="2775"/>
      <c r="UJH1" s="2775"/>
      <c r="UJI1" s="2775"/>
      <c r="UJJ1" s="2775"/>
      <c r="UJK1" s="2775"/>
      <c r="UJL1" s="2775"/>
      <c r="UJM1" s="2775"/>
      <c r="UJN1" s="2775"/>
      <c r="UJO1" s="2775"/>
      <c r="UJP1" s="2775"/>
      <c r="UJQ1" s="2775"/>
      <c r="UJR1" s="2775"/>
      <c r="UJS1" s="2775"/>
      <c r="UJT1" s="2775"/>
      <c r="UJU1" s="2775"/>
      <c r="UJV1" s="2775"/>
      <c r="UJW1" s="2775"/>
      <c r="UJX1" s="2775"/>
      <c r="UJY1" s="2775"/>
      <c r="UJZ1" s="2775"/>
      <c r="UKA1" s="2775"/>
      <c r="UKB1" s="2775"/>
      <c r="UKC1" s="2775"/>
      <c r="UKD1" s="2775"/>
      <c r="UKE1" s="2775"/>
      <c r="UKF1" s="2775"/>
      <c r="UKG1" s="2775"/>
      <c r="UKH1" s="2775"/>
      <c r="UKI1" s="2775"/>
      <c r="UKJ1" s="2775"/>
      <c r="UKK1" s="2775"/>
      <c r="UKL1" s="2775"/>
      <c r="UKM1" s="2775"/>
      <c r="UKN1" s="2775"/>
      <c r="UKO1" s="2775"/>
      <c r="UKP1" s="2775"/>
      <c r="UKQ1" s="2775"/>
      <c r="UKR1" s="2775"/>
      <c r="UKS1" s="2775"/>
      <c r="UKT1" s="2775"/>
      <c r="UKU1" s="2775"/>
      <c r="UKV1" s="2775"/>
      <c r="UKW1" s="2775"/>
      <c r="UKX1" s="2775"/>
      <c r="UKY1" s="2775"/>
      <c r="UKZ1" s="2775"/>
      <c r="ULA1" s="2775"/>
      <c r="ULB1" s="2775"/>
      <c r="ULC1" s="2775"/>
      <c r="ULD1" s="2775"/>
      <c r="ULE1" s="2775"/>
      <c r="ULF1" s="2775"/>
      <c r="ULG1" s="2775"/>
      <c r="ULH1" s="2775"/>
      <c r="ULI1" s="2775"/>
      <c r="ULJ1" s="2775"/>
      <c r="ULK1" s="2775"/>
      <c r="ULL1" s="2775"/>
      <c r="ULM1" s="2775"/>
      <c r="ULN1" s="2775"/>
      <c r="ULO1" s="2775"/>
      <c r="ULP1" s="2775"/>
      <c r="ULQ1" s="2775"/>
      <c r="ULR1" s="2775"/>
      <c r="ULS1" s="2775"/>
      <c r="ULT1" s="2775"/>
      <c r="ULU1" s="2775"/>
      <c r="ULV1" s="2775"/>
      <c r="ULW1" s="2775"/>
      <c r="ULX1" s="2775"/>
      <c r="ULY1" s="2775"/>
      <c r="ULZ1" s="2775"/>
      <c r="UMA1" s="2775"/>
      <c r="UMB1" s="2775"/>
      <c r="UMC1" s="2775"/>
      <c r="UMD1" s="2775"/>
      <c r="UME1" s="2775"/>
      <c r="UMF1" s="2775"/>
      <c r="UMG1" s="2775"/>
      <c r="UMH1" s="2775"/>
      <c r="UMI1" s="2775"/>
      <c r="UMJ1" s="2775"/>
      <c r="UMK1" s="2775"/>
      <c r="UML1" s="2775"/>
      <c r="UMM1" s="2775"/>
      <c r="UMN1" s="2775"/>
      <c r="UMO1" s="2775"/>
      <c r="UMP1" s="2775"/>
      <c r="UMQ1" s="2775"/>
      <c r="UMR1" s="2775"/>
      <c r="UMS1" s="2775"/>
      <c r="UMT1" s="2775"/>
      <c r="UMU1" s="2775"/>
      <c r="UMV1" s="2775"/>
      <c r="UMW1" s="2775"/>
      <c r="UMX1" s="2775"/>
      <c r="UMY1" s="2775"/>
      <c r="UMZ1" s="2775"/>
      <c r="UNA1" s="2775"/>
      <c r="UNB1" s="2775"/>
      <c r="UNC1" s="2775"/>
      <c r="UND1" s="2775"/>
      <c r="UNE1" s="2775"/>
      <c r="UNF1" s="2775"/>
      <c r="UNG1" s="2775"/>
      <c r="UNH1" s="2775"/>
      <c r="UNI1" s="2775"/>
      <c r="UNJ1" s="2775"/>
      <c r="UNK1" s="2775"/>
      <c r="UNL1" s="2775"/>
      <c r="UNM1" s="2775"/>
      <c r="UNN1" s="2775"/>
      <c r="UNO1" s="2775"/>
      <c r="UNP1" s="2775"/>
      <c r="UNQ1" s="2775"/>
      <c r="UNR1" s="2775"/>
      <c r="UNS1" s="2775"/>
      <c r="UNT1" s="2775"/>
      <c r="UNU1" s="2775"/>
      <c r="UNV1" s="2775"/>
      <c r="UNW1" s="2775"/>
      <c r="UNX1" s="2775"/>
      <c r="UNY1" s="2775"/>
      <c r="UNZ1" s="2775"/>
      <c r="UOA1" s="2775"/>
      <c r="UOB1" s="2775"/>
      <c r="UOC1" s="2775"/>
      <c r="UOD1" s="2775"/>
      <c r="UOE1" s="2775"/>
      <c r="UOF1" s="2775"/>
      <c r="UOG1" s="2775"/>
      <c r="UOH1" s="2775"/>
      <c r="UOI1" s="2775"/>
      <c r="UOJ1" s="2775"/>
      <c r="UOK1" s="2775"/>
      <c r="UOL1" s="2775"/>
      <c r="UOM1" s="2775"/>
      <c r="UON1" s="2775"/>
      <c r="UOO1" s="2775"/>
      <c r="UOP1" s="2775"/>
      <c r="UOQ1" s="2775"/>
      <c r="UOR1" s="2775"/>
      <c r="UOS1" s="2775"/>
      <c r="UOT1" s="2775"/>
      <c r="UOU1" s="2775"/>
      <c r="UOV1" s="2775"/>
      <c r="UOW1" s="2775"/>
      <c r="UOX1" s="2775"/>
      <c r="UOY1" s="2775"/>
      <c r="UOZ1" s="2775"/>
      <c r="UPA1" s="2775"/>
      <c r="UPB1" s="2775"/>
      <c r="UPC1" s="2775"/>
      <c r="UPD1" s="2775"/>
      <c r="UPE1" s="2775"/>
      <c r="UPF1" s="2775"/>
      <c r="UPG1" s="2775"/>
      <c r="UPH1" s="2775"/>
      <c r="UPI1" s="2775"/>
      <c r="UPJ1" s="2775"/>
      <c r="UPK1" s="2775"/>
      <c r="UPL1" s="2775"/>
      <c r="UPM1" s="2775"/>
      <c r="UPN1" s="2775"/>
      <c r="UPO1" s="2775"/>
      <c r="UPP1" s="2775"/>
      <c r="UPQ1" s="2775"/>
      <c r="UPR1" s="2775"/>
      <c r="UPS1" s="2775"/>
      <c r="UPT1" s="2775"/>
      <c r="UPU1" s="2775"/>
      <c r="UPV1" s="2775"/>
      <c r="UPW1" s="2775"/>
      <c r="UPX1" s="2775"/>
      <c r="UPY1" s="2775"/>
      <c r="UPZ1" s="2775"/>
      <c r="UQA1" s="2775"/>
      <c r="UQB1" s="2775"/>
      <c r="UQC1" s="2775"/>
      <c r="UQD1" s="2775"/>
      <c r="UQE1" s="2775"/>
      <c r="UQF1" s="2775"/>
      <c r="UQG1" s="2775"/>
      <c r="UQH1" s="2775"/>
      <c r="UQI1" s="2775"/>
      <c r="UQJ1" s="2775"/>
      <c r="UQK1" s="2775"/>
      <c r="UQL1" s="2775"/>
      <c r="UQM1" s="2775"/>
      <c r="UQN1" s="2775"/>
      <c r="UQO1" s="2775"/>
      <c r="UQP1" s="2775"/>
      <c r="UQQ1" s="2775"/>
      <c r="UQR1" s="2775"/>
      <c r="UQS1" s="2775"/>
      <c r="UQT1" s="2775"/>
      <c r="UQU1" s="2775"/>
      <c r="UQV1" s="2775"/>
      <c r="UQW1" s="2775"/>
      <c r="UQX1" s="2775"/>
      <c r="UQY1" s="2775"/>
      <c r="UQZ1" s="2775"/>
      <c r="URA1" s="2775"/>
      <c r="URB1" s="2775"/>
      <c r="URC1" s="2775"/>
      <c r="URD1" s="2775"/>
      <c r="URE1" s="2775"/>
      <c r="URF1" s="2775"/>
      <c r="URG1" s="2775"/>
      <c r="URH1" s="2775"/>
      <c r="URI1" s="2775"/>
      <c r="URJ1" s="2775"/>
      <c r="URK1" s="2775"/>
      <c r="URL1" s="2775"/>
      <c r="URM1" s="2775"/>
      <c r="URN1" s="2775"/>
      <c r="URO1" s="2775"/>
      <c r="URP1" s="2775"/>
      <c r="URQ1" s="2775"/>
      <c r="URR1" s="2775"/>
      <c r="URS1" s="2775"/>
      <c r="URT1" s="2775"/>
      <c r="URU1" s="2775"/>
      <c r="URV1" s="2775"/>
      <c r="URW1" s="2775"/>
      <c r="URX1" s="2775"/>
      <c r="URY1" s="2775"/>
      <c r="URZ1" s="2775"/>
      <c r="USA1" s="2775"/>
      <c r="USB1" s="2775"/>
      <c r="USC1" s="2775"/>
      <c r="USD1" s="2775"/>
      <c r="USE1" s="2775"/>
      <c r="USF1" s="2775"/>
      <c r="USG1" s="2775"/>
      <c r="USH1" s="2775"/>
      <c r="USI1" s="2775"/>
      <c r="USJ1" s="2775"/>
      <c r="USK1" s="2775"/>
      <c r="USL1" s="2775"/>
      <c r="USM1" s="2775"/>
      <c r="USN1" s="2775"/>
      <c r="USO1" s="2775"/>
      <c r="USP1" s="2775"/>
      <c r="USQ1" s="2775"/>
      <c r="USR1" s="2775"/>
      <c r="USS1" s="2775"/>
      <c r="UST1" s="2775"/>
      <c r="USU1" s="2775"/>
      <c r="USV1" s="2775"/>
      <c r="USW1" s="2775"/>
      <c r="USX1" s="2775"/>
      <c r="USY1" s="2775"/>
      <c r="USZ1" s="2775"/>
      <c r="UTA1" s="2775"/>
      <c r="UTB1" s="2775"/>
      <c r="UTC1" s="2775"/>
      <c r="UTD1" s="2775"/>
      <c r="UTE1" s="2775"/>
      <c r="UTF1" s="2775"/>
      <c r="UTG1" s="2775"/>
      <c r="UTH1" s="2775"/>
      <c r="UTI1" s="2775"/>
      <c r="UTJ1" s="2775"/>
      <c r="UTK1" s="2775"/>
      <c r="UTL1" s="2775"/>
      <c r="UTM1" s="2775"/>
      <c r="UTN1" s="2775"/>
      <c r="UTO1" s="2775"/>
      <c r="UTP1" s="2775"/>
      <c r="UTQ1" s="2775"/>
      <c r="UTR1" s="2775"/>
      <c r="UTS1" s="2775"/>
      <c r="UTT1" s="2775"/>
      <c r="UTU1" s="2775"/>
      <c r="UTV1" s="2775"/>
      <c r="UTW1" s="2775"/>
      <c r="UTX1" s="2775"/>
      <c r="UTY1" s="2775"/>
      <c r="UTZ1" s="2775"/>
      <c r="UUA1" s="2775"/>
      <c r="UUB1" s="2775"/>
      <c r="UUC1" s="2775"/>
      <c r="UUD1" s="2775"/>
      <c r="UUE1" s="2775"/>
      <c r="UUF1" s="2775"/>
      <c r="UUG1" s="2775"/>
      <c r="UUH1" s="2775"/>
      <c r="UUI1" s="2775"/>
      <c r="UUJ1" s="2775"/>
      <c r="UUK1" s="2775"/>
      <c r="UUL1" s="2775"/>
      <c r="UUM1" s="2775"/>
      <c r="UUN1" s="2775"/>
      <c r="UUO1" s="2775"/>
      <c r="UUP1" s="2775"/>
      <c r="UUQ1" s="2775"/>
      <c r="UUR1" s="2775"/>
      <c r="UUS1" s="2775"/>
      <c r="UUT1" s="2775"/>
      <c r="UUU1" s="2775"/>
      <c r="UUV1" s="2775"/>
      <c r="UUW1" s="2775"/>
      <c r="UUX1" s="2775"/>
      <c r="UUY1" s="2775"/>
      <c r="UUZ1" s="2775"/>
      <c r="UVA1" s="2775"/>
      <c r="UVB1" s="2775"/>
      <c r="UVC1" s="2775"/>
      <c r="UVD1" s="2775"/>
      <c r="UVE1" s="2775"/>
      <c r="UVF1" s="2775"/>
      <c r="UVG1" s="2775"/>
      <c r="UVH1" s="2775"/>
      <c r="UVI1" s="2775"/>
      <c r="UVJ1" s="2775"/>
      <c r="UVK1" s="2775"/>
      <c r="UVL1" s="2775"/>
      <c r="UVM1" s="2775"/>
      <c r="UVN1" s="2775"/>
      <c r="UVO1" s="2775"/>
      <c r="UVP1" s="2775"/>
      <c r="UVQ1" s="2775"/>
      <c r="UVR1" s="2775"/>
      <c r="UVS1" s="2775"/>
      <c r="UVT1" s="2775"/>
      <c r="UVU1" s="2775"/>
      <c r="UVV1" s="2775"/>
      <c r="UVW1" s="2775"/>
      <c r="UVX1" s="2775"/>
      <c r="UVY1" s="2775"/>
      <c r="UVZ1" s="2775"/>
      <c r="UWA1" s="2775"/>
      <c r="UWB1" s="2775"/>
      <c r="UWC1" s="2775"/>
      <c r="UWD1" s="2775"/>
      <c r="UWE1" s="2775"/>
      <c r="UWF1" s="2775"/>
      <c r="UWG1" s="2775"/>
      <c r="UWH1" s="2775"/>
      <c r="UWI1" s="2775"/>
      <c r="UWJ1" s="2775"/>
      <c r="UWK1" s="2775"/>
      <c r="UWL1" s="2775"/>
      <c r="UWM1" s="2775"/>
      <c r="UWN1" s="2775"/>
      <c r="UWO1" s="2775"/>
      <c r="UWP1" s="2775"/>
      <c r="UWQ1" s="2775"/>
      <c r="UWR1" s="2775"/>
      <c r="UWS1" s="2775"/>
      <c r="UWT1" s="2775"/>
      <c r="UWU1" s="2775"/>
      <c r="UWV1" s="2775"/>
      <c r="UWW1" s="2775"/>
      <c r="UWX1" s="2775"/>
      <c r="UWY1" s="2775"/>
      <c r="UWZ1" s="2775"/>
      <c r="UXA1" s="2775"/>
      <c r="UXB1" s="2775"/>
      <c r="UXC1" s="2775"/>
      <c r="UXD1" s="2775"/>
      <c r="UXE1" s="2775"/>
      <c r="UXF1" s="2775"/>
      <c r="UXG1" s="2775"/>
      <c r="UXH1" s="2775"/>
      <c r="UXI1" s="2775"/>
      <c r="UXJ1" s="2775"/>
      <c r="UXK1" s="2775"/>
      <c r="UXL1" s="2775"/>
      <c r="UXM1" s="2775"/>
      <c r="UXN1" s="2775"/>
      <c r="UXO1" s="2775"/>
      <c r="UXP1" s="2775"/>
      <c r="UXQ1" s="2775"/>
      <c r="UXR1" s="2775"/>
      <c r="UXS1" s="2775"/>
      <c r="UXT1" s="2775"/>
      <c r="UXU1" s="2775"/>
      <c r="UXV1" s="2775"/>
      <c r="UXW1" s="2775"/>
      <c r="UXX1" s="2775"/>
      <c r="UXY1" s="2775"/>
      <c r="UXZ1" s="2775"/>
      <c r="UYA1" s="2775"/>
      <c r="UYB1" s="2775"/>
      <c r="UYC1" s="2775"/>
      <c r="UYD1" s="2775"/>
      <c r="UYE1" s="2775"/>
      <c r="UYF1" s="2775"/>
      <c r="UYG1" s="2775"/>
      <c r="UYH1" s="2775"/>
      <c r="UYI1" s="2775"/>
      <c r="UYJ1" s="2775"/>
      <c r="UYK1" s="2775"/>
      <c r="UYL1" s="2775"/>
      <c r="UYM1" s="2775"/>
      <c r="UYN1" s="2775"/>
      <c r="UYO1" s="2775"/>
      <c r="UYP1" s="2775"/>
      <c r="UYQ1" s="2775"/>
      <c r="UYR1" s="2775"/>
      <c r="UYS1" s="2775"/>
      <c r="UYT1" s="2775"/>
      <c r="UYU1" s="2775"/>
      <c r="UYV1" s="2775"/>
      <c r="UYW1" s="2775"/>
      <c r="UYX1" s="2775"/>
      <c r="UYY1" s="2775"/>
      <c r="UYZ1" s="2775"/>
      <c r="UZA1" s="2775"/>
      <c r="UZB1" s="2775"/>
      <c r="UZC1" s="2775"/>
      <c r="UZD1" s="2775"/>
      <c r="UZE1" s="2775"/>
      <c r="UZF1" s="2775"/>
      <c r="UZG1" s="2775"/>
      <c r="UZH1" s="2775"/>
      <c r="UZI1" s="2775"/>
      <c r="UZJ1" s="2775"/>
      <c r="UZK1" s="2775"/>
      <c r="UZL1" s="2775"/>
      <c r="UZM1" s="2775"/>
      <c r="UZN1" s="2775"/>
      <c r="UZO1" s="2775"/>
      <c r="UZP1" s="2775"/>
      <c r="UZQ1" s="2775"/>
      <c r="UZR1" s="2775"/>
      <c r="UZS1" s="2775"/>
      <c r="UZT1" s="2775"/>
      <c r="UZU1" s="2775"/>
      <c r="UZV1" s="2775"/>
      <c r="UZW1" s="2775"/>
      <c r="UZX1" s="2775"/>
      <c r="UZY1" s="2775"/>
      <c r="UZZ1" s="2775"/>
      <c r="VAA1" s="2775"/>
      <c r="VAB1" s="2775"/>
      <c r="VAC1" s="2775"/>
      <c r="VAD1" s="2775"/>
      <c r="VAE1" s="2775"/>
      <c r="VAF1" s="2775"/>
      <c r="VAG1" s="2775"/>
      <c r="VAH1" s="2775"/>
      <c r="VAI1" s="2775"/>
      <c r="VAJ1" s="2775"/>
      <c r="VAK1" s="2775"/>
      <c r="VAL1" s="2775"/>
      <c r="VAM1" s="2775"/>
      <c r="VAN1" s="2775"/>
      <c r="VAO1" s="2775"/>
      <c r="VAP1" s="2775"/>
      <c r="VAQ1" s="2775"/>
      <c r="VAR1" s="2775"/>
      <c r="VAS1" s="2775"/>
      <c r="VAT1" s="2775"/>
      <c r="VAU1" s="2775"/>
      <c r="VAV1" s="2775"/>
      <c r="VAW1" s="2775"/>
      <c r="VAX1" s="2775"/>
      <c r="VAY1" s="2775"/>
      <c r="VAZ1" s="2775"/>
      <c r="VBA1" s="2775"/>
      <c r="VBB1" s="2775"/>
      <c r="VBC1" s="2775"/>
      <c r="VBD1" s="2775"/>
      <c r="VBE1" s="2775"/>
      <c r="VBF1" s="2775"/>
      <c r="VBG1" s="2775"/>
      <c r="VBH1" s="2775"/>
      <c r="VBI1" s="2775"/>
      <c r="VBJ1" s="2775"/>
      <c r="VBK1" s="2775"/>
      <c r="VBL1" s="2775"/>
      <c r="VBM1" s="2775"/>
      <c r="VBN1" s="2775"/>
      <c r="VBO1" s="2775"/>
      <c r="VBP1" s="2775"/>
      <c r="VBQ1" s="2775"/>
      <c r="VBR1" s="2775"/>
      <c r="VBS1" s="2775"/>
      <c r="VBT1" s="2775"/>
      <c r="VBU1" s="2775"/>
      <c r="VBV1" s="2775"/>
      <c r="VBW1" s="2775"/>
      <c r="VBX1" s="2775"/>
      <c r="VBY1" s="2775"/>
      <c r="VBZ1" s="2775"/>
      <c r="VCA1" s="2775"/>
      <c r="VCB1" s="2775"/>
      <c r="VCC1" s="2775"/>
      <c r="VCD1" s="2775"/>
      <c r="VCE1" s="2775"/>
      <c r="VCF1" s="2775"/>
      <c r="VCG1" s="2775"/>
      <c r="VCH1" s="2775"/>
      <c r="VCI1" s="2775"/>
      <c r="VCJ1" s="2775"/>
      <c r="VCK1" s="2775"/>
      <c r="VCL1" s="2775"/>
      <c r="VCM1" s="2775"/>
      <c r="VCN1" s="2775"/>
      <c r="VCO1" s="2775"/>
      <c r="VCP1" s="2775"/>
      <c r="VCQ1" s="2775"/>
      <c r="VCR1" s="2775"/>
      <c r="VCS1" s="2775"/>
      <c r="VCT1" s="2775"/>
      <c r="VCU1" s="2775"/>
      <c r="VCV1" s="2775"/>
      <c r="VCW1" s="2775"/>
      <c r="VCX1" s="2775"/>
      <c r="VCY1" s="2775"/>
      <c r="VCZ1" s="2775"/>
      <c r="VDA1" s="2775"/>
      <c r="VDB1" s="2775"/>
      <c r="VDC1" s="2775"/>
      <c r="VDD1" s="2775"/>
      <c r="VDE1" s="2775"/>
      <c r="VDF1" s="2775"/>
      <c r="VDG1" s="2775"/>
      <c r="VDH1" s="2775"/>
      <c r="VDI1" s="2775"/>
      <c r="VDJ1" s="2775"/>
      <c r="VDK1" s="2775"/>
      <c r="VDL1" s="2775"/>
      <c r="VDM1" s="2775"/>
      <c r="VDN1" s="2775"/>
      <c r="VDO1" s="2775"/>
      <c r="VDP1" s="2775"/>
      <c r="VDQ1" s="2775"/>
      <c r="VDR1" s="2775"/>
      <c r="VDS1" s="2775"/>
      <c r="VDT1" s="2775"/>
      <c r="VDU1" s="2775"/>
      <c r="VDV1" s="2775"/>
      <c r="VDW1" s="2775"/>
      <c r="VDX1" s="2775"/>
      <c r="VDY1" s="2775"/>
      <c r="VDZ1" s="2775"/>
      <c r="VEA1" s="2775"/>
      <c r="VEB1" s="2775"/>
      <c r="VEC1" s="2775"/>
      <c r="VED1" s="2775"/>
      <c r="VEE1" s="2775"/>
      <c r="VEF1" s="2775"/>
      <c r="VEG1" s="2775"/>
      <c r="VEH1" s="2775"/>
      <c r="VEI1" s="2775"/>
      <c r="VEJ1" s="2775"/>
      <c r="VEK1" s="2775"/>
      <c r="VEL1" s="2775"/>
      <c r="VEM1" s="2775"/>
      <c r="VEN1" s="2775"/>
      <c r="VEO1" s="2775"/>
      <c r="VEP1" s="2775"/>
      <c r="VEQ1" s="2775"/>
      <c r="VER1" s="2775"/>
      <c r="VES1" s="2775"/>
      <c r="VET1" s="2775"/>
      <c r="VEU1" s="2775"/>
      <c r="VEV1" s="2775"/>
      <c r="VEW1" s="2775"/>
      <c r="VEX1" s="2775"/>
      <c r="VEY1" s="2775"/>
      <c r="VEZ1" s="2775"/>
      <c r="VFA1" s="2775"/>
      <c r="VFB1" s="2775"/>
      <c r="VFC1" s="2775"/>
      <c r="VFD1" s="2775"/>
      <c r="VFE1" s="2775"/>
      <c r="VFF1" s="2775"/>
      <c r="VFG1" s="2775"/>
      <c r="VFH1" s="2775"/>
      <c r="VFI1" s="2775"/>
      <c r="VFJ1" s="2775"/>
      <c r="VFK1" s="2775"/>
      <c r="VFL1" s="2775"/>
      <c r="VFM1" s="2775"/>
      <c r="VFN1" s="2775"/>
      <c r="VFO1" s="2775"/>
      <c r="VFP1" s="2775"/>
      <c r="VFQ1" s="2775"/>
      <c r="VFR1" s="2775"/>
      <c r="VFS1" s="2775"/>
      <c r="VFT1" s="2775"/>
      <c r="VFU1" s="2775"/>
      <c r="VFV1" s="2775"/>
      <c r="VFW1" s="2775"/>
      <c r="VFX1" s="2775"/>
      <c r="VFY1" s="2775"/>
      <c r="VFZ1" s="2775"/>
      <c r="VGA1" s="2775"/>
      <c r="VGB1" s="2775"/>
      <c r="VGC1" s="2775"/>
      <c r="VGD1" s="2775"/>
      <c r="VGE1" s="2775"/>
      <c r="VGF1" s="2775"/>
      <c r="VGG1" s="2775"/>
      <c r="VGH1" s="2775"/>
      <c r="VGI1" s="2775"/>
      <c r="VGJ1" s="2775"/>
      <c r="VGK1" s="2775"/>
      <c r="VGL1" s="2775"/>
      <c r="VGM1" s="2775"/>
      <c r="VGN1" s="2775"/>
      <c r="VGO1" s="2775"/>
      <c r="VGP1" s="2775"/>
      <c r="VGQ1" s="2775"/>
      <c r="VGR1" s="2775"/>
      <c r="VGS1" s="2775"/>
      <c r="VGT1" s="2775"/>
      <c r="VGU1" s="2775"/>
      <c r="VGV1" s="2775"/>
      <c r="VGW1" s="2775"/>
      <c r="VGX1" s="2775"/>
      <c r="VGY1" s="2775"/>
      <c r="VGZ1" s="2775"/>
      <c r="VHA1" s="2775"/>
      <c r="VHB1" s="2775"/>
      <c r="VHC1" s="2775"/>
      <c r="VHD1" s="2775"/>
      <c r="VHE1" s="2775"/>
      <c r="VHF1" s="2775"/>
      <c r="VHG1" s="2775"/>
      <c r="VHH1" s="2775"/>
      <c r="VHI1" s="2775"/>
      <c r="VHJ1" s="2775"/>
      <c r="VHK1" s="2775"/>
      <c r="VHL1" s="2775"/>
      <c r="VHM1" s="2775"/>
      <c r="VHN1" s="2775"/>
      <c r="VHO1" s="2775"/>
      <c r="VHP1" s="2775"/>
      <c r="VHQ1" s="2775"/>
      <c r="VHR1" s="2775"/>
      <c r="VHS1" s="2775"/>
      <c r="VHT1" s="2775"/>
      <c r="VHU1" s="2775"/>
      <c r="VHV1" s="2775"/>
      <c r="VHW1" s="2775"/>
      <c r="VHX1" s="2775"/>
      <c r="VHY1" s="2775"/>
      <c r="VHZ1" s="2775"/>
      <c r="VIA1" s="2775"/>
      <c r="VIB1" s="2775"/>
      <c r="VIC1" s="2775"/>
      <c r="VID1" s="2775"/>
      <c r="VIE1" s="2775"/>
      <c r="VIF1" s="2775"/>
      <c r="VIG1" s="2775"/>
      <c r="VIH1" s="2775"/>
      <c r="VII1" s="2775"/>
      <c r="VIJ1" s="2775"/>
      <c r="VIK1" s="2775"/>
      <c r="VIL1" s="2775"/>
      <c r="VIM1" s="2775"/>
      <c r="VIN1" s="2775"/>
      <c r="VIO1" s="2775"/>
      <c r="VIP1" s="2775"/>
      <c r="VIQ1" s="2775"/>
      <c r="VIR1" s="2775"/>
      <c r="VIS1" s="2775"/>
      <c r="VIT1" s="2775"/>
      <c r="VIU1" s="2775"/>
      <c r="VIV1" s="2775"/>
      <c r="VIW1" s="2775"/>
      <c r="VIX1" s="2775"/>
      <c r="VIY1" s="2775"/>
      <c r="VIZ1" s="2775"/>
      <c r="VJA1" s="2775"/>
      <c r="VJB1" s="2775"/>
      <c r="VJC1" s="2775"/>
      <c r="VJD1" s="2775"/>
      <c r="VJE1" s="2775"/>
      <c r="VJF1" s="2775"/>
      <c r="VJG1" s="2775"/>
      <c r="VJH1" s="2775"/>
      <c r="VJI1" s="2775"/>
      <c r="VJJ1" s="2775"/>
      <c r="VJK1" s="2775"/>
      <c r="VJL1" s="2775"/>
      <c r="VJM1" s="2775"/>
      <c r="VJN1" s="2775"/>
      <c r="VJO1" s="2775"/>
      <c r="VJP1" s="2775"/>
      <c r="VJQ1" s="2775"/>
      <c r="VJR1" s="2775"/>
      <c r="VJS1" s="2775"/>
      <c r="VJT1" s="2775"/>
      <c r="VJU1" s="2775"/>
      <c r="VJV1" s="2775"/>
      <c r="VJW1" s="2775"/>
      <c r="VJX1" s="2775"/>
      <c r="VJY1" s="2775"/>
      <c r="VJZ1" s="2775"/>
      <c r="VKA1" s="2775"/>
      <c r="VKB1" s="2775"/>
      <c r="VKC1" s="2775"/>
      <c r="VKD1" s="2775"/>
      <c r="VKE1" s="2775"/>
      <c r="VKF1" s="2775"/>
      <c r="VKG1" s="2775"/>
      <c r="VKH1" s="2775"/>
      <c r="VKI1" s="2775"/>
      <c r="VKJ1" s="2775"/>
      <c r="VKK1" s="2775"/>
      <c r="VKL1" s="2775"/>
      <c r="VKM1" s="2775"/>
      <c r="VKN1" s="2775"/>
      <c r="VKO1" s="2775"/>
      <c r="VKP1" s="2775"/>
      <c r="VKQ1" s="2775"/>
      <c r="VKR1" s="2775"/>
      <c r="VKS1" s="2775"/>
      <c r="VKT1" s="2775"/>
      <c r="VKU1" s="2775"/>
      <c r="VKV1" s="2775"/>
      <c r="VKW1" s="2775"/>
      <c r="VKX1" s="2775"/>
      <c r="VKY1" s="2775"/>
      <c r="VKZ1" s="2775"/>
      <c r="VLA1" s="2775"/>
      <c r="VLB1" s="2775"/>
      <c r="VLC1" s="2775"/>
      <c r="VLD1" s="2775"/>
      <c r="VLE1" s="2775"/>
      <c r="VLF1" s="2775"/>
      <c r="VLG1" s="2775"/>
      <c r="VLH1" s="2775"/>
      <c r="VLI1" s="2775"/>
      <c r="VLJ1" s="2775"/>
      <c r="VLK1" s="2775"/>
      <c r="VLL1" s="2775"/>
      <c r="VLM1" s="2775"/>
      <c r="VLN1" s="2775"/>
      <c r="VLO1" s="2775"/>
      <c r="VLP1" s="2775"/>
      <c r="VLQ1" s="2775"/>
      <c r="VLR1" s="2775"/>
      <c r="VLS1" s="2775"/>
      <c r="VLT1" s="2775"/>
      <c r="VLU1" s="2775"/>
      <c r="VLV1" s="2775"/>
      <c r="VLW1" s="2775"/>
      <c r="VLX1" s="2775"/>
      <c r="VLY1" s="2775"/>
      <c r="VLZ1" s="2775"/>
      <c r="VMA1" s="2775"/>
      <c r="VMB1" s="2775"/>
      <c r="VMC1" s="2775"/>
      <c r="VMD1" s="2775"/>
      <c r="VME1" s="2775"/>
      <c r="VMF1" s="2775"/>
      <c r="VMG1" s="2775"/>
      <c r="VMH1" s="2775"/>
      <c r="VMI1" s="2775"/>
      <c r="VMJ1" s="2775"/>
      <c r="VMK1" s="2775"/>
      <c r="VML1" s="2775"/>
      <c r="VMM1" s="2775"/>
      <c r="VMN1" s="2775"/>
      <c r="VMO1" s="2775"/>
      <c r="VMP1" s="2775"/>
      <c r="VMQ1" s="2775"/>
      <c r="VMR1" s="2775"/>
      <c r="VMS1" s="2775"/>
      <c r="VMT1" s="2775"/>
      <c r="VMU1" s="2775"/>
      <c r="VMV1" s="2775"/>
      <c r="VMW1" s="2775"/>
      <c r="VMX1" s="2775"/>
      <c r="VMY1" s="2775"/>
      <c r="VMZ1" s="2775"/>
      <c r="VNA1" s="2775"/>
      <c r="VNB1" s="2775"/>
      <c r="VNC1" s="2775"/>
      <c r="VND1" s="2775"/>
      <c r="VNE1" s="2775"/>
      <c r="VNF1" s="2775"/>
      <c r="VNG1" s="2775"/>
      <c r="VNH1" s="2775"/>
      <c r="VNI1" s="2775"/>
      <c r="VNJ1" s="2775"/>
      <c r="VNK1" s="2775"/>
      <c r="VNL1" s="2775"/>
      <c r="VNM1" s="2775"/>
      <c r="VNN1" s="2775"/>
      <c r="VNO1" s="2775"/>
      <c r="VNP1" s="2775"/>
      <c r="VNQ1" s="2775"/>
      <c r="VNR1" s="2775"/>
      <c r="VNS1" s="2775"/>
      <c r="VNT1" s="2775"/>
      <c r="VNU1" s="2775"/>
      <c r="VNV1" s="2775"/>
      <c r="VNW1" s="2775"/>
      <c r="VNX1" s="2775"/>
      <c r="VNY1" s="2775"/>
      <c r="VNZ1" s="2775"/>
      <c r="VOA1" s="2775"/>
      <c r="VOB1" s="2775"/>
      <c r="VOC1" s="2775"/>
      <c r="VOD1" s="2775"/>
      <c r="VOE1" s="2775"/>
      <c r="VOF1" s="2775"/>
      <c r="VOG1" s="2775"/>
      <c r="VOH1" s="2775"/>
      <c r="VOI1" s="2775"/>
      <c r="VOJ1" s="2775"/>
      <c r="VOK1" s="2775"/>
      <c r="VOL1" s="2775"/>
      <c r="VOM1" s="2775"/>
      <c r="VON1" s="2775"/>
      <c r="VOO1" s="2775"/>
      <c r="VOP1" s="2775"/>
      <c r="VOQ1" s="2775"/>
      <c r="VOR1" s="2775"/>
      <c r="VOS1" s="2775"/>
      <c r="VOT1" s="2775"/>
      <c r="VOU1" s="2775"/>
      <c r="VOV1" s="2775"/>
      <c r="VOW1" s="2775"/>
      <c r="VOX1" s="2775"/>
      <c r="VOY1" s="2775"/>
      <c r="VOZ1" s="2775"/>
      <c r="VPA1" s="2775"/>
      <c r="VPB1" s="2775"/>
      <c r="VPC1" s="2775"/>
      <c r="VPD1" s="2775"/>
      <c r="VPE1" s="2775"/>
      <c r="VPF1" s="2775"/>
      <c r="VPG1" s="2775"/>
      <c r="VPH1" s="2775"/>
      <c r="VPI1" s="2775"/>
      <c r="VPJ1" s="2775"/>
      <c r="VPK1" s="2775"/>
      <c r="VPL1" s="2775"/>
      <c r="VPM1" s="2775"/>
      <c r="VPN1" s="2775"/>
      <c r="VPO1" s="2775"/>
      <c r="VPP1" s="2775"/>
      <c r="VPQ1" s="2775"/>
      <c r="VPR1" s="2775"/>
      <c r="VPS1" s="2775"/>
      <c r="VPT1" s="2775"/>
      <c r="VPU1" s="2775"/>
      <c r="VPV1" s="2775"/>
      <c r="VPW1" s="2775"/>
      <c r="VPX1" s="2775"/>
      <c r="VPY1" s="2775"/>
      <c r="VPZ1" s="2775"/>
      <c r="VQA1" s="2775"/>
      <c r="VQB1" s="2775"/>
      <c r="VQC1" s="2775"/>
      <c r="VQD1" s="2775"/>
      <c r="VQE1" s="2775"/>
      <c r="VQF1" s="2775"/>
      <c r="VQG1" s="2775"/>
      <c r="VQH1" s="2775"/>
      <c r="VQI1" s="2775"/>
      <c r="VQJ1" s="2775"/>
      <c r="VQK1" s="2775"/>
      <c r="VQL1" s="2775"/>
      <c r="VQM1" s="2775"/>
      <c r="VQN1" s="2775"/>
      <c r="VQO1" s="2775"/>
      <c r="VQP1" s="2775"/>
      <c r="VQQ1" s="2775"/>
      <c r="VQR1" s="2775"/>
      <c r="VQS1" s="2775"/>
      <c r="VQT1" s="2775"/>
      <c r="VQU1" s="2775"/>
      <c r="VQV1" s="2775"/>
      <c r="VQW1" s="2775"/>
      <c r="VQX1" s="2775"/>
      <c r="VQY1" s="2775"/>
      <c r="VQZ1" s="2775"/>
      <c r="VRA1" s="2775"/>
      <c r="VRB1" s="2775"/>
      <c r="VRC1" s="2775"/>
      <c r="VRD1" s="2775"/>
      <c r="VRE1" s="2775"/>
      <c r="VRF1" s="2775"/>
      <c r="VRG1" s="2775"/>
      <c r="VRH1" s="2775"/>
      <c r="VRI1" s="2775"/>
      <c r="VRJ1" s="2775"/>
      <c r="VRK1" s="2775"/>
      <c r="VRL1" s="2775"/>
      <c r="VRM1" s="2775"/>
      <c r="VRN1" s="2775"/>
      <c r="VRO1" s="2775"/>
      <c r="VRP1" s="2775"/>
      <c r="VRQ1" s="2775"/>
      <c r="VRR1" s="2775"/>
      <c r="VRS1" s="2775"/>
      <c r="VRT1" s="2775"/>
      <c r="VRU1" s="2775"/>
      <c r="VRV1" s="2775"/>
      <c r="VRW1" s="2775"/>
      <c r="VRX1" s="2775"/>
      <c r="VRY1" s="2775"/>
      <c r="VRZ1" s="2775"/>
      <c r="VSA1" s="2775"/>
      <c r="VSB1" s="2775"/>
      <c r="VSC1" s="2775"/>
      <c r="VSD1" s="2775"/>
      <c r="VSE1" s="2775"/>
      <c r="VSF1" s="2775"/>
      <c r="VSG1" s="2775"/>
      <c r="VSH1" s="2775"/>
      <c r="VSI1" s="2775"/>
      <c r="VSJ1" s="2775"/>
      <c r="VSK1" s="2775"/>
      <c r="VSL1" s="2775"/>
      <c r="VSM1" s="2775"/>
      <c r="VSN1" s="2775"/>
      <c r="VSO1" s="2775"/>
      <c r="VSP1" s="2775"/>
      <c r="VSQ1" s="2775"/>
      <c r="VSR1" s="2775"/>
      <c r="VSS1" s="2775"/>
      <c r="VST1" s="2775"/>
      <c r="VSU1" s="2775"/>
      <c r="VSV1" s="2775"/>
      <c r="VSW1" s="2775"/>
      <c r="VSX1" s="2775"/>
      <c r="VSY1" s="2775"/>
      <c r="VSZ1" s="2775"/>
      <c r="VTA1" s="2775"/>
      <c r="VTB1" s="2775"/>
      <c r="VTC1" s="2775"/>
      <c r="VTD1" s="2775"/>
      <c r="VTE1" s="2775"/>
      <c r="VTF1" s="2775"/>
      <c r="VTG1" s="2775"/>
      <c r="VTH1" s="2775"/>
      <c r="VTI1" s="2775"/>
      <c r="VTJ1" s="2775"/>
      <c r="VTK1" s="2775"/>
      <c r="VTL1" s="2775"/>
      <c r="VTM1" s="2775"/>
      <c r="VTN1" s="2775"/>
      <c r="VTO1" s="2775"/>
      <c r="VTP1" s="2775"/>
      <c r="VTQ1" s="2775"/>
      <c r="VTR1" s="2775"/>
      <c r="VTS1" s="2775"/>
      <c r="VTT1" s="2775"/>
      <c r="VTU1" s="2775"/>
      <c r="VTV1" s="2775"/>
      <c r="VTW1" s="2775"/>
      <c r="VTX1" s="2775"/>
      <c r="VTY1" s="2775"/>
      <c r="VTZ1" s="2775"/>
      <c r="VUA1" s="2775"/>
      <c r="VUB1" s="2775"/>
      <c r="VUC1" s="2775"/>
      <c r="VUD1" s="2775"/>
      <c r="VUE1" s="2775"/>
      <c r="VUF1" s="2775"/>
      <c r="VUG1" s="2775"/>
      <c r="VUH1" s="2775"/>
      <c r="VUI1" s="2775"/>
      <c r="VUJ1" s="2775"/>
      <c r="VUK1" s="2775"/>
      <c r="VUL1" s="2775"/>
      <c r="VUM1" s="2775"/>
      <c r="VUN1" s="2775"/>
      <c r="VUO1" s="2775"/>
      <c r="VUP1" s="2775"/>
      <c r="VUQ1" s="2775"/>
      <c r="VUR1" s="2775"/>
      <c r="VUS1" s="2775"/>
      <c r="VUT1" s="2775"/>
      <c r="VUU1" s="2775"/>
      <c r="VUV1" s="2775"/>
      <c r="VUW1" s="2775"/>
      <c r="VUX1" s="2775"/>
      <c r="VUY1" s="2775"/>
      <c r="VUZ1" s="2775"/>
      <c r="VVA1" s="2775"/>
      <c r="VVB1" s="2775"/>
      <c r="VVC1" s="2775"/>
      <c r="VVD1" s="2775"/>
      <c r="VVE1" s="2775"/>
      <c r="VVF1" s="2775"/>
      <c r="VVG1" s="2775"/>
      <c r="VVH1" s="2775"/>
      <c r="VVI1" s="2775"/>
      <c r="VVJ1" s="2775"/>
      <c r="VVK1" s="2775"/>
      <c r="VVL1" s="2775"/>
      <c r="VVM1" s="2775"/>
      <c r="VVN1" s="2775"/>
      <c r="VVO1" s="2775"/>
      <c r="VVP1" s="2775"/>
      <c r="VVQ1" s="2775"/>
      <c r="VVR1" s="2775"/>
      <c r="VVS1" s="2775"/>
      <c r="VVT1" s="2775"/>
      <c r="VVU1" s="2775"/>
      <c r="VVV1" s="2775"/>
      <c r="VVW1" s="2775"/>
      <c r="VVX1" s="2775"/>
      <c r="VVY1" s="2775"/>
      <c r="VVZ1" s="2775"/>
      <c r="VWA1" s="2775"/>
      <c r="VWB1" s="2775"/>
      <c r="VWC1" s="2775"/>
      <c r="VWD1" s="2775"/>
      <c r="VWE1" s="2775"/>
      <c r="VWF1" s="2775"/>
      <c r="VWG1" s="2775"/>
      <c r="VWH1" s="2775"/>
      <c r="VWI1" s="2775"/>
      <c r="VWJ1" s="2775"/>
      <c r="VWK1" s="2775"/>
      <c r="VWL1" s="2775"/>
      <c r="VWM1" s="2775"/>
      <c r="VWN1" s="2775"/>
      <c r="VWO1" s="2775"/>
      <c r="VWP1" s="2775"/>
      <c r="VWQ1" s="2775"/>
      <c r="VWR1" s="2775"/>
      <c r="VWS1" s="2775"/>
      <c r="VWT1" s="2775"/>
      <c r="VWU1" s="2775"/>
      <c r="VWV1" s="2775"/>
      <c r="VWW1" s="2775"/>
      <c r="VWX1" s="2775"/>
      <c r="VWY1" s="2775"/>
      <c r="VWZ1" s="2775"/>
      <c r="VXA1" s="2775"/>
      <c r="VXB1" s="2775"/>
      <c r="VXC1" s="2775"/>
      <c r="VXD1" s="2775"/>
      <c r="VXE1" s="2775"/>
      <c r="VXF1" s="2775"/>
      <c r="VXG1" s="2775"/>
      <c r="VXH1" s="2775"/>
      <c r="VXI1" s="2775"/>
      <c r="VXJ1" s="2775"/>
      <c r="VXK1" s="2775"/>
      <c r="VXL1" s="2775"/>
      <c r="VXM1" s="2775"/>
      <c r="VXN1" s="2775"/>
      <c r="VXO1" s="2775"/>
      <c r="VXP1" s="2775"/>
      <c r="VXQ1" s="2775"/>
      <c r="VXR1" s="2775"/>
      <c r="VXS1" s="2775"/>
      <c r="VXT1" s="2775"/>
      <c r="VXU1" s="2775"/>
      <c r="VXV1" s="2775"/>
      <c r="VXW1" s="2775"/>
      <c r="VXX1" s="2775"/>
      <c r="VXY1" s="2775"/>
      <c r="VXZ1" s="2775"/>
      <c r="VYA1" s="2775"/>
      <c r="VYB1" s="2775"/>
      <c r="VYC1" s="2775"/>
      <c r="VYD1" s="2775"/>
      <c r="VYE1" s="2775"/>
      <c r="VYF1" s="2775"/>
      <c r="VYG1" s="2775"/>
      <c r="VYH1" s="2775"/>
      <c r="VYI1" s="2775"/>
      <c r="VYJ1" s="2775"/>
      <c r="VYK1" s="2775"/>
      <c r="VYL1" s="2775"/>
      <c r="VYM1" s="2775"/>
      <c r="VYN1" s="2775"/>
      <c r="VYO1" s="2775"/>
      <c r="VYP1" s="2775"/>
      <c r="VYQ1" s="2775"/>
      <c r="VYR1" s="2775"/>
      <c r="VYS1" s="2775"/>
      <c r="VYT1" s="2775"/>
      <c r="VYU1" s="2775"/>
      <c r="VYV1" s="2775"/>
      <c r="VYW1" s="2775"/>
      <c r="VYX1" s="2775"/>
      <c r="VYY1" s="2775"/>
      <c r="VYZ1" s="2775"/>
      <c r="VZA1" s="2775"/>
      <c r="VZB1" s="2775"/>
      <c r="VZC1" s="2775"/>
      <c r="VZD1" s="2775"/>
      <c r="VZE1" s="2775"/>
      <c r="VZF1" s="2775"/>
      <c r="VZG1" s="2775"/>
      <c r="VZH1" s="2775"/>
      <c r="VZI1" s="2775"/>
      <c r="VZJ1" s="2775"/>
      <c r="VZK1" s="2775"/>
      <c r="VZL1" s="2775"/>
      <c r="VZM1" s="2775"/>
      <c r="VZN1" s="2775"/>
      <c r="VZO1" s="2775"/>
      <c r="VZP1" s="2775"/>
      <c r="VZQ1" s="2775"/>
      <c r="VZR1" s="2775"/>
      <c r="VZS1" s="2775"/>
      <c r="VZT1" s="2775"/>
      <c r="VZU1" s="2775"/>
      <c r="VZV1" s="2775"/>
      <c r="VZW1" s="2775"/>
      <c r="VZX1" s="2775"/>
      <c r="VZY1" s="2775"/>
      <c r="VZZ1" s="2775"/>
      <c r="WAA1" s="2775"/>
      <c r="WAB1" s="2775"/>
      <c r="WAC1" s="2775"/>
      <c r="WAD1" s="2775"/>
      <c r="WAE1" s="2775"/>
      <c r="WAF1" s="2775"/>
      <c r="WAG1" s="2775"/>
      <c r="WAH1" s="2775"/>
      <c r="WAI1" s="2775"/>
      <c r="WAJ1" s="2775"/>
      <c r="WAK1" s="2775"/>
      <c r="WAL1" s="2775"/>
      <c r="WAM1" s="2775"/>
      <c r="WAN1" s="2775"/>
      <c r="WAO1" s="2775"/>
      <c r="WAP1" s="2775"/>
      <c r="WAQ1" s="2775"/>
      <c r="WAR1" s="2775"/>
      <c r="WAS1" s="2775"/>
      <c r="WAT1" s="2775"/>
      <c r="WAU1" s="2775"/>
      <c r="WAV1" s="2775"/>
      <c r="WAW1" s="2775"/>
      <c r="WAX1" s="2775"/>
      <c r="WAY1" s="2775"/>
      <c r="WAZ1" s="2775"/>
      <c r="WBA1" s="2775"/>
      <c r="WBB1" s="2775"/>
      <c r="WBC1" s="2775"/>
      <c r="WBD1" s="2775"/>
      <c r="WBE1" s="2775"/>
      <c r="WBF1" s="2775"/>
      <c r="WBG1" s="2775"/>
      <c r="WBH1" s="2775"/>
      <c r="WBI1" s="2775"/>
      <c r="WBJ1" s="2775"/>
      <c r="WBK1" s="2775"/>
      <c r="WBL1" s="2775"/>
      <c r="WBM1" s="2775"/>
      <c r="WBN1" s="2775"/>
      <c r="WBO1" s="2775"/>
      <c r="WBP1" s="2775"/>
      <c r="WBQ1" s="2775"/>
      <c r="WBR1" s="2775"/>
      <c r="WBS1" s="2775"/>
      <c r="WBT1" s="2775"/>
      <c r="WBU1" s="2775"/>
      <c r="WBV1" s="2775"/>
      <c r="WBW1" s="2775"/>
      <c r="WBX1" s="2775"/>
      <c r="WBY1" s="2775"/>
      <c r="WBZ1" s="2775"/>
      <c r="WCA1" s="2775"/>
      <c r="WCB1" s="2775"/>
      <c r="WCC1" s="2775"/>
      <c r="WCD1" s="2775"/>
      <c r="WCE1" s="2775"/>
      <c r="WCF1" s="2775"/>
      <c r="WCG1" s="2775"/>
      <c r="WCH1" s="2775"/>
      <c r="WCI1" s="2775"/>
      <c r="WCJ1" s="2775"/>
      <c r="WCK1" s="2775"/>
      <c r="WCL1" s="2775"/>
      <c r="WCM1" s="2775"/>
      <c r="WCN1" s="2775"/>
      <c r="WCO1" s="2775"/>
      <c r="WCP1" s="2775"/>
      <c r="WCQ1" s="2775"/>
      <c r="WCR1" s="2775"/>
      <c r="WCS1" s="2775"/>
      <c r="WCT1" s="2775"/>
      <c r="WCU1" s="2775"/>
      <c r="WCV1" s="2775"/>
      <c r="WCW1" s="2775"/>
      <c r="WCX1" s="2775"/>
      <c r="WCY1" s="2775"/>
      <c r="WCZ1" s="2775"/>
      <c r="WDA1" s="2775"/>
      <c r="WDB1" s="2775"/>
      <c r="WDC1" s="2775"/>
      <c r="WDD1" s="2775"/>
      <c r="WDE1" s="2775"/>
      <c r="WDF1" s="2775"/>
      <c r="WDG1" s="2775"/>
      <c r="WDH1" s="2775"/>
      <c r="WDI1" s="2775"/>
      <c r="WDJ1" s="2775"/>
      <c r="WDK1" s="2775"/>
      <c r="WDL1" s="2775"/>
      <c r="WDM1" s="2775"/>
      <c r="WDN1" s="2775"/>
      <c r="WDO1" s="2775"/>
      <c r="WDP1" s="2775"/>
      <c r="WDQ1" s="2775"/>
      <c r="WDR1" s="2775"/>
      <c r="WDS1" s="2775"/>
      <c r="WDT1" s="2775"/>
      <c r="WDU1" s="2775"/>
      <c r="WDV1" s="2775"/>
      <c r="WDW1" s="2775"/>
      <c r="WDX1" s="2775"/>
      <c r="WDY1" s="2775"/>
      <c r="WDZ1" s="2775"/>
      <c r="WEA1" s="2775"/>
      <c r="WEB1" s="2775"/>
      <c r="WEC1" s="2775"/>
      <c r="WED1" s="2775"/>
      <c r="WEE1" s="2775"/>
      <c r="WEF1" s="2775"/>
      <c r="WEG1" s="2775"/>
      <c r="WEH1" s="2775"/>
      <c r="WEI1" s="2775"/>
      <c r="WEJ1" s="2775"/>
      <c r="WEK1" s="2775"/>
      <c r="WEL1" s="2775"/>
      <c r="WEM1" s="2775"/>
      <c r="WEN1" s="2775"/>
      <c r="WEO1" s="2775"/>
      <c r="WEP1" s="2775"/>
      <c r="WEQ1" s="2775"/>
      <c r="WER1" s="2775"/>
      <c r="WES1" s="2775"/>
      <c r="WET1" s="2775"/>
      <c r="WEU1" s="2775"/>
      <c r="WEV1" s="2775"/>
      <c r="WEW1" s="2775"/>
      <c r="WEX1" s="2775"/>
      <c r="WEY1" s="2775"/>
      <c r="WEZ1" s="2775"/>
      <c r="WFA1" s="2775"/>
      <c r="WFB1" s="2775"/>
      <c r="WFC1" s="2775"/>
      <c r="WFD1" s="2775"/>
      <c r="WFE1" s="2775"/>
      <c r="WFF1" s="2775"/>
      <c r="WFG1" s="2775"/>
      <c r="WFH1" s="2775"/>
      <c r="WFI1" s="2775"/>
      <c r="WFJ1" s="2775"/>
      <c r="WFK1" s="2775"/>
      <c r="WFL1" s="2775"/>
      <c r="WFM1" s="2775"/>
      <c r="WFN1" s="2775"/>
      <c r="WFO1" s="2775"/>
      <c r="WFP1" s="2775"/>
      <c r="WFQ1" s="2775"/>
      <c r="WFR1" s="2775"/>
      <c r="WFS1" s="2775"/>
      <c r="WFT1" s="2775"/>
      <c r="WFU1" s="2775"/>
      <c r="WFV1" s="2775"/>
      <c r="WFW1" s="2775"/>
      <c r="WFX1" s="2775"/>
      <c r="WFY1" s="2775"/>
      <c r="WFZ1" s="2775"/>
      <c r="WGA1" s="2775"/>
      <c r="WGB1" s="2775"/>
      <c r="WGC1" s="2775"/>
      <c r="WGD1" s="2775"/>
      <c r="WGE1" s="2775"/>
      <c r="WGF1" s="2775"/>
      <c r="WGG1" s="2775"/>
      <c r="WGH1" s="2775"/>
      <c r="WGI1" s="2775"/>
      <c r="WGJ1" s="2775"/>
      <c r="WGK1" s="2775"/>
      <c r="WGL1" s="2775"/>
      <c r="WGM1" s="2775"/>
      <c r="WGN1" s="2775"/>
      <c r="WGO1" s="2775"/>
      <c r="WGP1" s="2775"/>
      <c r="WGQ1" s="2775"/>
      <c r="WGR1" s="2775"/>
      <c r="WGS1" s="2775"/>
      <c r="WGT1" s="2775"/>
      <c r="WGU1" s="2775"/>
      <c r="WGV1" s="2775"/>
      <c r="WGW1" s="2775"/>
      <c r="WGX1" s="2775"/>
      <c r="WGY1" s="2775"/>
      <c r="WGZ1" s="2775"/>
      <c r="WHA1" s="2775"/>
      <c r="WHB1" s="2775"/>
      <c r="WHC1" s="2775"/>
      <c r="WHD1" s="2775"/>
      <c r="WHE1" s="2775"/>
      <c r="WHF1" s="2775"/>
      <c r="WHG1" s="2775"/>
      <c r="WHH1" s="2775"/>
      <c r="WHI1" s="2775"/>
      <c r="WHJ1" s="2775"/>
      <c r="WHK1" s="2775"/>
      <c r="WHL1" s="2775"/>
      <c r="WHM1" s="2775"/>
      <c r="WHN1" s="2775"/>
      <c r="WHO1" s="2775"/>
      <c r="WHP1" s="2775"/>
      <c r="WHQ1" s="2775"/>
      <c r="WHR1" s="2775"/>
      <c r="WHS1" s="2775"/>
      <c r="WHT1" s="2775"/>
      <c r="WHU1" s="2775"/>
      <c r="WHV1" s="2775"/>
      <c r="WHW1" s="2775"/>
      <c r="WHX1" s="2775"/>
      <c r="WHY1" s="2775"/>
      <c r="WHZ1" s="2775"/>
      <c r="WIA1" s="2775"/>
      <c r="WIB1" s="2775"/>
      <c r="WIC1" s="2775"/>
      <c r="WID1" s="2775"/>
      <c r="WIE1" s="2775"/>
      <c r="WIF1" s="2775"/>
      <c r="WIG1" s="2775"/>
      <c r="WIH1" s="2775"/>
      <c r="WII1" s="2775"/>
      <c r="WIJ1" s="2775"/>
      <c r="WIK1" s="2775"/>
      <c r="WIL1" s="2775"/>
      <c r="WIM1" s="2775"/>
      <c r="WIN1" s="2775"/>
      <c r="WIO1" s="2775"/>
      <c r="WIP1" s="2775"/>
      <c r="WIQ1" s="2775"/>
      <c r="WIR1" s="2775"/>
      <c r="WIS1" s="2775"/>
      <c r="WIT1" s="2775"/>
      <c r="WIU1" s="2775"/>
      <c r="WIV1" s="2775"/>
      <c r="WIW1" s="2775"/>
      <c r="WIX1" s="2775"/>
      <c r="WIY1" s="2775"/>
      <c r="WIZ1" s="2775"/>
      <c r="WJA1" s="2775"/>
      <c r="WJB1" s="2775"/>
      <c r="WJC1" s="2775"/>
      <c r="WJD1" s="2775"/>
      <c r="WJE1" s="2775"/>
      <c r="WJF1" s="2775"/>
      <c r="WJG1" s="2775"/>
      <c r="WJH1" s="2775"/>
      <c r="WJI1" s="2775"/>
      <c r="WJJ1" s="2775"/>
      <c r="WJK1" s="2775"/>
      <c r="WJL1" s="2775"/>
      <c r="WJM1" s="2775"/>
      <c r="WJN1" s="2775"/>
      <c r="WJO1" s="2775"/>
      <c r="WJP1" s="2775"/>
      <c r="WJQ1" s="2775"/>
      <c r="WJR1" s="2775"/>
      <c r="WJS1" s="2775"/>
      <c r="WJT1" s="2775"/>
      <c r="WJU1" s="2775"/>
      <c r="WJV1" s="2775"/>
      <c r="WJW1" s="2775"/>
      <c r="WJX1" s="2775"/>
      <c r="WJY1" s="2775"/>
      <c r="WJZ1" s="2775"/>
      <c r="WKA1" s="2775"/>
      <c r="WKB1" s="2775"/>
      <c r="WKC1" s="2775"/>
      <c r="WKD1" s="2775"/>
      <c r="WKE1" s="2775"/>
      <c r="WKF1" s="2775"/>
      <c r="WKG1" s="2775"/>
      <c r="WKH1" s="2775"/>
      <c r="WKI1" s="2775"/>
      <c r="WKJ1" s="2775"/>
      <c r="WKK1" s="2775"/>
      <c r="WKL1" s="2775"/>
      <c r="WKM1" s="2775"/>
      <c r="WKN1" s="2775"/>
      <c r="WKO1" s="2775"/>
      <c r="WKP1" s="2775"/>
      <c r="WKQ1" s="2775"/>
      <c r="WKR1" s="2775"/>
      <c r="WKS1" s="2775"/>
      <c r="WKT1" s="2775"/>
      <c r="WKU1" s="2775"/>
      <c r="WKV1" s="2775"/>
      <c r="WKW1" s="2775"/>
      <c r="WKX1" s="2775"/>
      <c r="WKY1" s="2775"/>
      <c r="WKZ1" s="2775"/>
      <c r="WLA1" s="2775"/>
      <c r="WLB1" s="2775"/>
      <c r="WLC1" s="2775"/>
      <c r="WLD1" s="2775"/>
      <c r="WLE1" s="2775"/>
      <c r="WLF1" s="2775"/>
      <c r="WLG1" s="2775"/>
      <c r="WLH1" s="2775"/>
      <c r="WLI1" s="2775"/>
      <c r="WLJ1" s="2775"/>
      <c r="WLK1" s="2775"/>
      <c r="WLL1" s="2775"/>
      <c r="WLM1" s="2775"/>
      <c r="WLN1" s="2775"/>
      <c r="WLO1" s="2775"/>
      <c r="WLP1" s="2775"/>
      <c r="WLQ1" s="2775"/>
      <c r="WLR1" s="2775"/>
      <c r="WLS1" s="2775"/>
      <c r="WLT1" s="2775"/>
      <c r="WLU1" s="2775"/>
      <c r="WLV1" s="2775"/>
      <c r="WLW1" s="2775"/>
      <c r="WLX1" s="2775"/>
      <c r="WLY1" s="2775"/>
      <c r="WLZ1" s="2775"/>
      <c r="WMA1" s="2775"/>
      <c r="WMB1" s="2775"/>
      <c r="WMC1" s="2775"/>
      <c r="WMD1" s="2775"/>
      <c r="WME1" s="2775"/>
      <c r="WMF1" s="2775"/>
      <c r="WMG1" s="2775"/>
      <c r="WMH1" s="2775"/>
      <c r="WMI1" s="2775"/>
      <c r="WMJ1" s="2775"/>
      <c r="WMK1" s="2775"/>
      <c r="WML1" s="2775"/>
      <c r="WMM1" s="2775"/>
      <c r="WMN1" s="2775"/>
      <c r="WMO1" s="2775"/>
      <c r="WMP1" s="2775"/>
      <c r="WMQ1" s="2775"/>
      <c r="WMR1" s="2775"/>
      <c r="WMS1" s="2775"/>
      <c r="WMT1" s="2775"/>
      <c r="WMU1" s="2775"/>
      <c r="WMV1" s="2775"/>
      <c r="WMW1" s="2775"/>
      <c r="WMX1" s="2775"/>
      <c r="WMY1" s="2775"/>
      <c r="WMZ1" s="2775"/>
      <c r="WNA1" s="2775"/>
      <c r="WNB1" s="2775"/>
      <c r="WNC1" s="2775"/>
      <c r="WND1" s="2775"/>
      <c r="WNE1" s="2775"/>
      <c r="WNF1" s="2775"/>
      <c r="WNG1" s="2775"/>
      <c r="WNH1" s="2775"/>
      <c r="WNI1" s="2775"/>
      <c r="WNJ1" s="2775"/>
      <c r="WNK1" s="2775"/>
      <c r="WNL1" s="2775"/>
      <c r="WNM1" s="2775"/>
      <c r="WNN1" s="2775"/>
      <c r="WNO1" s="2775"/>
      <c r="WNP1" s="2775"/>
      <c r="WNQ1" s="2775"/>
      <c r="WNR1" s="2775"/>
      <c r="WNS1" s="2775"/>
      <c r="WNT1" s="2775"/>
      <c r="WNU1" s="2775"/>
      <c r="WNV1" s="2775"/>
      <c r="WNW1" s="2775"/>
      <c r="WNX1" s="2775"/>
      <c r="WNY1" s="2775"/>
      <c r="WNZ1" s="2775"/>
      <c r="WOA1" s="2775"/>
      <c r="WOB1" s="2775"/>
      <c r="WOC1" s="2775"/>
      <c r="WOD1" s="2775"/>
      <c r="WOE1" s="2775"/>
      <c r="WOF1" s="2775"/>
      <c r="WOG1" s="2775"/>
      <c r="WOH1" s="2775"/>
      <c r="WOI1" s="2775"/>
      <c r="WOJ1" s="2775"/>
      <c r="WOK1" s="2775"/>
      <c r="WOL1" s="2775"/>
      <c r="WOM1" s="2775"/>
      <c r="WON1" s="2775"/>
      <c r="WOO1" s="2775"/>
      <c r="WOP1" s="2775"/>
      <c r="WOQ1" s="2775"/>
      <c r="WOR1" s="2775"/>
      <c r="WOS1" s="2775"/>
      <c r="WOT1" s="2775"/>
      <c r="WOU1" s="2775"/>
      <c r="WOV1" s="2775"/>
      <c r="WOW1" s="2775"/>
      <c r="WOX1" s="2775"/>
      <c r="WOY1" s="2775"/>
      <c r="WOZ1" s="2775"/>
      <c r="WPA1" s="2775"/>
      <c r="WPB1" s="2775"/>
      <c r="WPC1" s="2775"/>
      <c r="WPD1" s="2775"/>
      <c r="WPE1" s="2775"/>
      <c r="WPF1" s="2775"/>
      <c r="WPG1" s="2775"/>
      <c r="WPH1" s="2775"/>
      <c r="WPI1" s="2775"/>
      <c r="WPJ1" s="2775"/>
      <c r="WPK1" s="2775"/>
      <c r="WPL1" s="2775"/>
      <c r="WPM1" s="2775"/>
      <c r="WPN1" s="2775"/>
      <c r="WPO1" s="2775"/>
      <c r="WPP1" s="2775"/>
      <c r="WPQ1" s="2775"/>
      <c r="WPR1" s="2775"/>
      <c r="WPS1" s="2775"/>
      <c r="WPT1" s="2775"/>
      <c r="WPU1" s="2775"/>
      <c r="WPV1" s="2775"/>
      <c r="WPW1" s="2775"/>
      <c r="WPX1" s="2775"/>
      <c r="WPY1" s="2775"/>
      <c r="WPZ1" s="2775"/>
      <c r="WQA1" s="2775"/>
      <c r="WQB1" s="2775"/>
      <c r="WQC1" s="2775"/>
      <c r="WQD1" s="2775"/>
      <c r="WQE1" s="2775"/>
      <c r="WQF1" s="2775"/>
      <c r="WQG1" s="2775"/>
      <c r="WQH1" s="2775"/>
      <c r="WQI1" s="2775"/>
      <c r="WQJ1" s="2775"/>
      <c r="WQK1" s="2775"/>
      <c r="WQL1" s="2775"/>
      <c r="WQM1" s="2775"/>
      <c r="WQN1" s="2775"/>
      <c r="WQO1" s="2775"/>
      <c r="WQP1" s="2775"/>
      <c r="WQQ1" s="2775"/>
      <c r="WQR1" s="2775"/>
      <c r="WQS1" s="2775"/>
      <c r="WQT1" s="2775"/>
      <c r="WQU1" s="2775"/>
      <c r="WQV1" s="2775"/>
      <c r="WQW1" s="2775"/>
      <c r="WQX1" s="2775"/>
      <c r="WQY1" s="2775"/>
      <c r="WQZ1" s="2775"/>
      <c r="WRA1" s="2775"/>
      <c r="WRB1" s="2775"/>
      <c r="WRC1" s="2775"/>
      <c r="WRD1" s="2775"/>
      <c r="WRE1" s="2775"/>
      <c r="WRF1" s="2775"/>
      <c r="WRG1" s="2775"/>
      <c r="WRH1" s="2775"/>
      <c r="WRI1" s="2775"/>
      <c r="WRJ1" s="2775"/>
      <c r="WRK1" s="2775"/>
      <c r="WRL1" s="2775"/>
      <c r="WRM1" s="2775"/>
      <c r="WRN1" s="2775"/>
      <c r="WRO1" s="2775"/>
      <c r="WRP1" s="2775"/>
      <c r="WRQ1" s="2775"/>
      <c r="WRR1" s="2775"/>
      <c r="WRS1" s="2775"/>
      <c r="WRT1" s="2775"/>
      <c r="WRU1" s="2775"/>
      <c r="WRV1" s="2775"/>
      <c r="WRW1" s="2775"/>
      <c r="WRX1" s="2775"/>
      <c r="WRY1" s="2775"/>
      <c r="WRZ1" s="2775"/>
      <c r="WSA1" s="2775"/>
      <c r="WSB1" s="2775"/>
      <c r="WSC1" s="2775"/>
      <c r="WSD1" s="2775"/>
      <c r="WSE1" s="2775"/>
      <c r="WSF1" s="2775"/>
      <c r="WSG1" s="2775"/>
      <c r="WSH1" s="2775"/>
      <c r="WSI1" s="2775"/>
      <c r="WSJ1" s="2775"/>
      <c r="WSK1" s="2775"/>
      <c r="WSL1" s="2775"/>
      <c r="WSM1" s="2775"/>
      <c r="WSN1" s="2775"/>
      <c r="WSO1" s="2775"/>
      <c r="WSP1" s="2775"/>
      <c r="WSQ1" s="2775"/>
      <c r="WSR1" s="2775"/>
      <c r="WSS1" s="2775"/>
      <c r="WST1" s="2775"/>
      <c r="WSU1" s="2775"/>
      <c r="WSV1" s="2775"/>
      <c r="WSW1" s="2775"/>
      <c r="WSX1" s="2775"/>
      <c r="WSY1" s="2775"/>
      <c r="WSZ1" s="2775"/>
      <c r="WTA1" s="2775"/>
      <c r="WTB1" s="2775"/>
      <c r="WTC1" s="2775"/>
      <c r="WTD1" s="2775"/>
      <c r="WTE1" s="2775"/>
      <c r="WTF1" s="2775"/>
      <c r="WTG1" s="2775"/>
      <c r="WTH1" s="2775"/>
      <c r="WTI1" s="2775"/>
      <c r="WTJ1" s="2775"/>
      <c r="WTK1" s="2775"/>
      <c r="WTL1" s="2775"/>
      <c r="WTM1" s="2775"/>
      <c r="WTN1" s="2775"/>
      <c r="WTO1" s="2775"/>
      <c r="WTP1" s="2775"/>
      <c r="WTQ1" s="2775"/>
      <c r="WTR1" s="2775"/>
      <c r="WTS1" s="2775"/>
      <c r="WTT1" s="2775"/>
      <c r="WTU1" s="2775"/>
      <c r="WTV1" s="2775"/>
      <c r="WTW1" s="2775"/>
      <c r="WTX1" s="2775"/>
      <c r="WTY1" s="2775"/>
      <c r="WTZ1" s="2775"/>
      <c r="WUA1" s="2775"/>
      <c r="WUB1" s="2775"/>
      <c r="WUC1" s="2775"/>
      <c r="WUD1" s="2775"/>
      <c r="WUE1" s="2775"/>
      <c r="WUF1" s="2775"/>
      <c r="WUG1" s="2775"/>
      <c r="WUH1" s="2775"/>
      <c r="WUI1" s="2775"/>
      <c r="WUJ1" s="2775"/>
      <c r="WUK1" s="2775"/>
      <c r="WUL1" s="2775"/>
      <c r="WUM1" s="2775"/>
      <c r="WUN1" s="2775"/>
      <c r="WUO1" s="2775"/>
      <c r="WUP1" s="2775"/>
      <c r="WUQ1" s="2775"/>
      <c r="WUR1" s="2775"/>
      <c r="WUS1" s="2775"/>
      <c r="WUT1" s="2775"/>
      <c r="WUU1" s="2775"/>
      <c r="WUV1" s="2775"/>
      <c r="WUW1" s="2775"/>
      <c r="WUX1" s="2775"/>
      <c r="WUY1" s="2775"/>
      <c r="WUZ1" s="2775"/>
      <c r="WVA1" s="2775"/>
      <c r="WVB1" s="2775"/>
      <c r="WVC1" s="2775"/>
      <c r="WVD1" s="2775"/>
      <c r="WVE1" s="2775"/>
      <c r="WVF1" s="2775"/>
      <c r="WVG1" s="2775"/>
      <c r="WVH1" s="2775"/>
      <c r="WVI1" s="2775"/>
      <c r="WVJ1" s="2775"/>
      <c r="WVK1" s="2775"/>
      <c r="WVL1" s="2775"/>
      <c r="WVM1" s="2775"/>
      <c r="WVN1" s="2775"/>
      <c r="WVO1" s="2775"/>
      <c r="WVP1" s="2775"/>
      <c r="WVQ1" s="2775"/>
      <c r="WVR1" s="2775"/>
      <c r="WVS1" s="2775"/>
      <c r="WVT1" s="2775"/>
      <c r="WVU1" s="2775"/>
      <c r="WVV1" s="2775"/>
      <c r="WVW1" s="2775"/>
      <c r="WVX1" s="2775"/>
      <c r="WVY1" s="2775"/>
      <c r="WVZ1" s="2775"/>
      <c r="WWA1" s="2775"/>
      <c r="WWB1" s="2775"/>
      <c r="WWC1" s="2775"/>
      <c r="WWD1" s="2775"/>
      <c r="WWE1" s="2775"/>
      <c r="WWF1" s="2775"/>
      <c r="WWG1" s="2775"/>
      <c r="WWH1" s="2775"/>
      <c r="WWI1" s="2775"/>
      <c r="WWJ1" s="2775"/>
      <c r="WWK1" s="2775"/>
      <c r="WWL1" s="2775"/>
      <c r="WWM1" s="2775"/>
      <c r="WWN1" s="2775"/>
      <c r="WWO1" s="2775"/>
      <c r="WWP1" s="2775"/>
      <c r="WWQ1" s="2775"/>
      <c r="WWR1" s="2775"/>
      <c r="WWS1" s="2775"/>
      <c r="WWT1" s="2775"/>
      <c r="WWU1" s="2775"/>
      <c r="WWV1" s="2775"/>
      <c r="WWW1" s="2775"/>
      <c r="WWX1" s="2775"/>
      <c r="WWY1" s="2775"/>
      <c r="WWZ1" s="2775"/>
      <c r="WXA1" s="2775"/>
      <c r="WXB1" s="2775"/>
      <c r="WXC1" s="2775"/>
      <c r="WXD1" s="2775"/>
      <c r="WXE1" s="2775"/>
      <c r="WXF1" s="2775"/>
      <c r="WXG1" s="2775"/>
      <c r="WXH1" s="2775"/>
      <c r="WXI1" s="2775"/>
      <c r="WXJ1" s="2775"/>
      <c r="WXK1" s="2775"/>
      <c r="WXL1" s="2775"/>
      <c r="WXM1" s="2775"/>
      <c r="WXN1" s="2775"/>
      <c r="WXO1" s="2775"/>
      <c r="WXP1" s="2775"/>
      <c r="WXQ1" s="2775"/>
      <c r="WXR1" s="2775"/>
      <c r="WXS1" s="2775"/>
      <c r="WXT1" s="2775"/>
      <c r="WXU1" s="2775"/>
      <c r="WXV1" s="2775"/>
      <c r="WXW1" s="2775"/>
      <c r="WXX1" s="2775"/>
      <c r="WXY1" s="2775"/>
      <c r="WXZ1" s="2775"/>
      <c r="WYA1" s="2775"/>
      <c r="WYB1" s="2775"/>
      <c r="WYC1" s="2775"/>
      <c r="WYD1" s="2775"/>
      <c r="WYE1" s="2775"/>
      <c r="WYF1" s="2775"/>
      <c r="WYG1" s="2775"/>
      <c r="WYH1" s="2775"/>
      <c r="WYI1" s="2775"/>
      <c r="WYJ1" s="2775"/>
      <c r="WYK1" s="2775"/>
      <c r="WYL1" s="2775"/>
      <c r="WYM1" s="2775"/>
      <c r="WYN1" s="2775"/>
      <c r="WYO1" s="2775"/>
      <c r="WYP1" s="2775"/>
      <c r="WYQ1" s="2775"/>
      <c r="WYR1" s="2775"/>
      <c r="WYS1" s="2775"/>
      <c r="WYT1" s="2775"/>
      <c r="WYU1" s="2775"/>
      <c r="WYV1" s="2775"/>
      <c r="WYW1" s="2775"/>
      <c r="WYX1" s="2775"/>
      <c r="WYY1" s="2775"/>
      <c r="WYZ1" s="2775"/>
      <c r="WZA1" s="2775"/>
      <c r="WZB1" s="2775"/>
      <c r="WZC1" s="2775"/>
      <c r="WZD1" s="2775"/>
      <c r="WZE1" s="2775"/>
      <c r="WZF1" s="2775"/>
      <c r="WZG1" s="2775"/>
      <c r="WZH1" s="2775"/>
      <c r="WZI1" s="2775"/>
      <c r="WZJ1" s="2775"/>
      <c r="WZK1" s="2775"/>
      <c r="WZL1" s="2775"/>
      <c r="WZM1" s="2775"/>
      <c r="WZN1" s="2775"/>
      <c r="WZO1" s="2775"/>
      <c r="WZP1" s="2775"/>
      <c r="WZQ1" s="2775"/>
      <c r="WZR1" s="2775"/>
      <c r="WZS1" s="2775"/>
      <c r="WZT1" s="2775"/>
      <c r="WZU1" s="2775"/>
      <c r="WZV1" s="2775"/>
      <c r="WZW1" s="2775"/>
      <c r="WZX1" s="2775"/>
      <c r="WZY1" s="2775"/>
      <c r="WZZ1" s="2775"/>
      <c r="XAA1" s="2775"/>
      <c r="XAB1" s="2775"/>
      <c r="XAC1" s="2775"/>
      <c r="XAD1" s="2775"/>
      <c r="XAE1" s="2775"/>
      <c r="XAF1" s="2775"/>
      <c r="XAG1" s="2775"/>
      <c r="XAH1" s="2775"/>
      <c r="XAI1" s="2775"/>
      <c r="XAJ1" s="2775"/>
      <c r="XAK1" s="2775"/>
      <c r="XAL1" s="2775"/>
      <c r="XAM1" s="2775"/>
      <c r="XAN1" s="2775"/>
      <c r="XAO1" s="2775"/>
      <c r="XAP1" s="2775"/>
      <c r="XAQ1" s="2775"/>
      <c r="XAR1" s="2775"/>
      <c r="XAS1" s="2775"/>
      <c r="XAT1" s="2775"/>
      <c r="XAU1" s="2775"/>
      <c r="XAV1" s="2775"/>
      <c r="XAW1" s="2775"/>
      <c r="XAX1" s="2775"/>
      <c r="XAY1" s="2775"/>
      <c r="XAZ1" s="2775"/>
      <c r="XBA1" s="2775"/>
      <c r="XBB1" s="2775"/>
      <c r="XBC1" s="2775"/>
      <c r="XBD1" s="2775"/>
      <c r="XBE1" s="2775"/>
      <c r="XBF1" s="2775"/>
      <c r="XBG1" s="2775"/>
      <c r="XBH1" s="2775"/>
      <c r="XBI1" s="2775"/>
      <c r="XBJ1" s="2775"/>
      <c r="XBK1" s="2775"/>
      <c r="XBL1" s="2775"/>
      <c r="XBM1" s="2775"/>
      <c r="XBN1" s="2775"/>
      <c r="XBO1" s="2775"/>
      <c r="XBP1" s="2775"/>
      <c r="XBQ1" s="2775"/>
      <c r="XBR1" s="2775"/>
      <c r="XBS1" s="2775"/>
      <c r="XBT1" s="2775"/>
      <c r="XBU1" s="2775"/>
      <c r="XBV1" s="2775"/>
      <c r="XBW1" s="2775"/>
      <c r="XBX1" s="2775"/>
      <c r="XBY1" s="2775"/>
      <c r="XBZ1" s="2775"/>
      <c r="XCA1" s="2775"/>
      <c r="XCB1" s="2775"/>
      <c r="XCC1" s="2775"/>
      <c r="XCD1" s="2775"/>
      <c r="XCE1" s="2775"/>
      <c r="XCF1" s="2775"/>
      <c r="XCG1" s="2775"/>
      <c r="XCH1" s="2775"/>
      <c r="XCI1" s="2775"/>
      <c r="XCJ1" s="2775"/>
      <c r="XCK1" s="2775"/>
      <c r="XCL1" s="2775"/>
      <c r="XCM1" s="2775"/>
      <c r="XCN1" s="2775"/>
      <c r="XCO1" s="2775"/>
      <c r="XCP1" s="2775"/>
      <c r="XCQ1" s="2775"/>
      <c r="XCR1" s="2775"/>
      <c r="XCS1" s="2775"/>
      <c r="XCT1" s="2775"/>
      <c r="XCU1" s="2775"/>
      <c r="XCV1" s="2775"/>
      <c r="XCW1" s="2775"/>
      <c r="XCX1" s="2775"/>
      <c r="XCY1" s="2775"/>
      <c r="XCZ1" s="2775"/>
      <c r="XDA1" s="2775"/>
      <c r="XDB1" s="2775"/>
      <c r="XDC1" s="2775"/>
      <c r="XDD1" s="2775"/>
      <c r="XDE1" s="2775"/>
      <c r="XDF1" s="2775"/>
      <c r="XDG1" s="2775"/>
      <c r="XDH1" s="2775"/>
      <c r="XDI1" s="2775"/>
      <c r="XDJ1" s="2775"/>
      <c r="XDK1" s="2775"/>
      <c r="XDL1" s="2775"/>
      <c r="XDM1" s="2775"/>
      <c r="XDN1" s="2775"/>
      <c r="XDO1" s="2775"/>
      <c r="XDP1" s="2775"/>
      <c r="XDQ1" s="2775"/>
      <c r="XDR1" s="2775"/>
      <c r="XDS1" s="2775"/>
      <c r="XDT1" s="2775"/>
      <c r="XDU1" s="2775"/>
      <c r="XDV1" s="2775"/>
      <c r="XDW1" s="2775"/>
      <c r="XDX1" s="2775"/>
      <c r="XDY1" s="2775"/>
      <c r="XDZ1" s="2775"/>
      <c r="XEA1" s="2775"/>
      <c r="XEB1" s="2775"/>
      <c r="XEC1" s="2775"/>
      <c r="XED1" s="2775"/>
      <c r="XEE1" s="2775"/>
      <c r="XEF1" s="2775"/>
      <c r="XEG1" s="2775"/>
      <c r="XEH1" s="2775"/>
      <c r="XEI1" s="2775"/>
      <c r="XEJ1" s="2775"/>
      <c r="XEK1" s="2775"/>
      <c r="XEL1" s="2775"/>
      <c r="XEM1" s="2775"/>
      <c r="XEN1" s="2775"/>
      <c r="XEO1" s="2775"/>
      <c r="XEP1" s="2775"/>
      <c r="XEQ1" s="2775"/>
      <c r="XER1" s="2775"/>
      <c r="XES1" s="2775"/>
      <c r="XET1" s="2775"/>
      <c r="XEU1" s="2775"/>
      <c r="XEV1" s="2775"/>
      <c r="XEW1" s="2775"/>
      <c r="XEX1" s="2775"/>
      <c r="XEY1" s="2775"/>
      <c r="XEZ1" s="2775"/>
      <c r="XFA1" s="2775"/>
      <c r="XFB1" s="2775"/>
      <c r="XFC1" s="2775"/>
      <c r="XFD1" s="2775"/>
    </row>
    <row r="2" spans="1:16384" customFormat="1" ht="12.75" customHeight="1">
      <c r="A2" s="2777"/>
      <c r="B2" s="2777"/>
      <c r="C2" s="2777"/>
      <c r="D2" s="2777"/>
      <c r="E2" s="2777"/>
      <c r="F2" s="2784"/>
      <c r="G2" s="2787"/>
      <c r="K2" s="2054"/>
      <c r="L2" s="2054"/>
      <c r="M2" s="2054"/>
      <c r="N2" s="2054"/>
      <c r="O2" s="2054"/>
      <c r="P2" s="2054"/>
      <c r="Q2" s="2054"/>
      <c r="R2" s="2054"/>
      <c r="S2" s="2054"/>
      <c r="T2" s="2054"/>
      <c r="U2" s="2054"/>
      <c r="V2" s="2054"/>
      <c r="W2" s="2054"/>
      <c r="X2" s="2054"/>
      <c r="Y2" s="2054"/>
      <c r="Z2" s="2054"/>
      <c r="AA2" s="2054"/>
      <c r="AB2" s="2054"/>
      <c r="AC2" s="2054"/>
      <c r="AD2" s="2054"/>
      <c r="AE2" s="2054"/>
      <c r="AF2" s="2054"/>
      <c r="AG2" s="2054"/>
      <c r="AH2" s="2054"/>
      <c r="AI2" s="2054"/>
      <c r="AJ2" s="2054"/>
      <c r="AK2" s="2054"/>
      <c r="AL2" s="2054"/>
      <c r="AM2" s="2054"/>
      <c r="AN2" s="2054"/>
      <c r="AO2" s="2054"/>
      <c r="AP2" s="2054"/>
      <c r="AQ2" s="2054"/>
      <c r="AR2" s="2054"/>
      <c r="AS2" s="2054"/>
      <c r="AT2" s="2054"/>
      <c r="AU2" s="2054"/>
      <c r="AV2" s="2054"/>
      <c r="AW2" s="2054"/>
    </row>
    <row r="3" spans="1:16384" customFormat="1" ht="31.5" customHeight="1">
      <c r="A3" s="2579" t="s">
        <v>2828</v>
      </c>
      <c r="B3" s="2791"/>
      <c r="C3" s="2791"/>
      <c r="D3" s="2791"/>
      <c r="E3" s="2580"/>
      <c r="F3" s="2785"/>
      <c r="G3" s="2788"/>
      <c r="H3" s="1959"/>
      <c r="K3" s="2054"/>
      <c r="L3" s="2054"/>
      <c r="M3" s="2054"/>
      <c r="N3" s="2054" t="s">
        <v>2408</v>
      </c>
      <c r="O3" s="2054"/>
      <c r="P3" s="2054" t="s">
        <v>2557</v>
      </c>
      <c r="Q3" s="2054"/>
      <c r="R3" s="2054"/>
      <c r="S3" s="2054"/>
      <c r="T3" s="2054"/>
      <c r="U3" s="2054"/>
      <c r="V3" s="2054"/>
      <c r="W3" s="2054"/>
      <c r="X3" s="2054"/>
      <c r="Y3" s="2054"/>
      <c r="Z3" s="2054"/>
      <c r="AA3" s="2054"/>
      <c r="AB3" s="2054"/>
      <c r="AC3" s="2054"/>
      <c r="AD3" s="2054"/>
      <c r="AE3" s="2054"/>
      <c r="AF3" s="2054"/>
      <c r="AG3" s="2054"/>
      <c r="AH3" s="2054"/>
      <c r="AI3" s="2054"/>
      <c r="AJ3" s="2054"/>
      <c r="AK3" s="2054"/>
      <c r="AL3" s="2054"/>
      <c r="AM3" s="2054"/>
      <c r="AN3" s="2054"/>
      <c r="AO3" s="2054"/>
      <c r="AP3" s="2054"/>
      <c r="AQ3" s="2054"/>
      <c r="AR3" s="2054"/>
      <c r="AS3" s="2054"/>
      <c r="AT3" s="2054"/>
      <c r="AU3" s="2054"/>
      <c r="AV3" s="2054"/>
      <c r="AW3" s="2054"/>
    </row>
    <row r="4" spans="1:16384" customFormat="1" ht="12.75" customHeight="1">
      <c r="A4" s="2792"/>
      <c r="B4" s="2586"/>
      <c r="C4" s="2586"/>
      <c r="D4" s="2586"/>
      <c r="E4" s="2587"/>
      <c r="F4" s="1961"/>
      <c r="G4" s="1959"/>
      <c r="H4" s="1959"/>
      <c r="K4" s="2054"/>
      <c r="L4" s="2054"/>
      <c r="M4" s="2054"/>
      <c r="N4" s="2054" t="s">
        <v>1462</v>
      </c>
      <c r="O4" s="2054"/>
      <c r="P4" s="2054"/>
      <c r="Q4" s="2054"/>
      <c r="R4" s="2054"/>
      <c r="S4" s="2054"/>
      <c r="T4" s="2054"/>
      <c r="U4" s="2054"/>
      <c r="V4" s="2054"/>
      <c r="W4" s="2054"/>
      <c r="X4" s="2054"/>
      <c r="Y4" s="2054"/>
      <c r="Z4" s="2054"/>
      <c r="AA4" s="2054"/>
      <c r="AB4" s="2054"/>
      <c r="AC4" s="2054"/>
      <c r="AD4" s="2054"/>
      <c r="AE4" s="2054"/>
      <c r="AF4" s="2054"/>
      <c r="AG4" s="2054"/>
      <c r="AH4" s="2054"/>
      <c r="AI4" s="2054"/>
      <c r="AJ4" s="2054"/>
      <c r="AK4" s="2054"/>
      <c r="AL4" s="2054"/>
      <c r="AM4" s="2054"/>
      <c r="AN4" s="2054"/>
      <c r="AO4" s="2054"/>
      <c r="AP4" s="2054"/>
      <c r="AQ4" s="2054"/>
      <c r="AR4" s="2054"/>
      <c r="AS4" s="2054"/>
      <c r="AT4" s="2054"/>
      <c r="AU4" s="2054"/>
      <c r="AV4" s="2054"/>
      <c r="AW4" s="2054"/>
    </row>
    <row r="5" spans="1:16384" customFormat="1" ht="73.5" customHeight="1" thickBot="1">
      <c r="A5" s="2793" t="s">
        <v>2853</v>
      </c>
      <c r="B5" s="2793"/>
      <c r="C5" s="2793"/>
      <c r="D5" s="2793"/>
      <c r="E5" s="2793"/>
      <c r="F5" s="1959"/>
      <c r="G5" s="1959"/>
      <c r="H5" s="1959"/>
      <c r="K5" s="2054"/>
      <c r="L5" s="2054"/>
      <c r="M5" s="2054"/>
      <c r="N5" s="2054" t="s">
        <v>2559</v>
      </c>
      <c r="O5" s="2054"/>
      <c r="P5" s="2056"/>
      <c r="Q5" s="2056"/>
      <c r="R5" s="2056"/>
      <c r="S5" s="2056"/>
      <c r="T5" s="2056"/>
      <c r="U5" s="2056"/>
      <c r="V5" s="2056"/>
      <c r="W5" s="2056"/>
      <c r="X5" s="2056"/>
      <c r="Y5" s="2056"/>
      <c r="Z5" s="2056"/>
      <c r="AA5" s="2056"/>
      <c r="AB5" s="2056"/>
      <c r="AC5" s="2056"/>
      <c r="AD5" s="2056"/>
      <c r="AE5" s="2056"/>
      <c r="AF5" s="2056"/>
      <c r="AG5" s="2056"/>
      <c r="AH5" s="2056"/>
      <c r="AI5" s="2056"/>
      <c r="AJ5" s="2056"/>
      <c r="AK5" s="2056"/>
      <c r="AL5" s="2056"/>
      <c r="AM5" s="2056"/>
      <c r="AN5" s="2056"/>
      <c r="AO5" s="2056"/>
      <c r="AP5" s="2056"/>
      <c r="AQ5" s="2056"/>
      <c r="AR5" s="2056"/>
      <c r="AS5" s="2056"/>
      <c r="AT5" s="2056"/>
      <c r="AU5" s="2056"/>
      <c r="AV5" s="2056"/>
      <c r="AW5" s="2056"/>
    </row>
    <row r="6" spans="1:16384" customFormat="1" ht="36" customHeight="1" thickBot="1">
      <c r="A6" s="2038" t="s">
        <v>1317</v>
      </c>
      <c r="B6" s="2051" t="str">
        <f>IF(Betrieb!$B$3="","",Betrieb!$B$3)</f>
        <v/>
      </c>
      <c r="C6" s="2052" t="s">
        <v>2822</v>
      </c>
      <c r="D6" s="2778">
        <f>Betrieb!$D$4</f>
        <v>2025</v>
      </c>
      <c r="E6" s="2779"/>
      <c r="K6" s="2054"/>
      <c r="L6" s="2054"/>
      <c r="M6" s="2054"/>
      <c r="N6" s="2054"/>
      <c r="O6" s="2054"/>
      <c r="P6" s="2056"/>
      <c r="Q6" s="2056"/>
      <c r="R6" s="2056"/>
      <c r="S6" s="2056"/>
      <c r="T6" s="2056"/>
      <c r="U6" s="2056"/>
      <c r="V6" s="2056"/>
      <c r="W6" s="2056"/>
      <c r="X6" s="2056"/>
      <c r="Y6" s="2056"/>
      <c r="Z6" s="2056"/>
      <c r="AA6" s="2056"/>
      <c r="AB6" s="2056"/>
      <c r="AC6" s="2056"/>
      <c r="AD6" s="2056"/>
      <c r="AE6" s="2056"/>
      <c r="AF6" s="2056"/>
      <c r="AG6" s="2056"/>
      <c r="AH6" s="2056"/>
      <c r="AI6" s="2056"/>
      <c r="AJ6" s="2056"/>
      <c r="AK6" s="2056"/>
      <c r="AL6" s="2056"/>
      <c r="AM6" s="2056"/>
      <c r="AN6" s="2056"/>
      <c r="AO6" s="2056"/>
      <c r="AP6" s="2056"/>
      <c r="AQ6" s="2056"/>
      <c r="AR6" s="2056"/>
      <c r="AS6" s="2056"/>
      <c r="AT6" s="2056"/>
      <c r="AU6" s="2056"/>
      <c r="AV6" s="2056"/>
      <c r="AW6" s="2056"/>
    </row>
    <row r="7" spans="1:16384" customFormat="1" ht="36" customHeight="1" thickBot="1">
      <c r="A7" s="2050" t="s">
        <v>2823</v>
      </c>
      <c r="B7" s="2780" t="str">
        <f>IF(Betrieb!$B$4="","",Betrieb!$B$4)</f>
        <v/>
      </c>
      <c r="C7" s="2781"/>
      <c r="D7" s="2781"/>
      <c r="E7" s="2782"/>
      <c r="K7" s="2054"/>
      <c r="L7" s="2054"/>
      <c r="M7" s="2054"/>
      <c r="N7" s="2054"/>
      <c r="O7" s="2054"/>
      <c r="P7" s="2056"/>
      <c r="Q7" s="2056"/>
      <c r="R7" s="2056"/>
      <c r="S7" s="2056"/>
      <c r="T7" s="2056"/>
      <c r="U7" s="2056"/>
      <c r="V7" s="2056"/>
      <c r="W7" s="2056"/>
      <c r="X7" s="2056"/>
      <c r="Y7" s="2056"/>
      <c r="Z7" s="2056"/>
      <c r="AA7" s="2056"/>
      <c r="AB7" s="2056"/>
      <c r="AC7" s="2056"/>
      <c r="AD7" s="2056"/>
      <c r="AE7" s="2056"/>
      <c r="AF7" s="2056"/>
      <c r="AG7" s="2056"/>
      <c r="AH7" s="2056"/>
      <c r="AI7" s="2056"/>
      <c r="AJ7" s="2056"/>
      <c r="AK7" s="2056"/>
      <c r="AL7" s="2056"/>
      <c r="AM7" s="2056"/>
      <c r="AN7" s="2056"/>
      <c r="AO7" s="2056"/>
      <c r="AP7" s="2056"/>
      <c r="AQ7" s="2056"/>
      <c r="AR7" s="2056"/>
      <c r="AS7" s="2056"/>
      <c r="AT7" s="2056"/>
      <c r="AU7" s="2056"/>
      <c r="AV7" s="2056"/>
      <c r="AW7" s="2056"/>
    </row>
    <row r="8" spans="1:16384" customFormat="1" ht="42.75" customHeight="1" thickBot="1">
      <c r="A8" s="2768" t="s">
        <v>2407</v>
      </c>
      <c r="B8" s="2769"/>
      <c r="C8" s="2769"/>
      <c r="D8" s="2769"/>
      <c r="E8" s="2770"/>
      <c r="K8" s="2054"/>
      <c r="L8" s="2054"/>
      <c r="M8" s="2054"/>
      <c r="N8" s="2054"/>
      <c r="O8" s="2054"/>
      <c r="P8" s="2054" t="str">
        <f>IFERROR(IF(VLOOKUP($A14,$S$11:$T$149,2,0)="x","m3 / ha",""),"")</f>
        <v/>
      </c>
      <c r="Q8" s="2054" t="str">
        <f>IFERROR(IF(VLOOKUP($A14,$S$11:$T$149,2,0)="x","m3 / ha",""),"")</f>
        <v/>
      </c>
      <c r="R8" s="2054" t="str">
        <f>IFERROR(IF(VLOOKUP($A14,$S$11:$T$149,2,0)="x","m3 / ha",""),"")</f>
        <v/>
      </c>
      <c r="S8" s="2054" t="str">
        <f>IFERROR(IF(VLOOKUP($A14,$S$11:$T$149,2,0)="x","m3 / ha",""),"")</f>
        <v/>
      </c>
      <c r="T8" s="2054" t="str">
        <f>IFERROR(IF(VLOOKUP($A14,$S$11:$T$149,2,0)="x","m3 / ha",""),"")</f>
        <v/>
      </c>
      <c r="U8" s="2054" t="str">
        <f t="shared" ref="U8:AN8" si="0">IFERROR(IF(VLOOKUP($A14,$S$11:$T$149,2,0)="x","m3 / ha",""),"")</f>
        <v/>
      </c>
      <c r="V8" s="2054" t="str">
        <f t="shared" si="0"/>
        <v/>
      </c>
      <c r="W8" s="2054" t="str">
        <f t="shared" si="0"/>
        <v/>
      </c>
      <c r="X8" s="2054" t="str">
        <f t="shared" si="0"/>
        <v/>
      </c>
      <c r="Y8" s="2054" t="str">
        <f t="shared" si="0"/>
        <v/>
      </c>
      <c r="Z8" s="2054" t="str">
        <f t="shared" si="0"/>
        <v/>
      </c>
      <c r="AA8" s="2054"/>
      <c r="AB8" s="2054" t="str">
        <f t="shared" si="0"/>
        <v/>
      </c>
      <c r="AC8" s="2054" t="str">
        <f t="shared" si="0"/>
        <v/>
      </c>
      <c r="AD8" s="2054" t="str">
        <f t="shared" si="0"/>
        <v/>
      </c>
      <c r="AE8" s="2054" t="str">
        <f t="shared" si="0"/>
        <v/>
      </c>
      <c r="AF8" s="2054" t="str">
        <f t="shared" si="0"/>
        <v/>
      </c>
      <c r="AG8" s="2054" t="str">
        <f t="shared" si="0"/>
        <v/>
      </c>
      <c r="AH8" s="2054" t="str">
        <f t="shared" si="0"/>
        <v/>
      </c>
      <c r="AI8" s="2054" t="str">
        <f t="shared" si="0"/>
        <v/>
      </c>
      <c r="AJ8" s="2054" t="str">
        <f t="shared" si="0"/>
        <v/>
      </c>
      <c r="AK8" s="2054" t="str">
        <f t="shared" si="0"/>
        <v/>
      </c>
      <c r="AL8" s="2054" t="str">
        <f t="shared" si="0"/>
        <v/>
      </c>
      <c r="AM8" s="2054" t="str">
        <f t="shared" si="0"/>
        <v/>
      </c>
      <c r="AN8" s="2054" t="str">
        <f t="shared" si="0"/>
        <v/>
      </c>
      <c r="AO8" s="2054"/>
      <c r="AP8" s="2054"/>
      <c r="AQ8" s="2054"/>
      <c r="AR8" s="2054"/>
      <c r="AS8" s="2054"/>
      <c r="AT8" s="2054"/>
      <c r="AU8" s="2054"/>
      <c r="AV8" s="2054"/>
      <c r="AW8" s="2054"/>
    </row>
    <row r="9" spans="1:16384" customFormat="1" ht="65.25" customHeight="1">
      <c r="A9" s="2047" t="s">
        <v>398</v>
      </c>
      <c r="B9" s="2049" t="s">
        <v>2572</v>
      </c>
      <c r="C9" s="2034" t="s">
        <v>2820</v>
      </c>
      <c r="D9" s="2773" t="s">
        <v>2409</v>
      </c>
      <c r="E9" s="2774"/>
      <c r="F9" s="2771" t="s">
        <v>2753</v>
      </c>
      <c r="G9" s="2772"/>
      <c r="H9" s="2789" t="s">
        <v>2844</v>
      </c>
      <c r="I9" s="2790"/>
      <c r="J9" s="2790"/>
      <c r="K9" s="2054"/>
      <c r="L9" s="2054"/>
      <c r="M9" s="2054"/>
      <c r="N9" s="2057" t="s">
        <v>2827</v>
      </c>
      <c r="O9" s="2054"/>
      <c r="P9" s="2054"/>
      <c r="Q9" s="2054"/>
      <c r="R9" s="2054"/>
      <c r="S9" s="2054"/>
      <c r="T9" s="2054"/>
      <c r="U9" s="2054"/>
      <c r="V9" s="2054"/>
      <c r="W9" s="2054"/>
      <c r="X9" s="2054"/>
      <c r="Y9" s="2054"/>
      <c r="Z9" s="2054"/>
      <c r="AA9" s="2054"/>
      <c r="AB9" s="2054"/>
      <c r="AC9" s="2054"/>
      <c r="AD9" s="2054"/>
      <c r="AE9" s="2054"/>
      <c r="AF9" s="2054"/>
      <c r="AG9" s="2054"/>
      <c r="AH9" s="2054"/>
      <c r="AI9" s="2322" t="s">
        <v>398</v>
      </c>
      <c r="AJ9" s="2323" t="s">
        <v>2572</v>
      </c>
      <c r="AK9" s="2324" t="s">
        <v>2820</v>
      </c>
      <c r="AL9" s="2773" t="s">
        <v>2409</v>
      </c>
      <c r="AM9" s="2774"/>
      <c r="AN9" s="2318" t="s">
        <v>2753</v>
      </c>
      <c r="AO9" s="2331" t="s">
        <v>2940</v>
      </c>
      <c r="AP9" s="2054"/>
      <c r="AQ9" s="2054"/>
      <c r="AR9" s="2054"/>
      <c r="AS9" s="2054"/>
      <c r="AT9" s="2054"/>
      <c r="AU9" s="2054"/>
      <c r="AV9" s="2054"/>
      <c r="AW9" s="2054"/>
    </row>
    <row r="10" spans="1:16384" customFormat="1" ht="55.5" customHeight="1">
      <c r="A10" s="2048" t="str">
        <f>IF(N_Bedarf!$C5&gt;0,N_Bedarf!$C5,"")</f>
        <v/>
      </c>
      <c r="B10" s="2040" t="str">
        <f>IF(AND(COUNTIF($S$11:$S$149,N_Bedarf!$C5)&gt;0,$A10&lt;&gt;""),CONCATENATE(N_Bedarf!F5," (",N_Bedarf!G5,")"),IF(AND($A10&lt;&gt;"",COUNTIF($S$11:$S$149,N_Bedarf!$C5)=0),N_Bedarf!F5,""))</f>
        <v/>
      </c>
      <c r="C10" s="2035"/>
      <c r="D10" s="2037"/>
      <c r="E10" s="2036" t="str">
        <f>IF(AND($C10&lt;&gt;"",$D10&gt;0),$C10,"")</f>
        <v/>
      </c>
      <c r="F10" s="2765" t="str">
        <f>IFERROR(IF(ISBLANK($D10),"",IF(AND($C10="t / ha",$D10&lt;VLOOKUP($A10,$W$12:$AG$253,2,0)),$X$11,IF(AND($C10="m3 / ha",$D10&lt;VLOOKUP($A10,$W$12:$AG$253,3,0)),$Y$11,IF(AND($C10="t / ha",$D10&lt;VLOOKUP($A10,$W$12:$AG$253,4,0)),$Z$11,IF(AND($C10="m3 / ha",$D10&lt;VLOOKUP($A10,$W$12:$AG$253,5,0)),$AA$11,IF(AND($C10="t / ha",$D10&lt;VLOOKUP($A10,$W$12:$AG$253,6,0)),$AB$11,IF(AND($C10="m3 / ha",$D10&lt;VLOOKUP($A10,$W$12:$AG$253,7,0)),$AC$11,IF(AND($C10="t / ha",$D10&lt;=VLOOKUP($A10,$W$12:$AG$253,8,0)),$AD$11,IF(AND($C10="m3 / ha",$D10&lt;=VLOOKUP($A10,$W$12:$AG$253,9,0)),$AE$11,IF(AND($C10="t / ha",$D10&gt;VLOOKUP($A10,$W$12:$AG$253,10,0)),$AF$11,IF(AND($C10="m3 / ha",$D10&gt;VLOOKUP($A10,$W$12:$AG$253,11,0)),$AG$11,""))))))))))),"")</f>
        <v/>
      </c>
      <c r="G10" s="2766"/>
      <c r="H10" s="2767" t="str">
        <f t="shared" ref="H10:H60" si="1">IF($C10="m3 / ha","Hier gelangen Sie zum Tabellenblatt - Ertragsschsätzung m3","")</f>
        <v/>
      </c>
      <c r="I10" s="2767"/>
      <c r="J10" s="2767"/>
      <c r="K10" s="2055"/>
      <c r="L10" s="2055"/>
      <c r="M10" s="2055"/>
      <c r="N10" s="2055">
        <f>IFERROR(IF(AND(COUNTIF($S$11:$S$309,$A10)=0,N_Bedarf!C5=""),0,(IF(COUNTIF($S$11:$S$309,$A10)=0,1,IF(AND(VLOOKUP($A10,$S$11:$V$309,4,0)&lt;2,VLOOKUP($A10,$S$11:$V$309,4,0)&gt;0,OR(N_Bedarf!$F5=N_Bedarf!$AV$70,N_Bedarf!$F5=N_Bedarf!$AV$71,N_Bedarf!$F5=N_Bedarf!$AV$72,N_Bedarf!$F5=N_Bedarf!$AV$73,N_Bedarf!$F5=N_Bedarf!$AV$74,N_Bedarf!$F5=N_Bedarf!$AV$75)),1,0)))),0)</f>
        <v>0</v>
      </c>
      <c r="O10" s="2056">
        <v>8</v>
      </c>
      <c r="P10" s="2056" t="str">
        <f t="shared" ref="P10:P41" si="2">IFERROR(IF(AND($A10&lt;&gt;"",(COUNTIF($S$11:$S$224,$A10)=0)),"t / ha",IF(AND($A10&lt;&gt;"",VLOOKUP($A10,$S$11:$T$224,2,0)=0),"t / ha",IF(AND($A10&lt;&gt;"",VLOOKUP($A10,$S$11:$T$224,2,0)=""),"t / ha",IF(VLOOKUP($A10,$S$11:$T$224,2,0)=1,"t / ha",IF(VLOOKUP($A10,$S$11:$T$224,2,0)=2,"m3 / ha",""))))),"")</f>
        <v/>
      </c>
      <c r="Q10" s="2058" t="str">
        <f t="shared" ref="Q10:Q41" si="3">IFERROR(IF(AND($A10&lt;&gt;"",(COUNTIF($S$11:$S$224,$A10)=0)),"m3 / ha",IF(AND($A10&lt;&gt;"",VLOOKUP($A10,$S$11:$T$224,2,0)=0),"",IF(AND($A10&lt;&gt;"",VLOOKUP($A10,$S$11:$T$224,2,0)=""),"m3 / ha",IF(VLOOKUP($A10,$S$11:$T$224,2,0)=1,"m3 / ha",IF(VLOOKUP($A10,$S$11:$T$224,2,0)=2,"",""))))),"")</f>
        <v/>
      </c>
      <c r="R10" s="2054"/>
      <c r="S10" s="2059" t="s">
        <v>2553</v>
      </c>
      <c r="T10" s="2060" t="s">
        <v>2556</v>
      </c>
      <c r="U10" s="2054" t="s">
        <v>2843</v>
      </c>
      <c r="V10" s="2055" t="s">
        <v>2943</v>
      </c>
      <c r="W10" s="2061">
        <v>1</v>
      </c>
      <c r="X10" s="2061">
        <v>2</v>
      </c>
      <c r="Y10" s="2061">
        <v>3</v>
      </c>
      <c r="Z10" s="2061">
        <v>4</v>
      </c>
      <c r="AA10" s="2061">
        <v>5</v>
      </c>
      <c r="AB10" s="2061">
        <v>6</v>
      </c>
      <c r="AC10" s="2061">
        <v>7</v>
      </c>
      <c r="AD10" s="2061">
        <v>8</v>
      </c>
      <c r="AE10" s="2061">
        <v>9</v>
      </c>
      <c r="AF10" s="2061">
        <v>10</v>
      </c>
      <c r="AG10" s="2061">
        <v>11</v>
      </c>
      <c r="AH10" s="2062"/>
      <c r="AI10" s="2325" t="str">
        <f>IF(A10&gt;0,CONCATENATE(A10,B10,E10),"")</f>
        <v/>
      </c>
      <c r="AJ10" s="2326" t="str">
        <f>B10</f>
        <v/>
      </c>
      <c r="AK10" s="2327" t="str">
        <f>IF(C10&gt;0,C10,"")</f>
        <v/>
      </c>
      <c r="AL10" s="2328" t="str">
        <f>IF(D10&gt;0,D10,"")</f>
        <v/>
      </c>
      <c r="AM10" s="2329" t="str">
        <f>E10</f>
        <v/>
      </c>
      <c r="AN10" s="2330" t="str">
        <f>IF(ISBLANK($D10),"",IF(AND($C10="t / ha",$D10&lt;VLOOKUP($A10,$W$12:$AG$253,2,0)),$X$11,IF(AND($C10="m3 / ha",$D10&lt;VLOOKUP($A10,$W$12:$AG$253,3,0)),$Y$11,IF(AND($C10="t / ha",$D10&lt;VLOOKUP($A10,$W$12:$AG$253,4,0)),$Z$11,IF(AND($C10="m3 / ha",$D10&lt;VLOOKUP($A10,$W$12:$AG$253,5,0)),$AA$11,IF(AND($C10="t / ha",$D10&lt;VLOOKUP($A10,$W$12:$AG$253,6,0)),$AB$11,IF(AND($C10="m3 / ha",$D10&lt;VLOOKUP($A10,$W$12:$AG$253,7,0)),$AC$11,IF(AND($C10="t / ha",$D10&lt;=VLOOKUP($A10,$W$12:$AG$253,8,0)),$AD$11,IF(AND($C10="m3 / ha",$D10&lt;=VLOOKUP($A10,$W$12:$AG$253,9,0)),$AE$11,IF(AND($C10="t / ha",$D10&gt;VLOOKUP($A10,$W$12:$AG$253,10,0)),$AF$11,IF(AND($C10="m3 / ha",$D10&gt;VLOOKUP($A10,$W$12:$AG$253,11,0)),$AG$11,"")))))))))))</f>
        <v/>
      </c>
      <c r="AO10" s="2054">
        <f>N10</f>
        <v>0</v>
      </c>
      <c r="AP10" s="2054"/>
      <c r="AQ10" s="2054"/>
      <c r="AR10" s="2062"/>
      <c r="AS10" s="2063"/>
      <c r="AT10" s="2063"/>
      <c r="AU10" s="2054"/>
      <c r="AV10" s="2054"/>
      <c r="AW10" s="2062"/>
    </row>
    <row r="11" spans="1:16384" customFormat="1" ht="55.5" customHeight="1">
      <c r="A11" s="2048" t="str">
        <f>IF(N_Bedarf!$C6&gt;0,N_Bedarf!$C6,"")</f>
        <v/>
      </c>
      <c r="B11" s="2040" t="str">
        <f>IF(AND(COUNTIF($S$11:$S$149,N_Bedarf!$C6)&gt;0,$A11&lt;&gt;""),CONCATENATE(N_Bedarf!F6," (",N_Bedarf!G6,")"),IF(AND($A11&lt;&gt;"",COUNTIF($S$11:$S$149,N_Bedarf!$C6)=0),N_Bedarf!F6,""))</f>
        <v/>
      </c>
      <c r="C11" s="2035"/>
      <c r="D11" s="2037"/>
      <c r="E11" s="2036" t="str">
        <f t="shared" ref="E11:E59" si="4">IF(AND($C11&lt;&gt;"",$D11&gt;0),$C11,"")</f>
        <v/>
      </c>
      <c r="F11" s="2765" t="str">
        <f t="shared" ref="F11:F60" si="5">IFERROR(IF(ISBLANK($D11),"",IF(AND($C11="t / ha",$D11&lt;VLOOKUP($A11,$W$12:$AG$253,2,0)),$X$11,IF(AND($C11="m3 / ha",$D11&lt;VLOOKUP($A11,$W$12:$AG$253,3,0)),$Y$11,IF(AND($C11="t / ha",$D11&lt;VLOOKUP($A11,$W$12:$AG$253,4,0)),$Z$11,IF(AND($C11="m3 / ha",$D11&lt;VLOOKUP($A11,$W$12:$AG$253,5,0)),$AA$11,IF(AND($C11="t / ha",$D11&lt;VLOOKUP($A11,$W$12:$AG$253,6,0)),$AB$11,IF(AND($C11="m3 / ha",$D11&lt;VLOOKUP($A11,$W$12:$AG$253,7,0)),$AC$11,IF(AND($C11="t / ha",$D11&lt;=VLOOKUP($A11,$W$12:$AG$253,8,0)),$AD$11,IF(AND($C11="m3 / ha",$D11&lt;=VLOOKUP($A11,$W$12:$AG$253,9,0)),$AE$11,IF(AND($C11="t / ha",$D11&gt;VLOOKUP($A11,$W$12:$AG$253,10,0)),$AF$11,IF(AND($C11="m3 / ha",$D11&gt;VLOOKUP($A11,$W$12:$AG$253,11,0)),$AG$11,""))))))))))),"")</f>
        <v/>
      </c>
      <c r="G11" s="2766"/>
      <c r="H11" s="2767" t="str">
        <f t="shared" si="1"/>
        <v/>
      </c>
      <c r="I11" s="2767"/>
      <c r="J11" s="2767"/>
      <c r="K11" s="2055"/>
      <c r="L11" s="2055"/>
      <c r="M11" s="2055"/>
      <c r="N11" s="2055">
        <f>IFERROR(IF(AND(COUNTIF($S$11:$S$309,$A11)=0,N_Bedarf!C6=""),0,(IF(COUNTIF($S$11:$S$309,$A11)=0,1,IF(AND(VLOOKUP($A11,$S$11:$V$309,4,0)&lt;2,VLOOKUP($A11,$S$11:$V$309,4,0)&gt;0,OR(N_Bedarf!$F6=N_Bedarf!$AV$70,N_Bedarf!$F6=N_Bedarf!$AV$71,N_Bedarf!$F6=N_Bedarf!$AV$72,N_Bedarf!$F6=N_Bedarf!$AV$73,N_Bedarf!$F6=N_Bedarf!$AV$74,N_Bedarf!$F6=N_Bedarf!$AV$75)),1,0)))),0)</f>
        <v>0</v>
      </c>
      <c r="O11" s="2056">
        <v>9</v>
      </c>
      <c r="P11" s="2056" t="str">
        <f t="shared" si="2"/>
        <v/>
      </c>
      <c r="Q11" s="2058" t="str">
        <f t="shared" si="3"/>
        <v/>
      </c>
      <c r="R11" s="2054"/>
      <c r="S11" s="2064" t="s">
        <v>2375</v>
      </c>
      <c r="T11" s="1994">
        <v>1</v>
      </c>
      <c r="U11" s="2054" t="str">
        <f>IF($T11=0,"t / ha",IF($T11=1,"",IF($T11=2,"m3 / ha","")))</f>
        <v/>
      </c>
      <c r="V11" s="2054">
        <v>1</v>
      </c>
      <c r="W11" s="2061"/>
      <c r="X11" s="2065" t="s">
        <v>1245</v>
      </c>
      <c r="Y11" s="2065" t="s">
        <v>1245</v>
      </c>
      <c r="Z11" s="2065" t="s">
        <v>608</v>
      </c>
      <c r="AA11" s="2065" t="s">
        <v>608</v>
      </c>
      <c r="AB11" s="2065" t="s">
        <v>2760</v>
      </c>
      <c r="AC11" s="2065" t="s">
        <v>2760</v>
      </c>
      <c r="AD11" s="2065" t="s">
        <v>2761</v>
      </c>
      <c r="AE11" s="2065" t="s">
        <v>2761</v>
      </c>
      <c r="AF11" s="2065" t="s">
        <v>2762</v>
      </c>
      <c r="AG11" s="2065" t="s">
        <v>2762</v>
      </c>
      <c r="AH11" s="2066"/>
      <c r="AI11" s="2325" t="str">
        <f t="shared" ref="AI11:AI22" si="6">IF(A11&gt;0,CONCATENATE(A11,B11,E11),"")</f>
        <v/>
      </c>
      <c r="AJ11" s="2326" t="str">
        <f t="shared" ref="AJ11:AJ22" si="7">B11</f>
        <v/>
      </c>
      <c r="AK11" s="2327" t="str">
        <f t="shared" ref="AK11:AK22" si="8">IF(C11&gt;0,C11,"")</f>
        <v/>
      </c>
      <c r="AL11" s="2328" t="str">
        <f t="shared" ref="AL11:AL22" si="9">IF(D11&gt;0,D11,"")</f>
        <v/>
      </c>
      <c r="AM11" s="2329" t="str">
        <f t="shared" ref="AM11:AM22" si="10">E11</f>
        <v/>
      </c>
      <c r="AN11" s="2330" t="str">
        <f t="shared" ref="AN11:AN60" si="11">IF(ISBLANK($D11),"",IF(AND($C11="t / ha",$D11&lt;VLOOKUP($A11,$W$12:$AG$253,2,0)),$X$11,IF(AND($C11="m3 / ha",$D11&lt;VLOOKUP($A11,$W$12:$AG$253,3,0)),$Y$11,IF(AND($C11="t / ha",$D11&lt;VLOOKUP($A11,$W$12:$AG$253,4,0)),$Z$11,IF(AND($C11="m3 / ha",$D11&lt;VLOOKUP($A11,$W$12:$AG$253,5,0)),$AA$11,IF(AND($C11="t / ha",$D11&lt;VLOOKUP($A11,$W$12:$AG$253,6,0)),$AB$11,IF(AND($C11="m3 / ha",$D11&lt;VLOOKUP($A11,$W$12:$AG$253,7,0)),$AC$11,IF(AND($C11="t / ha",$D11&lt;=VLOOKUP($A11,$W$12:$AG$253,8,0)),$AD$11,IF(AND($C11="m3 / ha",$D11&lt;=VLOOKUP($A11,$W$12:$AG$253,9,0)),$AE$11,IF(AND($C11="t / ha",$D11&gt;VLOOKUP($A11,$W$12:$AG$253,10,0)),$AF$11,IF(AND($C11="m3 / ha",$D11&gt;VLOOKUP($A11,$W$12:$AG$253,11,0)),$AG$11,"")))))))))))</f>
        <v/>
      </c>
      <c r="AO11" s="2054">
        <f t="shared" ref="AO11:AO60" si="12">N11</f>
        <v>0</v>
      </c>
      <c r="AP11" s="2054"/>
      <c r="AQ11" s="2054"/>
      <c r="AR11" s="2066"/>
      <c r="AS11" s="2066"/>
      <c r="AT11" s="2066"/>
      <c r="AU11" s="2054"/>
      <c r="AV11" s="2054"/>
      <c r="AW11" s="2066"/>
    </row>
    <row r="12" spans="1:16384" customFormat="1" ht="55.5" customHeight="1">
      <c r="A12" s="2048" t="str">
        <f>IF(N_Bedarf!$C7&gt;0,N_Bedarf!$C7,"")</f>
        <v/>
      </c>
      <c r="B12" s="2040" t="str">
        <f>IF(AND(COUNTIF($S$11:$S$149,N_Bedarf!$C7)&gt;0,$A12&lt;&gt;""),CONCATENATE(N_Bedarf!F7," (",N_Bedarf!G7,")"),IF(AND($A12&lt;&gt;"",COUNTIF($S$11:$S$149,N_Bedarf!$C7)=0),N_Bedarf!F7,""))</f>
        <v/>
      </c>
      <c r="C12" s="2035"/>
      <c r="D12" s="2037"/>
      <c r="E12" s="2036" t="str">
        <f t="shared" si="4"/>
        <v/>
      </c>
      <c r="F12" s="2765" t="str">
        <f t="shared" si="5"/>
        <v/>
      </c>
      <c r="G12" s="2766"/>
      <c r="H12" s="2767" t="str">
        <f t="shared" si="1"/>
        <v/>
      </c>
      <c r="I12" s="2767"/>
      <c r="J12" s="2767"/>
      <c r="K12" s="2054"/>
      <c r="L12" s="2054"/>
      <c r="M12" s="2067"/>
      <c r="N12" s="2055">
        <f>IFERROR(IF(AND(COUNTIF($S$11:$S$309,$A12)=0,N_Bedarf!C7=""),0,(IF(COUNTIF($S$11:$S$309,$A12)=0,1,IF(AND(VLOOKUP($A12,$S$11:$V$309,4,0)&lt;2,VLOOKUP($A12,$S$11:$V$309,4,0)&gt;0,OR(N_Bedarf!$F7=N_Bedarf!$AV$70,N_Bedarf!$F7=N_Bedarf!$AV$71,N_Bedarf!$F7=N_Bedarf!$AV$72,N_Bedarf!$F7=N_Bedarf!$AV$73,N_Bedarf!$F7=N_Bedarf!$AV$74,N_Bedarf!$F7=N_Bedarf!$AV$75)),1,0)))),0)</f>
        <v>0</v>
      </c>
      <c r="O12" s="2056">
        <v>10</v>
      </c>
      <c r="P12" s="2056" t="str">
        <f t="shared" si="2"/>
        <v/>
      </c>
      <c r="Q12" s="2058" t="str">
        <f t="shared" si="3"/>
        <v/>
      </c>
      <c r="R12" s="2054"/>
      <c r="S12" s="2064" t="s">
        <v>2376</v>
      </c>
      <c r="T12" s="1994">
        <v>1</v>
      </c>
      <c r="U12" s="2054" t="str">
        <f t="shared" ref="U12:U75" si="13">IF($T12=0,"t / ha",IF($T12=1,"",IF($T12=2,"m3 / ha","")))</f>
        <v/>
      </c>
      <c r="V12" s="2054">
        <v>1</v>
      </c>
      <c r="W12" s="2068" t="s">
        <v>2375</v>
      </c>
      <c r="X12" s="2069">
        <v>5</v>
      </c>
      <c r="Y12" s="2069">
        <v>6.4</v>
      </c>
      <c r="Z12" s="2069">
        <v>6</v>
      </c>
      <c r="AA12" s="2069">
        <v>7.8</v>
      </c>
      <c r="AB12" s="2069">
        <v>7.5</v>
      </c>
      <c r="AC12" s="2069">
        <v>9.5</v>
      </c>
      <c r="AD12" s="2069">
        <v>9</v>
      </c>
      <c r="AE12" s="2069">
        <v>11.3</v>
      </c>
      <c r="AF12" s="2069">
        <v>9</v>
      </c>
      <c r="AG12" s="2069">
        <v>11.3</v>
      </c>
      <c r="AH12" s="2056"/>
      <c r="AI12" s="2325" t="str">
        <f t="shared" si="6"/>
        <v/>
      </c>
      <c r="AJ12" s="2326" t="str">
        <f t="shared" si="7"/>
        <v/>
      </c>
      <c r="AK12" s="2327" t="str">
        <f t="shared" si="8"/>
        <v/>
      </c>
      <c r="AL12" s="2328" t="str">
        <f t="shared" si="9"/>
        <v/>
      </c>
      <c r="AM12" s="2329" t="str">
        <f t="shared" si="10"/>
        <v/>
      </c>
      <c r="AN12" s="2330" t="str">
        <f t="shared" si="11"/>
        <v/>
      </c>
      <c r="AO12" s="2054">
        <f t="shared" si="12"/>
        <v>0</v>
      </c>
      <c r="AP12" s="2054"/>
      <c r="AQ12" s="2054"/>
      <c r="AR12" s="2056"/>
      <c r="AS12" s="2056"/>
      <c r="AT12" s="2056"/>
      <c r="AU12" s="2054"/>
      <c r="AV12" s="2054"/>
      <c r="AW12" s="2071"/>
    </row>
    <row r="13" spans="1:16384" customFormat="1" ht="55.5" customHeight="1">
      <c r="A13" s="2048" t="str">
        <f>IF(N_Bedarf!$C8&gt;0,N_Bedarf!$C8,"")</f>
        <v/>
      </c>
      <c r="B13" s="2040" t="str">
        <f>IF(AND(COUNTIF($S$11:$S$149,N_Bedarf!$C8)&gt;0,$A13&lt;&gt;""),CONCATENATE(N_Bedarf!F8," (",N_Bedarf!G8,")"),IF(AND($A13&lt;&gt;"",COUNTIF($S$11:$S$149,N_Bedarf!$C8)=0),N_Bedarf!F8,""))</f>
        <v/>
      </c>
      <c r="C13" s="2035"/>
      <c r="D13" s="2037"/>
      <c r="E13" s="2036" t="str">
        <f t="shared" si="4"/>
        <v/>
      </c>
      <c r="F13" s="2765" t="str">
        <f t="shared" si="5"/>
        <v/>
      </c>
      <c r="G13" s="2766"/>
      <c r="H13" s="2767" t="str">
        <f t="shared" si="1"/>
        <v/>
      </c>
      <c r="I13" s="2767"/>
      <c r="J13" s="2767"/>
      <c r="K13" s="2054"/>
      <c r="L13" s="2054"/>
      <c r="M13" s="2070"/>
      <c r="N13" s="2055">
        <f>IFERROR(IF(AND(COUNTIF($S$11:$S$309,$A13)=0,N_Bedarf!C8=""),0,(IF(COUNTIF($S$11:$S$309,$A13)=0,1,IF(AND(VLOOKUP($A13,$S$11:$V$309,4,0)&lt;2,VLOOKUP($A13,$S$11:$V$309,4,0)&gt;0,OR(N_Bedarf!$F8=N_Bedarf!$AV$70,N_Bedarf!$F8=N_Bedarf!$AV$71,N_Bedarf!$F8=N_Bedarf!$AV$72,N_Bedarf!$F8=N_Bedarf!$AV$73,N_Bedarf!$F8=N_Bedarf!$AV$74,N_Bedarf!$F8=N_Bedarf!$AV$75)),1,0)))),0)</f>
        <v>0</v>
      </c>
      <c r="O13" s="2056">
        <v>11</v>
      </c>
      <c r="P13" s="2056" t="str">
        <f t="shared" si="2"/>
        <v/>
      </c>
      <c r="Q13" s="2058" t="str">
        <f t="shared" si="3"/>
        <v/>
      </c>
      <c r="R13" s="2054"/>
      <c r="S13" s="2064" t="s">
        <v>1729</v>
      </c>
      <c r="T13" s="1994">
        <v>1</v>
      </c>
      <c r="U13" s="2054" t="str">
        <f t="shared" si="13"/>
        <v/>
      </c>
      <c r="V13" s="2054">
        <v>1</v>
      </c>
      <c r="W13" s="2068" t="s">
        <v>2376</v>
      </c>
      <c r="X13" s="2069">
        <v>4</v>
      </c>
      <c r="Y13" s="2069">
        <v>5.0999999999999996</v>
      </c>
      <c r="Z13" s="2069">
        <v>5.5</v>
      </c>
      <c r="AA13" s="2069">
        <v>7.1</v>
      </c>
      <c r="AB13" s="2069">
        <v>6.75</v>
      </c>
      <c r="AC13" s="2069">
        <v>8.6</v>
      </c>
      <c r="AD13" s="2069">
        <v>8</v>
      </c>
      <c r="AE13" s="2069">
        <v>10.1</v>
      </c>
      <c r="AF13" s="2069">
        <v>8</v>
      </c>
      <c r="AG13" s="2069">
        <v>10.1</v>
      </c>
      <c r="AH13" s="2056"/>
      <c r="AI13" s="2325" t="str">
        <f t="shared" si="6"/>
        <v/>
      </c>
      <c r="AJ13" s="2326" t="str">
        <f t="shared" si="7"/>
        <v/>
      </c>
      <c r="AK13" s="2327" t="str">
        <f t="shared" si="8"/>
        <v/>
      </c>
      <c r="AL13" s="2328" t="str">
        <f t="shared" si="9"/>
        <v/>
      </c>
      <c r="AM13" s="2329" t="str">
        <f t="shared" si="10"/>
        <v/>
      </c>
      <c r="AN13" s="2330" t="str">
        <f t="shared" si="11"/>
        <v/>
      </c>
      <c r="AO13" s="2054">
        <f t="shared" si="12"/>
        <v>0</v>
      </c>
      <c r="AP13" s="2054"/>
      <c r="AQ13" s="2054"/>
      <c r="AR13" s="2056"/>
      <c r="AS13" s="2056"/>
      <c r="AT13" s="2056"/>
      <c r="AU13" s="2054"/>
      <c r="AV13" s="2054"/>
      <c r="AW13" s="2071"/>
    </row>
    <row r="14" spans="1:16384" customFormat="1" ht="55.5" customHeight="1">
      <c r="A14" s="2048" t="str">
        <f>IF(N_Bedarf!$C9&gt;0,N_Bedarf!$C9,"")</f>
        <v/>
      </c>
      <c r="B14" s="2040" t="str">
        <f>IF(AND(COUNTIF($S$11:$S$149,N_Bedarf!$C9)&gt;0,$A14&lt;&gt;""),CONCATENATE(N_Bedarf!F9," (",N_Bedarf!G9,")"),IF(AND($A14&lt;&gt;"",COUNTIF($S$11:$S$149,N_Bedarf!$C9)=0),N_Bedarf!F9,""))</f>
        <v/>
      </c>
      <c r="C14" s="2035"/>
      <c r="D14" s="2037"/>
      <c r="E14" s="2036" t="str">
        <f t="shared" si="4"/>
        <v/>
      </c>
      <c r="F14" s="2765" t="str">
        <f t="shared" si="5"/>
        <v/>
      </c>
      <c r="G14" s="2766"/>
      <c r="H14" s="2767" t="str">
        <f t="shared" si="1"/>
        <v/>
      </c>
      <c r="I14" s="2767"/>
      <c r="J14" s="2767"/>
      <c r="K14" s="2054"/>
      <c r="L14" s="2054"/>
      <c r="M14" s="2070"/>
      <c r="N14" s="2055">
        <f>IFERROR(IF(AND(COUNTIF($S$11:$S$309,$A14)=0,N_Bedarf!C9=""),0,(IF(COUNTIF($S$11:$S$309,$A14)=0,1,IF(AND(VLOOKUP($A14,$S$11:$V$309,4,0)&lt;2,VLOOKUP($A14,$S$11:$V$309,4,0)&gt;0,OR(N_Bedarf!$F9=N_Bedarf!$AV$70,N_Bedarf!$F9=N_Bedarf!$AV$71,N_Bedarf!$F9=N_Bedarf!$AV$72,N_Bedarf!$F9=N_Bedarf!$AV$73,N_Bedarf!$F9=N_Bedarf!$AV$74,N_Bedarf!$F9=N_Bedarf!$AV$75)),1,0)))),0)</f>
        <v>0</v>
      </c>
      <c r="O14" s="2056">
        <v>12</v>
      </c>
      <c r="P14" s="2056" t="str">
        <f t="shared" si="2"/>
        <v/>
      </c>
      <c r="Q14" s="2058" t="str">
        <f t="shared" si="3"/>
        <v/>
      </c>
      <c r="R14" s="2054"/>
      <c r="S14" s="2064" t="s">
        <v>1727</v>
      </c>
      <c r="T14" s="1994">
        <v>1</v>
      </c>
      <c r="U14" s="2054" t="str">
        <f t="shared" si="13"/>
        <v/>
      </c>
      <c r="V14" s="2054">
        <v>1</v>
      </c>
      <c r="W14" s="2068" t="s">
        <v>1729</v>
      </c>
      <c r="X14" s="2069">
        <v>4</v>
      </c>
      <c r="Y14" s="2069">
        <v>4.5999999999999996</v>
      </c>
      <c r="Z14" s="2069">
        <v>5.25</v>
      </c>
      <c r="AA14" s="2069">
        <v>6.2</v>
      </c>
      <c r="AB14" s="2069">
        <v>6.5</v>
      </c>
      <c r="AC14" s="2069">
        <v>7.7</v>
      </c>
      <c r="AD14" s="2069">
        <v>7.75</v>
      </c>
      <c r="AE14" s="2069">
        <v>9.3000000000000007</v>
      </c>
      <c r="AF14" s="2069">
        <v>7.75</v>
      </c>
      <c r="AG14" s="2069">
        <v>9.3000000000000007</v>
      </c>
      <c r="AH14" s="2056"/>
      <c r="AI14" s="2325" t="str">
        <f t="shared" si="6"/>
        <v/>
      </c>
      <c r="AJ14" s="2326" t="str">
        <f t="shared" si="7"/>
        <v/>
      </c>
      <c r="AK14" s="2327" t="str">
        <f t="shared" si="8"/>
        <v/>
      </c>
      <c r="AL14" s="2328" t="str">
        <f t="shared" si="9"/>
        <v/>
      </c>
      <c r="AM14" s="2329" t="str">
        <f t="shared" si="10"/>
        <v/>
      </c>
      <c r="AN14" s="2330" t="str">
        <f t="shared" si="11"/>
        <v/>
      </c>
      <c r="AO14" s="2054">
        <f t="shared" si="12"/>
        <v>0</v>
      </c>
      <c r="AP14" s="2054"/>
      <c r="AQ14" s="2054"/>
      <c r="AR14" s="2056"/>
      <c r="AS14" s="2056"/>
      <c r="AT14" s="2056"/>
      <c r="AU14" s="2054"/>
      <c r="AV14" s="2054"/>
      <c r="AW14" s="2071"/>
    </row>
    <row r="15" spans="1:16384" customFormat="1" ht="55.5" customHeight="1">
      <c r="A15" s="2048" t="str">
        <f>IF(N_Bedarf!$C10&gt;0,N_Bedarf!$C10,"")</f>
        <v/>
      </c>
      <c r="B15" s="2040" t="str">
        <f>IF(AND(COUNTIF($S$11:$S$149,N_Bedarf!$C10)&gt;0,$A15&lt;&gt;""),CONCATENATE(N_Bedarf!F10," (",N_Bedarf!G10,")"),IF(AND($A15&lt;&gt;"",COUNTIF($S$11:$S$149,N_Bedarf!$C10)=0),N_Bedarf!F10,""))</f>
        <v/>
      </c>
      <c r="C15" s="2035"/>
      <c r="D15" s="2037"/>
      <c r="E15" s="2036" t="str">
        <f t="shared" si="4"/>
        <v/>
      </c>
      <c r="F15" s="2765" t="str">
        <f t="shared" si="5"/>
        <v/>
      </c>
      <c r="G15" s="2766"/>
      <c r="H15" s="2767" t="str">
        <f t="shared" si="1"/>
        <v/>
      </c>
      <c r="I15" s="2767"/>
      <c r="J15" s="2767"/>
      <c r="K15" s="2054"/>
      <c r="L15" s="2054"/>
      <c r="M15" s="2070"/>
      <c r="N15" s="2055">
        <f>IFERROR(IF(AND(COUNTIF($S$11:$S$309,$A15)=0,N_Bedarf!C10=""),0,(IF(COUNTIF($S$11:$S$309,$A15)=0,1,IF(AND(VLOOKUP($A15,$S$11:$V$309,4,0)&lt;2,VLOOKUP($A15,$S$11:$V$309,4,0)&gt;0,OR(N_Bedarf!$F10=N_Bedarf!$AV$70,N_Bedarf!$F10=N_Bedarf!$AV$71,N_Bedarf!$F10=N_Bedarf!$AV$72,N_Bedarf!$F10=N_Bedarf!$AV$73,N_Bedarf!$F10=N_Bedarf!$AV$74,N_Bedarf!$F10=N_Bedarf!$AV$75)),1,0)))),0)</f>
        <v>0</v>
      </c>
      <c r="O15" s="2056">
        <v>13</v>
      </c>
      <c r="P15" s="2056" t="str">
        <f t="shared" si="2"/>
        <v/>
      </c>
      <c r="Q15" s="2058" t="str">
        <f t="shared" si="3"/>
        <v/>
      </c>
      <c r="R15" s="2054"/>
      <c r="S15" s="2064" t="s">
        <v>1713</v>
      </c>
      <c r="T15" s="1994">
        <v>1</v>
      </c>
      <c r="U15" s="2054" t="str">
        <f t="shared" si="13"/>
        <v/>
      </c>
      <c r="V15" s="2054">
        <v>1</v>
      </c>
      <c r="W15" s="2068" t="s">
        <v>1727</v>
      </c>
      <c r="X15" s="2069">
        <v>3.5</v>
      </c>
      <c r="Y15" s="2069">
        <v>8.6</v>
      </c>
      <c r="Z15" s="2069">
        <v>5.5</v>
      </c>
      <c r="AA15" s="2069">
        <v>13.5</v>
      </c>
      <c r="AB15" s="2069">
        <v>6.5</v>
      </c>
      <c r="AC15" s="2069">
        <v>16</v>
      </c>
      <c r="AD15" s="2069">
        <v>7.5</v>
      </c>
      <c r="AE15" s="2069">
        <v>18.3</v>
      </c>
      <c r="AF15" s="2069">
        <v>7.5</v>
      </c>
      <c r="AG15" s="2069">
        <v>18.3</v>
      </c>
      <c r="AH15" s="2056"/>
      <c r="AI15" s="2325" t="str">
        <f t="shared" si="6"/>
        <v/>
      </c>
      <c r="AJ15" s="2326" t="str">
        <f t="shared" si="7"/>
        <v/>
      </c>
      <c r="AK15" s="2327" t="str">
        <f t="shared" si="8"/>
        <v/>
      </c>
      <c r="AL15" s="2328" t="str">
        <f t="shared" si="9"/>
        <v/>
      </c>
      <c r="AM15" s="2329" t="str">
        <f t="shared" si="10"/>
        <v/>
      </c>
      <c r="AN15" s="2330" t="str">
        <f t="shared" si="11"/>
        <v/>
      </c>
      <c r="AO15" s="2054">
        <f t="shared" si="12"/>
        <v>0</v>
      </c>
      <c r="AP15" s="2054"/>
      <c r="AQ15" s="2054"/>
      <c r="AR15" s="2056"/>
      <c r="AS15" s="2056"/>
      <c r="AT15" s="2056"/>
      <c r="AU15" s="2054"/>
      <c r="AV15" s="2054"/>
      <c r="AW15" s="2071"/>
    </row>
    <row r="16" spans="1:16384" customFormat="1" ht="55.5" customHeight="1">
      <c r="A16" s="2048" t="str">
        <f>IF(N_Bedarf!$C11&gt;0,N_Bedarf!$C11,"")</f>
        <v/>
      </c>
      <c r="B16" s="2040" t="str">
        <f>IF(AND(COUNTIF($S$11:$S$149,N_Bedarf!$C11)&gt;0,$A16&lt;&gt;""),CONCATENATE(N_Bedarf!F11," (",N_Bedarf!G11,")"),IF(AND($A16&lt;&gt;"",COUNTIF($S$11:$S$149,N_Bedarf!$C11)=0),N_Bedarf!F11,""))</f>
        <v/>
      </c>
      <c r="C16" s="2035"/>
      <c r="D16" s="2037"/>
      <c r="E16" s="2036" t="str">
        <f t="shared" si="4"/>
        <v/>
      </c>
      <c r="F16" s="2765" t="str">
        <f t="shared" si="5"/>
        <v/>
      </c>
      <c r="G16" s="2766"/>
      <c r="H16" s="2767" t="str">
        <f t="shared" si="1"/>
        <v/>
      </c>
      <c r="I16" s="2767"/>
      <c r="J16" s="2767"/>
      <c r="K16" s="2054"/>
      <c r="L16" s="2054"/>
      <c r="M16" s="2067"/>
      <c r="N16" s="2055">
        <f>IFERROR(IF(AND(COUNTIF($S$11:$S$309,$A16)=0,N_Bedarf!C11=""),0,(IF(COUNTIF($S$11:$S$309,$A16)=0,1,IF(AND(VLOOKUP($A16,$S$11:$V$309,4,0)&lt;2,VLOOKUP($A16,$S$11:$V$309,4,0)&gt;0,OR(N_Bedarf!$F11=N_Bedarf!$AV$70,N_Bedarf!$F11=N_Bedarf!$AV$71,N_Bedarf!$F11=N_Bedarf!$AV$72,N_Bedarf!$F11=N_Bedarf!$AV$73,N_Bedarf!$F11=N_Bedarf!$AV$74,N_Bedarf!$F11=N_Bedarf!$AV$75)),1,0)))),0)</f>
        <v>0</v>
      </c>
      <c r="O16" s="2056">
        <v>14</v>
      </c>
      <c r="P16" s="2056" t="str">
        <f t="shared" si="2"/>
        <v/>
      </c>
      <c r="Q16" s="2058" t="str">
        <f t="shared" si="3"/>
        <v/>
      </c>
      <c r="R16" s="2054"/>
      <c r="S16" s="2064" t="s">
        <v>1711</v>
      </c>
      <c r="T16" s="1994">
        <v>1</v>
      </c>
      <c r="U16" s="2054" t="str">
        <f t="shared" si="13"/>
        <v/>
      </c>
      <c r="V16" s="2054">
        <v>1</v>
      </c>
      <c r="W16" s="2068" t="s">
        <v>1713</v>
      </c>
      <c r="X16" s="2069">
        <v>4</v>
      </c>
      <c r="Y16" s="2069">
        <v>4.3</v>
      </c>
      <c r="Z16" s="2069">
        <v>5.25</v>
      </c>
      <c r="AA16" s="2069">
        <v>5.6</v>
      </c>
      <c r="AB16" s="2069">
        <v>6.5</v>
      </c>
      <c r="AC16" s="2069">
        <v>7.7</v>
      </c>
      <c r="AD16" s="2069">
        <v>7.75</v>
      </c>
      <c r="AE16" s="2069">
        <v>9.3000000000000007</v>
      </c>
      <c r="AF16" s="2069">
        <v>7.75</v>
      </c>
      <c r="AG16" s="2069">
        <v>9.3000000000000007</v>
      </c>
      <c r="AH16" s="2056"/>
      <c r="AI16" s="2325" t="str">
        <f t="shared" si="6"/>
        <v/>
      </c>
      <c r="AJ16" s="2326" t="str">
        <f t="shared" si="7"/>
        <v/>
      </c>
      <c r="AK16" s="2327" t="str">
        <f t="shared" si="8"/>
        <v/>
      </c>
      <c r="AL16" s="2328" t="str">
        <f t="shared" si="9"/>
        <v/>
      </c>
      <c r="AM16" s="2329" t="str">
        <f t="shared" si="10"/>
        <v/>
      </c>
      <c r="AN16" s="2330" t="str">
        <f t="shared" si="11"/>
        <v/>
      </c>
      <c r="AO16" s="2054">
        <f t="shared" si="12"/>
        <v>0</v>
      </c>
      <c r="AP16" s="2054"/>
      <c r="AQ16" s="2054"/>
      <c r="AR16" s="2056"/>
      <c r="AS16" s="2056"/>
      <c r="AT16" s="2056"/>
      <c r="AU16" s="2054"/>
      <c r="AV16" s="2054"/>
      <c r="AW16" s="2071"/>
    </row>
    <row r="17" spans="1:49" ht="55.5" customHeight="1">
      <c r="A17" s="2048" t="str">
        <f>IF(N_Bedarf!$C12&gt;0,N_Bedarf!$C12,"")</f>
        <v/>
      </c>
      <c r="B17" s="2040" t="str">
        <f>IF(AND(COUNTIF($S$11:$S$149,N_Bedarf!$C12)&gt;0,$A17&lt;&gt;""),CONCATENATE(N_Bedarf!F12," (",N_Bedarf!G12,")"),IF(AND($A17&lt;&gt;"",COUNTIF($S$11:$S$149,N_Bedarf!$C12)=0),N_Bedarf!F12,""))</f>
        <v/>
      </c>
      <c r="C17" s="2035"/>
      <c r="D17" s="2037"/>
      <c r="E17" s="2036" t="str">
        <f t="shared" si="4"/>
        <v/>
      </c>
      <c r="F17" s="2765" t="str">
        <f t="shared" si="5"/>
        <v/>
      </c>
      <c r="G17" s="2766"/>
      <c r="H17" s="2767" t="str">
        <f t="shared" si="1"/>
        <v/>
      </c>
      <c r="I17" s="2767"/>
      <c r="J17" s="2767"/>
      <c r="K17" s="2054"/>
      <c r="L17" s="2054"/>
      <c r="M17" s="2070"/>
      <c r="N17" s="2055">
        <f>IFERROR(IF(AND(COUNTIF($S$11:$S$309,$A17)=0,N_Bedarf!C12=""),0,(IF(COUNTIF($S$11:$S$309,$A17)=0,1,IF(AND(VLOOKUP($A17,$S$11:$V$309,4,0)&lt;2,VLOOKUP($A17,$S$11:$V$309,4,0)&gt;0,OR(N_Bedarf!$F12=N_Bedarf!$AV$70,N_Bedarf!$F12=N_Bedarf!$AV$71,N_Bedarf!$F12=N_Bedarf!$AV$72,N_Bedarf!$F12=N_Bedarf!$AV$73,N_Bedarf!$F12=N_Bedarf!$AV$74,N_Bedarf!$F12=N_Bedarf!$AV$75)),1,0)))),0)</f>
        <v>0</v>
      </c>
      <c r="O17" s="2056">
        <v>15</v>
      </c>
      <c r="P17" s="2056" t="str">
        <f t="shared" si="2"/>
        <v/>
      </c>
      <c r="Q17" s="2058" t="str">
        <f t="shared" si="3"/>
        <v/>
      </c>
      <c r="R17" s="2054"/>
      <c r="S17" s="2064" t="s">
        <v>2378</v>
      </c>
      <c r="T17" s="1994">
        <v>1</v>
      </c>
      <c r="U17" s="2054" t="str">
        <f t="shared" si="13"/>
        <v/>
      </c>
      <c r="V17" s="2054">
        <v>1</v>
      </c>
      <c r="W17" s="2068" t="s">
        <v>1711</v>
      </c>
      <c r="X17" s="2069">
        <v>3.5</v>
      </c>
      <c r="Y17" s="2069">
        <v>8.9</v>
      </c>
      <c r="Z17" s="2069">
        <v>5.5</v>
      </c>
      <c r="AA17" s="2069">
        <v>13.8</v>
      </c>
      <c r="AB17" s="2069">
        <v>6.5</v>
      </c>
      <c r="AC17" s="2069">
        <v>16.3</v>
      </c>
      <c r="AD17" s="2069">
        <v>7.5</v>
      </c>
      <c r="AE17" s="2069">
        <v>18.8</v>
      </c>
      <c r="AF17" s="2069">
        <v>7.5</v>
      </c>
      <c r="AG17" s="2069">
        <v>18.8</v>
      </c>
      <c r="AH17" s="2056"/>
      <c r="AI17" s="2325" t="str">
        <f t="shared" si="6"/>
        <v/>
      </c>
      <c r="AJ17" s="2326" t="str">
        <f t="shared" si="7"/>
        <v/>
      </c>
      <c r="AK17" s="2327" t="str">
        <f t="shared" si="8"/>
        <v/>
      </c>
      <c r="AL17" s="2328" t="str">
        <f t="shared" si="9"/>
        <v/>
      </c>
      <c r="AM17" s="2329" t="str">
        <f t="shared" si="10"/>
        <v/>
      </c>
      <c r="AN17" s="2330" t="str">
        <f t="shared" si="11"/>
        <v/>
      </c>
      <c r="AO17" s="2054">
        <f t="shared" si="12"/>
        <v>0</v>
      </c>
      <c r="AP17" s="2054"/>
      <c r="AQ17" s="2054"/>
      <c r="AR17" s="2056"/>
      <c r="AS17" s="2056"/>
      <c r="AT17" s="2056"/>
      <c r="AU17" s="2054"/>
      <c r="AV17" s="2054"/>
      <c r="AW17" s="2071"/>
    </row>
    <row r="18" spans="1:49" ht="55.5" customHeight="1">
      <c r="A18" s="2048" t="str">
        <f>IF(N_Bedarf!$C13&gt;0,N_Bedarf!$C13,"")</f>
        <v/>
      </c>
      <c r="B18" s="2040" t="str">
        <f>IF(AND(COUNTIF($S$11:$S$149,N_Bedarf!$C13)&gt;0,$A18&lt;&gt;""),CONCATENATE(N_Bedarf!F13," (",N_Bedarf!G13,")"),IF(AND($A18&lt;&gt;"",COUNTIF($S$11:$S$149,N_Bedarf!$C13)=0),N_Bedarf!F13,""))</f>
        <v/>
      </c>
      <c r="C18" s="2035" t="str">
        <f t="shared" ref="C18:C59" si="14">IFERROR(VLOOKUP($A18,$S$11:$U$149,3,0),"")</f>
        <v/>
      </c>
      <c r="D18" s="2037"/>
      <c r="E18" s="2036" t="str">
        <f t="shared" si="4"/>
        <v/>
      </c>
      <c r="F18" s="2765" t="str">
        <f t="shared" si="5"/>
        <v/>
      </c>
      <c r="G18" s="2766"/>
      <c r="H18" s="2767" t="str">
        <f t="shared" si="1"/>
        <v/>
      </c>
      <c r="I18" s="2767"/>
      <c r="J18" s="2767"/>
      <c r="K18" s="2054"/>
      <c r="L18" s="2054"/>
      <c r="M18" s="2070"/>
      <c r="N18" s="2055">
        <f>IFERROR(IF(AND(COUNTIF($S$11:$S$309,$A18)=0,N_Bedarf!C13=""),0,(IF(COUNTIF($S$11:$S$309,$A18)=0,1,IF(AND(VLOOKUP($A18,$S$11:$V$309,4,0)&lt;2,VLOOKUP($A18,$S$11:$V$309,4,0)&gt;0,OR(N_Bedarf!$F13=N_Bedarf!$AV$70,N_Bedarf!$F13=N_Bedarf!$AV$71,N_Bedarf!$F13=N_Bedarf!$AV$72,N_Bedarf!$F13=N_Bedarf!$AV$73,N_Bedarf!$F13=N_Bedarf!$AV$74,N_Bedarf!$F13=N_Bedarf!$AV$75)),1,0)))),0)</f>
        <v>0</v>
      </c>
      <c r="O18" s="2056">
        <v>16</v>
      </c>
      <c r="P18" s="2056" t="str">
        <f t="shared" si="2"/>
        <v/>
      </c>
      <c r="Q18" s="2058" t="str">
        <f t="shared" si="3"/>
        <v/>
      </c>
      <c r="R18" s="2054"/>
      <c r="S18" s="2064" t="s">
        <v>2377</v>
      </c>
      <c r="T18" s="1994">
        <v>1</v>
      </c>
      <c r="U18" s="2054" t="str">
        <f t="shared" si="13"/>
        <v/>
      </c>
      <c r="V18" s="2054">
        <v>1</v>
      </c>
      <c r="W18" s="2068" t="s">
        <v>2378</v>
      </c>
      <c r="X18" s="2069">
        <v>5</v>
      </c>
      <c r="Y18" s="2069">
        <v>6.4</v>
      </c>
      <c r="Z18" s="2069">
        <v>6</v>
      </c>
      <c r="AA18" s="2069">
        <v>7.8</v>
      </c>
      <c r="AB18" s="2069">
        <v>7.5</v>
      </c>
      <c r="AC18" s="2069">
        <v>9.6999999999999993</v>
      </c>
      <c r="AD18" s="2069">
        <v>9</v>
      </c>
      <c r="AE18" s="2069">
        <v>11.5</v>
      </c>
      <c r="AF18" s="2069">
        <v>9</v>
      </c>
      <c r="AG18" s="2069">
        <v>11.5</v>
      </c>
      <c r="AH18" s="2056"/>
      <c r="AI18" s="2325" t="str">
        <f t="shared" si="6"/>
        <v/>
      </c>
      <c r="AJ18" s="2326" t="str">
        <f t="shared" si="7"/>
        <v/>
      </c>
      <c r="AK18" s="2327" t="str">
        <f t="shared" si="8"/>
        <v/>
      </c>
      <c r="AL18" s="2328" t="str">
        <f t="shared" si="9"/>
        <v/>
      </c>
      <c r="AM18" s="2329" t="str">
        <f t="shared" si="10"/>
        <v/>
      </c>
      <c r="AN18" s="2330" t="str">
        <f t="shared" si="11"/>
        <v/>
      </c>
      <c r="AO18" s="2054">
        <f t="shared" si="12"/>
        <v>0</v>
      </c>
      <c r="AP18" s="2054"/>
      <c r="AQ18" s="2054"/>
      <c r="AR18" s="2056"/>
      <c r="AS18" s="2056"/>
      <c r="AT18" s="2056"/>
      <c r="AU18" s="2054"/>
      <c r="AV18" s="2054"/>
      <c r="AW18" s="2071"/>
    </row>
    <row r="19" spans="1:49" ht="55.5" customHeight="1">
      <c r="A19" s="2048" t="str">
        <f>IF(N_Bedarf!$C14&gt;0,N_Bedarf!$C14,"")</f>
        <v/>
      </c>
      <c r="B19" s="2040" t="str">
        <f>IF(AND(COUNTIF($S$11:$S$149,N_Bedarf!$C14)&gt;0,$A19&lt;&gt;""),CONCATENATE(N_Bedarf!F14," (",N_Bedarf!G14,")"),IF(AND($A19&lt;&gt;"",COUNTIF($S$11:$S$149,N_Bedarf!$C14)=0),N_Bedarf!F14,""))</f>
        <v/>
      </c>
      <c r="C19" s="2035" t="str">
        <f t="shared" si="14"/>
        <v/>
      </c>
      <c r="D19" s="2037"/>
      <c r="E19" s="2036" t="str">
        <f t="shared" si="4"/>
        <v/>
      </c>
      <c r="F19" s="2765" t="str">
        <f t="shared" si="5"/>
        <v/>
      </c>
      <c r="G19" s="2766"/>
      <c r="H19" s="2767" t="str">
        <f t="shared" si="1"/>
        <v/>
      </c>
      <c r="I19" s="2767"/>
      <c r="J19" s="2767"/>
      <c r="K19" s="2054"/>
      <c r="L19" s="2054"/>
      <c r="M19" s="2070"/>
      <c r="N19" s="2055">
        <f>IFERROR(IF(AND(COUNTIF($S$11:$S$309,$A19)=0,N_Bedarf!C14=""),0,(IF(COUNTIF($S$11:$S$309,$A19)=0,1,IF(AND(VLOOKUP($A19,$S$11:$V$309,4,0)&lt;2,VLOOKUP($A19,$S$11:$V$309,4,0)&gt;0,OR(N_Bedarf!$F14=N_Bedarf!$AV$70,N_Bedarf!$F14=N_Bedarf!$AV$71,N_Bedarf!$F14=N_Bedarf!$AV$72,N_Bedarf!$F14=N_Bedarf!$AV$73,N_Bedarf!$F14=N_Bedarf!$AV$74,N_Bedarf!$F14=N_Bedarf!$AV$75)),1,0)))),0)</f>
        <v>0</v>
      </c>
      <c r="O19" s="2056">
        <v>17</v>
      </c>
      <c r="P19" s="2056" t="str">
        <f t="shared" si="2"/>
        <v/>
      </c>
      <c r="Q19" s="2058" t="str">
        <f t="shared" si="3"/>
        <v/>
      </c>
      <c r="R19" s="2054"/>
      <c r="S19" s="2064" t="s">
        <v>1261</v>
      </c>
      <c r="T19" s="1994">
        <v>1</v>
      </c>
      <c r="U19" s="2054" t="str">
        <f t="shared" si="13"/>
        <v/>
      </c>
      <c r="V19" s="2054">
        <v>1</v>
      </c>
      <c r="W19" s="2068" t="s">
        <v>2377</v>
      </c>
      <c r="X19" s="2069">
        <v>4</v>
      </c>
      <c r="Y19" s="2069">
        <v>5.0999999999999996</v>
      </c>
      <c r="Z19" s="2069">
        <v>5.5</v>
      </c>
      <c r="AA19" s="2069">
        <v>7.1</v>
      </c>
      <c r="AB19" s="2069">
        <v>6.75</v>
      </c>
      <c r="AC19" s="2069">
        <v>8.5</v>
      </c>
      <c r="AD19" s="2069">
        <v>8</v>
      </c>
      <c r="AE19" s="2069">
        <v>10.1</v>
      </c>
      <c r="AF19" s="2069">
        <v>8</v>
      </c>
      <c r="AG19" s="2069">
        <v>10.1</v>
      </c>
      <c r="AH19" s="2056"/>
      <c r="AI19" s="2325" t="str">
        <f t="shared" si="6"/>
        <v/>
      </c>
      <c r="AJ19" s="2326" t="str">
        <f t="shared" si="7"/>
        <v/>
      </c>
      <c r="AK19" s="2327" t="str">
        <f t="shared" si="8"/>
        <v/>
      </c>
      <c r="AL19" s="2328" t="str">
        <f t="shared" si="9"/>
        <v/>
      </c>
      <c r="AM19" s="2329" t="str">
        <f t="shared" si="10"/>
        <v/>
      </c>
      <c r="AN19" s="2330" t="str">
        <f t="shared" si="11"/>
        <v/>
      </c>
      <c r="AO19" s="2054">
        <f t="shared" si="12"/>
        <v>0</v>
      </c>
      <c r="AP19" s="2054"/>
      <c r="AQ19" s="2054"/>
      <c r="AR19" s="2056"/>
      <c r="AS19" s="2056"/>
      <c r="AT19" s="2056"/>
      <c r="AU19" s="2054"/>
      <c r="AV19" s="2054"/>
      <c r="AW19" s="2071"/>
    </row>
    <row r="20" spans="1:49" ht="55.5" customHeight="1">
      <c r="A20" s="2048" t="str">
        <f>IF(N_Bedarf!$C15&gt;0,N_Bedarf!$C15,"")</f>
        <v/>
      </c>
      <c r="B20" s="2040" t="str">
        <f>IF(AND(COUNTIF($S$11:$S$149,N_Bedarf!$C15)&gt;0,$A20&lt;&gt;""),CONCATENATE(N_Bedarf!F15," (",N_Bedarf!G15,")"),IF(AND($A20&lt;&gt;"",COUNTIF($S$11:$S$149,N_Bedarf!$C15)=0),N_Bedarf!F15,""))</f>
        <v/>
      </c>
      <c r="C20" s="2035" t="str">
        <f t="shared" si="14"/>
        <v/>
      </c>
      <c r="D20" s="2037"/>
      <c r="E20" s="2036" t="str">
        <f t="shared" si="4"/>
        <v/>
      </c>
      <c r="F20" s="2765" t="str">
        <f t="shared" si="5"/>
        <v/>
      </c>
      <c r="G20" s="2766"/>
      <c r="H20" s="2767" t="str">
        <f t="shared" si="1"/>
        <v/>
      </c>
      <c r="I20" s="2767"/>
      <c r="J20" s="2767"/>
      <c r="K20" s="2054"/>
      <c r="L20" s="2054"/>
      <c r="M20" s="2070"/>
      <c r="N20" s="2055">
        <f>IFERROR(IF(AND(COUNTIF($S$11:$S$309,$A20)=0,N_Bedarf!C15=""),0,(IF(COUNTIF($S$11:$S$309,$A20)=0,1,IF(AND(VLOOKUP($A20,$S$11:$V$309,4,0)&lt;2,VLOOKUP($A20,$S$11:$V$309,4,0)&gt;0,OR(N_Bedarf!$F15=N_Bedarf!$AV$70,N_Bedarf!$F15=N_Bedarf!$AV$71,N_Bedarf!$F15=N_Bedarf!$AV$72,N_Bedarf!$F15=N_Bedarf!$AV$73,N_Bedarf!$F15=N_Bedarf!$AV$74,N_Bedarf!$F15=N_Bedarf!$AV$75)),1,0)))),0)</f>
        <v>0</v>
      </c>
      <c r="O20" s="2056">
        <v>18</v>
      </c>
      <c r="P20" s="2056" t="str">
        <f t="shared" si="2"/>
        <v/>
      </c>
      <c r="Q20" s="2058" t="str">
        <f t="shared" si="3"/>
        <v/>
      </c>
      <c r="R20" s="2054"/>
      <c r="S20" s="2064" t="s">
        <v>1820</v>
      </c>
      <c r="T20" s="1994">
        <v>1</v>
      </c>
      <c r="U20" s="2054" t="str">
        <f t="shared" si="13"/>
        <v/>
      </c>
      <c r="V20" s="2054">
        <v>1</v>
      </c>
      <c r="W20" s="2068" t="s">
        <v>1261</v>
      </c>
      <c r="X20" s="2069">
        <v>5</v>
      </c>
      <c r="Y20" s="2069">
        <v>7.3</v>
      </c>
      <c r="Z20" s="2069">
        <v>6</v>
      </c>
      <c r="AA20" s="2069">
        <v>8.8000000000000007</v>
      </c>
      <c r="AB20" s="2069">
        <v>7.5</v>
      </c>
      <c r="AC20" s="2069">
        <v>11</v>
      </c>
      <c r="AD20" s="2069">
        <v>9</v>
      </c>
      <c r="AE20" s="2069">
        <v>13</v>
      </c>
      <c r="AF20" s="2069">
        <v>9</v>
      </c>
      <c r="AG20" s="2069">
        <v>13</v>
      </c>
      <c r="AH20" s="2056"/>
      <c r="AI20" s="2325" t="str">
        <f t="shared" si="6"/>
        <v/>
      </c>
      <c r="AJ20" s="2326" t="str">
        <f t="shared" si="7"/>
        <v/>
      </c>
      <c r="AK20" s="2327" t="str">
        <f t="shared" si="8"/>
        <v/>
      </c>
      <c r="AL20" s="2328" t="str">
        <f t="shared" si="9"/>
        <v/>
      </c>
      <c r="AM20" s="2329" t="str">
        <f t="shared" si="10"/>
        <v/>
      </c>
      <c r="AN20" s="2330" t="str">
        <f t="shared" si="11"/>
        <v/>
      </c>
      <c r="AO20" s="2054">
        <f t="shared" si="12"/>
        <v>0</v>
      </c>
      <c r="AP20" s="2054"/>
      <c r="AQ20" s="2054"/>
      <c r="AR20" s="2056"/>
      <c r="AS20" s="2056"/>
      <c r="AT20" s="2056"/>
      <c r="AU20" s="2054"/>
      <c r="AV20" s="2054"/>
      <c r="AW20" s="2071"/>
    </row>
    <row r="21" spans="1:49" ht="55.5" customHeight="1">
      <c r="A21" s="2048" t="str">
        <f>IF(N_Bedarf!$C16&gt;0,N_Bedarf!$C16,"")</f>
        <v/>
      </c>
      <c r="B21" s="2040" t="str">
        <f>IF(AND(COUNTIF($S$11:$S$149,N_Bedarf!$C16)&gt;0,$A21&lt;&gt;""),CONCATENATE(N_Bedarf!F16," (",N_Bedarf!G16,")"),IF(AND($A21&lt;&gt;"",COUNTIF($S$11:$S$149,N_Bedarf!$C16)=0),N_Bedarf!F16,""))</f>
        <v/>
      </c>
      <c r="C21" s="2035" t="str">
        <f t="shared" si="14"/>
        <v/>
      </c>
      <c r="D21" s="2037"/>
      <c r="E21" s="2036" t="str">
        <f t="shared" si="4"/>
        <v/>
      </c>
      <c r="F21" s="2765" t="str">
        <f t="shared" si="5"/>
        <v/>
      </c>
      <c r="G21" s="2766"/>
      <c r="H21" s="2767" t="str">
        <f t="shared" si="1"/>
        <v/>
      </c>
      <c r="I21" s="2767"/>
      <c r="J21" s="2767"/>
      <c r="K21" s="2054"/>
      <c r="L21" s="2054"/>
      <c r="M21" s="2070"/>
      <c r="N21" s="2055">
        <f>IFERROR(IF(AND(COUNTIF($S$11:$S$309,$A21)=0,N_Bedarf!C16=""),0,(IF(COUNTIF($S$11:$S$309,$A21)=0,1,IF(AND(VLOOKUP($A21,$S$11:$V$309,4,0)&lt;2,VLOOKUP($A21,$S$11:$V$309,4,0)&gt;0,OR(N_Bedarf!$F16=N_Bedarf!$AV$70,N_Bedarf!$F16=N_Bedarf!$AV$71,N_Bedarf!$F16=N_Bedarf!$AV$72,N_Bedarf!$F16=N_Bedarf!$AV$73,N_Bedarf!$F16=N_Bedarf!$AV$74,N_Bedarf!$F16=N_Bedarf!$AV$75)),1,0)))),0)</f>
        <v>0</v>
      </c>
      <c r="O21" s="2056">
        <v>19</v>
      </c>
      <c r="P21" s="2056" t="str">
        <f t="shared" si="2"/>
        <v/>
      </c>
      <c r="Q21" s="2058" t="str">
        <f t="shared" si="3"/>
        <v/>
      </c>
      <c r="R21" s="2054"/>
      <c r="S21" s="2064" t="s">
        <v>433</v>
      </c>
      <c r="T21" s="1994">
        <v>1</v>
      </c>
      <c r="U21" s="2054" t="str">
        <f t="shared" si="13"/>
        <v/>
      </c>
      <c r="V21" s="2054">
        <v>1</v>
      </c>
      <c r="W21" s="2068" t="s">
        <v>1820</v>
      </c>
      <c r="X21" s="2069">
        <v>4.5</v>
      </c>
      <c r="Y21" s="2069">
        <v>6.3</v>
      </c>
      <c r="Z21" s="2069">
        <v>5.5</v>
      </c>
      <c r="AA21" s="2069">
        <v>7.7</v>
      </c>
      <c r="AB21" s="2069">
        <v>7</v>
      </c>
      <c r="AC21" s="2069">
        <v>9.8000000000000007</v>
      </c>
      <c r="AD21" s="2069">
        <v>8.5</v>
      </c>
      <c r="AE21" s="2069">
        <v>11.8</v>
      </c>
      <c r="AF21" s="2069">
        <v>8.5</v>
      </c>
      <c r="AG21" s="2069">
        <v>11.8</v>
      </c>
      <c r="AH21" s="2056"/>
      <c r="AI21" s="2325" t="str">
        <f t="shared" si="6"/>
        <v/>
      </c>
      <c r="AJ21" s="2326" t="str">
        <f t="shared" si="7"/>
        <v/>
      </c>
      <c r="AK21" s="2327" t="str">
        <f t="shared" si="8"/>
        <v/>
      </c>
      <c r="AL21" s="2328" t="str">
        <f t="shared" si="9"/>
        <v/>
      </c>
      <c r="AM21" s="2329" t="str">
        <f t="shared" si="10"/>
        <v/>
      </c>
      <c r="AN21" s="2330" t="str">
        <f t="shared" si="11"/>
        <v/>
      </c>
      <c r="AO21" s="2054">
        <f t="shared" si="12"/>
        <v>0</v>
      </c>
      <c r="AP21" s="2054"/>
      <c r="AQ21" s="2054"/>
      <c r="AR21" s="2056"/>
      <c r="AS21" s="2056"/>
      <c r="AT21" s="2056"/>
      <c r="AU21" s="2054"/>
      <c r="AV21" s="2054"/>
      <c r="AW21" s="2071"/>
    </row>
    <row r="22" spans="1:49" ht="55.5" customHeight="1">
      <c r="A22" s="2048" t="str">
        <f>IF(N_Bedarf!$C17&gt;0,N_Bedarf!$C17,"")</f>
        <v/>
      </c>
      <c r="B22" s="2040" t="str">
        <f>IF(AND(COUNTIF($S$11:$S$149,N_Bedarf!$C17)&gt;0,$A22&lt;&gt;""),CONCATENATE(N_Bedarf!F17," (",N_Bedarf!G17,")"),IF(AND($A22&lt;&gt;"",COUNTIF($S$11:$S$149,N_Bedarf!$C17)=0),N_Bedarf!F17,""))</f>
        <v/>
      </c>
      <c r="C22" s="2035" t="str">
        <f t="shared" si="14"/>
        <v/>
      </c>
      <c r="D22" s="2037"/>
      <c r="E22" s="2036" t="str">
        <f t="shared" si="4"/>
        <v/>
      </c>
      <c r="F22" s="2765" t="str">
        <f t="shared" si="5"/>
        <v/>
      </c>
      <c r="G22" s="2766"/>
      <c r="H22" s="2767" t="str">
        <f t="shared" si="1"/>
        <v/>
      </c>
      <c r="I22" s="2767"/>
      <c r="J22" s="2767"/>
      <c r="K22" s="2054"/>
      <c r="L22" s="2054"/>
      <c r="M22" s="2070"/>
      <c r="N22" s="2055">
        <f>IFERROR(IF(AND(COUNTIF($S$11:$S$309,$A22)=0,N_Bedarf!C17=""),0,(IF(COUNTIF($S$11:$S$309,$A22)=0,1,IF(AND(VLOOKUP($A22,$S$11:$V$309,4,0)&lt;2,VLOOKUP($A22,$S$11:$V$309,4,0)&gt;0,OR(N_Bedarf!$F17=N_Bedarf!$AV$70,N_Bedarf!$F17=N_Bedarf!$AV$71,N_Bedarf!$F17=N_Bedarf!$AV$72,N_Bedarf!$F17=N_Bedarf!$AV$73,N_Bedarf!$F17=N_Bedarf!$AV$74,N_Bedarf!$F17=N_Bedarf!$AV$75)),1,0)))),0)</f>
        <v>0</v>
      </c>
      <c r="O22" s="2056">
        <v>20</v>
      </c>
      <c r="P22" s="2056" t="str">
        <f t="shared" si="2"/>
        <v/>
      </c>
      <c r="Q22" s="2058" t="str">
        <f t="shared" si="3"/>
        <v/>
      </c>
      <c r="R22" s="2054"/>
      <c r="S22" s="2064" t="s">
        <v>1268</v>
      </c>
      <c r="T22" s="1994">
        <v>1</v>
      </c>
      <c r="U22" s="2054" t="str">
        <f t="shared" si="13"/>
        <v/>
      </c>
      <c r="V22" s="2054">
        <v>1</v>
      </c>
      <c r="W22" s="2068" t="s">
        <v>433</v>
      </c>
      <c r="X22" s="2069">
        <v>3.5</v>
      </c>
      <c r="Y22" s="2069">
        <v>5</v>
      </c>
      <c r="Z22" s="2069">
        <v>5</v>
      </c>
      <c r="AA22" s="2069">
        <v>6</v>
      </c>
      <c r="AB22" s="2069">
        <v>6.5</v>
      </c>
      <c r="AC22" s="2069">
        <v>9</v>
      </c>
      <c r="AD22" s="2069">
        <v>8</v>
      </c>
      <c r="AE22" s="2069">
        <v>11.1</v>
      </c>
      <c r="AF22" s="2069">
        <v>8</v>
      </c>
      <c r="AG22" s="2069">
        <v>11.1</v>
      </c>
      <c r="AH22" s="2056"/>
      <c r="AI22" s="2325" t="str">
        <f t="shared" si="6"/>
        <v/>
      </c>
      <c r="AJ22" s="2326" t="str">
        <f t="shared" si="7"/>
        <v/>
      </c>
      <c r="AK22" s="2327" t="str">
        <f t="shared" si="8"/>
        <v/>
      </c>
      <c r="AL22" s="2328" t="str">
        <f t="shared" si="9"/>
        <v/>
      </c>
      <c r="AM22" s="2329" t="str">
        <f t="shared" si="10"/>
        <v/>
      </c>
      <c r="AN22" s="2330" t="str">
        <f t="shared" si="11"/>
        <v/>
      </c>
      <c r="AO22" s="2054">
        <f t="shared" si="12"/>
        <v>0</v>
      </c>
      <c r="AP22" s="2054"/>
      <c r="AQ22" s="2054"/>
      <c r="AR22" s="2056"/>
      <c r="AS22" s="2056"/>
      <c r="AT22" s="2056"/>
      <c r="AU22" s="2054"/>
      <c r="AV22" s="2054"/>
      <c r="AW22" s="2071"/>
    </row>
    <row r="23" spans="1:49" ht="45" customHeight="1">
      <c r="A23" s="2048" t="str">
        <f>IF(N_Bedarf!$C18&gt;0,N_Bedarf!$C18,"")</f>
        <v/>
      </c>
      <c r="B23" s="2040" t="str">
        <f>IF(AND(COUNTIF($S$11:$S$149,N_Bedarf!$C18)&gt;0,$A23&lt;&gt;""),CONCATENATE(N_Bedarf!F18," (",N_Bedarf!G18,")"),IF(AND($A23&lt;&gt;"",COUNTIF($S$11:$S$149,N_Bedarf!$C18)=0),N_Bedarf!F18,""))</f>
        <v/>
      </c>
      <c r="C23" s="2035" t="str">
        <f t="shared" si="14"/>
        <v/>
      </c>
      <c r="D23" s="2037"/>
      <c r="E23" s="2036" t="str">
        <f t="shared" si="4"/>
        <v/>
      </c>
      <c r="F23" s="2765" t="str">
        <f t="shared" si="5"/>
        <v/>
      </c>
      <c r="G23" s="2766"/>
      <c r="H23" s="2767" t="str">
        <f t="shared" si="1"/>
        <v/>
      </c>
      <c r="I23" s="2767"/>
      <c r="J23" s="2767"/>
      <c r="K23" s="2054"/>
      <c r="L23" s="2054"/>
      <c r="M23" s="2070"/>
      <c r="N23" s="2055">
        <f>IFERROR(IF(AND(COUNTIF($S$11:$S$309,$A23)=0,N_Bedarf!C18=""),0,(IF(COUNTIF($S$11:$S$309,$A23)=0,1,IF(AND(VLOOKUP($A23,$S$11:$V$309,4,0)&lt;2,VLOOKUP($A23,$S$11:$V$309,4,0)&gt;0,OR(N_Bedarf!$F18=N_Bedarf!$AV$70,N_Bedarf!$F18=N_Bedarf!$AV$71,N_Bedarf!$F18=N_Bedarf!$AV$72,N_Bedarf!$F18=N_Bedarf!$AV$73,N_Bedarf!$F18=N_Bedarf!$AV$74,N_Bedarf!$F18=N_Bedarf!$AV$75)),1,0)))),0)</f>
        <v>0</v>
      </c>
      <c r="O23" s="2056">
        <v>21</v>
      </c>
      <c r="P23" s="2056" t="str">
        <f t="shared" si="2"/>
        <v/>
      </c>
      <c r="Q23" s="2058" t="str">
        <f t="shared" si="3"/>
        <v/>
      </c>
      <c r="R23" s="2054"/>
      <c r="S23" s="2064" t="s">
        <v>1864</v>
      </c>
      <c r="T23" s="1994">
        <v>2</v>
      </c>
      <c r="U23" s="2054" t="str">
        <f t="shared" si="13"/>
        <v>m3 / ha</v>
      </c>
      <c r="V23" s="2054">
        <v>1</v>
      </c>
      <c r="W23" s="2068" t="s">
        <v>1268</v>
      </c>
      <c r="X23" s="2069">
        <v>4</v>
      </c>
      <c r="Y23" s="2069">
        <v>5.6</v>
      </c>
      <c r="Z23" s="2069">
        <v>5.5</v>
      </c>
      <c r="AA23" s="2069">
        <v>7.8</v>
      </c>
      <c r="AB23" s="2069">
        <v>7</v>
      </c>
      <c r="AC23" s="2069">
        <v>9.9</v>
      </c>
      <c r="AD23" s="2069">
        <v>8.5</v>
      </c>
      <c r="AE23" s="2069">
        <v>12.7</v>
      </c>
      <c r="AF23" s="2069">
        <v>8.5</v>
      </c>
      <c r="AG23" s="2069">
        <v>12.7</v>
      </c>
      <c r="AH23" s="2056"/>
      <c r="AI23" s="2325" t="str">
        <f>IF(A23&gt;0,CONCATENATE(A23,B23,E23),"")</f>
        <v/>
      </c>
      <c r="AJ23" s="2326" t="str">
        <f>B23</f>
        <v/>
      </c>
      <c r="AK23" s="2327" t="str">
        <f t="shared" ref="AK23:AL27" si="15">IF(C23&gt;0,C23,"")</f>
        <v/>
      </c>
      <c r="AL23" s="2328" t="str">
        <f t="shared" si="15"/>
        <v/>
      </c>
      <c r="AM23" s="2329" t="str">
        <f>E23</f>
        <v/>
      </c>
      <c r="AN23" s="2330" t="str">
        <f t="shared" si="11"/>
        <v/>
      </c>
      <c r="AO23" s="2054">
        <f t="shared" si="12"/>
        <v>0</v>
      </c>
      <c r="AP23" s="2054"/>
      <c r="AQ23" s="2054"/>
      <c r="AR23" s="2056"/>
      <c r="AS23" s="2056"/>
      <c r="AT23" s="2056"/>
      <c r="AU23" s="2054"/>
      <c r="AV23" s="2054"/>
      <c r="AW23" s="2071"/>
    </row>
    <row r="24" spans="1:49" ht="48.75" customHeight="1">
      <c r="A24" s="2048" t="str">
        <f>IF(N_Bedarf!$C19&gt;0,N_Bedarf!$C19,"")</f>
        <v/>
      </c>
      <c r="B24" s="2040" t="str">
        <f>IF(AND(COUNTIF($S$11:$S$149,N_Bedarf!$C19)&gt;0,$A24&lt;&gt;""),CONCATENATE(N_Bedarf!F19," (",N_Bedarf!G19,")"),IF(AND($A24&lt;&gt;"",COUNTIF($S$11:$S$149,N_Bedarf!$C19)=0),N_Bedarf!F19,""))</f>
        <v/>
      </c>
      <c r="C24" s="2035" t="str">
        <f t="shared" si="14"/>
        <v/>
      </c>
      <c r="D24" s="2037"/>
      <c r="E24" s="2036" t="str">
        <f t="shared" si="4"/>
        <v/>
      </c>
      <c r="F24" s="2765" t="str">
        <f t="shared" si="5"/>
        <v/>
      </c>
      <c r="G24" s="2766"/>
      <c r="H24" s="2767" t="str">
        <f t="shared" si="1"/>
        <v/>
      </c>
      <c r="I24" s="2767"/>
      <c r="J24" s="2767"/>
      <c r="K24" s="2054"/>
      <c r="L24" s="2054"/>
      <c r="M24" s="2070"/>
      <c r="N24" s="2055">
        <f>IFERROR(IF(AND(COUNTIF($S$11:$S$309,$A24)=0,N_Bedarf!C19=""),0,(IF(COUNTIF($S$11:$S$309,$A24)=0,1,IF(AND(VLOOKUP($A24,$S$11:$V$309,4,0)&lt;2,VLOOKUP($A24,$S$11:$V$309,4,0)&gt;0,OR(N_Bedarf!$F19=N_Bedarf!$AV$70,N_Bedarf!$F19=N_Bedarf!$AV$71,N_Bedarf!$F19=N_Bedarf!$AV$72,N_Bedarf!$F19=N_Bedarf!$AV$73,N_Bedarf!$F19=N_Bedarf!$AV$74,N_Bedarf!$F19=N_Bedarf!$AV$75)),1,0)))),0)</f>
        <v>0</v>
      </c>
      <c r="O24" s="2056">
        <v>22</v>
      </c>
      <c r="P24" s="2056" t="str">
        <f t="shared" si="2"/>
        <v/>
      </c>
      <c r="Q24" s="2058" t="str">
        <f t="shared" si="3"/>
        <v/>
      </c>
      <c r="R24" s="2054"/>
      <c r="S24" s="2064" t="s">
        <v>1733</v>
      </c>
      <c r="T24" s="1994">
        <v>1</v>
      </c>
      <c r="U24" s="2054" t="str">
        <f t="shared" si="13"/>
        <v/>
      </c>
      <c r="V24" s="2054">
        <v>1</v>
      </c>
      <c r="W24" s="2068" t="s">
        <v>1864</v>
      </c>
      <c r="X24" s="2069">
        <v>60</v>
      </c>
      <c r="Y24" s="2069"/>
      <c r="Z24" s="2069">
        <v>80</v>
      </c>
      <c r="AA24" s="2069"/>
      <c r="AB24" s="2069">
        <v>100</v>
      </c>
      <c r="AC24" s="2069"/>
      <c r="AD24" s="2069"/>
      <c r="AE24" s="2069">
        <v>120</v>
      </c>
      <c r="AF24" s="2069"/>
      <c r="AG24" s="2069">
        <v>120</v>
      </c>
      <c r="AH24" s="2056"/>
      <c r="AI24" s="2325" t="str">
        <f>IF(A24&gt;0,CONCATENATE(A24,B24,E24),"")</f>
        <v/>
      </c>
      <c r="AJ24" s="2326" t="str">
        <f>B24</f>
        <v/>
      </c>
      <c r="AK24" s="2327" t="str">
        <f t="shared" si="15"/>
        <v/>
      </c>
      <c r="AL24" s="2328" t="str">
        <f t="shared" si="15"/>
        <v/>
      </c>
      <c r="AM24" s="2329" t="str">
        <f>E24</f>
        <v/>
      </c>
      <c r="AN24" s="2330" t="str">
        <f t="shared" si="11"/>
        <v/>
      </c>
      <c r="AO24" s="2054">
        <f t="shared" si="12"/>
        <v>0</v>
      </c>
      <c r="AP24" s="2054"/>
      <c r="AQ24" s="2054"/>
      <c r="AR24" s="2056"/>
      <c r="AS24" s="2056"/>
      <c r="AT24" s="2056"/>
      <c r="AU24" s="2054"/>
      <c r="AV24" s="2054"/>
      <c r="AW24" s="2071"/>
    </row>
    <row r="25" spans="1:49" ht="48.75" customHeight="1">
      <c r="A25" s="2048" t="str">
        <f>IF(N_Bedarf!$C20&gt;0,N_Bedarf!$C20,"")</f>
        <v/>
      </c>
      <c r="B25" s="2040" t="str">
        <f>IF(AND(COUNTIF($S$11:$S$149,N_Bedarf!$C20)&gt;0,$A25&lt;&gt;""),CONCATENATE(N_Bedarf!F20," (",N_Bedarf!G20,")"),IF(AND($A25&lt;&gt;"",COUNTIF($S$11:$S$149,N_Bedarf!$C20)=0),N_Bedarf!F20,""))</f>
        <v/>
      </c>
      <c r="C25" s="2035" t="str">
        <f t="shared" si="14"/>
        <v/>
      </c>
      <c r="D25" s="2037"/>
      <c r="E25" s="2036" t="str">
        <f t="shared" si="4"/>
        <v/>
      </c>
      <c r="F25" s="2765" t="str">
        <f t="shared" si="5"/>
        <v/>
      </c>
      <c r="G25" s="2766"/>
      <c r="H25" s="2767" t="str">
        <f t="shared" si="1"/>
        <v/>
      </c>
      <c r="I25" s="2767"/>
      <c r="J25" s="2767"/>
      <c r="K25" s="2054"/>
      <c r="L25" s="2054"/>
      <c r="M25" s="2070"/>
      <c r="N25" s="2055">
        <f>IFERROR(IF(AND(COUNTIF($S$11:$S$309,$A25)=0,N_Bedarf!C20=""),0,(IF(COUNTIF($S$11:$S$309,$A25)=0,1,IF(AND(VLOOKUP($A25,$S$11:$V$309,4,0)&lt;2,VLOOKUP($A25,$S$11:$V$309,4,0)&gt;0,OR(N_Bedarf!$F20=N_Bedarf!$AV$70,N_Bedarf!$F20=N_Bedarf!$AV$71,N_Bedarf!$F20=N_Bedarf!$AV$72,N_Bedarf!$F20=N_Bedarf!$AV$73,N_Bedarf!$F20=N_Bedarf!$AV$74,N_Bedarf!$F20=N_Bedarf!$AV$75)),1,0)))),0)</f>
        <v>0</v>
      </c>
      <c r="O25" s="2056">
        <v>23</v>
      </c>
      <c r="P25" s="2056" t="str">
        <f t="shared" si="2"/>
        <v/>
      </c>
      <c r="Q25" s="2058" t="str">
        <f t="shared" si="3"/>
        <v/>
      </c>
      <c r="R25" s="2054"/>
      <c r="S25" s="1952" t="s">
        <v>1719</v>
      </c>
      <c r="T25" s="1953">
        <v>0</v>
      </c>
      <c r="U25" s="2054" t="str">
        <f t="shared" si="13"/>
        <v>t / ha</v>
      </c>
      <c r="V25" s="2054">
        <v>1</v>
      </c>
      <c r="W25" s="1967" t="s">
        <v>1733</v>
      </c>
      <c r="X25" s="1966">
        <v>5</v>
      </c>
      <c r="Y25" s="1966">
        <v>6.9</v>
      </c>
      <c r="Z25" s="1966">
        <v>6</v>
      </c>
      <c r="AA25" s="1966">
        <v>8.4</v>
      </c>
      <c r="AB25" s="1966">
        <v>7.5</v>
      </c>
      <c r="AC25" s="1966">
        <v>10.5</v>
      </c>
      <c r="AD25" s="1966">
        <v>9</v>
      </c>
      <c r="AE25" s="1966">
        <v>12.5</v>
      </c>
      <c r="AF25" s="1966">
        <v>9</v>
      </c>
      <c r="AG25" s="1966">
        <v>12.5</v>
      </c>
      <c r="AH25" s="3"/>
      <c r="AI25" s="2325" t="str">
        <f>IF(A25&gt;0,CONCATENATE(A25,B25,E25),"")</f>
        <v/>
      </c>
      <c r="AJ25" s="2326" t="str">
        <f>B25</f>
        <v/>
      </c>
      <c r="AK25" s="2327" t="str">
        <f t="shared" si="15"/>
        <v/>
      </c>
      <c r="AL25" s="2328" t="str">
        <f t="shared" si="15"/>
        <v/>
      </c>
      <c r="AM25" s="2329" t="str">
        <f>E25</f>
        <v/>
      </c>
      <c r="AN25" s="2330" t="str">
        <f t="shared" si="11"/>
        <v/>
      </c>
      <c r="AO25" s="2054">
        <f t="shared" si="12"/>
        <v>0</v>
      </c>
      <c r="AP25" s="2368"/>
      <c r="AQ25" s="2368"/>
      <c r="AR25" s="2369"/>
      <c r="AS25" s="2369"/>
      <c r="AT25" s="2369"/>
      <c r="AU25" s="2368"/>
      <c r="AV25" s="2368"/>
      <c r="AW25" s="2370"/>
    </row>
    <row r="26" spans="1:49" ht="48.75" customHeight="1">
      <c r="A26" s="2048" t="str">
        <f>IF(N_Bedarf!$C21&gt;0,N_Bedarf!$C21,"")</f>
        <v/>
      </c>
      <c r="B26" s="2040" t="str">
        <f>IF(AND(COUNTIF($S$11:$S$149,N_Bedarf!$C21)&gt;0,$A26&lt;&gt;""),CONCATENATE(N_Bedarf!F21," (",N_Bedarf!G21,")"),IF(AND($A26&lt;&gt;"",COUNTIF($S$11:$S$149,N_Bedarf!$C21)=0),N_Bedarf!F21,""))</f>
        <v/>
      </c>
      <c r="C26" s="2035" t="str">
        <f t="shared" si="14"/>
        <v/>
      </c>
      <c r="D26" s="2037"/>
      <c r="E26" s="2036" t="str">
        <f t="shared" si="4"/>
        <v/>
      </c>
      <c r="F26" s="2765" t="str">
        <f t="shared" si="5"/>
        <v/>
      </c>
      <c r="G26" s="2766"/>
      <c r="H26" s="2767" t="str">
        <f t="shared" si="1"/>
        <v/>
      </c>
      <c r="I26" s="2767"/>
      <c r="J26" s="2767"/>
      <c r="K26" s="2054"/>
      <c r="L26" s="2054"/>
      <c r="M26" s="2070"/>
      <c r="N26" s="2055">
        <f>IFERROR(IF(AND(COUNTIF($S$11:$S$309,$A26)=0,N_Bedarf!C21=""),0,(IF(COUNTIF($S$11:$S$309,$A26)=0,1,IF(AND(VLOOKUP($A26,$S$11:$V$309,4,0)&lt;2,VLOOKUP($A26,$S$11:$V$309,4,0)&gt;0,OR(N_Bedarf!$F21=N_Bedarf!$AV$70,N_Bedarf!$F21=N_Bedarf!$AV$71,N_Bedarf!$F21=N_Bedarf!$AV$72,N_Bedarf!$F21=N_Bedarf!$AV$73,N_Bedarf!$F21=N_Bedarf!$AV$74,N_Bedarf!$F21=N_Bedarf!$AV$75)),1,0)))),0)</f>
        <v>0</v>
      </c>
      <c r="O26" s="2056">
        <v>24</v>
      </c>
      <c r="P26" s="2056" t="str">
        <f t="shared" si="2"/>
        <v/>
      </c>
      <c r="Q26" s="2058" t="str">
        <f t="shared" si="3"/>
        <v/>
      </c>
      <c r="R26" s="2054"/>
      <c r="S26" s="1952" t="s">
        <v>1398</v>
      </c>
      <c r="T26" s="1953">
        <v>1</v>
      </c>
      <c r="U26" s="2054" t="str">
        <f t="shared" si="13"/>
        <v/>
      </c>
      <c r="V26" s="2054">
        <v>1</v>
      </c>
      <c r="W26" s="1967" t="s">
        <v>1719</v>
      </c>
      <c r="X26" s="1966">
        <v>5</v>
      </c>
      <c r="Y26" s="1966"/>
      <c r="Z26" s="1966">
        <v>6</v>
      </c>
      <c r="AA26" s="1966"/>
      <c r="AB26" s="1966">
        <v>7.5</v>
      </c>
      <c r="AC26" s="1966"/>
      <c r="AD26" s="1966">
        <v>9</v>
      </c>
      <c r="AE26" s="1966"/>
      <c r="AF26" s="1966">
        <v>9</v>
      </c>
      <c r="AG26" s="1966"/>
      <c r="AH26" s="3"/>
      <c r="AI26" s="2325" t="str">
        <f>IF(A26&gt;0,CONCATENATE(A26,B26,E26),"")</f>
        <v/>
      </c>
      <c r="AJ26" s="2326" t="str">
        <f>B26</f>
        <v/>
      </c>
      <c r="AK26" s="2327" t="str">
        <f t="shared" si="15"/>
        <v/>
      </c>
      <c r="AL26" s="2328" t="str">
        <f t="shared" si="15"/>
        <v/>
      </c>
      <c r="AM26" s="2329" t="str">
        <f>E26</f>
        <v/>
      </c>
      <c r="AN26" s="2330" t="str">
        <f t="shared" si="11"/>
        <v/>
      </c>
      <c r="AO26" s="2054">
        <f t="shared" si="12"/>
        <v>0</v>
      </c>
      <c r="AP26" s="2368"/>
      <c r="AQ26" s="2368"/>
      <c r="AR26" s="2369"/>
      <c r="AS26" s="2369"/>
      <c r="AT26" s="2369"/>
      <c r="AU26" s="2368"/>
      <c r="AV26" s="2368"/>
      <c r="AW26" s="2370"/>
    </row>
    <row r="27" spans="1:49" ht="48.75" customHeight="1">
      <c r="A27" s="2048" t="str">
        <f>IF(N_Bedarf!$C22&gt;0,N_Bedarf!$C22,"")</f>
        <v/>
      </c>
      <c r="B27" s="2040" t="str">
        <f>IF(AND(COUNTIF($S$11:$S$149,N_Bedarf!$C22)&gt;0,$A27&lt;&gt;""),CONCATENATE(N_Bedarf!F22," (",N_Bedarf!G22,")"),IF(AND($A27&lt;&gt;"",COUNTIF($S$11:$S$149,N_Bedarf!$C22)=0),N_Bedarf!F22,""))</f>
        <v/>
      </c>
      <c r="C27" s="2035" t="str">
        <f t="shared" si="14"/>
        <v/>
      </c>
      <c r="D27" s="2037"/>
      <c r="E27" s="2036" t="str">
        <f t="shared" si="4"/>
        <v/>
      </c>
      <c r="F27" s="2765" t="str">
        <f t="shared" si="5"/>
        <v/>
      </c>
      <c r="G27" s="2766"/>
      <c r="H27" s="2767" t="str">
        <f t="shared" si="1"/>
        <v/>
      </c>
      <c r="I27" s="2767"/>
      <c r="J27" s="2767"/>
      <c r="K27" s="2054"/>
      <c r="L27" s="2054"/>
      <c r="M27" s="2070"/>
      <c r="N27" s="2055">
        <f>IFERROR(IF(AND(COUNTIF($S$11:$S$309,$A27)=0,N_Bedarf!C22=""),0,(IF(COUNTIF($S$11:$S$309,$A27)=0,1,IF(AND(VLOOKUP($A27,$S$11:$V$309,4,0)&lt;2,VLOOKUP($A27,$S$11:$V$309,4,0)&gt;0,OR(N_Bedarf!$F22=N_Bedarf!$AV$70,N_Bedarf!$F22=N_Bedarf!$AV$71,N_Bedarf!$F22=N_Bedarf!$AV$72,N_Bedarf!$F22=N_Bedarf!$AV$73,N_Bedarf!$F22=N_Bedarf!$AV$74,N_Bedarf!$F22=N_Bedarf!$AV$75)),1,0)))),0)</f>
        <v>0</v>
      </c>
      <c r="O27" s="2056">
        <v>25</v>
      </c>
      <c r="P27" s="2056" t="str">
        <f t="shared" si="2"/>
        <v/>
      </c>
      <c r="Q27" s="2058" t="str">
        <f t="shared" si="3"/>
        <v/>
      </c>
      <c r="R27" s="2054"/>
      <c r="S27" s="1952" t="s">
        <v>1717</v>
      </c>
      <c r="T27" s="1953">
        <v>1</v>
      </c>
      <c r="U27" s="2054" t="str">
        <f t="shared" si="13"/>
        <v/>
      </c>
      <c r="V27" s="2054">
        <v>1</v>
      </c>
      <c r="W27" s="1967" t="s">
        <v>1398</v>
      </c>
      <c r="X27" s="1966">
        <v>4</v>
      </c>
      <c r="Y27" s="1966">
        <v>5.6</v>
      </c>
      <c r="Z27" s="1966">
        <v>5.5</v>
      </c>
      <c r="AA27" s="1966">
        <v>7.7</v>
      </c>
      <c r="AB27" s="1966">
        <v>7</v>
      </c>
      <c r="AC27" s="1966">
        <v>9.8000000000000007</v>
      </c>
      <c r="AD27" s="1966">
        <v>8.5</v>
      </c>
      <c r="AE27" s="1966">
        <v>11.8</v>
      </c>
      <c r="AF27" s="1966">
        <v>8.5</v>
      </c>
      <c r="AG27" s="1966">
        <v>11.8</v>
      </c>
      <c r="AH27" s="3"/>
      <c r="AI27" s="2325" t="str">
        <f>IF(A27&gt;0,CONCATENATE(A27,B27,E27),"")</f>
        <v/>
      </c>
      <c r="AJ27" s="2326" t="str">
        <f>B27</f>
        <v/>
      </c>
      <c r="AK27" s="2327" t="str">
        <f t="shared" si="15"/>
        <v/>
      </c>
      <c r="AL27" s="2328" t="str">
        <f t="shared" si="15"/>
        <v/>
      </c>
      <c r="AM27" s="2329" t="str">
        <f>E27</f>
        <v/>
      </c>
      <c r="AN27" s="2330" t="str">
        <f t="shared" si="11"/>
        <v/>
      </c>
      <c r="AO27" s="2054">
        <f t="shared" si="12"/>
        <v>0</v>
      </c>
      <c r="AP27" s="2368"/>
      <c r="AQ27" s="2368"/>
      <c r="AR27" s="2369"/>
      <c r="AS27" s="2369"/>
      <c r="AT27" s="2369"/>
      <c r="AU27" s="2368"/>
      <c r="AV27" s="2368"/>
      <c r="AW27" s="2370"/>
    </row>
    <row r="28" spans="1:49" ht="48.75" customHeight="1">
      <c r="A28" s="2048" t="str">
        <f>IF(N_Bedarf!$C23&gt;0,N_Bedarf!$C23,"")</f>
        <v/>
      </c>
      <c r="B28" s="2040" t="str">
        <f>IF(AND(COUNTIF($S$11:$S$149,N_Bedarf!$C23)&gt;0,$A28&lt;&gt;""),CONCATENATE(N_Bedarf!F23," (",N_Bedarf!G23,")"),IF(AND($A28&lt;&gt;"",COUNTIF($S$11:$S$149,N_Bedarf!$C23)=0),N_Bedarf!F23,""))</f>
        <v/>
      </c>
      <c r="C28" s="2035" t="str">
        <f t="shared" si="14"/>
        <v/>
      </c>
      <c r="D28" s="2037"/>
      <c r="E28" s="2036" t="str">
        <f t="shared" si="4"/>
        <v/>
      </c>
      <c r="F28" s="2765" t="str">
        <f t="shared" si="5"/>
        <v/>
      </c>
      <c r="G28" s="2766"/>
      <c r="H28" s="2767" t="str">
        <f t="shared" si="1"/>
        <v/>
      </c>
      <c r="I28" s="2767"/>
      <c r="J28" s="2767"/>
      <c r="K28" s="2054"/>
      <c r="L28" s="2054"/>
      <c r="M28" s="2070"/>
      <c r="N28" s="2055">
        <f>IFERROR(IF(AND(COUNTIF($S$11:$S$309,$A28)=0,N_Bedarf!C23=""),0,(IF(COUNTIF($S$11:$S$309,$A28)=0,1,IF(AND(VLOOKUP($A28,$S$11:$V$309,4,0)&lt;2,VLOOKUP($A28,$S$11:$V$309,4,0)&gt;0,OR(N_Bedarf!$F23=N_Bedarf!$AV$70,N_Bedarf!$F23=N_Bedarf!$AV$71,N_Bedarf!$F23=N_Bedarf!$AV$72,N_Bedarf!$F23=N_Bedarf!$AV$73,N_Bedarf!$F23=N_Bedarf!$AV$74,N_Bedarf!$F23=N_Bedarf!$AV$75)),1,0)))),0)</f>
        <v>0</v>
      </c>
      <c r="O28" s="2056">
        <v>26</v>
      </c>
      <c r="P28" s="2056" t="str">
        <f t="shared" si="2"/>
        <v/>
      </c>
      <c r="Q28" s="2058" t="str">
        <f t="shared" si="3"/>
        <v/>
      </c>
      <c r="R28" s="2054"/>
      <c r="S28" s="1952" t="s">
        <v>16</v>
      </c>
      <c r="T28" s="1953">
        <v>0</v>
      </c>
      <c r="U28" s="2054" t="str">
        <f t="shared" si="13"/>
        <v>t / ha</v>
      </c>
      <c r="V28" s="2054">
        <v>2</v>
      </c>
      <c r="W28" s="1967" t="s">
        <v>1717</v>
      </c>
      <c r="X28" s="1966">
        <v>4</v>
      </c>
      <c r="Y28" s="1966">
        <v>5.6</v>
      </c>
      <c r="Z28" s="1966">
        <v>5.5</v>
      </c>
      <c r="AA28" s="1966">
        <v>7.7</v>
      </c>
      <c r="AB28" s="1966">
        <v>7</v>
      </c>
      <c r="AC28" s="1966">
        <v>9.6999999999999993</v>
      </c>
      <c r="AD28" s="1966">
        <v>8.5</v>
      </c>
      <c r="AE28" s="1966">
        <v>11.8</v>
      </c>
      <c r="AF28" s="1966">
        <v>8.5</v>
      </c>
      <c r="AG28" s="1966">
        <v>11.8</v>
      </c>
      <c r="AH28" s="3"/>
      <c r="AI28" s="2325" t="str">
        <f t="shared" ref="AI28:AI41" si="16">IF(A28&gt;0,CONCATENATE(A28,B28,E28),"")</f>
        <v/>
      </c>
      <c r="AJ28" s="2326" t="str">
        <f t="shared" ref="AJ28:AJ41" si="17">B28</f>
        <v/>
      </c>
      <c r="AK28" s="2327" t="str">
        <f t="shared" ref="AK28:AK41" si="18">IF(C28&gt;0,C28,"")</f>
        <v/>
      </c>
      <c r="AL28" s="2328" t="str">
        <f t="shared" ref="AL28:AL41" si="19">IF(D28&gt;0,D28,"")</f>
        <v/>
      </c>
      <c r="AM28" s="2329" t="str">
        <f t="shared" ref="AM28:AM41" si="20">E28</f>
        <v/>
      </c>
      <c r="AN28" s="2330" t="str">
        <f t="shared" si="11"/>
        <v/>
      </c>
      <c r="AO28" s="2054">
        <f t="shared" si="12"/>
        <v>0</v>
      </c>
      <c r="AP28" s="2368"/>
      <c r="AQ28" s="2368"/>
      <c r="AR28" s="2369"/>
      <c r="AS28" s="2369"/>
      <c r="AT28" s="2369"/>
      <c r="AU28" s="2368"/>
      <c r="AV28" s="2368"/>
      <c r="AW28" s="2370"/>
    </row>
    <row r="29" spans="1:49" ht="48.75" customHeight="1">
      <c r="A29" s="2048" t="str">
        <f>IF(N_Bedarf!$C24&gt;0,N_Bedarf!$C24,"")</f>
        <v/>
      </c>
      <c r="B29" s="2040" t="str">
        <f>IF(AND(COUNTIF($S$11:$S$149,N_Bedarf!$C24)&gt;0,$A29&lt;&gt;""),CONCATENATE(N_Bedarf!F24," (",N_Bedarf!G24,")"),IF(AND($A29&lt;&gt;"",COUNTIF($S$11:$S$149,N_Bedarf!$C24)=0),N_Bedarf!F24,""))</f>
        <v/>
      </c>
      <c r="C29" s="2035" t="str">
        <f t="shared" si="14"/>
        <v/>
      </c>
      <c r="D29" s="2037"/>
      <c r="E29" s="2036" t="str">
        <f t="shared" si="4"/>
        <v/>
      </c>
      <c r="F29" s="2765" t="str">
        <f t="shared" si="5"/>
        <v/>
      </c>
      <c r="G29" s="2766"/>
      <c r="H29" s="2767" t="str">
        <f t="shared" si="1"/>
        <v/>
      </c>
      <c r="I29" s="2767"/>
      <c r="J29" s="2767"/>
      <c r="K29" s="2054"/>
      <c r="L29" s="2054"/>
      <c r="M29" s="2070"/>
      <c r="N29" s="2055">
        <f>IFERROR(IF(AND(COUNTIF($S$11:$S$309,$A29)=0,N_Bedarf!C24=""),0,(IF(COUNTIF($S$11:$S$309,$A29)=0,1,IF(AND(VLOOKUP($A29,$S$11:$V$309,4,0)&lt;2,VLOOKUP($A29,$S$11:$V$309,4,0)&gt;0,OR(N_Bedarf!$F24=N_Bedarf!$AV$70,N_Bedarf!$F24=N_Bedarf!$AV$71,N_Bedarf!$F24=N_Bedarf!$AV$72,N_Bedarf!$F24=N_Bedarf!$AV$73,N_Bedarf!$F24=N_Bedarf!$AV$74,N_Bedarf!$F24=N_Bedarf!$AV$75)),1,0)))),0)</f>
        <v>0</v>
      </c>
      <c r="O29" s="2056">
        <v>27</v>
      </c>
      <c r="P29" s="2056" t="str">
        <f t="shared" si="2"/>
        <v/>
      </c>
      <c r="Q29" s="2058" t="str">
        <f t="shared" si="3"/>
        <v/>
      </c>
      <c r="R29" s="2054"/>
      <c r="S29" s="1952" t="s">
        <v>1728</v>
      </c>
      <c r="T29" s="1953">
        <v>1</v>
      </c>
      <c r="U29" s="2054" t="str">
        <f t="shared" si="13"/>
        <v/>
      </c>
      <c r="V29" s="2054">
        <v>1</v>
      </c>
      <c r="W29" s="1967" t="s">
        <v>16</v>
      </c>
      <c r="X29" s="1966">
        <v>3.5</v>
      </c>
      <c r="Y29" s="1966"/>
      <c r="Z29" s="1966">
        <v>5.5</v>
      </c>
      <c r="AA29" s="1966"/>
      <c r="AB29" s="1966">
        <v>7</v>
      </c>
      <c r="AC29" s="1966"/>
      <c r="AD29" s="1966">
        <v>8.5</v>
      </c>
      <c r="AE29" s="1966"/>
      <c r="AF29" s="1966">
        <v>8.5</v>
      </c>
      <c r="AG29" s="1966"/>
      <c r="AH29" s="3"/>
      <c r="AI29" s="2325" t="str">
        <f t="shared" si="16"/>
        <v/>
      </c>
      <c r="AJ29" s="2326" t="str">
        <f t="shared" si="17"/>
        <v/>
      </c>
      <c r="AK29" s="2327" t="str">
        <f t="shared" si="18"/>
        <v/>
      </c>
      <c r="AL29" s="2328" t="str">
        <f t="shared" si="19"/>
        <v/>
      </c>
      <c r="AM29" s="2329" t="str">
        <f t="shared" si="20"/>
        <v/>
      </c>
      <c r="AN29" s="2330" t="str">
        <f t="shared" si="11"/>
        <v/>
      </c>
      <c r="AO29" s="2054">
        <f t="shared" si="12"/>
        <v>0</v>
      </c>
      <c r="AP29" s="2368"/>
      <c r="AQ29" s="2368"/>
      <c r="AR29" s="2369"/>
      <c r="AS29" s="2369"/>
      <c r="AT29" s="2369"/>
      <c r="AU29" s="2368"/>
      <c r="AV29" s="2368"/>
      <c r="AW29" s="2370"/>
    </row>
    <row r="30" spans="1:49" ht="48.75" customHeight="1">
      <c r="A30" s="2048" t="str">
        <f>IF(N_Bedarf!$C25&gt;0,N_Bedarf!$C25,"")</f>
        <v/>
      </c>
      <c r="B30" s="2040" t="str">
        <f>IF(AND(COUNTIF($S$11:$S$149,N_Bedarf!$C25)&gt;0,$A30&lt;&gt;""),CONCATENATE(N_Bedarf!F25," (",N_Bedarf!G25,")"),IF(AND($A30&lt;&gt;"",COUNTIF($S$11:$S$149,N_Bedarf!$C25)=0),N_Bedarf!F25,""))</f>
        <v/>
      </c>
      <c r="C30" s="2035" t="str">
        <f t="shared" si="14"/>
        <v/>
      </c>
      <c r="D30" s="2037"/>
      <c r="E30" s="2036" t="str">
        <f t="shared" si="4"/>
        <v/>
      </c>
      <c r="F30" s="2765" t="str">
        <f t="shared" si="5"/>
        <v/>
      </c>
      <c r="G30" s="2766"/>
      <c r="H30" s="2767" t="str">
        <f t="shared" si="1"/>
        <v/>
      </c>
      <c r="I30" s="2767"/>
      <c r="J30" s="2767"/>
      <c r="K30" s="2054"/>
      <c r="L30" s="2054"/>
      <c r="M30" s="2070"/>
      <c r="N30" s="2055">
        <f>IFERROR(IF(AND(COUNTIF($S$11:$S$309,$A30)=0,N_Bedarf!C25=""),0,(IF(COUNTIF($S$11:$S$309,$A30)=0,1,IF(AND(VLOOKUP($A30,$S$11:$V$309,4,0)&lt;2,VLOOKUP($A30,$S$11:$V$309,4,0)&gt;0,OR(N_Bedarf!$F25=N_Bedarf!$AV$70,N_Bedarf!$F25=N_Bedarf!$AV$71,N_Bedarf!$F25=N_Bedarf!$AV$72,N_Bedarf!$F25=N_Bedarf!$AV$73,N_Bedarf!$F25=N_Bedarf!$AV$74,N_Bedarf!$F25=N_Bedarf!$AV$75)),1,0)))),0)</f>
        <v>0</v>
      </c>
      <c r="O30" s="2056">
        <v>28</v>
      </c>
      <c r="P30" s="2056" t="str">
        <f t="shared" si="2"/>
        <v/>
      </c>
      <c r="Q30" s="2058" t="str">
        <f t="shared" si="3"/>
        <v/>
      </c>
      <c r="R30" s="2054"/>
      <c r="S30" s="1952" t="s">
        <v>1712</v>
      </c>
      <c r="T30" s="1953">
        <v>1</v>
      </c>
      <c r="U30" s="2054" t="str">
        <f t="shared" si="13"/>
        <v/>
      </c>
      <c r="V30" s="2054">
        <v>1</v>
      </c>
      <c r="W30" s="1967" t="s">
        <v>1728</v>
      </c>
      <c r="X30" s="1966">
        <v>3.5</v>
      </c>
      <c r="Y30" s="1966">
        <v>6.9</v>
      </c>
      <c r="Z30" s="1966">
        <v>5</v>
      </c>
      <c r="AA30" s="1966">
        <v>9.9</v>
      </c>
      <c r="AB30" s="1966">
        <v>6.5</v>
      </c>
      <c r="AC30" s="1966">
        <v>12.9</v>
      </c>
      <c r="AD30" s="1966">
        <v>8</v>
      </c>
      <c r="AE30" s="1966">
        <v>15.7</v>
      </c>
      <c r="AF30" s="1966">
        <v>8</v>
      </c>
      <c r="AG30" s="1966">
        <v>15.7</v>
      </c>
      <c r="AH30" s="3"/>
      <c r="AI30" s="2325" t="str">
        <f t="shared" si="16"/>
        <v/>
      </c>
      <c r="AJ30" s="2326" t="str">
        <f t="shared" si="17"/>
        <v/>
      </c>
      <c r="AK30" s="2327" t="str">
        <f t="shared" si="18"/>
        <v/>
      </c>
      <c r="AL30" s="2328" t="str">
        <f t="shared" si="19"/>
        <v/>
      </c>
      <c r="AM30" s="2329" t="str">
        <f t="shared" si="20"/>
        <v/>
      </c>
      <c r="AN30" s="2330" t="str">
        <f t="shared" si="11"/>
        <v/>
      </c>
      <c r="AO30" s="2054">
        <f t="shared" si="12"/>
        <v>0</v>
      </c>
      <c r="AP30" s="2368"/>
      <c r="AQ30" s="2368"/>
      <c r="AR30" s="2369"/>
      <c r="AS30" s="2369"/>
      <c r="AT30" s="2369"/>
      <c r="AU30" s="2368"/>
      <c r="AV30" s="2368"/>
      <c r="AW30" s="2370"/>
    </row>
    <row r="31" spans="1:49" ht="48.75" customHeight="1">
      <c r="A31" s="2048" t="str">
        <f>IF(N_Bedarf!$C26&gt;0,N_Bedarf!$C26,"")</f>
        <v/>
      </c>
      <c r="B31" s="2040" t="str">
        <f>IF(AND(COUNTIF($S$11:$S$149,N_Bedarf!$C26)&gt;0,$A31&lt;&gt;""),CONCATENATE(N_Bedarf!F26," (",N_Bedarf!G26,")"),IF(AND($A31&lt;&gt;"",COUNTIF($S$11:$S$149,N_Bedarf!$C26)=0),N_Bedarf!F26,""))</f>
        <v/>
      </c>
      <c r="C31" s="2035" t="str">
        <f t="shared" si="14"/>
        <v/>
      </c>
      <c r="D31" s="2037"/>
      <c r="E31" s="2036" t="str">
        <f t="shared" si="4"/>
        <v/>
      </c>
      <c r="F31" s="2765" t="str">
        <f t="shared" si="5"/>
        <v/>
      </c>
      <c r="G31" s="2766"/>
      <c r="H31" s="2767" t="str">
        <f t="shared" si="1"/>
        <v/>
      </c>
      <c r="I31" s="2767"/>
      <c r="J31" s="2767"/>
      <c r="K31" s="2054"/>
      <c r="L31" s="2054"/>
      <c r="M31" s="2070"/>
      <c r="N31" s="2055">
        <f>IFERROR(IF(AND(COUNTIF($S$11:$S$309,$A31)=0,N_Bedarf!C26=""),0,(IF(COUNTIF($S$11:$S$309,$A31)=0,1,IF(AND(VLOOKUP($A31,$S$11:$V$309,4,0)&lt;2,VLOOKUP($A31,$S$11:$V$309,4,0)&gt;0,OR(N_Bedarf!$F26=N_Bedarf!$AV$70,N_Bedarf!$F26=N_Bedarf!$AV$71,N_Bedarf!$F26=N_Bedarf!$AV$72,N_Bedarf!$F26=N_Bedarf!$AV$73,N_Bedarf!$F26=N_Bedarf!$AV$74,N_Bedarf!$F26=N_Bedarf!$AV$75)),1,0)))),0)</f>
        <v>0</v>
      </c>
      <c r="O31" s="2056">
        <v>29</v>
      </c>
      <c r="P31" s="2056" t="str">
        <f t="shared" si="2"/>
        <v/>
      </c>
      <c r="Q31" s="2058" t="str">
        <f t="shared" si="3"/>
        <v/>
      </c>
      <c r="R31" s="2054"/>
      <c r="S31" s="1952" t="s">
        <v>1263</v>
      </c>
      <c r="T31" s="1953">
        <v>0</v>
      </c>
      <c r="U31" s="2054" t="str">
        <f t="shared" si="13"/>
        <v>t / ha</v>
      </c>
      <c r="V31" s="2054">
        <v>1</v>
      </c>
      <c r="W31" s="1967" t="s">
        <v>1712</v>
      </c>
      <c r="X31" s="1966">
        <v>3.5</v>
      </c>
      <c r="Y31" s="1966">
        <v>7.2</v>
      </c>
      <c r="Z31" s="1966">
        <v>5</v>
      </c>
      <c r="AA31" s="1966">
        <v>10.3</v>
      </c>
      <c r="AB31" s="1966">
        <v>6.5</v>
      </c>
      <c r="AC31" s="1966">
        <v>13.4</v>
      </c>
      <c r="AD31" s="1966">
        <v>8</v>
      </c>
      <c r="AE31" s="1966">
        <v>16.3</v>
      </c>
      <c r="AF31" s="1966">
        <v>8</v>
      </c>
      <c r="AG31" s="1966">
        <v>16.3</v>
      </c>
      <c r="AH31" s="3"/>
      <c r="AI31" s="2325" t="str">
        <f t="shared" si="16"/>
        <v/>
      </c>
      <c r="AJ31" s="2326" t="str">
        <f t="shared" si="17"/>
        <v/>
      </c>
      <c r="AK31" s="2327" t="str">
        <f t="shared" si="18"/>
        <v/>
      </c>
      <c r="AL31" s="2328" t="str">
        <f t="shared" si="19"/>
        <v/>
      </c>
      <c r="AM31" s="2329" t="str">
        <f t="shared" si="20"/>
        <v/>
      </c>
      <c r="AN31" s="2330" t="str">
        <f t="shared" si="11"/>
        <v/>
      </c>
      <c r="AO31" s="2054">
        <f t="shared" si="12"/>
        <v>0</v>
      </c>
      <c r="AP31" s="2368"/>
      <c r="AQ31" s="2368"/>
      <c r="AR31" s="2369"/>
      <c r="AS31" s="2369"/>
      <c r="AT31" s="2369"/>
      <c r="AU31" s="2368"/>
      <c r="AV31" s="2368"/>
      <c r="AW31" s="2370"/>
    </row>
    <row r="32" spans="1:49" ht="48.75" customHeight="1">
      <c r="A32" s="2048" t="str">
        <f>IF(N_Bedarf!$C27&gt;0,N_Bedarf!$C27,"")</f>
        <v/>
      </c>
      <c r="B32" s="2040" t="str">
        <f>IF(AND(COUNTIF($S$11:$S$149,N_Bedarf!$C27)&gt;0,$A32&lt;&gt;""),CONCATENATE(N_Bedarf!F27," (",N_Bedarf!G27,")"),IF(AND($A32&lt;&gt;"",COUNTIF($S$11:$S$149,N_Bedarf!$C27)=0),N_Bedarf!F27,""))</f>
        <v/>
      </c>
      <c r="C32" s="2035" t="str">
        <f t="shared" si="14"/>
        <v/>
      </c>
      <c r="D32" s="2037"/>
      <c r="E32" s="2036" t="str">
        <f t="shared" si="4"/>
        <v/>
      </c>
      <c r="F32" s="2765" t="str">
        <f t="shared" si="5"/>
        <v/>
      </c>
      <c r="G32" s="2766"/>
      <c r="H32" s="2767" t="str">
        <f t="shared" si="1"/>
        <v/>
      </c>
      <c r="I32" s="2767"/>
      <c r="J32" s="2767"/>
      <c r="K32" s="2054"/>
      <c r="L32" s="2054"/>
      <c r="M32" s="2070"/>
      <c r="N32" s="2055">
        <f>IFERROR(IF(AND(COUNTIF($S$11:$S$309,$A32)=0,N_Bedarf!C27=""),0,(IF(COUNTIF($S$11:$S$309,$A32)=0,1,IF(AND(VLOOKUP($A32,$S$11:$V$309,4,0)&lt;2,VLOOKUP($A32,$S$11:$V$309,4,0)&gt;0,OR(N_Bedarf!$F27=N_Bedarf!$AV$70,N_Bedarf!$F27=N_Bedarf!$AV$71,N_Bedarf!$F27=N_Bedarf!$AV$72,N_Bedarf!$F27=N_Bedarf!$AV$73,N_Bedarf!$F27=N_Bedarf!$AV$74,N_Bedarf!$F27=N_Bedarf!$AV$75)),1,0)))),0)</f>
        <v>0</v>
      </c>
      <c r="O32" s="2056">
        <v>30</v>
      </c>
      <c r="P32" s="2056" t="str">
        <f t="shared" si="2"/>
        <v/>
      </c>
      <c r="Q32" s="2058" t="str">
        <f t="shared" si="3"/>
        <v/>
      </c>
      <c r="R32" s="2054"/>
      <c r="S32" s="1952" t="s">
        <v>1739</v>
      </c>
      <c r="T32" s="1953">
        <v>2</v>
      </c>
      <c r="U32" s="2054" t="str">
        <f t="shared" si="13"/>
        <v>m3 / ha</v>
      </c>
      <c r="V32" s="2054">
        <v>1</v>
      </c>
      <c r="W32" s="1967" t="s">
        <v>1263</v>
      </c>
      <c r="X32" s="1966">
        <v>8.5</v>
      </c>
      <c r="Y32" s="1966"/>
      <c r="Z32" s="1966">
        <v>10.5</v>
      </c>
      <c r="AA32" s="1966"/>
      <c r="AB32" s="1966">
        <v>12</v>
      </c>
      <c r="AC32" s="1966"/>
      <c r="AD32" s="1966">
        <v>13.5</v>
      </c>
      <c r="AE32" s="1966"/>
      <c r="AF32" s="1966">
        <v>13.5</v>
      </c>
      <c r="AG32" s="1966"/>
      <c r="AH32" s="3"/>
      <c r="AI32" s="2325" t="str">
        <f t="shared" si="16"/>
        <v/>
      </c>
      <c r="AJ32" s="2326" t="str">
        <f t="shared" si="17"/>
        <v/>
      </c>
      <c r="AK32" s="2327" t="str">
        <f t="shared" si="18"/>
        <v/>
      </c>
      <c r="AL32" s="2328" t="str">
        <f t="shared" si="19"/>
        <v/>
      </c>
      <c r="AM32" s="2329" t="str">
        <f t="shared" si="20"/>
        <v/>
      </c>
      <c r="AN32" s="2330" t="str">
        <f t="shared" si="11"/>
        <v/>
      </c>
      <c r="AO32" s="2054">
        <f t="shared" si="12"/>
        <v>0</v>
      </c>
      <c r="AP32" s="2368"/>
      <c r="AQ32" s="2368"/>
      <c r="AR32" s="2369"/>
      <c r="AS32" s="2369"/>
      <c r="AT32" s="2369"/>
      <c r="AU32" s="2368"/>
      <c r="AV32" s="2368"/>
      <c r="AW32" s="2370"/>
    </row>
    <row r="33" spans="1:49" ht="48.75" customHeight="1">
      <c r="A33" s="2048" t="str">
        <f>IF(N_Bedarf!$C28&gt;0,N_Bedarf!$C28,"")</f>
        <v/>
      </c>
      <c r="B33" s="2040" t="str">
        <f>IF(AND(COUNTIF($S$11:$S$149,N_Bedarf!$C28)&gt;0,$A33&lt;&gt;""),CONCATENATE(N_Bedarf!F28," (",N_Bedarf!G28,")"),IF(AND($A33&lt;&gt;"",COUNTIF($S$11:$S$149,N_Bedarf!$C28)=0),N_Bedarf!F28,""))</f>
        <v/>
      </c>
      <c r="C33" s="2035" t="str">
        <f t="shared" si="14"/>
        <v/>
      </c>
      <c r="D33" s="2037"/>
      <c r="E33" s="2036" t="str">
        <f t="shared" si="4"/>
        <v/>
      </c>
      <c r="F33" s="2765" t="str">
        <f t="shared" si="5"/>
        <v/>
      </c>
      <c r="G33" s="2766"/>
      <c r="H33" s="2767" t="str">
        <f t="shared" si="1"/>
        <v/>
      </c>
      <c r="I33" s="2767"/>
      <c r="J33" s="2767"/>
      <c r="K33" s="2054"/>
      <c r="L33" s="2054"/>
      <c r="M33" s="2070"/>
      <c r="N33" s="2055">
        <f>IFERROR(IF(AND(COUNTIF($S$11:$S$309,$A33)=0,N_Bedarf!C28=""),0,(IF(COUNTIF($S$11:$S$309,$A33)=0,1,IF(AND(VLOOKUP($A33,$S$11:$V$309,4,0)&lt;2,VLOOKUP($A33,$S$11:$V$309,4,0)&gt;0,OR(N_Bedarf!$F28=N_Bedarf!$AV$70,N_Bedarf!$F28=N_Bedarf!$AV$71,N_Bedarf!$F28=N_Bedarf!$AV$72,N_Bedarf!$F28=N_Bedarf!$AV$73,N_Bedarf!$F28=N_Bedarf!$AV$74,N_Bedarf!$F28=N_Bedarf!$AV$75)),1,0)))),0)</f>
        <v>0</v>
      </c>
      <c r="O33" s="2056">
        <v>31</v>
      </c>
      <c r="P33" s="2056" t="str">
        <f t="shared" si="2"/>
        <v/>
      </c>
      <c r="Q33" s="2058" t="str">
        <f t="shared" si="3"/>
        <v/>
      </c>
      <c r="R33" s="2054"/>
      <c r="S33" s="1952" t="s">
        <v>1740</v>
      </c>
      <c r="T33" s="1953">
        <v>2</v>
      </c>
      <c r="U33" s="2054" t="str">
        <f t="shared" si="13"/>
        <v>m3 / ha</v>
      </c>
      <c r="V33" s="2054">
        <v>1</v>
      </c>
      <c r="W33" s="1967" t="s">
        <v>1739</v>
      </c>
      <c r="X33" s="1966"/>
      <c r="Y33" s="1966">
        <v>11</v>
      </c>
      <c r="Z33" s="1966"/>
      <c r="AA33" s="1966">
        <v>13.8</v>
      </c>
      <c r="AB33" s="1966">
        <v>15.6</v>
      </c>
      <c r="AC33" s="1966"/>
      <c r="AD33" s="1966"/>
      <c r="AE33" s="1966">
        <v>17.600000000000001</v>
      </c>
      <c r="AF33" s="1966"/>
      <c r="AG33" s="1966">
        <v>17.600000000000001</v>
      </c>
      <c r="AH33" s="3"/>
      <c r="AI33" s="2325" t="str">
        <f t="shared" si="16"/>
        <v/>
      </c>
      <c r="AJ33" s="2326" t="str">
        <f t="shared" si="17"/>
        <v/>
      </c>
      <c r="AK33" s="2327" t="str">
        <f t="shared" si="18"/>
        <v/>
      </c>
      <c r="AL33" s="2328" t="str">
        <f t="shared" si="19"/>
        <v/>
      </c>
      <c r="AM33" s="2329" t="str">
        <f t="shared" si="20"/>
        <v/>
      </c>
      <c r="AN33" s="2330" t="str">
        <f t="shared" si="11"/>
        <v/>
      </c>
      <c r="AO33" s="2054">
        <f t="shared" si="12"/>
        <v>0</v>
      </c>
      <c r="AP33" s="2368"/>
      <c r="AQ33" s="2368"/>
      <c r="AR33" s="2369"/>
      <c r="AS33" s="2369"/>
      <c r="AT33" s="2369"/>
      <c r="AU33" s="2368"/>
      <c r="AV33" s="2368"/>
      <c r="AW33" s="2370"/>
    </row>
    <row r="34" spans="1:49" ht="48.75" customHeight="1">
      <c r="A34" s="2048" t="str">
        <f>IF(N_Bedarf!$C29&gt;0,N_Bedarf!$C29,"")</f>
        <v/>
      </c>
      <c r="B34" s="2040" t="str">
        <f>IF(AND(COUNTIF($S$11:$S$149,N_Bedarf!$C29)&gt;0,$A34&lt;&gt;""),CONCATENATE(N_Bedarf!F29," (",N_Bedarf!G29,")"),IF(AND($A34&lt;&gt;"",COUNTIF($S$11:$S$149,N_Bedarf!$C29)=0),N_Bedarf!F29,""))</f>
        <v/>
      </c>
      <c r="C34" s="2035" t="str">
        <f t="shared" si="14"/>
        <v/>
      </c>
      <c r="D34" s="2037"/>
      <c r="E34" s="2036" t="str">
        <f t="shared" si="4"/>
        <v/>
      </c>
      <c r="F34" s="2765" t="str">
        <f t="shared" si="5"/>
        <v/>
      </c>
      <c r="G34" s="2766"/>
      <c r="H34" s="2767" t="str">
        <f t="shared" si="1"/>
        <v/>
      </c>
      <c r="I34" s="2767"/>
      <c r="J34" s="2767"/>
      <c r="K34" s="2054"/>
      <c r="L34" s="2054"/>
      <c r="M34" s="2070"/>
      <c r="N34" s="2055">
        <f>IFERROR(IF(AND(COUNTIF($S$11:$S$309,$A34)=0,N_Bedarf!C29=""),0,(IF(COUNTIF($S$11:$S$309,$A34)=0,1,IF(AND(VLOOKUP($A34,$S$11:$V$309,4,0)&lt;2,VLOOKUP($A34,$S$11:$V$309,4,0)&gt;0,OR(N_Bedarf!$F29=N_Bedarf!$AV$70,N_Bedarf!$F29=N_Bedarf!$AV$71,N_Bedarf!$F29=N_Bedarf!$AV$72,N_Bedarf!$F29=N_Bedarf!$AV$73,N_Bedarf!$F29=N_Bedarf!$AV$74,N_Bedarf!$F29=N_Bedarf!$AV$75)),1,0)))),0)</f>
        <v>0</v>
      </c>
      <c r="O34" s="2056">
        <v>32</v>
      </c>
      <c r="P34" s="2056" t="str">
        <f t="shared" si="2"/>
        <v/>
      </c>
      <c r="Q34" s="2058" t="str">
        <f t="shared" si="3"/>
        <v/>
      </c>
      <c r="R34" s="2054"/>
      <c r="S34" s="1952" t="s">
        <v>1741</v>
      </c>
      <c r="T34" s="1953">
        <v>2</v>
      </c>
      <c r="U34" s="2054" t="str">
        <f t="shared" si="13"/>
        <v>m3 / ha</v>
      </c>
      <c r="V34" s="2054">
        <v>1</v>
      </c>
      <c r="W34" s="1967" t="s">
        <v>1740</v>
      </c>
      <c r="X34" s="1966"/>
      <c r="Y34" s="1966">
        <v>10.3</v>
      </c>
      <c r="Z34" s="1966"/>
      <c r="AA34" s="1966">
        <v>12.8</v>
      </c>
      <c r="AB34" s="1966">
        <v>14.6</v>
      </c>
      <c r="AC34" s="1966"/>
      <c r="AD34" s="1966"/>
      <c r="AE34" s="1966">
        <v>16.399999999999999</v>
      </c>
      <c r="AF34" s="1966"/>
      <c r="AG34" s="1966">
        <v>16.399999999999999</v>
      </c>
      <c r="AH34" s="3"/>
      <c r="AI34" s="2325" t="str">
        <f t="shared" si="16"/>
        <v/>
      </c>
      <c r="AJ34" s="2326" t="str">
        <f t="shared" si="17"/>
        <v/>
      </c>
      <c r="AK34" s="2327" t="str">
        <f t="shared" si="18"/>
        <v/>
      </c>
      <c r="AL34" s="2328" t="str">
        <f t="shared" si="19"/>
        <v/>
      </c>
      <c r="AM34" s="2329" t="str">
        <f t="shared" si="20"/>
        <v/>
      </c>
      <c r="AN34" s="2330" t="str">
        <f t="shared" si="11"/>
        <v/>
      </c>
      <c r="AO34" s="2054">
        <f t="shared" si="12"/>
        <v>0</v>
      </c>
      <c r="AP34" s="2368"/>
      <c r="AQ34" s="2368"/>
      <c r="AR34" s="2369"/>
      <c r="AS34" s="2369"/>
      <c r="AT34" s="2369"/>
      <c r="AU34" s="2368"/>
      <c r="AV34" s="2368"/>
      <c r="AW34" s="2370"/>
    </row>
    <row r="35" spans="1:49" ht="48.75" customHeight="1">
      <c r="A35" s="2048" t="str">
        <f>IF(N_Bedarf!$C30&gt;0,N_Bedarf!$C30,"")</f>
        <v/>
      </c>
      <c r="B35" s="2040" t="str">
        <f>IF(AND(COUNTIF($S$11:$S$149,N_Bedarf!$C30)&gt;0,$A35&lt;&gt;""),CONCATENATE(N_Bedarf!F30," (",N_Bedarf!G30,")"),IF(AND($A35&lt;&gt;"",COUNTIF($S$11:$S$149,N_Bedarf!$C30)=0),N_Bedarf!F30,""))</f>
        <v/>
      </c>
      <c r="C35" s="2035" t="str">
        <f t="shared" si="14"/>
        <v/>
      </c>
      <c r="D35" s="2037"/>
      <c r="E35" s="2036" t="str">
        <f t="shared" si="4"/>
        <v/>
      </c>
      <c r="F35" s="2765" t="str">
        <f t="shared" si="5"/>
        <v/>
      </c>
      <c r="G35" s="2766"/>
      <c r="H35" s="2767" t="str">
        <f t="shared" si="1"/>
        <v/>
      </c>
      <c r="I35" s="2767"/>
      <c r="J35" s="2767"/>
      <c r="K35" s="2054"/>
      <c r="L35" s="2054"/>
      <c r="M35" s="2070"/>
      <c r="N35" s="2055">
        <f>IFERROR(IF(AND(COUNTIF($S$11:$S$309,$A35)=0,N_Bedarf!C30=""),0,(IF(COUNTIF($S$11:$S$309,$A35)=0,1,IF(AND(VLOOKUP($A35,$S$11:$V$309,4,0)&lt;2,VLOOKUP($A35,$S$11:$V$309,4,0)&gt;0,OR(N_Bedarf!$F30=N_Bedarf!$AV$70,N_Bedarf!$F30=N_Bedarf!$AV$71,N_Bedarf!$F30=N_Bedarf!$AV$72,N_Bedarf!$F30=N_Bedarf!$AV$73,N_Bedarf!$F30=N_Bedarf!$AV$74,N_Bedarf!$F30=N_Bedarf!$AV$75)),1,0)))),0)</f>
        <v>0</v>
      </c>
      <c r="O35" s="2056">
        <v>33</v>
      </c>
      <c r="P35" s="2056" t="str">
        <f t="shared" si="2"/>
        <v/>
      </c>
      <c r="Q35" s="2058" t="str">
        <f t="shared" si="3"/>
        <v/>
      </c>
      <c r="R35" s="2054"/>
      <c r="S35" s="1952" t="s">
        <v>1742</v>
      </c>
      <c r="T35" s="1953">
        <v>2</v>
      </c>
      <c r="U35" s="2054" t="str">
        <f t="shared" si="13"/>
        <v>m3 / ha</v>
      </c>
      <c r="V35" s="2054">
        <v>1</v>
      </c>
      <c r="W35" s="1967" t="s">
        <v>1741</v>
      </c>
      <c r="X35" s="1966"/>
      <c r="Y35" s="1966">
        <v>9.1999999999999993</v>
      </c>
      <c r="Z35" s="1966"/>
      <c r="AA35" s="1966">
        <v>11.5</v>
      </c>
      <c r="AB35" s="1966">
        <v>13</v>
      </c>
      <c r="AC35" s="1966"/>
      <c r="AD35" s="1966"/>
      <c r="AE35" s="1966">
        <v>14.6</v>
      </c>
      <c r="AF35" s="1966"/>
      <c r="AG35" s="1966">
        <v>14.6</v>
      </c>
      <c r="AH35" s="3"/>
      <c r="AI35" s="2325" t="str">
        <f t="shared" si="16"/>
        <v/>
      </c>
      <c r="AJ35" s="2326" t="str">
        <f t="shared" si="17"/>
        <v/>
      </c>
      <c r="AK35" s="2327" t="str">
        <f t="shared" si="18"/>
        <v/>
      </c>
      <c r="AL35" s="2328" t="str">
        <f t="shared" si="19"/>
        <v/>
      </c>
      <c r="AM35" s="2329" t="str">
        <f t="shared" si="20"/>
        <v/>
      </c>
      <c r="AN35" s="2330" t="str">
        <f t="shared" si="11"/>
        <v/>
      </c>
      <c r="AO35" s="2054">
        <f t="shared" si="12"/>
        <v>0</v>
      </c>
      <c r="AP35" s="2368"/>
      <c r="AQ35" s="2368"/>
      <c r="AR35" s="2369"/>
      <c r="AS35" s="2369"/>
      <c r="AT35" s="2369"/>
      <c r="AU35" s="2368"/>
      <c r="AV35" s="2368"/>
      <c r="AW35" s="2370"/>
    </row>
    <row r="36" spans="1:49" ht="48.75" customHeight="1">
      <c r="A36" s="2048" t="str">
        <f>IF(N_Bedarf!$C31&gt;0,N_Bedarf!$C31,"")</f>
        <v/>
      </c>
      <c r="B36" s="2040" t="str">
        <f>IF(AND(COUNTIF($S$11:$S$149,N_Bedarf!$C31)&gt;0,$A36&lt;&gt;""),CONCATENATE(N_Bedarf!F31," (",N_Bedarf!G31,")"),IF(AND($A36&lt;&gt;"",COUNTIF($S$11:$S$149,N_Bedarf!$C31)=0),N_Bedarf!F31,""))</f>
        <v/>
      </c>
      <c r="C36" s="2035" t="str">
        <f t="shared" si="14"/>
        <v/>
      </c>
      <c r="D36" s="2037"/>
      <c r="E36" s="2036" t="str">
        <f t="shared" si="4"/>
        <v/>
      </c>
      <c r="F36" s="2765" t="str">
        <f t="shared" si="5"/>
        <v/>
      </c>
      <c r="G36" s="2766"/>
      <c r="H36" s="2767" t="str">
        <f t="shared" si="1"/>
        <v/>
      </c>
      <c r="I36" s="2767"/>
      <c r="J36" s="2767"/>
      <c r="K36" s="2054"/>
      <c r="L36" s="2054"/>
      <c r="M36" s="2070"/>
      <c r="N36" s="2055">
        <f>IFERROR(IF(AND(COUNTIF($S$11:$S$309,$A36)=0,N_Bedarf!C31=""),0,(IF(COUNTIF($S$11:$S$309,$A36)=0,1,IF(AND(VLOOKUP($A36,$S$11:$V$309,4,0)&lt;2,VLOOKUP($A36,$S$11:$V$309,4,0)&gt;0,OR(N_Bedarf!$F31=N_Bedarf!$AV$70,N_Bedarf!$F31=N_Bedarf!$AV$71,N_Bedarf!$F31=N_Bedarf!$AV$72,N_Bedarf!$F31=N_Bedarf!$AV$73,N_Bedarf!$F31=N_Bedarf!$AV$74,N_Bedarf!$F31=N_Bedarf!$AV$75)),1,0)))),0)</f>
        <v>0</v>
      </c>
      <c r="O36" s="2056">
        <v>34</v>
      </c>
      <c r="P36" s="2056" t="str">
        <f t="shared" si="2"/>
        <v/>
      </c>
      <c r="Q36" s="2058" t="str">
        <f t="shared" si="3"/>
        <v/>
      </c>
      <c r="R36" s="2054"/>
      <c r="S36" s="1952" t="s">
        <v>1706</v>
      </c>
      <c r="T36" s="1953">
        <v>0</v>
      </c>
      <c r="U36" s="2054" t="str">
        <f t="shared" si="13"/>
        <v>t / ha</v>
      </c>
      <c r="V36" s="2054">
        <v>1</v>
      </c>
      <c r="W36" s="1967" t="s">
        <v>1742</v>
      </c>
      <c r="X36" s="1966"/>
      <c r="Y36" s="1966">
        <v>8.6999999999999993</v>
      </c>
      <c r="Z36" s="1966"/>
      <c r="AA36" s="1966">
        <v>10.9</v>
      </c>
      <c r="AB36" s="1966"/>
      <c r="AC36" s="1966">
        <v>12.4</v>
      </c>
      <c r="AD36" s="1966"/>
      <c r="AE36" s="1966">
        <v>13.9</v>
      </c>
      <c r="AF36" s="1966"/>
      <c r="AG36" s="1966">
        <v>13.9</v>
      </c>
      <c r="AH36" s="3"/>
      <c r="AI36" s="2325" t="str">
        <f t="shared" si="16"/>
        <v/>
      </c>
      <c r="AJ36" s="2326" t="str">
        <f t="shared" si="17"/>
        <v/>
      </c>
      <c r="AK36" s="2327" t="str">
        <f t="shared" si="18"/>
        <v/>
      </c>
      <c r="AL36" s="2328" t="str">
        <f t="shared" si="19"/>
        <v/>
      </c>
      <c r="AM36" s="2329" t="str">
        <f t="shared" si="20"/>
        <v/>
      </c>
      <c r="AN36" s="2330" t="str">
        <f t="shared" si="11"/>
        <v/>
      </c>
      <c r="AO36" s="2054">
        <f t="shared" si="12"/>
        <v>0</v>
      </c>
      <c r="AP36" s="2368"/>
      <c r="AQ36" s="2368"/>
      <c r="AR36" s="2369"/>
      <c r="AS36" s="2369"/>
      <c r="AT36" s="2369"/>
      <c r="AU36" s="2368"/>
      <c r="AV36" s="2368"/>
      <c r="AW36" s="2370"/>
    </row>
    <row r="37" spans="1:49" ht="48.75" customHeight="1">
      <c r="A37" s="2048" t="str">
        <f>IF(N_Bedarf!$C32&gt;0,N_Bedarf!$C32,"")</f>
        <v/>
      </c>
      <c r="B37" s="2040" t="str">
        <f>IF(AND(COUNTIF($S$11:$S$149,N_Bedarf!$C32)&gt;0,$A37&lt;&gt;""),CONCATENATE(N_Bedarf!F32," (",N_Bedarf!G32,")"),IF(AND($A37&lt;&gt;"",COUNTIF($S$11:$S$149,N_Bedarf!$C32)=0),N_Bedarf!F32,""))</f>
        <v/>
      </c>
      <c r="C37" s="2035" t="str">
        <f t="shared" si="14"/>
        <v/>
      </c>
      <c r="D37" s="2037"/>
      <c r="E37" s="2036" t="str">
        <f t="shared" si="4"/>
        <v/>
      </c>
      <c r="F37" s="2765" t="str">
        <f t="shared" si="5"/>
        <v/>
      </c>
      <c r="G37" s="2766"/>
      <c r="H37" s="2767" t="str">
        <f t="shared" si="1"/>
        <v/>
      </c>
      <c r="I37" s="2767"/>
      <c r="J37" s="2767"/>
      <c r="K37" s="2054"/>
      <c r="L37" s="2054"/>
      <c r="M37" s="2070"/>
      <c r="N37" s="2055">
        <f>IFERROR(IF(AND(COUNTIF($S$11:$S$309,$A37)=0,N_Bedarf!C32=""),0,(IF(COUNTIF($S$11:$S$309,$A37)=0,1,IF(AND(VLOOKUP($A37,$S$11:$V$309,4,0)&lt;2,VLOOKUP($A37,$S$11:$V$309,4,0)&gt;0,OR(N_Bedarf!$F32=N_Bedarf!$AV$70,N_Bedarf!$F32=N_Bedarf!$AV$71,N_Bedarf!$F32=N_Bedarf!$AV$72,N_Bedarf!$F32=N_Bedarf!$AV$73,N_Bedarf!$F32=N_Bedarf!$AV$74,N_Bedarf!$F32=N_Bedarf!$AV$75)),1,0)))),0)</f>
        <v>0</v>
      </c>
      <c r="O37" s="2056">
        <v>35</v>
      </c>
      <c r="P37" s="2056" t="str">
        <f t="shared" si="2"/>
        <v/>
      </c>
      <c r="Q37" s="2058" t="str">
        <f t="shared" si="3"/>
        <v/>
      </c>
      <c r="R37" s="2054"/>
      <c r="S37" s="1952" t="s">
        <v>24</v>
      </c>
      <c r="T37" s="1953">
        <v>0</v>
      </c>
      <c r="U37" s="2054" t="str">
        <f t="shared" si="13"/>
        <v>t / ha</v>
      </c>
      <c r="V37" s="2054">
        <v>1</v>
      </c>
      <c r="W37" s="1967" t="s">
        <v>1706</v>
      </c>
      <c r="X37" s="1966">
        <v>8.5</v>
      </c>
      <c r="Y37" s="1966"/>
      <c r="Z37" s="1966">
        <v>10.5</v>
      </c>
      <c r="AA37" s="1966"/>
      <c r="AB37" s="1966">
        <v>12</v>
      </c>
      <c r="AC37" s="1966"/>
      <c r="AD37" s="1966">
        <v>13.5</v>
      </c>
      <c r="AE37" s="1966"/>
      <c r="AF37" s="1966">
        <v>13.5</v>
      </c>
      <c r="AG37" s="1966"/>
      <c r="AH37" s="3"/>
      <c r="AI37" s="2325" t="str">
        <f t="shared" si="16"/>
        <v/>
      </c>
      <c r="AJ37" s="2326" t="str">
        <f t="shared" si="17"/>
        <v/>
      </c>
      <c r="AK37" s="2327" t="str">
        <f t="shared" si="18"/>
        <v/>
      </c>
      <c r="AL37" s="2328" t="str">
        <f t="shared" si="19"/>
        <v/>
      </c>
      <c r="AM37" s="2329" t="str">
        <f t="shared" si="20"/>
        <v/>
      </c>
      <c r="AN37" s="2330" t="str">
        <f t="shared" si="11"/>
        <v/>
      </c>
      <c r="AO37" s="2054">
        <f t="shared" si="12"/>
        <v>0</v>
      </c>
      <c r="AP37" s="2368"/>
      <c r="AQ37" s="2368"/>
      <c r="AR37" s="2369"/>
      <c r="AS37" s="2369"/>
      <c r="AT37" s="2369"/>
      <c r="AU37" s="2368"/>
      <c r="AV37" s="2368"/>
      <c r="AW37" s="2370"/>
    </row>
    <row r="38" spans="1:49" ht="48.75" customHeight="1">
      <c r="A38" s="2048" t="str">
        <f>IF(N_Bedarf!$C33&gt;0,N_Bedarf!$C33,"")</f>
        <v/>
      </c>
      <c r="B38" s="2040" t="str">
        <f>IF(AND(COUNTIF($S$11:$S$149,N_Bedarf!$C33)&gt;0,$A38&lt;&gt;""),CONCATENATE(N_Bedarf!F33," (",N_Bedarf!G33,")"),IF(AND($A38&lt;&gt;"",COUNTIF($S$11:$S$149,N_Bedarf!$C33)=0),N_Bedarf!F33,""))</f>
        <v/>
      </c>
      <c r="C38" s="2035" t="str">
        <f t="shared" si="14"/>
        <v/>
      </c>
      <c r="D38" s="2037"/>
      <c r="E38" s="2036" t="str">
        <f t="shared" si="4"/>
        <v/>
      </c>
      <c r="F38" s="2765" t="str">
        <f t="shared" si="5"/>
        <v/>
      </c>
      <c r="G38" s="2766"/>
      <c r="H38" s="2767" t="str">
        <f t="shared" si="1"/>
        <v/>
      </c>
      <c r="I38" s="2767"/>
      <c r="J38" s="2767"/>
      <c r="K38" s="2054"/>
      <c r="L38" s="2054"/>
      <c r="M38" s="2070"/>
      <c r="N38" s="2055">
        <f>IFERROR(IF(AND(COUNTIF($S$11:$S$309,$A38)=0,N_Bedarf!C33=""),0,(IF(COUNTIF($S$11:$S$309,$A38)=0,1,IF(AND(VLOOKUP($A38,$S$11:$V$309,4,0)&lt;2,VLOOKUP($A38,$S$11:$V$309,4,0)&gt;0,OR(N_Bedarf!$F33=N_Bedarf!$AV$70,N_Bedarf!$F33=N_Bedarf!$AV$71,N_Bedarf!$F33=N_Bedarf!$AV$72,N_Bedarf!$F33=N_Bedarf!$AV$73,N_Bedarf!$F33=N_Bedarf!$AV$74,N_Bedarf!$F33=N_Bedarf!$AV$75)),1,0)))),0)</f>
        <v>0</v>
      </c>
      <c r="O38" s="2056">
        <v>36</v>
      </c>
      <c r="P38" s="2056" t="str">
        <f t="shared" si="2"/>
        <v/>
      </c>
      <c r="Q38" s="2058" t="str">
        <f t="shared" si="3"/>
        <v/>
      </c>
      <c r="R38" s="2054"/>
      <c r="S38" s="1952" t="s">
        <v>1737</v>
      </c>
      <c r="T38" s="1953">
        <v>2</v>
      </c>
      <c r="U38" s="2054" t="str">
        <f t="shared" si="13"/>
        <v>m3 / ha</v>
      </c>
      <c r="V38" s="2054">
        <v>1</v>
      </c>
      <c r="W38" s="1967" t="s">
        <v>24</v>
      </c>
      <c r="X38" s="1966"/>
      <c r="Y38" s="1966"/>
      <c r="Z38" s="1966"/>
      <c r="AA38" s="1966"/>
      <c r="AB38" s="1966"/>
      <c r="AC38" s="1966"/>
      <c r="AD38" s="1966"/>
      <c r="AE38" s="1966"/>
      <c r="AF38" s="1966"/>
      <c r="AG38" s="1966"/>
      <c r="AH38" s="3"/>
      <c r="AI38" s="2325" t="str">
        <f t="shared" si="16"/>
        <v/>
      </c>
      <c r="AJ38" s="2326" t="str">
        <f t="shared" si="17"/>
        <v/>
      </c>
      <c r="AK38" s="2327" t="str">
        <f t="shared" si="18"/>
        <v/>
      </c>
      <c r="AL38" s="2328" t="str">
        <f t="shared" si="19"/>
        <v/>
      </c>
      <c r="AM38" s="2329" t="str">
        <f t="shared" si="20"/>
        <v/>
      </c>
      <c r="AN38" s="2330" t="str">
        <f t="shared" si="11"/>
        <v/>
      </c>
      <c r="AO38" s="2054">
        <f t="shared" si="12"/>
        <v>0</v>
      </c>
      <c r="AP38" s="2368"/>
      <c r="AQ38" s="2368"/>
      <c r="AR38" s="2369"/>
      <c r="AS38" s="2369"/>
      <c r="AT38" s="2369"/>
      <c r="AU38" s="2368"/>
      <c r="AV38" s="2368"/>
      <c r="AW38" s="2370"/>
    </row>
    <row r="39" spans="1:49" ht="48.75" customHeight="1">
      <c r="A39" s="2048" t="str">
        <f>IF(N_Bedarf!$C34&gt;0,N_Bedarf!$C34,"")</f>
        <v/>
      </c>
      <c r="B39" s="2040" t="str">
        <f>IF(AND(COUNTIF($S$11:$S$149,N_Bedarf!$C34)&gt;0,$A39&lt;&gt;""),CONCATENATE(N_Bedarf!F34," (",N_Bedarf!G34,")"),IF(AND($A39&lt;&gt;"",COUNTIF($S$11:$S$149,N_Bedarf!$C34)=0),N_Bedarf!F34,""))</f>
        <v/>
      </c>
      <c r="C39" s="2035" t="str">
        <f t="shared" si="14"/>
        <v/>
      </c>
      <c r="D39" s="2037"/>
      <c r="E39" s="2036" t="str">
        <f t="shared" si="4"/>
        <v/>
      </c>
      <c r="F39" s="2765" t="str">
        <f t="shared" si="5"/>
        <v/>
      </c>
      <c r="G39" s="2766"/>
      <c r="H39" s="2767" t="str">
        <f t="shared" si="1"/>
        <v/>
      </c>
      <c r="I39" s="2767"/>
      <c r="J39" s="2767"/>
      <c r="K39" s="2054"/>
      <c r="L39" s="2054"/>
      <c r="M39" s="2070"/>
      <c r="N39" s="2055">
        <f>IFERROR(IF(AND(COUNTIF($S$11:$S$309,$A39)=0,N_Bedarf!C34=""),0,(IF(COUNTIF($S$11:$S$309,$A39)=0,1,IF(AND(VLOOKUP($A39,$S$11:$V$309,4,0)&lt;2,VLOOKUP($A39,$S$11:$V$309,4,0)&gt;0,OR(N_Bedarf!$F34=N_Bedarf!$AV$70,N_Bedarf!$F34=N_Bedarf!$AV$71,N_Bedarf!$F34=N_Bedarf!$AV$72,N_Bedarf!$F34=N_Bedarf!$AV$73,N_Bedarf!$F34=N_Bedarf!$AV$74,N_Bedarf!$F34=N_Bedarf!$AV$75)),1,0)))),0)</f>
        <v>0</v>
      </c>
      <c r="O39" s="2056">
        <v>37</v>
      </c>
      <c r="P39" s="2056" t="str">
        <f t="shared" si="2"/>
        <v/>
      </c>
      <c r="Q39" s="2058" t="str">
        <f t="shared" si="3"/>
        <v/>
      </c>
      <c r="R39" s="2054"/>
      <c r="S39" s="1952" t="s">
        <v>1738</v>
      </c>
      <c r="T39" s="1953">
        <v>2</v>
      </c>
      <c r="U39" s="2054" t="str">
        <f t="shared" si="13"/>
        <v>m3 / ha</v>
      </c>
      <c r="V39" s="2054">
        <v>1</v>
      </c>
      <c r="W39" s="1967" t="s">
        <v>1737</v>
      </c>
      <c r="X39" s="1966"/>
      <c r="Y39" s="1966">
        <v>110</v>
      </c>
      <c r="Z39" s="1966"/>
      <c r="AA39" s="1966">
        <v>140</v>
      </c>
      <c r="AB39" s="1966"/>
      <c r="AC39" s="1966">
        <v>160</v>
      </c>
      <c r="AD39" s="1966"/>
      <c r="AE39" s="1966">
        <v>180</v>
      </c>
      <c r="AF39" s="1966"/>
      <c r="AG39" s="1966">
        <v>180</v>
      </c>
      <c r="AH39" s="3"/>
      <c r="AI39" s="2325" t="str">
        <f t="shared" si="16"/>
        <v/>
      </c>
      <c r="AJ39" s="2326" t="str">
        <f t="shared" si="17"/>
        <v/>
      </c>
      <c r="AK39" s="2327" t="str">
        <f t="shared" si="18"/>
        <v/>
      </c>
      <c r="AL39" s="2328" t="str">
        <f t="shared" si="19"/>
        <v/>
      </c>
      <c r="AM39" s="2329" t="str">
        <f t="shared" si="20"/>
        <v/>
      </c>
      <c r="AN39" s="2330" t="str">
        <f t="shared" si="11"/>
        <v/>
      </c>
      <c r="AO39" s="2054">
        <f t="shared" si="12"/>
        <v>0</v>
      </c>
      <c r="AP39" s="2368"/>
      <c r="AQ39" s="2368"/>
      <c r="AR39" s="2369"/>
      <c r="AS39" s="2369"/>
      <c r="AT39" s="2369"/>
      <c r="AU39" s="2368"/>
      <c r="AV39" s="2368"/>
      <c r="AW39" s="2370"/>
    </row>
    <row r="40" spans="1:49" ht="48.75" customHeight="1">
      <c r="A40" s="2048" t="str">
        <f>IF(N_Bedarf!$C35&gt;0,N_Bedarf!$C35,"")</f>
        <v/>
      </c>
      <c r="B40" s="2040" t="str">
        <f>IF(AND(COUNTIF($S$11:$S$149,N_Bedarf!$C35)&gt;0,$A40&lt;&gt;""),CONCATENATE(N_Bedarf!F35," (",N_Bedarf!G35,")"),IF(AND($A40&lt;&gt;"",COUNTIF($S$11:$S$149,N_Bedarf!$C35)=0),N_Bedarf!F35,""))</f>
        <v/>
      </c>
      <c r="C40" s="2035" t="str">
        <f t="shared" si="14"/>
        <v/>
      </c>
      <c r="D40" s="2037"/>
      <c r="E40" s="2036" t="str">
        <f t="shared" si="4"/>
        <v/>
      </c>
      <c r="F40" s="2765" t="str">
        <f t="shared" si="5"/>
        <v/>
      </c>
      <c r="G40" s="2766"/>
      <c r="H40" s="2767" t="str">
        <f t="shared" si="1"/>
        <v/>
      </c>
      <c r="I40" s="2767"/>
      <c r="J40" s="2767"/>
      <c r="K40" s="2054"/>
      <c r="L40" s="2054"/>
      <c r="M40" s="2070"/>
      <c r="N40" s="2055">
        <f>IFERROR(IF(AND(COUNTIF($S$11:$S$309,$A40)=0,N_Bedarf!C35=""),0,(IF(COUNTIF($S$11:$S$309,$A40)=0,1,IF(AND(VLOOKUP($A40,$S$11:$V$309,4,0)&lt;2,VLOOKUP($A40,$S$11:$V$309,4,0)&gt;0,OR(N_Bedarf!$F35=N_Bedarf!$AV$70,N_Bedarf!$F35=N_Bedarf!$AV$71,N_Bedarf!$F35=N_Bedarf!$AV$72,N_Bedarf!$F35=N_Bedarf!$AV$73,N_Bedarf!$F35=N_Bedarf!$AV$74,N_Bedarf!$F35=N_Bedarf!$AV$75)),1,0)))),0)</f>
        <v>0</v>
      </c>
      <c r="O40" s="2056">
        <v>38</v>
      </c>
      <c r="P40" s="2056" t="str">
        <f t="shared" si="2"/>
        <v/>
      </c>
      <c r="Q40" s="2058" t="str">
        <f t="shared" si="3"/>
        <v/>
      </c>
      <c r="R40" s="2054"/>
      <c r="S40" s="1952" t="s">
        <v>15</v>
      </c>
      <c r="T40" s="1953">
        <v>0</v>
      </c>
      <c r="U40" s="2054" t="str">
        <f t="shared" si="13"/>
        <v>t / ha</v>
      </c>
      <c r="V40" s="2054">
        <v>1</v>
      </c>
      <c r="W40" s="1967" t="s">
        <v>1738</v>
      </c>
      <c r="X40" s="1966"/>
      <c r="Y40" s="1966">
        <v>55</v>
      </c>
      <c r="Z40" s="1966"/>
      <c r="AA40" s="1966">
        <v>70</v>
      </c>
      <c r="AB40" s="1966"/>
      <c r="AC40" s="1966">
        <v>80</v>
      </c>
      <c r="AD40" s="1966"/>
      <c r="AE40" s="1966">
        <v>90</v>
      </c>
      <c r="AF40" s="1966"/>
      <c r="AG40" s="1966">
        <v>90</v>
      </c>
      <c r="AH40" s="3"/>
      <c r="AI40" s="2325" t="str">
        <f t="shared" si="16"/>
        <v/>
      </c>
      <c r="AJ40" s="2326" t="str">
        <f t="shared" si="17"/>
        <v/>
      </c>
      <c r="AK40" s="2327" t="str">
        <f t="shared" si="18"/>
        <v/>
      </c>
      <c r="AL40" s="2328" t="str">
        <f t="shared" si="19"/>
        <v/>
      </c>
      <c r="AM40" s="2329" t="str">
        <f t="shared" si="20"/>
        <v/>
      </c>
      <c r="AN40" s="2330" t="str">
        <f t="shared" si="11"/>
        <v/>
      </c>
      <c r="AO40" s="2054">
        <f t="shared" si="12"/>
        <v>0</v>
      </c>
      <c r="AP40" s="2368"/>
      <c r="AQ40" s="2368"/>
      <c r="AR40" s="2369"/>
      <c r="AS40" s="2369"/>
      <c r="AT40" s="2369"/>
      <c r="AU40" s="2368"/>
      <c r="AV40" s="2368"/>
      <c r="AW40" s="2370"/>
    </row>
    <row r="41" spans="1:49" ht="48.75" customHeight="1">
      <c r="A41" s="2048" t="str">
        <f>IF(N_Bedarf!$C36&gt;0,N_Bedarf!$C36,"")</f>
        <v/>
      </c>
      <c r="B41" s="2040" t="str">
        <f>IF(AND(COUNTIF($S$11:$S$149,N_Bedarf!$C36)&gt;0,$A41&lt;&gt;""),CONCATENATE(N_Bedarf!F36," (",N_Bedarf!G36,")"),IF(AND($A41&lt;&gt;"",COUNTIF($S$11:$S$149,N_Bedarf!$C36)=0),N_Bedarf!F36,""))</f>
        <v/>
      </c>
      <c r="C41" s="2035" t="str">
        <f t="shared" si="14"/>
        <v/>
      </c>
      <c r="D41" s="2037"/>
      <c r="E41" s="2036" t="str">
        <f t="shared" si="4"/>
        <v/>
      </c>
      <c r="F41" s="2765" t="str">
        <f t="shared" si="5"/>
        <v/>
      </c>
      <c r="G41" s="2766"/>
      <c r="H41" s="2767" t="str">
        <f t="shared" si="1"/>
        <v/>
      </c>
      <c r="I41" s="2767"/>
      <c r="J41" s="2767"/>
      <c r="K41" s="2054"/>
      <c r="L41" s="2054"/>
      <c r="M41" s="2070"/>
      <c r="N41" s="2055">
        <f>IFERROR(IF(AND(COUNTIF($S$11:$S$309,$A41)=0,N_Bedarf!C36=""),0,(IF(COUNTIF($S$11:$S$309,$A41)=0,1,IF(AND(VLOOKUP($A41,$S$11:$V$309,4,0)&lt;2,VLOOKUP($A41,$S$11:$V$309,4,0)&gt;0,OR(N_Bedarf!$F36=N_Bedarf!$AV$70,N_Bedarf!$F36=N_Bedarf!$AV$71,N_Bedarf!$F36=N_Bedarf!$AV$72,N_Bedarf!$F36=N_Bedarf!$AV$73,N_Bedarf!$F36=N_Bedarf!$AV$74,N_Bedarf!$F36=N_Bedarf!$AV$75)),1,0)))),0)</f>
        <v>0</v>
      </c>
      <c r="O41" s="2056">
        <v>39</v>
      </c>
      <c r="P41" s="2056" t="str">
        <f t="shared" si="2"/>
        <v/>
      </c>
      <c r="Q41" s="2058" t="str">
        <f t="shared" si="3"/>
        <v/>
      </c>
      <c r="R41" s="2054"/>
      <c r="S41" s="1952" t="s">
        <v>1997</v>
      </c>
      <c r="T41" s="1953">
        <v>0</v>
      </c>
      <c r="U41" s="2054" t="str">
        <f t="shared" si="13"/>
        <v>t / ha</v>
      </c>
      <c r="V41" s="2054">
        <v>1</v>
      </c>
      <c r="W41" s="1967" t="s">
        <v>15</v>
      </c>
      <c r="X41" s="1966">
        <v>40</v>
      </c>
      <c r="Y41" s="1966"/>
      <c r="Z41" s="1966">
        <v>50</v>
      </c>
      <c r="AA41" s="1966"/>
      <c r="AB41" s="1966">
        <v>57.5</v>
      </c>
      <c r="AC41" s="1966"/>
      <c r="AD41" s="1966">
        <v>65</v>
      </c>
      <c r="AE41" s="1966"/>
      <c r="AF41" s="1966">
        <v>65</v>
      </c>
      <c r="AG41" s="1966"/>
      <c r="AH41" s="3"/>
      <c r="AI41" s="2325" t="str">
        <f t="shared" si="16"/>
        <v/>
      </c>
      <c r="AJ41" s="2326" t="str">
        <f t="shared" si="17"/>
        <v/>
      </c>
      <c r="AK41" s="2327" t="str">
        <f t="shared" si="18"/>
        <v/>
      </c>
      <c r="AL41" s="2328" t="str">
        <f t="shared" si="19"/>
        <v/>
      </c>
      <c r="AM41" s="2329" t="str">
        <f t="shared" si="20"/>
        <v/>
      </c>
      <c r="AN41" s="2330" t="str">
        <f t="shared" si="11"/>
        <v/>
      </c>
      <c r="AO41" s="2054">
        <f t="shared" si="12"/>
        <v>0</v>
      </c>
      <c r="AP41" s="2368"/>
      <c r="AQ41" s="2368"/>
      <c r="AR41" s="2369"/>
      <c r="AS41" s="2369"/>
      <c r="AT41" s="2369"/>
      <c r="AU41" s="2368"/>
      <c r="AV41" s="2368"/>
      <c r="AW41" s="2370"/>
    </row>
    <row r="42" spans="1:49" ht="48.75" customHeight="1">
      <c r="A42" s="2048" t="str">
        <f>IF(N_Bedarf!$C37&gt;0,N_Bedarf!$C37,"")</f>
        <v/>
      </c>
      <c r="B42" s="2040" t="str">
        <f>IF(AND(COUNTIF($S$11:$S$149,N_Bedarf!$C37)&gt;0,$A42&lt;&gt;""),CONCATENATE(N_Bedarf!F37," (",N_Bedarf!G37,")"),IF(AND($A42&lt;&gt;"",COUNTIF($S$11:$S$149,N_Bedarf!$C37)=0),N_Bedarf!F37,""))</f>
        <v/>
      </c>
      <c r="C42" s="2035" t="str">
        <f t="shared" si="14"/>
        <v/>
      </c>
      <c r="D42" s="2037"/>
      <c r="E42" s="2036" t="str">
        <f t="shared" si="4"/>
        <v/>
      </c>
      <c r="F42" s="2765" t="str">
        <f t="shared" si="5"/>
        <v/>
      </c>
      <c r="G42" s="2766"/>
      <c r="H42" s="2767" t="str">
        <f t="shared" si="1"/>
        <v/>
      </c>
      <c r="I42" s="2767"/>
      <c r="J42" s="2767"/>
      <c r="K42" s="2054"/>
      <c r="L42" s="2054"/>
      <c r="M42" s="2070"/>
      <c r="N42" s="2055">
        <f>IFERROR(IF(AND(COUNTIF($S$11:$S$309,$A42)=0,N_Bedarf!C37=""),0,(IF(COUNTIF($S$11:$S$309,$A42)=0,1,IF(AND(VLOOKUP($A42,$S$11:$V$309,4,0)&lt;2,VLOOKUP($A42,$S$11:$V$309,4,0)&gt;0,OR(N_Bedarf!$F37=N_Bedarf!$AV$70,N_Bedarf!$F37=N_Bedarf!$AV$71,N_Bedarf!$F37=N_Bedarf!$AV$72,N_Bedarf!$F37=N_Bedarf!$AV$73,N_Bedarf!$F37=N_Bedarf!$AV$74,N_Bedarf!$F37=N_Bedarf!$AV$75)),1,0)))),0)</f>
        <v>0</v>
      </c>
      <c r="O42" s="2056">
        <v>40</v>
      </c>
      <c r="P42" s="2056" t="str">
        <f t="shared" ref="P42:P60" si="21">IFERROR(IF(AND($A42&lt;&gt;"",(COUNTIF($S$11:$S$224,$A42)=0)),"t / ha",IF(AND($A42&lt;&gt;"",VLOOKUP($A42,$S$11:$T$224,2,0)=0),"t / ha",IF(AND($A42&lt;&gt;"",VLOOKUP($A42,$S$11:$T$224,2,0)=""),"t / ha",IF(VLOOKUP($A42,$S$11:$T$224,2,0)=1,"t / ha",IF(VLOOKUP($A42,$S$11:$T$224,2,0)=2,"m3 / ha",""))))),"")</f>
        <v/>
      </c>
      <c r="Q42" s="2058" t="str">
        <f t="shared" ref="Q42:Q60" si="22">IFERROR(IF(AND($A42&lt;&gt;"",(COUNTIF($S$11:$S$224,$A42)=0)),"m3 / ha",IF(AND($A42&lt;&gt;"",VLOOKUP($A42,$S$11:$T$224,2,0)=0),"",IF(AND($A42&lt;&gt;"",VLOOKUP($A42,$S$11:$T$224,2,0)=""),"m3 / ha",IF(VLOOKUP($A42,$S$11:$T$224,2,0)=1,"m3 / ha",IF(VLOOKUP($A42,$S$11:$T$224,2,0)=2,"",""))))),"")</f>
        <v/>
      </c>
      <c r="R42" s="2054"/>
      <c r="S42" s="1952" t="s">
        <v>341</v>
      </c>
      <c r="T42" s="1953">
        <v>0</v>
      </c>
      <c r="U42" s="2054" t="str">
        <f t="shared" si="13"/>
        <v>t / ha</v>
      </c>
      <c r="V42" s="2054">
        <v>1</v>
      </c>
      <c r="W42" s="1967" t="s">
        <v>1997</v>
      </c>
      <c r="X42" s="1966">
        <v>3</v>
      </c>
      <c r="Y42" s="1966"/>
      <c r="Z42" s="1966">
        <v>5</v>
      </c>
      <c r="AA42" s="1966"/>
      <c r="AB42" s="1966">
        <v>5</v>
      </c>
      <c r="AC42" s="1966"/>
      <c r="AD42" s="1966">
        <v>5</v>
      </c>
      <c r="AE42" s="1966"/>
      <c r="AF42" s="1966">
        <v>5</v>
      </c>
      <c r="AG42" s="1966"/>
      <c r="AH42" s="3"/>
      <c r="AI42" s="2325" t="str">
        <f t="shared" ref="AI42:AI60" si="23">IF(A42&gt;0,CONCATENATE(A42,B42,E42),"")</f>
        <v/>
      </c>
      <c r="AJ42" s="2326" t="str">
        <f t="shared" ref="AJ42:AJ60" si="24">B42</f>
        <v/>
      </c>
      <c r="AK42" s="2327" t="str">
        <f t="shared" ref="AK42:AK60" si="25">IF(C42&gt;0,C42,"")</f>
        <v/>
      </c>
      <c r="AL42" s="2328" t="str">
        <f t="shared" ref="AL42:AL60" si="26">IF(D42&gt;0,D42,"")</f>
        <v/>
      </c>
      <c r="AM42" s="2329" t="str">
        <f t="shared" ref="AM42:AM60" si="27">E42</f>
        <v/>
      </c>
      <c r="AN42" s="2330" t="str">
        <f t="shared" si="11"/>
        <v/>
      </c>
      <c r="AO42" s="2054">
        <f t="shared" si="12"/>
        <v>0</v>
      </c>
      <c r="AP42" s="2368"/>
      <c r="AQ42" s="2368"/>
      <c r="AR42" s="2369"/>
      <c r="AS42" s="2369"/>
      <c r="AT42" s="2369"/>
      <c r="AU42" s="2368"/>
      <c r="AV42" s="2368"/>
      <c r="AW42" s="2370"/>
    </row>
    <row r="43" spans="1:49" ht="48.75" customHeight="1">
      <c r="A43" s="2048" t="str">
        <f>IF(N_Bedarf!$C38&gt;0,N_Bedarf!$C38,"")</f>
        <v/>
      </c>
      <c r="B43" s="2040" t="str">
        <f>IF(AND(COUNTIF($S$11:$S$149,N_Bedarf!$C38)&gt;0,$A43&lt;&gt;""),CONCATENATE(N_Bedarf!F38," (",N_Bedarf!G38,")"),IF(AND($A43&lt;&gt;"",COUNTIF($S$11:$S$149,N_Bedarf!$C38)=0),N_Bedarf!F38,""))</f>
        <v/>
      </c>
      <c r="C43" s="2035" t="str">
        <f t="shared" si="14"/>
        <v/>
      </c>
      <c r="D43" s="2037"/>
      <c r="E43" s="2036" t="str">
        <f t="shared" si="4"/>
        <v/>
      </c>
      <c r="F43" s="2765" t="str">
        <f t="shared" si="5"/>
        <v/>
      </c>
      <c r="G43" s="2766"/>
      <c r="H43" s="2767" t="str">
        <f t="shared" si="1"/>
        <v/>
      </c>
      <c r="I43" s="2767"/>
      <c r="J43" s="2767"/>
      <c r="K43" s="2054"/>
      <c r="L43" s="2054"/>
      <c r="M43" s="2070"/>
      <c r="N43" s="2055">
        <f>IFERROR(IF(AND(COUNTIF($S$11:$S$309,$A43)=0,N_Bedarf!C38=""),0,(IF(COUNTIF($S$11:$S$309,$A43)=0,1,IF(AND(VLOOKUP($A43,$S$11:$V$309,4,0)&lt;2,VLOOKUP($A43,$S$11:$V$309,4,0)&gt;0,OR(N_Bedarf!$F38=N_Bedarf!$AV$70,N_Bedarf!$F38=N_Bedarf!$AV$71,N_Bedarf!$F38=N_Bedarf!$AV$72,N_Bedarf!$F38=N_Bedarf!$AV$73,N_Bedarf!$F38=N_Bedarf!$AV$74,N_Bedarf!$F38=N_Bedarf!$AV$75)),1,0)))),0)</f>
        <v>0</v>
      </c>
      <c r="O43" s="2056">
        <v>41</v>
      </c>
      <c r="P43" s="2056" t="str">
        <f t="shared" si="21"/>
        <v/>
      </c>
      <c r="Q43" s="2058" t="str">
        <f t="shared" si="22"/>
        <v/>
      </c>
      <c r="R43" s="2054"/>
      <c r="S43" s="1952" t="s">
        <v>1743</v>
      </c>
      <c r="T43" s="1953">
        <v>1</v>
      </c>
      <c r="U43" s="2054" t="str">
        <f t="shared" si="13"/>
        <v/>
      </c>
      <c r="V43" s="2054">
        <v>1</v>
      </c>
      <c r="W43" s="1967" t="s">
        <v>341</v>
      </c>
      <c r="X43" s="1966">
        <v>6.5</v>
      </c>
      <c r="Y43" s="1966"/>
      <c r="Z43" s="1966">
        <v>8</v>
      </c>
      <c r="AA43" s="1966"/>
      <c r="AB43" s="1966">
        <v>9.5</v>
      </c>
      <c r="AC43" s="1966"/>
      <c r="AD43" s="1966">
        <v>10.5</v>
      </c>
      <c r="AE43" s="1966"/>
      <c r="AF43" s="1966">
        <v>10.5</v>
      </c>
      <c r="AG43" s="1966"/>
      <c r="AH43" s="3"/>
      <c r="AI43" s="2325" t="str">
        <f t="shared" si="23"/>
        <v/>
      </c>
      <c r="AJ43" s="2326" t="str">
        <f t="shared" si="24"/>
        <v/>
      </c>
      <c r="AK43" s="2327" t="str">
        <f t="shared" si="25"/>
        <v/>
      </c>
      <c r="AL43" s="2328" t="str">
        <f t="shared" si="26"/>
        <v/>
      </c>
      <c r="AM43" s="2329" t="str">
        <f t="shared" si="27"/>
        <v/>
      </c>
      <c r="AN43" s="2330" t="str">
        <f t="shared" si="11"/>
        <v/>
      </c>
      <c r="AO43" s="2054">
        <f t="shared" si="12"/>
        <v>0</v>
      </c>
      <c r="AP43" s="2368"/>
      <c r="AQ43" s="2368"/>
      <c r="AR43" s="2369"/>
      <c r="AS43" s="2369"/>
      <c r="AT43" s="2369"/>
      <c r="AU43" s="2368"/>
      <c r="AV43" s="2368"/>
      <c r="AW43" s="2370"/>
    </row>
    <row r="44" spans="1:49" ht="48.75" customHeight="1">
      <c r="A44" s="2048" t="str">
        <f>IF(N_Bedarf!$C39&gt;0,N_Bedarf!$C39,"")</f>
        <v/>
      </c>
      <c r="B44" s="2040" t="str">
        <f>IF(AND(COUNTIF($S$11:$S$149,N_Bedarf!$C39)&gt;0,$A44&lt;&gt;""),CONCATENATE(N_Bedarf!F39," (",N_Bedarf!G39,")"),IF(AND($A44&lt;&gt;"",COUNTIF($S$11:$S$149,N_Bedarf!$C39)=0),N_Bedarf!F39,""))</f>
        <v/>
      </c>
      <c r="C44" s="2035" t="str">
        <f t="shared" si="14"/>
        <v/>
      </c>
      <c r="D44" s="2037"/>
      <c r="E44" s="2036" t="str">
        <f t="shared" si="4"/>
        <v/>
      </c>
      <c r="F44" s="2765" t="str">
        <f t="shared" si="5"/>
        <v/>
      </c>
      <c r="G44" s="2766"/>
      <c r="H44" s="2767" t="str">
        <f t="shared" si="1"/>
        <v/>
      </c>
      <c r="I44" s="2767"/>
      <c r="J44" s="2767"/>
      <c r="K44" s="2054"/>
      <c r="L44" s="2054"/>
      <c r="M44" s="2070"/>
      <c r="N44" s="2055">
        <f>IFERROR(IF(AND(COUNTIF($S$11:$S$309,$A44)=0,N_Bedarf!C39=""),0,(IF(COUNTIF($S$11:$S$309,$A44)=0,1,IF(AND(VLOOKUP($A44,$S$11:$V$309,4,0)&lt;2,VLOOKUP($A44,$S$11:$V$309,4,0)&gt;0,OR(N_Bedarf!$F39=N_Bedarf!$AV$70,N_Bedarf!$F39=N_Bedarf!$AV$71,N_Bedarf!$F39=N_Bedarf!$AV$72,N_Bedarf!$F39=N_Bedarf!$AV$73,N_Bedarf!$F39=N_Bedarf!$AV$74,N_Bedarf!$F39=N_Bedarf!$AV$75)),1,0)))),0)</f>
        <v>0</v>
      </c>
      <c r="O44" s="2056">
        <v>42</v>
      </c>
      <c r="P44" s="2056" t="str">
        <f t="shared" si="21"/>
        <v/>
      </c>
      <c r="Q44" s="2058" t="str">
        <f t="shared" si="22"/>
        <v/>
      </c>
      <c r="R44" s="2054"/>
      <c r="S44" s="1952" t="s">
        <v>434</v>
      </c>
      <c r="T44" s="1953">
        <v>0</v>
      </c>
      <c r="U44" s="2054" t="str">
        <f t="shared" si="13"/>
        <v>t / ha</v>
      </c>
      <c r="V44" s="2054">
        <v>1</v>
      </c>
      <c r="W44" s="1967" t="s">
        <v>1743</v>
      </c>
      <c r="X44" s="1966"/>
      <c r="Y44" s="1966">
        <v>180</v>
      </c>
      <c r="Z44" s="1966"/>
      <c r="AA44" s="1966">
        <v>225</v>
      </c>
      <c r="AB44" s="1966"/>
      <c r="AC44" s="1966">
        <v>255</v>
      </c>
      <c r="AD44" s="1966"/>
      <c r="AE44" s="1966">
        <v>285</v>
      </c>
      <c r="AF44" s="1966"/>
      <c r="AG44" s="1966">
        <v>285</v>
      </c>
      <c r="AH44" s="3"/>
      <c r="AI44" s="2325" t="str">
        <f t="shared" si="23"/>
        <v/>
      </c>
      <c r="AJ44" s="2326" t="str">
        <f t="shared" si="24"/>
        <v/>
      </c>
      <c r="AK44" s="2327" t="str">
        <f t="shared" si="25"/>
        <v/>
      </c>
      <c r="AL44" s="2328" t="str">
        <f t="shared" si="26"/>
        <v/>
      </c>
      <c r="AM44" s="2329" t="str">
        <f t="shared" si="27"/>
        <v/>
      </c>
      <c r="AN44" s="2330" t="str">
        <f t="shared" si="11"/>
        <v/>
      </c>
      <c r="AO44" s="2054">
        <f t="shared" si="12"/>
        <v>0</v>
      </c>
      <c r="AP44" s="2368"/>
      <c r="AQ44" s="2368"/>
      <c r="AR44" s="2369"/>
      <c r="AS44" s="2369"/>
      <c r="AT44" s="2369"/>
      <c r="AU44" s="2368"/>
      <c r="AV44" s="2368"/>
      <c r="AW44" s="2370"/>
    </row>
    <row r="45" spans="1:49" ht="48.75" customHeight="1">
      <c r="A45" s="2048" t="str">
        <f>IF(N_Bedarf!$C40&gt;0,N_Bedarf!$C40,"")</f>
        <v/>
      </c>
      <c r="B45" s="2040" t="str">
        <f>IF(AND(COUNTIF($S$11:$S$149,N_Bedarf!$C40)&gt;0,$A45&lt;&gt;""),CONCATENATE(N_Bedarf!F40," (",N_Bedarf!G40,")"),IF(AND($A45&lt;&gt;"",COUNTIF($S$11:$S$149,N_Bedarf!$C40)=0),N_Bedarf!F40,""))</f>
        <v/>
      </c>
      <c r="C45" s="2035" t="str">
        <f t="shared" si="14"/>
        <v/>
      </c>
      <c r="D45" s="2037"/>
      <c r="E45" s="2036" t="str">
        <f t="shared" si="4"/>
        <v/>
      </c>
      <c r="F45" s="2765" t="str">
        <f t="shared" si="5"/>
        <v/>
      </c>
      <c r="G45" s="2766"/>
      <c r="H45" s="2767" t="str">
        <f t="shared" si="1"/>
        <v/>
      </c>
      <c r="I45" s="2767"/>
      <c r="J45" s="2767"/>
      <c r="K45" s="2054"/>
      <c r="L45" s="2054"/>
      <c r="M45" s="2070"/>
      <c r="N45" s="2055">
        <f>IFERROR(IF(AND(COUNTIF($S$11:$S$309,$A45)=0,N_Bedarf!C40=""),0,(IF(COUNTIF($S$11:$S$309,$A45)=0,1,IF(AND(VLOOKUP($A45,$S$11:$V$309,4,0)&lt;2,VLOOKUP($A45,$S$11:$V$309,4,0)&gt;0,OR(N_Bedarf!$F40=N_Bedarf!$AV$70,N_Bedarf!$F40=N_Bedarf!$AV$71,N_Bedarf!$F40=N_Bedarf!$AV$72,N_Bedarf!$F40=N_Bedarf!$AV$73,N_Bedarf!$F40=N_Bedarf!$AV$74,N_Bedarf!$F40=N_Bedarf!$AV$75)),1,0)))),0)</f>
        <v>0</v>
      </c>
      <c r="O45" s="2056">
        <v>43</v>
      </c>
      <c r="P45" s="2056" t="str">
        <f t="shared" si="21"/>
        <v/>
      </c>
      <c r="Q45" s="2058" t="str">
        <f t="shared" si="22"/>
        <v/>
      </c>
      <c r="R45" s="2054"/>
      <c r="S45" s="1952" t="s">
        <v>1716</v>
      </c>
      <c r="T45" s="1953">
        <v>0</v>
      </c>
      <c r="U45" s="2054" t="str">
        <f t="shared" si="13"/>
        <v>t / ha</v>
      </c>
      <c r="V45" s="2054">
        <v>1</v>
      </c>
      <c r="W45" s="1967" t="s">
        <v>434</v>
      </c>
      <c r="X45" s="1966">
        <v>3</v>
      </c>
      <c r="Y45" s="1966"/>
      <c r="Z45" s="1966">
        <v>3.5</v>
      </c>
      <c r="AA45" s="1966"/>
      <c r="AB45" s="1966">
        <v>4.25</v>
      </c>
      <c r="AC45" s="1966"/>
      <c r="AD45" s="1966">
        <v>5</v>
      </c>
      <c r="AE45" s="1966"/>
      <c r="AF45" s="1966">
        <v>5</v>
      </c>
      <c r="AG45" s="1966"/>
      <c r="AH45" s="3"/>
      <c r="AI45" s="2325" t="str">
        <f t="shared" si="23"/>
        <v/>
      </c>
      <c r="AJ45" s="2326" t="str">
        <f t="shared" si="24"/>
        <v/>
      </c>
      <c r="AK45" s="2327" t="str">
        <f t="shared" si="25"/>
        <v/>
      </c>
      <c r="AL45" s="2328" t="str">
        <f t="shared" si="26"/>
        <v/>
      </c>
      <c r="AM45" s="2329" t="str">
        <f t="shared" si="27"/>
        <v/>
      </c>
      <c r="AN45" s="2330" t="str">
        <f t="shared" si="11"/>
        <v/>
      </c>
      <c r="AO45" s="2054">
        <f t="shared" si="12"/>
        <v>0</v>
      </c>
      <c r="AP45" s="2368"/>
      <c r="AQ45" s="2368"/>
      <c r="AR45" s="2369"/>
      <c r="AS45" s="2369"/>
      <c r="AT45" s="2369"/>
      <c r="AU45" s="2368"/>
      <c r="AV45" s="2368"/>
      <c r="AW45" s="2370"/>
    </row>
    <row r="46" spans="1:49" ht="48.75" customHeight="1">
      <c r="A46" s="2048" t="str">
        <f>IF(N_Bedarf!$C41&gt;0,N_Bedarf!$C41,"")</f>
        <v/>
      </c>
      <c r="B46" s="2040" t="str">
        <f>IF(AND(COUNTIF($S$11:$S$149,N_Bedarf!$C41)&gt;0,$A46&lt;&gt;""),CONCATENATE(N_Bedarf!F41," (",N_Bedarf!G41,")"),IF(AND($A46&lt;&gt;"",COUNTIF($S$11:$S$149,N_Bedarf!$C41)=0),N_Bedarf!F41,""))</f>
        <v/>
      </c>
      <c r="C46" s="2035" t="str">
        <f t="shared" si="14"/>
        <v/>
      </c>
      <c r="D46" s="2037"/>
      <c r="E46" s="2036" t="str">
        <f t="shared" si="4"/>
        <v/>
      </c>
      <c r="F46" s="2765" t="str">
        <f t="shared" si="5"/>
        <v/>
      </c>
      <c r="G46" s="2766"/>
      <c r="H46" s="2767" t="str">
        <f t="shared" si="1"/>
        <v/>
      </c>
      <c r="I46" s="2767"/>
      <c r="J46" s="2767"/>
      <c r="K46" s="2054"/>
      <c r="L46" s="2054"/>
      <c r="M46" s="2070"/>
      <c r="N46" s="2055">
        <f>IFERROR(IF(AND(COUNTIF($S$11:$S$309,$A46)=0,N_Bedarf!C41=""),0,(IF(COUNTIF($S$11:$S$309,$A46)=0,1,IF(AND(VLOOKUP($A46,$S$11:$V$309,4,0)&lt;2,VLOOKUP($A46,$S$11:$V$309,4,0)&gt;0,OR(N_Bedarf!$F41=N_Bedarf!$AV$70,N_Bedarf!$F41=N_Bedarf!$AV$71,N_Bedarf!$F41=N_Bedarf!$AV$72,N_Bedarf!$F41=N_Bedarf!$AV$73,N_Bedarf!$F41=N_Bedarf!$AV$74,N_Bedarf!$F41=N_Bedarf!$AV$75)),1,0)))),0)</f>
        <v>0</v>
      </c>
      <c r="O46" s="2056">
        <v>44</v>
      </c>
      <c r="P46" s="2056" t="str">
        <f t="shared" si="21"/>
        <v/>
      </c>
      <c r="Q46" s="2058" t="str">
        <f t="shared" si="22"/>
        <v/>
      </c>
      <c r="R46" s="2054"/>
      <c r="S46" s="1952" t="s">
        <v>1710</v>
      </c>
      <c r="T46" s="1953">
        <v>0</v>
      </c>
      <c r="U46" s="2054" t="str">
        <f t="shared" si="13"/>
        <v>t / ha</v>
      </c>
      <c r="V46" s="2054">
        <v>1</v>
      </c>
      <c r="W46" s="1967" t="s">
        <v>1716</v>
      </c>
      <c r="X46" s="1966">
        <v>3</v>
      </c>
      <c r="Y46" s="1966"/>
      <c r="Z46" s="1966">
        <v>3.5</v>
      </c>
      <c r="AA46" s="1966"/>
      <c r="AB46" s="1966">
        <v>4.25</v>
      </c>
      <c r="AC46" s="1966"/>
      <c r="AD46" s="1966">
        <v>5</v>
      </c>
      <c r="AE46" s="1966"/>
      <c r="AF46" s="1966">
        <v>5</v>
      </c>
      <c r="AG46" s="1966"/>
      <c r="AH46" s="3"/>
      <c r="AI46" s="2325" t="str">
        <f t="shared" si="23"/>
        <v/>
      </c>
      <c r="AJ46" s="2326" t="str">
        <f t="shared" si="24"/>
        <v/>
      </c>
      <c r="AK46" s="2327" t="str">
        <f t="shared" si="25"/>
        <v/>
      </c>
      <c r="AL46" s="2328" t="str">
        <f t="shared" si="26"/>
        <v/>
      </c>
      <c r="AM46" s="2329" t="str">
        <f t="shared" si="27"/>
        <v/>
      </c>
      <c r="AN46" s="2330" t="str">
        <f t="shared" si="11"/>
        <v/>
      </c>
      <c r="AO46" s="2054">
        <f t="shared" si="12"/>
        <v>0</v>
      </c>
      <c r="AP46" s="2368"/>
      <c r="AQ46" s="2368"/>
      <c r="AR46" s="2369"/>
      <c r="AS46" s="2369"/>
      <c r="AT46" s="2369"/>
      <c r="AU46" s="2368"/>
      <c r="AV46" s="2368"/>
      <c r="AW46" s="2370"/>
    </row>
    <row r="47" spans="1:49" ht="48.75" customHeight="1">
      <c r="A47" s="2048" t="str">
        <f>IF(N_Bedarf!$C42&gt;0,N_Bedarf!$C42,"")</f>
        <v/>
      </c>
      <c r="B47" s="2040" t="str">
        <f>IF(AND(COUNTIF($S$11:$S$149,N_Bedarf!$C42)&gt;0,$A47&lt;&gt;""),CONCATENATE(N_Bedarf!F42," (",N_Bedarf!G42,")"),IF(AND($A47&lt;&gt;"",COUNTIF($S$11:$S$149,N_Bedarf!$C42)=0),N_Bedarf!F42,""))</f>
        <v/>
      </c>
      <c r="C47" s="2035" t="str">
        <f t="shared" si="14"/>
        <v/>
      </c>
      <c r="D47" s="2037"/>
      <c r="E47" s="2036" t="str">
        <f t="shared" si="4"/>
        <v/>
      </c>
      <c r="F47" s="2765" t="str">
        <f t="shared" si="5"/>
        <v/>
      </c>
      <c r="G47" s="2766"/>
      <c r="H47" s="2767" t="str">
        <f t="shared" si="1"/>
        <v/>
      </c>
      <c r="I47" s="2767"/>
      <c r="J47" s="2767"/>
      <c r="K47" s="2054"/>
      <c r="L47" s="2054"/>
      <c r="M47" s="2070"/>
      <c r="N47" s="2055">
        <f>IFERROR(IF(AND(COUNTIF($S$11:$S$309,$A47)=0,N_Bedarf!C42=""),0,(IF(COUNTIF($S$11:$S$309,$A47)=0,1,IF(AND(VLOOKUP($A47,$S$11:$V$309,4,0)&lt;2,VLOOKUP($A47,$S$11:$V$309,4,0)&gt;0,OR(N_Bedarf!$F42=N_Bedarf!$AV$70,N_Bedarf!$F42=N_Bedarf!$AV$71,N_Bedarf!$F42=N_Bedarf!$AV$72,N_Bedarf!$F42=N_Bedarf!$AV$73,N_Bedarf!$F42=N_Bedarf!$AV$74,N_Bedarf!$F42=N_Bedarf!$AV$75)),1,0)))),0)</f>
        <v>0</v>
      </c>
      <c r="O47" s="2056">
        <v>45</v>
      </c>
      <c r="P47" s="2056" t="str">
        <f t="shared" si="21"/>
        <v/>
      </c>
      <c r="Q47" s="2058" t="str">
        <f t="shared" si="22"/>
        <v/>
      </c>
      <c r="R47" s="2054"/>
      <c r="S47" s="1952" t="s">
        <v>1793</v>
      </c>
      <c r="T47" s="1953">
        <v>0</v>
      </c>
      <c r="U47" s="2054" t="str">
        <f t="shared" si="13"/>
        <v>t / ha</v>
      </c>
      <c r="V47" s="2054">
        <v>1</v>
      </c>
      <c r="W47" s="1967" t="s">
        <v>1710</v>
      </c>
      <c r="X47" s="1966">
        <v>2</v>
      </c>
      <c r="Y47" s="1966"/>
      <c r="Z47" s="1966">
        <v>3</v>
      </c>
      <c r="AA47" s="1966"/>
      <c r="AB47" s="1966">
        <v>3</v>
      </c>
      <c r="AC47" s="1966"/>
      <c r="AD47" s="1966">
        <v>3</v>
      </c>
      <c r="AE47" s="1966"/>
      <c r="AF47" s="1966">
        <v>3</v>
      </c>
      <c r="AG47" s="1966"/>
      <c r="AH47" s="3"/>
      <c r="AI47" s="2325" t="str">
        <f t="shared" si="23"/>
        <v/>
      </c>
      <c r="AJ47" s="2326" t="str">
        <f t="shared" si="24"/>
        <v/>
      </c>
      <c r="AK47" s="2327" t="str">
        <f t="shared" si="25"/>
        <v/>
      </c>
      <c r="AL47" s="2328" t="str">
        <f t="shared" si="26"/>
        <v/>
      </c>
      <c r="AM47" s="2329" t="str">
        <f t="shared" si="27"/>
        <v/>
      </c>
      <c r="AN47" s="2330" t="str">
        <f t="shared" si="11"/>
        <v/>
      </c>
      <c r="AO47" s="2054">
        <f t="shared" si="12"/>
        <v>0</v>
      </c>
      <c r="AP47" s="2368"/>
      <c r="AQ47" s="2368"/>
      <c r="AR47" s="2369"/>
      <c r="AS47" s="2369"/>
      <c r="AT47" s="2369"/>
      <c r="AU47" s="2368"/>
      <c r="AV47" s="2368"/>
      <c r="AW47" s="2370"/>
    </row>
    <row r="48" spans="1:49" ht="48.75" customHeight="1">
      <c r="A48" s="2048" t="str">
        <f>IF(N_Bedarf!$C43&gt;0,N_Bedarf!$C43,"")</f>
        <v/>
      </c>
      <c r="B48" s="2040" t="str">
        <f>IF(AND(COUNTIF($S$11:$S$149,N_Bedarf!$C43)&gt;0,$A48&lt;&gt;""),CONCATENATE(N_Bedarf!F43," (",N_Bedarf!G43,")"),IF(AND($A48&lt;&gt;"",COUNTIF($S$11:$S$149,N_Bedarf!$C43)=0),N_Bedarf!F43,""))</f>
        <v/>
      </c>
      <c r="C48" s="2035" t="str">
        <f t="shared" si="14"/>
        <v/>
      </c>
      <c r="D48" s="2037"/>
      <c r="E48" s="2036" t="str">
        <f t="shared" si="4"/>
        <v/>
      </c>
      <c r="F48" s="2765" t="str">
        <f t="shared" si="5"/>
        <v/>
      </c>
      <c r="G48" s="2766"/>
      <c r="H48" s="2767" t="str">
        <f t="shared" si="1"/>
        <v/>
      </c>
      <c r="I48" s="2767"/>
      <c r="J48" s="2767"/>
      <c r="K48" s="2054"/>
      <c r="L48" s="2054"/>
      <c r="M48" s="2070"/>
      <c r="N48" s="2055">
        <f>IFERROR(IF(AND(COUNTIF($S$11:$S$309,$A48)=0,N_Bedarf!C43=""),0,(IF(COUNTIF($S$11:$S$309,$A48)=0,1,IF(AND(VLOOKUP($A48,$S$11:$V$309,4,0)&lt;2,VLOOKUP($A48,$S$11:$V$309,4,0)&gt;0,OR(N_Bedarf!$F43=N_Bedarf!$AV$70,N_Bedarf!$F43=N_Bedarf!$AV$71,N_Bedarf!$F43=N_Bedarf!$AV$72,N_Bedarf!$F43=N_Bedarf!$AV$73,N_Bedarf!$F43=N_Bedarf!$AV$74,N_Bedarf!$F43=N_Bedarf!$AV$75)),1,0)))),0)</f>
        <v>0</v>
      </c>
      <c r="O48" s="2056">
        <v>46</v>
      </c>
      <c r="P48" s="2056" t="str">
        <f t="shared" si="21"/>
        <v/>
      </c>
      <c r="Q48" s="2058" t="str">
        <f t="shared" si="22"/>
        <v/>
      </c>
      <c r="R48" s="2054"/>
      <c r="S48" s="1952" t="s">
        <v>1819</v>
      </c>
      <c r="T48" s="1953">
        <v>0</v>
      </c>
      <c r="U48" s="2054" t="str">
        <f t="shared" si="13"/>
        <v>t / ha</v>
      </c>
      <c r="V48" s="2054">
        <v>1</v>
      </c>
      <c r="W48" s="1967" t="s">
        <v>1793</v>
      </c>
      <c r="X48" s="1966">
        <v>2</v>
      </c>
      <c r="Y48" s="1966"/>
      <c r="Z48" s="1966">
        <v>3.5</v>
      </c>
      <c r="AA48" s="1966"/>
      <c r="AB48" s="1966">
        <v>3.5</v>
      </c>
      <c r="AC48" s="1966"/>
      <c r="AD48" s="1966">
        <v>3.5</v>
      </c>
      <c r="AE48" s="1966"/>
      <c r="AF48" s="1966">
        <v>3.5</v>
      </c>
      <c r="AG48" s="1966"/>
      <c r="AH48" s="3"/>
      <c r="AI48" s="2325" t="str">
        <f t="shared" si="23"/>
        <v/>
      </c>
      <c r="AJ48" s="2326" t="str">
        <f t="shared" si="24"/>
        <v/>
      </c>
      <c r="AK48" s="2327" t="str">
        <f t="shared" si="25"/>
        <v/>
      </c>
      <c r="AL48" s="2328" t="str">
        <f t="shared" si="26"/>
        <v/>
      </c>
      <c r="AM48" s="2329" t="str">
        <f t="shared" si="27"/>
        <v/>
      </c>
      <c r="AN48" s="2330" t="str">
        <f t="shared" si="11"/>
        <v/>
      </c>
      <c r="AO48" s="2054">
        <f t="shared" si="12"/>
        <v>0</v>
      </c>
      <c r="AP48" s="2368"/>
      <c r="AQ48" s="2368"/>
      <c r="AR48" s="2369"/>
      <c r="AS48" s="2369"/>
      <c r="AT48" s="2369"/>
      <c r="AU48" s="2368"/>
      <c r="AV48" s="2368"/>
      <c r="AW48" s="2370"/>
    </row>
    <row r="49" spans="1:49" ht="48.75" customHeight="1">
      <c r="A49" s="2048" t="str">
        <f>IF(N_Bedarf!$C44&gt;0,N_Bedarf!$C44,"")</f>
        <v/>
      </c>
      <c r="B49" s="2040" t="str">
        <f>IF(AND(COUNTIF($S$11:$S$149,N_Bedarf!$C44)&gt;0,$A49&lt;&gt;""),CONCATENATE(N_Bedarf!F44," (",N_Bedarf!G44,")"),IF(AND($A49&lt;&gt;"",COUNTIF($S$11:$S$149,N_Bedarf!$C44)=0),N_Bedarf!F44,""))</f>
        <v/>
      </c>
      <c r="C49" s="2035" t="str">
        <f t="shared" si="14"/>
        <v/>
      </c>
      <c r="D49" s="2037"/>
      <c r="E49" s="2036" t="str">
        <f t="shared" si="4"/>
        <v/>
      </c>
      <c r="F49" s="2765" t="str">
        <f t="shared" si="5"/>
        <v/>
      </c>
      <c r="G49" s="2766"/>
      <c r="H49" s="2767" t="str">
        <f t="shared" si="1"/>
        <v/>
      </c>
      <c r="I49" s="2767"/>
      <c r="J49" s="2767"/>
      <c r="K49" s="2054"/>
      <c r="L49" s="2054"/>
      <c r="M49" s="2070"/>
      <c r="N49" s="2055">
        <f>IFERROR(IF(AND(COUNTIF($S$11:$S$309,$A49)=0,N_Bedarf!C44=""),0,(IF(COUNTIF($S$11:$S$309,$A49)=0,1,IF(AND(VLOOKUP($A49,$S$11:$V$309,4,0)&lt;2,VLOOKUP($A49,$S$11:$V$309,4,0)&gt;0,OR(N_Bedarf!$F44=N_Bedarf!$AV$70,N_Bedarf!$F44=N_Bedarf!$AV$71,N_Bedarf!$F44=N_Bedarf!$AV$72,N_Bedarf!$F44=N_Bedarf!$AV$73,N_Bedarf!$F44=N_Bedarf!$AV$74,N_Bedarf!$F44=N_Bedarf!$AV$75)),1,0)))),0)</f>
        <v>0</v>
      </c>
      <c r="O49" s="2056">
        <v>47</v>
      </c>
      <c r="P49" s="2056" t="str">
        <f t="shared" si="21"/>
        <v/>
      </c>
      <c r="Q49" s="2058" t="str">
        <f t="shared" si="22"/>
        <v/>
      </c>
      <c r="R49" s="2054"/>
      <c r="S49" s="1952" t="s">
        <v>1798</v>
      </c>
      <c r="T49" s="1953">
        <v>0</v>
      </c>
      <c r="U49" s="2054" t="str">
        <f t="shared" si="13"/>
        <v>t / ha</v>
      </c>
      <c r="V49" s="2054">
        <v>1</v>
      </c>
      <c r="W49" s="1967" t="s">
        <v>1819</v>
      </c>
      <c r="X49" s="1966">
        <v>2</v>
      </c>
      <c r="Y49" s="1966"/>
      <c r="Z49" s="1966">
        <v>3.5</v>
      </c>
      <c r="AA49" s="1966"/>
      <c r="AB49" s="1966">
        <v>3.5</v>
      </c>
      <c r="AC49" s="1966"/>
      <c r="AD49" s="1966">
        <v>3.5</v>
      </c>
      <c r="AE49" s="1966"/>
      <c r="AF49" s="1966">
        <v>3.5</v>
      </c>
      <c r="AG49" s="1966"/>
      <c r="AH49" s="3"/>
      <c r="AI49" s="2325" t="str">
        <f t="shared" si="23"/>
        <v/>
      </c>
      <c r="AJ49" s="2326" t="str">
        <f t="shared" si="24"/>
        <v/>
      </c>
      <c r="AK49" s="2327" t="str">
        <f t="shared" si="25"/>
        <v/>
      </c>
      <c r="AL49" s="2328" t="str">
        <f t="shared" si="26"/>
        <v/>
      </c>
      <c r="AM49" s="2329" t="str">
        <f t="shared" si="27"/>
        <v/>
      </c>
      <c r="AN49" s="2330" t="str">
        <f t="shared" si="11"/>
        <v/>
      </c>
      <c r="AO49" s="2054">
        <f t="shared" si="12"/>
        <v>0</v>
      </c>
      <c r="AP49" s="2368"/>
      <c r="AQ49" s="2368"/>
      <c r="AR49" s="2369"/>
      <c r="AS49" s="2369"/>
      <c r="AT49" s="2369"/>
      <c r="AU49" s="2368"/>
      <c r="AV49" s="2368"/>
      <c r="AW49" s="2370"/>
    </row>
    <row r="50" spans="1:49" ht="48.75" customHeight="1">
      <c r="A50" s="2048" t="str">
        <f>IF(N_Bedarf!$C45&gt;0,N_Bedarf!$C45,"")</f>
        <v/>
      </c>
      <c r="B50" s="2040" t="str">
        <f>IF(AND(COUNTIF($S$11:$S$149,N_Bedarf!$C45)&gt;0,$A50&lt;&gt;""),CONCATENATE(N_Bedarf!F45," (",N_Bedarf!G45,")"),IF(AND($A50&lt;&gt;"",COUNTIF($S$11:$S$149,N_Bedarf!$C45)=0),N_Bedarf!F45,""))</f>
        <v/>
      </c>
      <c r="C50" s="2035" t="str">
        <f t="shared" si="14"/>
        <v/>
      </c>
      <c r="D50" s="2037"/>
      <c r="E50" s="2036" t="str">
        <f t="shared" si="4"/>
        <v/>
      </c>
      <c r="F50" s="2765" t="str">
        <f t="shared" si="5"/>
        <v/>
      </c>
      <c r="G50" s="2766"/>
      <c r="H50" s="2767" t="str">
        <f t="shared" si="1"/>
        <v/>
      </c>
      <c r="I50" s="2767"/>
      <c r="J50" s="2767"/>
      <c r="K50" s="2054"/>
      <c r="L50" s="2054"/>
      <c r="M50" s="2070"/>
      <c r="N50" s="2055">
        <f>IFERROR(IF(AND(COUNTIF($S$11:$S$309,$A50)=0,N_Bedarf!C45=""),0,(IF(COUNTIF($S$11:$S$309,$A50)=0,1,IF(AND(VLOOKUP($A50,$S$11:$V$309,4,0)&lt;2,VLOOKUP($A50,$S$11:$V$309,4,0)&gt;0,OR(N_Bedarf!$F45=N_Bedarf!$AV$70,N_Bedarf!$F45=N_Bedarf!$AV$71,N_Bedarf!$F45=N_Bedarf!$AV$72,N_Bedarf!$F45=N_Bedarf!$AV$73,N_Bedarf!$F45=N_Bedarf!$AV$74,N_Bedarf!$F45=N_Bedarf!$AV$75)),1,0)))),0)</f>
        <v>0</v>
      </c>
      <c r="O50" s="2056">
        <v>48</v>
      </c>
      <c r="P50" s="2056" t="str">
        <f t="shared" si="21"/>
        <v/>
      </c>
      <c r="Q50" s="2058" t="str">
        <f t="shared" si="22"/>
        <v/>
      </c>
      <c r="R50" s="2054"/>
      <c r="S50" s="1952" t="s">
        <v>1822</v>
      </c>
      <c r="T50" s="1953">
        <v>0</v>
      </c>
      <c r="U50" s="2054" t="str">
        <f t="shared" si="13"/>
        <v>t / ha</v>
      </c>
      <c r="V50" s="2054">
        <v>1</v>
      </c>
      <c r="W50" s="1967" t="s">
        <v>1798</v>
      </c>
      <c r="X50" s="1966"/>
      <c r="Y50" s="1966"/>
      <c r="Z50" s="1966"/>
      <c r="AA50" s="1966"/>
      <c r="AB50" s="1966"/>
      <c r="AC50" s="1966"/>
      <c r="AD50" s="1966"/>
      <c r="AE50" s="1966"/>
      <c r="AF50" s="1966"/>
      <c r="AG50" s="1966"/>
      <c r="AH50" s="3"/>
      <c r="AI50" s="2325" t="str">
        <f t="shared" si="23"/>
        <v/>
      </c>
      <c r="AJ50" s="2326" t="str">
        <f t="shared" si="24"/>
        <v/>
      </c>
      <c r="AK50" s="2327" t="str">
        <f t="shared" si="25"/>
        <v/>
      </c>
      <c r="AL50" s="2328" t="str">
        <f t="shared" si="26"/>
        <v/>
      </c>
      <c r="AM50" s="2329" t="str">
        <f t="shared" si="27"/>
        <v/>
      </c>
      <c r="AN50" s="2330" t="str">
        <f t="shared" si="11"/>
        <v/>
      </c>
      <c r="AO50" s="2054">
        <f t="shared" si="12"/>
        <v>0</v>
      </c>
      <c r="AP50" s="2368"/>
      <c r="AQ50" s="2368"/>
      <c r="AR50" s="2369"/>
      <c r="AS50" s="2369"/>
      <c r="AT50" s="2369"/>
      <c r="AU50" s="2368"/>
      <c r="AV50" s="2368"/>
      <c r="AW50" s="2370"/>
    </row>
    <row r="51" spans="1:49" ht="48.75" customHeight="1">
      <c r="A51" s="2048" t="str">
        <f>IF(N_Bedarf!$C46&gt;0,N_Bedarf!$C46,"")</f>
        <v/>
      </c>
      <c r="B51" s="2040" t="str">
        <f>IF(AND(COUNTIF($S$11:$S$149,N_Bedarf!$C46)&gt;0,$A51&lt;&gt;""),CONCATENATE(N_Bedarf!F46," (",N_Bedarf!G46,")"),IF(AND($A51&lt;&gt;"",COUNTIF($S$11:$S$149,N_Bedarf!$C46)=0),N_Bedarf!F46,""))</f>
        <v/>
      </c>
      <c r="C51" s="2035" t="str">
        <f t="shared" si="14"/>
        <v/>
      </c>
      <c r="D51" s="2037"/>
      <c r="E51" s="2036" t="str">
        <f t="shared" si="4"/>
        <v/>
      </c>
      <c r="F51" s="2765" t="str">
        <f t="shared" si="5"/>
        <v/>
      </c>
      <c r="G51" s="2766"/>
      <c r="H51" s="2767" t="str">
        <f t="shared" si="1"/>
        <v/>
      </c>
      <c r="I51" s="2767"/>
      <c r="J51" s="2767"/>
      <c r="K51" s="2054"/>
      <c r="L51" s="2054"/>
      <c r="M51" s="2070"/>
      <c r="N51" s="2055">
        <f>IFERROR(IF(AND(COUNTIF($S$11:$S$309,$A51)=0,N_Bedarf!C46=""),0,(IF(COUNTIF($S$11:$S$309,$A51)=0,1,IF(AND(VLOOKUP($A51,$S$11:$V$309,4,0)&lt;2,VLOOKUP($A51,$S$11:$V$309,4,0)&gt;0,OR(N_Bedarf!$F46=N_Bedarf!$AV$70,N_Bedarf!$F46=N_Bedarf!$AV$71,N_Bedarf!$F46=N_Bedarf!$AV$72,N_Bedarf!$F46=N_Bedarf!$AV$73,N_Bedarf!$F46=N_Bedarf!$AV$74,N_Bedarf!$F46=N_Bedarf!$AV$75)),1,0)))),0)</f>
        <v>0</v>
      </c>
      <c r="O51" s="2056">
        <v>49</v>
      </c>
      <c r="P51" s="2056" t="str">
        <f t="shared" si="21"/>
        <v/>
      </c>
      <c r="Q51" s="2058" t="str">
        <f t="shared" si="22"/>
        <v/>
      </c>
      <c r="R51" s="2054"/>
      <c r="S51" s="1952" t="s">
        <v>1725</v>
      </c>
      <c r="T51" s="1953">
        <v>0</v>
      </c>
      <c r="U51" s="2054" t="str">
        <f t="shared" si="13"/>
        <v>t / ha</v>
      </c>
      <c r="V51" s="2054">
        <v>1</v>
      </c>
      <c r="W51" s="1967" t="s">
        <v>1822</v>
      </c>
      <c r="X51" s="1966"/>
      <c r="Y51" s="1966"/>
      <c r="Z51" s="1966"/>
      <c r="AA51" s="1966"/>
      <c r="AB51" s="1966"/>
      <c r="AC51" s="1966"/>
      <c r="AD51" s="1966"/>
      <c r="AE51" s="1966"/>
      <c r="AF51" s="1966"/>
      <c r="AG51" s="1966"/>
      <c r="AH51" s="3"/>
      <c r="AI51" s="2325" t="str">
        <f t="shared" si="23"/>
        <v/>
      </c>
      <c r="AJ51" s="2326" t="str">
        <f t="shared" si="24"/>
        <v/>
      </c>
      <c r="AK51" s="2327" t="str">
        <f t="shared" si="25"/>
        <v/>
      </c>
      <c r="AL51" s="2328" t="str">
        <f t="shared" si="26"/>
        <v/>
      </c>
      <c r="AM51" s="2329" t="str">
        <f t="shared" si="27"/>
        <v/>
      </c>
      <c r="AN51" s="2330" t="str">
        <f t="shared" si="11"/>
        <v/>
      </c>
      <c r="AO51" s="2054">
        <f t="shared" si="12"/>
        <v>0</v>
      </c>
      <c r="AP51" s="2368"/>
      <c r="AQ51" s="2368"/>
      <c r="AR51" s="2369"/>
      <c r="AS51" s="2369"/>
      <c r="AT51" s="2369"/>
      <c r="AU51" s="2368"/>
      <c r="AV51" s="2368"/>
      <c r="AW51" s="2370"/>
    </row>
    <row r="52" spans="1:49" ht="48.75" customHeight="1">
      <c r="A52" s="2048" t="str">
        <f>IF(N_Bedarf!$C47&gt;0,N_Bedarf!$C47,"")</f>
        <v/>
      </c>
      <c r="B52" s="2040" t="str">
        <f>IF(AND(COUNTIF($S$11:$S$149,N_Bedarf!$C47)&gt;0,$A52&lt;&gt;""),CONCATENATE(N_Bedarf!F47," (",N_Bedarf!G47,")"),IF(AND($A52&lt;&gt;"",COUNTIF($S$11:$S$149,N_Bedarf!$C47)=0),N_Bedarf!F47,""))</f>
        <v/>
      </c>
      <c r="C52" s="2035" t="str">
        <f t="shared" si="14"/>
        <v/>
      </c>
      <c r="D52" s="2037"/>
      <c r="E52" s="2036" t="str">
        <f t="shared" si="4"/>
        <v/>
      </c>
      <c r="F52" s="2765" t="str">
        <f t="shared" si="5"/>
        <v/>
      </c>
      <c r="G52" s="2766"/>
      <c r="H52" s="2767" t="str">
        <f t="shared" si="1"/>
        <v/>
      </c>
      <c r="I52" s="2767"/>
      <c r="J52" s="2767"/>
      <c r="K52" s="2054"/>
      <c r="L52" s="2054"/>
      <c r="M52" s="2070"/>
      <c r="N52" s="2055">
        <f>IFERROR(IF(AND(COUNTIF($S$11:$S$309,$A52)=0,N_Bedarf!C47=""),0,(IF(COUNTIF($S$11:$S$309,$A52)=0,1,IF(AND(VLOOKUP($A52,$S$11:$V$309,4,0)&lt;2,VLOOKUP($A52,$S$11:$V$309,4,0)&gt;0,OR(N_Bedarf!$F47=N_Bedarf!$AV$70,N_Bedarf!$F47=N_Bedarf!$AV$71,N_Bedarf!$F47=N_Bedarf!$AV$72,N_Bedarf!$F47=N_Bedarf!$AV$73,N_Bedarf!$F47=N_Bedarf!$AV$74,N_Bedarf!$F47=N_Bedarf!$AV$75)),1,0)))),0)</f>
        <v>0</v>
      </c>
      <c r="O52" s="2056">
        <v>50</v>
      </c>
      <c r="P52" s="2056" t="str">
        <f t="shared" si="21"/>
        <v/>
      </c>
      <c r="Q52" s="2058" t="str">
        <f t="shared" si="22"/>
        <v/>
      </c>
      <c r="R52" s="2054"/>
      <c r="S52" s="1952" t="s">
        <v>1687</v>
      </c>
      <c r="T52" s="1953">
        <v>0</v>
      </c>
      <c r="U52" s="2054" t="str">
        <f t="shared" si="13"/>
        <v>t / ha</v>
      </c>
      <c r="V52" s="2054">
        <v>1</v>
      </c>
      <c r="W52" s="1967" t="s">
        <v>1725</v>
      </c>
      <c r="X52" s="1966"/>
      <c r="Y52" s="1966"/>
      <c r="Z52" s="1966"/>
      <c r="AA52" s="1966"/>
      <c r="AB52" s="1966"/>
      <c r="AC52" s="1966"/>
      <c r="AD52" s="1966"/>
      <c r="AE52" s="1966"/>
      <c r="AF52" s="1966"/>
      <c r="AG52" s="1966"/>
      <c r="AH52" s="3"/>
      <c r="AI52" s="2325" t="str">
        <f t="shared" si="23"/>
        <v/>
      </c>
      <c r="AJ52" s="2326" t="str">
        <f t="shared" si="24"/>
        <v/>
      </c>
      <c r="AK52" s="2327" t="str">
        <f t="shared" si="25"/>
        <v/>
      </c>
      <c r="AL52" s="2328" t="str">
        <f t="shared" si="26"/>
        <v/>
      </c>
      <c r="AM52" s="2329" t="str">
        <f t="shared" si="27"/>
        <v/>
      </c>
      <c r="AN52" s="2330" t="str">
        <f t="shared" si="11"/>
        <v/>
      </c>
      <c r="AO52" s="2054">
        <f t="shared" si="12"/>
        <v>0</v>
      </c>
      <c r="AP52" s="2368"/>
      <c r="AQ52" s="2368"/>
      <c r="AR52" s="2369"/>
      <c r="AS52" s="2369"/>
      <c r="AT52" s="2369"/>
      <c r="AU52" s="2368"/>
      <c r="AV52" s="2368"/>
      <c r="AW52" s="2370"/>
    </row>
    <row r="53" spans="1:49" ht="48.75" customHeight="1">
      <c r="A53" s="2048" t="str">
        <f>IF(N_Bedarf!$C48&gt;0,N_Bedarf!$C48,"")</f>
        <v/>
      </c>
      <c r="B53" s="2040" t="str">
        <f>IF(AND(COUNTIF($S$11:$S$149,N_Bedarf!$C48)&gt;0,$A53&lt;&gt;""),CONCATENATE(N_Bedarf!F48," (",N_Bedarf!G48,")"),IF(AND($A53&lt;&gt;"",COUNTIF($S$11:$S$149,N_Bedarf!$C48)=0),N_Bedarf!F48,""))</f>
        <v/>
      </c>
      <c r="C53" s="2035" t="str">
        <f t="shared" si="14"/>
        <v/>
      </c>
      <c r="D53" s="2037"/>
      <c r="E53" s="2036" t="str">
        <f t="shared" si="4"/>
        <v/>
      </c>
      <c r="F53" s="2765" t="str">
        <f t="shared" si="5"/>
        <v/>
      </c>
      <c r="G53" s="2766"/>
      <c r="H53" s="2767" t="str">
        <f t="shared" si="1"/>
        <v/>
      </c>
      <c r="I53" s="2767"/>
      <c r="J53" s="2767"/>
      <c r="K53" s="2054"/>
      <c r="L53" s="2054"/>
      <c r="M53" s="2070"/>
      <c r="N53" s="2055">
        <f>IFERROR(IF(AND(COUNTIF($S$11:$S$309,$A53)=0,N_Bedarf!C48=""),0,(IF(COUNTIF($S$11:$S$309,$A53)=0,1,IF(AND(VLOOKUP($A53,$S$11:$V$309,4,0)&lt;2,VLOOKUP($A53,$S$11:$V$309,4,0)&gt;0,OR(N_Bedarf!$F48=N_Bedarf!$AV$70,N_Bedarf!$F48=N_Bedarf!$AV$71,N_Bedarf!$F48=N_Bedarf!$AV$72,N_Bedarf!$F48=N_Bedarf!$AV$73,N_Bedarf!$F48=N_Bedarf!$AV$74,N_Bedarf!$F48=N_Bedarf!$AV$75)),1,0)))),0)</f>
        <v>0</v>
      </c>
      <c r="O53" s="2056">
        <v>51</v>
      </c>
      <c r="P53" s="2056" t="str">
        <f t="shared" si="21"/>
        <v/>
      </c>
      <c r="Q53" s="2058" t="str">
        <f t="shared" si="22"/>
        <v/>
      </c>
      <c r="R53" s="2054"/>
      <c r="S53" s="1952" t="s">
        <v>1800</v>
      </c>
      <c r="T53" s="1953">
        <v>0</v>
      </c>
      <c r="U53" s="2054" t="str">
        <f t="shared" si="13"/>
        <v>t / ha</v>
      </c>
      <c r="V53" s="2054">
        <v>1</v>
      </c>
      <c r="W53" s="1967" t="s">
        <v>1687</v>
      </c>
      <c r="X53" s="1966">
        <v>2</v>
      </c>
      <c r="Y53" s="1966"/>
      <c r="Z53" s="1966">
        <v>4.5</v>
      </c>
      <c r="AA53" s="1966"/>
      <c r="AB53" s="1966">
        <v>5</v>
      </c>
      <c r="AC53" s="1966"/>
      <c r="AD53" s="1966">
        <v>5.5</v>
      </c>
      <c r="AE53" s="1966"/>
      <c r="AF53" s="1966">
        <v>5.5</v>
      </c>
      <c r="AG53" s="1966"/>
      <c r="AH53" s="3"/>
      <c r="AI53" s="2325" t="str">
        <f t="shared" si="23"/>
        <v/>
      </c>
      <c r="AJ53" s="2326" t="str">
        <f t="shared" si="24"/>
        <v/>
      </c>
      <c r="AK53" s="2327" t="str">
        <f t="shared" si="25"/>
        <v/>
      </c>
      <c r="AL53" s="2328" t="str">
        <f t="shared" si="26"/>
        <v/>
      </c>
      <c r="AM53" s="2329" t="str">
        <f t="shared" si="27"/>
        <v/>
      </c>
      <c r="AN53" s="2330" t="str">
        <f t="shared" si="11"/>
        <v/>
      </c>
      <c r="AO53" s="2054">
        <f t="shared" si="12"/>
        <v>0</v>
      </c>
      <c r="AP53" s="2368"/>
      <c r="AQ53" s="2368"/>
      <c r="AR53" s="2369"/>
      <c r="AS53" s="2369"/>
      <c r="AT53" s="2369"/>
      <c r="AU53" s="2368"/>
      <c r="AV53" s="2368"/>
      <c r="AW53" s="2370"/>
    </row>
    <row r="54" spans="1:49" ht="48.75" customHeight="1">
      <c r="A54" s="2048" t="str">
        <f>IF(N_Bedarf!$C49&gt;0,N_Bedarf!$C49,"")</f>
        <v/>
      </c>
      <c r="B54" s="2040" t="str">
        <f>IF(AND(COUNTIF($S$11:$S$149,N_Bedarf!$C49)&gt;0,$A54&lt;&gt;""),CONCATENATE(N_Bedarf!F49," (",N_Bedarf!G49,")"),IF(AND($A54&lt;&gt;"",COUNTIF($S$11:$S$149,N_Bedarf!$C49)=0),N_Bedarf!F49,""))</f>
        <v/>
      </c>
      <c r="C54" s="2035" t="str">
        <f t="shared" si="14"/>
        <v/>
      </c>
      <c r="D54" s="2037"/>
      <c r="E54" s="2036" t="str">
        <f t="shared" si="4"/>
        <v/>
      </c>
      <c r="F54" s="2765" t="str">
        <f t="shared" si="5"/>
        <v/>
      </c>
      <c r="G54" s="2766"/>
      <c r="H54" s="2767" t="str">
        <f t="shared" si="1"/>
        <v/>
      </c>
      <c r="I54" s="2767"/>
      <c r="J54" s="2767"/>
      <c r="K54" s="2054"/>
      <c r="L54" s="2054"/>
      <c r="M54" s="2070"/>
      <c r="N54" s="2055">
        <f>IFERROR(IF(AND(COUNTIF($S$11:$S$309,$A54)=0,N_Bedarf!C49=""),0,(IF(COUNTIF($S$11:$S$309,$A54)=0,1,IF(AND(VLOOKUP($A54,$S$11:$V$309,4,0)&lt;2,VLOOKUP($A54,$S$11:$V$309,4,0)&gt;0,OR(N_Bedarf!$F49=N_Bedarf!$AV$70,N_Bedarf!$F49=N_Bedarf!$AV$71,N_Bedarf!$F49=N_Bedarf!$AV$72,N_Bedarf!$F49=N_Bedarf!$AV$73,N_Bedarf!$F49=N_Bedarf!$AV$74,N_Bedarf!$F49=N_Bedarf!$AV$75)),1,0)))),0)</f>
        <v>0</v>
      </c>
      <c r="O54" s="2056">
        <v>52</v>
      </c>
      <c r="P54" s="2056" t="str">
        <f t="shared" si="21"/>
        <v/>
      </c>
      <c r="Q54" s="2058" t="str">
        <f t="shared" si="22"/>
        <v/>
      </c>
      <c r="R54" s="2054"/>
      <c r="S54" s="1952" t="s">
        <v>1824</v>
      </c>
      <c r="T54" s="1953">
        <v>0</v>
      </c>
      <c r="U54" s="2054" t="str">
        <f t="shared" si="13"/>
        <v>t / ha</v>
      </c>
      <c r="V54" s="2054">
        <v>1</v>
      </c>
      <c r="W54" s="1967" t="s">
        <v>1800</v>
      </c>
      <c r="X54" s="1966">
        <v>3</v>
      </c>
      <c r="Y54" s="1966"/>
      <c r="Z54" s="1966">
        <v>5</v>
      </c>
      <c r="AA54" s="1966"/>
      <c r="AB54" s="1966">
        <v>6.5</v>
      </c>
      <c r="AC54" s="1966"/>
      <c r="AD54" s="1966">
        <v>8</v>
      </c>
      <c r="AE54" s="1966"/>
      <c r="AF54" s="1966">
        <v>8</v>
      </c>
      <c r="AG54" s="1966"/>
      <c r="AH54" s="3"/>
      <c r="AI54" s="2325" t="str">
        <f t="shared" si="23"/>
        <v/>
      </c>
      <c r="AJ54" s="2326" t="str">
        <f t="shared" si="24"/>
        <v/>
      </c>
      <c r="AK54" s="2327" t="str">
        <f t="shared" si="25"/>
        <v/>
      </c>
      <c r="AL54" s="2328" t="str">
        <f t="shared" si="26"/>
        <v/>
      </c>
      <c r="AM54" s="2329" t="str">
        <f t="shared" si="27"/>
        <v/>
      </c>
      <c r="AN54" s="2330" t="str">
        <f t="shared" si="11"/>
        <v/>
      </c>
      <c r="AO54" s="2054">
        <f t="shared" si="12"/>
        <v>0</v>
      </c>
      <c r="AP54" s="2368"/>
      <c r="AQ54" s="2368"/>
      <c r="AR54" s="2369"/>
      <c r="AS54" s="2369"/>
      <c r="AT54" s="2369"/>
      <c r="AU54" s="2368"/>
      <c r="AV54" s="2368"/>
      <c r="AW54" s="2370"/>
    </row>
    <row r="55" spans="1:49" ht="48.75" customHeight="1">
      <c r="A55" s="2048" t="str">
        <f>IF(N_Bedarf!$C50&gt;0,N_Bedarf!$C50,"")</f>
        <v/>
      </c>
      <c r="B55" s="2040" t="str">
        <f>IF(AND(COUNTIF($S$11:$S$149,N_Bedarf!$C50)&gt;0,$A55&lt;&gt;""),CONCATENATE(N_Bedarf!F50," (",N_Bedarf!G50,")"),IF(AND($A55&lt;&gt;"",COUNTIF($S$11:$S$149,N_Bedarf!$C50)=0),N_Bedarf!F50,""))</f>
        <v/>
      </c>
      <c r="C55" s="2035" t="str">
        <f t="shared" si="14"/>
        <v/>
      </c>
      <c r="D55" s="2037"/>
      <c r="E55" s="2036" t="str">
        <f t="shared" si="4"/>
        <v/>
      </c>
      <c r="F55" s="2765" t="str">
        <f t="shared" si="5"/>
        <v/>
      </c>
      <c r="G55" s="2766"/>
      <c r="H55" s="2767" t="str">
        <f t="shared" si="1"/>
        <v/>
      </c>
      <c r="I55" s="2767"/>
      <c r="J55" s="2767"/>
      <c r="K55" s="2054"/>
      <c r="L55" s="2054"/>
      <c r="M55" s="2070"/>
      <c r="N55" s="2055">
        <f>IFERROR(IF(AND(COUNTIF($S$11:$S$309,$A55)=0,N_Bedarf!C50=""),0,(IF(COUNTIF($S$11:$S$309,$A55)=0,1,IF(AND(VLOOKUP($A55,$S$11:$V$309,4,0)&lt;2,VLOOKUP($A55,$S$11:$V$309,4,0)&gt;0,OR(N_Bedarf!$F50=N_Bedarf!$AV$70,N_Bedarf!$F50=N_Bedarf!$AV$71,N_Bedarf!$F50=N_Bedarf!$AV$72,N_Bedarf!$F50=N_Bedarf!$AV$73,N_Bedarf!$F50=N_Bedarf!$AV$74,N_Bedarf!$F50=N_Bedarf!$AV$75)),1,0)))),0)</f>
        <v>0</v>
      </c>
      <c r="O55" s="2056">
        <v>53</v>
      </c>
      <c r="P55" s="2056" t="str">
        <f t="shared" si="21"/>
        <v/>
      </c>
      <c r="Q55" s="2058" t="str">
        <f t="shared" si="22"/>
        <v/>
      </c>
      <c r="R55" s="2054"/>
      <c r="S55" s="1952" t="s">
        <v>1705</v>
      </c>
      <c r="T55" s="1953">
        <v>0</v>
      </c>
      <c r="U55" s="2054" t="str">
        <f t="shared" si="13"/>
        <v>t / ha</v>
      </c>
      <c r="V55" s="2054">
        <v>1</v>
      </c>
      <c r="W55" s="1967" t="s">
        <v>1824</v>
      </c>
      <c r="X55" s="1966">
        <v>3</v>
      </c>
      <c r="Y55" s="1966"/>
      <c r="Z55" s="1966">
        <v>5</v>
      </c>
      <c r="AA55" s="1966"/>
      <c r="AB55" s="1966">
        <v>6.5</v>
      </c>
      <c r="AC55" s="1966"/>
      <c r="AD55" s="1966">
        <v>8</v>
      </c>
      <c r="AE55" s="1966"/>
      <c r="AF55" s="1966">
        <v>8</v>
      </c>
      <c r="AG55" s="1966"/>
      <c r="AH55" s="3"/>
      <c r="AI55" s="2325" t="str">
        <f t="shared" si="23"/>
        <v/>
      </c>
      <c r="AJ55" s="2326" t="str">
        <f t="shared" si="24"/>
        <v/>
      </c>
      <c r="AK55" s="2327" t="str">
        <f t="shared" si="25"/>
        <v/>
      </c>
      <c r="AL55" s="2328" t="str">
        <f t="shared" si="26"/>
        <v/>
      </c>
      <c r="AM55" s="2329" t="str">
        <f t="shared" si="27"/>
        <v/>
      </c>
      <c r="AN55" s="2330" t="str">
        <f t="shared" si="11"/>
        <v/>
      </c>
      <c r="AO55" s="2054">
        <f t="shared" si="12"/>
        <v>0</v>
      </c>
      <c r="AP55" s="2368"/>
      <c r="AQ55" s="2368"/>
      <c r="AR55" s="2369"/>
      <c r="AS55" s="2369"/>
      <c r="AT55" s="2369"/>
      <c r="AU55" s="2368"/>
      <c r="AV55" s="2368"/>
      <c r="AW55" s="2370"/>
    </row>
    <row r="56" spans="1:49" ht="48.75" customHeight="1">
      <c r="A56" s="2048" t="str">
        <f>IF(N_Bedarf!$C51&gt;0,N_Bedarf!$C51,"")</f>
        <v/>
      </c>
      <c r="B56" s="2040" t="str">
        <f>IF(AND(COUNTIF($S$11:$S$149,N_Bedarf!$C51)&gt;0,$A56&lt;&gt;""),CONCATENATE(N_Bedarf!F51," (",N_Bedarf!G51,")"),IF(AND($A56&lt;&gt;"",COUNTIF($S$11:$S$149,N_Bedarf!$C51)=0),N_Bedarf!F51,""))</f>
        <v/>
      </c>
      <c r="C56" s="2035" t="str">
        <f t="shared" si="14"/>
        <v/>
      </c>
      <c r="D56" s="2037"/>
      <c r="E56" s="2036" t="str">
        <f t="shared" si="4"/>
        <v/>
      </c>
      <c r="F56" s="2765" t="str">
        <f t="shared" si="5"/>
        <v/>
      </c>
      <c r="G56" s="2766"/>
      <c r="H56" s="2767" t="str">
        <f t="shared" si="1"/>
        <v/>
      </c>
      <c r="I56" s="2767"/>
      <c r="J56" s="2767"/>
      <c r="K56" s="2054"/>
      <c r="L56" s="2054"/>
      <c r="M56" s="2070"/>
      <c r="N56" s="2055">
        <f>IFERROR(IF(AND(COUNTIF($S$11:$S$309,$A56)=0,N_Bedarf!C51=""),0,(IF(COUNTIF($S$11:$S$309,$A56)=0,1,IF(AND(VLOOKUP($A56,$S$11:$V$309,4,0)&lt;2,VLOOKUP($A56,$S$11:$V$309,4,0)&gt;0,OR(N_Bedarf!$F51=N_Bedarf!$AV$70,N_Bedarf!$F51=N_Bedarf!$AV$71,N_Bedarf!$F51=N_Bedarf!$AV$72,N_Bedarf!$F51=N_Bedarf!$AV$73,N_Bedarf!$F51=N_Bedarf!$AV$74,N_Bedarf!$F51=N_Bedarf!$AV$75)),1,0)))),0)</f>
        <v>0</v>
      </c>
      <c r="O56" s="2056">
        <v>54</v>
      </c>
      <c r="P56" s="2056" t="str">
        <f t="shared" si="21"/>
        <v/>
      </c>
      <c r="Q56" s="2058" t="str">
        <f t="shared" si="22"/>
        <v/>
      </c>
      <c r="R56" s="2054"/>
      <c r="S56" s="1952" t="s">
        <v>1721</v>
      </c>
      <c r="T56" s="1953">
        <v>0</v>
      </c>
      <c r="U56" s="2054" t="str">
        <f t="shared" si="13"/>
        <v>t / ha</v>
      </c>
      <c r="V56" s="2054">
        <v>1</v>
      </c>
      <c r="W56" s="1967" t="s">
        <v>1705</v>
      </c>
      <c r="X56" s="1966">
        <v>4</v>
      </c>
      <c r="Y56" s="1966"/>
      <c r="Z56" s="1966">
        <v>6</v>
      </c>
      <c r="AA56" s="1966"/>
      <c r="AB56" s="1966">
        <v>6.5</v>
      </c>
      <c r="AC56" s="1966"/>
      <c r="AD56" s="1966">
        <v>8</v>
      </c>
      <c r="AE56" s="1966"/>
      <c r="AF56" s="1966">
        <v>8</v>
      </c>
      <c r="AG56" s="1966"/>
      <c r="AH56" s="3"/>
      <c r="AI56" s="2325" t="str">
        <f t="shared" si="23"/>
        <v/>
      </c>
      <c r="AJ56" s="2326" t="str">
        <f t="shared" si="24"/>
        <v/>
      </c>
      <c r="AK56" s="2327" t="str">
        <f t="shared" si="25"/>
        <v/>
      </c>
      <c r="AL56" s="2328" t="str">
        <f t="shared" si="26"/>
        <v/>
      </c>
      <c r="AM56" s="2329" t="str">
        <f t="shared" si="27"/>
        <v/>
      </c>
      <c r="AN56" s="2330" t="str">
        <f t="shared" si="11"/>
        <v/>
      </c>
      <c r="AO56" s="2054">
        <f t="shared" si="12"/>
        <v>0</v>
      </c>
      <c r="AP56" s="2368"/>
      <c r="AQ56" s="2368"/>
      <c r="AR56" s="2369"/>
      <c r="AS56" s="2369"/>
      <c r="AT56" s="2369"/>
      <c r="AU56" s="2368"/>
      <c r="AV56" s="2368"/>
      <c r="AW56" s="2370"/>
    </row>
    <row r="57" spans="1:49" ht="48.75" customHeight="1">
      <c r="A57" s="2048" t="str">
        <f>IF(N_Bedarf!$C52&gt;0,N_Bedarf!$C52,"")</f>
        <v/>
      </c>
      <c r="B57" s="2040" t="str">
        <f>IF(AND(COUNTIF($S$11:$S$149,N_Bedarf!$C52)&gt;0,$A57&lt;&gt;""),CONCATENATE(N_Bedarf!F52," (",N_Bedarf!G52,")"),IF(AND($A57&lt;&gt;"",COUNTIF($S$11:$S$149,N_Bedarf!$C52)=0),N_Bedarf!F52,""))</f>
        <v/>
      </c>
      <c r="C57" s="2035" t="str">
        <f t="shared" si="14"/>
        <v/>
      </c>
      <c r="D57" s="2037"/>
      <c r="E57" s="2036" t="str">
        <f t="shared" si="4"/>
        <v/>
      </c>
      <c r="F57" s="2765" t="str">
        <f t="shared" si="5"/>
        <v/>
      </c>
      <c r="G57" s="2766"/>
      <c r="H57" s="2767" t="str">
        <f t="shared" si="1"/>
        <v/>
      </c>
      <c r="I57" s="2767"/>
      <c r="J57" s="2767"/>
      <c r="K57" s="2054"/>
      <c r="L57" s="2054"/>
      <c r="M57" s="2070"/>
      <c r="N57" s="2055">
        <f>IFERROR(IF(AND(COUNTIF($S$11:$S$309,$A57)=0,N_Bedarf!C52=""),0,(IF(COUNTIF($S$11:$S$309,$A57)=0,1,IF(AND(VLOOKUP($A57,$S$11:$V$309,4,0)&lt;2,VLOOKUP($A57,$S$11:$V$309,4,0)&gt;0,OR(N_Bedarf!$F52=N_Bedarf!$AV$70,N_Bedarf!$F52=N_Bedarf!$AV$71,N_Bedarf!$F52=N_Bedarf!$AV$72,N_Bedarf!$F52=N_Bedarf!$AV$73,N_Bedarf!$F52=N_Bedarf!$AV$74,N_Bedarf!$F52=N_Bedarf!$AV$75)),1,0)))),0)</f>
        <v>0</v>
      </c>
      <c r="O57" s="2056">
        <v>55</v>
      </c>
      <c r="P57" s="2056" t="str">
        <f t="shared" si="21"/>
        <v/>
      </c>
      <c r="Q57" s="2058" t="str">
        <f t="shared" si="22"/>
        <v/>
      </c>
      <c r="R57" s="2054"/>
      <c r="S57" s="1952" t="s">
        <v>1699</v>
      </c>
      <c r="T57" s="1953">
        <v>0</v>
      </c>
      <c r="U57" s="2054" t="str">
        <f t="shared" si="13"/>
        <v>t / ha</v>
      </c>
      <c r="V57" s="2054">
        <v>1</v>
      </c>
      <c r="W57" s="1967" t="s">
        <v>1721</v>
      </c>
      <c r="X57" s="1966">
        <v>2</v>
      </c>
      <c r="Y57" s="1966"/>
      <c r="Z57" s="1966">
        <v>3</v>
      </c>
      <c r="AA57" s="1966"/>
      <c r="AB57" s="1966">
        <v>4</v>
      </c>
      <c r="AC57" s="1966"/>
      <c r="AD57" s="1966">
        <v>5</v>
      </c>
      <c r="AE57" s="1966"/>
      <c r="AF57" s="1966">
        <v>5</v>
      </c>
      <c r="AG57" s="1966"/>
      <c r="AH57" s="3"/>
      <c r="AI57" s="2325" t="str">
        <f t="shared" si="23"/>
        <v/>
      </c>
      <c r="AJ57" s="2326" t="str">
        <f t="shared" si="24"/>
        <v/>
      </c>
      <c r="AK57" s="2327" t="str">
        <f t="shared" si="25"/>
        <v/>
      </c>
      <c r="AL57" s="2328" t="str">
        <f t="shared" si="26"/>
        <v/>
      </c>
      <c r="AM57" s="2329" t="str">
        <f t="shared" si="27"/>
        <v/>
      </c>
      <c r="AN57" s="2330" t="str">
        <f t="shared" si="11"/>
        <v/>
      </c>
      <c r="AO57" s="2054">
        <f t="shared" si="12"/>
        <v>0</v>
      </c>
      <c r="AP57" s="2368"/>
      <c r="AQ57" s="2368"/>
      <c r="AR57" s="2369"/>
      <c r="AS57" s="2369"/>
      <c r="AT57" s="2369"/>
      <c r="AU57" s="2368"/>
      <c r="AV57" s="2368"/>
      <c r="AW57" s="2370"/>
    </row>
    <row r="58" spans="1:49" ht="48.75" customHeight="1">
      <c r="A58" s="2048" t="str">
        <f>IF(N_Bedarf!$C53&gt;0,N_Bedarf!$C53,"")</f>
        <v/>
      </c>
      <c r="B58" s="2040" t="str">
        <f>IF(AND(COUNTIF($S$11:$S$149,N_Bedarf!$C53)&gt;0,$A58&lt;&gt;""),CONCATENATE(N_Bedarf!F53," (",N_Bedarf!G53,")"),IF(AND($A58&lt;&gt;"",COUNTIF($S$11:$S$149,N_Bedarf!$C53)=0),N_Bedarf!F53,""))</f>
        <v/>
      </c>
      <c r="C58" s="2035" t="str">
        <f t="shared" si="14"/>
        <v/>
      </c>
      <c r="D58" s="2037"/>
      <c r="E58" s="2036" t="str">
        <f t="shared" si="4"/>
        <v/>
      </c>
      <c r="F58" s="2765" t="str">
        <f t="shared" si="5"/>
        <v/>
      </c>
      <c r="G58" s="2766"/>
      <c r="H58" s="2767" t="str">
        <f t="shared" si="1"/>
        <v/>
      </c>
      <c r="I58" s="2767"/>
      <c r="J58" s="2767"/>
      <c r="K58" s="2054"/>
      <c r="L58" s="2054"/>
      <c r="M58" s="2070"/>
      <c r="N58" s="2055">
        <f>IFERROR(IF(AND(COUNTIF($S$11:$S$309,$A58)=0,N_Bedarf!C53=""),0,(IF(COUNTIF($S$11:$S$309,$A58)=0,1,IF(AND(VLOOKUP($A58,$S$11:$V$309,4,0)&lt;2,VLOOKUP($A58,$S$11:$V$309,4,0)&gt;0,OR(N_Bedarf!$F53=N_Bedarf!$AV$70,N_Bedarf!$F53=N_Bedarf!$AV$71,N_Bedarf!$F53=N_Bedarf!$AV$72,N_Bedarf!$F53=N_Bedarf!$AV$73,N_Bedarf!$F53=N_Bedarf!$AV$74,N_Bedarf!$F53=N_Bedarf!$AV$75)),1,0)))),0)</f>
        <v>0</v>
      </c>
      <c r="O58" s="2056">
        <v>56</v>
      </c>
      <c r="P58" s="2056" t="str">
        <f t="shared" si="21"/>
        <v/>
      </c>
      <c r="Q58" s="2058" t="str">
        <f t="shared" si="22"/>
        <v/>
      </c>
      <c r="R58" s="2054"/>
      <c r="S58" s="1952" t="s">
        <v>1736</v>
      </c>
      <c r="T58" s="1953">
        <v>0</v>
      </c>
      <c r="U58" s="2054" t="str">
        <f t="shared" si="13"/>
        <v>t / ha</v>
      </c>
      <c r="V58" s="2054">
        <v>1</v>
      </c>
      <c r="W58" s="1967" t="s">
        <v>1699</v>
      </c>
      <c r="X58" s="1966">
        <v>60</v>
      </c>
      <c r="Y58" s="1966"/>
      <c r="Z58" s="1966">
        <v>100</v>
      </c>
      <c r="AA58" s="1966"/>
      <c r="AB58" s="1966">
        <v>100</v>
      </c>
      <c r="AC58" s="1966"/>
      <c r="AD58" s="1966">
        <v>100</v>
      </c>
      <c r="AE58" s="1966"/>
      <c r="AF58" s="1966">
        <v>100</v>
      </c>
      <c r="AG58" s="1966"/>
      <c r="AH58" s="3"/>
      <c r="AI58" s="2325" t="str">
        <f t="shared" si="23"/>
        <v/>
      </c>
      <c r="AJ58" s="2326" t="str">
        <f t="shared" si="24"/>
        <v/>
      </c>
      <c r="AK58" s="2327" t="str">
        <f t="shared" si="25"/>
        <v/>
      </c>
      <c r="AL58" s="2328" t="str">
        <f t="shared" si="26"/>
        <v/>
      </c>
      <c r="AM58" s="2329" t="str">
        <f t="shared" si="27"/>
        <v/>
      </c>
      <c r="AN58" s="2330" t="str">
        <f t="shared" si="11"/>
        <v/>
      </c>
      <c r="AO58" s="2054">
        <f t="shared" si="12"/>
        <v>0</v>
      </c>
      <c r="AP58" s="2368"/>
      <c r="AQ58" s="2368"/>
      <c r="AR58" s="2369"/>
      <c r="AS58" s="2369"/>
      <c r="AT58" s="2369"/>
      <c r="AU58" s="2368"/>
      <c r="AV58" s="2368"/>
      <c r="AW58" s="2370"/>
    </row>
    <row r="59" spans="1:49" ht="48.75" customHeight="1">
      <c r="A59" s="2048" t="str">
        <f>IF(N_Bedarf!$C54&gt;0,N_Bedarf!$C54,"")</f>
        <v/>
      </c>
      <c r="B59" s="2040" t="str">
        <f>IF(AND(COUNTIF($S$11:$S$149,N_Bedarf!$C54)&gt;0,$A59&lt;&gt;""),CONCATENATE(N_Bedarf!F54," (",N_Bedarf!G54,")"),IF(AND($A59&lt;&gt;"",COUNTIF($S$11:$S$149,N_Bedarf!$C54)=0),N_Bedarf!F54,""))</f>
        <v/>
      </c>
      <c r="C59" s="2035" t="str">
        <f t="shared" si="14"/>
        <v/>
      </c>
      <c r="D59" s="2037"/>
      <c r="E59" s="2036" t="str">
        <f t="shared" si="4"/>
        <v/>
      </c>
      <c r="F59" s="2765" t="str">
        <f t="shared" si="5"/>
        <v/>
      </c>
      <c r="G59" s="2766"/>
      <c r="H59" s="2767" t="str">
        <f t="shared" si="1"/>
        <v/>
      </c>
      <c r="I59" s="2767"/>
      <c r="J59" s="2767"/>
      <c r="K59" s="2054"/>
      <c r="L59" s="2054"/>
      <c r="M59" s="2070"/>
      <c r="N59" s="2055">
        <f>IFERROR(IF(AND(COUNTIF($S$11:$S$309,$A59)=0,N_Bedarf!C54=""),0,(IF(COUNTIF($S$11:$S$309,$A59)=0,1,IF(AND(VLOOKUP($A59,$S$11:$V$309,4,0)&lt;2,VLOOKUP($A59,$S$11:$V$309,4,0)&gt;0,OR(N_Bedarf!$F54=N_Bedarf!$AV$70,N_Bedarf!$F54=N_Bedarf!$AV$71,N_Bedarf!$F54=N_Bedarf!$AV$72,N_Bedarf!$F54=N_Bedarf!$AV$73,N_Bedarf!$F54=N_Bedarf!$AV$74,N_Bedarf!$F54=N_Bedarf!$AV$75)),1,0)))),0)</f>
        <v>0</v>
      </c>
      <c r="O59" s="2056">
        <v>57</v>
      </c>
      <c r="P59" s="2056" t="str">
        <f t="shared" si="21"/>
        <v/>
      </c>
      <c r="Q59" s="2058" t="str">
        <f t="shared" si="22"/>
        <v/>
      </c>
      <c r="R59" s="2054"/>
      <c r="S59" s="1952" t="s">
        <v>32</v>
      </c>
      <c r="T59" s="1953">
        <v>0</v>
      </c>
      <c r="U59" s="2054" t="str">
        <f t="shared" si="13"/>
        <v>t / ha</v>
      </c>
      <c r="V59" s="2054">
        <v>1</v>
      </c>
      <c r="W59" s="1967" t="s">
        <v>1736</v>
      </c>
      <c r="X59" s="1966">
        <v>55</v>
      </c>
      <c r="Y59" s="1966"/>
      <c r="Z59" s="1966">
        <v>75</v>
      </c>
      <c r="AA59" s="1966"/>
      <c r="AB59" s="1966">
        <v>85</v>
      </c>
      <c r="AC59" s="1966"/>
      <c r="AD59" s="1966">
        <v>95</v>
      </c>
      <c r="AE59" s="1966"/>
      <c r="AF59" s="1966">
        <v>95</v>
      </c>
      <c r="AG59" s="1966"/>
      <c r="AH59" s="3"/>
      <c r="AI59" s="2325" t="str">
        <f t="shared" si="23"/>
        <v/>
      </c>
      <c r="AJ59" s="2326" t="str">
        <f t="shared" si="24"/>
        <v/>
      </c>
      <c r="AK59" s="2327" t="str">
        <f t="shared" si="25"/>
        <v/>
      </c>
      <c r="AL59" s="2328" t="str">
        <f t="shared" si="26"/>
        <v/>
      </c>
      <c r="AM59" s="2329" t="str">
        <f t="shared" si="27"/>
        <v/>
      </c>
      <c r="AN59" s="2330" t="str">
        <f t="shared" si="11"/>
        <v/>
      </c>
      <c r="AO59" s="2054">
        <f t="shared" si="12"/>
        <v>0</v>
      </c>
      <c r="AP59" s="2368"/>
      <c r="AQ59" s="2368"/>
      <c r="AR59" s="2369"/>
      <c r="AS59" s="2369"/>
      <c r="AT59" s="2369"/>
      <c r="AU59" s="2368"/>
      <c r="AV59" s="2368"/>
      <c r="AW59" s="2370"/>
    </row>
    <row r="60" spans="1:49" ht="48.75" customHeight="1" thickBot="1">
      <c r="A60" s="2360" t="str">
        <f>IF(N_Bedarf!$C55&gt;0,N_Bedarf!$C55,"")</f>
        <v>diverse Grünbrachen zB Biodiv.</v>
      </c>
      <c r="B60" s="2361">
        <f>IF(AND(COUNTIF($S$11:$S$149,N_Bedarf!$C55)&gt;0,$A60&lt;&gt;""),CONCATENATE(N_Bedarf!F55," (",N_Bedarf!G55,")"),IF(AND($A60&lt;&gt;"",COUNTIF($S$11:$S$149,N_Bedarf!$C55)=0),N_Bedarf!F55,""))</f>
        <v>0</v>
      </c>
      <c r="C60" s="2362" t="str">
        <f>IFERROR(VLOOKUP($A60,$S$11:$U$149,3,0),"")</f>
        <v/>
      </c>
      <c r="D60" s="2363"/>
      <c r="E60" s="2364"/>
      <c r="F60" s="2765" t="str">
        <f t="shared" si="5"/>
        <v/>
      </c>
      <c r="G60" s="2766"/>
      <c r="H60" s="2767" t="str">
        <f t="shared" si="1"/>
        <v/>
      </c>
      <c r="I60" s="2767"/>
      <c r="J60" s="2767"/>
      <c r="K60" s="2054"/>
      <c r="L60" s="2054"/>
      <c r="M60" s="2070"/>
      <c r="N60" s="2055">
        <f>IFERROR(IF(AND(COUNTIF($S$11:$S$309,$A60)=0,N_Bedarf!C55=""),0,(IF(COUNTIF($S$11:$S$309,$A60)=0,1,IF(AND(VLOOKUP($A60,$S$11:$V$309,4,0)&lt;2,VLOOKUP($A60,$S$11:$V$309,4,0)&gt;0,OR(N_Bedarf!$F55=N_Bedarf!$AV$70,N_Bedarf!$F55=N_Bedarf!$AV$71,N_Bedarf!$F55=N_Bedarf!$AV$72,N_Bedarf!$F55=N_Bedarf!$AV$73,N_Bedarf!$F55=N_Bedarf!$AV$74,N_Bedarf!$F55=N_Bedarf!$AV$75)),1,0)))),0)</f>
        <v>1</v>
      </c>
      <c r="O60" s="2056">
        <v>58</v>
      </c>
      <c r="P60" s="2056" t="str">
        <f t="shared" si="21"/>
        <v>t / ha</v>
      </c>
      <c r="Q60" s="2058" t="str">
        <f t="shared" si="22"/>
        <v>m3 / ha</v>
      </c>
      <c r="R60" s="2054"/>
      <c r="S60" s="1952" t="s">
        <v>1697</v>
      </c>
      <c r="T60" s="1953">
        <v>0</v>
      </c>
      <c r="U60" s="2054" t="str">
        <f t="shared" si="13"/>
        <v>t / ha</v>
      </c>
      <c r="V60" s="2054">
        <v>1</v>
      </c>
      <c r="W60" s="1967" t="s">
        <v>32</v>
      </c>
      <c r="X60" s="1966">
        <v>3</v>
      </c>
      <c r="Y60" s="1966"/>
      <c r="Z60" s="1966">
        <v>4</v>
      </c>
      <c r="AA60" s="1966"/>
      <c r="AB60" s="1966">
        <v>4.5</v>
      </c>
      <c r="AC60" s="1966"/>
      <c r="AD60" s="1966">
        <v>5</v>
      </c>
      <c r="AE60" s="1966"/>
      <c r="AF60" s="1966">
        <v>5</v>
      </c>
      <c r="AG60" s="1966"/>
      <c r="AH60" s="3"/>
      <c r="AI60" s="2325" t="str">
        <f t="shared" si="23"/>
        <v>diverse Grünbrachen zB Biodiv.0</v>
      </c>
      <c r="AJ60" s="2326">
        <f t="shared" si="24"/>
        <v>0</v>
      </c>
      <c r="AK60" s="2327" t="str">
        <f t="shared" si="25"/>
        <v/>
      </c>
      <c r="AL60" s="2328" t="str">
        <f t="shared" si="26"/>
        <v/>
      </c>
      <c r="AM60" s="2329">
        <f t="shared" si="27"/>
        <v>0</v>
      </c>
      <c r="AN60" s="2330" t="str">
        <f t="shared" si="11"/>
        <v/>
      </c>
      <c r="AO60" s="2054">
        <f t="shared" si="12"/>
        <v>1</v>
      </c>
      <c r="AP60" s="2368"/>
      <c r="AQ60" s="2368"/>
      <c r="AR60" s="2369"/>
      <c r="AS60" s="2369"/>
      <c r="AT60" s="2369"/>
      <c r="AU60" s="2368"/>
      <c r="AV60" s="2368"/>
      <c r="AW60" s="2370"/>
    </row>
    <row r="61" spans="1:49" ht="48.75" customHeight="1">
      <c r="A61" s="2054"/>
      <c r="B61" s="2054"/>
      <c r="C61" s="2054"/>
      <c r="D61" s="2054"/>
      <c r="E61" s="2054"/>
      <c r="F61" s="2054"/>
      <c r="G61" s="2054"/>
      <c r="H61" s="2054"/>
      <c r="I61" s="2054"/>
      <c r="J61" s="2054"/>
      <c r="K61" s="2054"/>
      <c r="L61" s="2054"/>
      <c r="M61" s="2070"/>
      <c r="N61" s="2070"/>
      <c r="O61" s="2056"/>
      <c r="P61" s="2056"/>
      <c r="Q61" s="2058"/>
      <c r="R61" s="2054"/>
      <c r="S61" s="1952" t="s">
        <v>1722</v>
      </c>
      <c r="T61" s="1953">
        <v>0</v>
      </c>
      <c r="U61" s="2054" t="str">
        <f t="shared" si="13"/>
        <v>t / ha</v>
      </c>
      <c r="V61" s="2054">
        <v>1</v>
      </c>
      <c r="W61" s="1967" t="s">
        <v>1697</v>
      </c>
      <c r="X61" s="1966">
        <v>15</v>
      </c>
      <c r="Y61" s="1966"/>
      <c r="Z61" s="1966">
        <v>20</v>
      </c>
      <c r="AA61" s="1966"/>
      <c r="AB61" s="1966">
        <v>20</v>
      </c>
      <c r="AC61" s="1966"/>
      <c r="AD61" s="1966">
        <v>20</v>
      </c>
      <c r="AE61" s="1966"/>
      <c r="AF61" s="1966">
        <v>20</v>
      </c>
      <c r="AG61" s="1966"/>
      <c r="AH61" s="3"/>
      <c r="AI61" s="3"/>
      <c r="AJ61" s="3"/>
      <c r="AL61" s="2321"/>
      <c r="AM61" s="3"/>
      <c r="AN61" s="3"/>
      <c r="AO61" s="3"/>
      <c r="AP61" s="2368"/>
      <c r="AQ61" s="2368"/>
      <c r="AR61" s="2369"/>
      <c r="AS61" s="2369"/>
      <c r="AT61" s="2369"/>
      <c r="AU61" s="2368"/>
      <c r="AV61" s="2368"/>
      <c r="AW61" s="2370"/>
    </row>
    <row r="62" spans="1:49" ht="15">
      <c r="S62" s="1952" t="s">
        <v>1723</v>
      </c>
      <c r="T62" s="1953">
        <v>0</v>
      </c>
      <c r="U62" s="2054" t="str">
        <f t="shared" si="13"/>
        <v>t / ha</v>
      </c>
      <c r="V62" s="2054">
        <v>1</v>
      </c>
      <c r="W62" s="1967" t="s">
        <v>1722</v>
      </c>
      <c r="X62" s="1966">
        <v>33</v>
      </c>
      <c r="Y62" s="1966"/>
      <c r="Z62" s="1966">
        <v>45</v>
      </c>
      <c r="AA62" s="1966"/>
      <c r="AB62" s="1966">
        <v>55</v>
      </c>
      <c r="AC62" s="1966"/>
      <c r="AD62" s="1966">
        <v>65</v>
      </c>
      <c r="AE62" s="1966"/>
      <c r="AF62" s="1966">
        <v>65</v>
      </c>
      <c r="AG62" s="1966"/>
      <c r="AH62" s="3"/>
      <c r="AI62" s="3"/>
      <c r="AJ62" s="3"/>
      <c r="AL62" s="2321"/>
      <c r="AM62" s="3"/>
      <c r="AN62" s="3"/>
      <c r="AO62" s="3"/>
      <c r="AR62" s="3"/>
      <c r="AS62" s="3"/>
      <c r="AT62" s="3"/>
      <c r="AW62" s="263"/>
    </row>
    <row r="63" spans="1:49" ht="15">
      <c r="S63" s="1952" t="s">
        <v>1698</v>
      </c>
      <c r="T63" s="1953">
        <v>0</v>
      </c>
      <c r="U63" s="2054" t="str">
        <f t="shared" si="13"/>
        <v>t / ha</v>
      </c>
      <c r="V63" s="2054">
        <v>1</v>
      </c>
      <c r="W63" s="1967" t="s">
        <v>1723</v>
      </c>
      <c r="X63" s="1966">
        <v>33</v>
      </c>
      <c r="Y63" s="1966"/>
      <c r="Z63" s="1966">
        <v>45</v>
      </c>
      <c r="AA63" s="1966"/>
      <c r="AB63" s="1966">
        <v>55</v>
      </c>
      <c r="AC63" s="1966"/>
      <c r="AD63" s="1966">
        <v>65</v>
      </c>
      <c r="AE63" s="1966"/>
      <c r="AF63" s="1966">
        <v>65</v>
      </c>
      <c r="AG63" s="1966"/>
      <c r="AH63" s="3"/>
      <c r="AI63" s="3"/>
      <c r="AJ63" s="3"/>
      <c r="AL63" s="2321"/>
      <c r="AM63" s="3"/>
      <c r="AN63" s="3"/>
      <c r="AO63" s="3"/>
      <c r="AR63" s="3"/>
      <c r="AS63" s="3"/>
      <c r="AT63" s="3"/>
      <c r="AW63" s="263"/>
    </row>
    <row r="64" spans="1:49" ht="15">
      <c r="S64" s="1952" t="s">
        <v>1724</v>
      </c>
      <c r="T64" s="1953">
        <v>0</v>
      </c>
      <c r="U64" s="2054" t="str">
        <f t="shared" si="13"/>
        <v>t / ha</v>
      </c>
      <c r="V64" s="2054">
        <v>1</v>
      </c>
      <c r="W64" s="1967" t="s">
        <v>1698</v>
      </c>
      <c r="X64" s="1966">
        <v>15</v>
      </c>
      <c r="Y64" s="1966"/>
      <c r="Z64" s="1966">
        <v>20</v>
      </c>
      <c r="AA64" s="1966"/>
      <c r="AB64" s="1966">
        <v>20</v>
      </c>
      <c r="AC64" s="1966"/>
      <c r="AD64" s="1966">
        <v>20</v>
      </c>
      <c r="AE64" s="1966"/>
      <c r="AF64" s="1966">
        <v>20</v>
      </c>
      <c r="AG64" s="1966"/>
      <c r="AH64" s="3"/>
      <c r="AI64" s="3"/>
      <c r="AJ64" s="3"/>
      <c r="AL64" s="2321"/>
      <c r="AM64" s="3"/>
      <c r="AN64" s="3"/>
      <c r="AO64" s="3"/>
      <c r="AR64" s="3"/>
      <c r="AS64" s="3"/>
      <c r="AT64" s="3"/>
      <c r="AW64" s="263"/>
    </row>
    <row r="65" spans="19:49" ht="15">
      <c r="S65" s="1952" t="s">
        <v>1709</v>
      </c>
      <c r="T65" s="1953">
        <v>0</v>
      </c>
      <c r="U65" s="2054" t="str">
        <f t="shared" si="13"/>
        <v>t / ha</v>
      </c>
      <c r="V65" s="2054">
        <v>1</v>
      </c>
      <c r="W65" s="1967" t="s">
        <v>1724</v>
      </c>
      <c r="X65" s="1966">
        <v>33</v>
      </c>
      <c r="Y65" s="1966"/>
      <c r="Z65" s="1966">
        <v>45</v>
      </c>
      <c r="AA65" s="1966"/>
      <c r="AB65" s="1966">
        <v>55</v>
      </c>
      <c r="AC65" s="1966"/>
      <c r="AD65" s="1966">
        <v>65</v>
      </c>
      <c r="AE65" s="1966"/>
      <c r="AF65" s="1966">
        <v>65</v>
      </c>
      <c r="AG65" s="1966"/>
      <c r="AH65" s="3"/>
      <c r="AI65" s="3"/>
      <c r="AJ65" s="3"/>
      <c r="AL65" s="2321"/>
      <c r="AM65" s="3"/>
      <c r="AN65" s="3"/>
      <c r="AO65" s="3"/>
      <c r="AR65" s="3"/>
      <c r="AS65" s="3"/>
      <c r="AT65" s="3"/>
      <c r="AW65" s="263"/>
    </row>
    <row r="66" spans="19:49" ht="15">
      <c r="S66" s="1952" t="s">
        <v>1818</v>
      </c>
      <c r="T66" s="1953">
        <v>0</v>
      </c>
      <c r="U66" s="2054" t="str">
        <f t="shared" si="13"/>
        <v>t / ha</v>
      </c>
      <c r="V66" s="2054">
        <v>1</v>
      </c>
      <c r="W66" s="1967" t="s">
        <v>1709</v>
      </c>
      <c r="X66" s="1966">
        <v>15</v>
      </c>
      <c r="Y66" s="1966"/>
      <c r="Z66" s="1966">
        <v>20</v>
      </c>
      <c r="AA66" s="1966"/>
      <c r="AB66" s="1966">
        <v>20</v>
      </c>
      <c r="AC66" s="1966"/>
      <c r="AD66" s="1966">
        <v>20</v>
      </c>
      <c r="AE66" s="1966"/>
      <c r="AF66" s="1966">
        <v>20</v>
      </c>
      <c r="AG66" s="1966"/>
      <c r="AH66" s="3"/>
      <c r="AI66" s="3"/>
      <c r="AJ66" s="3"/>
      <c r="AL66" s="2321"/>
      <c r="AM66" s="3"/>
      <c r="AN66" s="3"/>
      <c r="AO66" s="3"/>
      <c r="AR66" s="3"/>
      <c r="AS66" s="3"/>
      <c r="AT66" s="3"/>
      <c r="AW66" s="263"/>
    </row>
    <row r="67" spans="19:49" ht="15">
      <c r="S67" s="1952" t="s">
        <v>1695</v>
      </c>
      <c r="T67" s="1953">
        <v>0</v>
      </c>
      <c r="U67" s="2054" t="str">
        <f t="shared" si="13"/>
        <v>t / ha</v>
      </c>
      <c r="V67" s="2054">
        <v>1</v>
      </c>
      <c r="W67" s="1967" t="s">
        <v>1818</v>
      </c>
      <c r="X67" s="1966">
        <v>3.5</v>
      </c>
      <c r="Y67" s="1966"/>
      <c r="Z67" s="1966">
        <v>6</v>
      </c>
      <c r="AA67" s="1966"/>
      <c r="AB67" s="1966">
        <v>7.5</v>
      </c>
      <c r="AC67" s="1966"/>
      <c r="AD67" s="1966">
        <v>9</v>
      </c>
      <c r="AE67" s="1966"/>
      <c r="AF67" s="1966">
        <v>9</v>
      </c>
      <c r="AG67" s="1966"/>
      <c r="AH67" s="3"/>
      <c r="AI67" s="3"/>
      <c r="AJ67" s="3"/>
      <c r="AL67" s="2321"/>
      <c r="AM67" s="3"/>
      <c r="AN67" s="3"/>
      <c r="AO67" s="3"/>
      <c r="AR67" s="3"/>
      <c r="AS67" s="3"/>
      <c r="AT67" s="3"/>
      <c r="AW67" s="263"/>
    </row>
    <row r="68" spans="19:49" ht="15">
      <c r="S68" s="1952" t="s">
        <v>1701</v>
      </c>
      <c r="T68" s="1953">
        <v>0</v>
      </c>
      <c r="U68" s="2054" t="str">
        <f t="shared" si="13"/>
        <v>t / ha</v>
      </c>
      <c r="V68" s="2054">
        <v>2</v>
      </c>
      <c r="W68" s="1967" t="s">
        <v>1695</v>
      </c>
      <c r="X68" s="1966">
        <v>10</v>
      </c>
      <c r="Y68" s="1966"/>
      <c r="Z68" s="1966">
        <v>18</v>
      </c>
      <c r="AA68" s="1966"/>
      <c r="AB68" s="1966">
        <v>18</v>
      </c>
      <c r="AC68" s="1966"/>
      <c r="AD68" s="1966">
        <v>18</v>
      </c>
      <c r="AE68" s="1966"/>
      <c r="AF68" s="1966">
        <v>18</v>
      </c>
      <c r="AG68" s="1966"/>
      <c r="AH68" s="3"/>
      <c r="AI68" s="3"/>
      <c r="AJ68" s="3"/>
      <c r="AL68" s="2321"/>
      <c r="AM68" s="3"/>
      <c r="AN68" s="3"/>
      <c r="AO68" s="3"/>
      <c r="AR68" s="3"/>
      <c r="AS68" s="3"/>
      <c r="AT68" s="3"/>
      <c r="AW68" s="263"/>
    </row>
    <row r="69" spans="19:49" ht="15">
      <c r="S69" s="1952" t="s">
        <v>1700</v>
      </c>
      <c r="T69" s="1953">
        <v>0</v>
      </c>
      <c r="U69" s="2054" t="str">
        <f t="shared" si="13"/>
        <v>t / ha</v>
      </c>
      <c r="V69" s="2054">
        <v>2</v>
      </c>
      <c r="W69" s="1967" t="s">
        <v>1701</v>
      </c>
      <c r="X69" s="1966"/>
      <c r="Y69" s="1966"/>
      <c r="Z69" s="1966"/>
      <c r="AA69" s="1966"/>
      <c r="AB69" s="1966"/>
      <c r="AC69" s="1966"/>
      <c r="AD69" s="1966"/>
      <c r="AE69" s="1966"/>
      <c r="AF69" s="1966"/>
      <c r="AG69" s="1966"/>
      <c r="AH69" s="3"/>
      <c r="AI69" s="3"/>
      <c r="AJ69" s="3"/>
      <c r="AL69" s="2321"/>
      <c r="AM69" s="3"/>
      <c r="AN69" s="3"/>
      <c r="AO69" s="3"/>
      <c r="AR69" s="3"/>
      <c r="AS69" s="3"/>
      <c r="AT69" s="3"/>
      <c r="AW69" s="263"/>
    </row>
    <row r="70" spans="19:49" ht="15">
      <c r="S70" s="1952" t="s">
        <v>1295</v>
      </c>
      <c r="T70" s="1953">
        <v>0</v>
      </c>
      <c r="U70" s="2054" t="str">
        <f t="shared" si="13"/>
        <v>t / ha</v>
      </c>
      <c r="V70" s="2054">
        <v>1</v>
      </c>
      <c r="W70" s="1967" t="s">
        <v>1700</v>
      </c>
      <c r="X70" s="1966"/>
      <c r="Y70" s="1966"/>
      <c r="Z70" s="1966"/>
      <c r="AA70" s="1966"/>
      <c r="AB70" s="1966"/>
      <c r="AC70" s="1966"/>
      <c r="AD70" s="1966"/>
      <c r="AE70" s="1966"/>
      <c r="AF70" s="1966"/>
      <c r="AG70" s="1966"/>
      <c r="AH70" s="3"/>
      <c r="AI70" s="3"/>
      <c r="AJ70" s="3"/>
      <c r="AL70" s="2321"/>
      <c r="AM70" s="3"/>
      <c r="AN70" s="3"/>
      <c r="AO70" s="3"/>
      <c r="AR70" s="3"/>
      <c r="AS70" s="3"/>
      <c r="AT70" s="3"/>
      <c r="AW70" s="263"/>
    </row>
    <row r="71" spans="19:49" ht="15">
      <c r="S71" s="1952" t="s">
        <v>1730</v>
      </c>
      <c r="T71" s="1953">
        <v>0</v>
      </c>
      <c r="U71" s="2054" t="str">
        <f t="shared" si="13"/>
        <v>t / ha</v>
      </c>
      <c r="V71" s="2054">
        <v>1</v>
      </c>
      <c r="W71" s="1967" t="s">
        <v>1295</v>
      </c>
      <c r="X71" s="1966">
        <v>0.6</v>
      </c>
      <c r="Y71" s="1966"/>
      <c r="Z71" s="1966">
        <v>0.8</v>
      </c>
      <c r="AA71" s="1966"/>
      <c r="AB71" s="1966">
        <v>0.8</v>
      </c>
      <c r="AC71" s="1966"/>
      <c r="AD71" s="1966">
        <v>0.8</v>
      </c>
      <c r="AE71" s="1966"/>
      <c r="AF71" s="1966">
        <v>0.8</v>
      </c>
      <c r="AG71" s="1966"/>
      <c r="AH71" s="3"/>
      <c r="AI71" s="3"/>
      <c r="AJ71" s="3"/>
      <c r="AL71" s="2321"/>
      <c r="AM71" s="3"/>
      <c r="AN71" s="3"/>
      <c r="AO71" s="3"/>
      <c r="AR71" s="3"/>
      <c r="AS71" s="3"/>
      <c r="AT71" s="3"/>
      <c r="AW71" s="263"/>
    </row>
    <row r="72" spans="19:49" ht="15">
      <c r="S72" s="1952" t="s">
        <v>1714</v>
      </c>
      <c r="T72" s="1953">
        <v>0</v>
      </c>
      <c r="U72" s="2054" t="str">
        <f t="shared" si="13"/>
        <v>t / ha</v>
      </c>
      <c r="V72" s="2054">
        <v>1</v>
      </c>
      <c r="W72" s="1967" t="s">
        <v>1730</v>
      </c>
      <c r="X72" s="1966">
        <v>1</v>
      </c>
      <c r="Y72" s="1966"/>
      <c r="Z72" s="1966">
        <v>1.5</v>
      </c>
      <c r="AA72" s="1966"/>
      <c r="AB72" s="1966">
        <v>1.7</v>
      </c>
      <c r="AC72" s="1966"/>
      <c r="AD72" s="1966">
        <v>1.9</v>
      </c>
      <c r="AE72" s="1966"/>
      <c r="AF72" s="1966">
        <v>1.9</v>
      </c>
      <c r="AG72" s="1966"/>
      <c r="AH72" s="3"/>
      <c r="AI72" s="3"/>
      <c r="AJ72" s="3"/>
      <c r="AL72" s="2321"/>
      <c r="AM72" s="3"/>
      <c r="AN72" s="3"/>
      <c r="AO72" s="3"/>
      <c r="AR72" s="3"/>
      <c r="AS72" s="3"/>
      <c r="AT72" s="3"/>
      <c r="AW72" s="263"/>
    </row>
    <row r="73" spans="19:49" ht="15">
      <c r="S73" s="1952" t="s">
        <v>1690</v>
      </c>
      <c r="T73" s="1953">
        <v>1</v>
      </c>
      <c r="U73" s="2054" t="str">
        <f t="shared" si="13"/>
        <v/>
      </c>
      <c r="V73" s="2054">
        <v>1</v>
      </c>
      <c r="W73" s="1967" t="s">
        <v>1714</v>
      </c>
      <c r="X73" s="1966">
        <v>1.5</v>
      </c>
      <c r="Y73" s="1966"/>
      <c r="Z73" s="1966">
        <v>2.5</v>
      </c>
      <c r="AA73" s="1966"/>
      <c r="AB73" s="1966">
        <v>3</v>
      </c>
      <c r="AC73" s="1966"/>
      <c r="AD73" s="1966">
        <v>3.5</v>
      </c>
      <c r="AE73" s="1966"/>
      <c r="AF73" s="1966">
        <v>3.5</v>
      </c>
      <c r="AG73" s="1966"/>
      <c r="AH73" s="3"/>
      <c r="AI73" s="3"/>
      <c r="AJ73" s="3"/>
      <c r="AL73" s="2321"/>
      <c r="AM73" s="3"/>
      <c r="AN73" s="3"/>
      <c r="AO73" s="3"/>
      <c r="AR73" s="3"/>
      <c r="AS73" s="3"/>
      <c r="AT73" s="3"/>
      <c r="AW73" s="263"/>
    </row>
    <row r="74" spans="19:49" ht="15">
      <c r="S74" s="1952" t="s">
        <v>1691</v>
      </c>
      <c r="T74" s="1953">
        <v>1</v>
      </c>
      <c r="U74" s="2054" t="str">
        <f t="shared" si="13"/>
        <v/>
      </c>
      <c r="V74" s="2054">
        <v>1</v>
      </c>
      <c r="W74" s="1967" t="s">
        <v>1690</v>
      </c>
      <c r="X74" s="1966">
        <v>3</v>
      </c>
      <c r="Y74" s="1966">
        <v>7.2</v>
      </c>
      <c r="Z74" s="1966">
        <v>4.5</v>
      </c>
      <c r="AA74" s="1966">
        <v>10.7</v>
      </c>
      <c r="AB74" s="1966">
        <v>6</v>
      </c>
      <c r="AC74" s="1966">
        <v>14.4</v>
      </c>
      <c r="AD74" s="1966">
        <v>7.5</v>
      </c>
      <c r="AE74" s="1966">
        <v>17.899999999999999</v>
      </c>
      <c r="AF74" s="1966">
        <v>7.5</v>
      </c>
      <c r="AG74" s="1966">
        <v>17.899999999999999</v>
      </c>
      <c r="AH74" s="3"/>
      <c r="AI74" s="3"/>
      <c r="AJ74" s="263"/>
      <c r="AL74" s="2321"/>
      <c r="AM74" s="3"/>
      <c r="AN74" s="3"/>
      <c r="AO74" s="263"/>
      <c r="AR74" s="3"/>
      <c r="AS74" s="3"/>
      <c r="AT74" s="263"/>
      <c r="AW74" s="263"/>
    </row>
    <row r="75" spans="19:49" ht="15">
      <c r="S75" s="1952" t="s">
        <v>1692</v>
      </c>
      <c r="T75" s="1953">
        <v>1</v>
      </c>
      <c r="U75" s="2054" t="str">
        <f t="shared" si="13"/>
        <v/>
      </c>
      <c r="V75" s="2054">
        <v>1</v>
      </c>
      <c r="W75" s="1967" t="s">
        <v>1691</v>
      </c>
      <c r="X75" s="1966">
        <v>3</v>
      </c>
      <c r="Y75" s="1966">
        <v>7.6</v>
      </c>
      <c r="Z75" s="1966">
        <v>4.5</v>
      </c>
      <c r="AA75" s="1966">
        <v>10</v>
      </c>
      <c r="AB75" s="1966">
        <v>6</v>
      </c>
      <c r="AC75" s="1966">
        <v>15.1</v>
      </c>
      <c r="AD75" s="1966">
        <v>7.5</v>
      </c>
      <c r="AE75" s="1966">
        <v>18.8</v>
      </c>
      <c r="AF75" s="1966">
        <v>7.5</v>
      </c>
      <c r="AG75" s="1966">
        <v>18.8</v>
      </c>
      <c r="AH75" s="3"/>
      <c r="AI75" s="3"/>
      <c r="AJ75" s="263"/>
      <c r="AL75" s="2321"/>
      <c r="AM75" s="3"/>
      <c r="AN75" s="3"/>
      <c r="AO75" s="263"/>
      <c r="AR75" s="3"/>
      <c r="AS75" s="3"/>
      <c r="AT75" s="263"/>
      <c r="AW75" s="263"/>
    </row>
    <row r="76" spans="19:49" ht="15">
      <c r="S76" s="1952" t="s">
        <v>1693</v>
      </c>
      <c r="T76" s="1953">
        <v>1</v>
      </c>
      <c r="U76" s="2054" t="str">
        <f t="shared" ref="U76:U139" si="28">IF($T76=0,"t / ha",IF($T76=1,"",IF($T76=2,"m3 / ha","")))</f>
        <v/>
      </c>
      <c r="V76" s="2054">
        <v>1</v>
      </c>
      <c r="W76" s="1967" t="s">
        <v>1692</v>
      </c>
      <c r="X76" s="1966">
        <v>3</v>
      </c>
      <c r="Y76" s="1966">
        <v>7.2</v>
      </c>
      <c r="Z76" s="1966">
        <v>4.5</v>
      </c>
      <c r="AA76" s="1966">
        <v>10.7</v>
      </c>
      <c r="AB76" s="1966">
        <v>6</v>
      </c>
      <c r="AC76" s="1966">
        <v>14.4</v>
      </c>
      <c r="AD76" s="1966">
        <v>7.5</v>
      </c>
      <c r="AE76" s="1966">
        <v>17.899999999999999</v>
      </c>
      <c r="AF76" s="1966">
        <v>7.5</v>
      </c>
      <c r="AG76" s="1966">
        <v>17.899999999999999</v>
      </c>
      <c r="AH76" s="3"/>
      <c r="AI76" s="3"/>
      <c r="AJ76" s="263"/>
      <c r="AL76" s="2321"/>
      <c r="AM76" s="3"/>
      <c r="AN76" s="3"/>
      <c r="AO76" s="263"/>
      <c r="AR76" s="3"/>
      <c r="AS76" s="3"/>
      <c r="AT76" s="263"/>
      <c r="AW76" s="263"/>
    </row>
    <row r="77" spans="19:49" ht="15">
      <c r="S77" s="1952" t="s">
        <v>4</v>
      </c>
      <c r="T77" s="1953">
        <v>0</v>
      </c>
      <c r="U77" s="2054" t="str">
        <f t="shared" si="28"/>
        <v>t / ha</v>
      </c>
      <c r="V77" s="2054">
        <v>1</v>
      </c>
      <c r="W77" s="1967" t="s">
        <v>1693</v>
      </c>
      <c r="X77" s="1966">
        <v>3</v>
      </c>
      <c r="Y77" s="1966">
        <v>7.6</v>
      </c>
      <c r="Z77" s="1966">
        <v>4.5</v>
      </c>
      <c r="AA77" s="1966">
        <v>10</v>
      </c>
      <c r="AB77" s="1966">
        <v>6</v>
      </c>
      <c r="AC77" s="1966">
        <v>15.1</v>
      </c>
      <c r="AD77" s="1966">
        <v>7.5</v>
      </c>
      <c r="AE77" s="1966">
        <v>18.8</v>
      </c>
      <c r="AF77" s="1966">
        <v>7.5</v>
      </c>
      <c r="AG77" s="1966">
        <v>18.8</v>
      </c>
      <c r="AH77" s="3"/>
      <c r="AI77" s="3"/>
      <c r="AJ77" s="263"/>
      <c r="AL77" s="2321"/>
      <c r="AM77" s="3"/>
      <c r="AN77" s="3"/>
      <c r="AO77" s="263"/>
      <c r="AR77" s="3"/>
      <c r="AS77" s="3"/>
      <c r="AT77" s="263"/>
      <c r="AW77" s="263"/>
    </row>
    <row r="78" spans="19:49" ht="15">
      <c r="S78" s="1952" t="s">
        <v>12</v>
      </c>
      <c r="T78" s="1953">
        <v>0</v>
      </c>
      <c r="U78" s="2054" t="str">
        <f t="shared" si="28"/>
        <v>t / ha</v>
      </c>
      <c r="V78" s="2054">
        <v>1</v>
      </c>
      <c r="W78" s="1967" t="s">
        <v>4</v>
      </c>
      <c r="X78" s="1966">
        <v>1</v>
      </c>
      <c r="Y78" s="1966"/>
      <c r="Z78" s="1966">
        <v>1.5</v>
      </c>
      <c r="AA78" s="1966"/>
      <c r="AB78" s="1966">
        <v>2</v>
      </c>
      <c r="AC78" s="1966"/>
      <c r="AD78" s="1966">
        <v>2.5</v>
      </c>
      <c r="AE78" s="1966"/>
      <c r="AF78" s="1966">
        <v>2.5</v>
      </c>
      <c r="AG78" s="1966"/>
      <c r="AH78" s="3"/>
      <c r="AI78" s="3"/>
      <c r="AJ78" s="3"/>
      <c r="AL78" s="2321"/>
      <c r="AM78" s="3"/>
      <c r="AN78" s="3"/>
      <c r="AO78" s="3"/>
      <c r="AR78" s="3"/>
      <c r="AS78" s="3"/>
      <c r="AT78" s="3"/>
      <c r="AW78" s="263"/>
    </row>
    <row r="79" spans="19:49" ht="15">
      <c r="S79" s="1952" t="s">
        <v>1715</v>
      </c>
      <c r="T79" s="1953">
        <v>0</v>
      </c>
      <c r="U79" s="2054" t="str">
        <f t="shared" si="28"/>
        <v>t / ha</v>
      </c>
      <c r="V79" s="2054">
        <v>1</v>
      </c>
      <c r="W79" s="1967" t="s">
        <v>12</v>
      </c>
      <c r="X79" s="1966">
        <v>1</v>
      </c>
      <c r="Y79" s="1966"/>
      <c r="Z79" s="1966">
        <v>1.5</v>
      </c>
      <c r="AA79" s="1966"/>
      <c r="AB79" s="1966">
        <v>2</v>
      </c>
      <c r="AC79" s="1966"/>
      <c r="AD79" s="1966">
        <v>3</v>
      </c>
      <c r="AE79" s="1966"/>
      <c r="AF79" s="1966">
        <v>3</v>
      </c>
      <c r="AG79" s="1966"/>
      <c r="AH79" s="3"/>
      <c r="AI79" s="3"/>
      <c r="AJ79" s="3"/>
      <c r="AL79" s="2321"/>
      <c r="AM79" s="3"/>
      <c r="AN79" s="3"/>
      <c r="AO79" s="3"/>
      <c r="AR79" s="3"/>
      <c r="AS79" s="3"/>
      <c r="AT79" s="3"/>
      <c r="AW79" s="263"/>
    </row>
    <row r="80" spans="19:49" ht="15">
      <c r="S80" s="1952" t="s">
        <v>1731</v>
      </c>
      <c r="T80" s="1953">
        <v>0</v>
      </c>
      <c r="U80" s="2054" t="str">
        <f t="shared" si="28"/>
        <v>t / ha</v>
      </c>
      <c r="V80" s="2054">
        <v>1</v>
      </c>
      <c r="W80" s="1967" t="s">
        <v>1715</v>
      </c>
      <c r="X80" s="1966">
        <v>0.6</v>
      </c>
      <c r="Y80" s="1966"/>
      <c r="Z80" s="1966">
        <v>0.8</v>
      </c>
      <c r="AA80" s="1966"/>
      <c r="AB80" s="1966">
        <v>1</v>
      </c>
      <c r="AC80" s="1966"/>
      <c r="AD80" s="1966">
        <v>1.2</v>
      </c>
      <c r="AE80" s="1966"/>
      <c r="AF80" s="1966">
        <v>1.2</v>
      </c>
      <c r="AG80" s="1966"/>
      <c r="AH80" s="3"/>
      <c r="AI80" s="3"/>
      <c r="AJ80" s="3"/>
      <c r="AL80" s="2321"/>
      <c r="AM80" s="3"/>
      <c r="AN80" s="3"/>
      <c r="AO80" s="3"/>
      <c r="AR80" s="3"/>
      <c r="AS80" s="3"/>
      <c r="AT80" s="3"/>
      <c r="AW80" s="263"/>
    </row>
    <row r="81" spans="19:49" ht="15">
      <c r="S81" s="1952" t="s">
        <v>1696</v>
      </c>
      <c r="T81" s="1953">
        <v>0</v>
      </c>
      <c r="U81" s="2054" t="str">
        <f t="shared" si="28"/>
        <v>t / ha</v>
      </c>
      <c r="V81" s="2054">
        <v>1</v>
      </c>
      <c r="W81" s="1967" t="s">
        <v>1731</v>
      </c>
      <c r="X81" s="1966">
        <v>0.6</v>
      </c>
      <c r="Y81" s="1966"/>
      <c r="Z81" s="1966">
        <v>0.8</v>
      </c>
      <c r="AA81" s="1966"/>
      <c r="AB81" s="1966">
        <v>0.9</v>
      </c>
      <c r="AC81" s="1966"/>
      <c r="AD81" s="1966">
        <v>1</v>
      </c>
      <c r="AE81" s="1966"/>
      <c r="AF81" s="1966">
        <v>1</v>
      </c>
      <c r="AG81" s="1966"/>
      <c r="AH81" s="3"/>
      <c r="AI81" s="3"/>
      <c r="AJ81" s="3"/>
      <c r="AL81" s="2321"/>
      <c r="AM81" s="3"/>
      <c r="AN81" s="3"/>
      <c r="AO81" s="3"/>
      <c r="AR81" s="3"/>
      <c r="AS81" s="3"/>
      <c r="AT81" s="3"/>
      <c r="AW81" s="263"/>
    </row>
    <row r="82" spans="19:49" ht="15">
      <c r="S82" s="1952" t="s">
        <v>26</v>
      </c>
      <c r="T82" s="1953">
        <v>0</v>
      </c>
      <c r="U82" s="2054" t="str">
        <f t="shared" si="28"/>
        <v>t / ha</v>
      </c>
      <c r="V82" s="2054">
        <v>1</v>
      </c>
      <c r="W82" s="1967" t="s">
        <v>1696</v>
      </c>
      <c r="X82" s="1966">
        <v>10</v>
      </c>
      <c r="Y82" s="1966"/>
      <c r="Z82" s="1966">
        <v>12</v>
      </c>
      <c r="AA82" s="1966"/>
      <c r="AB82" s="1966">
        <v>14</v>
      </c>
      <c r="AC82" s="1966"/>
      <c r="AD82" s="1966">
        <v>15</v>
      </c>
      <c r="AE82" s="1966"/>
      <c r="AF82" s="1966">
        <v>15</v>
      </c>
      <c r="AG82" s="1966"/>
      <c r="AH82" s="3"/>
      <c r="AI82" s="3"/>
      <c r="AJ82" s="3"/>
      <c r="AL82" s="2321"/>
      <c r="AM82" s="3"/>
      <c r="AN82" s="3"/>
      <c r="AO82" s="3"/>
      <c r="AR82" s="3"/>
      <c r="AS82" s="3"/>
      <c r="AT82" s="3"/>
      <c r="AW82" s="263"/>
    </row>
    <row r="83" spans="19:49" ht="15">
      <c r="S83" s="1952" t="s">
        <v>23</v>
      </c>
      <c r="T83" s="1953">
        <v>0</v>
      </c>
      <c r="U83" s="2054" t="str">
        <f t="shared" si="28"/>
        <v>t / ha</v>
      </c>
      <c r="V83" s="2054">
        <v>1</v>
      </c>
      <c r="W83" s="1967" t="s">
        <v>26</v>
      </c>
      <c r="X83" s="1966">
        <v>1.5</v>
      </c>
      <c r="Y83" s="1966"/>
      <c r="Z83" s="1966">
        <v>2</v>
      </c>
      <c r="AA83" s="1966"/>
      <c r="AB83" s="1966">
        <v>2.5</v>
      </c>
      <c r="AC83" s="1966"/>
      <c r="AD83" s="1966">
        <v>3</v>
      </c>
      <c r="AE83" s="1966"/>
      <c r="AF83" s="1966">
        <v>3</v>
      </c>
      <c r="AG83" s="1966"/>
      <c r="AH83" s="3"/>
      <c r="AI83" s="3"/>
      <c r="AJ83" s="3"/>
      <c r="AL83" s="2321"/>
      <c r="AM83" s="3"/>
      <c r="AN83" s="3"/>
      <c r="AO83" s="3"/>
      <c r="AR83" s="3"/>
      <c r="AS83" s="3"/>
      <c r="AT83" s="3"/>
      <c r="AW83" s="263"/>
    </row>
    <row r="84" spans="19:49" ht="15">
      <c r="S84" s="1952" t="s">
        <v>17</v>
      </c>
      <c r="T84" s="1953">
        <v>0</v>
      </c>
      <c r="U84" s="2054" t="str">
        <f t="shared" si="28"/>
        <v>t / ha</v>
      </c>
      <c r="V84" s="2054">
        <v>1</v>
      </c>
      <c r="W84" s="1967" t="s">
        <v>23</v>
      </c>
      <c r="X84" s="1966">
        <v>3</v>
      </c>
      <c r="Y84" s="1966"/>
      <c r="Z84" s="1966">
        <v>5</v>
      </c>
      <c r="AA84" s="1966"/>
      <c r="AB84" s="1966">
        <v>6.5</v>
      </c>
      <c r="AC84" s="1966"/>
      <c r="AD84" s="1966">
        <v>8</v>
      </c>
      <c r="AE84" s="1966"/>
      <c r="AF84" s="1966">
        <v>8</v>
      </c>
      <c r="AG84" s="1966"/>
      <c r="AH84" s="3"/>
      <c r="AI84" s="3"/>
      <c r="AJ84" s="3"/>
      <c r="AL84" s="2321"/>
      <c r="AM84" s="3"/>
      <c r="AN84" s="3"/>
      <c r="AO84" s="3"/>
      <c r="AR84" s="3"/>
      <c r="AS84" s="3"/>
      <c r="AT84" s="3"/>
      <c r="AW84" s="263"/>
    </row>
    <row r="85" spans="19:49" ht="15">
      <c r="S85" s="1952" t="s">
        <v>2372</v>
      </c>
      <c r="T85" s="1953">
        <v>0</v>
      </c>
      <c r="U85" s="2054" t="str">
        <f t="shared" si="28"/>
        <v>t / ha</v>
      </c>
      <c r="V85" s="2054">
        <v>1</v>
      </c>
      <c r="W85" s="1967" t="s">
        <v>17</v>
      </c>
      <c r="X85" s="1966">
        <v>0.8</v>
      </c>
      <c r="Y85" s="1966"/>
      <c r="Z85" s="1966">
        <v>1</v>
      </c>
      <c r="AA85" s="1966"/>
      <c r="AB85" s="1966">
        <v>1</v>
      </c>
      <c r="AC85" s="1966"/>
      <c r="AD85" s="1966">
        <v>1</v>
      </c>
      <c r="AE85" s="1966"/>
      <c r="AF85" s="1966">
        <v>1</v>
      </c>
      <c r="AG85" s="1966"/>
      <c r="AH85" s="3"/>
      <c r="AI85" s="3"/>
      <c r="AJ85" s="3"/>
      <c r="AL85" s="2321"/>
      <c r="AM85" s="3"/>
      <c r="AN85" s="3"/>
      <c r="AO85" s="3"/>
      <c r="AR85" s="3"/>
      <c r="AS85" s="3"/>
      <c r="AT85" s="3"/>
      <c r="AW85" s="263"/>
    </row>
    <row r="86" spans="19:49" ht="15">
      <c r="S86" s="1952" t="s">
        <v>1718</v>
      </c>
      <c r="T86" s="1953">
        <v>0</v>
      </c>
      <c r="U86" s="2054" t="str">
        <f t="shared" si="28"/>
        <v>t / ha</v>
      </c>
      <c r="V86" s="2054">
        <v>1</v>
      </c>
      <c r="W86" s="1967" t="s">
        <v>2372</v>
      </c>
      <c r="X86" s="1966">
        <v>1.5</v>
      </c>
      <c r="Y86" s="1966"/>
      <c r="Z86" s="1966">
        <v>2.5</v>
      </c>
      <c r="AA86" s="1966"/>
      <c r="AB86" s="1966">
        <v>2.5</v>
      </c>
      <c r="AC86" s="1966"/>
      <c r="AD86" s="1966">
        <v>2.5</v>
      </c>
      <c r="AE86" s="1966"/>
      <c r="AF86" s="1966">
        <v>2.5</v>
      </c>
      <c r="AG86" s="1966"/>
      <c r="AH86" s="3"/>
      <c r="AI86" s="3"/>
      <c r="AJ86" s="3"/>
      <c r="AL86" s="2321"/>
      <c r="AM86" s="3"/>
      <c r="AN86" s="3"/>
      <c r="AO86" s="3"/>
      <c r="AR86" s="3"/>
      <c r="AS86" s="3"/>
      <c r="AT86" s="3"/>
      <c r="AW86" s="263"/>
    </row>
    <row r="87" spans="19:49" ht="15">
      <c r="S87" s="1952" t="s">
        <v>1732</v>
      </c>
      <c r="T87" s="1953">
        <v>0</v>
      </c>
      <c r="U87" s="2054" t="str">
        <f t="shared" si="28"/>
        <v>t / ha</v>
      </c>
      <c r="V87" s="2054">
        <v>1</v>
      </c>
      <c r="W87" s="1967" t="s">
        <v>1718</v>
      </c>
      <c r="X87" s="1966">
        <v>1</v>
      </c>
      <c r="Y87" s="1966"/>
      <c r="Z87" s="1966">
        <v>1.5</v>
      </c>
      <c r="AA87" s="1966"/>
      <c r="AB87" s="1966">
        <v>2</v>
      </c>
      <c r="AC87" s="1966"/>
      <c r="AD87" s="1966">
        <v>2.5</v>
      </c>
      <c r="AE87" s="1966"/>
      <c r="AF87" s="1966">
        <v>2.5</v>
      </c>
      <c r="AG87" s="1966"/>
      <c r="AH87" s="3"/>
      <c r="AI87" s="3"/>
      <c r="AJ87" s="3"/>
      <c r="AL87" s="2321"/>
      <c r="AM87" s="3"/>
      <c r="AN87" s="3"/>
      <c r="AO87" s="3"/>
      <c r="AR87" s="3"/>
      <c r="AS87" s="3"/>
      <c r="AT87" s="3"/>
      <c r="AW87" s="263"/>
    </row>
    <row r="88" spans="19:49" ht="15">
      <c r="S88" s="1952" t="s">
        <v>1720</v>
      </c>
      <c r="T88" s="1953">
        <v>0</v>
      </c>
      <c r="U88" s="2054" t="str">
        <f t="shared" si="28"/>
        <v>t / ha</v>
      </c>
      <c r="V88" s="2054">
        <v>1</v>
      </c>
      <c r="W88" s="1967" t="s">
        <v>1732</v>
      </c>
      <c r="X88" s="1966">
        <v>1</v>
      </c>
      <c r="Y88" s="1966"/>
      <c r="Z88" s="1966">
        <v>1.5</v>
      </c>
      <c r="AA88" s="1966"/>
      <c r="AB88" s="1966">
        <v>2</v>
      </c>
      <c r="AC88" s="1966"/>
      <c r="AD88" s="1966">
        <v>2.5</v>
      </c>
      <c r="AE88" s="1966"/>
      <c r="AF88" s="1966">
        <v>2.5</v>
      </c>
      <c r="AG88" s="1966"/>
      <c r="AH88" s="3"/>
      <c r="AI88" s="3"/>
      <c r="AJ88" s="3"/>
      <c r="AL88" s="2321"/>
      <c r="AM88" s="3"/>
      <c r="AN88" s="3"/>
      <c r="AO88" s="3"/>
      <c r="AR88" s="3"/>
      <c r="AS88" s="3"/>
      <c r="AT88" s="3"/>
      <c r="AW88" s="263"/>
    </row>
    <row r="89" spans="19:49" ht="15">
      <c r="S89" s="1952" t="s">
        <v>1735</v>
      </c>
      <c r="T89" s="1953">
        <v>0</v>
      </c>
      <c r="U89" s="2054" t="str">
        <f t="shared" si="28"/>
        <v>t / ha</v>
      </c>
      <c r="V89" s="2054">
        <v>1</v>
      </c>
      <c r="W89" s="1967" t="s">
        <v>1720</v>
      </c>
      <c r="X89" s="1966">
        <v>25</v>
      </c>
      <c r="Y89" s="1966"/>
      <c r="Z89" s="1966">
        <v>35</v>
      </c>
      <c r="AA89" s="1966"/>
      <c r="AB89" s="1966">
        <v>45</v>
      </c>
      <c r="AC89" s="1966"/>
      <c r="AD89" s="1966">
        <v>55</v>
      </c>
      <c r="AE89" s="1966"/>
      <c r="AF89" s="1966">
        <v>55</v>
      </c>
      <c r="AG89" s="1966"/>
      <c r="AH89" s="3"/>
      <c r="AI89" s="3"/>
      <c r="AJ89" s="3"/>
      <c r="AL89" s="2321"/>
      <c r="AM89" s="3"/>
      <c r="AN89" s="3"/>
      <c r="AO89" s="3"/>
      <c r="AR89" s="3"/>
      <c r="AS89" s="3"/>
      <c r="AT89" s="3"/>
      <c r="AW89" s="263"/>
    </row>
    <row r="90" spans="19:49" ht="15">
      <c r="S90" s="1952" t="s">
        <v>1813</v>
      </c>
      <c r="T90" s="1953">
        <v>0</v>
      </c>
      <c r="U90" s="2054" t="str">
        <f t="shared" si="28"/>
        <v>t / ha</v>
      </c>
      <c r="V90" s="2054">
        <v>2</v>
      </c>
      <c r="W90" s="1967" t="s">
        <v>1735</v>
      </c>
      <c r="X90" s="1966">
        <v>25</v>
      </c>
      <c r="Y90" s="1966"/>
      <c r="Z90" s="1966">
        <v>35</v>
      </c>
      <c r="AA90" s="1966"/>
      <c r="AB90" s="1966">
        <v>45</v>
      </c>
      <c r="AC90" s="1966"/>
      <c r="AD90" s="1966">
        <v>55</v>
      </c>
      <c r="AE90" s="1966"/>
      <c r="AF90" s="1966">
        <v>55</v>
      </c>
      <c r="AG90" s="1966"/>
      <c r="AH90" s="3"/>
      <c r="AI90" s="3"/>
      <c r="AJ90" s="3"/>
      <c r="AL90" s="2321"/>
      <c r="AM90" s="3"/>
      <c r="AN90" s="3"/>
      <c r="AO90" s="3"/>
      <c r="AR90" s="3"/>
      <c r="AS90" s="3"/>
      <c r="AT90" s="3"/>
      <c r="AW90" s="263"/>
    </row>
    <row r="91" spans="19:49" ht="15">
      <c r="S91" s="1952" t="s">
        <v>1906</v>
      </c>
      <c r="T91" s="1953">
        <v>0</v>
      </c>
      <c r="U91" s="2054" t="str">
        <f t="shared" si="28"/>
        <v>t / ha</v>
      </c>
      <c r="V91" s="2054">
        <v>2</v>
      </c>
      <c r="W91" s="1967" t="s">
        <v>1813</v>
      </c>
      <c r="X91" s="1966"/>
      <c r="Y91" s="1966"/>
      <c r="Z91" s="1966"/>
      <c r="AA91" s="1966"/>
      <c r="AB91" s="1966"/>
      <c r="AC91" s="1966"/>
      <c r="AD91" s="1966"/>
      <c r="AE91" s="1966"/>
      <c r="AF91" s="1966"/>
      <c r="AG91" s="1966"/>
      <c r="AH91" s="3"/>
      <c r="AI91" s="3"/>
      <c r="AJ91" s="3"/>
      <c r="AL91" s="2321"/>
      <c r="AM91" s="3"/>
      <c r="AN91" s="3"/>
      <c r="AO91" s="3"/>
      <c r="AR91" s="3"/>
      <c r="AS91" s="3"/>
      <c r="AT91" s="3"/>
      <c r="AW91" s="263"/>
    </row>
    <row r="92" spans="19:49" ht="15">
      <c r="S92" s="1952" t="s">
        <v>1907</v>
      </c>
      <c r="T92" s="1953">
        <v>0</v>
      </c>
      <c r="U92" s="2054" t="str">
        <f t="shared" si="28"/>
        <v>t / ha</v>
      </c>
      <c r="V92" s="2054">
        <v>2</v>
      </c>
      <c r="W92" s="1967" t="s">
        <v>1906</v>
      </c>
      <c r="X92" s="1966">
        <v>2.5</v>
      </c>
      <c r="Y92" s="1966"/>
      <c r="Z92" s="1966">
        <v>2.5</v>
      </c>
      <c r="AA92" s="1966"/>
      <c r="AB92" s="1966">
        <v>2.5</v>
      </c>
      <c r="AC92" s="1966"/>
      <c r="AD92" s="1966">
        <v>2.5</v>
      </c>
      <c r="AE92" s="1966"/>
      <c r="AF92" s="1966">
        <v>2.5</v>
      </c>
      <c r="AG92" s="1966"/>
      <c r="AH92" s="3"/>
      <c r="AI92" s="3"/>
      <c r="AJ92" s="3"/>
      <c r="AL92" s="2321"/>
      <c r="AM92" s="3"/>
      <c r="AN92" s="3"/>
      <c r="AO92" s="3"/>
      <c r="AR92" s="3"/>
      <c r="AS92" s="3"/>
      <c r="AT92" s="3"/>
      <c r="AW92" s="263"/>
    </row>
    <row r="93" spans="19:49" ht="15">
      <c r="S93" s="1952" t="s">
        <v>1908</v>
      </c>
      <c r="T93" s="1953">
        <v>0</v>
      </c>
      <c r="U93" s="2054" t="str">
        <f t="shared" si="28"/>
        <v>t / ha</v>
      </c>
      <c r="V93" s="2054">
        <v>2</v>
      </c>
      <c r="W93" s="1967" t="s">
        <v>1907</v>
      </c>
      <c r="X93" s="1966">
        <v>4</v>
      </c>
      <c r="Y93" s="1966"/>
      <c r="Z93" s="1966">
        <v>4</v>
      </c>
      <c r="AA93" s="1966"/>
      <c r="AB93" s="1966">
        <v>4</v>
      </c>
      <c r="AC93" s="1966"/>
      <c r="AD93" s="1966">
        <v>4</v>
      </c>
      <c r="AE93" s="1966"/>
      <c r="AF93" s="1966">
        <v>4</v>
      </c>
      <c r="AG93" s="1966"/>
      <c r="AH93" s="3"/>
      <c r="AI93" s="3"/>
      <c r="AJ93" s="3"/>
      <c r="AL93" s="2321"/>
      <c r="AM93" s="3"/>
      <c r="AN93" s="3"/>
      <c r="AO93" s="3"/>
      <c r="AR93" s="3"/>
      <c r="AS93" s="3"/>
      <c r="AT93" s="3"/>
      <c r="AW93" s="263"/>
    </row>
    <row r="94" spans="19:49" ht="15">
      <c r="S94" s="1952" t="s">
        <v>1909</v>
      </c>
      <c r="T94" s="1953">
        <v>0</v>
      </c>
      <c r="U94" s="2054" t="str">
        <f t="shared" si="28"/>
        <v>t / ha</v>
      </c>
      <c r="V94" s="2054">
        <v>2</v>
      </c>
      <c r="W94" s="1967" t="s">
        <v>1908</v>
      </c>
      <c r="X94" s="1966">
        <v>12</v>
      </c>
      <c r="Y94" s="1966"/>
      <c r="Z94" s="1966">
        <v>12</v>
      </c>
      <c r="AA94" s="1966"/>
      <c r="AB94" s="1966">
        <v>12</v>
      </c>
      <c r="AC94" s="1966"/>
      <c r="AD94" s="1966">
        <v>12</v>
      </c>
      <c r="AE94" s="1966"/>
      <c r="AF94" s="1966">
        <v>12</v>
      </c>
      <c r="AG94" s="1966"/>
      <c r="AH94" s="3"/>
      <c r="AI94" s="3"/>
      <c r="AJ94" s="3"/>
      <c r="AL94" s="2321"/>
      <c r="AM94" s="3"/>
      <c r="AN94" s="3"/>
      <c r="AO94" s="3"/>
      <c r="AR94" s="3"/>
      <c r="AS94" s="3"/>
      <c r="AT94" s="3"/>
      <c r="AW94" s="263"/>
    </row>
    <row r="95" spans="19:49" ht="15">
      <c r="S95" s="1952" t="s">
        <v>1910</v>
      </c>
      <c r="T95" s="1953">
        <v>0</v>
      </c>
      <c r="U95" s="2054" t="str">
        <f t="shared" si="28"/>
        <v>t / ha</v>
      </c>
      <c r="V95" s="2054">
        <v>2</v>
      </c>
      <c r="W95" s="1967" t="s">
        <v>1909</v>
      </c>
      <c r="X95" s="1966">
        <v>12</v>
      </c>
      <c r="Y95" s="1966"/>
      <c r="Z95" s="1966">
        <v>12</v>
      </c>
      <c r="AA95" s="1966"/>
      <c r="AB95" s="1966">
        <v>12</v>
      </c>
      <c r="AC95" s="1966"/>
      <c r="AD95" s="1966">
        <v>12</v>
      </c>
      <c r="AE95" s="1966"/>
      <c r="AF95" s="1966">
        <v>12</v>
      </c>
      <c r="AG95" s="1966"/>
      <c r="AH95" s="3"/>
      <c r="AI95" s="3"/>
      <c r="AJ95" s="3"/>
      <c r="AL95" s="2321"/>
      <c r="AM95" s="3"/>
      <c r="AN95" s="3"/>
      <c r="AO95" s="3"/>
      <c r="AR95" s="3"/>
      <c r="AS95" s="3"/>
      <c r="AT95" s="3"/>
      <c r="AW95" s="263"/>
    </row>
    <row r="96" spans="19:49" ht="15">
      <c r="S96" s="1952" t="s">
        <v>1911</v>
      </c>
      <c r="T96" s="1953">
        <v>0</v>
      </c>
      <c r="U96" s="2054" t="str">
        <f t="shared" si="28"/>
        <v>t / ha</v>
      </c>
      <c r="V96" s="2054">
        <v>2</v>
      </c>
      <c r="W96" s="1967" t="s">
        <v>1910</v>
      </c>
      <c r="X96" s="1966">
        <v>12</v>
      </c>
      <c r="Y96" s="1966"/>
      <c r="Z96" s="1966">
        <v>12</v>
      </c>
      <c r="AA96" s="1966"/>
      <c r="AB96" s="1966">
        <v>12</v>
      </c>
      <c r="AC96" s="1966"/>
      <c r="AD96" s="1966">
        <v>12</v>
      </c>
      <c r="AE96" s="1966"/>
      <c r="AF96" s="1966">
        <v>12</v>
      </c>
      <c r="AG96" s="1966"/>
      <c r="AH96" s="3"/>
      <c r="AI96" s="3"/>
      <c r="AJ96" s="3"/>
      <c r="AL96" s="2321"/>
      <c r="AM96" s="3"/>
      <c r="AN96" s="3"/>
      <c r="AO96" s="3"/>
      <c r="AR96" s="3"/>
      <c r="AS96" s="3"/>
      <c r="AT96" s="3"/>
      <c r="AW96" s="263"/>
    </row>
    <row r="97" spans="19:49" ht="15">
      <c r="S97" s="1952" t="s">
        <v>1945</v>
      </c>
      <c r="T97" s="1953">
        <v>0</v>
      </c>
      <c r="U97" s="2054" t="str">
        <f t="shared" si="28"/>
        <v>t / ha</v>
      </c>
      <c r="V97" s="2054">
        <v>2</v>
      </c>
      <c r="W97" s="1967" t="s">
        <v>1911</v>
      </c>
      <c r="X97" s="1966">
        <v>12</v>
      </c>
      <c r="Y97" s="1966"/>
      <c r="Z97" s="1966">
        <v>12</v>
      </c>
      <c r="AA97" s="1966"/>
      <c r="AB97" s="1966">
        <v>12</v>
      </c>
      <c r="AC97" s="1966"/>
      <c r="AD97" s="1966">
        <v>12</v>
      </c>
      <c r="AE97" s="1966"/>
      <c r="AF97" s="1966">
        <v>12</v>
      </c>
      <c r="AG97" s="1966"/>
      <c r="AH97" s="3"/>
      <c r="AI97" s="3"/>
      <c r="AJ97" s="3"/>
      <c r="AL97" s="2321"/>
      <c r="AM97" s="3"/>
      <c r="AN97" s="3"/>
      <c r="AO97" s="3"/>
      <c r="AR97" s="3"/>
      <c r="AS97" s="3"/>
      <c r="AT97" s="3"/>
      <c r="AW97" s="263"/>
    </row>
    <row r="98" spans="19:49" ht="15">
      <c r="S98" s="1952" t="s">
        <v>1946</v>
      </c>
      <c r="T98" s="1953">
        <v>0</v>
      </c>
      <c r="U98" s="2054" t="str">
        <f t="shared" si="28"/>
        <v>t / ha</v>
      </c>
      <c r="V98" s="2054">
        <v>2</v>
      </c>
      <c r="W98" s="1967" t="s">
        <v>1945</v>
      </c>
      <c r="X98" s="1966">
        <v>2.5</v>
      </c>
      <c r="Y98" s="1966"/>
      <c r="Z98" s="1966">
        <v>2.5</v>
      </c>
      <c r="AA98" s="1966"/>
      <c r="AB98" s="1966">
        <v>2.5</v>
      </c>
      <c r="AC98" s="1966"/>
      <c r="AD98" s="1966">
        <v>2.5</v>
      </c>
      <c r="AE98" s="1966"/>
      <c r="AF98" s="1966">
        <v>2.5</v>
      </c>
      <c r="AG98" s="1966"/>
      <c r="AH98" s="3"/>
      <c r="AI98" s="3"/>
      <c r="AJ98" s="3"/>
      <c r="AL98" s="2321"/>
      <c r="AM98" s="3"/>
      <c r="AN98" s="3"/>
      <c r="AO98" s="3"/>
      <c r="AR98" s="3"/>
      <c r="AS98" s="3"/>
      <c r="AT98" s="3"/>
      <c r="AW98" s="263"/>
    </row>
    <row r="99" spans="19:49" ht="15">
      <c r="S99" s="1952" t="s">
        <v>1947</v>
      </c>
      <c r="T99" s="1953">
        <v>0</v>
      </c>
      <c r="U99" s="2054" t="str">
        <f t="shared" si="28"/>
        <v>t / ha</v>
      </c>
      <c r="V99" s="2054">
        <v>2</v>
      </c>
      <c r="W99" s="1967" t="s">
        <v>1946</v>
      </c>
      <c r="X99" s="1966">
        <v>4</v>
      </c>
      <c r="Y99" s="1966"/>
      <c r="Z99" s="1966">
        <v>4</v>
      </c>
      <c r="AA99" s="1966"/>
      <c r="AB99" s="1966">
        <v>4</v>
      </c>
      <c r="AC99" s="1966"/>
      <c r="AD99" s="1966">
        <v>4</v>
      </c>
      <c r="AE99" s="1966"/>
      <c r="AF99" s="1966">
        <v>4</v>
      </c>
      <c r="AG99" s="1966"/>
      <c r="AH99" s="3"/>
      <c r="AI99" s="3"/>
      <c r="AJ99" s="3"/>
      <c r="AL99" s="2321"/>
      <c r="AM99" s="3"/>
      <c r="AN99" s="3"/>
      <c r="AO99" s="3"/>
      <c r="AR99" s="3"/>
      <c r="AS99" s="3"/>
      <c r="AT99" s="3"/>
      <c r="AW99" s="263"/>
    </row>
    <row r="100" spans="19:49" ht="15">
      <c r="S100" s="1952" t="s">
        <v>1949</v>
      </c>
      <c r="T100" s="1953">
        <v>0</v>
      </c>
      <c r="U100" s="2054" t="str">
        <f t="shared" si="28"/>
        <v>t / ha</v>
      </c>
      <c r="V100" s="2054">
        <v>2</v>
      </c>
      <c r="W100" s="1967" t="s">
        <v>1947</v>
      </c>
      <c r="X100" s="1966">
        <v>6</v>
      </c>
      <c r="Y100" s="1966"/>
      <c r="Z100" s="1966">
        <v>8</v>
      </c>
      <c r="AA100" s="1966"/>
      <c r="AB100" s="1966">
        <v>8</v>
      </c>
      <c r="AC100" s="1966"/>
      <c r="AD100" s="1966">
        <v>8</v>
      </c>
      <c r="AE100" s="1966"/>
      <c r="AF100" s="1966">
        <v>8</v>
      </c>
      <c r="AG100" s="1966"/>
      <c r="AH100" s="3"/>
      <c r="AI100" s="3"/>
      <c r="AJ100" s="3"/>
      <c r="AL100" s="2321"/>
      <c r="AM100" s="3"/>
      <c r="AN100" s="3"/>
      <c r="AO100" s="3"/>
      <c r="AR100" s="3"/>
      <c r="AS100" s="3"/>
      <c r="AT100" s="3"/>
      <c r="AW100" s="263"/>
    </row>
    <row r="101" spans="19:49" ht="15">
      <c r="S101" s="1952" t="s">
        <v>1951</v>
      </c>
      <c r="T101" s="1953">
        <v>0</v>
      </c>
      <c r="U101" s="2054" t="str">
        <f t="shared" si="28"/>
        <v>t / ha</v>
      </c>
      <c r="V101" s="2054">
        <v>2</v>
      </c>
      <c r="W101" s="1967" t="s">
        <v>1949</v>
      </c>
      <c r="X101" s="1966">
        <v>9.5</v>
      </c>
      <c r="Y101" s="1966"/>
      <c r="Z101" s="1966">
        <v>9.5</v>
      </c>
      <c r="AA101" s="1966"/>
      <c r="AB101" s="1966">
        <v>9.5</v>
      </c>
      <c r="AC101" s="1966"/>
      <c r="AD101" s="1966">
        <v>9.5</v>
      </c>
      <c r="AE101" s="1966"/>
      <c r="AF101" s="1966">
        <v>9.5</v>
      </c>
      <c r="AG101" s="1966"/>
      <c r="AH101" s="3"/>
      <c r="AI101" s="3"/>
      <c r="AJ101" s="3"/>
      <c r="AL101" s="2321"/>
      <c r="AM101" s="3"/>
      <c r="AN101" s="3"/>
      <c r="AO101" s="3"/>
      <c r="AR101" s="3"/>
      <c r="AS101" s="3"/>
      <c r="AT101" s="3"/>
      <c r="AW101" s="263"/>
    </row>
    <row r="102" spans="19:49" ht="15">
      <c r="S102" s="1952" t="s">
        <v>1953</v>
      </c>
      <c r="T102" s="1953">
        <v>0</v>
      </c>
      <c r="U102" s="2054" t="str">
        <f t="shared" si="28"/>
        <v>t / ha</v>
      </c>
      <c r="V102" s="2054">
        <v>2</v>
      </c>
      <c r="W102" s="1967" t="s">
        <v>1951</v>
      </c>
      <c r="X102" s="1966">
        <v>11</v>
      </c>
      <c r="Y102" s="1966"/>
      <c r="Z102" s="1966">
        <v>11</v>
      </c>
      <c r="AA102" s="1966"/>
      <c r="AB102" s="1966">
        <v>11</v>
      </c>
      <c r="AC102" s="1966"/>
      <c r="AD102" s="1966">
        <v>11</v>
      </c>
      <c r="AE102" s="1966"/>
      <c r="AF102" s="1966">
        <v>11</v>
      </c>
      <c r="AG102" s="1966"/>
      <c r="AH102" s="3"/>
      <c r="AI102" s="3"/>
      <c r="AJ102" s="3"/>
      <c r="AL102" s="2321"/>
      <c r="AM102" s="3"/>
      <c r="AN102" s="3"/>
      <c r="AO102" s="3"/>
      <c r="AR102" s="3"/>
      <c r="AS102" s="3"/>
      <c r="AT102" s="3"/>
      <c r="AW102" s="263"/>
    </row>
    <row r="103" spans="19:49" ht="15">
      <c r="S103" s="1952" t="s">
        <v>1948</v>
      </c>
      <c r="T103" s="1953">
        <v>0</v>
      </c>
      <c r="U103" s="2054" t="str">
        <f t="shared" si="28"/>
        <v>t / ha</v>
      </c>
      <c r="V103" s="2054">
        <v>2</v>
      </c>
      <c r="W103" s="1967" t="s">
        <v>1953</v>
      </c>
      <c r="X103" s="1966">
        <v>12.5</v>
      </c>
      <c r="Y103" s="1966"/>
      <c r="Z103" s="1966">
        <v>12.5</v>
      </c>
      <c r="AA103" s="1966"/>
      <c r="AB103" s="1966">
        <v>12.5</v>
      </c>
      <c r="AC103" s="1966"/>
      <c r="AD103" s="1966">
        <v>12.5</v>
      </c>
      <c r="AE103" s="1966"/>
      <c r="AF103" s="1966">
        <v>12.5</v>
      </c>
      <c r="AG103" s="1966"/>
      <c r="AH103" s="3"/>
      <c r="AI103" s="3"/>
      <c r="AJ103" s="3"/>
      <c r="AL103" s="2321"/>
      <c r="AM103" s="3"/>
      <c r="AN103" s="3"/>
      <c r="AO103" s="3"/>
      <c r="AR103" s="3"/>
      <c r="AS103" s="3"/>
      <c r="AT103" s="3"/>
      <c r="AW103" s="263"/>
    </row>
    <row r="104" spans="19:49" ht="15">
      <c r="S104" s="1952" t="s">
        <v>1950</v>
      </c>
      <c r="T104" s="1953">
        <v>0</v>
      </c>
      <c r="U104" s="2054" t="str">
        <f t="shared" si="28"/>
        <v>t / ha</v>
      </c>
      <c r="V104" s="2054">
        <v>2</v>
      </c>
      <c r="W104" s="1967" t="s">
        <v>1948</v>
      </c>
      <c r="X104" s="1966">
        <v>6</v>
      </c>
      <c r="Y104" s="1966"/>
      <c r="Z104" s="1966">
        <v>8</v>
      </c>
      <c r="AA104" s="1966"/>
      <c r="AB104" s="1966">
        <v>8</v>
      </c>
      <c r="AC104" s="1966"/>
      <c r="AD104" s="1966">
        <v>8</v>
      </c>
      <c r="AE104" s="1966"/>
      <c r="AF104" s="1966">
        <v>8</v>
      </c>
      <c r="AG104" s="1966"/>
      <c r="AH104" s="3"/>
      <c r="AI104" s="3"/>
      <c r="AJ104" s="3"/>
      <c r="AL104" s="2321"/>
      <c r="AM104" s="3"/>
      <c r="AN104" s="3"/>
      <c r="AO104" s="3"/>
      <c r="AR104" s="3"/>
      <c r="AS104" s="3"/>
      <c r="AT104" s="3"/>
      <c r="AW104" s="263"/>
    </row>
    <row r="105" spans="19:49" ht="15">
      <c r="S105" s="1952" t="s">
        <v>1952</v>
      </c>
      <c r="T105" s="1953">
        <v>0</v>
      </c>
      <c r="U105" s="2054" t="str">
        <f t="shared" si="28"/>
        <v>t / ha</v>
      </c>
      <c r="V105" s="2054">
        <v>2</v>
      </c>
      <c r="W105" s="1967" t="s">
        <v>1950</v>
      </c>
      <c r="X105" s="1966">
        <v>9.5</v>
      </c>
      <c r="Y105" s="1966"/>
      <c r="Z105" s="1966">
        <v>9.5</v>
      </c>
      <c r="AA105" s="1966"/>
      <c r="AB105" s="1966">
        <v>9.5</v>
      </c>
      <c r="AC105" s="1966"/>
      <c r="AD105" s="1966">
        <v>9.5</v>
      </c>
      <c r="AE105" s="1966"/>
      <c r="AF105" s="1966">
        <v>9.5</v>
      </c>
      <c r="AG105" s="1966"/>
      <c r="AH105" s="3"/>
      <c r="AI105" s="3"/>
      <c r="AJ105" s="3"/>
      <c r="AL105" s="2321"/>
      <c r="AM105" s="3"/>
      <c r="AN105" s="3"/>
      <c r="AO105" s="3"/>
      <c r="AR105" s="3"/>
      <c r="AS105" s="3"/>
      <c r="AT105" s="3"/>
      <c r="AW105" s="263"/>
    </row>
    <row r="106" spans="19:49" ht="15">
      <c r="S106" s="1952" t="s">
        <v>1954</v>
      </c>
      <c r="T106" s="1953">
        <v>0</v>
      </c>
      <c r="U106" s="2054" t="str">
        <f t="shared" si="28"/>
        <v>t / ha</v>
      </c>
      <c r="V106" s="2054">
        <v>2</v>
      </c>
      <c r="W106" s="1967" t="s">
        <v>1952</v>
      </c>
      <c r="X106" s="1966">
        <v>11</v>
      </c>
      <c r="Y106" s="1966"/>
      <c r="Z106" s="1966">
        <v>11</v>
      </c>
      <c r="AA106" s="1966"/>
      <c r="AB106" s="1966">
        <v>11</v>
      </c>
      <c r="AC106" s="1966"/>
      <c r="AD106" s="1966">
        <v>11</v>
      </c>
      <c r="AE106" s="1966"/>
      <c r="AF106" s="1966">
        <v>11</v>
      </c>
      <c r="AG106" s="1966"/>
      <c r="AH106" s="3"/>
      <c r="AI106" s="3"/>
      <c r="AJ106" s="3"/>
      <c r="AL106" s="2321"/>
      <c r="AM106" s="3"/>
      <c r="AN106" s="3"/>
      <c r="AO106" s="3"/>
      <c r="AR106" s="3"/>
      <c r="AS106" s="3"/>
      <c r="AT106" s="3"/>
      <c r="AW106" s="263"/>
    </row>
    <row r="107" spans="19:49" ht="15">
      <c r="S107" s="1952" t="s">
        <v>1918</v>
      </c>
      <c r="T107" s="1953">
        <v>0</v>
      </c>
      <c r="U107" s="2054" t="str">
        <f t="shared" si="28"/>
        <v>t / ha</v>
      </c>
      <c r="V107" s="2054">
        <v>2</v>
      </c>
      <c r="W107" s="1967" t="s">
        <v>1954</v>
      </c>
      <c r="X107" s="1966">
        <v>12.5</v>
      </c>
      <c r="Y107" s="1966"/>
      <c r="Z107" s="1966">
        <v>12.5</v>
      </c>
      <c r="AA107" s="1966"/>
      <c r="AB107" s="1966">
        <v>12.5</v>
      </c>
      <c r="AC107" s="1966"/>
      <c r="AD107" s="1966">
        <v>12.5</v>
      </c>
      <c r="AE107" s="1966"/>
      <c r="AF107" s="1966">
        <v>12.5</v>
      </c>
      <c r="AG107" s="1966"/>
      <c r="AH107" s="3"/>
      <c r="AI107" s="3"/>
      <c r="AJ107" s="3"/>
      <c r="AL107" s="2321"/>
      <c r="AM107" s="3"/>
      <c r="AN107" s="3"/>
      <c r="AO107" s="3"/>
      <c r="AR107" s="3"/>
      <c r="AS107" s="3"/>
      <c r="AT107" s="3"/>
      <c r="AW107" s="263"/>
    </row>
    <row r="108" spans="19:49" ht="15">
      <c r="S108" s="1952" t="s">
        <v>1919</v>
      </c>
      <c r="T108" s="1953">
        <v>0</v>
      </c>
      <c r="U108" s="2054" t="str">
        <f t="shared" si="28"/>
        <v>t / ha</v>
      </c>
      <c r="V108" s="2054">
        <v>2</v>
      </c>
      <c r="W108" s="1967" t="s">
        <v>1918</v>
      </c>
      <c r="X108" s="1966">
        <v>2.5</v>
      </c>
      <c r="Y108" s="1966"/>
      <c r="Z108" s="1966">
        <v>2.5</v>
      </c>
      <c r="AA108" s="1966"/>
      <c r="AB108" s="1966">
        <v>2.5</v>
      </c>
      <c r="AC108" s="1966"/>
      <c r="AD108" s="1966">
        <v>2.5</v>
      </c>
      <c r="AE108" s="1966"/>
      <c r="AF108" s="1966">
        <v>2.5</v>
      </c>
      <c r="AG108" s="1966"/>
      <c r="AH108" s="3"/>
      <c r="AI108" s="3"/>
      <c r="AJ108" s="3"/>
      <c r="AL108" s="2321"/>
      <c r="AM108" s="3"/>
      <c r="AN108" s="3"/>
      <c r="AO108" s="3"/>
      <c r="AR108" s="3"/>
      <c r="AS108" s="3"/>
      <c r="AT108" s="3"/>
      <c r="AW108" s="263"/>
    </row>
    <row r="109" spans="19:49" ht="15">
      <c r="S109" s="1952" t="s">
        <v>1920</v>
      </c>
      <c r="T109" s="1953">
        <v>0</v>
      </c>
      <c r="U109" s="2054" t="str">
        <f t="shared" si="28"/>
        <v>t / ha</v>
      </c>
      <c r="V109" s="2054">
        <v>2</v>
      </c>
      <c r="W109" s="1967" t="s">
        <v>1919</v>
      </c>
      <c r="X109" s="1966">
        <v>4</v>
      </c>
      <c r="Y109" s="1966"/>
      <c r="Z109" s="1966">
        <v>4</v>
      </c>
      <c r="AA109" s="1966"/>
      <c r="AB109" s="1966">
        <v>4</v>
      </c>
      <c r="AC109" s="1966"/>
      <c r="AD109" s="1966">
        <v>4</v>
      </c>
      <c r="AE109" s="1966"/>
      <c r="AF109" s="1966">
        <v>4</v>
      </c>
      <c r="AG109" s="1966"/>
      <c r="AH109" s="3"/>
      <c r="AI109" s="3"/>
      <c r="AJ109" s="3"/>
      <c r="AL109" s="2321"/>
      <c r="AM109" s="3"/>
      <c r="AN109" s="3"/>
      <c r="AO109" s="3"/>
      <c r="AR109" s="3"/>
      <c r="AS109" s="3"/>
      <c r="AT109" s="3"/>
      <c r="AW109" s="263"/>
    </row>
    <row r="110" spans="19:49" ht="15">
      <c r="S110" s="1952" t="s">
        <v>1921</v>
      </c>
      <c r="T110" s="1953">
        <v>0</v>
      </c>
      <c r="U110" s="2054" t="str">
        <f t="shared" si="28"/>
        <v>t / ha</v>
      </c>
      <c r="V110" s="2054">
        <v>2</v>
      </c>
      <c r="W110" s="1967" t="s">
        <v>1920</v>
      </c>
      <c r="X110" s="1966">
        <v>6</v>
      </c>
      <c r="Y110" s="1966"/>
      <c r="Z110" s="1966">
        <v>8</v>
      </c>
      <c r="AA110" s="1966"/>
      <c r="AB110" s="1966">
        <v>8</v>
      </c>
      <c r="AC110" s="1966"/>
      <c r="AD110" s="1966">
        <v>8</v>
      </c>
      <c r="AE110" s="1966"/>
      <c r="AF110" s="1966">
        <v>8</v>
      </c>
      <c r="AG110" s="1966"/>
      <c r="AH110" s="3"/>
      <c r="AI110" s="3"/>
      <c r="AJ110" s="3"/>
      <c r="AL110" s="2321"/>
      <c r="AM110" s="3"/>
      <c r="AN110" s="3"/>
      <c r="AO110" s="3"/>
      <c r="AR110" s="3"/>
      <c r="AS110" s="3"/>
      <c r="AT110" s="3"/>
      <c r="AW110" s="263"/>
    </row>
    <row r="111" spans="19:49" ht="15">
      <c r="S111" s="1952" t="s">
        <v>1922</v>
      </c>
      <c r="T111" s="1953">
        <v>0</v>
      </c>
      <c r="U111" s="2054" t="str">
        <f t="shared" si="28"/>
        <v>t / ha</v>
      </c>
      <c r="V111" s="2054">
        <v>2</v>
      </c>
      <c r="W111" s="1967" t="s">
        <v>1921</v>
      </c>
      <c r="X111" s="1966">
        <v>9.5</v>
      </c>
      <c r="Y111" s="1966"/>
      <c r="Z111" s="1966">
        <v>9.5</v>
      </c>
      <c r="AA111" s="1966"/>
      <c r="AB111" s="1966">
        <v>9.5</v>
      </c>
      <c r="AC111" s="1966"/>
      <c r="AD111" s="1966">
        <v>9.5</v>
      </c>
      <c r="AE111" s="1966"/>
      <c r="AF111" s="1966">
        <v>9.5</v>
      </c>
      <c r="AG111" s="1966"/>
      <c r="AH111" s="3"/>
      <c r="AI111" s="3"/>
      <c r="AJ111" s="3"/>
      <c r="AL111" s="2321"/>
      <c r="AM111" s="3"/>
      <c r="AN111" s="3"/>
      <c r="AO111" s="3"/>
      <c r="AR111" s="3"/>
      <c r="AS111" s="3"/>
      <c r="AT111" s="3"/>
      <c r="AW111" s="263"/>
    </row>
    <row r="112" spans="19:49" ht="15">
      <c r="S112" s="1952" t="s">
        <v>1923</v>
      </c>
      <c r="T112" s="1953">
        <v>0</v>
      </c>
      <c r="U112" s="2054" t="str">
        <f t="shared" si="28"/>
        <v>t / ha</v>
      </c>
      <c r="V112" s="2054">
        <v>2</v>
      </c>
      <c r="W112" s="1967" t="s">
        <v>1922</v>
      </c>
      <c r="X112" s="1966">
        <v>11</v>
      </c>
      <c r="Y112" s="1966"/>
      <c r="Z112" s="1966">
        <v>11</v>
      </c>
      <c r="AA112" s="1966"/>
      <c r="AB112" s="1966">
        <v>11</v>
      </c>
      <c r="AC112" s="1966"/>
      <c r="AD112" s="1966">
        <v>11</v>
      </c>
      <c r="AE112" s="1966"/>
      <c r="AF112" s="1966">
        <v>11</v>
      </c>
      <c r="AG112" s="1966"/>
      <c r="AH112" s="3"/>
      <c r="AI112" s="3"/>
      <c r="AJ112" s="3"/>
      <c r="AL112" s="2321"/>
      <c r="AM112" s="3"/>
      <c r="AN112" s="3"/>
      <c r="AO112" s="3"/>
      <c r="AR112" s="3"/>
      <c r="AS112" s="3"/>
      <c r="AT112" s="3"/>
      <c r="AW112" s="263"/>
    </row>
    <row r="113" spans="19:49" ht="15">
      <c r="S113" s="1952" t="s">
        <v>1912</v>
      </c>
      <c r="T113" s="1953">
        <v>0</v>
      </c>
      <c r="U113" s="2054" t="str">
        <f t="shared" si="28"/>
        <v>t / ha</v>
      </c>
      <c r="V113" s="2054">
        <v>2</v>
      </c>
      <c r="W113" s="1967" t="s">
        <v>1923</v>
      </c>
      <c r="X113" s="1966">
        <v>12.5</v>
      </c>
      <c r="Y113" s="1966"/>
      <c r="Z113" s="1966">
        <v>12.5</v>
      </c>
      <c r="AA113" s="1966"/>
      <c r="AB113" s="1966">
        <v>12.5</v>
      </c>
      <c r="AC113" s="1966"/>
      <c r="AD113" s="1966">
        <v>12.5</v>
      </c>
      <c r="AE113" s="1966"/>
      <c r="AF113" s="1966">
        <v>12.5</v>
      </c>
      <c r="AG113" s="1966"/>
      <c r="AH113" s="3"/>
      <c r="AI113" s="3"/>
      <c r="AJ113" s="3"/>
      <c r="AL113" s="2321"/>
      <c r="AM113" s="3"/>
      <c r="AN113" s="3"/>
      <c r="AO113" s="3"/>
      <c r="AR113" s="3"/>
      <c r="AS113" s="3"/>
      <c r="AT113" s="3"/>
      <c r="AW113" s="263"/>
    </row>
    <row r="114" spans="19:49" ht="15">
      <c r="S114" s="1952" t="s">
        <v>1913</v>
      </c>
      <c r="T114" s="1953">
        <v>0</v>
      </c>
      <c r="U114" s="2054" t="str">
        <f t="shared" si="28"/>
        <v>t / ha</v>
      </c>
      <c r="V114" s="2054">
        <v>2</v>
      </c>
      <c r="W114" s="1967" t="s">
        <v>1912</v>
      </c>
      <c r="X114" s="1966">
        <v>2.5</v>
      </c>
      <c r="Y114" s="1966"/>
      <c r="Z114" s="1966">
        <v>2.5</v>
      </c>
      <c r="AA114" s="1966"/>
      <c r="AB114" s="1966">
        <v>2.5</v>
      </c>
      <c r="AC114" s="1966"/>
      <c r="AD114" s="1966">
        <v>2.5</v>
      </c>
      <c r="AE114" s="1966"/>
      <c r="AF114" s="1966">
        <v>2.5</v>
      </c>
      <c r="AG114" s="1966"/>
      <c r="AH114" s="3"/>
      <c r="AI114" s="3"/>
      <c r="AJ114" s="3"/>
      <c r="AL114" s="2321"/>
      <c r="AM114" s="3"/>
      <c r="AN114" s="3"/>
      <c r="AO114" s="3"/>
      <c r="AR114" s="3"/>
      <c r="AS114" s="3"/>
      <c r="AT114" s="3"/>
      <c r="AW114" s="263"/>
    </row>
    <row r="115" spans="19:49" ht="15">
      <c r="S115" s="1952" t="s">
        <v>1914</v>
      </c>
      <c r="T115" s="1953">
        <v>0</v>
      </c>
      <c r="U115" s="2054" t="str">
        <f t="shared" si="28"/>
        <v>t / ha</v>
      </c>
      <c r="V115" s="2054">
        <v>2</v>
      </c>
      <c r="W115" s="1967" t="s">
        <v>1913</v>
      </c>
      <c r="X115" s="1966">
        <v>4</v>
      </c>
      <c r="Y115" s="1966"/>
      <c r="Z115" s="1966">
        <v>4</v>
      </c>
      <c r="AA115" s="1966"/>
      <c r="AB115" s="1966">
        <v>4</v>
      </c>
      <c r="AC115" s="1966"/>
      <c r="AD115" s="1966">
        <v>4</v>
      </c>
      <c r="AE115" s="1966"/>
      <c r="AF115" s="1966">
        <v>4</v>
      </c>
      <c r="AG115" s="1966"/>
      <c r="AH115" s="3"/>
      <c r="AI115" s="3"/>
      <c r="AJ115" s="3"/>
      <c r="AL115" s="2321"/>
      <c r="AM115" s="3"/>
      <c r="AN115" s="3"/>
      <c r="AO115" s="3"/>
      <c r="AR115" s="3"/>
      <c r="AS115" s="3"/>
      <c r="AT115" s="3"/>
      <c r="AW115" s="263"/>
    </row>
    <row r="116" spans="19:49" ht="15">
      <c r="S116" s="1952" t="s">
        <v>1915</v>
      </c>
      <c r="T116" s="1953">
        <v>0</v>
      </c>
      <c r="U116" s="2054" t="str">
        <f t="shared" si="28"/>
        <v>t / ha</v>
      </c>
      <c r="V116" s="2054">
        <v>2</v>
      </c>
      <c r="W116" s="1967" t="s">
        <v>1914</v>
      </c>
      <c r="X116" s="1966">
        <v>6</v>
      </c>
      <c r="Y116" s="1966"/>
      <c r="Z116" s="1966">
        <v>8</v>
      </c>
      <c r="AA116" s="1966"/>
      <c r="AB116" s="1966">
        <v>8</v>
      </c>
      <c r="AC116" s="1966"/>
      <c r="AD116" s="1966">
        <v>8</v>
      </c>
      <c r="AE116" s="1966"/>
      <c r="AF116" s="1966">
        <v>8</v>
      </c>
      <c r="AG116" s="1966"/>
      <c r="AH116" s="3"/>
      <c r="AI116" s="3"/>
      <c r="AJ116" s="3"/>
      <c r="AL116" s="2321"/>
      <c r="AM116" s="3"/>
      <c r="AN116" s="3"/>
      <c r="AO116" s="3"/>
      <c r="AR116" s="3"/>
      <c r="AS116" s="3"/>
      <c r="AT116" s="3"/>
      <c r="AW116" s="263"/>
    </row>
    <row r="117" spans="19:49" ht="15">
      <c r="S117" s="1952" t="s">
        <v>1916</v>
      </c>
      <c r="T117" s="1953">
        <v>0</v>
      </c>
      <c r="U117" s="2054" t="str">
        <f t="shared" si="28"/>
        <v>t / ha</v>
      </c>
      <c r="V117" s="2054">
        <v>2</v>
      </c>
      <c r="W117" s="1967" t="s">
        <v>1915</v>
      </c>
      <c r="X117" s="1966">
        <v>9.5</v>
      </c>
      <c r="Y117" s="1966"/>
      <c r="Z117" s="1966"/>
      <c r="AA117" s="1966"/>
      <c r="AB117" s="1966">
        <v>9.5</v>
      </c>
      <c r="AC117" s="1966"/>
      <c r="AD117" s="1966">
        <v>9.5</v>
      </c>
      <c r="AE117" s="1966"/>
      <c r="AF117" s="1966">
        <v>9.5</v>
      </c>
      <c r="AG117" s="1966"/>
      <c r="AH117" s="3"/>
      <c r="AI117" s="3"/>
      <c r="AJ117" s="3"/>
      <c r="AL117" s="2321"/>
      <c r="AM117" s="3"/>
      <c r="AN117" s="3"/>
      <c r="AO117" s="3"/>
      <c r="AR117" s="3"/>
      <c r="AS117" s="3"/>
      <c r="AT117" s="3"/>
      <c r="AW117" s="263"/>
    </row>
    <row r="118" spans="19:49" ht="15">
      <c r="S118" s="1952" t="s">
        <v>1917</v>
      </c>
      <c r="T118" s="1953">
        <v>0</v>
      </c>
      <c r="U118" s="2054" t="str">
        <f t="shared" si="28"/>
        <v>t / ha</v>
      </c>
      <c r="V118" s="2054">
        <v>2</v>
      </c>
      <c r="W118" s="1967" t="s">
        <v>1916</v>
      </c>
      <c r="X118" s="1966">
        <v>11</v>
      </c>
      <c r="Y118" s="1966"/>
      <c r="Z118" s="1966">
        <v>11</v>
      </c>
      <c r="AA118" s="1966"/>
      <c r="AB118" s="1966">
        <v>11</v>
      </c>
      <c r="AC118" s="1966"/>
      <c r="AD118" s="1966">
        <v>11</v>
      </c>
      <c r="AE118" s="1966"/>
      <c r="AF118" s="1966">
        <v>11</v>
      </c>
      <c r="AG118" s="1966"/>
      <c r="AH118" s="3"/>
      <c r="AI118" s="3"/>
      <c r="AJ118" s="3"/>
      <c r="AL118" s="2321"/>
      <c r="AM118" s="3"/>
      <c r="AN118" s="3"/>
      <c r="AO118" s="3"/>
      <c r="AR118" s="3"/>
      <c r="AS118" s="3"/>
      <c r="AT118" s="3"/>
      <c r="AW118" s="263"/>
    </row>
    <row r="119" spans="19:49" ht="15">
      <c r="S119" s="1952" t="s">
        <v>1924</v>
      </c>
      <c r="T119" s="1953">
        <v>0</v>
      </c>
      <c r="U119" s="2054" t="str">
        <f t="shared" si="28"/>
        <v>t / ha</v>
      </c>
      <c r="V119" s="2054">
        <v>2</v>
      </c>
      <c r="W119" s="1967" t="s">
        <v>1917</v>
      </c>
      <c r="X119" s="1966">
        <v>12</v>
      </c>
      <c r="Y119" s="1966"/>
      <c r="Z119" s="1966">
        <v>12</v>
      </c>
      <c r="AA119" s="1966"/>
      <c r="AB119" s="1966">
        <v>12</v>
      </c>
      <c r="AC119" s="1966"/>
      <c r="AD119" s="1966">
        <v>12</v>
      </c>
      <c r="AE119" s="1966"/>
      <c r="AF119" s="1966">
        <v>12</v>
      </c>
      <c r="AG119" s="1966"/>
      <c r="AH119" s="3"/>
      <c r="AI119" s="3"/>
      <c r="AJ119" s="3"/>
      <c r="AL119" s="2321"/>
      <c r="AM119" s="3"/>
      <c r="AN119" s="3"/>
      <c r="AO119" s="3"/>
      <c r="AR119" s="3"/>
      <c r="AS119" s="3"/>
      <c r="AT119" s="3"/>
      <c r="AW119" s="263"/>
    </row>
    <row r="120" spans="19:49" ht="15">
      <c r="S120" s="1952" t="s">
        <v>1925</v>
      </c>
      <c r="T120" s="1953">
        <v>0</v>
      </c>
      <c r="U120" s="2054" t="str">
        <f t="shared" si="28"/>
        <v>t / ha</v>
      </c>
      <c r="V120" s="2054">
        <v>2</v>
      </c>
      <c r="W120" s="1967" t="s">
        <v>1924</v>
      </c>
      <c r="X120" s="1966">
        <v>2.5</v>
      </c>
      <c r="Y120" s="1966"/>
      <c r="Z120" s="1966">
        <v>2.5</v>
      </c>
      <c r="AA120" s="1966"/>
      <c r="AB120" s="1966">
        <v>2.5</v>
      </c>
      <c r="AC120" s="1966"/>
      <c r="AD120" s="1966">
        <v>2.5</v>
      </c>
      <c r="AE120" s="1966"/>
      <c r="AF120" s="1966">
        <v>2.5</v>
      </c>
      <c r="AG120" s="1966"/>
      <c r="AH120" s="3"/>
      <c r="AI120" s="3"/>
      <c r="AJ120" s="3"/>
      <c r="AL120" s="2321"/>
      <c r="AM120" s="3"/>
      <c r="AN120" s="3"/>
      <c r="AO120" s="3"/>
      <c r="AR120" s="3"/>
      <c r="AS120" s="3"/>
      <c r="AT120" s="3"/>
      <c r="AW120" s="263"/>
    </row>
    <row r="121" spans="19:49" ht="15">
      <c r="S121" s="1952" t="s">
        <v>1926</v>
      </c>
      <c r="T121" s="1953">
        <v>0</v>
      </c>
      <c r="U121" s="2054" t="str">
        <f t="shared" si="28"/>
        <v>t / ha</v>
      </c>
      <c r="V121" s="2054">
        <v>2</v>
      </c>
      <c r="W121" s="1967" t="s">
        <v>1925</v>
      </c>
      <c r="X121" s="1966">
        <v>4</v>
      </c>
      <c r="Y121" s="1966"/>
      <c r="Z121" s="1966">
        <v>4</v>
      </c>
      <c r="AA121" s="1966"/>
      <c r="AB121" s="1966">
        <v>4</v>
      </c>
      <c r="AC121" s="1966"/>
      <c r="AD121" s="1966">
        <v>4</v>
      </c>
      <c r="AE121" s="1966"/>
      <c r="AF121" s="1966">
        <v>4</v>
      </c>
      <c r="AG121" s="1966"/>
      <c r="AH121" s="3"/>
      <c r="AI121" s="3"/>
      <c r="AJ121" s="3"/>
      <c r="AL121" s="2321"/>
      <c r="AM121" s="3"/>
      <c r="AN121" s="3"/>
      <c r="AO121" s="3"/>
      <c r="AR121" s="3"/>
      <c r="AS121" s="3"/>
      <c r="AT121" s="3"/>
      <c r="AW121" s="263"/>
    </row>
    <row r="122" spans="19:49" ht="15">
      <c r="S122" s="1952" t="s">
        <v>1927</v>
      </c>
      <c r="T122" s="1953">
        <v>0</v>
      </c>
      <c r="U122" s="2054" t="str">
        <f t="shared" si="28"/>
        <v>t / ha</v>
      </c>
      <c r="V122" s="2054">
        <v>2</v>
      </c>
      <c r="W122" s="1967" t="s">
        <v>1926</v>
      </c>
      <c r="X122" s="1966">
        <v>6</v>
      </c>
      <c r="Y122" s="1966"/>
      <c r="Z122" s="1966">
        <v>8</v>
      </c>
      <c r="AA122" s="1966"/>
      <c r="AB122" s="1966">
        <v>8</v>
      </c>
      <c r="AC122" s="1966"/>
      <c r="AD122" s="1966">
        <v>8</v>
      </c>
      <c r="AE122" s="1966"/>
      <c r="AF122" s="1966">
        <v>8</v>
      </c>
      <c r="AG122" s="1966"/>
      <c r="AH122" s="3"/>
      <c r="AI122" s="3"/>
      <c r="AJ122" s="3"/>
      <c r="AL122" s="2321"/>
      <c r="AM122" s="3"/>
      <c r="AN122" s="3"/>
      <c r="AO122" s="3"/>
      <c r="AR122" s="3"/>
      <c r="AS122" s="3"/>
      <c r="AT122" s="3"/>
      <c r="AW122" s="263"/>
    </row>
    <row r="123" spans="19:49" ht="15">
      <c r="S123" s="1952" t="s">
        <v>1928</v>
      </c>
      <c r="T123" s="1953">
        <v>0</v>
      </c>
      <c r="U123" s="2054" t="str">
        <f t="shared" si="28"/>
        <v>t / ha</v>
      </c>
      <c r="V123" s="2054">
        <v>2</v>
      </c>
      <c r="W123" s="1967" t="s">
        <v>1927</v>
      </c>
      <c r="X123" s="1966">
        <v>9.5</v>
      </c>
      <c r="Y123" s="1966"/>
      <c r="Z123" s="1966">
        <v>9.5</v>
      </c>
      <c r="AA123" s="1966"/>
      <c r="AB123" s="1966">
        <v>9.5</v>
      </c>
      <c r="AC123" s="1966"/>
      <c r="AD123" s="1966">
        <v>9.5</v>
      </c>
      <c r="AE123" s="1966"/>
      <c r="AF123" s="1966">
        <v>9.5</v>
      </c>
      <c r="AG123" s="1966"/>
      <c r="AH123" s="3"/>
      <c r="AI123" s="3"/>
      <c r="AJ123" s="3"/>
      <c r="AL123" s="2321"/>
      <c r="AM123" s="3"/>
      <c r="AN123" s="3"/>
      <c r="AO123" s="3"/>
      <c r="AR123" s="3"/>
      <c r="AS123" s="3"/>
      <c r="AT123" s="3"/>
      <c r="AW123" s="263"/>
    </row>
    <row r="124" spans="19:49" ht="15">
      <c r="S124" s="1952" t="s">
        <v>1929</v>
      </c>
      <c r="T124" s="1953">
        <v>0</v>
      </c>
      <c r="U124" s="2054" t="str">
        <f t="shared" si="28"/>
        <v>t / ha</v>
      </c>
      <c r="V124" s="2054">
        <v>2</v>
      </c>
      <c r="W124" s="1967" t="s">
        <v>1928</v>
      </c>
      <c r="X124" s="1966">
        <v>11</v>
      </c>
      <c r="Y124" s="1966"/>
      <c r="Z124" s="1966">
        <v>11</v>
      </c>
      <c r="AA124" s="1966"/>
      <c r="AB124" s="1966">
        <v>11</v>
      </c>
      <c r="AC124" s="1966"/>
      <c r="AD124" s="1966">
        <v>11</v>
      </c>
      <c r="AE124" s="1966"/>
      <c r="AF124" s="1966">
        <v>11</v>
      </c>
      <c r="AG124" s="1966"/>
      <c r="AH124" s="3"/>
      <c r="AI124" s="3"/>
      <c r="AJ124" s="3"/>
      <c r="AL124" s="2321"/>
      <c r="AM124" s="3"/>
      <c r="AN124" s="3"/>
      <c r="AO124" s="3"/>
      <c r="AR124" s="3"/>
      <c r="AS124" s="3"/>
      <c r="AT124" s="3"/>
      <c r="AW124" s="263"/>
    </row>
    <row r="125" spans="19:49" ht="15">
      <c r="S125" s="1952" t="s">
        <v>1930</v>
      </c>
      <c r="T125" s="1953">
        <v>0</v>
      </c>
      <c r="U125" s="2054" t="str">
        <f t="shared" si="28"/>
        <v>t / ha</v>
      </c>
      <c r="V125" s="2054">
        <v>2</v>
      </c>
      <c r="W125" s="1967" t="s">
        <v>1929</v>
      </c>
      <c r="X125" s="1966">
        <v>12.5</v>
      </c>
      <c r="Y125" s="1966"/>
      <c r="Z125" s="1966">
        <v>12.5</v>
      </c>
      <c r="AA125" s="1966"/>
      <c r="AB125" s="1966">
        <v>12.5</v>
      </c>
      <c r="AC125" s="1966"/>
      <c r="AD125" s="1966">
        <v>12.5</v>
      </c>
      <c r="AE125" s="1966"/>
      <c r="AF125" s="1966">
        <v>12.5</v>
      </c>
      <c r="AG125" s="1966"/>
      <c r="AH125" s="3"/>
      <c r="AI125" s="3"/>
      <c r="AJ125" s="3"/>
      <c r="AL125" s="2321"/>
      <c r="AM125" s="3"/>
      <c r="AN125" s="3"/>
      <c r="AO125" s="3"/>
      <c r="AR125" s="3"/>
      <c r="AS125" s="3"/>
      <c r="AT125" s="3"/>
      <c r="AW125" s="263"/>
    </row>
    <row r="126" spans="19:49" ht="15">
      <c r="S126" s="1952" t="s">
        <v>1931</v>
      </c>
      <c r="T126" s="1953">
        <v>0</v>
      </c>
      <c r="U126" s="2054" t="str">
        <f t="shared" si="28"/>
        <v>t / ha</v>
      </c>
      <c r="V126" s="2054">
        <v>2</v>
      </c>
      <c r="W126" s="1967" t="s">
        <v>1930</v>
      </c>
      <c r="X126" s="1966">
        <v>0.1</v>
      </c>
      <c r="Y126" s="1966"/>
      <c r="Z126" s="1966">
        <v>0.4</v>
      </c>
      <c r="AA126" s="1966"/>
      <c r="AB126" s="1966">
        <v>0.4</v>
      </c>
      <c r="AC126" s="1966"/>
      <c r="AD126" s="1966">
        <v>0.4</v>
      </c>
      <c r="AE126" s="1966"/>
      <c r="AF126" s="1966">
        <v>0.4</v>
      </c>
      <c r="AG126" s="1966"/>
      <c r="AH126" s="3"/>
      <c r="AI126" s="3"/>
      <c r="AJ126" s="3"/>
      <c r="AL126" s="2321"/>
      <c r="AM126" s="3"/>
      <c r="AN126" s="3"/>
      <c r="AO126" s="3"/>
      <c r="AR126" s="3"/>
      <c r="AS126" s="3"/>
      <c r="AT126" s="3"/>
      <c r="AW126" s="263"/>
    </row>
    <row r="127" spans="19:49" ht="15">
      <c r="S127" s="1952" t="s">
        <v>1932</v>
      </c>
      <c r="T127" s="1953">
        <v>0</v>
      </c>
      <c r="U127" s="2054" t="str">
        <f t="shared" si="28"/>
        <v>t / ha</v>
      </c>
      <c r="V127" s="2054">
        <v>2</v>
      </c>
      <c r="W127" s="1967" t="s">
        <v>1931</v>
      </c>
      <c r="X127" s="1966">
        <v>0.2</v>
      </c>
      <c r="Y127" s="1966"/>
      <c r="Z127" s="1966">
        <v>0.7</v>
      </c>
      <c r="AA127" s="1966"/>
      <c r="AB127" s="1966">
        <v>0.7</v>
      </c>
      <c r="AC127" s="1966"/>
      <c r="AD127" s="1966">
        <v>0.7</v>
      </c>
      <c r="AE127" s="1966"/>
      <c r="AF127" s="1966">
        <v>0.7</v>
      </c>
      <c r="AG127" s="1966"/>
      <c r="AH127" s="3"/>
      <c r="AI127" s="3"/>
      <c r="AJ127" s="3"/>
      <c r="AL127" s="2321"/>
      <c r="AM127" s="3"/>
      <c r="AN127" s="3"/>
      <c r="AO127" s="3"/>
      <c r="AR127" s="3"/>
      <c r="AS127" s="3"/>
      <c r="AT127" s="3"/>
      <c r="AW127" s="263"/>
    </row>
    <row r="128" spans="19:49" ht="15">
      <c r="S128" s="1952" t="s">
        <v>1899</v>
      </c>
      <c r="T128" s="1953">
        <v>0</v>
      </c>
      <c r="U128" s="2054" t="str">
        <f t="shared" si="28"/>
        <v>t / ha</v>
      </c>
      <c r="V128" s="2054">
        <v>2</v>
      </c>
      <c r="W128" s="1967" t="s">
        <v>1932</v>
      </c>
      <c r="X128" s="1966">
        <v>0.3</v>
      </c>
      <c r="Y128" s="1966"/>
      <c r="Z128" s="1966">
        <v>0.5</v>
      </c>
      <c r="AA128" s="1966"/>
      <c r="AB128" s="1966">
        <v>0.5</v>
      </c>
      <c r="AC128" s="1966"/>
      <c r="AD128" s="1966">
        <v>0.5</v>
      </c>
      <c r="AE128" s="1966"/>
      <c r="AF128" s="1966">
        <v>0.5</v>
      </c>
      <c r="AG128" s="1966"/>
      <c r="AH128" s="3"/>
      <c r="AI128" s="3"/>
      <c r="AJ128" s="3"/>
      <c r="AL128" s="2321"/>
      <c r="AM128" s="3"/>
      <c r="AN128" s="3"/>
      <c r="AO128" s="3"/>
      <c r="AR128" s="3"/>
      <c r="AS128" s="3"/>
      <c r="AT128" s="3"/>
      <c r="AW128" s="263"/>
    </row>
    <row r="129" spans="19:49" ht="15">
      <c r="S129" s="1952" t="s">
        <v>1900</v>
      </c>
      <c r="T129" s="1953">
        <v>0</v>
      </c>
      <c r="U129" s="2054" t="str">
        <f t="shared" si="28"/>
        <v>t / ha</v>
      </c>
      <c r="V129" s="2054">
        <v>2</v>
      </c>
      <c r="W129" s="1967" t="s">
        <v>1899</v>
      </c>
      <c r="X129" s="1966">
        <v>2.5</v>
      </c>
      <c r="Y129" s="1966"/>
      <c r="Z129" s="1966">
        <v>2.5</v>
      </c>
      <c r="AA129" s="1966"/>
      <c r="AB129" s="1966">
        <v>2.5</v>
      </c>
      <c r="AC129" s="1966"/>
      <c r="AD129" s="1966">
        <v>2.5</v>
      </c>
      <c r="AE129" s="1966"/>
      <c r="AF129" s="1966">
        <v>2.5</v>
      </c>
      <c r="AG129" s="1966"/>
      <c r="AH129" s="3"/>
      <c r="AI129" s="3"/>
      <c r="AJ129" s="3"/>
      <c r="AL129" s="2321"/>
      <c r="AM129" s="3"/>
      <c r="AN129" s="3"/>
      <c r="AO129" s="3"/>
      <c r="AR129" s="3"/>
      <c r="AS129" s="3"/>
      <c r="AT129" s="3"/>
      <c r="AW129" s="263"/>
    </row>
    <row r="130" spans="19:49" ht="15">
      <c r="S130" s="1952" t="s">
        <v>1901</v>
      </c>
      <c r="T130" s="1953">
        <v>0</v>
      </c>
      <c r="U130" s="2054" t="str">
        <f t="shared" si="28"/>
        <v>t / ha</v>
      </c>
      <c r="V130" s="2054">
        <v>2</v>
      </c>
      <c r="W130" s="1967" t="s">
        <v>1900</v>
      </c>
      <c r="X130" s="1966">
        <v>4</v>
      </c>
      <c r="Y130" s="1966"/>
      <c r="Z130" s="1966">
        <v>4</v>
      </c>
      <c r="AA130" s="1966"/>
      <c r="AB130" s="1966">
        <v>4</v>
      </c>
      <c r="AC130" s="1966"/>
      <c r="AD130" s="1966">
        <v>4</v>
      </c>
      <c r="AE130" s="1966"/>
      <c r="AF130" s="1966">
        <v>4</v>
      </c>
      <c r="AG130" s="1966"/>
      <c r="AH130" s="3"/>
      <c r="AI130" s="3"/>
      <c r="AJ130" s="3"/>
      <c r="AL130" s="2321"/>
      <c r="AM130" s="3"/>
      <c r="AN130" s="3"/>
      <c r="AO130" s="3"/>
      <c r="AR130" s="3"/>
      <c r="AS130" s="3"/>
      <c r="AT130" s="3"/>
      <c r="AW130" s="263"/>
    </row>
    <row r="131" spans="19:49" ht="15">
      <c r="S131" s="1952" t="s">
        <v>1903</v>
      </c>
      <c r="T131" s="1953">
        <v>0</v>
      </c>
      <c r="U131" s="2054" t="str">
        <f t="shared" si="28"/>
        <v>t / ha</v>
      </c>
      <c r="V131" s="2054">
        <v>2</v>
      </c>
      <c r="W131" s="1967" t="s">
        <v>1901</v>
      </c>
      <c r="X131" s="1966">
        <v>12</v>
      </c>
      <c r="Y131" s="1966"/>
      <c r="Z131" s="1966">
        <v>12</v>
      </c>
      <c r="AA131" s="1966"/>
      <c r="AB131" s="1966">
        <v>12</v>
      </c>
      <c r="AC131" s="1966"/>
      <c r="AD131" s="1966">
        <v>12</v>
      </c>
      <c r="AE131" s="1966"/>
      <c r="AF131" s="1966">
        <v>12</v>
      </c>
      <c r="AG131" s="1966"/>
      <c r="AH131" s="3"/>
      <c r="AI131" s="3"/>
      <c r="AJ131" s="3"/>
      <c r="AL131" s="2321"/>
      <c r="AM131" s="3"/>
      <c r="AN131" s="3"/>
      <c r="AO131" s="3"/>
      <c r="AR131" s="3"/>
      <c r="AS131" s="3"/>
      <c r="AT131" s="3"/>
      <c r="AW131" s="263"/>
    </row>
    <row r="132" spans="19:49" ht="15">
      <c r="S132" s="1952" t="s">
        <v>1904</v>
      </c>
      <c r="T132" s="1953">
        <v>0</v>
      </c>
      <c r="U132" s="2054" t="str">
        <f t="shared" si="28"/>
        <v>t / ha</v>
      </c>
      <c r="V132" s="2054">
        <v>2</v>
      </c>
      <c r="W132" s="1967" t="s">
        <v>1903</v>
      </c>
      <c r="X132" s="1966">
        <v>12</v>
      </c>
      <c r="Y132" s="1966"/>
      <c r="Z132" s="1966">
        <v>12</v>
      </c>
      <c r="AA132" s="1966"/>
      <c r="AB132" s="1966">
        <v>12</v>
      </c>
      <c r="AC132" s="1966"/>
      <c r="AD132" s="1966">
        <v>12</v>
      </c>
      <c r="AE132" s="1966"/>
      <c r="AF132" s="1966">
        <v>12</v>
      </c>
      <c r="AG132" s="1966"/>
      <c r="AH132" s="3"/>
      <c r="AI132" s="3"/>
      <c r="AJ132" s="3"/>
      <c r="AL132" s="2321"/>
      <c r="AM132" s="3"/>
      <c r="AN132" s="3"/>
      <c r="AO132" s="3"/>
      <c r="AR132" s="3"/>
      <c r="AS132" s="3"/>
      <c r="AT132" s="3"/>
      <c r="AW132" s="263"/>
    </row>
    <row r="133" spans="19:49" ht="15">
      <c r="S133" s="1952" t="s">
        <v>1905</v>
      </c>
      <c r="T133" s="1953">
        <v>0</v>
      </c>
      <c r="U133" s="2054" t="str">
        <f t="shared" si="28"/>
        <v>t / ha</v>
      </c>
      <c r="V133" s="2054">
        <v>2</v>
      </c>
      <c r="W133" s="1967" t="s">
        <v>1904</v>
      </c>
      <c r="X133" s="1966">
        <v>12</v>
      </c>
      <c r="Y133" s="1966"/>
      <c r="Z133" s="1966">
        <v>12</v>
      </c>
      <c r="AA133" s="1966"/>
      <c r="AB133" s="1966">
        <v>12</v>
      </c>
      <c r="AC133" s="1966"/>
      <c r="AD133" s="1966">
        <v>12</v>
      </c>
      <c r="AE133" s="1966"/>
      <c r="AF133" s="1966">
        <v>12</v>
      </c>
      <c r="AG133" s="1966"/>
      <c r="AH133" s="3"/>
      <c r="AI133" s="3"/>
      <c r="AJ133" s="3"/>
      <c r="AL133" s="2321"/>
      <c r="AM133" s="3"/>
      <c r="AN133" s="3"/>
      <c r="AO133" s="3"/>
      <c r="AR133" s="3"/>
      <c r="AS133" s="3"/>
      <c r="AT133" s="3"/>
      <c r="AW133" s="263"/>
    </row>
    <row r="134" spans="19:49" ht="15">
      <c r="S134" s="1952" t="s">
        <v>1933</v>
      </c>
      <c r="T134" s="1953">
        <v>0</v>
      </c>
      <c r="U134" s="2054" t="str">
        <f t="shared" si="28"/>
        <v>t / ha</v>
      </c>
      <c r="V134" s="2054">
        <v>2</v>
      </c>
      <c r="W134" s="1967" t="s">
        <v>1905</v>
      </c>
      <c r="X134" s="1966">
        <v>12</v>
      </c>
      <c r="Y134" s="1966"/>
      <c r="Z134" s="1966">
        <v>12</v>
      </c>
      <c r="AA134" s="1966"/>
      <c r="AB134" s="1966">
        <v>12</v>
      </c>
      <c r="AC134" s="1966"/>
      <c r="AD134" s="1966">
        <v>12</v>
      </c>
      <c r="AE134" s="1966"/>
      <c r="AF134" s="1966">
        <v>12</v>
      </c>
      <c r="AG134" s="1966"/>
      <c r="AH134" s="3"/>
      <c r="AI134" s="3"/>
      <c r="AJ134" s="3"/>
      <c r="AL134" s="2321"/>
      <c r="AM134" s="3"/>
      <c r="AN134" s="3"/>
      <c r="AO134" s="3"/>
      <c r="AR134" s="3"/>
      <c r="AS134" s="3"/>
      <c r="AT134" s="3"/>
      <c r="AW134" s="263"/>
    </row>
    <row r="135" spans="19:49" ht="15">
      <c r="S135" s="1952" t="s">
        <v>1935</v>
      </c>
      <c r="T135" s="1953">
        <v>0</v>
      </c>
      <c r="U135" s="2054" t="str">
        <f t="shared" si="28"/>
        <v>t / ha</v>
      </c>
      <c r="V135" s="2054">
        <v>2</v>
      </c>
      <c r="W135" s="1967" t="s">
        <v>1933</v>
      </c>
      <c r="X135" s="1966">
        <v>2.5</v>
      </c>
      <c r="Y135" s="1966"/>
      <c r="Z135" s="1966">
        <v>2.5</v>
      </c>
      <c r="AA135" s="1966"/>
      <c r="AB135" s="1966">
        <v>2.5</v>
      </c>
      <c r="AC135" s="1966"/>
      <c r="AD135" s="1966">
        <v>2.5</v>
      </c>
      <c r="AE135" s="1966"/>
      <c r="AF135" s="1966">
        <v>2.5</v>
      </c>
      <c r="AG135" s="1966"/>
      <c r="AH135" s="3"/>
      <c r="AI135" s="3"/>
      <c r="AJ135" s="3"/>
      <c r="AL135" s="2321"/>
      <c r="AM135" s="3"/>
      <c r="AN135" s="3"/>
      <c r="AO135" s="3"/>
      <c r="AR135" s="3"/>
      <c r="AS135" s="3"/>
      <c r="AT135" s="3"/>
      <c r="AW135" s="263"/>
    </row>
    <row r="136" spans="19:49" ht="15">
      <c r="S136" s="1952" t="s">
        <v>1937</v>
      </c>
      <c r="T136" s="1953">
        <v>0</v>
      </c>
      <c r="U136" s="2054" t="str">
        <f t="shared" si="28"/>
        <v>t / ha</v>
      </c>
      <c r="V136" s="2054">
        <v>2</v>
      </c>
      <c r="W136" s="1967" t="s">
        <v>1935</v>
      </c>
      <c r="X136" s="1966">
        <v>4</v>
      </c>
      <c r="Y136" s="1966"/>
      <c r="Z136" s="1966">
        <v>4</v>
      </c>
      <c r="AA136" s="1966"/>
      <c r="AB136" s="1966">
        <v>4</v>
      </c>
      <c r="AC136" s="1966"/>
      <c r="AD136" s="1966">
        <v>4</v>
      </c>
      <c r="AE136" s="1966"/>
      <c r="AF136" s="1966">
        <v>4</v>
      </c>
      <c r="AG136" s="1966"/>
      <c r="AH136" s="3"/>
      <c r="AI136" s="3"/>
      <c r="AJ136" s="3"/>
      <c r="AL136" s="2321"/>
      <c r="AM136" s="3"/>
      <c r="AN136" s="3"/>
      <c r="AO136" s="3"/>
      <c r="AR136" s="3"/>
      <c r="AS136" s="3"/>
      <c r="AT136" s="3"/>
      <c r="AW136" s="263"/>
    </row>
    <row r="137" spans="19:49" ht="15">
      <c r="S137" s="1952" t="s">
        <v>1939</v>
      </c>
      <c r="T137" s="1953">
        <v>0</v>
      </c>
      <c r="U137" s="2054" t="str">
        <f t="shared" si="28"/>
        <v>t / ha</v>
      </c>
      <c r="V137" s="2054">
        <v>2</v>
      </c>
      <c r="W137" s="1967" t="s">
        <v>1937</v>
      </c>
      <c r="X137" s="1966">
        <v>6</v>
      </c>
      <c r="Y137" s="1966"/>
      <c r="Z137" s="1966">
        <v>8</v>
      </c>
      <c r="AA137" s="1966"/>
      <c r="AB137" s="1966">
        <v>8</v>
      </c>
      <c r="AC137" s="1966"/>
      <c r="AD137" s="1966">
        <v>8</v>
      </c>
      <c r="AE137" s="1966"/>
      <c r="AF137" s="1966">
        <v>8</v>
      </c>
      <c r="AG137" s="1966"/>
      <c r="AH137" s="3"/>
      <c r="AI137" s="3"/>
      <c r="AJ137" s="3"/>
      <c r="AL137" s="2321"/>
      <c r="AM137" s="3"/>
      <c r="AN137" s="3"/>
      <c r="AO137" s="3"/>
      <c r="AR137" s="3"/>
      <c r="AS137" s="3"/>
      <c r="AT137" s="3"/>
      <c r="AW137" s="263"/>
    </row>
    <row r="138" spans="19:49" ht="15">
      <c r="S138" s="1952" t="s">
        <v>1941</v>
      </c>
      <c r="T138" s="1953">
        <v>0</v>
      </c>
      <c r="U138" s="2054" t="str">
        <f t="shared" si="28"/>
        <v>t / ha</v>
      </c>
      <c r="V138" s="2054">
        <v>2</v>
      </c>
      <c r="W138" s="1967" t="s">
        <v>1939</v>
      </c>
      <c r="X138" s="1966">
        <v>9.5</v>
      </c>
      <c r="Y138" s="1966"/>
      <c r="Z138" s="1966">
        <v>9.5</v>
      </c>
      <c r="AA138" s="1966"/>
      <c r="AB138" s="1966">
        <v>9.5</v>
      </c>
      <c r="AC138" s="1966"/>
      <c r="AD138" s="1966">
        <v>9.5</v>
      </c>
      <c r="AE138" s="1966"/>
      <c r="AF138" s="1966">
        <v>9.5</v>
      </c>
      <c r="AG138" s="1966"/>
      <c r="AH138" s="3"/>
      <c r="AI138" s="3"/>
      <c r="AJ138" s="3"/>
      <c r="AL138" s="2321"/>
      <c r="AM138" s="3"/>
      <c r="AN138" s="3"/>
      <c r="AO138" s="3"/>
      <c r="AR138" s="3"/>
      <c r="AS138" s="3"/>
      <c r="AT138" s="3"/>
      <c r="AW138" s="263"/>
    </row>
    <row r="139" spans="19:49" ht="15">
      <c r="S139" s="1952" t="s">
        <v>1943</v>
      </c>
      <c r="T139" s="1953">
        <v>0</v>
      </c>
      <c r="U139" s="2054" t="str">
        <f t="shared" si="28"/>
        <v>t / ha</v>
      </c>
      <c r="V139" s="2054">
        <v>2</v>
      </c>
      <c r="W139" s="1967" t="s">
        <v>1941</v>
      </c>
      <c r="X139" s="1966">
        <v>11</v>
      </c>
      <c r="Y139" s="1966"/>
      <c r="Z139" s="1966">
        <v>11</v>
      </c>
      <c r="AA139" s="1966"/>
      <c r="AB139" s="1966">
        <v>11</v>
      </c>
      <c r="AC139" s="1966"/>
      <c r="AD139" s="1966">
        <v>11</v>
      </c>
      <c r="AE139" s="1966"/>
      <c r="AF139" s="1966">
        <v>11</v>
      </c>
      <c r="AG139" s="1966"/>
      <c r="AH139" s="3"/>
      <c r="AI139" s="3"/>
      <c r="AJ139" s="3"/>
      <c r="AL139" s="2321"/>
      <c r="AM139" s="3"/>
      <c r="AN139" s="3"/>
      <c r="AO139" s="3"/>
      <c r="AR139" s="3"/>
      <c r="AS139" s="3"/>
      <c r="AT139" s="3"/>
      <c r="AW139" s="263"/>
    </row>
    <row r="140" spans="19:49" ht="15">
      <c r="S140" s="1952" t="s">
        <v>1934</v>
      </c>
      <c r="T140" s="1953">
        <v>0</v>
      </c>
      <c r="U140" s="2054" t="str">
        <f t="shared" ref="U140:U203" si="29">IF($T140=0,"t / ha",IF($T140=1,"",IF($T140=2,"m3 / ha","")))</f>
        <v>t / ha</v>
      </c>
      <c r="V140" s="2054">
        <v>2</v>
      </c>
      <c r="W140" s="1967" t="s">
        <v>1943</v>
      </c>
      <c r="X140" s="1966">
        <v>12.5</v>
      </c>
      <c r="Y140" s="1966"/>
      <c r="Z140" s="1966">
        <v>12.5</v>
      </c>
      <c r="AA140" s="1966"/>
      <c r="AB140" s="1966">
        <v>12.5</v>
      </c>
      <c r="AC140" s="1966"/>
      <c r="AD140" s="1966">
        <v>12.5</v>
      </c>
      <c r="AE140" s="1966"/>
      <c r="AF140" s="1966">
        <v>12.5</v>
      </c>
      <c r="AG140" s="1966"/>
      <c r="AH140" s="3"/>
      <c r="AI140" s="3"/>
      <c r="AJ140" s="3"/>
      <c r="AL140" s="2321"/>
      <c r="AM140" s="3"/>
      <c r="AN140" s="3"/>
      <c r="AO140" s="3"/>
      <c r="AR140" s="3"/>
      <c r="AS140" s="3"/>
      <c r="AT140" s="3"/>
      <c r="AW140" s="263"/>
    </row>
    <row r="141" spans="19:49" ht="15">
      <c r="S141" s="1952" t="s">
        <v>1936</v>
      </c>
      <c r="T141" s="1953">
        <v>0</v>
      </c>
      <c r="U141" s="2054" t="str">
        <f t="shared" si="29"/>
        <v>t / ha</v>
      </c>
      <c r="V141" s="2054">
        <v>2</v>
      </c>
      <c r="W141" s="1967" t="s">
        <v>1934</v>
      </c>
      <c r="X141" s="1966">
        <v>2.5</v>
      </c>
      <c r="Y141" s="1966"/>
      <c r="Z141" s="1966">
        <v>2.5</v>
      </c>
      <c r="AA141" s="1966"/>
      <c r="AB141" s="1966">
        <v>2.5</v>
      </c>
      <c r="AC141" s="1966"/>
      <c r="AD141" s="1966">
        <v>2.5</v>
      </c>
      <c r="AE141" s="1966"/>
      <c r="AF141" s="1966">
        <v>2.5</v>
      </c>
      <c r="AG141" s="1966"/>
      <c r="AH141" s="3"/>
      <c r="AI141" s="3"/>
      <c r="AJ141" s="3"/>
      <c r="AL141" s="2321"/>
      <c r="AM141" s="3"/>
      <c r="AN141" s="3"/>
      <c r="AO141" s="3"/>
      <c r="AR141" s="3"/>
      <c r="AS141" s="3"/>
      <c r="AT141" s="3"/>
      <c r="AW141" s="263"/>
    </row>
    <row r="142" spans="19:49" ht="15">
      <c r="S142" s="1952" t="s">
        <v>1938</v>
      </c>
      <c r="T142" s="1953">
        <v>0</v>
      </c>
      <c r="U142" s="2054" t="str">
        <f t="shared" si="29"/>
        <v>t / ha</v>
      </c>
      <c r="V142" s="2054">
        <v>2</v>
      </c>
      <c r="W142" s="1967" t="s">
        <v>1936</v>
      </c>
      <c r="X142" s="1966">
        <v>4</v>
      </c>
      <c r="Y142" s="1966"/>
      <c r="Z142" s="1966">
        <v>4</v>
      </c>
      <c r="AA142" s="1966"/>
      <c r="AB142" s="1966">
        <v>4</v>
      </c>
      <c r="AC142" s="1966"/>
      <c r="AD142" s="1966">
        <v>4</v>
      </c>
      <c r="AE142" s="1966"/>
      <c r="AF142" s="1966">
        <v>4</v>
      </c>
      <c r="AG142" s="1966"/>
      <c r="AH142" s="3"/>
      <c r="AI142" s="3"/>
      <c r="AJ142" s="3"/>
      <c r="AL142" s="2321"/>
      <c r="AM142" s="3"/>
      <c r="AN142" s="3"/>
      <c r="AO142" s="3"/>
      <c r="AR142" s="3"/>
      <c r="AS142" s="3"/>
      <c r="AT142" s="3"/>
      <c r="AW142" s="263"/>
    </row>
    <row r="143" spans="19:49" ht="15">
      <c r="S143" s="1952" t="s">
        <v>1940</v>
      </c>
      <c r="T143" s="1953">
        <v>0</v>
      </c>
      <c r="U143" s="2054" t="str">
        <f t="shared" si="29"/>
        <v>t / ha</v>
      </c>
      <c r="V143" s="2054">
        <v>2</v>
      </c>
      <c r="W143" s="1967" t="s">
        <v>1938</v>
      </c>
      <c r="X143" s="1966">
        <v>6</v>
      </c>
      <c r="Y143" s="1966"/>
      <c r="Z143" s="1966">
        <v>8</v>
      </c>
      <c r="AA143" s="1966"/>
      <c r="AB143" s="1966">
        <v>8</v>
      </c>
      <c r="AC143" s="1966"/>
      <c r="AD143" s="1966">
        <v>8</v>
      </c>
      <c r="AE143" s="1966"/>
      <c r="AF143" s="1966">
        <v>8</v>
      </c>
      <c r="AG143" s="1966"/>
      <c r="AH143" s="3"/>
      <c r="AI143" s="3"/>
      <c r="AJ143" s="3"/>
      <c r="AL143" s="2321"/>
      <c r="AM143" s="3"/>
      <c r="AN143" s="3"/>
      <c r="AO143" s="3"/>
      <c r="AR143" s="3"/>
      <c r="AS143" s="3"/>
      <c r="AT143" s="3"/>
      <c r="AW143" s="263"/>
    </row>
    <row r="144" spans="19:49" ht="15">
      <c r="S144" s="1952" t="s">
        <v>1942</v>
      </c>
      <c r="T144" s="1953">
        <v>0</v>
      </c>
      <c r="U144" s="2054" t="str">
        <f t="shared" si="29"/>
        <v>t / ha</v>
      </c>
      <c r="V144" s="2054">
        <v>2</v>
      </c>
      <c r="W144" s="1967" t="s">
        <v>1940</v>
      </c>
      <c r="X144" s="1966">
        <v>9.5</v>
      </c>
      <c r="Y144" s="1966"/>
      <c r="Z144" s="1966">
        <v>9.5</v>
      </c>
      <c r="AA144" s="1966"/>
      <c r="AB144" s="1966">
        <v>9.5</v>
      </c>
      <c r="AC144" s="1966"/>
      <c r="AD144" s="1966">
        <v>9.5</v>
      </c>
      <c r="AE144" s="1966"/>
      <c r="AF144" s="1966">
        <v>9.5</v>
      </c>
      <c r="AG144" s="1966"/>
      <c r="AH144" s="3"/>
      <c r="AI144" s="3"/>
      <c r="AJ144" s="3"/>
      <c r="AL144" s="2321"/>
      <c r="AM144" s="3"/>
      <c r="AN144" s="3"/>
      <c r="AO144" s="3"/>
      <c r="AR144" s="3"/>
      <c r="AS144" s="3"/>
      <c r="AT144" s="3"/>
      <c r="AW144" s="263"/>
    </row>
    <row r="145" spans="19:49" ht="15">
      <c r="S145" s="1952" t="s">
        <v>1944</v>
      </c>
      <c r="T145" s="1953">
        <v>0</v>
      </c>
      <c r="U145" s="2054" t="str">
        <f t="shared" si="29"/>
        <v>t / ha</v>
      </c>
      <c r="V145" s="2054">
        <v>2</v>
      </c>
      <c r="W145" s="1967" t="s">
        <v>1942</v>
      </c>
      <c r="X145" s="1966">
        <v>11</v>
      </c>
      <c r="Y145" s="1966"/>
      <c r="Z145" s="1966">
        <v>11</v>
      </c>
      <c r="AA145" s="1966"/>
      <c r="AB145" s="1966">
        <v>11</v>
      </c>
      <c r="AC145" s="1966"/>
      <c r="AD145" s="1966">
        <v>11</v>
      </c>
      <c r="AE145" s="1966"/>
      <c r="AF145" s="1966">
        <v>11</v>
      </c>
      <c r="AG145" s="1966"/>
      <c r="AH145" s="3"/>
      <c r="AI145" s="3"/>
      <c r="AJ145" s="3"/>
      <c r="AL145" s="2321"/>
      <c r="AM145" s="3"/>
      <c r="AN145" s="3"/>
      <c r="AO145" s="3"/>
      <c r="AR145" s="3"/>
      <c r="AS145" s="3"/>
      <c r="AT145" s="3"/>
      <c r="AW145" s="263"/>
    </row>
    <row r="146" spans="19:49" ht="15">
      <c r="S146" s="1952" t="s">
        <v>2374</v>
      </c>
      <c r="T146" s="1953">
        <v>0</v>
      </c>
      <c r="U146" s="2054" t="str">
        <f t="shared" si="29"/>
        <v>t / ha</v>
      </c>
      <c r="V146" s="2054">
        <v>2</v>
      </c>
      <c r="W146" s="1967" t="s">
        <v>1944</v>
      </c>
      <c r="X146" s="1966">
        <v>12.5</v>
      </c>
      <c r="Y146" s="1966"/>
      <c r="Z146" s="1966">
        <v>12.5</v>
      </c>
      <c r="AA146" s="1966"/>
      <c r="AB146" s="1966">
        <v>12.5</v>
      </c>
      <c r="AC146" s="1966"/>
      <c r="AD146" s="1966">
        <v>12.5</v>
      </c>
      <c r="AE146" s="1966"/>
      <c r="AF146" s="1966">
        <v>12.5</v>
      </c>
      <c r="AG146" s="1966"/>
      <c r="AH146" s="3"/>
      <c r="AI146" s="3"/>
      <c r="AJ146" s="3"/>
      <c r="AL146" s="2321"/>
      <c r="AM146" s="3"/>
      <c r="AN146" s="3"/>
      <c r="AO146" s="3"/>
      <c r="AR146" s="3"/>
      <c r="AS146" s="3"/>
      <c r="AT146" s="3"/>
      <c r="AW146" s="263"/>
    </row>
    <row r="147" spans="19:49" ht="15">
      <c r="S147" s="1952" t="s">
        <v>2002</v>
      </c>
      <c r="T147" s="1953">
        <v>0</v>
      </c>
      <c r="U147" s="2054" t="str">
        <f t="shared" si="29"/>
        <v>t / ha</v>
      </c>
      <c r="V147" s="2054">
        <v>2</v>
      </c>
      <c r="W147" s="1967" t="s">
        <v>2374</v>
      </c>
      <c r="X147" s="1966">
        <v>6.5</v>
      </c>
      <c r="Y147" s="1966"/>
      <c r="Z147" s="1966">
        <v>9.5</v>
      </c>
      <c r="AA147" s="1966"/>
      <c r="AB147" s="1966">
        <v>9.5</v>
      </c>
      <c r="AC147" s="1966"/>
      <c r="AD147" s="1966">
        <v>9.5</v>
      </c>
      <c r="AE147" s="1966"/>
      <c r="AF147" s="1966">
        <v>9.5</v>
      </c>
      <c r="AG147" s="1966"/>
      <c r="AH147" s="3"/>
      <c r="AI147" s="3"/>
      <c r="AJ147" s="3"/>
      <c r="AL147" s="2321"/>
      <c r="AM147" s="3"/>
      <c r="AN147" s="3"/>
      <c r="AO147" s="3"/>
      <c r="AR147" s="3"/>
      <c r="AS147" s="3"/>
      <c r="AT147" s="3"/>
      <c r="AW147" s="263"/>
    </row>
    <row r="148" spans="19:49" ht="15">
      <c r="S148" s="1952" t="s">
        <v>2003</v>
      </c>
      <c r="T148" s="1953">
        <v>0</v>
      </c>
      <c r="U148" s="2054" t="str">
        <f t="shared" si="29"/>
        <v>t / ha</v>
      </c>
      <c r="V148" s="2054">
        <v>2</v>
      </c>
      <c r="W148" s="1967" t="s">
        <v>2002</v>
      </c>
      <c r="X148" s="1966">
        <v>5.5</v>
      </c>
      <c r="Y148" s="1966"/>
      <c r="Z148" s="1966">
        <v>5.5</v>
      </c>
      <c r="AA148" s="1966"/>
      <c r="AB148" s="1966">
        <v>5.5</v>
      </c>
      <c r="AC148" s="1966"/>
      <c r="AD148" s="1966">
        <v>5.5</v>
      </c>
      <c r="AE148" s="1966"/>
      <c r="AF148" s="1966">
        <v>5.5</v>
      </c>
      <c r="AG148" s="1966"/>
      <c r="AH148" s="3"/>
      <c r="AI148" s="3"/>
      <c r="AJ148" s="3"/>
      <c r="AL148" s="2321"/>
      <c r="AM148" s="3"/>
      <c r="AN148" s="3"/>
      <c r="AO148" s="3"/>
      <c r="AR148" s="3"/>
      <c r="AS148" s="3"/>
      <c r="AT148" s="3"/>
      <c r="AW148" s="263"/>
    </row>
    <row r="149" spans="19:49" ht="15">
      <c r="S149" s="1952" t="s">
        <v>2004</v>
      </c>
      <c r="T149" s="1953">
        <v>0</v>
      </c>
      <c r="U149" s="2054" t="str">
        <f t="shared" si="29"/>
        <v>t / ha</v>
      </c>
      <c r="V149" s="2054">
        <v>2</v>
      </c>
      <c r="W149" s="1967" t="s">
        <v>2003</v>
      </c>
      <c r="X149" s="1966">
        <v>8</v>
      </c>
      <c r="Y149" s="1966"/>
      <c r="Z149" s="1966">
        <v>8</v>
      </c>
      <c r="AA149" s="1966"/>
      <c r="AB149" s="1966">
        <v>8</v>
      </c>
      <c r="AC149" s="1966"/>
      <c r="AD149" s="1966">
        <v>8</v>
      </c>
      <c r="AE149" s="1966"/>
      <c r="AF149" s="1966">
        <v>8</v>
      </c>
      <c r="AG149" s="1966"/>
      <c r="AH149" s="3"/>
      <c r="AI149" s="3"/>
      <c r="AJ149" s="3"/>
      <c r="AL149" s="2321"/>
      <c r="AM149" s="3"/>
      <c r="AN149" s="3"/>
      <c r="AO149" s="3"/>
      <c r="AR149" s="3"/>
      <c r="AS149" s="3"/>
      <c r="AT149" s="3"/>
      <c r="AW149" s="263"/>
    </row>
    <row r="150" spans="19:49" ht="15">
      <c r="S150" s="2311" t="s">
        <v>37</v>
      </c>
      <c r="T150" s="2312">
        <v>0</v>
      </c>
      <c r="U150" s="2054" t="str">
        <f t="shared" si="29"/>
        <v>t / ha</v>
      </c>
      <c r="V150" s="2054">
        <v>1</v>
      </c>
      <c r="W150" s="1967" t="s">
        <v>2004</v>
      </c>
      <c r="X150" s="1966">
        <v>9</v>
      </c>
      <c r="Y150" s="1966"/>
      <c r="Z150" s="1966">
        <v>9</v>
      </c>
      <c r="AA150" s="1966"/>
      <c r="AB150" s="1966">
        <v>9</v>
      </c>
      <c r="AC150" s="1966"/>
      <c r="AD150" s="1966">
        <v>9</v>
      </c>
      <c r="AE150" s="1966"/>
      <c r="AF150" s="1966">
        <v>9</v>
      </c>
      <c r="AG150" s="1966"/>
      <c r="AH150" s="3"/>
      <c r="AI150" s="3"/>
      <c r="AJ150" s="3"/>
      <c r="AL150" s="2321"/>
      <c r="AM150" s="3"/>
      <c r="AN150" s="3"/>
      <c r="AO150" s="3"/>
      <c r="AR150" s="3"/>
      <c r="AS150" s="3"/>
      <c r="AT150" s="3"/>
      <c r="AW150" s="263"/>
    </row>
    <row r="151" spans="19:49" ht="15">
      <c r="S151" s="2311" t="s">
        <v>2967</v>
      </c>
      <c r="T151" s="2312">
        <v>0</v>
      </c>
      <c r="U151" s="2054" t="str">
        <f t="shared" si="29"/>
        <v>t / ha</v>
      </c>
      <c r="V151" s="2054">
        <v>1</v>
      </c>
      <c r="W151" s="1851" t="s">
        <v>37</v>
      </c>
      <c r="X151" s="2313">
        <v>4</v>
      </c>
      <c r="Y151" s="2314"/>
      <c r="Z151" s="2313">
        <v>5.5</v>
      </c>
      <c r="AA151" s="2314"/>
      <c r="AB151" s="2313">
        <v>7</v>
      </c>
      <c r="AC151" s="2314"/>
      <c r="AD151" s="2313">
        <v>8.5</v>
      </c>
      <c r="AE151" s="2314"/>
      <c r="AF151" s="2313">
        <v>8.5</v>
      </c>
      <c r="AG151" s="2314"/>
      <c r="AL151" s="2321"/>
    </row>
    <row r="152" spans="19:49">
      <c r="S152" s="2311" t="s">
        <v>2968</v>
      </c>
      <c r="T152" s="2312">
        <v>0</v>
      </c>
      <c r="U152" s="2054" t="str">
        <f t="shared" si="29"/>
        <v>t / ha</v>
      </c>
      <c r="V152" s="2054">
        <v>1</v>
      </c>
      <c r="W152" s="3"/>
      <c r="X152" t="s">
        <v>1245</v>
      </c>
      <c r="Y152" t="s">
        <v>1245</v>
      </c>
      <c r="Z152" t="s">
        <v>608</v>
      </c>
      <c r="AA152" t="s">
        <v>608</v>
      </c>
      <c r="AB152" t="s">
        <v>2760</v>
      </c>
      <c r="AC152" t="s">
        <v>2760</v>
      </c>
      <c r="AD152" t="s">
        <v>2761</v>
      </c>
      <c r="AE152" t="s">
        <v>2761</v>
      </c>
      <c r="AF152" t="s">
        <v>2762</v>
      </c>
      <c r="AG152" t="s">
        <v>2762</v>
      </c>
    </row>
    <row r="153" spans="19:49">
      <c r="S153" s="2311" t="s">
        <v>2969</v>
      </c>
      <c r="T153" s="2312">
        <v>0</v>
      </c>
      <c r="U153" s="2054" t="str">
        <f t="shared" si="29"/>
        <v>t / ha</v>
      </c>
      <c r="V153" s="2054">
        <v>1</v>
      </c>
      <c r="W153" s="3" t="s">
        <v>2967</v>
      </c>
      <c r="X153">
        <v>12</v>
      </c>
      <c r="Y153" s="1" t="s">
        <v>1764</v>
      </c>
      <c r="Z153">
        <v>20</v>
      </c>
      <c r="AA153" s="1" t="s">
        <v>1764</v>
      </c>
      <c r="AB153">
        <v>20</v>
      </c>
      <c r="AC153" t="s">
        <v>1764</v>
      </c>
      <c r="AD153">
        <v>20</v>
      </c>
      <c r="AE153" s="1" t="s">
        <v>1764</v>
      </c>
      <c r="AF153">
        <v>20</v>
      </c>
      <c r="AG153" s="1" t="s">
        <v>1764</v>
      </c>
      <c r="AH153" s="1"/>
      <c r="AI153" s="1"/>
      <c r="AJ153" s="1"/>
      <c r="AK153" s="1"/>
      <c r="AL153" s="1"/>
    </row>
    <row r="154" spans="19:49">
      <c r="S154" s="2311" t="s">
        <v>2970</v>
      </c>
      <c r="T154" s="2312">
        <v>0</v>
      </c>
      <c r="U154" s="2054" t="str">
        <f t="shared" si="29"/>
        <v>t / ha</v>
      </c>
      <c r="V154" s="2054">
        <v>1</v>
      </c>
      <c r="W154" s="3" t="s">
        <v>2968</v>
      </c>
      <c r="X154">
        <v>20</v>
      </c>
      <c r="Y154" t="s">
        <v>1764</v>
      </c>
      <c r="Z154">
        <v>50</v>
      </c>
      <c r="AA154" t="s">
        <v>1764</v>
      </c>
      <c r="AB154">
        <v>50</v>
      </c>
      <c r="AC154" t="s">
        <v>1764</v>
      </c>
      <c r="AD154">
        <v>50</v>
      </c>
      <c r="AE154" t="s">
        <v>1764</v>
      </c>
      <c r="AF154">
        <v>50</v>
      </c>
      <c r="AG154" t="s">
        <v>1764</v>
      </c>
    </row>
    <row r="155" spans="19:49">
      <c r="S155" s="2311" t="s">
        <v>2971</v>
      </c>
      <c r="T155" s="2312">
        <v>0</v>
      </c>
      <c r="U155" s="2054" t="str">
        <f t="shared" si="29"/>
        <v>t / ha</v>
      </c>
      <c r="V155" s="2054">
        <v>1</v>
      </c>
      <c r="W155" s="3" t="s">
        <v>2969</v>
      </c>
      <c r="X155">
        <v>12</v>
      </c>
      <c r="Y155" t="s">
        <v>1764</v>
      </c>
      <c r="Z155">
        <v>20</v>
      </c>
      <c r="AA155" t="s">
        <v>1764</v>
      </c>
      <c r="AB155">
        <v>20</v>
      </c>
      <c r="AC155" t="s">
        <v>1764</v>
      </c>
      <c r="AD155">
        <v>20</v>
      </c>
      <c r="AE155" t="s">
        <v>1764</v>
      </c>
      <c r="AF155">
        <v>20</v>
      </c>
      <c r="AG155" t="s">
        <v>1764</v>
      </c>
    </row>
    <row r="156" spans="19:49">
      <c r="S156" s="2311" t="s">
        <v>2972</v>
      </c>
      <c r="T156" s="2312">
        <v>0</v>
      </c>
      <c r="U156" s="2054" t="str">
        <f t="shared" si="29"/>
        <v>t / ha</v>
      </c>
      <c r="V156" s="2054">
        <v>1</v>
      </c>
      <c r="W156" s="3" t="s">
        <v>2970</v>
      </c>
      <c r="X156">
        <v>15</v>
      </c>
      <c r="Y156" t="s">
        <v>1764</v>
      </c>
      <c r="Z156">
        <v>25</v>
      </c>
      <c r="AA156" t="s">
        <v>1764</v>
      </c>
      <c r="AB156">
        <v>25</v>
      </c>
      <c r="AC156" t="s">
        <v>1764</v>
      </c>
      <c r="AD156">
        <v>25</v>
      </c>
      <c r="AE156" t="s">
        <v>1764</v>
      </c>
      <c r="AF156">
        <v>25</v>
      </c>
      <c r="AG156" t="s">
        <v>1764</v>
      </c>
    </row>
    <row r="157" spans="19:49">
      <c r="S157" s="2311" t="s">
        <v>2973</v>
      </c>
      <c r="T157" s="2312">
        <v>0</v>
      </c>
      <c r="U157" s="2054" t="str">
        <f t="shared" si="29"/>
        <v>t / ha</v>
      </c>
      <c r="V157" s="2054">
        <v>1</v>
      </c>
      <c r="W157" s="3" t="s">
        <v>2971</v>
      </c>
      <c r="X157">
        <v>12</v>
      </c>
      <c r="Y157" t="s">
        <v>1764</v>
      </c>
      <c r="Z157">
        <v>18</v>
      </c>
      <c r="AA157" t="s">
        <v>1764</v>
      </c>
      <c r="AB157">
        <v>18</v>
      </c>
      <c r="AC157" t="s">
        <v>1764</v>
      </c>
      <c r="AD157">
        <v>18</v>
      </c>
      <c r="AE157" t="s">
        <v>1764</v>
      </c>
      <c r="AF157">
        <v>18</v>
      </c>
      <c r="AG157" t="s">
        <v>1764</v>
      </c>
    </row>
    <row r="158" spans="19:49">
      <c r="S158" s="2311" t="s">
        <v>3033</v>
      </c>
      <c r="T158" s="2312">
        <v>0</v>
      </c>
      <c r="U158" s="2054" t="str">
        <f t="shared" si="29"/>
        <v>t / ha</v>
      </c>
      <c r="V158" s="2054">
        <v>1</v>
      </c>
      <c r="W158" s="3" t="s">
        <v>2972</v>
      </c>
      <c r="X158">
        <v>30</v>
      </c>
      <c r="Y158" t="s">
        <v>1764</v>
      </c>
      <c r="Z158">
        <v>50</v>
      </c>
      <c r="AA158" t="s">
        <v>1764</v>
      </c>
      <c r="AB158">
        <v>50</v>
      </c>
      <c r="AC158" t="s">
        <v>1764</v>
      </c>
      <c r="AD158">
        <v>50</v>
      </c>
      <c r="AE158" t="s">
        <v>1764</v>
      </c>
      <c r="AF158">
        <v>50</v>
      </c>
      <c r="AG158" t="s">
        <v>1764</v>
      </c>
    </row>
    <row r="159" spans="19:49">
      <c r="S159" s="2311" t="s">
        <v>2974</v>
      </c>
      <c r="T159" s="2312">
        <v>0</v>
      </c>
      <c r="U159" s="2054" t="str">
        <f t="shared" si="29"/>
        <v>t / ha</v>
      </c>
      <c r="V159" s="2054">
        <v>1</v>
      </c>
      <c r="W159" s="3" t="s">
        <v>2973</v>
      </c>
      <c r="X159">
        <v>50</v>
      </c>
      <c r="Y159" t="s">
        <v>1764</v>
      </c>
      <c r="Z159">
        <v>80</v>
      </c>
      <c r="AA159" t="s">
        <v>1764</v>
      </c>
      <c r="AB159">
        <v>80</v>
      </c>
      <c r="AC159" t="s">
        <v>1764</v>
      </c>
      <c r="AD159">
        <v>80</v>
      </c>
      <c r="AE159" t="s">
        <v>1764</v>
      </c>
      <c r="AF159">
        <v>80</v>
      </c>
      <c r="AG159" t="s">
        <v>1764</v>
      </c>
    </row>
    <row r="160" spans="19:49">
      <c r="S160" s="2311" t="s">
        <v>3034</v>
      </c>
      <c r="T160" s="2312">
        <v>0</v>
      </c>
      <c r="U160" s="2054" t="str">
        <f t="shared" si="29"/>
        <v>t / ha</v>
      </c>
      <c r="V160" s="2054">
        <v>1</v>
      </c>
      <c r="W160" s="3" t="s">
        <v>3033</v>
      </c>
      <c r="X160">
        <v>50</v>
      </c>
      <c r="Z160">
        <v>80</v>
      </c>
      <c r="AB160">
        <v>80</v>
      </c>
      <c r="AD160">
        <v>80</v>
      </c>
      <c r="AF160">
        <v>80</v>
      </c>
    </row>
    <row r="161" spans="19:33">
      <c r="S161" s="2311" t="s">
        <v>2975</v>
      </c>
      <c r="T161" s="2312">
        <v>0</v>
      </c>
      <c r="U161" s="2054" t="str">
        <f t="shared" si="29"/>
        <v>t / ha</v>
      </c>
      <c r="V161" s="2054">
        <v>1</v>
      </c>
      <c r="W161" s="3" t="s">
        <v>2974</v>
      </c>
      <c r="X161">
        <v>15</v>
      </c>
      <c r="Y161" t="s">
        <v>1764</v>
      </c>
      <c r="Z161">
        <v>25</v>
      </c>
      <c r="AA161" t="s">
        <v>1764</v>
      </c>
      <c r="AB161">
        <v>25</v>
      </c>
      <c r="AC161" t="s">
        <v>1764</v>
      </c>
      <c r="AD161">
        <v>25</v>
      </c>
      <c r="AE161" t="s">
        <v>1764</v>
      </c>
      <c r="AF161">
        <v>25</v>
      </c>
      <c r="AG161" t="s">
        <v>1764</v>
      </c>
    </row>
    <row r="162" spans="19:33">
      <c r="S162" s="2311" t="s">
        <v>2976</v>
      </c>
      <c r="T162" s="2312">
        <v>0</v>
      </c>
      <c r="U162" s="2054" t="str">
        <f t="shared" si="29"/>
        <v>t / ha</v>
      </c>
      <c r="V162" s="2054">
        <v>1</v>
      </c>
      <c r="W162" s="3" t="s">
        <v>3034</v>
      </c>
      <c r="X162">
        <v>40</v>
      </c>
      <c r="Y162" t="s">
        <v>1764</v>
      </c>
      <c r="Z162">
        <v>70</v>
      </c>
      <c r="AA162" t="s">
        <v>1764</v>
      </c>
      <c r="AB162">
        <v>70</v>
      </c>
      <c r="AC162" t="s">
        <v>1764</v>
      </c>
      <c r="AD162">
        <v>70</v>
      </c>
      <c r="AE162" t="s">
        <v>1764</v>
      </c>
      <c r="AF162">
        <v>70</v>
      </c>
      <c r="AG162" t="s">
        <v>1764</v>
      </c>
    </row>
    <row r="163" spans="19:33">
      <c r="S163" s="2311" t="s">
        <v>3035</v>
      </c>
      <c r="T163" s="2312">
        <v>0</v>
      </c>
      <c r="U163" s="2054" t="str">
        <f t="shared" si="29"/>
        <v>t / ha</v>
      </c>
      <c r="V163" s="2054">
        <v>1</v>
      </c>
      <c r="W163" s="3" t="s">
        <v>2975</v>
      </c>
      <c r="X163">
        <v>35</v>
      </c>
      <c r="Y163" t="s">
        <v>1764</v>
      </c>
      <c r="Z163">
        <v>45</v>
      </c>
      <c r="AA163" t="s">
        <v>1764</v>
      </c>
      <c r="AB163">
        <v>45</v>
      </c>
      <c r="AC163" t="s">
        <v>1764</v>
      </c>
      <c r="AD163">
        <v>45</v>
      </c>
      <c r="AE163" t="s">
        <v>1764</v>
      </c>
      <c r="AF163">
        <v>45</v>
      </c>
      <c r="AG163" t="s">
        <v>1764</v>
      </c>
    </row>
    <row r="164" spans="19:33">
      <c r="S164" s="2311" t="s">
        <v>2977</v>
      </c>
      <c r="T164" s="2312">
        <v>0</v>
      </c>
      <c r="U164" s="2054" t="str">
        <f t="shared" si="29"/>
        <v>t / ha</v>
      </c>
      <c r="V164" s="2054">
        <v>1</v>
      </c>
      <c r="W164" s="3" t="s">
        <v>2976</v>
      </c>
      <c r="X164">
        <v>30</v>
      </c>
      <c r="Y164" t="s">
        <v>1764</v>
      </c>
      <c r="Z164">
        <v>50</v>
      </c>
      <c r="AA164" t="s">
        <v>1764</v>
      </c>
      <c r="AB164">
        <v>50</v>
      </c>
      <c r="AC164" t="s">
        <v>1764</v>
      </c>
      <c r="AD164">
        <v>50</v>
      </c>
      <c r="AE164" t="s">
        <v>1764</v>
      </c>
      <c r="AF164">
        <v>50</v>
      </c>
      <c r="AG164" t="s">
        <v>1764</v>
      </c>
    </row>
    <row r="165" spans="19:33">
      <c r="S165" s="2311" t="s">
        <v>2978</v>
      </c>
      <c r="T165" s="2312">
        <v>0</v>
      </c>
      <c r="U165" s="2054" t="str">
        <f t="shared" si="29"/>
        <v>t / ha</v>
      </c>
      <c r="V165" s="2054">
        <v>1</v>
      </c>
      <c r="W165" s="3" t="s">
        <v>3035</v>
      </c>
      <c r="X165">
        <v>4</v>
      </c>
      <c r="Y165" t="s">
        <v>1764</v>
      </c>
      <c r="Z165">
        <v>6</v>
      </c>
      <c r="AA165" t="s">
        <v>1764</v>
      </c>
      <c r="AB165">
        <v>6</v>
      </c>
      <c r="AC165" t="s">
        <v>1764</v>
      </c>
      <c r="AD165">
        <v>6</v>
      </c>
      <c r="AE165" t="s">
        <v>1764</v>
      </c>
      <c r="AF165">
        <v>6</v>
      </c>
      <c r="AG165" t="s">
        <v>1764</v>
      </c>
    </row>
    <row r="166" spans="19:33">
      <c r="S166" s="2311" t="s">
        <v>3036</v>
      </c>
      <c r="T166" s="2312">
        <v>0</v>
      </c>
      <c r="U166" s="2054" t="str">
        <f t="shared" si="29"/>
        <v>t / ha</v>
      </c>
      <c r="V166" s="2054">
        <v>1</v>
      </c>
      <c r="W166" s="3" t="s">
        <v>2977</v>
      </c>
      <c r="X166">
        <v>20</v>
      </c>
      <c r="Y166" t="s">
        <v>1764</v>
      </c>
      <c r="Z166">
        <v>40</v>
      </c>
      <c r="AA166" t="s">
        <v>1764</v>
      </c>
      <c r="AB166">
        <v>40</v>
      </c>
      <c r="AC166" t="s">
        <v>1764</v>
      </c>
      <c r="AD166">
        <v>40</v>
      </c>
      <c r="AE166" t="s">
        <v>1764</v>
      </c>
      <c r="AF166">
        <v>40</v>
      </c>
      <c r="AG166" t="s">
        <v>1764</v>
      </c>
    </row>
    <row r="167" spans="19:33">
      <c r="S167" s="2311" t="s">
        <v>2979</v>
      </c>
      <c r="T167" s="2312">
        <v>0</v>
      </c>
      <c r="U167" s="2054" t="str">
        <f t="shared" si="29"/>
        <v>t / ha</v>
      </c>
      <c r="V167" s="2054">
        <v>1</v>
      </c>
      <c r="W167" s="3" t="s">
        <v>2978</v>
      </c>
      <c r="X167">
        <v>3.5</v>
      </c>
      <c r="Y167" t="s">
        <v>1764</v>
      </c>
      <c r="Z167">
        <v>5</v>
      </c>
      <c r="AA167" t="s">
        <v>1764</v>
      </c>
      <c r="AB167">
        <v>5</v>
      </c>
      <c r="AC167" t="s">
        <v>1764</v>
      </c>
      <c r="AD167">
        <v>5</v>
      </c>
      <c r="AE167" t="s">
        <v>1764</v>
      </c>
      <c r="AF167">
        <v>5</v>
      </c>
      <c r="AG167" t="s">
        <v>1764</v>
      </c>
    </row>
    <row r="168" spans="19:33">
      <c r="S168" s="2311" t="s">
        <v>2980</v>
      </c>
      <c r="T168" s="2312">
        <v>0</v>
      </c>
      <c r="U168" s="2054" t="str">
        <f t="shared" si="29"/>
        <v>t / ha</v>
      </c>
      <c r="V168" s="2054">
        <v>1</v>
      </c>
      <c r="W168" s="3" t="s">
        <v>3036</v>
      </c>
      <c r="X168">
        <v>35</v>
      </c>
      <c r="Y168" t="s">
        <v>1764</v>
      </c>
      <c r="Z168">
        <v>80</v>
      </c>
      <c r="AB168">
        <v>80</v>
      </c>
      <c r="AC168" t="s">
        <v>1764</v>
      </c>
      <c r="AD168">
        <v>80</v>
      </c>
      <c r="AE168" t="s">
        <v>1764</v>
      </c>
      <c r="AF168">
        <v>80</v>
      </c>
      <c r="AG168" t="s">
        <v>1764</v>
      </c>
    </row>
    <row r="169" spans="19:33">
      <c r="S169" s="2311" t="s">
        <v>3037</v>
      </c>
      <c r="T169" s="2312">
        <v>0</v>
      </c>
      <c r="U169" s="2054" t="str">
        <f t="shared" si="29"/>
        <v>t / ha</v>
      </c>
      <c r="V169" s="2054">
        <v>1</v>
      </c>
      <c r="W169" s="3" t="s">
        <v>2979</v>
      </c>
      <c r="X169">
        <v>3.5</v>
      </c>
      <c r="Y169" t="s">
        <v>1764</v>
      </c>
      <c r="Z169">
        <v>5</v>
      </c>
      <c r="AA169" t="s">
        <v>1764</v>
      </c>
      <c r="AB169">
        <v>5</v>
      </c>
      <c r="AC169" t="s">
        <v>1764</v>
      </c>
      <c r="AD169">
        <v>5</v>
      </c>
      <c r="AE169" t="s">
        <v>1764</v>
      </c>
      <c r="AF169">
        <v>5</v>
      </c>
      <c r="AG169" t="s">
        <v>1764</v>
      </c>
    </row>
    <row r="170" spans="19:33">
      <c r="S170" s="2311" t="s">
        <v>2981</v>
      </c>
      <c r="T170" s="2312">
        <v>0</v>
      </c>
      <c r="U170" s="2054" t="str">
        <f t="shared" si="29"/>
        <v>t / ha</v>
      </c>
      <c r="V170" s="2054">
        <v>1</v>
      </c>
      <c r="W170" s="3" t="s">
        <v>2980</v>
      </c>
      <c r="X170">
        <v>40</v>
      </c>
      <c r="Y170" t="s">
        <v>1764</v>
      </c>
      <c r="Z170">
        <v>60</v>
      </c>
      <c r="AA170" t="s">
        <v>1764</v>
      </c>
      <c r="AB170">
        <v>60</v>
      </c>
      <c r="AC170" t="s">
        <v>1764</v>
      </c>
      <c r="AD170">
        <v>60</v>
      </c>
      <c r="AE170" t="s">
        <v>1764</v>
      </c>
      <c r="AF170">
        <v>60</v>
      </c>
      <c r="AG170" t="s">
        <v>1764</v>
      </c>
    </row>
    <row r="171" spans="19:33">
      <c r="S171" s="2311" t="s">
        <v>2982</v>
      </c>
      <c r="T171" s="2312">
        <v>0</v>
      </c>
      <c r="U171" s="2054" t="str">
        <f t="shared" si="29"/>
        <v>t / ha</v>
      </c>
      <c r="V171" s="2054">
        <v>1</v>
      </c>
      <c r="W171" s="3" t="s">
        <v>3037</v>
      </c>
      <c r="X171">
        <v>67</v>
      </c>
      <c r="Y171" t="s">
        <v>1764</v>
      </c>
      <c r="Z171">
        <v>112</v>
      </c>
      <c r="AA171" t="s">
        <v>1764</v>
      </c>
      <c r="AB171">
        <v>112</v>
      </c>
      <c r="AC171" t="s">
        <v>1764</v>
      </c>
      <c r="AD171">
        <v>112</v>
      </c>
      <c r="AE171" t="s">
        <v>1764</v>
      </c>
      <c r="AF171">
        <v>112</v>
      </c>
      <c r="AG171" t="s">
        <v>1764</v>
      </c>
    </row>
    <row r="172" spans="19:33">
      <c r="S172" s="2311" t="s">
        <v>2983</v>
      </c>
      <c r="T172" s="2312">
        <v>0</v>
      </c>
      <c r="U172" s="2054" t="str">
        <f t="shared" si="29"/>
        <v>t / ha</v>
      </c>
      <c r="V172" s="2054">
        <v>1</v>
      </c>
      <c r="W172" s="3" t="s">
        <v>2981</v>
      </c>
      <c r="X172">
        <v>60</v>
      </c>
      <c r="Y172" t="s">
        <v>1764</v>
      </c>
      <c r="Z172">
        <v>90</v>
      </c>
      <c r="AA172" t="s">
        <v>1764</v>
      </c>
      <c r="AB172">
        <v>90</v>
      </c>
      <c r="AC172" t="s">
        <v>1764</v>
      </c>
      <c r="AD172">
        <v>90</v>
      </c>
      <c r="AE172" t="s">
        <v>1764</v>
      </c>
      <c r="AF172">
        <v>90</v>
      </c>
      <c r="AG172" t="s">
        <v>1764</v>
      </c>
    </row>
    <row r="173" spans="19:33">
      <c r="S173" s="2311" t="s">
        <v>2984</v>
      </c>
      <c r="T173" s="2312">
        <v>0</v>
      </c>
      <c r="U173" s="2054" t="str">
        <f t="shared" si="29"/>
        <v>t / ha</v>
      </c>
      <c r="V173" s="2054">
        <v>1</v>
      </c>
      <c r="W173" s="3" t="s">
        <v>2982</v>
      </c>
      <c r="X173">
        <v>3</v>
      </c>
      <c r="Y173" t="s">
        <v>1764</v>
      </c>
      <c r="Z173">
        <v>6.5</v>
      </c>
      <c r="AA173" t="s">
        <v>1764</v>
      </c>
      <c r="AB173">
        <v>6.5</v>
      </c>
      <c r="AC173" t="s">
        <v>1764</v>
      </c>
      <c r="AD173">
        <v>6.5</v>
      </c>
      <c r="AE173" t="s">
        <v>1764</v>
      </c>
      <c r="AF173">
        <v>6.5</v>
      </c>
      <c r="AG173" t="s">
        <v>1764</v>
      </c>
    </row>
    <row r="174" spans="19:33">
      <c r="S174" s="2311" t="s">
        <v>3038</v>
      </c>
      <c r="T174" s="2312">
        <v>0</v>
      </c>
      <c r="U174" s="2054" t="str">
        <f t="shared" si="29"/>
        <v>t / ha</v>
      </c>
      <c r="V174" s="2054">
        <v>1</v>
      </c>
      <c r="W174" s="3" t="s">
        <v>2983</v>
      </c>
      <c r="X174">
        <v>4</v>
      </c>
      <c r="Y174" t="s">
        <v>1764</v>
      </c>
      <c r="Z174">
        <v>12</v>
      </c>
      <c r="AA174" t="s">
        <v>1764</v>
      </c>
      <c r="AB174">
        <v>12</v>
      </c>
      <c r="AC174" t="s">
        <v>1764</v>
      </c>
      <c r="AD174">
        <v>12</v>
      </c>
      <c r="AE174" t="s">
        <v>1764</v>
      </c>
      <c r="AF174">
        <v>12</v>
      </c>
      <c r="AG174" t="s">
        <v>1764</v>
      </c>
    </row>
    <row r="175" spans="19:33">
      <c r="S175" s="2311" t="s">
        <v>2985</v>
      </c>
      <c r="T175" s="2312">
        <v>0</v>
      </c>
      <c r="U175" s="2054" t="str">
        <f t="shared" si="29"/>
        <v>t / ha</v>
      </c>
      <c r="V175" s="2054">
        <v>1</v>
      </c>
      <c r="W175" s="3" t="s">
        <v>2984</v>
      </c>
      <c r="X175">
        <v>35</v>
      </c>
      <c r="Y175" t="s">
        <v>1764</v>
      </c>
      <c r="Z175">
        <v>45</v>
      </c>
      <c r="AA175" t="s">
        <v>1764</v>
      </c>
      <c r="AB175">
        <v>45</v>
      </c>
      <c r="AC175" t="s">
        <v>1764</v>
      </c>
      <c r="AD175">
        <v>45</v>
      </c>
      <c r="AE175" t="s">
        <v>1764</v>
      </c>
      <c r="AF175">
        <v>45</v>
      </c>
      <c r="AG175" t="s">
        <v>1764</v>
      </c>
    </row>
    <row r="176" spans="19:33">
      <c r="S176" s="2311" t="s">
        <v>2944</v>
      </c>
      <c r="T176" s="2312">
        <v>0</v>
      </c>
      <c r="U176" s="2054" t="str">
        <f t="shared" si="29"/>
        <v>t / ha</v>
      </c>
      <c r="V176" s="2054">
        <v>1</v>
      </c>
      <c r="W176" s="3" t="s">
        <v>3038</v>
      </c>
      <c r="X176">
        <v>55</v>
      </c>
      <c r="Y176" t="s">
        <v>1764</v>
      </c>
      <c r="Z176">
        <v>65</v>
      </c>
      <c r="AA176" t="s">
        <v>1764</v>
      </c>
      <c r="AB176">
        <v>65</v>
      </c>
      <c r="AC176" t="s">
        <v>1764</v>
      </c>
      <c r="AD176">
        <v>65</v>
      </c>
      <c r="AE176" t="s">
        <v>1764</v>
      </c>
      <c r="AF176">
        <v>65</v>
      </c>
      <c r="AG176" t="s">
        <v>1764</v>
      </c>
    </row>
    <row r="177" spans="19:33">
      <c r="S177" s="2311" t="s">
        <v>2986</v>
      </c>
      <c r="T177" s="2312">
        <v>0</v>
      </c>
      <c r="U177" s="2054" t="str">
        <f t="shared" si="29"/>
        <v>t / ha</v>
      </c>
      <c r="V177" s="2054">
        <v>1</v>
      </c>
      <c r="W177" s="1" t="s">
        <v>2985</v>
      </c>
      <c r="X177">
        <v>40</v>
      </c>
      <c r="Y177" t="s">
        <v>1764</v>
      </c>
      <c r="Z177">
        <v>60</v>
      </c>
      <c r="AA177" t="s">
        <v>1764</v>
      </c>
      <c r="AB177">
        <v>60</v>
      </c>
      <c r="AC177" t="s">
        <v>1764</v>
      </c>
      <c r="AD177">
        <v>60</v>
      </c>
      <c r="AE177" t="s">
        <v>1764</v>
      </c>
      <c r="AF177">
        <v>60</v>
      </c>
      <c r="AG177" t="s">
        <v>1764</v>
      </c>
    </row>
    <row r="178" spans="19:33">
      <c r="S178" s="2311" t="s">
        <v>3039</v>
      </c>
      <c r="T178" s="2312">
        <v>0</v>
      </c>
      <c r="U178" s="2054" t="str">
        <f t="shared" si="29"/>
        <v>t / ha</v>
      </c>
      <c r="V178" s="2054">
        <v>1</v>
      </c>
      <c r="W178" s="3" t="s">
        <v>2944</v>
      </c>
      <c r="X178">
        <v>40</v>
      </c>
      <c r="Y178" t="s">
        <v>1764</v>
      </c>
      <c r="Z178">
        <v>60</v>
      </c>
      <c r="AA178" t="s">
        <v>1764</v>
      </c>
      <c r="AB178">
        <v>60</v>
      </c>
      <c r="AC178" t="s">
        <v>1764</v>
      </c>
      <c r="AD178">
        <v>60</v>
      </c>
      <c r="AE178" t="s">
        <v>1764</v>
      </c>
      <c r="AF178">
        <v>60</v>
      </c>
      <c r="AG178" t="s">
        <v>1764</v>
      </c>
    </row>
    <row r="179" spans="19:33">
      <c r="S179" s="2311" t="s">
        <v>2987</v>
      </c>
      <c r="T179" s="2312">
        <v>0</v>
      </c>
      <c r="U179" s="2054" t="str">
        <f t="shared" si="29"/>
        <v>t / ha</v>
      </c>
      <c r="V179" s="2054">
        <v>1</v>
      </c>
      <c r="W179" s="3" t="s">
        <v>2986</v>
      </c>
      <c r="X179">
        <v>50</v>
      </c>
      <c r="Y179" t="s">
        <v>1764</v>
      </c>
      <c r="Z179">
        <v>100</v>
      </c>
      <c r="AA179" t="s">
        <v>1764</v>
      </c>
      <c r="AB179">
        <v>100</v>
      </c>
      <c r="AC179" t="s">
        <v>1764</v>
      </c>
      <c r="AD179">
        <v>100</v>
      </c>
      <c r="AE179" t="s">
        <v>1764</v>
      </c>
      <c r="AF179">
        <v>100</v>
      </c>
      <c r="AG179" t="s">
        <v>1764</v>
      </c>
    </row>
    <row r="180" spans="19:33">
      <c r="S180" s="2311" t="s">
        <v>2988</v>
      </c>
      <c r="T180" s="2312">
        <v>0</v>
      </c>
      <c r="U180" s="2054" t="str">
        <f t="shared" si="29"/>
        <v>t / ha</v>
      </c>
      <c r="V180" s="2054">
        <v>1</v>
      </c>
      <c r="W180" s="3" t="s">
        <v>3039</v>
      </c>
      <c r="X180">
        <v>26</v>
      </c>
      <c r="Y180" t="s">
        <v>1764</v>
      </c>
      <c r="Z180">
        <v>44</v>
      </c>
      <c r="AA180" t="s">
        <v>1764</v>
      </c>
      <c r="AB180">
        <v>44</v>
      </c>
      <c r="AC180" t="s">
        <v>1764</v>
      </c>
      <c r="AD180">
        <v>44</v>
      </c>
      <c r="AE180" t="s">
        <v>1764</v>
      </c>
      <c r="AF180">
        <v>44</v>
      </c>
      <c r="AG180" t="s">
        <v>1764</v>
      </c>
    </row>
    <row r="181" spans="19:33">
      <c r="S181" s="2311" t="s">
        <v>2989</v>
      </c>
      <c r="T181" s="2312">
        <v>0</v>
      </c>
      <c r="U181" s="2054" t="str">
        <f t="shared" si="29"/>
        <v>t / ha</v>
      </c>
      <c r="V181" s="2054">
        <v>1</v>
      </c>
      <c r="W181" s="3" t="s">
        <v>2987</v>
      </c>
      <c r="X181">
        <v>20</v>
      </c>
      <c r="Y181" t="s">
        <v>1764</v>
      </c>
      <c r="Z181">
        <v>45</v>
      </c>
      <c r="AA181" t="s">
        <v>1764</v>
      </c>
      <c r="AB181">
        <v>45</v>
      </c>
      <c r="AC181" t="s">
        <v>1764</v>
      </c>
      <c r="AD181">
        <v>45</v>
      </c>
      <c r="AE181" t="s">
        <v>1764</v>
      </c>
      <c r="AF181">
        <v>45</v>
      </c>
      <c r="AG181" t="s">
        <v>1764</v>
      </c>
    </row>
    <row r="182" spans="19:33">
      <c r="S182" s="2311" t="s">
        <v>2990</v>
      </c>
      <c r="T182" s="2312">
        <v>0</v>
      </c>
      <c r="U182" s="2054" t="str">
        <f t="shared" si="29"/>
        <v>t / ha</v>
      </c>
      <c r="V182" s="2054">
        <v>1</v>
      </c>
      <c r="W182" s="3" t="s">
        <v>2988</v>
      </c>
      <c r="X182">
        <v>60</v>
      </c>
      <c r="Y182" t="s">
        <v>1764</v>
      </c>
      <c r="Z182">
        <v>80</v>
      </c>
      <c r="AA182" t="s">
        <v>1764</v>
      </c>
      <c r="AB182">
        <v>80</v>
      </c>
      <c r="AC182" t="s">
        <v>1764</v>
      </c>
      <c r="AD182">
        <v>80</v>
      </c>
      <c r="AE182" t="s">
        <v>1764</v>
      </c>
      <c r="AF182">
        <v>80</v>
      </c>
      <c r="AG182" t="s">
        <v>1764</v>
      </c>
    </row>
    <row r="183" spans="19:33">
      <c r="S183" s="2311" t="s">
        <v>2991</v>
      </c>
      <c r="T183" s="2312">
        <v>0</v>
      </c>
      <c r="U183" s="2054" t="str">
        <f t="shared" si="29"/>
        <v>t / ha</v>
      </c>
      <c r="V183" s="2054">
        <v>1</v>
      </c>
      <c r="W183" s="3" t="s">
        <v>2989</v>
      </c>
      <c r="X183">
        <v>70</v>
      </c>
      <c r="Y183" t="s">
        <v>1764</v>
      </c>
      <c r="Z183">
        <v>110</v>
      </c>
      <c r="AA183" t="s">
        <v>1764</v>
      </c>
      <c r="AB183">
        <v>110</v>
      </c>
      <c r="AC183" t="s">
        <v>1764</v>
      </c>
      <c r="AD183">
        <v>110</v>
      </c>
      <c r="AE183" t="s">
        <v>1764</v>
      </c>
      <c r="AF183">
        <v>110</v>
      </c>
      <c r="AG183" t="s">
        <v>1764</v>
      </c>
    </row>
    <row r="184" spans="19:33">
      <c r="S184" s="2311" t="s">
        <v>2992</v>
      </c>
      <c r="T184" s="2312">
        <v>0</v>
      </c>
      <c r="U184" s="2054" t="str">
        <f t="shared" si="29"/>
        <v>t / ha</v>
      </c>
      <c r="V184" s="2054">
        <v>1</v>
      </c>
      <c r="W184" s="3" t="s">
        <v>2990</v>
      </c>
      <c r="X184">
        <v>80</v>
      </c>
      <c r="Y184" t="s">
        <v>1764</v>
      </c>
      <c r="Z184">
        <v>130</v>
      </c>
      <c r="AA184" t="s">
        <v>1764</v>
      </c>
      <c r="AB184">
        <v>130</v>
      </c>
      <c r="AC184" t="s">
        <v>1764</v>
      </c>
      <c r="AD184">
        <v>130</v>
      </c>
      <c r="AE184" t="s">
        <v>1764</v>
      </c>
      <c r="AF184">
        <v>130</v>
      </c>
      <c r="AG184" t="s">
        <v>1764</v>
      </c>
    </row>
    <row r="185" spans="19:33">
      <c r="S185" s="2311" t="s">
        <v>2993</v>
      </c>
      <c r="T185" s="2312">
        <v>0</v>
      </c>
      <c r="U185" s="2054" t="str">
        <f t="shared" si="29"/>
        <v>t / ha</v>
      </c>
      <c r="V185" s="2054">
        <v>1</v>
      </c>
      <c r="W185" s="3" t="s">
        <v>2991</v>
      </c>
      <c r="X185">
        <v>52</v>
      </c>
      <c r="Y185" t="s">
        <v>1764</v>
      </c>
      <c r="Z185">
        <v>88</v>
      </c>
      <c r="AA185" t="s">
        <v>1764</v>
      </c>
      <c r="AB185">
        <v>88</v>
      </c>
      <c r="AC185" t="s">
        <v>1764</v>
      </c>
      <c r="AD185">
        <v>88</v>
      </c>
      <c r="AE185" t="s">
        <v>1764</v>
      </c>
      <c r="AF185">
        <v>88</v>
      </c>
      <c r="AG185" t="s">
        <v>1764</v>
      </c>
    </row>
    <row r="186" spans="19:33">
      <c r="S186" s="2311" t="s">
        <v>3040</v>
      </c>
      <c r="T186" s="2312">
        <v>0</v>
      </c>
      <c r="U186" s="2054" t="str">
        <f t="shared" si="29"/>
        <v>t / ha</v>
      </c>
      <c r="V186" s="2054">
        <v>1</v>
      </c>
      <c r="W186" s="3" t="s">
        <v>2992</v>
      </c>
      <c r="X186">
        <v>40</v>
      </c>
      <c r="Y186" t="s">
        <v>1764</v>
      </c>
      <c r="Z186">
        <v>70</v>
      </c>
      <c r="AA186" t="s">
        <v>1764</v>
      </c>
      <c r="AB186">
        <v>70</v>
      </c>
      <c r="AC186" t="s">
        <v>1764</v>
      </c>
      <c r="AD186">
        <v>70</v>
      </c>
      <c r="AE186" t="s">
        <v>1764</v>
      </c>
      <c r="AF186">
        <v>70</v>
      </c>
      <c r="AG186" t="s">
        <v>1764</v>
      </c>
    </row>
    <row r="187" spans="19:33">
      <c r="S187" s="2311" t="s">
        <v>2994</v>
      </c>
      <c r="T187" s="2312">
        <v>0</v>
      </c>
      <c r="U187" s="2054" t="str">
        <f t="shared" si="29"/>
        <v>t / ha</v>
      </c>
      <c r="V187" s="2054">
        <v>1</v>
      </c>
      <c r="W187" s="3" t="s">
        <v>2993</v>
      </c>
      <c r="X187">
        <v>7</v>
      </c>
      <c r="Y187" t="s">
        <v>1764</v>
      </c>
      <c r="Z187">
        <v>13</v>
      </c>
      <c r="AA187" t="s">
        <v>1764</v>
      </c>
      <c r="AB187">
        <v>13</v>
      </c>
      <c r="AC187" t="s">
        <v>1764</v>
      </c>
      <c r="AD187">
        <v>13</v>
      </c>
      <c r="AE187" t="s">
        <v>1764</v>
      </c>
      <c r="AF187">
        <v>13</v>
      </c>
      <c r="AG187" t="s">
        <v>1764</v>
      </c>
    </row>
    <row r="188" spans="19:33">
      <c r="S188" s="2311" t="s">
        <v>2995</v>
      </c>
      <c r="T188" s="2312">
        <v>0</v>
      </c>
      <c r="U188" s="2054" t="str">
        <f t="shared" si="29"/>
        <v>t / ha</v>
      </c>
      <c r="V188" s="2054">
        <v>1</v>
      </c>
      <c r="W188" s="3" t="s">
        <v>3040</v>
      </c>
      <c r="X188">
        <v>8</v>
      </c>
      <c r="Y188" t="s">
        <v>1764</v>
      </c>
      <c r="Z188">
        <v>12</v>
      </c>
      <c r="AA188" t="s">
        <v>1764</v>
      </c>
      <c r="AB188">
        <v>12</v>
      </c>
      <c r="AC188" t="s">
        <v>1764</v>
      </c>
      <c r="AD188">
        <v>12</v>
      </c>
      <c r="AE188" t="s">
        <v>1764</v>
      </c>
      <c r="AF188">
        <v>12</v>
      </c>
      <c r="AG188" t="s">
        <v>1764</v>
      </c>
    </row>
    <row r="189" spans="19:33">
      <c r="S189" s="2311" t="s">
        <v>2996</v>
      </c>
      <c r="T189" s="2312">
        <v>0</v>
      </c>
      <c r="U189" s="2054" t="str">
        <f t="shared" si="29"/>
        <v>t / ha</v>
      </c>
      <c r="V189" s="2054">
        <v>1</v>
      </c>
      <c r="W189" s="3" t="s">
        <v>2994</v>
      </c>
      <c r="X189">
        <v>15</v>
      </c>
      <c r="Y189" t="s">
        <v>1764</v>
      </c>
      <c r="Z189">
        <v>20</v>
      </c>
      <c r="AA189" t="s">
        <v>1764</v>
      </c>
      <c r="AB189">
        <v>20</v>
      </c>
      <c r="AC189" t="s">
        <v>1764</v>
      </c>
      <c r="AD189">
        <v>20</v>
      </c>
      <c r="AE189" t="s">
        <v>1764</v>
      </c>
      <c r="AF189">
        <v>20</v>
      </c>
      <c r="AG189" t="s">
        <v>1764</v>
      </c>
    </row>
    <row r="190" spans="19:33">
      <c r="S190" s="2311" t="s">
        <v>3026</v>
      </c>
      <c r="T190" s="2312">
        <v>0</v>
      </c>
      <c r="U190" s="2054" t="str">
        <f t="shared" si="29"/>
        <v>t / ha</v>
      </c>
      <c r="V190" s="2054">
        <v>1</v>
      </c>
      <c r="W190" s="3" t="s">
        <v>2995</v>
      </c>
      <c r="X190">
        <v>20</v>
      </c>
      <c r="Y190" t="s">
        <v>1764</v>
      </c>
      <c r="Z190">
        <v>50</v>
      </c>
      <c r="AA190" t="s">
        <v>1764</v>
      </c>
      <c r="AB190">
        <v>50</v>
      </c>
      <c r="AC190" t="s">
        <v>1764</v>
      </c>
      <c r="AD190">
        <v>50</v>
      </c>
      <c r="AE190" t="s">
        <v>1764</v>
      </c>
      <c r="AF190">
        <v>50</v>
      </c>
      <c r="AG190" t="s">
        <v>1764</v>
      </c>
    </row>
    <row r="191" spans="19:33">
      <c r="S191" s="2311" t="s">
        <v>2997</v>
      </c>
      <c r="T191" s="2312">
        <v>0</v>
      </c>
      <c r="U191" s="2054" t="str">
        <f t="shared" si="29"/>
        <v>t / ha</v>
      </c>
      <c r="V191" s="2054">
        <v>1</v>
      </c>
      <c r="W191" s="3" t="s">
        <v>2996</v>
      </c>
      <c r="X191">
        <v>40</v>
      </c>
      <c r="Y191" t="s">
        <v>1764</v>
      </c>
      <c r="Z191">
        <v>50</v>
      </c>
      <c r="AA191" t="s">
        <v>1764</v>
      </c>
      <c r="AB191">
        <v>50</v>
      </c>
      <c r="AC191" t="s">
        <v>1764</v>
      </c>
      <c r="AD191">
        <v>50</v>
      </c>
      <c r="AE191" t="s">
        <v>1764</v>
      </c>
      <c r="AF191">
        <v>50</v>
      </c>
      <c r="AG191" t="s">
        <v>1764</v>
      </c>
    </row>
    <row r="192" spans="19:33">
      <c r="S192" s="2311" t="s">
        <v>2998</v>
      </c>
      <c r="T192" s="2312">
        <v>0</v>
      </c>
      <c r="U192" s="2054" t="str">
        <f t="shared" si="29"/>
        <v>t / ha</v>
      </c>
      <c r="V192" s="2054">
        <v>1</v>
      </c>
      <c r="W192" s="3" t="s">
        <v>3026</v>
      </c>
      <c r="X192">
        <v>40</v>
      </c>
      <c r="Y192" t="s">
        <v>1764</v>
      </c>
      <c r="Z192">
        <v>50</v>
      </c>
      <c r="AA192" t="s">
        <v>1764</v>
      </c>
      <c r="AB192">
        <v>50</v>
      </c>
      <c r="AC192" t="s">
        <v>1764</v>
      </c>
      <c r="AD192">
        <v>50</v>
      </c>
      <c r="AE192" t="s">
        <v>1764</v>
      </c>
      <c r="AF192">
        <v>50</v>
      </c>
      <c r="AG192" t="s">
        <v>1764</v>
      </c>
    </row>
    <row r="193" spans="19:33">
      <c r="S193" s="2311" t="s">
        <v>2999</v>
      </c>
      <c r="T193" s="2312">
        <v>0</v>
      </c>
      <c r="U193" s="2054" t="str">
        <f t="shared" si="29"/>
        <v>t / ha</v>
      </c>
      <c r="V193" s="2054">
        <v>1</v>
      </c>
      <c r="W193" s="3" t="s">
        <v>2997</v>
      </c>
      <c r="X193">
        <v>35</v>
      </c>
      <c r="Y193" t="s">
        <v>1764</v>
      </c>
      <c r="Z193">
        <v>45</v>
      </c>
      <c r="AA193" t="s">
        <v>1764</v>
      </c>
      <c r="AB193">
        <v>45</v>
      </c>
      <c r="AC193" t="s">
        <v>1764</v>
      </c>
      <c r="AD193">
        <v>45</v>
      </c>
      <c r="AE193" t="s">
        <v>1764</v>
      </c>
      <c r="AF193">
        <v>45</v>
      </c>
      <c r="AG193" t="s">
        <v>1764</v>
      </c>
    </row>
    <row r="194" spans="19:33">
      <c r="S194" s="2311" t="s">
        <v>3000</v>
      </c>
      <c r="T194" s="2312">
        <v>0</v>
      </c>
      <c r="U194" s="2054" t="str">
        <f t="shared" si="29"/>
        <v>t / ha</v>
      </c>
      <c r="V194" s="2054">
        <v>1</v>
      </c>
      <c r="W194" s="3" t="s">
        <v>2998</v>
      </c>
      <c r="X194">
        <v>30</v>
      </c>
      <c r="Y194" t="s">
        <v>1764</v>
      </c>
      <c r="Z194">
        <v>60</v>
      </c>
      <c r="AA194" t="s">
        <v>1764</v>
      </c>
      <c r="AB194">
        <v>60</v>
      </c>
      <c r="AC194" t="s">
        <v>1764</v>
      </c>
      <c r="AD194">
        <v>60</v>
      </c>
      <c r="AE194" t="s">
        <v>1764</v>
      </c>
      <c r="AF194">
        <v>60</v>
      </c>
      <c r="AG194" t="s">
        <v>1764</v>
      </c>
    </row>
    <row r="195" spans="19:33">
      <c r="S195" s="2311" t="s">
        <v>3001</v>
      </c>
      <c r="T195" s="2312">
        <v>0</v>
      </c>
      <c r="U195" s="2054" t="str">
        <f t="shared" si="29"/>
        <v>t / ha</v>
      </c>
      <c r="V195" s="2054">
        <v>1</v>
      </c>
      <c r="W195" s="3" t="s">
        <v>2999</v>
      </c>
      <c r="X195">
        <v>35</v>
      </c>
      <c r="Y195" t="s">
        <v>1764</v>
      </c>
      <c r="Z195">
        <v>45</v>
      </c>
      <c r="AA195" t="s">
        <v>1764</v>
      </c>
      <c r="AB195">
        <v>45</v>
      </c>
      <c r="AC195" t="s">
        <v>1764</v>
      </c>
      <c r="AD195">
        <v>45</v>
      </c>
      <c r="AE195" t="s">
        <v>1764</v>
      </c>
      <c r="AF195">
        <v>45</v>
      </c>
      <c r="AG195" t="s">
        <v>1764</v>
      </c>
    </row>
    <row r="196" spans="19:33">
      <c r="S196" s="2311" t="s">
        <v>3041</v>
      </c>
      <c r="T196" s="2312">
        <v>0</v>
      </c>
      <c r="U196" s="2054" t="str">
        <f t="shared" si="29"/>
        <v>t / ha</v>
      </c>
      <c r="V196" s="2054">
        <v>1</v>
      </c>
      <c r="W196" s="3" t="s">
        <v>3000</v>
      </c>
      <c r="X196">
        <v>60</v>
      </c>
      <c r="Y196" t="s">
        <v>1764</v>
      </c>
      <c r="Z196">
        <v>110</v>
      </c>
      <c r="AA196" t="s">
        <v>1764</v>
      </c>
      <c r="AB196">
        <v>110</v>
      </c>
      <c r="AC196" t="s">
        <v>1764</v>
      </c>
      <c r="AD196">
        <v>110</v>
      </c>
      <c r="AE196" t="s">
        <v>1764</v>
      </c>
      <c r="AF196">
        <v>110</v>
      </c>
      <c r="AG196" t="s">
        <v>1764</v>
      </c>
    </row>
    <row r="197" spans="19:33">
      <c r="S197" s="2311" t="s">
        <v>3002</v>
      </c>
      <c r="T197" s="2312">
        <v>0</v>
      </c>
      <c r="U197" s="2054" t="str">
        <f t="shared" si="29"/>
        <v>t / ha</v>
      </c>
      <c r="V197" s="2054">
        <v>1</v>
      </c>
      <c r="W197" s="3" t="s">
        <v>3001</v>
      </c>
      <c r="X197">
        <v>15</v>
      </c>
      <c r="Y197" t="s">
        <v>1764</v>
      </c>
      <c r="Z197">
        <v>35</v>
      </c>
      <c r="AA197" t="s">
        <v>1764</v>
      </c>
      <c r="AB197">
        <v>35</v>
      </c>
      <c r="AC197" t="s">
        <v>1764</v>
      </c>
      <c r="AD197">
        <v>35</v>
      </c>
      <c r="AE197" t="s">
        <v>1764</v>
      </c>
      <c r="AF197">
        <v>35</v>
      </c>
      <c r="AG197" t="s">
        <v>1764</v>
      </c>
    </row>
    <row r="198" spans="19:33">
      <c r="S198" s="2311" t="s">
        <v>3003</v>
      </c>
      <c r="T198" s="2312">
        <v>0</v>
      </c>
      <c r="U198" s="2054" t="str">
        <f t="shared" si="29"/>
        <v>t / ha</v>
      </c>
      <c r="V198" s="2054">
        <v>1</v>
      </c>
      <c r="W198" s="3" t="s">
        <v>3041</v>
      </c>
      <c r="X198">
        <v>15</v>
      </c>
      <c r="Y198" t="s">
        <v>1764</v>
      </c>
      <c r="Z198">
        <v>25</v>
      </c>
      <c r="AA198" t="s">
        <v>1764</v>
      </c>
      <c r="AB198">
        <v>25</v>
      </c>
      <c r="AC198" t="s">
        <v>1764</v>
      </c>
      <c r="AD198">
        <v>25</v>
      </c>
      <c r="AE198" t="s">
        <v>1764</v>
      </c>
      <c r="AF198">
        <v>25</v>
      </c>
      <c r="AG198" t="s">
        <v>1764</v>
      </c>
    </row>
    <row r="199" spans="19:33">
      <c r="S199" s="2311" t="s">
        <v>3004</v>
      </c>
      <c r="T199" s="2312">
        <v>0</v>
      </c>
      <c r="U199" s="2054" t="str">
        <f t="shared" si="29"/>
        <v>t / ha</v>
      </c>
      <c r="V199" s="2054">
        <v>1</v>
      </c>
      <c r="W199" s="3" t="s">
        <v>3002</v>
      </c>
      <c r="X199">
        <v>25</v>
      </c>
      <c r="Y199" t="s">
        <v>1764</v>
      </c>
      <c r="Z199">
        <v>50</v>
      </c>
      <c r="AA199" t="s">
        <v>1764</v>
      </c>
      <c r="AB199">
        <v>50</v>
      </c>
      <c r="AC199" t="s">
        <v>1764</v>
      </c>
      <c r="AD199">
        <v>50</v>
      </c>
      <c r="AE199" t="s">
        <v>1764</v>
      </c>
      <c r="AF199">
        <v>50</v>
      </c>
      <c r="AG199" t="s">
        <v>1764</v>
      </c>
    </row>
    <row r="200" spans="19:33">
      <c r="S200" s="2311" t="s">
        <v>3005</v>
      </c>
      <c r="T200" s="2312">
        <v>0</v>
      </c>
      <c r="U200" s="2054" t="str">
        <f t="shared" si="29"/>
        <v>t / ha</v>
      </c>
      <c r="V200" s="2054">
        <v>1</v>
      </c>
      <c r="W200" s="3" t="s">
        <v>3003</v>
      </c>
      <c r="X200">
        <v>12</v>
      </c>
      <c r="Y200" t="s">
        <v>1764</v>
      </c>
      <c r="Z200">
        <v>20</v>
      </c>
      <c r="AA200" t="s">
        <v>1764</v>
      </c>
      <c r="AB200">
        <v>20</v>
      </c>
      <c r="AC200" t="s">
        <v>1764</v>
      </c>
      <c r="AD200">
        <v>20</v>
      </c>
      <c r="AE200" t="s">
        <v>1764</v>
      </c>
      <c r="AF200">
        <v>20</v>
      </c>
      <c r="AG200" t="s">
        <v>1764</v>
      </c>
    </row>
    <row r="201" spans="19:33">
      <c r="S201" s="2311" t="s">
        <v>3006</v>
      </c>
      <c r="T201" s="2312">
        <v>0</v>
      </c>
      <c r="U201" s="2054" t="str">
        <f t="shared" si="29"/>
        <v>t / ha</v>
      </c>
      <c r="V201" s="2054">
        <v>1</v>
      </c>
      <c r="W201" s="3" t="s">
        <v>3004</v>
      </c>
      <c r="X201">
        <v>0</v>
      </c>
      <c r="Y201" t="s">
        <v>1764</v>
      </c>
      <c r="Z201">
        <v>0</v>
      </c>
      <c r="AA201" t="s">
        <v>1764</v>
      </c>
      <c r="AB201">
        <v>0</v>
      </c>
      <c r="AC201" t="s">
        <v>1764</v>
      </c>
      <c r="AD201">
        <v>0</v>
      </c>
      <c r="AE201" t="s">
        <v>1764</v>
      </c>
      <c r="AF201">
        <v>0</v>
      </c>
      <c r="AG201" t="s">
        <v>1764</v>
      </c>
    </row>
    <row r="202" spans="19:33">
      <c r="S202" s="2311" t="s">
        <v>3007</v>
      </c>
      <c r="T202" s="2312">
        <v>0</v>
      </c>
      <c r="U202" s="2054" t="str">
        <f t="shared" si="29"/>
        <v>t / ha</v>
      </c>
      <c r="V202" s="2054">
        <v>1</v>
      </c>
      <c r="W202" s="3" t="s">
        <v>3005</v>
      </c>
      <c r="X202">
        <v>35</v>
      </c>
      <c r="Y202" t="s">
        <v>1764</v>
      </c>
      <c r="Z202">
        <v>70</v>
      </c>
      <c r="AA202" t="s">
        <v>1764</v>
      </c>
      <c r="AB202">
        <v>70</v>
      </c>
      <c r="AC202" t="s">
        <v>1764</v>
      </c>
      <c r="AD202">
        <v>70</v>
      </c>
      <c r="AE202" t="s">
        <v>1764</v>
      </c>
      <c r="AF202">
        <v>70</v>
      </c>
      <c r="AG202" t="s">
        <v>1764</v>
      </c>
    </row>
    <row r="203" spans="19:33">
      <c r="S203" s="2311" t="s">
        <v>3008</v>
      </c>
      <c r="T203" s="2312">
        <v>0</v>
      </c>
      <c r="U203" s="2054" t="str">
        <f t="shared" si="29"/>
        <v>t / ha</v>
      </c>
      <c r="V203" s="2054">
        <v>1</v>
      </c>
      <c r="W203" s="3" t="s">
        <v>3006</v>
      </c>
      <c r="X203">
        <v>35</v>
      </c>
      <c r="Y203" t="s">
        <v>1764</v>
      </c>
      <c r="Z203">
        <v>70</v>
      </c>
      <c r="AA203" t="s">
        <v>1764</v>
      </c>
      <c r="AB203">
        <v>70</v>
      </c>
      <c r="AC203" t="s">
        <v>1764</v>
      </c>
      <c r="AD203">
        <v>70</v>
      </c>
      <c r="AE203" t="s">
        <v>1764</v>
      </c>
      <c r="AF203">
        <v>70</v>
      </c>
      <c r="AG203" t="s">
        <v>1764</v>
      </c>
    </row>
    <row r="204" spans="19:33">
      <c r="S204" s="2311" t="s">
        <v>3009</v>
      </c>
      <c r="T204" s="2312">
        <v>0</v>
      </c>
      <c r="U204" s="2054" t="str">
        <f t="shared" ref="U204:U267" si="30">IF($T204=0,"t / ha",IF($T204=1,"",IF($T204=2,"m3 / ha","")))</f>
        <v>t / ha</v>
      </c>
      <c r="V204" s="2054">
        <v>1</v>
      </c>
      <c r="W204" s="3" t="s">
        <v>3007</v>
      </c>
      <c r="X204">
        <v>35</v>
      </c>
      <c r="Y204" t="s">
        <v>1764</v>
      </c>
      <c r="Z204">
        <v>70</v>
      </c>
      <c r="AA204" t="s">
        <v>1764</v>
      </c>
      <c r="AB204">
        <v>70</v>
      </c>
      <c r="AC204" t="s">
        <v>1764</v>
      </c>
      <c r="AD204">
        <v>70</v>
      </c>
      <c r="AE204" t="s">
        <v>1764</v>
      </c>
      <c r="AF204">
        <v>70</v>
      </c>
      <c r="AG204" t="s">
        <v>1764</v>
      </c>
    </row>
    <row r="205" spans="19:33">
      <c r="S205" s="2311" t="s">
        <v>3010</v>
      </c>
      <c r="T205" s="2312">
        <v>0</v>
      </c>
      <c r="U205" s="2054" t="str">
        <f t="shared" si="30"/>
        <v>t / ha</v>
      </c>
      <c r="V205" s="2054">
        <v>1</v>
      </c>
      <c r="W205" s="3" t="s">
        <v>3008</v>
      </c>
      <c r="X205">
        <v>40</v>
      </c>
      <c r="Y205" t="s">
        <v>1764</v>
      </c>
      <c r="Z205">
        <v>70</v>
      </c>
      <c r="AA205" t="s">
        <v>1764</v>
      </c>
      <c r="AB205">
        <v>70</v>
      </c>
      <c r="AC205" t="s">
        <v>1764</v>
      </c>
      <c r="AD205">
        <v>70</v>
      </c>
      <c r="AE205" t="s">
        <v>1764</v>
      </c>
      <c r="AF205">
        <v>70</v>
      </c>
      <c r="AG205" t="s">
        <v>1764</v>
      </c>
    </row>
    <row r="206" spans="19:33">
      <c r="S206" s="2311" t="s">
        <v>3027</v>
      </c>
      <c r="T206" s="2312">
        <v>0</v>
      </c>
      <c r="U206" s="2054" t="str">
        <f t="shared" si="30"/>
        <v>t / ha</v>
      </c>
      <c r="V206" s="2054">
        <v>1</v>
      </c>
      <c r="W206" s="3" t="s">
        <v>3009</v>
      </c>
      <c r="X206">
        <v>40</v>
      </c>
      <c r="Y206" t="s">
        <v>1764</v>
      </c>
      <c r="Z206">
        <v>70</v>
      </c>
      <c r="AA206" t="s">
        <v>1764</v>
      </c>
      <c r="AB206">
        <v>70</v>
      </c>
      <c r="AC206" t="s">
        <v>1764</v>
      </c>
      <c r="AD206">
        <v>70</v>
      </c>
      <c r="AE206" t="s">
        <v>1764</v>
      </c>
      <c r="AF206">
        <v>70</v>
      </c>
      <c r="AG206" t="s">
        <v>1764</v>
      </c>
    </row>
    <row r="207" spans="19:33">
      <c r="S207" s="2311" t="s">
        <v>3011</v>
      </c>
      <c r="T207" s="2312">
        <v>0</v>
      </c>
      <c r="U207" s="2054" t="str">
        <f t="shared" si="30"/>
        <v>t / ha</v>
      </c>
      <c r="V207" s="2054">
        <v>1</v>
      </c>
      <c r="W207" s="3" t="s">
        <v>3010</v>
      </c>
      <c r="X207">
        <v>12.5</v>
      </c>
      <c r="Y207" t="s">
        <v>1764</v>
      </c>
      <c r="Z207">
        <v>35</v>
      </c>
      <c r="AA207" t="s">
        <v>1764</v>
      </c>
      <c r="AB207">
        <v>35</v>
      </c>
      <c r="AC207" t="s">
        <v>1764</v>
      </c>
      <c r="AD207">
        <v>35</v>
      </c>
      <c r="AE207" t="s">
        <v>1764</v>
      </c>
      <c r="AF207">
        <v>35</v>
      </c>
      <c r="AG207" t="s">
        <v>1764</v>
      </c>
    </row>
    <row r="208" spans="19:33">
      <c r="S208" s="2311" t="s">
        <v>3012</v>
      </c>
      <c r="T208" s="2312">
        <v>0</v>
      </c>
      <c r="U208" s="2054" t="str">
        <f t="shared" si="30"/>
        <v>t / ha</v>
      </c>
      <c r="V208" s="2054">
        <v>1</v>
      </c>
      <c r="W208" s="3" t="s">
        <v>3027</v>
      </c>
      <c r="X208">
        <v>12.5</v>
      </c>
      <c r="Y208" t="s">
        <v>1764</v>
      </c>
      <c r="Z208">
        <v>35</v>
      </c>
      <c r="AA208" t="s">
        <v>1764</v>
      </c>
      <c r="AB208">
        <v>35</v>
      </c>
      <c r="AC208" t="s">
        <v>1764</v>
      </c>
      <c r="AD208">
        <v>35</v>
      </c>
      <c r="AE208" t="s">
        <v>1764</v>
      </c>
      <c r="AF208">
        <v>35</v>
      </c>
      <c r="AG208" t="s">
        <v>1764</v>
      </c>
    </row>
    <row r="209" spans="19:33">
      <c r="S209" s="2311" t="s">
        <v>3013</v>
      </c>
      <c r="T209" s="2312">
        <v>0</v>
      </c>
      <c r="U209" s="2054" t="str">
        <f t="shared" si="30"/>
        <v>t / ha</v>
      </c>
      <c r="V209" s="2054">
        <v>1</v>
      </c>
      <c r="W209" s="3" t="s">
        <v>3011</v>
      </c>
      <c r="X209">
        <v>20</v>
      </c>
      <c r="Y209" t="s">
        <v>1764</v>
      </c>
      <c r="Z209">
        <v>35</v>
      </c>
      <c r="AA209" t="s">
        <v>1764</v>
      </c>
      <c r="AB209">
        <v>35</v>
      </c>
      <c r="AC209" t="s">
        <v>1764</v>
      </c>
      <c r="AD209">
        <v>35</v>
      </c>
      <c r="AE209" t="s">
        <v>1764</v>
      </c>
      <c r="AF209">
        <v>35</v>
      </c>
      <c r="AG209" t="s">
        <v>1764</v>
      </c>
    </row>
    <row r="210" spans="19:33">
      <c r="S210" s="2311" t="s">
        <v>3028</v>
      </c>
      <c r="T210" s="2312">
        <v>0</v>
      </c>
      <c r="U210" s="2054" t="str">
        <f t="shared" si="30"/>
        <v>t / ha</v>
      </c>
      <c r="V210" s="2054">
        <v>1</v>
      </c>
      <c r="W210" s="3" t="s">
        <v>3012</v>
      </c>
      <c r="X210">
        <v>35</v>
      </c>
      <c r="Y210" t="s">
        <v>1764</v>
      </c>
      <c r="Z210">
        <v>80</v>
      </c>
      <c r="AA210" t="s">
        <v>1764</v>
      </c>
      <c r="AB210">
        <v>80</v>
      </c>
      <c r="AC210" t="s">
        <v>1764</v>
      </c>
      <c r="AD210">
        <v>80</v>
      </c>
      <c r="AE210" t="s">
        <v>1764</v>
      </c>
      <c r="AF210">
        <v>80</v>
      </c>
      <c r="AG210" t="s">
        <v>1764</v>
      </c>
    </row>
    <row r="211" spans="19:33">
      <c r="S211" s="2311" t="s">
        <v>3014</v>
      </c>
      <c r="T211" s="2312">
        <v>0</v>
      </c>
      <c r="U211" s="2054" t="str">
        <f t="shared" si="30"/>
        <v>t / ha</v>
      </c>
      <c r="V211" s="2054">
        <v>1</v>
      </c>
      <c r="W211" s="3" t="s">
        <v>3013</v>
      </c>
      <c r="X211">
        <v>20</v>
      </c>
      <c r="Y211" t="s">
        <v>1764</v>
      </c>
      <c r="Z211">
        <v>65</v>
      </c>
      <c r="AA211" t="s">
        <v>1764</v>
      </c>
      <c r="AB211">
        <v>65</v>
      </c>
      <c r="AC211" t="s">
        <v>1764</v>
      </c>
      <c r="AD211">
        <v>65</v>
      </c>
      <c r="AE211" t="s">
        <v>1764</v>
      </c>
      <c r="AF211">
        <v>65</v>
      </c>
      <c r="AG211" t="s">
        <v>1764</v>
      </c>
    </row>
    <row r="212" spans="19:33">
      <c r="S212" s="2311" t="s">
        <v>3015</v>
      </c>
      <c r="T212" s="2312">
        <v>0</v>
      </c>
      <c r="U212" s="2054" t="str">
        <f t="shared" si="30"/>
        <v>t / ha</v>
      </c>
      <c r="V212" s="2054">
        <v>1</v>
      </c>
      <c r="W212" s="3" t="s">
        <v>3028</v>
      </c>
      <c r="X212">
        <v>8</v>
      </c>
      <c r="Y212" t="s">
        <v>1764</v>
      </c>
      <c r="Z212">
        <v>12</v>
      </c>
      <c r="AA212" t="s">
        <v>1764</v>
      </c>
      <c r="AB212">
        <v>12</v>
      </c>
      <c r="AC212" t="s">
        <v>1764</v>
      </c>
      <c r="AD212">
        <v>12</v>
      </c>
      <c r="AE212" t="s">
        <v>1764</v>
      </c>
      <c r="AF212">
        <v>12</v>
      </c>
      <c r="AG212" t="s">
        <v>1764</v>
      </c>
    </row>
    <row r="213" spans="19:33">
      <c r="S213" s="2311" t="s">
        <v>3016</v>
      </c>
      <c r="T213" s="2312">
        <v>0</v>
      </c>
      <c r="U213" s="2054" t="str">
        <f t="shared" si="30"/>
        <v>t / ha</v>
      </c>
      <c r="V213" s="2054">
        <v>1</v>
      </c>
      <c r="W213" s="3" t="s">
        <v>3014</v>
      </c>
      <c r="X213">
        <v>1.5</v>
      </c>
      <c r="Y213" t="s">
        <v>1764</v>
      </c>
      <c r="Z213">
        <v>2</v>
      </c>
      <c r="AA213" t="s">
        <v>1764</v>
      </c>
      <c r="AB213">
        <v>2</v>
      </c>
      <c r="AC213" t="s">
        <v>1764</v>
      </c>
      <c r="AD213">
        <v>2</v>
      </c>
      <c r="AE213" t="s">
        <v>1764</v>
      </c>
      <c r="AF213">
        <v>2</v>
      </c>
      <c r="AG213" t="s">
        <v>1764</v>
      </c>
    </row>
    <row r="214" spans="19:33">
      <c r="S214" s="2311" t="s">
        <v>3017</v>
      </c>
      <c r="T214" s="2312">
        <v>0</v>
      </c>
      <c r="U214" s="2054" t="str">
        <f t="shared" si="30"/>
        <v>t / ha</v>
      </c>
      <c r="V214" s="2054">
        <v>1</v>
      </c>
      <c r="W214" s="3" t="s">
        <v>3015</v>
      </c>
      <c r="X214">
        <v>6</v>
      </c>
      <c r="Y214" t="s">
        <v>1764</v>
      </c>
      <c r="Z214">
        <v>8</v>
      </c>
      <c r="AA214" t="s">
        <v>1764</v>
      </c>
      <c r="AB214">
        <v>8</v>
      </c>
      <c r="AC214" t="s">
        <v>1764</v>
      </c>
      <c r="AD214">
        <v>8</v>
      </c>
      <c r="AE214" t="s">
        <v>1764</v>
      </c>
      <c r="AF214">
        <v>8</v>
      </c>
      <c r="AG214" t="s">
        <v>1764</v>
      </c>
    </row>
    <row r="215" spans="19:33">
      <c r="S215" s="2311" t="s">
        <v>3018</v>
      </c>
      <c r="T215" s="2312">
        <v>0</v>
      </c>
      <c r="U215" s="2054" t="str">
        <f t="shared" si="30"/>
        <v>t / ha</v>
      </c>
      <c r="V215" s="2054">
        <v>1</v>
      </c>
      <c r="W215" s="3" t="s">
        <v>3016</v>
      </c>
      <c r="X215">
        <v>20</v>
      </c>
      <c r="Y215" t="s">
        <v>1764</v>
      </c>
      <c r="Z215">
        <v>65</v>
      </c>
      <c r="AA215" t="s">
        <v>1764</v>
      </c>
      <c r="AB215">
        <v>65</v>
      </c>
      <c r="AC215" t="s">
        <v>1764</v>
      </c>
      <c r="AD215">
        <v>65</v>
      </c>
      <c r="AE215" t="s">
        <v>1764</v>
      </c>
      <c r="AF215">
        <v>65</v>
      </c>
      <c r="AG215" t="s">
        <v>1764</v>
      </c>
    </row>
    <row r="216" spans="19:33">
      <c r="S216" s="2311" t="s">
        <v>3042</v>
      </c>
      <c r="T216" s="2312">
        <v>0</v>
      </c>
      <c r="U216" s="2054" t="str">
        <f t="shared" si="30"/>
        <v>t / ha</v>
      </c>
      <c r="V216" s="2054">
        <v>1</v>
      </c>
      <c r="W216" s="3" t="s">
        <v>3017</v>
      </c>
      <c r="X216">
        <v>15</v>
      </c>
      <c r="Y216" t="s">
        <v>1764</v>
      </c>
      <c r="Z216">
        <v>25</v>
      </c>
      <c r="AA216" t="s">
        <v>1764</v>
      </c>
      <c r="AB216">
        <v>25</v>
      </c>
      <c r="AC216" t="s">
        <v>1764</v>
      </c>
      <c r="AD216">
        <v>25</v>
      </c>
      <c r="AE216" t="s">
        <v>1764</v>
      </c>
      <c r="AF216">
        <v>25</v>
      </c>
      <c r="AG216" t="s">
        <v>1764</v>
      </c>
    </row>
    <row r="217" spans="19:33">
      <c r="S217" s="2311" t="s">
        <v>3019</v>
      </c>
      <c r="T217" s="2312">
        <v>0</v>
      </c>
      <c r="U217" s="2054" t="str">
        <f t="shared" si="30"/>
        <v>t / ha</v>
      </c>
      <c r="V217" s="2054">
        <v>1</v>
      </c>
      <c r="W217" s="3" t="s">
        <v>3018</v>
      </c>
      <c r="X217">
        <v>20</v>
      </c>
      <c r="Y217" t="s">
        <v>1764</v>
      </c>
      <c r="Z217">
        <v>30</v>
      </c>
      <c r="AA217" t="s">
        <v>1764</v>
      </c>
      <c r="AB217">
        <v>30</v>
      </c>
      <c r="AC217" t="s">
        <v>1764</v>
      </c>
      <c r="AD217">
        <v>30</v>
      </c>
      <c r="AE217" t="s">
        <v>1764</v>
      </c>
      <c r="AF217">
        <v>30</v>
      </c>
      <c r="AG217" t="s">
        <v>1764</v>
      </c>
    </row>
    <row r="218" spans="19:33">
      <c r="S218" s="2311" t="s">
        <v>3020</v>
      </c>
      <c r="T218" s="2312">
        <v>0</v>
      </c>
      <c r="U218" s="2054" t="str">
        <f t="shared" si="30"/>
        <v>t / ha</v>
      </c>
      <c r="V218" s="2054">
        <v>1</v>
      </c>
      <c r="W218" s="3" t="s">
        <v>3042</v>
      </c>
      <c r="X218">
        <v>25</v>
      </c>
      <c r="Y218" t="s">
        <v>1764</v>
      </c>
      <c r="Z218">
        <v>35</v>
      </c>
      <c r="AA218" t="s">
        <v>1764</v>
      </c>
      <c r="AB218">
        <v>35</v>
      </c>
      <c r="AC218" t="s">
        <v>1764</v>
      </c>
      <c r="AD218">
        <v>35</v>
      </c>
      <c r="AE218" t="s">
        <v>1764</v>
      </c>
      <c r="AF218">
        <v>35</v>
      </c>
      <c r="AG218" t="s">
        <v>1764</v>
      </c>
    </row>
    <row r="219" spans="19:33">
      <c r="S219" s="2311" t="s">
        <v>3043</v>
      </c>
      <c r="T219" s="2312">
        <v>0</v>
      </c>
      <c r="U219" s="2054" t="str">
        <f t="shared" si="30"/>
        <v>t / ha</v>
      </c>
      <c r="V219" s="2054">
        <v>1</v>
      </c>
      <c r="W219" s="3" t="s">
        <v>3019</v>
      </c>
      <c r="X219">
        <v>20</v>
      </c>
      <c r="Y219" t="s">
        <v>1764</v>
      </c>
      <c r="Z219">
        <v>20</v>
      </c>
      <c r="AA219" t="s">
        <v>1764</v>
      </c>
      <c r="AB219">
        <v>20</v>
      </c>
      <c r="AC219" t="s">
        <v>1764</v>
      </c>
      <c r="AD219">
        <v>20</v>
      </c>
      <c r="AE219" t="s">
        <v>1764</v>
      </c>
      <c r="AF219">
        <v>20</v>
      </c>
      <c r="AG219" t="s">
        <v>1764</v>
      </c>
    </row>
    <row r="220" spans="19:33">
      <c r="S220" s="2311" t="s">
        <v>3021</v>
      </c>
      <c r="T220" s="2312">
        <v>0</v>
      </c>
      <c r="U220" s="2054" t="str">
        <f t="shared" si="30"/>
        <v>t / ha</v>
      </c>
      <c r="V220" s="2054">
        <v>1</v>
      </c>
      <c r="W220" s="3" t="s">
        <v>3020</v>
      </c>
      <c r="X220">
        <v>1.5</v>
      </c>
      <c r="Y220" t="s">
        <v>1764</v>
      </c>
      <c r="Z220">
        <v>2</v>
      </c>
      <c r="AA220" t="s">
        <v>1764</v>
      </c>
      <c r="AB220">
        <v>2</v>
      </c>
      <c r="AC220" t="s">
        <v>1764</v>
      </c>
      <c r="AD220">
        <v>2</v>
      </c>
      <c r="AE220" t="s">
        <v>1764</v>
      </c>
      <c r="AF220">
        <v>2</v>
      </c>
      <c r="AG220" t="s">
        <v>1764</v>
      </c>
    </row>
    <row r="221" spans="19:33">
      <c r="S221" s="2311" t="s">
        <v>3022</v>
      </c>
      <c r="T221" s="2312">
        <v>0</v>
      </c>
      <c r="U221" s="2054" t="str">
        <f t="shared" si="30"/>
        <v>t / ha</v>
      </c>
      <c r="V221" s="2054">
        <v>1</v>
      </c>
      <c r="W221" s="3" t="s">
        <v>3043</v>
      </c>
      <c r="X221">
        <v>6</v>
      </c>
      <c r="Y221" t="s">
        <v>1764</v>
      </c>
      <c r="Z221">
        <v>6</v>
      </c>
      <c r="AA221" t="s">
        <v>1764</v>
      </c>
      <c r="AB221">
        <v>6</v>
      </c>
      <c r="AC221" t="s">
        <v>1764</v>
      </c>
      <c r="AD221">
        <v>6</v>
      </c>
      <c r="AE221" t="s">
        <v>1764</v>
      </c>
      <c r="AF221">
        <v>6</v>
      </c>
      <c r="AG221" t="s">
        <v>1764</v>
      </c>
    </row>
    <row r="222" spans="19:33">
      <c r="S222" s="2311" t="s">
        <v>3023</v>
      </c>
      <c r="T222" s="2312">
        <v>0</v>
      </c>
      <c r="U222" s="2054" t="str">
        <f t="shared" si="30"/>
        <v>t / ha</v>
      </c>
      <c r="V222" s="2054">
        <v>1</v>
      </c>
      <c r="W222" s="3" t="s">
        <v>3021</v>
      </c>
      <c r="X222">
        <v>30</v>
      </c>
      <c r="Y222" t="s">
        <v>1764</v>
      </c>
      <c r="Z222">
        <v>70</v>
      </c>
      <c r="AA222" t="s">
        <v>1764</v>
      </c>
      <c r="AB222">
        <v>70</v>
      </c>
      <c r="AC222" t="s">
        <v>1764</v>
      </c>
      <c r="AD222">
        <v>70</v>
      </c>
      <c r="AE222" t="s">
        <v>1764</v>
      </c>
      <c r="AF222">
        <v>70</v>
      </c>
      <c r="AG222" t="s">
        <v>1764</v>
      </c>
    </row>
    <row r="223" spans="19:33">
      <c r="S223" s="2311" t="s">
        <v>3024</v>
      </c>
      <c r="T223" s="2312">
        <v>0</v>
      </c>
      <c r="U223" s="2054" t="str">
        <f t="shared" si="30"/>
        <v>t / ha</v>
      </c>
      <c r="V223" s="2054">
        <v>1</v>
      </c>
      <c r="W223" s="3" t="s">
        <v>3022</v>
      </c>
      <c r="X223">
        <v>35</v>
      </c>
      <c r="Y223" t="s">
        <v>1764</v>
      </c>
      <c r="Z223">
        <v>65</v>
      </c>
      <c r="AA223" t="s">
        <v>1764</v>
      </c>
      <c r="AB223">
        <v>65</v>
      </c>
      <c r="AC223" t="s">
        <v>1764</v>
      </c>
      <c r="AD223">
        <v>65</v>
      </c>
      <c r="AE223" t="s">
        <v>1764</v>
      </c>
      <c r="AF223">
        <v>65</v>
      </c>
      <c r="AG223" t="s">
        <v>1764</v>
      </c>
    </row>
    <row r="224" spans="19:33">
      <c r="S224" s="2311" t="s">
        <v>3025</v>
      </c>
      <c r="T224" s="2312">
        <v>0</v>
      </c>
      <c r="U224" s="2054" t="str">
        <f t="shared" si="30"/>
        <v>t / ha</v>
      </c>
      <c r="V224" s="2054">
        <v>1</v>
      </c>
      <c r="W224" s="3" t="s">
        <v>3023</v>
      </c>
      <c r="X224">
        <v>10</v>
      </c>
      <c r="Y224" t="s">
        <v>1764</v>
      </c>
      <c r="Z224">
        <v>18</v>
      </c>
      <c r="AA224" t="s">
        <v>1764</v>
      </c>
      <c r="AB224">
        <v>18</v>
      </c>
      <c r="AC224" t="s">
        <v>1764</v>
      </c>
      <c r="AD224">
        <v>18</v>
      </c>
      <c r="AE224" t="s">
        <v>1764</v>
      </c>
      <c r="AF224">
        <v>18</v>
      </c>
      <c r="AG224" t="s">
        <v>1764</v>
      </c>
    </row>
    <row r="225" spans="19:33">
      <c r="S225" t="s">
        <v>59</v>
      </c>
      <c r="T225" s="2312">
        <v>0</v>
      </c>
      <c r="U225" s="2054" t="str">
        <f t="shared" si="30"/>
        <v>t / ha</v>
      </c>
      <c r="V225" s="2054">
        <v>1</v>
      </c>
      <c r="W225" s="3" t="s">
        <v>3024</v>
      </c>
      <c r="X225">
        <v>40</v>
      </c>
      <c r="Y225" t="s">
        <v>1764</v>
      </c>
      <c r="Z225">
        <v>80</v>
      </c>
      <c r="AA225" t="s">
        <v>1764</v>
      </c>
      <c r="AB225">
        <v>80</v>
      </c>
      <c r="AC225" t="s">
        <v>1764</v>
      </c>
      <c r="AD225">
        <v>80</v>
      </c>
      <c r="AE225" t="s">
        <v>1764</v>
      </c>
      <c r="AF225">
        <v>80</v>
      </c>
      <c r="AG225" t="s">
        <v>1764</v>
      </c>
    </row>
    <row r="226" spans="19:33">
      <c r="S226" t="s">
        <v>60</v>
      </c>
      <c r="T226" s="2312">
        <v>0</v>
      </c>
      <c r="U226" s="2054" t="str">
        <f t="shared" si="30"/>
        <v>t / ha</v>
      </c>
      <c r="V226" s="2054">
        <v>1</v>
      </c>
      <c r="W226" s="1" t="s">
        <v>3025</v>
      </c>
      <c r="X226">
        <v>40</v>
      </c>
      <c r="Y226" t="s">
        <v>1764</v>
      </c>
      <c r="Z226">
        <v>60</v>
      </c>
      <c r="AA226" t="s">
        <v>1764</v>
      </c>
      <c r="AB226">
        <v>60</v>
      </c>
      <c r="AC226" t="s">
        <v>1764</v>
      </c>
      <c r="AD226">
        <v>60</v>
      </c>
      <c r="AE226" t="s">
        <v>1764</v>
      </c>
      <c r="AF226">
        <v>60</v>
      </c>
      <c r="AG226" t="s">
        <v>1764</v>
      </c>
    </row>
    <row r="227" spans="19:33">
      <c r="S227" t="s">
        <v>61</v>
      </c>
      <c r="T227" s="2312">
        <v>0</v>
      </c>
      <c r="U227" s="2054" t="str">
        <f t="shared" si="30"/>
        <v>t / ha</v>
      </c>
      <c r="V227" s="2054">
        <v>1</v>
      </c>
      <c r="W227" s="1" t="s">
        <v>42</v>
      </c>
      <c r="X227">
        <v>8</v>
      </c>
      <c r="Z227">
        <v>8</v>
      </c>
      <c r="AB227">
        <v>8</v>
      </c>
      <c r="AD227">
        <v>8</v>
      </c>
      <c r="AF227">
        <v>8</v>
      </c>
    </row>
    <row r="228" spans="19:33">
      <c r="S228" t="s">
        <v>62</v>
      </c>
      <c r="T228" s="2312">
        <v>0</v>
      </c>
      <c r="U228" s="2054" t="str">
        <f t="shared" si="30"/>
        <v>t / ha</v>
      </c>
      <c r="V228" s="2054">
        <v>1</v>
      </c>
      <c r="W228" s="1" t="s">
        <v>1957</v>
      </c>
      <c r="X228">
        <v>2</v>
      </c>
      <c r="Z228">
        <v>2</v>
      </c>
      <c r="AB228">
        <v>2</v>
      </c>
      <c r="AD228">
        <v>2</v>
      </c>
      <c r="AF228">
        <v>2</v>
      </c>
    </row>
    <row r="229" spans="19:33">
      <c r="S229" t="s">
        <v>63</v>
      </c>
      <c r="T229" s="2312">
        <v>0</v>
      </c>
      <c r="U229" s="2054" t="str">
        <f t="shared" si="30"/>
        <v>t / ha</v>
      </c>
      <c r="V229" s="2054">
        <v>1</v>
      </c>
      <c r="W229" s="1" t="s">
        <v>45</v>
      </c>
      <c r="X229">
        <v>5</v>
      </c>
      <c r="Z229">
        <v>5</v>
      </c>
      <c r="AB229">
        <v>5</v>
      </c>
      <c r="AD229">
        <v>5</v>
      </c>
      <c r="AF229">
        <v>5</v>
      </c>
    </row>
    <row r="230" spans="19:33">
      <c r="S230" t="s">
        <v>64</v>
      </c>
      <c r="T230" s="2312">
        <v>0</v>
      </c>
      <c r="U230" s="2054" t="str">
        <f t="shared" si="30"/>
        <v>t / ha</v>
      </c>
      <c r="V230" s="2054">
        <v>1</v>
      </c>
      <c r="W230" s="1" t="s">
        <v>46</v>
      </c>
      <c r="X230">
        <v>8</v>
      </c>
      <c r="Z230">
        <v>8</v>
      </c>
      <c r="AB230">
        <v>8</v>
      </c>
      <c r="AD230">
        <v>8</v>
      </c>
      <c r="AF230">
        <v>8</v>
      </c>
    </row>
    <row r="231" spans="19:33">
      <c r="S231" t="s">
        <v>65</v>
      </c>
      <c r="T231" s="2312">
        <v>0</v>
      </c>
      <c r="U231" s="2054" t="str">
        <f t="shared" si="30"/>
        <v>t / ha</v>
      </c>
      <c r="V231" s="2054">
        <v>1</v>
      </c>
      <c r="W231" s="1" t="s">
        <v>47</v>
      </c>
      <c r="X231">
        <v>8</v>
      </c>
      <c r="Z231">
        <v>8</v>
      </c>
      <c r="AB231">
        <v>8</v>
      </c>
      <c r="AD231">
        <v>8</v>
      </c>
      <c r="AF231">
        <v>8</v>
      </c>
    </row>
    <row r="232" spans="19:33">
      <c r="S232" t="s">
        <v>66</v>
      </c>
      <c r="T232" s="2312">
        <v>0</v>
      </c>
      <c r="U232" s="2054" t="str">
        <f t="shared" si="30"/>
        <v>t / ha</v>
      </c>
      <c r="V232" s="2054">
        <v>1</v>
      </c>
      <c r="W232" s="1" t="s">
        <v>48</v>
      </c>
      <c r="X232">
        <v>1.5</v>
      </c>
      <c r="Z232">
        <v>1.8</v>
      </c>
      <c r="AB232">
        <v>1.8</v>
      </c>
      <c r="AD232">
        <v>1.8</v>
      </c>
      <c r="AF232">
        <v>1.8</v>
      </c>
    </row>
    <row r="233" spans="19:33">
      <c r="S233" t="s">
        <v>67</v>
      </c>
      <c r="T233" s="2312">
        <v>0</v>
      </c>
      <c r="U233" s="2054" t="str">
        <f t="shared" si="30"/>
        <v>t / ha</v>
      </c>
      <c r="V233" s="2054">
        <v>1</v>
      </c>
      <c r="W233" s="1" t="s">
        <v>51</v>
      </c>
      <c r="X233">
        <v>8</v>
      </c>
      <c r="Z233">
        <v>8</v>
      </c>
      <c r="AB233">
        <v>8</v>
      </c>
      <c r="AD233">
        <v>8</v>
      </c>
      <c r="AF233">
        <v>8</v>
      </c>
    </row>
    <row r="234" spans="19:33">
      <c r="S234" t="s">
        <v>68</v>
      </c>
      <c r="T234" s="2312">
        <v>0</v>
      </c>
      <c r="U234" s="2054" t="str">
        <f t="shared" si="30"/>
        <v>t / ha</v>
      </c>
      <c r="V234" s="2054">
        <v>1</v>
      </c>
      <c r="W234" s="1" t="s">
        <v>52</v>
      </c>
      <c r="X234">
        <v>10</v>
      </c>
      <c r="Z234">
        <v>10</v>
      </c>
      <c r="AB234">
        <v>10</v>
      </c>
      <c r="AD234">
        <v>10</v>
      </c>
      <c r="AF234">
        <v>10</v>
      </c>
    </row>
    <row r="235" spans="19:33">
      <c r="S235" t="s">
        <v>69</v>
      </c>
      <c r="T235" s="2312">
        <v>0</v>
      </c>
      <c r="U235" s="2054" t="str">
        <f t="shared" si="30"/>
        <v>t / ha</v>
      </c>
      <c r="V235" s="2054">
        <v>1</v>
      </c>
      <c r="W235" s="1" t="s">
        <v>3050</v>
      </c>
      <c r="X235">
        <v>3</v>
      </c>
      <c r="Z235">
        <v>3</v>
      </c>
      <c r="AB235">
        <v>3</v>
      </c>
      <c r="AD235">
        <v>3</v>
      </c>
      <c r="AF235">
        <v>3</v>
      </c>
    </row>
    <row r="236" spans="19:33">
      <c r="S236" t="s">
        <v>70</v>
      </c>
      <c r="T236" s="2312">
        <v>0</v>
      </c>
      <c r="U236" s="2054" t="str">
        <f t="shared" si="30"/>
        <v>t / ha</v>
      </c>
      <c r="V236" s="2054">
        <v>1</v>
      </c>
      <c r="W236" s="1" t="s">
        <v>1960</v>
      </c>
      <c r="X236">
        <v>15</v>
      </c>
      <c r="Z236">
        <v>15</v>
      </c>
      <c r="AB236">
        <v>15</v>
      </c>
      <c r="AD236">
        <v>15</v>
      </c>
      <c r="AF236">
        <v>15</v>
      </c>
    </row>
    <row r="237" spans="19:33">
      <c r="S237" t="s">
        <v>71</v>
      </c>
      <c r="T237" s="2312">
        <v>0</v>
      </c>
      <c r="U237" s="2054" t="str">
        <f t="shared" si="30"/>
        <v>t / ha</v>
      </c>
      <c r="V237" s="2054">
        <v>1</v>
      </c>
      <c r="W237" s="1" t="s">
        <v>3045</v>
      </c>
      <c r="X237">
        <v>2</v>
      </c>
      <c r="Z237">
        <v>2</v>
      </c>
      <c r="AB237">
        <v>2</v>
      </c>
      <c r="AD237">
        <v>2</v>
      </c>
      <c r="AF237">
        <v>2</v>
      </c>
    </row>
    <row r="238" spans="19:33">
      <c r="S238" t="s">
        <v>72</v>
      </c>
      <c r="T238" s="2312">
        <v>0</v>
      </c>
      <c r="U238" s="2054" t="str">
        <f t="shared" si="30"/>
        <v>t / ha</v>
      </c>
      <c r="V238" s="2054">
        <v>1</v>
      </c>
      <c r="W238" s="1" t="s">
        <v>1962</v>
      </c>
      <c r="X238">
        <v>15</v>
      </c>
      <c r="Z238">
        <v>15</v>
      </c>
      <c r="AB238">
        <v>15</v>
      </c>
      <c r="AD238">
        <v>15</v>
      </c>
      <c r="AF238">
        <v>15</v>
      </c>
    </row>
    <row r="239" spans="19:33">
      <c r="S239" t="s">
        <v>73</v>
      </c>
      <c r="T239" s="2312">
        <v>0</v>
      </c>
      <c r="U239" s="2054" t="str">
        <f t="shared" si="30"/>
        <v>t / ha</v>
      </c>
      <c r="V239" s="2054">
        <v>1</v>
      </c>
      <c r="W239" s="1" t="s">
        <v>1963</v>
      </c>
      <c r="X239">
        <v>15</v>
      </c>
      <c r="Z239">
        <v>15</v>
      </c>
      <c r="AB239">
        <v>15</v>
      </c>
      <c r="AD239">
        <v>15</v>
      </c>
      <c r="AF239">
        <v>15</v>
      </c>
    </row>
    <row r="240" spans="19:33">
      <c r="S240" t="s">
        <v>74</v>
      </c>
      <c r="T240" s="2312">
        <v>0</v>
      </c>
      <c r="U240" s="2054" t="str">
        <f t="shared" si="30"/>
        <v>t / ha</v>
      </c>
      <c r="V240" s="2054">
        <v>1</v>
      </c>
      <c r="W240" s="1" t="s">
        <v>54</v>
      </c>
      <c r="X240">
        <v>5</v>
      </c>
      <c r="Z240">
        <v>5</v>
      </c>
      <c r="AB240">
        <v>5</v>
      </c>
      <c r="AD240">
        <v>5</v>
      </c>
      <c r="AF240">
        <v>5</v>
      </c>
    </row>
    <row r="241" spans="19:32">
      <c r="S241" t="s">
        <v>1744</v>
      </c>
      <c r="T241" s="2312">
        <v>0</v>
      </c>
      <c r="U241" s="2054" t="str">
        <f t="shared" si="30"/>
        <v>t / ha</v>
      </c>
      <c r="V241" s="2054">
        <v>1</v>
      </c>
      <c r="W241" s="1" t="s">
        <v>1964</v>
      </c>
      <c r="X241">
        <v>30</v>
      </c>
      <c r="Z241">
        <v>30</v>
      </c>
      <c r="AB241">
        <v>30</v>
      </c>
      <c r="AD241">
        <v>30</v>
      </c>
      <c r="AF241">
        <v>30</v>
      </c>
    </row>
    <row r="242" spans="19:32">
      <c r="S242" t="s">
        <v>1745</v>
      </c>
      <c r="T242" s="2312">
        <v>0</v>
      </c>
      <c r="U242" s="2054" t="str">
        <f t="shared" si="30"/>
        <v>t / ha</v>
      </c>
      <c r="V242" s="2054">
        <v>1</v>
      </c>
      <c r="W242" s="1" t="s">
        <v>55</v>
      </c>
      <c r="X242">
        <v>8</v>
      </c>
      <c r="Z242">
        <v>8</v>
      </c>
      <c r="AB242">
        <v>8</v>
      </c>
      <c r="AD242">
        <v>8</v>
      </c>
      <c r="AF242">
        <v>8</v>
      </c>
    </row>
    <row r="243" spans="19:32">
      <c r="S243" t="s">
        <v>1746</v>
      </c>
      <c r="T243" s="2312">
        <v>0</v>
      </c>
      <c r="U243" s="2054" t="str">
        <f t="shared" si="30"/>
        <v>t / ha</v>
      </c>
      <c r="V243" s="2054">
        <v>1</v>
      </c>
      <c r="W243" s="1" t="s">
        <v>3046</v>
      </c>
      <c r="X243">
        <v>8</v>
      </c>
      <c r="Z243">
        <v>8</v>
      </c>
      <c r="AB243">
        <v>8</v>
      </c>
      <c r="AD243">
        <v>8</v>
      </c>
      <c r="AF243">
        <v>8</v>
      </c>
    </row>
    <row r="244" spans="19:32">
      <c r="S244" t="s">
        <v>75</v>
      </c>
      <c r="T244" s="2312">
        <v>0</v>
      </c>
      <c r="U244" s="2054" t="str">
        <f t="shared" si="30"/>
        <v>t / ha</v>
      </c>
      <c r="V244" s="2054">
        <v>1</v>
      </c>
      <c r="W244" s="1" t="s">
        <v>56</v>
      </c>
      <c r="X244">
        <v>6</v>
      </c>
      <c r="Z244">
        <v>6</v>
      </c>
      <c r="AB244">
        <v>6</v>
      </c>
      <c r="AD244">
        <v>6</v>
      </c>
      <c r="AF244">
        <v>6</v>
      </c>
    </row>
    <row r="245" spans="19:32">
      <c r="S245" t="s">
        <v>76</v>
      </c>
      <c r="T245" s="2312">
        <v>0</v>
      </c>
      <c r="U245" s="2054" t="str">
        <f t="shared" si="30"/>
        <v>t / ha</v>
      </c>
      <c r="V245" s="2054">
        <v>1</v>
      </c>
      <c r="W245" s="1" t="s">
        <v>57</v>
      </c>
      <c r="X245">
        <v>6</v>
      </c>
      <c r="Z245">
        <v>6</v>
      </c>
      <c r="AB245">
        <v>6</v>
      </c>
      <c r="AD245">
        <v>6</v>
      </c>
      <c r="AF245">
        <v>6</v>
      </c>
    </row>
    <row r="246" spans="19:32">
      <c r="S246" t="s">
        <v>77</v>
      </c>
      <c r="T246" s="2312">
        <v>0</v>
      </c>
      <c r="U246" s="2054" t="str">
        <f t="shared" si="30"/>
        <v>t / ha</v>
      </c>
      <c r="V246" s="2054">
        <v>1</v>
      </c>
      <c r="W246" s="1" t="s">
        <v>3047</v>
      </c>
      <c r="X246">
        <v>0</v>
      </c>
      <c r="Z246">
        <v>0</v>
      </c>
      <c r="AB246">
        <v>0</v>
      </c>
      <c r="AD246">
        <v>0</v>
      </c>
      <c r="AF246">
        <v>0</v>
      </c>
    </row>
    <row r="247" spans="19:32">
      <c r="S247" t="s">
        <v>78</v>
      </c>
      <c r="T247" s="2312">
        <v>0</v>
      </c>
      <c r="U247" s="2054" t="str">
        <f t="shared" si="30"/>
        <v>t / ha</v>
      </c>
      <c r="V247" s="2054">
        <v>1</v>
      </c>
      <c r="W247" s="1" t="s">
        <v>1967</v>
      </c>
      <c r="X247">
        <v>30</v>
      </c>
      <c r="Z247">
        <v>30</v>
      </c>
      <c r="AB247">
        <v>30</v>
      </c>
      <c r="AD247">
        <v>30</v>
      </c>
      <c r="AF247">
        <v>30</v>
      </c>
    </row>
    <row r="248" spans="19:32">
      <c r="S248" t="s">
        <v>79</v>
      </c>
      <c r="T248" s="2312">
        <v>0</v>
      </c>
      <c r="U248" s="2054" t="str">
        <f t="shared" si="30"/>
        <v>t / ha</v>
      </c>
      <c r="V248" s="2054">
        <v>1</v>
      </c>
      <c r="W248" s="1" t="s">
        <v>1968</v>
      </c>
      <c r="X248">
        <v>30</v>
      </c>
      <c r="Z248">
        <v>30</v>
      </c>
      <c r="AB248">
        <v>30</v>
      </c>
      <c r="AD248">
        <v>30</v>
      </c>
      <c r="AF248">
        <v>30</v>
      </c>
    </row>
    <row r="249" spans="19:32">
      <c r="S249" t="s">
        <v>80</v>
      </c>
      <c r="T249" s="2312">
        <v>0</v>
      </c>
      <c r="U249" s="2054" t="str">
        <f t="shared" si="30"/>
        <v>t / ha</v>
      </c>
      <c r="V249" s="2054">
        <v>1</v>
      </c>
      <c r="W249" s="1" t="s">
        <v>1969</v>
      </c>
      <c r="X249">
        <v>8</v>
      </c>
      <c r="Z249">
        <v>8</v>
      </c>
      <c r="AB249">
        <v>8</v>
      </c>
      <c r="AD249">
        <v>8</v>
      </c>
      <c r="AF249">
        <v>8</v>
      </c>
    </row>
    <row r="250" spans="19:32">
      <c r="S250" t="s">
        <v>81</v>
      </c>
      <c r="T250" s="2312">
        <v>0</v>
      </c>
      <c r="U250" s="2054" t="str">
        <f t="shared" si="30"/>
        <v>t / ha</v>
      </c>
      <c r="V250" s="2054">
        <v>1</v>
      </c>
      <c r="W250" s="1" t="s">
        <v>3048</v>
      </c>
      <c r="X250">
        <v>1.5</v>
      </c>
      <c r="Z250">
        <v>1.5</v>
      </c>
      <c r="AB250">
        <v>1.5</v>
      </c>
      <c r="AD250">
        <v>1.5</v>
      </c>
      <c r="AF250">
        <v>1.5</v>
      </c>
    </row>
    <row r="251" spans="19:32">
      <c r="S251" t="s">
        <v>82</v>
      </c>
      <c r="T251" s="2312">
        <v>0</v>
      </c>
      <c r="U251" s="2054" t="str">
        <f t="shared" si="30"/>
        <v>t / ha</v>
      </c>
      <c r="V251" s="2054">
        <v>1</v>
      </c>
      <c r="W251" s="1" t="s">
        <v>3049</v>
      </c>
      <c r="X251">
        <v>1.5</v>
      </c>
      <c r="Z251">
        <v>1.5</v>
      </c>
      <c r="AB251">
        <v>1.5</v>
      </c>
      <c r="AD251">
        <v>1.5</v>
      </c>
      <c r="AF251">
        <v>1.5</v>
      </c>
    </row>
    <row r="252" spans="19:32">
      <c r="S252" t="s">
        <v>83</v>
      </c>
      <c r="T252" s="2312">
        <v>0</v>
      </c>
      <c r="U252" s="2054" t="str">
        <f t="shared" si="30"/>
        <v>t / ha</v>
      </c>
      <c r="V252" s="2054">
        <v>1</v>
      </c>
      <c r="W252" s="1" t="s">
        <v>3044</v>
      </c>
      <c r="X252">
        <v>2</v>
      </c>
      <c r="Z252">
        <v>2</v>
      </c>
      <c r="AB252">
        <v>2</v>
      </c>
      <c r="AD252">
        <v>2</v>
      </c>
      <c r="AF252">
        <v>2</v>
      </c>
    </row>
    <row r="253" spans="19:32">
      <c r="S253" t="s">
        <v>84</v>
      </c>
      <c r="T253" s="2312">
        <v>0</v>
      </c>
      <c r="U253" s="2054" t="str">
        <f t="shared" si="30"/>
        <v>t / ha</v>
      </c>
      <c r="V253" s="2054">
        <v>1</v>
      </c>
      <c r="W253" s="1" t="s">
        <v>1971</v>
      </c>
      <c r="X253">
        <v>15</v>
      </c>
      <c r="Z253">
        <v>15</v>
      </c>
      <c r="AB253">
        <v>15</v>
      </c>
      <c r="AD253">
        <v>15</v>
      </c>
      <c r="AF253">
        <v>15</v>
      </c>
    </row>
    <row r="254" spans="19:32">
      <c r="S254" t="s">
        <v>85</v>
      </c>
      <c r="T254" s="2312">
        <v>0</v>
      </c>
      <c r="U254" s="2054" t="str">
        <f t="shared" si="30"/>
        <v>t / ha</v>
      </c>
      <c r="V254" s="2054">
        <v>1</v>
      </c>
    </row>
    <row r="255" spans="19:32">
      <c r="S255" t="s">
        <v>86</v>
      </c>
      <c r="T255" s="2312">
        <v>0</v>
      </c>
      <c r="U255" s="2054" t="str">
        <f t="shared" si="30"/>
        <v>t / ha</v>
      </c>
      <c r="V255" s="2054">
        <v>1</v>
      </c>
    </row>
    <row r="256" spans="19:32">
      <c r="S256" t="s">
        <v>87</v>
      </c>
      <c r="T256" s="2312">
        <v>0</v>
      </c>
      <c r="U256" s="2054" t="str">
        <f t="shared" si="30"/>
        <v>t / ha</v>
      </c>
      <c r="V256" s="2054">
        <v>1</v>
      </c>
      <c r="W256" s="1"/>
    </row>
    <row r="257" spans="19:23">
      <c r="S257" t="s">
        <v>88</v>
      </c>
      <c r="T257" s="2312">
        <v>0</v>
      </c>
      <c r="U257" s="2054" t="str">
        <f t="shared" si="30"/>
        <v>t / ha</v>
      </c>
      <c r="V257" s="2054">
        <v>1</v>
      </c>
      <c r="W257" s="1"/>
    </row>
    <row r="258" spans="19:23">
      <c r="S258" t="s">
        <v>89</v>
      </c>
      <c r="T258" s="2312">
        <v>0</v>
      </c>
      <c r="U258" s="2054" t="str">
        <f t="shared" si="30"/>
        <v>t / ha</v>
      </c>
      <c r="V258" s="2054">
        <v>1</v>
      </c>
      <c r="W258" s="1"/>
    </row>
    <row r="259" spans="19:23">
      <c r="S259" t="s">
        <v>90</v>
      </c>
      <c r="T259" s="2312">
        <v>0</v>
      </c>
      <c r="U259" s="2054" t="str">
        <f t="shared" si="30"/>
        <v>t / ha</v>
      </c>
      <c r="V259" s="2054">
        <v>1</v>
      </c>
      <c r="W259" s="1"/>
    </row>
    <row r="260" spans="19:23">
      <c r="S260" t="s">
        <v>91</v>
      </c>
      <c r="T260" s="2312">
        <v>0</v>
      </c>
      <c r="U260" s="2054" t="str">
        <f t="shared" si="30"/>
        <v>t / ha</v>
      </c>
      <c r="V260" s="2054">
        <v>1</v>
      </c>
      <c r="W260" s="1"/>
    </row>
    <row r="261" spans="19:23">
      <c r="S261" t="s">
        <v>92</v>
      </c>
      <c r="T261" s="2312">
        <v>0</v>
      </c>
      <c r="U261" s="2054" t="str">
        <f t="shared" si="30"/>
        <v>t / ha</v>
      </c>
      <c r="V261" s="2054">
        <v>1</v>
      </c>
      <c r="W261" s="1"/>
    </row>
    <row r="262" spans="19:23">
      <c r="S262" t="s">
        <v>93</v>
      </c>
      <c r="T262" s="2312">
        <v>0</v>
      </c>
      <c r="U262" s="2054" t="str">
        <f t="shared" si="30"/>
        <v>t / ha</v>
      </c>
      <c r="V262" s="2054">
        <v>1</v>
      </c>
      <c r="W262" s="1"/>
    </row>
    <row r="263" spans="19:23">
      <c r="S263" t="s">
        <v>94</v>
      </c>
      <c r="T263" s="2312">
        <v>0</v>
      </c>
      <c r="U263" s="2054" t="str">
        <f t="shared" si="30"/>
        <v>t / ha</v>
      </c>
      <c r="V263" s="2054">
        <v>1</v>
      </c>
      <c r="W263" s="1"/>
    </row>
    <row r="264" spans="19:23">
      <c r="S264" t="s">
        <v>95</v>
      </c>
      <c r="T264" s="2312">
        <v>0</v>
      </c>
      <c r="U264" s="2054" t="str">
        <f t="shared" si="30"/>
        <v>t / ha</v>
      </c>
      <c r="V264" s="2054">
        <v>1</v>
      </c>
      <c r="W264" s="1"/>
    </row>
    <row r="265" spans="19:23">
      <c r="S265" t="s">
        <v>96</v>
      </c>
      <c r="T265" s="2312">
        <v>0</v>
      </c>
      <c r="U265" s="2054" t="str">
        <f t="shared" si="30"/>
        <v>t / ha</v>
      </c>
      <c r="V265" s="2054">
        <v>1</v>
      </c>
      <c r="W265" s="1"/>
    </row>
    <row r="266" spans="19:23">
      <c r="S266" t="s">
        <v>97</v>
      </c>
      <c r="T266" s="2312">
        <v>0</v>
      </c>
      <c r="U266" s="2054" t="str">
        <f t="shared" si="30"/>
        <v>t / ha</v>
      </c>
      <c r="V266" s="2054">
        <v>1</v>
      </c>
      <c r="W266" s="1"/>
    </row>
    <row r="267" spans="19:23">
      <c r="S267" t="s">
        <v>98</v>
      </c>
      <c r="T267" s="2312">
        <v>0</v>
      </c>
      <c r="U267" s="2054" t="str">
        <f t="shared" si="30"/>
        <v>t / ha</v>
      </c>
      <c r="V267" s="2054">
        <v>1</v>
      </c>
      <c r="W267" s="1"/>
    </row>
    <row r="268" spans="19:23">
      <c r="S268" t="s">
        <v>99</v>
      </c>
      <c r="T268" s="2312">
        <v>0</v>
      </c>
      <c r="U268" s="2054" t="str">
        <f t="shared" ref="U268:U310" si="31">IF($T268=0,"t / ha",IF($T268=1,"",IF($T268=2,"m3 / ha","")))</f>
        <v>t / ha</v>
      </c>
      <c r="V268" s="2054">
        <v>1</v>
      </c>
      <c r="W268" s="1"/>
    </row>
    <row r="269" spans="19:23">
      <c r="S269" t="s">
        <v>100</v>
      </c>
      <c r="T269" s="2312">
        <v>0</v>
      </c>
      <c r="U269" s="2054" t="str">
        <f t="shared" si="31"/>
        <v>t / ha</v>
      </c>
      <c r="V269" s="2054">
        <v>1</v>
      </c>
      <c r="W269" s="1"/>
    </row>
    <row r="270" spans="19:23">
      <c r="S270" t="s">
        <v>101</v>
      </c>
      <c r="T270" s="2312">
        <v>0</v>
      </c>
      <c r="U270" s="2054" t="str">
        <f t="shared" si="31"/>
        <v>t / ha</v>
      </c>
      <c r="V270" s="2054">
        <v>1</v>
      </c>
      <c r="W270" s="1"/>
    </row>
    <row r="271" spans="19:23">
      <c r="S271" t="s">
        <v>102</v>
      </c>
      <c r="T271" s="2312">
        <v>0</v>
      </c>
      <c r="U271" s="2054" t="str">
        <f t="shared" si="31"/>
        <v>t / ha</v>
      </c>
      <c r="V271" s="2054">
        <v>1</v>
      </c>
      <c r="W271" s="1"/>
    </row>
    <row r="272" spans="19:23">
      <c r="S272" t="s">
        <v>103</v>
      </c>
      <c r="T272" s="2312">
        <v>0</v>
      </c>
      <c r="U272" s="2054" t="str">
        <f t="shared" si="31"/>
        <v>t / ha</v>
      </c>
      <c r="V272" s="2054">
        <v>1</v>
      </c>
      <c r="W272" s="1"/>
    </row>
    <row r="273" spans="19:23">
      <c r="S273" t="s">
        <v>104</v>
      </c>
      <c r="T273" s="2312">
        <v>0</v>
      </c>
      <c r="U273" s="2054" t="str">
        <f t="shared" si="31"/>
        <v>t / ha</v>
      </c>
      <c r="V273" s="2054">
        <v>1</v>
      </c>
      <c r="W273" s="1"/>
    </row>
    <row r="274" spans="19:23">
      <c r="S274" t="s">
        <v>105</v>
      </c>
      <c r="T274" s="2312">
        <v>0</v>
      </c>
      <c r="U274" s="2054" t="str">
        <f t="shared" si="31"/>
        <v>t / ha</v>
      </c>
      <c r="V274" s="2054">
        <v>1</v>
      </c>
      <c r="W274" s="1"/>
    </row>
    <row r="275" spans="19:23">
      <c r="S275" t="s">
        <v>106</v>
      </c>
      <c r="T275" s="2312">
        <v>0</v>
      </c>
      <c r="U275" s="2054" t="str">
        <f t="shared" si="31"/>
        <v>t / ha</v>
      </c>
      <c r="V275" s="2054">
        <v>1</v>
      </c>
      <c r="W275" s="1"/>
    </row>
    <row r="276" spans="19:23">
      <c r="S276" t="s">
        <v>107</v>
      </c>
      <c r="T276" s="2312">
        <v>0</v>
      </c>
      <c r="U276" s="2054" t="str">
        <f t="shared" si="31"/>
        <v>t / ha</v>
      </c>
      <c r="V276" s="2054">
        <v>1</v>
      </c>
      <c r="W276" s="1"/>
    </row>
    <row r="277" spans="19:23">
      <c r="S277" t="s">
        <v>108</v>
      </c>
      <c r="T277" s="2312">
        <v>0</v>
      </c>
      <c r="U277" s="2054" t="str">
        <f t="shared" si="31"/>
        <v>t / ha</v>
      </c>
      <c r="V277" s="2054">
        <v>1</v>
      </c>
      <c r="W277" s="1"/>
    </row>
    <row r="278" spans="19:23">
      <c r="S278" t="s">
        <v>109</v>
      </c>
      <c r="T278" s="2312">
        <v>0</v>
      </c>
      <c r="U278" s="2054" t="str">
        <f t="shared" si="31"/>
        <v>t / ha</v>
      </c>
      <c r="V278" s="2054">
        <v>1</v>
      </c>
      <c r="W278" s="1"/>
    </row>
    <row r="279" spans="19:23">
      <c r="S279" t="s">
        <v>110</v>
      </c>
      <c r="T279" s="2312">
        <v>0</v>
      </c>
      <c r="U279" s="2054" t="str">
        <f t="shared" si="31"/>
        <v>t / ha</v>
      </c>
      <c r="V279" s="2054">
        <v>1</v>
      </c>
      <c r="W279" s="1"/>
    </row>
    <row r="280" spans="19:23">
      <c r="S280" t="s">
        <v>111</v>
      </c>
      <c r="T280" s="2312">
        <v>0</v>
      </c>
      <c r="U280" s="2054" t="str">
        <f t="shared" si="31"/>
        <v>t / ha</v>
      </c>
      <c r="V280" s="2054">
        <v>1</v>
      </c>
      <c r="W280" s="1"/>
    </row>
    <row r="281" spans="19:23">
      <c r="S281" t="s">
        <v>112</v>
      </c>
      <c r="T281" s="2312">
        <v>0</v>
      </c>
      <c r="U281" s="2054" t="str">
        <f t="shared" si="31"/>
        <v>t / ha</v>
      </c>
      <c r="V281" s="2054">
        <v>1</v>
      </c>
      <c r="W281" s="1"/>
    </row>
    <row r="282" spans="19:23">
      <c r="S282" t="s">
        <v>113</v>
      </c>
      <c r="T282" s="2312">
        <v>0</v>
      </c>
      <c r="U282" s="2054" t="str">
        <f t="shared" si="31"/>
        <v>t / ha</v>
      </c>
      <c r="V282" s="2054">
        <v>1</v>
      </c>
      <c r="W282" s="1"/>
    </row>
    <row r="283" spans="19:23">
      <c r="S283" t="s">
        <v>114</v>
      </c>
      <c r="T283" s="2312">
        <v>0</v>
      </c>
      <c r="U283" s="2054" t="str">
        <f t="shared" si="31"/>
        <v>t / ha</v>
      </c>
      <c r="V283" s="2054">
        <v>1</v>
      </c>
      <c r="W283" s="1"/>
    </row>
    <row r="284" spans="19:23">
      <c r="S284" t="s">
        <v>42</v>
      </c>
      <c r="T284" s="2312">
        <v>0</v>
      </c>
      <c r="U284" s="2054" t="str">
        <f t="shared" si="31"/>
        <v>t / ha</v>
      </c>
      <c r="V284" s="2054">
        <v>2</v>
      </c>
      <c r="W284" s="1"/>
    </row>
    <row r="285" spans="19:23">
      <c r="S285" t="s">
        <v>1957</v>
      </c>
      <c r="T285" s="2312">
        <v>0</v>
      </c>
      <c r="U285" s="2054" t="str">
        <f t="shared" si="31"/>
        <v>t / ha</v>
      </c>
      <c r="V285" s="2054">
        <v>2</v>
      </c>
      <c r="W285" s="1"/>
    </row>
    <row r="286" spans="19:23">
      <c r="S286" t="s">
        <v>45</v>
      </c>
      <c r="T286" s="2312">
        <v>0</v>
      </c>
      <c r="U286" s="2054" t="str">
        <f t="shared" si="31"/>
        <v>t / ha</v>
      </c>
      <c r="V286" s="2054">
        <v>2</v>
      </c>
      <c r="W286" s="1"/>
    </row>
    <row r="287" spans="19:23">
      <c r="S287" t="s">
        <v>46</v>
      </c>
      <c r="T287" s="2312">
        <v>0</v>
      </c>
      <c r="U287" s="2054" t="str">
        <f t="shared" si="31"/>
        <v>t / ha</v>
      </c>
      <c r="V287" s="2054">
        <v>2</v>
      </c>
      <c r="W287" s="1"/>
    </row>
    <row r="288" spans="19:23">
      <c r="S288" t="s">
        <v>47</v>
      </c>
      <c r="T288" s="2312">
        <v>0</v>
      </c>
      <c r="U288" s="2054" t="str">
        <f t="shared" si="31"/>
        <v>t / ha</v>
      </c>
      <c r="V288" s="2054">
        <v>2</v>
      </c>
      <c r="W288" s="1"/>
    </row>
    <row r="289" spans="19:23">
      <c r="S289" t="s">
        <v>48</v>
      </c>
      <c r="T289" s="2312">
        <v>0</v>
      </c>
      <c r="U289" s="2054" t="str">
        <f t="shared" si="31"/>
        <v>t / ha</v>
      </c>
      <c r="V289" s="2054">
        <v>2</v>
      </c>
      <c r="W289" s="1"/>
    </row>
    <row r="290" spans="19:23">
      <c r="S290" t="s">
        <v>51</v>
      </c>
      <c r="T290" s="2312">
        <v>0</v>
      </c>
      <c r="U290" s="2054" t="str">
        <f t="shared" si="31"/>
        <v>t / ha</v>
      </c>
      <c r="V290" s="2054">
        <v>2</v>
      </c>
      <c r="W290" s="1"/>
    </row>
    <row r="291" spans="19:23">
      <c r="S291" t="s">
        <v>52</v>
      </c>
      <c r="T291" s="2312">
        <v>0</v>
      </c>
      <c r="U291" s="2054" t="str">
        <f t="shared" si="31"/>
        <v>t / ha</v>
      </c>
      <c r="V291" s="2054">
        <v>2</v>
      </c>
      <c r="W291" s="1"/>
    </row>
    <row r="292" spans="19:23">
      <c r="S292" t="s">
        <v>3050</v>
      </c>
      <c r="T292" s="2312">
        <v>0</v>
      </c>
      <c r="U292" s="2054" t="str">
        <f t="shared" si="31"/>
        <v>t / ha</v>
      </c>
      <c r="V292" s="2054">
        <v>2</v>
      </c>
      <c r="W292" s="1"/>
    </row>
    <row r="293" spans="19:23">
      <c r="S293" t="s">
        <v>1960</v>
      </c>
      <c r="T293" s="2312">
        <v>0</v>
      </c>
      <c r="U293" s="2054" t="str">
        <f t="shared" si="31"/>
        <v>t / ha</v>
      </c>
      <c r="V293" s="2054">
        <v>2</v>
      </c>
      <c r="W293" s="1"/>
    </row>
    <row r="294" spans="19:23">
      <c r="S294" t="s">
        <v>3045</v>
      </c>
      <c r="T294" s="2312">
        <v>0</v>
      </c>
      <c r="U294" s="2054" t="str">
        <f t="shared" si="31"/>
        <v>t / ha</v>
      </c>
      <c r="V294" s="2054">
        <v>2</v>
      </c>
      <c r="W294" s="1"/>
    </row>
    <row r="295" spans="19:23">
      <c r="S295" t="s">
        <v>1962</v>
      </c>
      <c r="T295" s="2312">
        <v>0</v>
      </c>
      <c r="U295" s="2054" t="str">
        <f t="shared" si="31"/>
        <v>t / ha</v>
      </c>
      <c r="V295" s="2054">
        <v>2</v>
      </c>
      <c r="W295" s="1"/>
    </row>
    <row r="296" spans="19:23">
      <c r="S296" t="s">
        <v>1963</v>
      </c>
      <c r="T296" s="2312">
        <v>0</v>
      </c>
      <c r="U296" s="2054" t="str">
        <f t="shared" si="31"/>
        <v>t / ha</v>
      </c>
      <c r="V296" s="2054">
        <v>2</v>
      </c>
      <c r="W296" s="1"/>
    </row>
    <row r="297" spans="19:23">
      <c r="S297" t="s">
        <v>54</v>
      </c>
      <c r="T297" s="2312">
        <v>0</v>
      </c>
      <c r="U297" s="2054" t="str">
        <f t="shared" si="31"/>
        <v>t / ha</v>
      </c>
      <c r="V297" s="2054">
        <v>2</v>
      </c>
      <c r="W297" s="1"/>
    </row>
    <row r="298" spans="19:23">
      <c r="S298" t="s">
        <v>1964</v>
      </c>
      <c r="T298" s="2312">
        <v>0</v>
      </c>
      <c r="U298" s="2054" t="str">
        <f t="shared" si="31"/>
        <v>t / ha</v>
      </c>
      <c r="V298" s="2054">
        <v>2</v>
      </c>
      <c r="W298" s="1"/>
    </row>
    <row r="299" spans="19:23">
      <c r="S299" t="s">
        <v>55</v>
      </c>
      <c r="T299" s="2312">
        <v>0</v>
      </c>
      <c r="U299" s="2054" t="str">
        <f t="shared" si="31"/>
        <v>t / ha</v>
      </c>
      <c r="V299" s="2054">
        <v>2</v>
      </c>
      <c r="W299" s="1"/>
    </row>
    <row r="300" spans="19:23">
      <c r="S300" t="s">
        <v>3046</v>
      </c>
      <c r="T300" s="2312">
        <v>0</v>
      </c>
      <c r="U300" s="2054" t="str">
        <f t="shared" si="31"/>
        <v>t / ha</v>
      </c>
      <c r="V300" s="2054">
        <v>2</v>
      </c>
      <c r="W300" s="1"/>
    </row>
    <row r="301" spans="19:23">
      <c r="S301" t="s">
        <v>56</v>
      </c>
      <c r="T301" s="2312">
        <v>0</v>
      </c>
      <c r="U301" s="2054" t="str">
        <f t="shared" si="31"/>
        <v>t / ha</v>
      </c>
      <c r="V301" s="2054">
        <v>2</v>
      </c>
      <c r="W301" s="1"/>
    </row>
    <row r="302" spans="19:23">
      <c r="S302" t="s">
        <v>57</v>
      </c>
      <c r="T302" s="2312">
        <v>0</v>
      </c>
      <c r="U302" s="2054" t="str">
        <f t="shared" si="31"/>
        <v>t / ha</v>
      </c>
      <c r="V302" s="2054">
        <v>2</v>
      </c>
      <c r="W302" s="1"/>
    </row>
    <row r="303" spans="19:23">
      <c r="S303" t="s">
        <v>3047</v>
      </c>
      <c r="T303" s="2312">
        <v>0</v>
      </c>
      <c r="U303" s="2054" t="str">
        <f t="shared" si="31"/>
        <v>t / ha</v>
      </c>
      <c r="V303" s="2054">
        <v>2</v>
      </c>
      <c r="W303" s="1"/>
    </row>
    <row r="304" spans="19:23">
      <c r="S304" t="s">
        <v>1967</v>
      </c>
      <c r="T304" s="2312">
        <v>0</v>
      </c>
      <c r="U304" s="2054" t="str">
        <f t="shared" si="31"/>
        <v>t / ha</v>
      </c>
      <c r="V304" s="2054">
        <v>2</v>
      </c>
      <c r="W304" s="1"/>
    </row>
    <row r="305" spans="19:23">
      <c r="S305" t="s">
        <v>1968</v>
      </c>
      <c r="T305" s="2312">
        <v>0</v>
      </c>
      <c r="U305" s="2054" t="str">
        <f t="shared" si="31"/>
        <v>t / ha</v>
      </c>
      <c r="V305" s="2054">
        <v>2</v>
      </c>
      <c r="W305" s="1"/>
    </row>
    <row r="306" spans="19:23">
      <c r="S306" t="s">
        <v>1969</v>
      </c>
      <c r="T306" s="2312">
        <v>0</v>
      </c>
      <c r="U306" s="2054" t="str">
        <f t="shared" si="31"/>
        <v>t / ha</v>
      </c>
      <c r="V306" s="2054">
        <v>2</v>
      </c>
      <c r="W306" s="1"/>
    </row>
    <row r="307" spans="19:23">
      <c r="S307" t="s">
        <v>3048</v>
      </c>
      <c r="T307" s="2312">
        <v>0</v>
      </c>
      <c r="U307" s="2054" t="str">
        <f t="shared" si="31"/>
        <v>t / ha</v>
      </c>
      <c r="V307" s="2054">
        <v>2</v>
      </c>
      <c r="W307" s="1"/>
    </row>
    <row r="308" spans="19:23">
      <c r="S308" t="s">
        <v>3049</v>
      </c>
      <c r="T308" s="2312">
        <v>0</v>
      </c>
      <c r="U308" s="2054" t="str">
        <f t="shared" si="31"/>
        <v>t / ha</v>
      </c>
      <c r="V308" s="2054">
        <v>2</v>
      </c>
      <c r="W308" s="1"/>
    </row>
    <row r="309" spans="19:23">
      <c r="S309" t="s">
        <v>3044</v>
      </c>
      <c r="T309" s="2312">
        <v>0</v>
      </c>
      <c r="U309" s="2054" t="str">
        <f t="shared" si="31"/>
        <v>t / ha</v>
      </c>
      <c r="V309" s="2054">
        <v>2</v>
      </c>
      <c r="W309" s="1"/>
    </row>
    <row r="310" spans="19:23">
      <c r="S310" t="s">
        <v>1971</v>
      </c>
      <c r="T310" s="1">
        <v>0</v>
      </c>
      <c r="U310" s="2054" t="str">
        <f t="shared" si="31"/>
        <v>t / ha</v>
      </c>
      <c r="V310" s="2054">
        <v>2</v>
      </c>
      <c r="W310" s="1"/>
    </row>
    <row r="311" spans="19:23">
      <c r="U311"/>
      <c r="V311"/>
      <c r="W311" s="1"/>
    </row>
    <row r="312" spans="19:23">
      <c r="U312"/>
      <c r="V312"/>
      <c r="W312" s="1"/>
    </row>
    <row r="313" spans="19:23">
      <c r="U313"/>
      <c r="V313"/>
      <c r="W313" s="1"/>
    </row>
    <row r="314" spans="19:23">
      <c r="U314"/>
      <c r="V314"/>
      <c r="W314" s="1"/>
    </row>
    <row r="315" spans="19:23">
      <c r="U315"/>
      <c r="V315"/>
    </row>
    <row r="316" spans="19:23">
      <c r="U316"/>
      <c r="V316"/>
    </row>
    <row r="317" spans="19:23">
      <c r="T317" s="1"/>
    </row>
    <row r="318" spans="19:23">
      <c r="T318" s="1"/>
    </row>
    <row r="319" spans="19:23">
      <c r="T319" s="1"/>
    </row>
    <row r="320" spans="19:23">
      <c r="T320" s="1"/>
    </row>
    <row r="321" spans="20:20">
      <c r="T321" s="1"/>
    </row>
    <row r="322" spans="20:20">
      <c r="T322" s="1"/>
    </row>
    <row r="323" spans="20:20">
      <c r="T323" s="1"/>
    </row>
    <row r="324" spans="20:20">
      <c r="T324" s="1"/>
    </row>
    <row r="325" spans="20:20">
      <c r="T325" s="1"/>
    </row>
    <row r="326" spans="20:20">
      <c r="T326" s="1"/>
    </row>
    <row r="327" spans="20:20">
      <c r="T327" s="1"/>
    </row>
    <row r="328" spans="20:20">
      <c r="T328" s="1"/>
    </row>
    <row r="329" spans="20:20">
      <c r="T329" s="1"/>
    </row>
    <row r="330" spans="20:20">
      <c r="T330" s="1"/>
    </row>
    <row r="331" spans="20:20">
      <c r="T331" s="1"/>
    </row>
    <row r="332" spans="20:20">
      <c r="T332" s="1"/>
    </row>
    <row r="333" spans="20:20">
      <c r="T333" s="1"/>
    </row>
    <row r="334" spans="20:20">
      <c r="T334" s="1"/>
    </row>
    <row r="335" spans="20:20">
      <c r="T335" s="1"/>
    </row>
    <row r="336" spans="20:20">
      <c r="T336" s="1"/>
    </row>
    <row r="337" spans="20:20">
      <c r="T337" s="1"/>
    </row>
    <row r="338" spans="20:20">
      <c r="T338" s="1"/>
    </row>
    <row r="339" spans="20:20">
      <c r="T339" s="1"/>
    </row>
    <row r="340" spans="20:20">
      <c r="T340" s="1"/>
    </row>
    <row r="341" spans="20:20">
      <c r="T341" s="1"/>
    </row>
    <row r="342" spans="20:20">
      <c r="T342" s="1"/>
    </row>
    <row r="343" spans="20:20">
      <c r="T343" s="1"/>
    </row>
    <row r="344" spans="20:20">
      <c r="T344" s="1"/>
    </row>
    <row r="345" spans="20:20">
      <c r="T345" s="1"/>
    </row>
    <row r="346" spans="20:20">
      <c r="T346" s="1"/>
    </row>
    <row r="347" spans="20:20">
      <c r="T347" s="1"/>
    </row>
    <row r="348" spans="20:20">
      <c r="T348" s="1"/>
    </row>
    <row r="349" spans="20:20">
      <c r="T349" s="1"/>
    </row>
    <row r="350" spans="20:20">
      <c r="T350" s="1"/>
    </row>
    <row r="351" spans="20:20">
      <c r="T351" s="1"/>
    </row>
    <row r="352" spans="20:20">
      <c r="T352" s="1"/>
    </row>
    <row r="353" spans="20:20">
      <c r="T353" s="1"/>
    </row>
    <row r="354" spans="20:20">
      <c r="T354" s="1"/>
    </row>
    <row r="355" spans="20:20">
      <c r="T355" s="1"/>
    </row>
    <row r="356" spans="20:20">
      <c r="T356" s="1"/>
    </row>
    <row r="357" spans="20:20">
      <c r="T357" s="1"/>
    </row>
    <row r="358" spans="20:20">
      <c r="T358" s="1"/>
    </row>
    <row r="359" spans="20:20">
      <c r="T359" s="1"/>
    </row>
    <row r="360" spans="20:20">
      <c r="T360" s="1"/>
    </row>
    <row r="361" spans="20:20">
      <c r="T361" s="1"/>
    </row>
    <row r="362" spans="20:20">
      <c r="T362" s="1"/>
    </row>
    <row r="363" spans="20:20">
      <c r="T363" s="1"/>
    </row>
    <row r="364" spans="20:20">
      <c r="T364" s="1"/>
    </row>
    <row r="365" spans="20:20">
      <c r="T365" s="1"/>
    </row>
    <row r="366" spans="20:20">
      <c r="T366" s="1"/>
    </row>
    <row r="367" spans="20:20">
      <c r="T367" s="1"/>
    </row>
    <row r="368" spans="20:20">
      <c r="T368" s="1"/>
    </row>
    <row r="369" spans="20:20">
      <c r="T369" s="1"/>
    </row>
    <row r="370" spans="20:20">
      <c r="T370" s="1"/>
    </row>
    <row r="371" spans="20:20">
      <c r="T371" s="1"/>
    </row>
    <row r="372" spans="20:20">
      <c r="T372" s="1"/>
    </row>
    <row r="373" spans="20:20">
      <c r="T373" s="1"/>
    </row>
    <row r="374" spans="20:20">
      <c r="T374" s="1"/>
    </row>
    <row r="375" spans="20:20">
      <c r="T375" s="1"/>
    </row>
    <row r="376" spans="20:20">
      <c r="T376" s="1"/>
    </row>
    <row r="377" spans="20:20">
      <c r="T377" s="1"/>
    </row>
    <row r="378" spans="20:20">
      <c r="T378" s="1"/>
    </row>
    <row r="379" spans="20:20">
      <c r="T379" s="1"/>
    </row>
    <row r="380" spans="20:20">
      <c r="T380" s="1"/>
    </row>
    <row r="381" spans="20:20">
      <c r="T381" s="1"/>
    </row>
    <row r="382" spans="20:20">
      <c r="T382" s="1"/>
    </row>
    <row r="383" spans="20:20">
      <c r="T383" s="1"/>
    </row>
    <row r="384" spans="20:20">
      <c r="T384" s="1"/>
    </row>
    <row r="385" spans="20:20">
      <c r="T385" s="1"/>
    </row>
    <row r="386" spans="20:20">
      <c r="T386" s="1"/>
    </row>
    <row r="387" spans="20:20">
      <c r="T387" s="1"/>
    </row>
    <row r="388" spans="20:20">
      <c r="T388" s="1"/>
    </row>
    <row r="389" spans="20:20">
      <c r="T389" s="1"/>
    </row>
    <row r="390" spans="20:20">
      <c r="T390" s="1"/>
    </row>
  </sheetData>
  <sheetProtection algorithmName="SHA-512" hashValue="DzuIBzK4zC4AFtUlsL1/kJ1BGs5Rs323apNCMr7l+icmEDxIBG6QLpnZJ14XRNCFQeNxrSy05S52a4lHERx60A==" saltValue="kg17gKtfwvQZqyHEQZVVXw==" spinCount="100000" sheet="1" formatColumns="0" formatRows="0"/>
  <mergeCells count="5571">
    <mergeCell ref="AL9:AM9"/>
    <mergeCell ref="D6:E6"/>
    <mergeCell ref="B7:E7"/>
    <mergeCell ref="F1:F3"/>
    <mergeCell ref="G1:G3"/>
    <mergeCell ref="H9:J9"/>
    <mergeCell ref="BJ1:BL1"/>
    <mergeCell ref="BM1:BO1"/>
    <mergeCell ref="BP1:BR1"/>
    <mergeCell ref="BS1:BU1"/>
    <mergeCell ref="BV1:BX1"/>
    <mergeCell ref="AX1:AZ1"/>
    <mergeCell ref="BA1:BC1"/>
    <mergeCell ref="BD1:BF1"/>
    <mergeCell ref="BG1:BI1"/>
    <mergeCell ref="AF1:AH1"/>
    <mergeCell ref="AI1:AK1"/>
    <mergeCell ref="AL1:AN1"/>
    <mergeCell ref="AO1:AQ1"/>
    <mergeCell ref="AR1:AT1"/>
    <mergeCell ref="P1:R1"/>
    <mergeCell ref="S1:U1"/>
    <mergeCell ref="V1:X1"/>
    <mergeCell ref="Y1:AB1"/>
    <mergeCell ref="AC1:AE1"/>
    <mergeCell ref="A3:E4"/>
    <mergeCell ref="A5:E5"/>
    <mergeCell ref="DC1:DE1"/>
    <mergeCell ref="DF1:DH1"/>
    <mergeCell ref="DI1:DK1"/>
    <mergeCell ref="DL1:DN1"/>
    <mergeCell ref="DO1:DQ1"/>
    <mergeCell ref="CN1:CP1"/>
    <mergeCell ref="CQ1:CS1"/>
    <mergeCell ref="CT1:CV1"/>
    <mergeCell ref="CW1:CY1"/>
    <mergeCell ref="CZ1:DB1"/>
    <mergeCell ref="BY1:CA1"/>
    <mergeCell ref="CB1:CD1"/>
    <mergeCell ref="CE1:CG1"/>
    <mergeCell ref="CH1:CJ1"/>
    <mergeCell ref="CK1:CM1"/>
    <mergeCell ref="M1:O1"/>
    <mergeCell ref="A1:E2"/>
    <mergeCell ref="AU1:AW1"/>
    <mergeCell ref="FK1:FM1"/>
    <mergeCell ref="FN1:FP1"/>
    <mergeCell ref="FQ1:FS1"/>
    <mergeCell ref="FT1:FV1"/>
    <mergeCell ref="FW1:FY1"/>
    <mergeCell ref="EV1:EX1"/>
    <mergeCell ref="EY1:FA1"/>
    <mergeCell ref="FB1:FD1"/>
    <mergeCell ref="FE1:FG1"/>
    <mergeCell ref="FH1:FJ1"/>
    <mergeCell ref="EG1:EI1"/>
    <mergeCell ref="EJ1:EL1"/>
    <mergeCell ref="EM1:EO1"/>
    <mergeCell ref="EP1:ER1"/>
    <mergeCell ref="ES1:EU1"/>
    <mergeCell ref="DR1:DT1"/>
    <mergeCell ref="DU1:DW1"/>
    <mergeCell ref="DX1:DZ1"/>
    <mergeCell ref="EA1:EC1"/>
    <mergeCell ref="ED1:EF1"/>
    <mergeCell ref="HS1:HU1"/>
    <mergeCell ref="HV1:HX1"/>
    <mergeCell ref="HY1:IA1"/>
    <mergeCell ref="IB1:ID1"/>
    <mergeCell ref="IE1:IG1"/>
    <mergeCell ref="HD1:HF1"/>
    <mergeCell ref="HG1:HI1"/>
    <mergeCell ref="HJ1:HL1"/>
    <mergeCell ref="HM1:HO1"/>
    <mergeCell ref="HP1:HR1"/>
    <mergeCell ref="GO1:GQ1"/>
    <mergeCell ref="GR1:GT1"/>
    <mergeCell ref="GU1:GW1"/>
    <mergeCell ref="GX1:GZ1"/>
    <mergeCell ref="HA1:HC1"/>
    <mergeCell ref="FZ1:GB1"/>
    <mergeCell ref="GC1:GE1"/>
    <mergeCell ref="GF1:GH1"/>
    <mergeCell ref="GI1:GK1"/>
    <mergeCell ref="GL1:GN1"/>
    <mergeCell ref="KA1:KC1"/>
    <mergeCell ref="KD1:KF1"/>
    <mergeCell ref="KG1:KI1"/>
    <mergeCell ref="KJ1:KL1"/>
    <mergeCell ref="KM1:KO1"/>
    <mergeCell ref="JL1:JN1"/>
    <mergeCell ref="JO1:JQ1"/>
    <mergeCell ref="JR1:JT1"/>
    <mergeCell ref="JU1:JW1"/>
    <mergeCell ref="JX1:JZ1"/>
    <mergeCell ref="IW1:IY1"/>
    <mergeCell ref="IZ1:JB1"/>
    <mergeCell ref="JC1:JE1"/>
    <mergeCell ref="JF1:JH1"/>
    <mergeCell ref="JI1:JK1"/>
    <mergeCell ref="IH1:IJ1"/>
    <mergeCell ref="IK1:IM1"/>
    <mergeCell ref="IN1:IP1"/>
    <mergeCell ref="IQ1:IS1"/>
    <mergeCell ref="IT1:IV1"/>
    <mergeCell ref="MI1:MK1"/>
    <mergeCell ref="ML1:MN1"/>
    <mergeCell ref="MO1:MQ1"/>
    <mergeCell ref="MR1:MT1"/>
    <mergeCell ref="MU1:MW1"/>
    <mergeCell ref="LT1:LV1"/>
    <mergeCell ref="LW1:LY1"/>
    <mergeCell ref="LZ1:MB1"/>
    <mergeCell ref="MC1:ME1"/>
    <mergeCell ref="MF1:MH1"/>
    <mergeCell ref="LE1:LG1"/>
    <mergeCell ref="LH1:LJ1"/>
    <mergeCell ref="LK1:LM1"/>
    <mergeCell ref="LN1:LP1"/>
    <mergeCell ref="LQ1:LS1"/>
    <mergeCell ref="KP1:KR1"/>
    <mergeCell ref="KS1:KU1"/>
    <mergeCell ref="KV1:KX1"/>
    <mergeCell ref="KY1:LA1"/>
    <mergeCell ref="LB1:LD1"/>
    <mergeCell ref="OQ1:OS1"/>
    <mergeCell ref="OT1:OV1"/>
    <mergeCell ref="OW1:OY1"/>
    <mergeCell ref="OZ1:PB1"/>
    <mergeCell ref="PC1:PE1"/>
    <mergeCell ref="OB1:OD1"/>
    <mergeCell ref="OE1:OG1"/>
    <mergeCell ref="OH1:OJ1"/>
    <mergeCell ref="OK1:OM1"/>
    <mergeCell ref="ON1:OP1"/>
    <mergeCell ref="NM1:NO1"/>
    <mergeCell ref="NP1:NR1"/>
    <mergeCell ref="NS1:NU1"/>
    <mergeCell ref="NV1:NX1"/>
    <mergeCell ref="NY1:OA1"/>
    <mergeCell ref="MX1:MZ1"/>
    <mergeCell ref="NA1:NC1"/>
    <mergeCell ref="ND1:NF1"/>
    <mergeCell ref="NG1:NI1"/>
    <mergeCell ref="NJ1:NL1"/>
    <mergeCell ref="QY1:RA1"/>
    <mergeCell ref="RB1:RD1"/>
    <mergeCell ref="RE1:RG1"/>
    <mergeCell ref="RH1:RJ1"/>
    <mergeCell ref="RK1:RM1"/>
    <mergeCell ref="QJ1:QL1"/>
    <mergeCell ref="QM1:QO1"/>
    <mergeCell ref="QP1:QR1"/>
    <mergeCell ref="QS1:QU1"/>
    <mergeCell ref="QV1:QX1"/>
    <mergeCell ref="PU1:PW1"/>
    <mergeCell ref="PX1:PZ1"/>
    <mergeCell ref="QA1:QC1"/>
    <mergeCell ref="QD1:QF1"/>
    <mergeCell ref="QG1:QI1"/>
    <mergeCell ref="PF1:PH1"/>
    <mergeCell ref="PI1:PK1"/>
    <mergeCell ref="PL1:PN1"/>
    <mergeCell ref="PO1:PQ1"/>
    <mergeCell ref="PR1:PT1"/>
    <mergeCell ref="TG1:TI1"/>
    <mergeCell ref="TJ1:TL1"/>
    <mergeCell ref="TM1:TO1"/>
    <mergeCell ref="TP1:TR1"/>
    <mergeCell ref="TS1:TU1"/>
    <mergeCell ref="SR1:ST1"/>
    <mergeCell ref="SU1:SW1"/>
    <mergeCell ref="SX1:SZ1"/>
    <mergeCell ref="TA1:TC1"/>
    <mergeCell ref="TD1:TF1"/>
    <mergeCell ref="SC1:SE1"/>
    <mergeCell ref="SF1:SH1"/>
    <mergeCell ref="SI1:SK1"/>
    <mergeCell ref="SL1:SN1"/>
    <mergeCell ref="SO1:SQ1"/>
    <mergeCell ref="RN1:RP1"/>
    <mergeCell ref="RQ1:RS1"/>
    <mergeCell ref="RT1:RV1"/>
    <mergeCell ref="RW1:RY1"/>
    <mergeCell ref="RZ1:SB1"/>
    <mergeCell ref="VO1:VQ1"/>
    <mergeCell ref="VR1:VT1"/>
    <mergeCell ref="VU1:VW1"/>
    <mergeCell ref="VX1:VZ1"/>
    <mergeCell ref="WA1:WC1"/>
    <mergeCell ref="UZ1:VB1"/>
    <mergeCell ref="VC1:VE1"/>
    <mergeCell ref="VF1:VH1"/>
    <mergeCell ref="VI1:VK1"/>
    <mergeCell ref="VL1:VN1"/>
    <mergeCell ref="UK1:UM1"/>
    <mergeCell ref="UN1:UP1"/>
    <mergeCell ref="UQ1:US1"/>
    <mergeCell ref="UT1:UV1"/>
    <mergeCell ref="UW1:UY1"/>
    <mergeCell ref="TV1:TX1"/>
    <mergeCell ref="TY1:UA1"/>
    <mergeCell ref="UB1:UD1"/>
    <mergeCell ref="UE1:UG1"/>
    <mergeCell ref="UH1:UJ1"/>
    <mergeCell ref="XW1:XY1"/>
    <mergeCell ref="XZ1:YB1"/>
    <mergeCell ref="YC1:YE1"/>
    <mergeCell ref="YF1:YH1"/>
    <mergeCell ref="YI1:YK1"/>
    <mergeCell ref="XH1:XJ1"/>
    <mergeCell ref="XK1:XM1"/>
    <mergeCell ref="XN1:XP1"/>
    <mergeCell ref="XQ1:XS1"/>
    <mergeCell ref="XT1:XV1"/>
    <mergeCell ref="WS1:WU1"/>
    <mergeCell ref="WV1:WX1"/>
    <mergeCell ref="WY1:XA1"/>
    <mergeCell ref="XB1:XD1"/>
    <mergeCell ref="XE1:XG1"/>
    <mergeCell ref="WD1:WF1"/>
    <mergeCell ref="WG1:WI1"/>
    <mergeCell ref="WJ1:WL1"/>
    <mergeCell ref="WM1:WO1"/>
    <mergeCell ref="WP1:WR1"/>
    <mergeCell ref="AAE1:AAG1"/>
    <mergeCell ref="AAH1:AAJ1"/>
    <mergeCell ref="AAK1:AAM1"/>
    <mergeCell ref="AAN1:AAP1"/>
    <mergeCell ref="AAQ1:AAS1"/>
    <mergeCell ref="ZP1:ZR1"/>
    <mergeCell ref="ZS1:ZU1"/>
    <mergeCell ref="ZV1:ZX1"/>
    <mergeCell ref="ZY1:AAA1"/>
    <mergeCell ref="AAB1:AAD1"/>
    <mergeCell ref="ZA1:ZC1"/>
    <mergeCell ref="ZD1:ZF1"/>
    <mergeCell ref="ZG1:ZI1"/>
    <mergeCell ref="ZJ1:ZL1"/>
    <mergeCell ref="ZM1:ZO1"/>
    <mergeCell ref="YL1:YN1"/>
    <mergeCell ref="YO1:YQ1"/>
    <mergeCell ref="YR1:YT1"/>
    <mergeCell ref="YU1:YW1"/>
    <mergeCell ref="YX1:YZ1"/>
    <mergeCell ref="ACM1:ACO1"/>
    <mergeCell ref="ACP1:ACR1"/>
    <mergeCell ref="ACS1:ACU1"/>
    <mergeCell ref="ACV1:ACX1"/>
    <mergeCell ref="ACY1:ADA1"/>
    <mergeCell ref="ABX1:ABZ1"/>
    <mergeCell ref="ACA1:ACC1"/>
    <mergeCell ref="ACD1:ACF1"/>
    <mergeCell ref="ACG1:ACI1"/>
    <mergeCell ref="ACJ1:ACL1"/>
    <mergeCell ref="ABI1:ABK1"/>
    <mergeCell ref="ABL1:ABN1"/>
    <mergeCell ref="ABO1:ABQ1"/>
    <mergeCell ref="ABR1:ABT1"/>
    <mergeCell ref="ABU1:ABW1"/>
    <mergeCell ref="AAT1:AAV1"/>
    <mergeCell ref="AAW1:AAY1"/>
    <mergeCell ref="AAZ1:ABB1"/>
    <mergeCell ref="ABC1:ABE1"/>
    <mergeCell ref="ABF1:ABH1"/>
    <mergeCell ref="AEU1:AEW1"/>
    <mergeCell ref="AEX1:AEZ1"/>
    <mergeCell ref="AFA1:AFC1"/>
    <mergeCell ref="AFD1:AFF1"/>
    <mergeCell ref="AFG1:AFI1"/>
    <mergeCell ref="AEF1:AEH1"/>
    <mergeCell ref="AEI1:AEK1"/>
    <mergeCell ref="AEL1:AEN1"/>
    <mergeCell ref="AEO1:AEQ1"/>
    <mergeCell ref="AER1:AET1"/>
    <mergeCell ref="ADQ1:ADS1"/>
    <mergeCell ref="ADT1:ADV1"/>
    <mergeCell ref="ADW1:ADY1"/>
    <mergeCell ref="ADZ1:AEB1"/>
    <mergeCell ref="AEC1:AEE1"/>
    <mergeCell ref="ADB1:ADD1"/>
    <mergeCell ref="ADE1:ADG1"/>
    <mergeCell ref="ADH1:ADJ1"/>
    <mergeCell ref="ADK1:ADM1"/>
    <mergeCell ref="ADN1:ADP1"/>
    <mergeCell ref="AHC1:AHE1"/>
    <mergeCell ref="AHF1:AHH1"/>
    <mergeCell ref="AHI1:AHK1"/>
    <mergeCell ref="AHL1:AHN1"/>
    <mergeCell ref="AHO1:AHQ1"/>
    <mergeCell ref="AGN1:AGP1"/>
    <mergeCell ref="AGQ1:AGS1"/>
    <mergeCell ref="AGT1:AGV1"/>
    <mergeCell ref="AGW1:AGY1"/>
    <mergeCell ref="AGZ1:AHB1"/>
    <mergeCell ref="AFY1:AGA1"/>
    <mergeCell ref="AGB1:AGD1"/>
    <mergeCell ref="AGE1:AGG1"/>
    <mergeCell ref="AGH1:AGJ1"/>
    <mergeCell ref="AGK1:AGM1"/>
    <mergeCell ref="AFJ1:AFL1"/>
    <mergeCell ref="AFM1:AFO1"/>
    <mergeCell ref="AFP1:AFR1"/>
    <mergeCell ref="AFS1:AFU1"/>
    <mergeCell ref="AFV1:AFX1"/>
    <mergeCell ref="AJK1:AJM1"/>
    <mergeCell ref="AJN1:AJP1"/>
    <mergeCell ref="AJQ1:AJS1"/>
    <mergeCell ref="AJT1:AJV1"/>
    <mergeCell ref="AJW1:AJY1"/>
    <mergeCell ref="AIV1:AIX1"/>
    <mergeCell ref="AIY1:AJA1"/>
    <mergeCell ref="AJB1:AJD1"/>
    <mergeCell ref="AJE1:AJG1"/>
    <mergeCell ref="AJH1:AJJ1"/>
    <mergeCell ref="AIG1:AII1"/>
    <mergeCell ref="AIJ1:AIL1"/>
    <mergeCell ref="AIM1:AIO1"/>
    <mergeCell ref="AIP1:AIR1"/>
    <mergeCell ref="AIS1:AIU1"/>
    <mergeCell ref="AHR1:AHT1"/>
    <mergeCell ref="AHU1:AHW1"/>
    <mergeCell ref="AHX1:AHZ1"/>
    <mergeCell ref="AIA1:AIC1"/>
    <mergeCell ref="AID1:AIF1"/>
    <mergeCell ref="ALS1:ALU1"/>
    <mergeCell ref="ALV1:ALX1"/>
    <mergeCell ref="ALY1:AMA1"/>
    <mergeCell ref="AMB1:AMD1"/>
    <mergeCell ref="AME1:AMG1"/>
    <mergeCell ref="ALD1:ALF1"/>
    <mergeCell ref="ALG1:ALI1"/>
    <mergeCell ref="ALJ1:ALL1"/>
    <mergeCell ref="ALM1:ALO1"/>
    <mergeCell ref="ALP1:ALR1"/>
    <mergeCell ref="AKO1:AKQ1"/>
    <mergeCell ref="AKR1:AKT1"/>
    <mergeCell ref="AKU1:AKW1"/>
    <mergeCell ref="AKX1:AKZ1"/>
    <mergeCell ref="ALA1:ALC1"/>
    <mergeCell ref="AJZ1:AKB1"/>
    <mergeCell ref="AKC1:AKE1"/>
    <mergeCell ref="AKF1:AKH1"/>
    <mergeCell ref="AKI1:AKK1"/>
    <mergeCell ref="AKL1:AKN1"/>
    <mergeCell ref="AOA1:AOC1"/>
    <mergeCell ref="AOD1:AOF1"/>
    <mergeCell ref="AOG1:AOI1"/>
    <mergeCell ref="AOJ1:AOL1"/>
    <mergeCell ref="AOM1:AOO1"/>
    <mergeCell ref="ANL1:ANN1"/>
    <mergeCell ref="ANO1:ANQ1"/>
    <mergeCell ref="ANR1:ANT1"/>
    <mergeCell ref="ANU1:ANW1"/>
    <mergeCell ref="ANX1:ANZ1"/>
    <mergeCell ref="AMW1:AMY1"/>
    <mergeCell ref="AMZ1:ANB1"/>
    <mergeCell ref="ANC1:ANE1"/>
    <mergeCell ref="ANF1:ANH1"/>
    <mergeCell ref="ANI1:ANK1"/>
    <mergeCell ref="AMH1:AMJ1"/>
    <mergeCell ref="AMK1:AMM1"/>
    <mergeCell ref="AMN1:AMP1"/>
    <mergeCell ref="AMQ1:AMS1"/>
    <mergeCell ref="AMT1:AMV1"/>
    <mergeCell ref="AQI1:AQK1"/>
    <mergeCell ref="AQL1:AQN1"/>
    <mergeCell ref="AQO1:AQQ1"/>
    <mergeCell ref="AQR1:AQT1"/>
    <mergeCell ref="AQU1:AQW1"/>
    <mergeCell ref="APT1:APV1"/>
    <mergeCell ref="APW1:APY1"/>
    <mergeCell ref="APZ1:AQB1"/>
    <mergeCell ref="AQC1:AQE1"/>
    <mergeCell ref="AQF1:AQH1"/>
    <mergeCell ref="APE1:APG1"/>
    <mergeCell ref="APH1:APJ1"/>
    <mergeCell ref="APK1:APM1"/>
    <mergeCell ref="APN1:APP1"/>
    <mergeCell ref="APQ1:APS1"/>
    <mergeCell ref="AOP1:AOR1"/>
    <mergeCell ref="AOS1:AOU1"/>
    <mergeCell ref="AOV1:AOX1"/>
    <mergeCell ref="AOY1:APA1"/>
    <mergeCell ref="APB1:APD1"/>
    <mergeCell ref="ASQ1:ASS1"/>
    <mergeCell ref="AST1:ASV1"/>
    <mergeCell ref="ASW1:ASY1"/>
    <mergeCell ref="ASZ1:ATB1"/>
    <mergeCell ref="ATC1:ATE1"/>
    <mergeCell ref="ASB1:ASD1"/>
    <mergeCell ref="ASE1:ASG1"/>
    <mergeCell ref="ASH1:ASJ1"/>
    <mergeCell ref="ASK1:ASM1"/>
    <mergeCell ref="ASN1:ASP1"/>
    <mergeCell ref="ARM1:ARO1"/>
    <mergeCell ref="ARP1:ARR1"/>
    <mergeCell ref="ARS1:ARU1"/>
    <mergeCell ref="ARV1:ARX1"/>
    <mergeCell ref="ARY1:ASA1"/>
    <mergeCell ref="AQX1:AQZ1"/>
    <mergeCell ref="ARA1:ARC1"/>
    <mergeCell ref="ARD1:ARF1"/>
    <mergeCell ref="ARG1:ARI1"/>
    <mergeCell ref="ARJ1:ARL1"/>
    <mergeCell ref="AUY1:AVA1"/>
    <mergeCell ref="AVB1:AVD1"/>
    <mergeCell ref="AVE1:AVG1"/>
    <mergeCell ref="AVH1:AVJ1"/>
    <mergeCell ref="AVK1:AVM1"/>
    <mergeCell ref="AUJ1:AUL1"/>
    <mergeCell ref="AUM1:AUO1"/>
    <mergeCell ref="AUP1:AUR1"/>
    <mergeCell ref="AUS1:AUU1"/>
    <mergeCell ref="AUV1:AUX1"/>
    <mergeCell ref="ATU1:ATW1"/>
    <mergeCell ref="ATX1:ATZ1"/>
    <mergeCell ref="AUA1:AUC1"/>
    <mergeCell ref="AUD1:AUF1"/>
    <mergeCell ref="AUG1:AUI1"/>
    <mergeCell ref="ATF1:ATH1"/>
    <mergeCell ref="ATI1:ATK1"/>
    <mergeCell ref="ATL1:ATN1"/>
    <mergeCell ref="ATO1:ATQ1"/>
    <mergeCell ref="ATR1:ATT1"/>
    <mergeCell ref="AXG1:AXI1"/>
    <mergeCell ref="AXJ1:AXL1"/>
    <mergeCell ref="AXM1:AXO1"/>
    <mergeCell ref="AXP1:AXR1"/>
    <mergeCell ref="AXS1:AXU1"/>
    <mergeCell ref="AWR1:AWT1"/>
    <mergeCell ref="AWU1:AWW1"/>
    <mergeCell ref="AWX1:AWZ1"/>
    <mergeCell ref="AXA1:AXC1"/>
    <mergeCell ref="AXD1:AXF1"/>
    <mergeCell ref="AWC1:AWE1"/>
    <mergeCell ref="AWF1:AWH1"/>
    <mergeCell ref="AWI1:AWK1"/>
    <mergeCell ref="AWL1:AWN1"/>
    <mergeCell ref="AWO1:AWQ1"/>
    <mergeCell ref="AVN1:AVP1"/>
    <mergeCell ref="AVQ1:AVS1"/>
    <mergeCell ref="AVT1:AVV1"/>
    <mergeCell ref="AVW1:AVY1"/>
    <mergeCell ref="AVZ1:AWB1"/>
    <mergeCell ref="AZO1:AZQ1"/>
    <mergeCell ref="AZR1:AZT1"/>
    <mergeCell ref="AZU1:AZW1"/>
    <mergeCell ref="AZX1:AZZ1"/>
    <mergeCell ref="BAA1:BAC1"/>
    <mergeCell ref="AYZ1:AZB1"/>
    <mergeCell ref="AZC1:AZE1"/>
    <mergeCell ref="AZF1:AZH1"/>
    <mergeCell ref="AZI1:AZK1"/>
    <mergeCell ref="AZL1:AZN1"/>
    <mergeCell ref="AYK1:AYM1"/>
    <mergeCell ref="AYN1:AYP1"/>
    <mergeCell ref="AYQ1:AYS1"/>
    <mergeCell ref="AYT1:AYV1"/>
    <mergeCell ref="AYW1:AYY1"/>
    <mergeCell ref="AXV1:AXX1"/>
    <mergeCell ref="AXY1:AYA1"/>
    <mergeCell ref="AYB1:AYD1"/>
    <mergeCell ref="AYE1:AYG1"/>
    <mergeCell ref="AYH1:AYJ1"/>
    <mergeCell ref="BBW1:BBY1"/>
    <mergeCell ref="BBZ1:BCB1"/>
    <mergeCell ref="BCC1:BCE1"/>
    <mergeCell ref="BCF1:BCH1"/>
    <mergeCell ref="BCI1:BCK1"/>
    <mergeCell ref="BBH1:BBJ1"/>
    <mergeCell ref="BBK1:BBM1"/>
    <mergeCell ref="BBN1:BBP1"/>
    <mergeCell ref="BBQ1:BBS1"/>
    <mergeCell ref="BBT1:BBV1"/>
    <mergeCell ref="BAS1:BAU1"/>
    <mergeCell ref="BAV1:BAX1"/>
    <mergeCell ref="BAY1:BBA1"/>
    <mergeCell ref="BBB1:BBD1"/>
    <mergeCell ref="BBE1:BBG1"/>
    <mergeCell ref="BAD1:BAF1"/>
    <mergeCell ref="BAG1:BAI1"/>
    <mergeCell ref="BAJ1:BAL1"/>
    <mergeCell ref="BAM1:BAO1"/>
    <mergeCell ref="BAP1:BAR1"/>
    <mergeCell ref="BEE1:BEG1"/>
    <mergeCell ref="BEH1:BEJ1"/>
    <mergeCell ref="BEK1:BEM1"/>
    <mergeCell ref="BEN1:BEP1"/>
    <mergeCell ref="BEQ1:BES1"/>
    <mergeCell ref="BDP1:BDR1"/>
    <mergeCell ref="BDS1:BDU1"/>
    <mergeCell ref="BDV1:BDX1"/>
    <mergeCell ref="BDY1:BEA1"/>
    <mergeCell ref="BEB1:BED1"/>
    <mergeCell ref="BDA1:BDC1"/>
    <mergeCell ref="BDD1:BDF1"/>
    <mergeCell ref="BDG1:BDI1"/>
    <mergeCell ref="BDJ1:BDL1"/>
    <mergeCell ref="BDM1:BDO1"/>
    <mergeCell ref="BCL1:BCN1"/>
    <mergeCell ref="BCO1:BCQ1"/>
    <mergeCell ref="BCR1:BCT1"/>
    <mergeCell ref="BCU1:BCW1"/>
    <mergeCell ref="BCX1:BCZ1"/>
    <mergeCell ref="BGM1:BGO1"/>
    <mergeCell ref="BGP1:BGR1"/>
    <mergeCell ref="BGS1:BGU1"/>
    <mergeCell ref="BGV1:BGX1"/>
    <mergeCell ref="BGY1:BHA1"/>
    <mergeCell ref="BFX1:BFZ1"/>
    <mergeCell ref="BGA1:BGC1"/>
    <mergeCell ref="BGD1:BGF1"/>
    <mergeCell ref="BGG1:BGI1"/>
    <mergeCell ref="BGJ1:BGL1"/>
    <mergeCell ref="BFI1:BFK1"/>
    <mergeCell ref="BFL1:BFN1"/>
    <mergeCell ref="BFO1:BFQ1"/>
    <mergeCell ref="BFR1:BFT1"/>
    <mergeCell ref="BFU1:BFW1"/>
    <mergeCell ref="BET1:BEV1"/>
    <mergeCell ref="BEW1:BEY1"/>
    <mergeCell ref="BEZ1:BFB1"/>
    <mergeCell ref="BFC1:BFE1"/>
    <mergeCell ref="BFF1:BFH1"/>
    <mergeCell ref="BIU1:BIW1"/>
    <mergeCell ref="BIX1:BIZ1"/>
    <mergeCell ref="BJA1:BJC1"/>
    <mergeCell ref="BJD1:BJF1"/>
    <mergeCell ref="BJG1:BJI1"/>
    <mergeCell ref="BIF1:BIH1"/>
    <mergeCell ref="BII1:BIK1"/>
    <mergeCell ref="BIL1:BIN1"/>
    <mergeCell ref="BIO1:BIQ1"/>
    <mergeCell ref="BIR1:BIT1"/>
    <mergeCell ref="BHQ1:BHS1"/>
    <mergeCell ref="BHT1:BHV1"/>
    <mergeCell ref="BHW1:BHY1"/>
    <mergeCell ref="BHZ1:BIB1"/>
    <mergeCell ref="BIC1:BIE1"/>
    <mergeCell ref="BHB1:BHD1"/>
    <mergeCell ref="BHE1:BHG1"/>
    <mergeCell ref="BHH1:BHJ1"/>
    <mergeCell ref="BHK1:BHM1"/>
    <mergeCell ref="BHN1:BHP1"/>
    <mergeCell ref="BLC1:BLE1"/>
    <mergeCell ref="BLF1:BLH1"/>
    <mergeCell ref="BLI1:BLK1"/>
    <mergeCell ref="BLL1:BLN1"/>
    <mergeCell ref="BLO1:BLQ1"/>
    <mergeCell ref="BKN1:BKP1"/>
    <mergeCell ref="BKQ1:BKS1"/>
    <mergeCell ref="BKT1:BKV1"/>
    <mergeCell ref="BKW1:BKY1"/>
    <mergeCell ref="BKZ1:BLB1"/>
    <mergeCell ref="BJY1:BKA1"/>
    <mergeCell ref="BKB1:BKD1"/>
    <mergeCell ref="BKE1:BKG1"/>
    <mergeCell ref="BKH1:BKJ1"/>
    <mergeCell ref="BKK1:BKM1"/>
    <mergeCell ref="BJJ1:BJL1"/>
    <mergeCell ref="BJM1:BJO1"/>
    <mergeCell ref="BJP1:BJR1"/>
    <mergeCell ref="BJS1:BJU1"/>
    <mergeCell ref="BJV1:BJX1"/>
    <mergeCell ref="BNK1:BNM1"/>
    <mergeCell ref="BNN1:BNP1"/>
    <mergeCell ref="BNQ1:BNS1"/>
    <mergeCell ref="BNT1:BNV1"/>
    <mergeCell ref="BNW1:BNY1"/>
    <mergeCell ref="BMV1:BMX1"/>
    <mergeCell ref="BMY1:BNA1"/>
    <mergeCell ref="BNB1:BND1"/>
    <mergeCell ref="BNE1:BNG1"/>
    <mergeCell ref="BNH1:BNJ1"/>
    <mergeCell ref="BMG1:BMI1"/>
    <mergeCell ref="BMJ1:BML1"/>
    <mergeCell ref="BMM1:BMO1"/>
    <mergeCell ref="BMP1:BMR1"/>
    <mergeCell ref="BMS1:BMU1"/>
    <mergeCell ref="BLR1:BLT1"/>
    <mergeCell ref="BLU1:BLW1"/>
    <mergeCell ref="BLX1:BLZ1"/>
    <mergeCell ref="BMA1:BMC1"/>
    <mergeCell ref="BMD1:BMF1"/>
    <mergeCell ref="BPS1:BPU1"/>
    <mergeCell ref="BPV1:BPX1"/>
    <mergeCell ref="BPY1:BQA1"/>
    <mergeCell ref="BQB1:BQD1"/>
    <mergeCell ref="BQE1:BQG1"/>
    <mergeCell ref="BPD1:BPF1"/>
    <mergeCell ref="BPG1:BPI1"/>
    <mergeCell ref="BPJ1:BPL1"/>
    <mergeCell ref="BPM1:BPO1"/>
    <mergeCell ref="BPP1:BPR1"/>
    <mergeCell ref="BOO1:BOQ1"/>
    <mergeCell ref="BOR1:BOT1"/>
    <mergeCell ref="BOU1:BOW1"/>
    <mergeCell ref="BOX1:BOZ1"/>
    <mergeCell ref="BPA1:BPC1"/>
    <mergeCell ref="BNZ1:BOB1"/>
    <mergeCell ref="BOC1:BOE1"/>
    <mergeCell ref="BOF1:BOH1"/>
    <mergeCell ref="BOI1:BOK1"/>
    <mergeCell ref="BOL1:BON1"/>
    <mergeCell ref="BSA1:BSC1"/>
    <mergeCell ref="BSD1:BSF1"/>
    <mergeCell ref="BSG1:BSI1"/>
    <mergeCell ref="BSJ1:BSL1"/>
    <mergeCell ref="BSM1:BSO1"/>
    <mergeCell ref="BRL1:BRN1"/>
    <mergeCell ref="BRO1:BRQ1"/>
    <mergeCell ref="BRR1:BRT1"/>
    <mergeCell ref="BRU1:BRW1"/>
    <mergeCell ref="BRX1:BRZ1"/>
    <mergeCell ref="BQW1:BQY1"/>
    <mergeCell ref="BQZ1:BRB1"/>
    <mergeCell ref="BRC1:BRE1"/>
    <mergeCell ref="BRF1:BRH1"/>
    <mergeCell ref="BRI1:BRK1"/>
    <mergeCell ref="BQH1:BQJ1"/>
    <mergeCell ref="BQK1:BQM1"/>
    <mergeCell ref="BQN1:BQP1"/>
    <mergeCell ref="BQQ1:BQS1"/>
    <mergeCell ref="BQT1:BQV1"/>
    <mergeCell ref="BUI1:BUK1"/>
    <mergeCell ref="BUL1:BUN1"/>
    <mergeCell ref="BUO1:BUQ1"/>
    <mergeCell ref="BUR1:BUT1"/>
    <mergeCell ref="BUU1:BUW1"/>
    <mergeCell ref="BTT1:BTV1"/>
    <mergeCell ref="BTW1:BTY1"/>
    <mergeCell ref="BTZ1:BUB1"/>
    <mergeCell ref="BUC1:BUE1"/>
    <mergeCell ref="BUF1:BUH1"/>
    <mergeCell ref="BTE1:BTG1"/>
    <mergeCell ref="BTH1:BTJ1"/>
    <mergeCell ref="BTK1:BTM1"/>
    <mergeCell ref="BTN1:BTP1"/>
    <mergeCell ref="BTQ1:BTS1"/>
    <mergeCell ref="BSP1:BSR1"/>
    <mergeCell ref="BSS1:BSU1"/>
    <mergeCell ref="BSV1:BSX1"/>
    <mergeCell ref="BSY1:BTA1"/>
    <mergeCell ref="BTB1:BTD1"/>
    <mergeCell ref="BWQ1:BWS1"/>
    <mergeCell ref="BWT1:BWV1"/>
    <mergeCell ref="BWW1:BWY1"/>
    <mergeCell ref="BWZ1:BXB1"/>
    <mergeCell ref="BXC1:BXE1"/>
    <mergeCell ref="BWB1:BWD1"/>
    <mergeCell ref="BWE1:BWG1"/>
    <mergeCell ref="BWH1:BWJ1"/>
    <mergeCell ref="BWK1:BWM1"/>
    <mergeCell ref="BWN1:BWP1"/>
    <mergeCell ref="BVM1:BVO1"/>
    <mergeCell ref="BVP1:BVR1"/>
    <mergeCell ref="BVS1:BVU1"/>
    <mergeCell ref="BVV1:BVX1"/>
    <mergeCell ref="BVY1:BWA1"/>
    <mergeCell ref="BUX1:BUZ1"/>
    <mergeCell ref="BVA1:BVC1"/>
    <mergeCell ref="BVD1:BVF1"/>
    <mergeCell ref="BVG1:BVI1"/>
    <mergeCell ref="BVJ1:BVL1"/>
    <mergeCell ref="BYY1:BZA1"/>
    <mergeCell ref="BZB1:BZD1"/>
    <mergeCell ref="BZE1:BZG1"/>
    <mergeCell ref="BZH1:BZJ1"/>
    <mergeCell ref="BZK1:BZM1"/>
    <mergeCell ref="BYJ1:BYL1"/>
    <mergeCell ref="BYM1:BYO1"/>
    <mergeCell ref="BYP1:BYR1"/>
    <mergeCell ref="BYS1:BYU1"/>
    <mergeCell ref="BYV1:BYX1"/>
    <mergeCell ref="BXU1:BXW1"/>
    <mergeCell ref="BXX1:BXZ1"/>
    <mergeCell ref="BYA1:BYC1"/>
    <mergeCell ref="BYD1:BYF1"/>
    <mergeCell ref="BYG1:BYI1"/>
    <mergeCell ref="BXF1:BXH1"/>
    <mergeCell ref="BXI1:BXK1"/>
    <mergeCell ref="BXL1:BXN1"/>
    <mergeCell ref="BXO1:BXQ1"/>
    <mergeCell ref="BXR1:BXT1"/>
    <mergeCell ref="CBG1:CBI1"/>
    <mergeCell ref="CBJ1:CBL1"/>
    <mergeCell ref="CBM1:CBO1"/>
    <mergeCell ref="CBP1:CBR1"/>
    <mergeCell ref="CBS1:CBU1"/>
    <mergeCell ref="CAR1:CAT1"/>
    <mergeCell ref="CAU1:CAW1"/>
    <mergeCell ref="CAX1:CAZ1"/>
    <mergeCell ref="CBA1:CBC1"/>
    <mergeCell ref="CBD1:CBF1"/>
    <mergeCell ref="CAC1:CAE1"/>
    <mergeCell ref="CAF1:CAH1"/>
    <mergeCell ref="CAI1:CAK1"/>
    <mergeCell ref="CAL1:CAN1"/>
    <mergeCell ref="CAO1:CAQ1"/>
    <mergeCell ref="BZN1:BZP1"/>
    <mergeCell ref="BZQ1:BZS1"/>
    <mergeCell ref="BZT1:BZV1"/>
    <mergeCell ref="BZW1:BZY1"/>
    <mergeCell ref="BZZ1:CAB1"/>
    <mergeCell ref="CDO1:CDQ1"/>
    <mergeCell ref="CDR1:CDT1"/>
    <mergeCell ref="CDU1:CDW1"/>
    <mergeCell ref="CDX1:CDZ1"/>
    <mergeCell ref="CEA1:CEC1"/>
    <mergeCell ref="CCZ1:CDB1"/>
    <mergeCell ref="CDC1:CDE1"/>
    <mergeCell ref="CDF1:CDH1"/>
    <mergeCell ref="CDI1:CDK1"/>
    <mergeCell ref="CDL1:CDN1"/>
    <mergeCell ref="CCK1:CCM1"/>
    <mergeCell ref="CCN1:CCP1"/>
    <mergeCell ref="CCQ1:CCS1"/>
    <mergeCell ref="CCT1:CCV1"/>
    <mergeCell ref="CCW1:CCY1"/>
    <mergeCell ref="CBV1:CBX1"/>
    <mergeCell ref="CBY1:CCA1"/>
    <mergeCell ref="CCB1:CCD1"/>
    <mergeCell ref="CCE1:CCG1"/>
    <mergeCell ref="CCH1:CCJ1"/>
    <mergeCell ref="CFW1:CFY1"/>
    <mergeCell ref="CFZ1:CGB1"/>
    <mergeCell ref="CGC1:CGE1"/>
    <mergeCell ref="CGF1:CGH1"/>
    <mergeCell ref="CGI1:CGK1"/>
    <mergeCell ref="CFH1:CFJ1"/>
    <mergeCell ref="CFK1:CFM1"/>
    <mergeCell ref="CFN1:CFP1"/>
    <mergeCell ref="CFQ1:CFS1"/>
    <mergeCell ref="CFT1:CFV1"/>
    <mergeCell ref="CES1:CEU1"/>
    <mergeCell ref="CEV1:CEX1"/>
    <mergeCell ref="CEY1:CFA1"/>
    <mergeCell ref="CFB1:CFD1"/>
    <mergeCell ref="CFE1:CFG1"/>
    <mergeCell ref="CED1:CEF1"/>
    <mergeCell ref="CEG1:CEI1"/>
    <mergeCell ref="CEJ1:CEL1"/>
    <mergeCell ref="CEM1:CEO1"/>
    <mergeCell ref="CEP1:CER1"/>
    <mergeCell ref="CIE1:CIG1"/>
    <mergeCell ref="CIH1:CIJ1"/>
    <mergeCell ref="CIK1:CIM1"/>
    <mergeCell ref="CIN1:CIP1"/>
    <mergeCell ref="CIQ1:CIS1"/>
    <mergeCell ref="CHP1:CHR1"/>
    <mergeCell ref="CHS1:CHU1"/>
    <mergeCell ref="CHV1:CHX1"/>
    <mergeCell ref="CHY1:CIA1"/>
    <mergeCell ref="CIB1:CID1"/>
    <mergeCell ref="CHA1:CHC1"/>
    <mergeCell ref="CHD1:CHF1"/>
    <mergeCell ref="CHG1:CHI1"/>
    <mergeCell ref="CHJ1:CHL1"/>
    <mergeCell ref="CHM1:CHO1"/>
    <mergeCell ref="CGL1:CGN1"/>
    <mergeCell ref="CGO1:CGQ1"/>
    <mergeCell ref="CGR1:CGT1"/>
    <mergeCell ref="CGU1:CGW1"/>
    <mergeCell ref="CGX1:CGZ1"/>
    <mergeCell ref="CKM1:CKO1"/>
    <mergeCell ref="CKP1:CKR1"/>
    <mergeCell ref="CKS1:CKU1"/>
    <mergeCell ref="CKV1:CKX1"/>
    <mergeCell ref="CKY1:CLA1"/>
    <mergeCell ref="CJX1:CJZ1"/>
    <mergeCell ref="CKA1:CKC1"/>
    <mergeCell ref="CKD1:CKF1"/>
    <mergeCell ref="CKG1:CKI1"/>
    <mergeCell ref="CKJ1:CKL1"/>
    <mergeCell ref="CJI1:CJK1"/>
    <mergeCell ref="CJL1:CJN1"/>
    <mergeCell ref="CJO1:CJQ1"/>
    <mergeCell ref="CJR1:CJT1"/>
    <mergeCell ref="CJU1:CJW1"/>
    <mergeCell ref="CIT1:CIV1"/>
    <mergeCell ref="CIW1:CIY1"/>
    <mergeCell ref="CIZ1:CJB1"/>
    <mergeCell ref="CJC1:CJE1"/>
    <mergeCell ref="CJF1:CJH1"/>
    <mergeCell ref="CMU1:CMW1"/>
    <mergeCell ref="CMX1:CMZ1"/>
    <mergeCell ref="CNA1:CNC1"/>
    <mergeCell ref="CND1:CNF1"/>
    <mergeCell ref="CNG1:CNI1"/>
    <mergeCell ref="CMF1:CMH1"/>
    <mergeCell ref="CMI1:CMK1"/>
    <mergeCell ref="CML1:CMN1"/>
    <mergeCell ref="CMO1:CMQ1"/>
    <mergeCell ref="CMR1:CMT1"/>
    <mergeCell ref="CLQ1:CLS1"/>
    <mergeCell ref="CLT1:CLV1"/>
    <mergeCell ref="CLW1:CLY1"/>
    <mergeCell ref="CLZ1:CMB1"/>
    <mergeCell ref="CMC1:CME1"/>
    <mergeCell ref="CLB1:CLD1"/>
    <mergeCell ref="CLE1:CLG1"/>
    <mergeCell ref="CLH1:CLJ1"/>
    <mergeCell ref="CLK1:CLM1"/>
    <mergeCell ref="CLN1:CLP1"/>
    <mergeCell ref="CPC1:CPE1"/>
    <mergeCell ref="CPF1:CPH1"/>
    <mergeCell ref="CPI1:CPK1"/>
    <mergeCell ref="CPL1:CPN1"/>
    <mergeCell ref="CPO1:CPQ1"/>
    <mergeCell ref="CON1:COP1"/>
    <mergeCell ref="COQ1:COS1"/>
    <mergeCell ref="COT1:COV1"/>
    <mergeCell ref="COW1:COY1"/>
    <mergeCell ref="COZ1:CPB1"/>
    <mergeCell ref="CNY1:COA1"/>
    <mergeCell ref="COB1:COD1"/>
    <mergeCell ref="COE1:COG1"/>
    <mergeCell ref="COH1:COJ1"/>
    <mergeCell ref="COK1:COM1"/>
    <mergeCell ref="CNJ1:CNL1"/>
    <mergeCell ref="CNM1:CNO1"/>
    <mergeCell ref="CNP1:CNR1"/>
    <mergeCell ref="CNS1:CNU1"/>
    <mergeCell ref="CNV1:CNX1"/>
    <mergeCell ref="CRK1:CRM1"/>
    <mergeCell ref="CRN1:CRP1"/>
    <mergeCell ref="CRQ1:CRS1"/>
    <mergeCell ref="CRT1:CRV1"/>
    <mergeCell ref="CRW1:CRY1"/>
    <mergeCell ref="CQV1:CQX1"/>
    <mergeCell ref="CQY1:CRA1"/>
    <mergeCell ref="CRB1:CRD1"/>
    <mergeCell ref="CRE1:CRG1"/>
    <mergeCell ref="CRH1:CRJ1"/>
    <mergeCell ref="CQG1:CQI1"/>
    <mergeCell ref="CQJ1:CQL1"/>
    <mergeCell ref="CQM1:CQO1"/>
    <mergeCell ref="CQP1:CQR1"/>
    <mergeCell ref="CQS1:CQU1"/>
    <mergeCell ref="CPR1:CPT1"/>
    <mergeCell ref="CPU1:CPW1"/>
    <mergeCell ref="CPX1:CPZ1"/>
    <mergeCell ref="CQA1:CQC1"/>
    <mergeCell ref="CQD1:CQF1"/>
    <mergeCell ref="CTS1:CTU1"/>
    <mergeCell ref="CTV1:CTX1"/>
    <mergeCell ref="CTY1:CUA1"/>
    <mergeCell ref="CUB1:CUD1"/>
    <mergeCell ref="CUE1:CUG1"/>
    <mergeCell ref="CTD1:CTF1"/>
    <mergeCell ref="CTG1:CTI1"/>
    <mergeCell ref="CTJ1:CTL1"/>
    <mergeCell ref="CTM1:CTO1"/>
    <mergeCell ref="CTP1:CTR1"/>
    <mergeCell ref="CSO1:CSQ1"/>
    <mergeCell ref="CSR1:CST1"/>
    <mergeCell ref="CSU1:CSW1"/>
    <mergeCell ref="CSX1:CSZ1"/>
    <mergeCell ref="CTA1:CTC1"/>
    <mergeCell ref="CRZ1:CSB1"/>
    <mergeCell ref="CSC1:CSE1"/>
    <mergeCell ref="CSF1:CSH1"/>
    <mergeCell ref="CSI1:CSK1"/>
    <mergeCell ref="CSL1:CSN1"/>
    <mergeCell ref="CWA1:CWC1"/>
    <mergeCell ref="CWD1:CWF1"/>
    <mergeCell ref="CWG1:CWI1"/>
    <mergeCell ref="CWJ1:CWL1"/>
    <mergeCell ref="CWM1:CWO1"/>
    <mergeCell ref="CVL1:CVN1"/>
    <mergeCell ref="CVO1:CVQ1"/>
    <mergeCell ref="CVR1:CVT1"/>
    <mergeCell ref="CVU1:CVW1"/>
    <mergeCell ref="CVX1:CVZ1"/>
    <mergeCell ref="CUW1:CUY1"/>
    <mergeCell ref="CUZ1:CVB1"/>
    <mergeCell ref="CVC1:CVE1"/>
    <mergeCell ref="CVF1:CVH1"/>
    <mergeCell ref="CVI1:CVK1"/>
    <mergeCell ref="CUH1:CUJ1"/>
    <mergeCell ref="CUK1:CUM1"/>
    <mergeCell ref="CUN1:CUP1"/>
    <mergeCell ref="CUQ1:CUS1"/>
    <mergeCell ref="CUT1:CUV1"/>
    <mergeCell ref="CYI1:CYK1"/>
    <mergeCell ref="CYL1:CYN1"/>
    <mergeCell ref="CYO1:CYQ1"/>
    <mergeCell ref="CYR1:CYT1"/>
    <mergeCell ref="CYU1:CYW1"/>
    <mergeCell ref="CXT1:CXV1"/>
    <mergeCell ref="CXW1:CXY1"/>
    <mergeCell ref="CXZ1:CYB1"/>
    <mergeCell ref="CYC1:CYE1"/>
    <mergeCell ref="CYF1:CYH1"/>
    <mergeCell ref="CXE1:CXG1"/>
    <mergeCell ref="CXH1:CXJ1"/>
    <mergeCell ref="CXK1:CXM1"/>
    <mergeCell ref="CXN1:CXP1"/>
    <mergeCell ref="CXQ1:CXS1"/>
    <mergeCell ref="CWP1:CWR1"/>
    <mergeCell ref="CWS1:CWU1"/>
    <mergeCell ref="CWV1:CWX1"/>
    <mergeCell ref="CWY1:CXA1"/>
    <mergeCell ref="CXB1:CXD1"/>
    <mergeCell ref="DAQ1:DAS1"/>
    <mergeCell ref="DAT1:DAV1"/>
    <mergeCell ref="DAW1:DAY1"/>
    <mergeCell ref="DAZ1:DBB1"/>
    <mergeCell ref="DBC1:DBE1"/>
    <mergeCell ref="DAB1:DAD1"/>
    <mergeCell ref="DAE1:DAG1"/>
    <mergeCell ref="DAH1:DAJ1"/>
    <mergeCell ref="DAK1:DAM1"/>
    <mergeCell ref="DAN1:DAP1"/>
    <mergeCell ref="CZM1:CZO1"/>
    <mergeCell ref="CZP1:CZR1"/>
    <mergeCell ref="CZS1:CZU1"/>
    <mergeCell ref="CZV1:CZX1"/>
    <mergeCell ref="CZY1:DAA1"/>
    <mergeCell ref="CYX1:CYZ1"/>
    <mergeCell ref="CZA1:CZC1"/>
    <mergeCell ref="CZD1:CZF1"/>
    <mergeCell ref="CZG1:CZI1"/>
    <mergeCell ref="CZJ1:CZL1"/>
    <mergeCell ref="DCY1:DDA1"/>
    <mergeCell ref="DDB1:DDD1"/>
    <mergeCell ref="DDE1:DDG1"/>
    <mergeCell ref="DDH1:DDJ1"/>
    <mergeCell ref="DDK1:DDM1"/>
    <mergeCell ref="DCJ1:DCL1"/>
    <mergeCell ref="DCM1:DCO1"/>
    <mergeCell ref="DCP1:DCR1"/>
    <mergeCell ref="DCS1:DCU1"/>
    <mergeCell ref="DCV1:DCX1"/>
    <mergeCell ref="DBU1:DBW1"/>
    <mergeCell ref="DBX1:DBZ1"/>
    <mergeCell ref="DCA1:DCC1"/>
    <mergeCell ref="DCD1:DCF1"/>
    <mergeCell ref="DCG1:DCI1"/>
    <mergeCell ref="DBF1:DBH1"/>
    <mergeCell ref="DBI1:DBK1"/>
    <mergeCell ref="DBL1:DBN1"/>
    <mergeCell ref="DBO1:DBQ1"/>
    <mergeCell ref="DBR1:DBT1"/>
    <mergeCell ref="DFG1:DFI1"/>
    <mergeCell ref="DFJ1:DFL1"/>
    <mergeCell ref="DFM1:DFO1"/>
    <mergeCell ref="DFP1:DFR1"/>
    <mergeCell ref="DFS1:DFU1"/>
    <mergeCell ref="DER1:DET1"/>
    <mergeCell ref="DEU1:DEW1"/>
    <mergeCell ref="DEX1:DEZ1"/>
    <mergeCell ref="DFA1:DFC1"/>
    <mergeCell ref="DFD1:DFF1"/>
    <mergeCell ref="DEC1:DEE1"/>
    <mergeCell ref="DEF1:DEH1"/>
    <mergeCell ref="DEI1:DEK1"/>
    <mergeCell ref="DEL1:DEN1"/>
    <mergeCell ref="DEO1:DEQ1"/>
    <mergeCell ref="DDN1:DDP1"/>
    <mergeCell ref="DDQ1:DDS1"/>
    <mergeCell ref="DDT1:DDV1"/>
    <mergeCell ref="DDW1:DDY1"/>
    <mergeCell ref="DDZ1:DEB1"/>
    <mergeCell ref="DHO1:DHQ1"/>
    <mergeCell ref="DHR1:DHT1"/>
    <mergeCell ref="DHU1:DHW1"/>
    <mergeCell ref="DHX1:DHZ1"/>
    <mergeCell ref="DIA1:DIC1"/>
    <mergeCell ref="DGZ1:DHB1"/>
    <mergeCell ref="DHC1:DHE1"/>
    <mergeCell ref="DHF1:DHH1"/>
    <mergeCell ref="DHI1:DHK1"/>
    <mergeCell ref="DHL1:DHN1"/>
    <mergeCell ref="DGK1:DGM1"/>
    <mergeCell ref="DGN1:DGP1"/>
    <mergeCell ref="DGQ1:DGS1"/>
    <mergeCell ref="DGT1:DGV1"/>
    <mergeCell ref="DGW1:DGY1"/>
    <mergeCell ref="DFV1:DFX1"/>
    <mergeCell ref="DFY1:DGA1"/>
    <mergeCell ref="DGB1:DGD1"/>
    <mergeCell ref="DGE1:DGG1"/>
    <mergeCell ref="DGH1:DGJ1"/>
    <mergeCell ref="DJW1:DJY1"/>
    <mergeCell ref="DJZ1:DKB1"/>
    <mergeCell ref="DKC1:DKE1"/>
    <mergeCell ref="DKF1:DKH1"/>
    <mergeCell ref="DKI1:DKK1"/>
    <mergeCell ref="DJH1:DJJ1"/>
    <mergeCell ref="DJK1:DJM1"/>
    <mergeCell ref="DJN1:DJP1"/>
    <mergeCell ref="DJQ1:DJS1"/>
    <mergeCell ref="DJT1:DJV1"/>
    <mergeCell ref="DIS1:DIU1"/>
    <mergeCell ref="DIV1:DIX1"/>
    <mergeCell ref="DIY1:DJA1"/>
    <mergeCell ref="DJB1:DJD1"/>
    <mergeCell ref="DJE1:DJG1"/>
    <mergeCell ref="DID1:DIF1"/>
    <mergeCell ref="DIG1:DII1"/>
    <mergeCell ref="DIJ1:DIL1"/>
    <mergeCell ref="DIM1:DIO1"/>
    <mergeCell ref="DIP1:DIR1"/>
    <mergeCell ref="DME1:DMG1"/>
    <mergeCell ref="DMH1:DMJ1"/>
    <mergeCell ref="DMK1:DMM1"/>
    <mergeCell ref="DMN1:DMP1"/>
    <mergeCell ref="DMQ1:DMS1"/>
    <mergeCell ref="DLP1:DLR1"/>
    <mergeCell ref="DLS1:DLU1"/>
    <mergeCell ref="DLV1:DLX1"/>
    <mergeCell ref="DLY1:DMA1"/>
    <mergeCell ref="DMB1:DMD1"/>
    <mergeCell ref="DLA1:DLC1"/>
    <mergeCell ref="DLD1:DLF1"/>
    <mergeCell ref="DLG1:DLI1"/>
    <mergeCell ref="DLJ1:DLL1"/>
    <mergeCell ref="DLM1:DLO1"/>
    <mergeCell ref="DKL1:DKN1"/>
    <mergeCell ref="DKO1:DKQ1"/>
    <mergeCell ref="DKR1:DKT1"/>
    <mergeCell ref="DKU1:DKW1"/>
    <mergeCell ref="DKX1:DKZ1"/>
    <mergeCell ref="DOM1:DOO1"/>
    <mergeCell ref="DOP1:DOR1"/>
    <mergeCell ref="DOS1:DOU1"/>
    <mergeCell ref="DOV1:DOX1"/>
    <mergeCell ref="DOY1:DPA1"/>
    <mergeCell ref="DNX1:DNZ1"/>
    <mergeCell ref="DOA1:DOC1"/>
    <mergeCell ref="DOD1:DOF1"/>
    <mergeCell ref="DOG1:DOI1"/>
    <mergeCell ref="DOJ1:DOL1"/>
    <mergeCell ref="DNI1:DNK1"/>
    <mergeCell ref="DNL1:DNN1"/>
    <mergeCell ref="DNO1:DNQ1"/>
    <mergeCell ref="DNR1:DNT1"/>
    <mergeCell ref="DNU1:DNW1"/>
    <mergeCell ref="DMT1:DMV1"/>
    <mergeCell ref="DMW1:DMY1"/>
    <mergeCell ref="DMZ1:DNB1"/>
    <mergeCell ref="DNC1:DNE1"/>
    <mergeCell ref="DNF1:DNH1"/>
    <mergeCell ref="DQU1:DQW1"/>
    <mergeCell ref="DQX1:DQZ1"/>
    <mergeCell ref="DRA1:DRC1"/>
    <mergeCell ref="DRD1:DRF1"/>
    <mergeCell ref="DRG1:DRI1"/>
    <mergeCell ref="DQF1:DQH1"/>
    <mergeCell ref="DQI1:DQK1"/>
    <mergeCell ref="DQL1:DQN1"/>
    <mergeCell ref="DQO1:DQQ1"/>
    <mergeCell ref="DQR1:DQT1"/>
    <mergeCell ref="DPQ1:DPS1"/>
    <mergeCell ref="DPT1:DPV1"/>
    <mergeCell ref="DPW1:DPY1"/>
    <mergeCell ref="DPZ1:DQB1"/>
    <mergeCell ref="DQC1:DQE1"/>
    <mergeCell ref="DPB1:DPD1"/>
    <mergeCell ref="DPE1:DPG1"/>
    <mergeCell ref="DPH1:DPJ1"/>
    <mergeCell ref="DPK1:DPM1"/>
    <mergeCell ref="DPN1:DPP1"/>
    <mergeCell ref="DTC1:DTE1"/>
    <mergeCell ref="DTF1:DTH1"/>
    <mergeCell ref="DTI1:DTK1"/>
    <mergeCell ref="DTL1:DTN1"/>
    <mergeCell ref="DTO1:DTQ1"/>
    <mergeCell ref="DSN1:DSP1"/>
    <mergeCell ref="DSQ1:DSS1"/>
    <mergeCell ref="DST1:DSV1"/>
    <mergeCell ref="DSW1:DSY1"/>
    <mergeCell ref="DSZ1:DTB1"/>
    <mergeCell ref="DRY1:DSA1"/>
    <mergeCell ref="DSB1:DSD1"/>
    <mergeCell ref="DSE1:DSG1"/>
    <mergeCell ref="DSH1:DSJ1"/>
    <mergeCell ref="DSK1:DSM1"/>
    <mergeCell ref="DRJ1:DRL1"/>
    <mergeCell ref="DRM1:DRO1"/>
    <mergeCell ref="DRP1:DRR1"/>
    <mergeCell ref="DRS1:DRU1"/>
    <mergeCell ref="DRV1:DRX1"/>
    <mergeCell ref="DVK1:DVM1"/>
    <mergeCell ref="DVN1:DVP1"/>
    <mergeCell ref="DVQ1:DVS1"/>
    <mergeCell ref="DVT1:DVV1"/>
    <mergeCell ref="DVW1:DVY1"/>
    <mergeCell ref="DUV1:DUX1"/>
    <mergeCell ref="DUY1:DVA1"/>
    <mergeCell ref="DVB1:DVD1"/>
    <mergeCell ref="DVE1:DVG1"/>
    <mergeCell ref="DVH1:DVJ1"/>
    <mergeCell ref="DUG1:DUI1"/>
    <mergeCell ref="DUJ1:DUL1"/>
    <mergeCell ref="DUM1:DUO1"/>
    <mergeCell ref="DUP1:DUR1"/>
    <mergeCell ref="DUS1:DUU1"/>
    <mergeCell ref="DTR1:DTT1"/>
    <mergeCell ref="DTU1:DTW1"/>
    <mergeCell ref="DTX1:DTZ1"/>
    <mergeCell ref="DUA1:DUC1"/>
    <mergeCell ref="DUD1:DUF1"/>
    <mergeCell ref="DXS1:DXU1"/>
    <mergeCell ref="DXV1:DXX1"/>
    <mergeCell ref="DXY1:DYA1"/>
    <mergeCell ref="DYB1:DYD1"/>
    <mergeCell ref="DYE1:DYG1"/>
    <mergeCell ref="DXD1:DXF1"/>
    <mergeCell ref="DXG1:DXI1"/>
    <mergeCell ref="DXJ1:DXL1"/>
    <mergeCell ref="DXM1:DXO1"/>
    <mergeCell ref="DXP1:DXR1"/>
    <mergeCell ref="DWO1:DWQ1"/>
    <mergeCell ref="DWR1:DWT1"/>
    <mergeCell ref="DWU1:DWW1"/>
    <mergeCell ref="DWX1:DWZ1"/>
    <mergeCell ref="DXA1:DXC1"/>
    <mergeCell ref="DVZ1:DWB1"/>
    <mergeCell ref="DWC1:DWE1"/>
    <mergeCell ref="DWF1:DWH1"/>
    <mergeCell ref="DWI1:DWK1"/>
    <mergeCell ref="DWL1:DWN1"/>
    <mergeCell ref="EAA1:EAC1"/>
    <mergeCell ref="EAD1:EAF1"/>
    <mergeCell ref="EAG1:EAI1"/>
    <mergeCell ref="EAJ1:EAL1"/>
    <mergeCell ref="EAM1:EAO1"/>
    <mergeCell ref="DZL1:DZN1"/>
    <mergeCell ref="DZO1:DZQ1"/>
    <mergeCell ref="DZR1:DZT1"/>
    <mergeCell ref="DZU1:DZW1"/>
    <mergeCell ref="DZX1:DZZ1"/>
    <mergeCell ref="DYW1:DYY1"/>
    <mergeCell ref="DYZ1:DZB1"/>
    <mergeCell ref="DZC1:DZE1"/>
    <mergeCell ref="DZF1:DZH1"/>
    <mergeCell ref="DZI1:DZK1"/>
    <mergeCell ref="DYH1:DYJ1"/>
    <mergeCell ref="DYK1:DYM1"/>
    <mergeCell ref="DYN1:DYP1"/>
    <mergeCell ref="DYQ1:DYS1"/>
    <mergeCell ref="DYT1:DYV1"/>
    <mergeCell ref="ECI1:ECK1"/>
    <mergeCell ref="ECL1:ECN1"/>
    <mergeCell ref="ECO1:ECQ1"/>
    <mergeCell ref="ECR1:ECT1"/>
    <mergeCell ref="ECU1:ECW1"/>
    <mergeCell ref="EBT1:EBV1"/>
    <mergeCell ref="EBW1:EBY1"/>
    <mergeCell ref="EBZ1:ECB1"/>
    <mergeCell ref="ECC1:ECE1"/>
    <mergeCell ref="ECF1:ECH1"/>
    <mergeCell ref="EBE1:EBG1"/>
    <mergeCell ref="EBH1:EBJ1"/>
    <mergeCell ref="EBK1:EBM1"/>
    <mergeCell ref="EBN1:EBP1"/>
    <mergeCell ref="EBQ1:EBS1"/>
    <mergeCell ref="EAP1:EAR1"/>
    <mergeCell ref="EAS1:EAU1"/>
    <mergeCell ref="EAV1:EAX1"/>
    <mergeCell ref="EAY1:EBA1"/>
    <mergeCell ref="EBB1:EBD1"/>
    <mergeCell ref="EEQ1:EES1"/>
    <mergeCell ref="EET1:EEV1"/>
    <mergeCell ref="EEW1:EEY1"/>
    <mergeCell ref="EEZ1:EFB1"/>
    <mergeCell ref="EFC1:EFE1"/>
    <mergeCell ref="EEB1:EED1"/>
    <mergeCell ref="EEE1:EEG1"/>
    <mergeCell ref="EEH1:EEJ1"/>
    <mergeCell ref="EEK1:EEM1"/>
    <mergeCell ref="EEN1:EEP1"/>
    <mergeCell ref="EDM1:EDO1"/>
    <mergeCell ref="EDP1:EDR1"/>
    <mergeCell ref="EDS1:EDU1"/>
    <mergeCell ref="EDV1:EDX1"/>
    <mergeCell ref="EDY1:EEA1"/>
    <mergeCell ref="ECX1:ECZ1"/>
    <mergeCell ref="EDA1:EDC1"/>
    <mergeCell ref="EDD1:EDF1"/>
    <mergeCell ref="EDG1:EDI1"/>
    <mergeCell ref="EDJ1:EDL1"/>
    <mergeCell ref="EGY1:EHA1"/>
    <mergeCell ref="EHB1:EHD1"/>
    <mergeCell ref="EHE1:EHG1"/>
    <mergeCell ref="EHH1:EHJ1"/>
    <mergeCell ref="EHK1:EHM1"/>
    <mergeCell ref="EGJ1:EGL1"/>
    <mergeCell ref="EGM1:EGO1"/>
    <mergeCell ref="EGP1:EGR1"/>
    <mergeCell ref="EGS1:EGU1"/>
    <mergeCell ref="EGV1:EGX1"/>
    <mergeCell ref="EFU1:EFW1"/>
    <mergeCell ref="EFX1:EFZ1"/>
    <mergeCell ref="EGA1:EGC1"/>
    <mergeCell ref="EGD1:EGF1"/>
    <mergeCell ref="EGG1:EGI1"/>
    <mergeCell ref="EFF1:EFH1"/>
    <mergeCell ref="EFI1:EFK1"/>
    <mergeCell ref="EFL1:EFN1"/>
    <mergeCell ref="EFO1:EFQ1"/>
    <mergeCell ref="EFR1:EFT1"/>
    <mergeCell ref="EJG1:EJI1"/>
    <mergeCell ref="EJJ1:EJL1"/>
    <mergeCell ref="EJM1:EJO1"/>
    <mergeCell ref="EJP1:EJR1"/>
    <mergeCell ref="EJS1:EJU1"/>
    <mergeCell ref="EIR1:EIT1"/>
    <mergeCell ref="EIU1:EIW1"/>
    <mergeCell ref="EIX1:EIZ1"/>
    <mergeCell ref="EJA1:EJC1"/>
    <mergeCell ref="EJD1:EJF1"/>
    <mergeCell ref="EIC1:EIE1"/>
    <mergeCell ref="EIF1:EIH1"/>
    <mergeCell ref="EII1:EIK1"/>
    <mergeCell ref="EIL1:EIN1"/>
    <mergeCell ref="EIO1:EIQ1"/>
    <mergeCell ref="EHN1:EHP1"/>
    <mergeCell ref="EHQ1:EHS1"/>
    <mergeCell ref="EHT1:EHV1"/>
    <mergeCell ref="EHW1:EHY1"/>
    <mergeCell ref="EHZ1:EIB1"/>
    <mergeCell ref="ELO1:ELQ1"/>
    <mergeCell ref="ELR1:ELT1"/>
    <mergeCell ref="ELU1:ELW1"/>
    <mergeCell ref="ELX1:ELZ1"/>
    <mergeCell ref="EMA1:EMC1"/>
    <mergeCell ref="EKZ1:ELB1"/>
    <mergeCell ref="ELC1:ELE1"/>
    <mergeCell ref="ELF1:ELH1"/>
    <mergeCell ref="ELI1:ELK1"/>
    <mergeCell ref="ELL1:ELN1"/>
    <mergeCell ref="EKK1:EKM1"/>
    <mergeCell ref="EKN1:EKP1"/>
    <mergeCell ref="EKQ1:EKS1"/>
    <mergeCell ref="EKT1:EKV1"/>
    <mergeCell ref="EKW1:EKY1"/>
    <mergeCell ref="EJV1:EJX1"/>
    <mergeCell ref="EJY1:EKA1"/>
    <mergeCell ref="EKB1:EKD1"/>
    <mergeCell ref="EKE1:EKG1"/>
    <mergeCell ref="EKH1:EKJ1"/>
    <mergeCell ref="ENW1:ENY1"/>
    <mergeCell ref="ENZ1:EOB1"/>
    <mergeCell ref="EOC1:EOE1"/>
    <mergeCell ref="EOF1:EOH1"/>
    <mergeCell ref="EOI1:EOK1"/>
    <mergeCell ref="ENH1:ENJ1"/>
    <mergeCell ref="ENK1:ENM1"/>
    <mergeCell ref="ENN1:ENP1"/>
    <mergeCell ref="ENQ1:ENS1"/>
    <mergeCell ref="ENT1:ENV1"/>
    <mergeCell ref="EMS1:EMU1"/>
    <mergeCell ref="EMV1:EMX1"/>
    <mergeCell ref="EMY1:ENA1"/>
    <mergeCell ref="ENB1:END1"/>
    <mergeCell ref="ENE1:ENG1"/>
    <mergeCell ref="EMD1:EMF1"/>
    <mergeCell ref="EMG1:EMI1"/>
    <mergeCell ref="EMJ1:EML1"/>
    <mergeCell ref="EMM1:EMO1"/>
    <mergeCell ref="EMP1:EMR1"/>
    <mergeCell ref="EQE1:EQG1"/>
    <mergeCell ref="EQH1:EQJ1"/>
    <mergeCell ref="EQK1:EQM1"/>
    <mergeCell ref="EQN1:EQP1"/>
    <mergeCell ref="EQQ1:EQS1"/>
    <mergeCell ref="EPP1:EPR1"/>
    <mergeCell ref="EPS1:EPU1"/>
    <mergeCell ref="EPV1:EPX1"/>
    <mergeCell ref="EPY1:EQA1"/>
    <mergeCell ref="EQB1:EQD1"/>
    <mergeCell ref="EPA1:EPC1"/>
    <mergeCell ref="EPD1:EPF1"/>
    <mergeCell ref="EPG1:EPI1"/>
    <mergeCell ref="EPJ1:EPL1"/>
    <mergeCell ref="EPM1:EPO1"/>
    <mergeCell ref="EOL1:EON1"/>
    <mergeCell ref="EOO1:EOQ1"/>
    <mergeCell ref="EOR1:EOT1"/>
    <mergeCell ref="EOU1:EOW1"/>
    <mergeCell ref="EOX1:EOZ1"/>
    <mergeCell ref="ESM1:ESO1"/>
    <mergeCell ref="ESP1:ESR1"/>
    <mergeCell ref="ESS1:ESU1"/>
    <mergeCell ref="ESV1:ESX1"/>
    <mergeCell ref="ESY1:ETA1"/>
    <mergeCell ref="ERX1:ERZ1"/>
    <mergeCell ref="ESA1:ESC1"/>
    <mergeCell ref="ESD1:ESF1"/>
    <mergeCell ref="ESG1:ESI1"/>
    <mergeCell ref="ESJ1:ESL1"/>
    <mergeCell ref="ERI1:ERK1"/>
    <mergeCell ref="ERL1:ERN1"/>
    <mergeCell ref="ERO1:ERQ1"/>
    <mergeCell ref="ERR1:ERT1"/>
    <mergeCell ref="ERU1:ERW1"/>
    <mergeCell ref="EQT1:EQV1"/>
    <mergeCell ref="EQW1:EQY1"/>
    <mergeCell ref="EQZ1:ERB1"/>
    <mergeCell ref="ERC1:ERE1"/>
    <mergeCell ref="ERF1:ERH1"/>
    <mergeCell ref="EUU1:EUW1"/>
    <mergeCell ref="EUX1:EUZ1"/>
    <mergeCell ref="EVA1:EVC1"/>
    <mergeCell ref="EVD1:EVF1"/>
    <mergeCell ref="EVG1:EVI1"/>
    <mergeCell ref="EUF1:EUH1"/>
    <mergeCell ref="EUI1:EUK1"/>
    <mergeCell ref="EUL1:EUN1"/>
    <mergeCell ref="EUO1:EUQ1"/>
    <mergeCell ref="EUR1:EUT1"/>
    <mergeCell ref="ETQ1:ETS1"/>
    <mergeCell ref="ETT1:ETV1"/>
    <mergeCell ref="ETW1:ETY1"/>
    <mergeCell ref="ETZ1:EUB1"/>
    <mergeCell ref="EUC1:EUE1"/>
    <mergeCell ref="ETB1:ETD1"/>
    <mergeCell ref="ETE1:ETG1"/>
    <mergeCell ref="ETH1:ETJ1"/>
    <mergeCell ref="ETK1:ETM1"/>
    <mergeCell ref="ETN1:ETP1"/>
    <mergeCell ref="EXC1:EXE1"/>
    <mergeCell ref="EXF1:EXH1"/>
    <mergeCell ref="EXI1:EXK1"/>
    <mergeCell ref="EXL1:EXN1"/>
    <mergeCell ref="EXO1:EXQ1"/>
    <mergeCell ref="EWN1:EWP1"/>
    <mergeCell ref="EWQ1:EWS1"/>
    <mergeCell ref="EWT1:EWV1"/>
    <mergeCell ref="EWW1:EWY1"/>
    <mergeCell ref="EWZ1:EXB1"/>
    <mergeCell ref="EVY1:EWA1"/>
    <mergeCell ref="EWB1:EWD1"/>
    <mergeCell ref="EWE1:EWG1"/>
    <mergeCell ref="EWH1:EWJ1"/>
    <mergeCell ref="EWK1:EWM1"/>
    <mergeCell ref="EVJ1:EVL1"/>
    <mergeCell ref="EVM1:EVO1"/>
    <mergeCell ref="EVP1:EVR1"/>
    <mergeCell ref="EVS1:EVU1"/>
    <mergeCell ref="EVV1:EVX1"/>
    <mergeCell ref="EZK1:EZM1"/>
    <mergeCell ref="EZN1:EZP1"/>
    <mergeCell ref="EZQ1:EZS1"/>
    <mergeCell ref="EZT1:EZV1"/>
    <mergeCell ref="EZW1:EZY1"/>
    <mergeCell ref="EYV1:EYX1"/>
    <mergeCell ref="EYY1:EZA1"/>
    <mergeCell ref="EZB1:EZD1"/>
    <mergeCell ref="EZE1:EZG1"/>
    <mergeCell ref="EZH1:EZJ1"/>
    <mergeCell ref="EYG1:EYI1"/>
    <mergeCell ref="EYJ1:EYL1"/>
    <mergeCell ref="EYM1:EYO1"/>
    <mergeCell ref="EYP1:EYR1"/>
    <mergeCell ref="EYS1:EYU1"/>
    <mergeCell ref="EXR1:EXT1"/>
    <mergeCell ref="EXU1:EXW1"/>
    <mergeCell ref="EXX1:EXZ1"/>
    <mergeCell ref="EYA1:EYC1"/>
    <mergeCell ref="EYD1:EYF1"/>
    <mergeCell ref="FBS1:FBU1"/>
    <mergeCell ref="FBV1:FBX1"/>
    <mergeCell ref="FBY1:FCA1"/>
    <mergeCell ref="FCB1:FCD1"/>
    <mergeCell ref="FCE1:FCG1"/>
    <mergeCell ref="FBD1:FBF1"/>
    <mergeCell ref="FBG1:FBI1"/>
    <mergeCell ref="FBJ1:FBL1"/>
    <mergeCell ref="FBM1:FBO1"/>
    <mergeCell ref="FBP1:FBR1"/>
    <mergeCell ref="FAO1:FAQ1"/>
    <mergeCell ref="FAR1:FAT1"/>
    <mergeCell ref="FAU1:FAW1"/>
    <mergeCell ref="FAX1:FAZ1"/>
    <mergeCell ref="FBA1:FBC1"/>
    <mergeCell ref="EZZ1:FAB1"/>
    <mergeCell ref="FAC1:FAE1"/>
    <mergeCell ref="FAF1:FAH1"/>
    <mergeCell ref="FAI1:FAK1"/>
    <mergeCell ref="FAL1:FAN1"/>
    <mergeCell ref="FEA1:FEC1"/>
    <mergeCell ref="FED1:FEF1"/>
    <mergeCell ref="FEG1:FEI1"/>
    <mergeCell ref="FEJ1:FEL1"/>
    <mergeCell ref="FEM1:FEO1"/>
    <mergeCell ref="FDL1:FDN1"/>
    <mergeCell ref="FDO1:FDQ1"/>
    <mergeCell ref="FDR1:FDT1"/>
    <mergeCell ref="FDU1:FDW1"/>
    <mergeCell ref="FDX1:FDZ1"/>
    <mergeCell ref="FCW1:FCY1"/>
    <mergeCell ref="FCZ1:FDB1"/>
    <mergeCell ref="FDC1:FDE1"/>
    <mergeCell ref="FDF1:FDH1"/>
    <mergeCell ref="FDI1:FDK1"/>
    <mergeCell ref="FCH1:FCJ1"/>
    <mergeCell ref="FCK1:FCM1"/>
    <mergeCell ref="FCN1:FCP1"/>
    <mergeCell ref="FCQ1:FCS1"/>
    <mergeCell ref="FCT1:FCV1"/>
    <mergeCell ref="FGI1:FGK1"/>
    <mergeCell ref="FGL1:FGN1"/>
    <mergeCell ref="FGO1:FGQ1"/>
    <mergeCell ref="FGR1:FGT1"/>
    <mergeCell ref="FGU1:FGW1"/>
    <mergeCell ref="FFT1:FFV1"/>
    <mergeCell ref="FFW1:FFY1"/>
    <mergeCell ref="FFZ1:FGB1"/>
    <mergeCell ref="FGC1:FGE1"/>
    <mergeCell ref="FGF1:FGH1"/>
    <mergeCell ref="FFE1:FFG1"/>
    <mergeCell ref="FFH1:FFJ1"/>
    <mergeCell ref="FFK1:FFM1"/>
    <mergeCell ref="FFN1:FFP1"/>
    <mergeCell ref="FFQ1:FFS1"/>
    <mergeCell ref="FEP1:FER1"/>
    <mergeCell ref="FES1:FEU1"/>
    <mergeCell ref="FEV1:FEX1"/>
    <mergeCell ref="FEY1:FFA1"/>
    <mergeCell ref="FFB1:FFD1"/>
    <mergeCell ref="FIQ1:FIS1"/>
    <mergeCell ref="FIT1:FIV1"/>
    <mergeCell ref="FIW1:FIY1"/>
    <mergeCell ref="FIZ1:FJB1"/>
    <mergeCell ref="FJC1:FJE1"/>
    <mergeCell ref="FIB1:FID1"/>
    <mergeCell ref="FIE1:FIG1"/>
    <mergeCell ref="FIH1:FIJ1"/>
    <mergeCell ref="FIK1:FIM1"/>
    <mergeCell ref="FIN1:FIP1"/>
    <mergeCell ref="FHM1:FHO1"/>
    <mergeCell ref="FHP1:FHR1"/>
    <mergeCell ref="FHS1:FHU1"/>
    <mergeCell ref="FHV1:FHX1"/>
    <mergeCell ref="FHY1:FIA1"/>
    <mergeCell ref="FGX1:FGZ1"/>
    <mergeCell ref="FHA1:FHC1"/>
    <mergeCell ref="FHD1:FHF1"/>
    <mergeCell ref="FHG1:FHI1"/>
    <mergeCell ref="FHJ1:FHL1"/>
    <mergeCell ref="FKY1:FLA1"/>
    <mergeCell ref="FLB1:FLD1"/>
    <mergeCell ref="FLE1:FLG1"/>
    <mergeCell ref="FLH1:FLJ1"/>
    <mergeCell ref="FLK1:FLM1"/>
    <mergeCell ref="FKJ1:FKL1"/>
    <mergeCell ref="FKM1:FKO1"/>
    <mergeCell ref="FKP1:FKR1"/>
    <mergeCell ref="FKS1:FKU1"/>
    <mergeCell ref="FKV1:FKX1"/>
    <mergeCell ref="FJU1:FJW1"/>
    <mergeCell ref="FJX1:FJZ1"/>
    <mergeCell ref="FKA1:FKC1"/>
    <mergeCell ref="FKD1:FKF1"/>
    <mergeCell ref="FKG1:FKI1"/>
    <mergeCell ref="FJF1:FJH1"/>
    <mergeCell ref="FJI1:FJK1"/>
    <mergeCell ref="FJL1:FJN1"/>
    <mergeCell ref="FJO1:FJQ1"/>
    <mergeCell ref="FJR1:FJT1"/>
    <mergeCell ref="FNG1:FNI1"/>
    <mergeCell ref="FNJ1:FNL1"/>
    <mergeCell ref="FNM1:FNO1"/>
    <mergeCell ref="FNP1:FNR1"/>
    <mergeCell ref="FNS1:FNU1"/>
    <mergeCell ref="FMR1:FMT1"/>
    <mergeCell ref="FMU1:FMW1"/>
    <mergeCell ref="FMX1:FMZ1"/>
    <mergeCell ref="FNA1:FNC1"/>
    <mergeCell ref="FND1:FNF1"/>
    <mergeCell ref="FMC1:FME1"/>
    <mergeCell ref="FMF1:FMH1"/>
    <mergeCell ref="FMI1:FMK1"/>
    <mergeCell ref="FML1:FMN1"/>
    <mergeCell ref="FMO1:FMQ1"/>
    <mergeCell ref="FLN1:FLP1"/>
    <mergeCell ref="FLQ1:FLS1"/>
    <mergeCell ref="FLT1:FLV1"/>
    <mergeCell ref="FLW1:FLY1"/>
    <mergeCell ref="FLZ1:FMB1"/>
    <mergeCell ref="FPO1:FPQ1"/>
    <mergeCell ref="FPR1:FPT1"/>
    <mergeCell ref="FPU1:FPW1"/>
    <mergeCell ref="FPX1:FPZ1"/>
    <mergeCell ref="FQA1:FQC1"/>
    <mergeCell ref="FOZ1:FPB1"/>
    <mergeCell ref="FPC1:FPE1"/>
    <mergeCell ref="FPF1:FPH1"/>
    <mergeCell ref="FPI1:FPK1"/>
    <mergeCell ref="FPL1:FPN1"/>
    <mergeCell ref="FOK1:FOM1"/>
    <mergeCell ref="FON1:FOP1"/>
    <mergeCell ref="FOQ1:FOS1"/>
    <mergeCell ref="FOT1:FOV1"/>
    <mergeCell ref="FOW1:FOY1"/>
    <mergeCell ref="FNV1:FNX1"/>
    <mergeCell ref="FNY1:FOA1"/>
    <mergeCell ref="FOB1:FOD1"/>
    <mergeCell ref="FOE1:FOG1"/>
    <mergeCell ref="FOH1:FOJ1"/>
    <mergeCell ref="FRW1:FRY1"/>
    <mergeCell ref="FRZ1:FSB1"/>
    <mergeCell ref="FSC1:FSE1"/>
    <mergeCell ref="FSF1:FSH1"/>
    <mergeCell ref="FSI1:FSK1"/>
    <mergeCell ref="FRH1:FRJ1"/>
    <mergeCell ref="FRK1:FRM1"/>
    <mergeCell ref="FRN1:FRP1"/>
    <mergeCell ref="FRQ1:FRS1"/>
    <mergeCell ref="FRT1:FRV1"/>
    <mergeCell ref="FQS1:FQU1"/>
    <mergeCell ref="FQV1:FQX1"/>
    <mergeCell ref="FQY1:FRA1"/>
    <mergeCell ref="FRB1:FRD1"/>
    <mergeCell ref="FRE1:FRG1"/>
    <mergeCell ref="FQD1:FQF1"/>
    <mergeCell ref="FQG1:FQI1"/>
    <mergeCell ref="FQJ1:FQL1"/>
    <mergeCell ref="FQM1:FQO1"/>
    <mergeCell ref="FQP1:FQR1"/>
    <mergeCell ref="FUE1:FUG1"/>
    <mergeCell ref="FUH1:FUJ1"/>
    <mergeCell ref="FUK1:FUM1"/>
    <mergeCell ref="FUN1:FUP1"/>
    <mergeCell ref="FUQ1:FUS1"/>
    <mergeCell ref="FTP1:FTR1"/>
    <mergeCell ref="FTS1:FTU1"/>
    <mergeCell ref="FTV1:FTX1"/>
    <mergeCell ref="FTY1:FUA1"/>
    <mergeCell ref="FUB1:FUD1"/>
    <mergeCell ref="FTA1:FTC1"/>
    <mergeCell ref="FTD1:FTF1"/>
    <mergeCell ref="FTG1:FTI1"/>
    <mergeCell ref="FTJ1:FTL1"/>
    <mergeCell ref="FTM1:FTO1"/>
    <mergeCell ref="FSL1:FSN1"/>
    <mergeCell ref="FSO1:FSQ1"/>
    <mergeCell ref="FSR1:FST1"/>
    <mergeCell ref="FSU1:FSW1"/>
    <mergeCell ref="FSX1:FSZ1"/>
    <mergeCell ref="FWM1:FWO1"/>
    <mergeCell ref="FWP1:FWR1"/>
    <mergeCell ref="FWS1:FWU1"/>
    <mergeCell ref="FWV1:FWX1"/>
    <mergeCell ref="FWY1:FXA1"/>
    <mergeCell ref="FVX1:FVZ1"/>
    <mergeCell ref="FWA1:FWC1"/>
    <mergeCell ref="FWD1:FWF1"/>
    <mergeCell ref="FWG1:FWI1"/>
    <mergeCell ref="FWJ1:FWL1"/>
    <mergeCell ref="FVI1:FVK1"/>
    <mergeCell ref="FVL1:FVN1"/>
    <mergeCell ref="FVO1:FVQ1"/>
    <mergeCell ref="FVR1:FVT1"/>
    <mergeCell ref="FVU1:FVW1"/>
    <mergeCell ref="FUT1:FUV1"/>
    <mergeCell ref="FUW1:FUY1"/>
    <mergeCell ref="FUZ1:FVB1"/>
    <mergeCell ref="FVC1:FVE1"/>
    <mergeCell ref="FVF1:FVH1"/>
    <mergeCell ref="FYU1:FYW1"/>
    <mergeCell ref="FYX1:FYZ1"/>
    <mergeCell ref="FZA1:FZC1"/>
    <mergeCell ref="FZD1:FZF1"/>
    <mergeCell ref="FZG1:FZI1"/>
    <mergeCell ref="FYF1:FYH1"/>
    <mergeCell ref="FYI1:FYK1"/>
    <mergeCell ref="FYL1:FYN1"/>
    <mergeCell ref="FYO1:FYQ1"/>
    <mergeCell ref="FYR1:FYT1"/>
    <mergeCell ref="FXQ1:FXS1"/>
    <mergeCell ref="FXT1:FXV1"/>
    <mergeCell ref="FXW1:FXY1"/>
    <mergeCell ref="FXZ1:FYB1"/>
    <mergeCell ref="FYC1:FYE1"/>
    <mergeCell ref="FXB1:FXD1"/>
    <mergeCell ref="FXE1:FXG1"/>
    <mergeCell ref="FXH1:FXJ1"/>
    <mergeCell ref="FXK1:FXM1"/>
    <mergeCell ref="FXN1:FXP1"/>
    <mergeCell ref="GBC1:GBE1"/>
    <mergeCell ref="GBF1:GBH1"/>
    <mergeCell ref="GBI1:GBK1"/>
    <mergeCell ref="GBL1:GBN1"/>
    <mergeCell ref="GBO1:GBQ1"/>
    <mergeCell ref="GAN1:GAP1"/>
    <mergeCell ref="GAQ1:GAS1"/>
    <mergeCell ref="GAT1:GAV1"/>
    <mergeCell ref="GAW1:GAY1"/>
    <mergeCell ref="GAZ1:GBB1"/>
    <mergeCell ref="FZY1:GAA1"/>
    <mergeCell ref="GAB1:GAD1"/>
    <mergeCell ref="GAE1:GAG1"/>
    <mergeCell ref="GAH1:GAJ1"/>
    <mergeCell ref="GAK1:GAM1"/>
    <mergeCell ref="FZJ1:FZL1"/>
    <mergeCell ref="FZM1:FZO1"/>
    <mergeCell ref="FZP1:FZR1"/>
    <mergeCell ref="FZS1:FZU1"/>
    <mergeCell ref="FZV1:FZX1"/>
    <mergeCell ref="GDK1:GDM1"/>
    <mergeCell ref="GDN1:GDP1"/>
    <mergeCell ref="GDQ1:GDS1"/>
    <mergeCell ref="GDT1:GDV1"/>
    <mergeCell ref="GDW1:GDY1"/>
    <mergeCell ref="GCV1:GCX1"/>
    <mergeCell ref="GCY1:GDA1"/>
    <mergeCell ref="GDB1:GDD1"/>
    <mergeCell ref="GDE1:GDG1"/>
    <mergeCell ref="GDH1:GDJ1"/>
    <mergeCell ref="GCG1:GCI1"/>
    <mergeCell ref="GCJ1:GCL1"/>
    <mergeCell ref="GCM1:GCO1"/>
    <mergeCell ref="GCP1:GCR1"/>
    <mergeCell ref="GCS1:GCU1"/>
    <mergeCell ref="GBR1:GBT1"/>
    <mergeCell ref="GBU1:GBW1"/>
    <mergeCell ref="GBX1:GBZ1"/>
    <mergeCell ref="GCA1:GCC1"/>
    <mergeCell ref="GCD1:GCF1"/>
    <mergeCell ref="GFS1:GFU1"/>
    <mergeCell ref="GFV1:GFX1"/>
    <mergeCell ref="GFY1:GGA1"/>
    <mergeCell ref="GGB1:GGD1"/>
    <mergeCell ref="GGE1:GGG1"/>
    <mergeCell ref="GFD1:GFF1"/>
    <mergeCell ref="GFG1:GFI1"/>
    <mergeCell ref="GFJ1:GFL1"/>
    <mergeCell ref="GFM1:GFO1"/>
    <mergeCell ref="GFP1:GFR1"/>
    <mergeCell ref="GEO1:GEQ1"/>
    <mergeCell ref="GER1:GET1"/>
    <mergeCell ref="GEU1:GEW1"/>
    <mergeCell ref="GEX1:GEZ1"/>
    <mergeCell ref="GFA1:GFC1"/>
    <mergeCell ref="GDZ1:GEB1"/>
    <mergeCell ref="GEC1:GEE1"/>
    <mergeCell ref="GEF1:GEH1"/>
    <mergeCell ref="GEI1:GEK1"/>
    <mergeCell ref="GEL1:GEN1"/>
    <mergeCell ref="GIA1:GIC1"/>
    <mergeCell ref="GID1:GIF1"/>
    <mergeCell ref="GIG1:GII1"/>
    <mergeCell ref="GIJ1:GIL1"/>
    <mergeCell ref="GIM1:GIO1"/>
    <mergeCell ref="GHL1:GHN1"/>
    <mergeCell ref="GHO1:GHQ1"/>
    <mergeCell ref="GHR1:GHT1"/>
    <mergeCell ref="GHU1:GHW1"/>
    <mergeCell ref="GHX1:GHZ1"/>
    <mergeCell ref="GGW1:GGY1"/>
    <mergeCell ref="GGZ1:GHB1"/>
    <mergeCell ref="GHC1:GHE1"/>
    <mergeCell ref="GHF1:GHH1"/>
    <mergeCell ref="GHI1:GHK1"/>
    <mergeCell ref="GGH1:GGJ1"/>
    <mergeCell ref="GGK1:GGM1"/>
    <mergeCell ref="GGN1:GGP1"/>
    <mergeCell ref="GGQ1:GGS1"/>
    <mergeCell ref="GGT1:GGV1"/>
    <mergeCell ref="GKI1:GKK1"/>
    <mergeCell ref="GKL1:GKN1"/>
    <mergeCell ref="GKO1:GKQ1"/>
    <mergeCell ref="GKR1:GKT1"/>
    <mergeCell ref="GKU1:GKW1"/>
    <mergeCell ref="GJT1:GJV1"/>
    <mergeCell ref="GJW1:GJY1"/>
    <mergeCell ref="GJZ1:GKB1"/>
    <mergeCell ref="GKC1:GKE1"/>
    <mergeCell ref="GKF1:GKH1"/>
    <mergeCell ref="GJE1:GJG1"/>
    <mergeCell ref="GJH1:GJJ1"/>
    <mergeCell ref="GJK1:GJM1"/>
    <mergeCell ref="GJN1:GJP1"/>
    <mergeCell ref="GJQ1:GJS1"/>
    <mergeCell ref="GIP1:GIR1"/>
    <mergeCell ref="GIS1:GIU1"/>
    <mergeCell ref="GIV1:GIX1"/>
    <mergeCell ref="GIY1:GJA1"/>
    <mergeCell ref="GJB1:GJD1"/>
    <mergeCell ref="GMQ1:GMS1"/>
    <mergeCell ref="GMT1:GMV1"/>
    <mergeCell ref="GMW1:GMY1"/>
    <mergeCell ref="GMZ1:GNB1"/>
    <mergeCell ref="GNC1:GNE1"/>
    <mergeCell ref="GMB1:GMD1"/>
    <mergeCell ref="GME1:GMG1"/>
    <mergeCell ref="GMH1:GMJ1"/>
    <mergeCell ref="GMK1:GMM1"/>
    <mergeCell ref="GMN1:GMP1"/>
    <mergeCell ref="GLM1:GLO1"/>
    <mergeCell ref="GLP1:GLR1"/>
    <mergeCell ref="GLS1:GLU1"/>
    <mergeCell ref="GLV1:GLX1"/>
    <mergeCell ref="GLY1:GMA1"/>
    <mergeCell ref="GKX1:GKZ1"/>
    <mergeCell ref="GLA1:GLC1"/>
    <mergeCell ref="GLD1:GLF1"/>
    <mergeCell ref="GLG1:GLI1"/>
    <mergeCell ref="GLJ1:GLL1"/>
    <mergeCell ref="GOY1:GPA1"/>
    <mergeCell ref="GPB1:GPD1"/>
    <mergeCell ref="GPE1:GPG1"/>
    <mergeCell ref="GPH1:GPJ1"/>
    <mergeCell ref="GPK1:GPM1"/>
    <mergeCell ref="GOJ1:GOL1"/>
    <mergeCell ref="GOM1:GOO1"/>
    <mergeCell ref="GOP1:GOR1"/>
    <mergeCell ref="GOS1:GOU1"/>
    <mergeCell ref="GOV1:GOX1"/>
    <mergeCell ref="GNU1:GNW1"/>
    <mergeCell ref="GNX1:GNZ1"/>
    <mergeCell ref="GOA1:GOC1"/>
    <mergeCell ref="GOD1:GOF1"/>
    <mergeCell ref="GOG1:GOI1"/>
    <mergeCell ref="GNF1:GNH1"/>
    <mergeCell ref="GNI1:GNK1"/>
    <mergeCell ref="GNL1:GNN1"/>
    <mergeCell ref="GNO1:GNQ1"/>
    <mergeCell ref="GNR1:GNT1"/>
    <mergeCell ref="GRG1:GRI1"/>
    <mergeCell ref="GRJ1:GRL1"/>
    <mergeCell ref="GRM1:GRO1"/>
    <mergeCell ref="GRP1:GRR1"/>
    <mergeCell ref="GRS1:GRU1"/>
    <mergeCell ref="GQR1:GQT1"/>
    <mergeCell ref="GQU1:GQW1"/>
    <mergeCell ref="GQX1:GQZ1"/>
    <mergeCell ref="GRA1:GRC1"/>
    <mergeCell ref="GRD1:GRF1"/>
    <mergeCell ref="GQC1:GQE1"/>
    <mergeCell ref="GQF1:GQH1"/>
    <mergeCell ref="GQI1:GQK1"/>
    <mergeCell ref="GQL1:GQN1"/>
    <mergeCell ref="GQO1:GQQ1"/>
    <mergeCell ref="GPN1:GPP1"/>
    <mergeCell ref="GPQ1:GPS1"/>
    <mergeCell ref="GPT1:GPV1"/>
    <mergeCell ref="GPW1:GPY1"/>
    <mergeCell ref="GPZ1:GQB1"/>
    <mergeCell ref="GTO1:GTQ1"/>
    <mergeCell ref="GTR1:GTT1"/>
    <mergeCell ref="GTU1:GTW1"/>
    <mergeCell ref="GTX1:GTZ1"/>
    <mergeCell ref="GUA1:GUC1"/>
    <mergeCell ref="GSZ1:GTB1"/>
    <mergeCell ref="GTC1:GTE1"/>
    <mergeCell ref="GTF1:GTH1"/>
    <mergeCell ref="GTI1:GTK1"/>
    <mergeCell ref="GTL1:GTN1"/>
    <mergeCell ref="GSK1:GSM1"/>
    <mergeCell ref="GSN1:GSP1"/>
    <mergeCell ref="GSQ1:GSS1"/>
    <mergeCell ref="GST1:GSV1"/>
    <mergeCell ref="GSW1:GSY1"/>
    <mergeCell ref="GRV1:GRX1"/>
    <mergeCell ref="GRY1:GSA1"/>
    <mergeCell ref="GSB1:GSD1"/>
    <mergeCell ref="GSE1:GSG1"/>
    <mergeCell ref="GSH1:GSJ1"/>
    <mergeCell ref="GVW1:GVY1"/>
    <mergeCell ref="GVZ1:GWB1"/>
    <mergeCell ref="GWC1:GWE1"/>
    <mergeCell ref="GWF1:GWH1"/>
    <mergeCell ref="GWI1:GWK1"/>
    <mergeCell ref="GVH1:GVJ1"/>
    <mergeCell ref="GVK1:GVM1"/>
    <mergeCell ref="GVN1:GVP1"/>
    <mergeCell ref="GVQ1:GVS1"/>
    <mergeCell ref="GVT1:GVV1"/>
    <mergeCell ref="GUS1:GUU1"/>
    <mergeCell ref="GUV1:GUX1"/>
    <mergeCell ref="GUY1:GVA1"/>
    <mergeCell ref="GVB1:GVD1"/>
    <mergeCell ref="GVE1:GVG1"/>
    <mergeCell ref="GUD1:GUF1"/>
    <mergeCell ref="GUG1:GUI1"/>
    <mergeCell ref="GUJ1:GUL1"/>
    <mergeCell ref="GUM1:GUO1"/>
    <mergeCell ref="GUP1:GUR1"/>
    <mergeCell ref="GYE1:GYG1"/>
    <mergeCell ref="GYH1:GYJ1"/>
    <mergeCell ref="GYK1:GYM1"/>
    <mergeCell ref="GYN1:GYP1"/>
    <mergeCell ref="GYQ1:GYS1"/>
    <mergeCell ref="GXP1:GXR1"/>
    <mergeCell ref="GXS1:GXU1"/>
    <mergeCell ref="GXV1:GXX1"/>
    <mergeCell ref="GXY1:GYA1"/>
    <mergeCell ref="GYB1:GYD1"/>
    <mergeCell ref="GXA1:GXC1"/>
    <mergeCell ref="GXD1:GXF1"/>
    <mergeCell ref="GXG1:GXI1"/>
    <mergeCell ref="GXJ1:GXL1"/>
    <mergeCell ref="GXM1:GXO1"/>
    <mergeCell ref="GWL1:GWN1"/>
    <mergeCell ref="GWO1:GWQ1"/>
    <mergeCell ref="GWR1:GWT1"/>
    <mergeCell ref="GWU1:GWW1"/>
    <mergeCell ref="GWX1:GWZ1"/>
    <mergeCell ref="HAM1:HAO1"/>
    <mergeCell ref="HAP1:HAR1"/>
    <mergeCell ref="HAS1:HAU1"/>
    <mergeCell ref="HAV1:HAX1"/>
    <mergeCell ref="HAY1:HBA1"/>
    <mergeCell ref="GZX1:GZZ1"/>
    <mergeCell ref="HAA1:HAC1"/>
    <mergeCell ref="HAD1:HAF1"/>
    <mergeCell ref="HAG1:HAI1"/>
    <mergeCell ref="HAJ1:HAL1"/>
    <mergeCell ref="GZI1:GZK1"/>
    <mergeCell ref="GZL1:GZN1"/>
    <mergeCell ref="GZO1:GZQ1"/>
    <mergeCell ref="GZR1:GZT1"/>
    <mergeCell ref="GZU1:GZW1"/>
    <mergeCell ref="GYT1:GYV1"/>
    <mergeCell ref="GYW1:GYY1"/>
    <mergeCell ref="GYZ1:GZB1"/>
    <mergeCell ref="GZC1:GZE1"/>
    <mergeCell ref="GZF1:GZH1"/>
    <mergeCell ref="HCU1:HCW1"/>
    <mergeCell ref="HCX1:HCZ1"/>
    <mergeCell ref="HDA1:HDC1"/>
    <mergeCell ref="HDD1:HDF1"/>
    <mergeCell ref="HDG1:HDI1"/>
    <mergeCell ref="HCF1:HCH1"/>
    <mergeCell ref="HCI1:HCK1"/>
    <mergeCell ref="HCL1:HCN1"/>
    <mergeCell ref="HCO1:HCQ1"/>
    <mergeCell ref="HCR1:HCT1"/>
    <mergeCell ref="HBQ1:HBS1"/>
    <mergeCell ref="HBT1:HBV1"/>
    <mergeCell ref="HBW1:HBY1"/>
    <mergeCell ref="HBZ1:HCB1"/>
    <mergeCell ref="HCC1:HCE1"/>
    <mergeCell ref="HBB1:HBD1"/>
    <mergeCell ref="HBE1:HBG1"/>
    <mergeCell ref="HBH1:HBJ1"/>
    <mergeCell ref="HBK1:HBM1"/>
    <mergeCell ref="HBN1:HBP1"/>
    <mergeCell ref="HFC1:HFE1"/>
    <mergeCell ref="HFF1:HFH1"/>
    <mergeCell ref="HFI1:HFK1"/>
    <mergeCell ref="HFL1:HFN1"/>
    <mergeCell ref="HFO1:HFQ1"/>
    <mergeCell ref="HEN1:HEP1"/>
    <mergeCell ref="HEQ1:HES1"/>
    <mergeCell ref="HET1:HEV1"/>
    <mergeCell ref="HEW1:HEY1"/>
    <mergeCell ref="HEZ1:HFB1"/>
    <mergeCell ref="HDY1:HEA1"/>
    <mergeCell ref="HEB1:HED1"/>
    <mergeCell ref="HEE1:HEG1"/>
    <mergeCell ref="HEH1:HEJ1"/>
    <mergeCell ref="HEK1:HEM1"/>
    <mergeCell ref="HDJ1:HDL1"/>
    <mergeCell ref="HDM1:HDO1"/>
    <mergeCell ref="HDP1:HDR1"/>
    <mergeCell ref="HDS1:HDU1"/>
    <mergeCell ref="HDV1:HDX1"/>
    <mergeCell ref="HHK1:HHM1"/>
    <mergeCell ref="HHN1:HHP1"/>
    <mergeCell ref="HHQ1:HHS1"/>
    <mergeCell ref="HHT1:HHV1"/>
    <mergeCell ref="HHW1:HHY1"/>
    <mergeCell ref="HGV1:HGX1"/>
    <mergeCell ref="HGY1:HHA1"/>
    <mergeCell ref="HHB1:HHD1"/>
    <mergeCell ref="HHE1:HHG1"/>
    <mergeCell ref="HHH1:HHJ1"/>
    <mergeCell ref="HGG1:HGI1"/>
    <mergeCell ref="HGJ1:HGL1"/>
    <mergeCell ref="HGM1:HGO1"/>
    <mergeCell ref="HGP1:HGR1"/>
    <mergeCell ref="HGS1:HGU1"/>
    <mergeCell ref="HFR1:HFT1"/>
    <mergeCell ref="HFU1:HFW1"/>
    <mergeCell ref="HFX1:HFZ1"/>
    <mergeCell ref="HGA1:HGC1"/>
    <mergeCell ref="HGD1:HGF1"/>
    <mergeCell ref="HJS1:HJU1"/>
    <mergeCell ref="HJV1:HJX1"/>
    <mergeCell ref="HJY1:HKA1"/>
    <mergeCell ref="HKB1:HKD1"/>
    <mergeCell ref="HKE1:HKG1"/>
    <mergeCell ref="HJD1:HJF1"/>
    <mergeCell ref="HJG1:HJI1"/>
    <mergeCell ref="HJJ1:HJL1"/>
    <mergeCell ref="HJM1:HJO1"/>
    <mergeCell ref="HJP1:HJR1"/>
    <mergeCell ref="HIO1:HIQ1"/>
    <mergeCell ref="HIR1:HIT1"/>
    <mergeCell ref="HIU1:HIW1"/>
    <mergeCell ref="HIX1:HIZ1"/>
    <mergeCell ref="HJA1:HJC1"/>
    <mergeCell ref="HHZ1:HIB1"/>
    <mergeCell ref="HIC1:HIE1"/>
    <mergeCell ref="HIF1:HIH1"/>
    <mergeCell ref="HII1:HIK1"/>
    <mergeCell ref="HIL1:HIN1"/>
    <mergeCell ref="HMA1:HMC1"/>
    <mergeCell ref="HMD1:HMF1"/>
    <mergeCell ref="HMG1:HMI1"/>
    <mergeCell ref="HMJ1:HML1"/>
    <mergeCell ref="HMM1:HMO1"/>
    <mergeCell ref="HLL1:HLN1"/>
    <mergeCell ref="HLO1:HLQ1"/>
    <mergeCell ref="HLR1:HLT1"/>
    <mergeCell ref="HLU1:HLW1"/>
    <mergeCell ref="HLX1:HLZ1"/>
    <mergeCell ref="HKW1:HKY1"/>
    <mergeCell ref="HKZ1:HLB1"/>
    <mergeCell ref="HLC1:HLE1"/>
    <mergeCell ref="HLF1:HLH1"/>
    <mergeCell ref="HLI1:HLK1"/>
    <mergeCell ref="HKH1:HKJ1"/>
    <mergeCell ref="HKK1:HKM1"/>
    <mergeCell ref="HKN1:HKP1"/>
    <mergeCell ref="HKQ1:HKS1"/>
    <mergeCell ref="HKT1:HKV1"/>
    <mergeCell ref="HOI1:HOK1"/>
    <mergeCell ref="HOL1:HON1"/>
    <mergeCell ref="HOO1:HOQ1"/>
    <mergeCell ref="HOR1:HOT1"/>
    <mergeCell ref="HOU1:HOW1"/>
    <mergeCell ref="HNT1:HNV1"/>
    <mergeCell ref="HNW1:HNY1"/>
    <mergeCell ref="HNZ1:HOB1"/>
    <mergeCell ref="HOC1:HOE1"/>
    <mergeCell ref="HOF1:HOH1"/>
    <mergeCell ref="HNE1:HNG1"/>
    <mergeCell ref="HNH1:HNJ1"/>
    <mergeCell ref="HNK1:HNM1"/>
    <mergeCell ref="HNN1:HNP1"/>
    <mergeCell ref="HNQ1:HNS1"/>
    <mergeCell ref="HMP1:HMR1"/>
    <mergeCell ref="HMS1:HMU1"/>
    <mergeCell ref="HMV1:HMX1"/>
    <mergeCell ref="HMY1:HNA1"/>
    <mergeCell ref="HNB1:HND1"/>
    <mergeCell ref="HQQ1:HQS1"/>
    <mergeCell ref="HQT1:HQV1"/>
    <mergeCell ref="HQW1:HQY1"/>
    <mergeCell ref="HQZ1:HRB1"/>
    <mergeCell ref="HRC1:HRE1"/>
    <mergeCell ref="HQB1:HQD1"/>
    <mergeCell ref="HQE1:HQG1"/>
    <mergeCell ref="HQH1:HQJ1"/>
    <mergeCell ref="HQK1:HQM1"/>
    <mergeCell ref="HQN1:HQP1"/>
    <mergeCell ref="HPM1:HPO1"/>
    <mergeCell ref="HPP1:HPR1"/>
    <mergeCell ref="HPS1:HPU1"/>
    <mergeCell ref="HPV1:HPX1"/>
    <mergeCell ref="HPY1:HQA1"/>
    <mergeCell ref="HOX1:HOZ1"/>
    <mergeCell ref="HPA1:HPC1"/>
    <mergeCell ref="HPD1:HPF1"/>
    <mergeCell ref="HPG1:HPI1"/>
    <mergeCell ref="HPJ1:HPL1"/>
    <mergeCell ref="HSY1:HTA1"/>
    <mergeCell ref="HTB1:HTD1"/>
    <mergeCell ref="HTE1:HTG1"/>
    <mergeCell ref="HTH1:HTJ1"/>
    <mergeCell ref="HTK1:HTM1"/>
    <mergeCell ref="HSJ1:HSL1"/>
    <mergeCell ref="HSM1:HSO1"/>
    <mergeCell ref="HSP1:HSR1"/>
    <mergeCell ref="HSS1:HSU1"/>
    <mergeCell ref="HSV1:HSX1"/>
    <mergeCell ref="HRU1:HRW1"/>
    <mergeCell ref="HRX1:HRZ1"/>
    <mergeCell ref="HSA1:HSC1"/>
    <mergeCell ref="HSD1:HSF1"/>
    <mergeCell ref="HSG1:HSI1"/>
    <mergeCell ref="HRF1:HRH1"/>
    <mergeCell ref="HRI1:HRK1"/>
    <mergeCell ref="HRL1:HRN1"/>
    <mergeCell ref="HRO1:HRQ1"/>
    <mergeCell ref="HRR1:HRT1"/>
    <mergeCell ref="HVG1:HVI1"/>
    <mergeCell ref="HVJ1:HVL1"/>
    <mergeCell ref="HVM1:HVO1"/>
    <mergeCell ref="HVP1:HVR1"/>
    <mergeCell ref="HVS1:HVU1"/>
    <mergeCell ref="HUR1:HUT1"/>
    <mergeCell ref="HUU1:HUW1"/>
    <mergeCell ref="HUX1:HUZ1"/>
    <mergeCell ref="HVA1:HVC1"/>
    <mergeCell ref="HVD1:HVF1"/>
    <mergeCell ref="HUC1:HUE1"/>
    <mergeCell ref="HUF1:HUH1"/>
    <mergeCell ref="HUI1:HUK1"/>
    <mergeCell ref="HUL1:HUN1"/>
    <mergeCell ref="HUO1:HUQ1"/>
    <mergeCell ref="HTN1:HTP1"/>
    <mergeCell ref="HTQ1:HTS1"/>
    <mergeCell ref="HTT1:HTV1"/>
    <mergeCell ref="HTW1:HTY1"/>
    <mergeCell ref="HTZ1:HUB1"/>
    <mergeCell ref="HXO1:HXQ1"/>
    <mergeCell ref="HXR1:HXT1"/>
    <mergeCell ref="HXU1:HXW1"/>
    <mergeCell ref="HXX1:HXZ1"/>
    <mergeCell ref="HYA1:HYC1"/>
    <mergeCell ref="HWZ1:HXB1"/>
    <mergeCell ref="HXC1:HXE1"/>
    <mergeCell ref="HXF1:HXH1"/>
    <mergeCell ref="HXI1:HXK1"/>
    <mergeCell ref="HXL1:HXN1"/>
    <mergeCell ref="HWK1:HWM1"/>
    <mergeCell ref="HWN1:HWP1"/>
    <mergeCell ref="HWQ1:HWS1"/>
    <mergeCell ref="HWT1:HWV1"/>
    <mergeCell ref="HWW1:HWY1"/>
    <mergeCell ref="HVV1:HVX1"/>
    <mergeCell ref="HVY1:HWA1"/>
    <mergeCell ref="HWB1:HWD1"/>
    <mergeCell ref="HWE1:HWG1"/>
    <mergeCell ref="HWH1:HWJ1"/>
    <mergeCell ref="HZW1:HZY1"/>
    <mergeCell ref="HZZ1:IAB1"/>
    <mergeCell ref="IAC1:IAE1"/>
    <mergeCell ref="IAF1:IAH1"/>
    <mergeCell ref="IAI1:IAK1"/>
    <mergeCell ref="HZH1:HZJ1"/>
    <mergeCell ref="HZK1:HZM1"/>
    <mergeCell ref="HZN1:HZP1"/>
    <mergeCell ref="HZQ1:HZS1"/>
    <mergeCell ref="HZT1:HZV1"/>
    <mergeCell ref="HYS1:HYU1"/>
    <mergeCell ref="HYV1:HYX1"/>
    <mergeCell ref="HYY1:HZA1"/>
    <mergeCell ref="HZB1:HZD1"/>
    <mergeCell ref="HZE1:HZG1"/>
    <mergeCell ref="HYD1:HYF1"/>
    <mergeCell ref="HYG1:HYI1"/>
    <mergeCell ref="HYJ1:HYL1"/>
    <mergeCell ref="HYM1:HYO1"/>
    <mergeCell ref="HYP1:HYR1"/>
    <mergeCell ref="ICE1:ICG1"/>
    <mergeCell ref="ICH1:ICJ1"/>
    <mergeCell ref="ICK1:ICM1"/>
    <mergeCell ref="ICN1:ICP1"/>
    <mergeCell ref="ICQ1:ICS1"/>
    <mergeCell ref="IBP1:IBR1"/>
    <mergeCell ref="IBS1:IBU1"/>
    <mergeCell ref="IBV1:IBX1"/>
    <mergeCell ref="IBY1:ICA1"/>
    <mergeCell ref="ICB1:ICD1"/>
    <mergeCell ref="IBA1:IBC1"/>
    <mergeCell ref="IBD1:IBF1"/>
    <mergeCell ref="IBG1:IBI1"/>
    <mergeCell ref="IBJ1:IBL1"/>
    <mergeCell ref="IBM1:IBO1"/>
    <mergeCell ref="IAL1:IAN1"/>
    <mergeCell ref="IAO1:IAQ1"/>
    <mergeCell ref="IAR1:IAT1"/>
    <mergeCell ref="IAU1:IAW1"/>
    <mergeCell ref="IAX1:IAZ1"/>
    <mergeCell ref="IEM1:IEO1"/>
    <mergeCell ref="IEP1:IER1"/>
    <mergeCell ref="IES1:IEU1"/>
    <mergeCell ref="IEV1:IEX1"/>
    <mergeCell ref="IEY1:IFA1"/>
    <mergeCell ref="IDX1:IDZ1"/>
    <mergeCell ref="IEA1:IEC1"/>
    <mergeCell ref="IED1:IEF1"/>
    <mergeCell ref="IEG1:IEI1"/>
    <mergeCell ref="IEJ1:IEL1"/>
    <mergeCell ref="IDI1:IDK1"/>
    <mergeCell ref="IDL1:IDN1"/>
    <mergeCell ref="IDO1:IDQ1"/>
    <mergeCell ref="IDR1:IDT1"/>
    <mergeCell ref="IDU1:IDW1"/>
    <mergeCell ref="ICT1:ICV1"/>
    <mergeCell ref="ICW1:ICY1"/>
    <mergeCell ref="ICZ1:IDB1"/>
    <mergeCell ref="IDC1:IDE1"/>
    <mergeCell ref="IDF1:IDH1"/>
    <mergeCell ref="IGU1:IGW1"/>
    <mergeCell ref="IGX1:IGZ1"/>
    <mergeCell ref="IHA1:IHC1"/>
    <mergeCell ref="IHD1:IHF1"/>
    <mergeCell ref="IHG1:IHI1"/>
    <mergeCell ref="IGF1:IGH1"/>
    <mergeCell ref="IGI1:IGK1"/>
    <mergeCell ref="IGL1:IGN1"/>
    <mergeCell ref="IGO1:IGQ1"/>
    <mergeCell ref="IGR1:IGT1"/>
    <mergeCell ref="IFQ1:IFS1"/>
    <mergeCell ref="IFT1:IFV1"/>
    <mergeCell ref="IFW1:IFY1"/>
    <mergeCell ref="IFZ1:IGB1"/>
    <mergeCell ref="IGC1:IGE1"/>
    <mergeCell ref="IFB1:IFD1"/>
    <mergeCell ref="IFE1:IFG1"/>
    <mergeCell ref="IFH1:IFJ1"/>
    <mergeCell ref="IFK1:IFM1"/>
    <mergeCell ref="IFN1:IFP1"/>
    <mergeCell ref="IJC1:IJE1"/>
    <mergeCell ref="IJF1:IJH1"/>
    <mergeCell ref="IJI1:IJK1"/>
    <mergeCell ref="IJL1:IJN1"/>
    <mergeCell ref="IJO1:IJQ1"/>
    <mergeCell ref="IIN1:IIP1"/>
    <mergeCell ref="IIQ1:IIS1"/>
    <mergeCell ref="IIT1:IIV1"/>
    <mergeCell ref="IIW1:IIY1"/>
    <mergeCell ref="IIZ1:IJB1"/>
    <mergeCell ref="IHY1:IIA1"/>
    <mergeCell ref="IIB1:IID1"/>
    <mergeCell ref="IIE1:IIG1"/>
    <mergeCell ref="IIH1:IIJ1"/>
    <mergeCell ref="IIK1:IIM1"/>
    <mergeCell ref="IHJ1:IHL1"/>
    <mergeCell ref="IHM1:IHO1"/>
    <mergeCell ref="IHP1:IHR1"/>
    <mergeCell ref="IHS1:IHU1"/>
    <mergeCell ref="IHV1:IHX1"/>
    <mergeCell ref="ILK1:ILM1"/>
    <mergeCell ref="ILN1:ILP1"/>
    <mergeCell ref="ILQ1:ILS1"/>
    <mergeCell ref="ILT1:ILV1"/>
    <mergeCell ref="ILW1:ILY1"/>
    <mergeCell ref="IKV1:IKX1"/>
    <mergeCell ref="IKY1:ILA1"/>
    <mergeCell ref="ILB1:ILD1"/>
    <mergeCell ref="ILE1:ILG1"/>
    <mergeCell ref="ILH1:ILJ1"/>
    <mergeCell ref="IKG1:IKI1"/>
    <mergeCell ref="IKJ1:IKL1"/>
    <mergeCell ref="IKM1:IKO1"/>
    <mergeCell ref="IKP1:IKR1"/>
    <mergeCell ref="IKS1:IKU1"/>
    <mergeCell ref="IJR1:IJT1"/>
    <mergeCell ref="IJU1:IJW1"/>
    <mergeCell ref="IJX1:IJZ1"/>
    <mergeCell ref="IKA1:IKC1"/>
    <mergeCell ref="IKD1:IKF1"/>
    <mergeCell ref="INS1:INU1"/>
    <mergeCell ref="INV1:INX1"/>
    <mergeCell ref="INY1:IOA1"/>
    <mergeCell ref="IOB1:IOD1"/>
    <mergeCell ref="IOE1:IOG1"/>
    <mergeCell ref="IND1:INF1"/>
    <mergeCell ref="ING1:INI1"/>
    <mergeCell ref="INJ1:INL1"/>
    <mergeCell ref="INM1:INO1"/>
    <mergeCell ref="INP1:INR1"/>
    <mergeCell ref="IMO1:IMQ1"/>
    <mergeCell ref="IMR1:IMT1"/>
    <mergeCell ref="IMU1:IMW1"/>
    <mergeCell ref="IMX1:IMZ1"/>
    <mergeCell ref="INA1:INC1"/>
    <mergeCell ref="ILZ1:IMB1"/>
    <mergeCell ref="IMC1:IME1"/>
    <mergeCell ref="IMF1:IMH1"/>
    <mergeCell ref="IMI1:IMK1"/>
    <mergeCell ref="IML1:IMN1"/>
    <mergeCell ref="IQA1:IQC1"/>
    <mergeCell ref="IQD1:IQF1"/>
    <mergeCell ref="IQG1:IQI1"/>
    <mergeCell ref="IQJ1:IQL1"/>
    <mergeCell ref="IQM1:IQO1"/>
    <mergeCell ref="IPL1:IPN1"/>
    <mergeCell ref="IPO1:IPQ1"/>
    <mergeCell ref="IPR1:IPT1"/>
    <mergeCell ref="IPU1:IPW1"/>
    <mergeCell ref="IPX1:IPZ1"/>
    <mergeCell ref="IOW1:IOY1"/>
    <mergeCell ref="IOZ1:IPB1"/>
    <mergeCell ref="IPC1:IPE1"/>
    <mergeCell ref="IPF1:IPH1"/>
    <mergeCell ref="IPI1:IPK1"/>
    <mergeCell ref="IOH1:IOJ1"/>
    <mergeCell ref="IOK1:IOM1"/>
    <mergeCell ref="ION1:IOP1"/>
    <mergeCell ref="IOQ1:IOS1"/>
    <mergeCell ref="IOT1:IOV1"/>
    <mergeCell ref="ISI1:ISK1"/>
    <mergeCell ref="ISL1:ISN1"/>
    <mergeCell ref="ISO1:ISQ1"/>
    <mergeCell ref="ISR1:IST1"/>
    <mergeCell ref="ISU1:ISW1"/>
    <mergeCell ref="IRT1:IRV1"/>
    <mergeCell ref="IRW1:IRY1"/>
    <mergeCell ref="IRZ1:ISB1"/>
    <mergeCell ref="ISC1:ISE1"/>
    <mergeCell ref="ISF1:ISH1"/>
    <mergeCell ref="IRE1:IRG1"/>
    <mergeCell ref="IRH1:IRJ1"/>
    <mergeCell ref="IRK1:IRM1"/>
    <mergeCell ref="IRN1:IRP1"/>
    <mergeCell ref="IRQ1:IRS1"/>
    <mergeCell ref="IQP1:IQR1"/>
    <mergeCell ref="IQS1:IQU1"/>
    <mergeCell ref="IQV1:IQX1"/>
    <mergeCell ref="IQY1:IRA1"/>
    <mergeCell ref="IRB1:IRD1"/>
    <mergeCell ref="IUQ1:IUS1"/>
    <mergeCell ref="IUT1:IUV1"/>
    <mergeCell ref="IUW1:IUY1"/>
    <mergeCell ref="IUZ1:IVB1"/>
    <mergeCell ref="IVC1:IVE1"/>
    <mergeCell ref="IUB1:IUD1"/>
    <mergeCell ref="IUE1:IUG1"/>
    <mergeCell ref="IUH1:IUJ1"/>
    <mergeCell ref="IUK1:IUM1"/>
    <mergeCell ref="IUN1:IUP1"/>
    <mergeCell ref="ITM1:ITO1"/>
    <mergeCell ref="ITP1:ITR1"/>
    <mergeCell ref="ITS1:ITU1"/>
    <mergeCell ref="ITV1:ITX1"/>
    <mergeCell ref="ITY1:IUA1"/>
    <mergeCell ref="ISX1:ISZ1"/>
    <mergeCell ref="ITA1:ITC1"/>
    <mergeCell ref="ITD1:ITF1"/>
    <mergeCell ref="ITG1:ITI1"/>
    <mergeCell ref="ITJ1:ITL1"/>
    <mergeCell ref="IWY1:IXA1"/>
    <mergeCell ref="IXB1:IXD1"/>
    <mergeCell ref="IXE1:IXG1"/>
    <mergeCell ref="IXH1:IXJ1"/>
    <mergeCell ref="IXK1:IXM1"/>
    <mergeCell ref="IWJ1:IWL1"/>
    <mergeCell ref="IWM1:IWO1"/>
    <mergeCell ref="IWP1:IWR1"/>
    <mergeCell ref="IWS1:IWU1"/>
    <mergeCell ref="IWV1:IWX1"/>
    <mergeCell ref="IVU1:IVW1"/>
    <mergeCell ref="IVX1:IVZ1"/>
    <mergeCell ref="IWA1:IWC1"/>
    <mergeCell ref="IWD1:IWF1"/>
    <mergeCell ref="IWG1:IWI1"/>
    <mergeCell ref="IVF1:IVH1"/>
    <mergeCell ref="IVI1:IVK1"/>
    <mergeCell ref="IVL1:IVN1"/>
    <mergeCell ref="IVO1:IVQ1"/>
    <mergeCell ref="IVR1:IVT1"/>
    <mergeCell ref="IZG1:IZI1"/>
    <mergeCell ref="IZJ1:IZL1"/>
    <mergeCell ref="IZM1:IZO1"/>
    <mergeCell ref="IZP1:IZR1"/>
    <mergeCell ref="IZS1:IZU1"/>
    <mergeCell ref="IYR1:IYT1"/>
    <mergeCell ref="IYU1:IYW1"/>
    <mergeCell ref="IYX1:IYZ1"/>
    <mergeCell ref="IZA1:IZC1"/>
    <mergeCell ref="IZD1:IZF1"/>
    <mergeCell ref="IYC1:IYE1"/>
    <mergeCell ref="IYF1:IYH1"/>
    <mergeCell ref="IYI1:IYK1"/>
    <mergeCell ref="IYL1:IYN1"/>
    <mergeCell ref="IYO1:IYQ1"/>
    <mergeCell ref="IXN1:IXP1"/>
    <mergeCell ref="IXQ1:IXS1"/>
    <mergeCell ref="IXT1:IXV1"/>
    <mergeCell ref="IXW1:IXY1"/>
    <mergeCell ref="IXZ1:IYB1"/>
    <mergeCell ref="JBO1:JBQ1"/>
    <mergeCell ref="JBR1:JBT1"/>
    <mergeCell ref="JBU1:JBW1"/>
    <mergeCell ref="JBX1:JBZ1"/>
    <mergeCell ref="JCA1:JCC1"/>
    <mergeCell ref="JAZ1:JBB1"/>
    <mergeCell ref="JBC1:JBE1"/>
    <mergeCell ref="JBF1:JBH1"/>
    <mergeCell ref="JBI1:JBK1"/>
    <mergeCell ref="JBL1:JBN1"/>
    <mergeCell ref="JAK1:JAM1"/>
    <mergeCell ref="JAN1:JAP1"/>
    <mergeCell ref="JAQ1:JAS1"/>
    <mergeCell ref="JAT1:JAV1"/>
    <mergeCell ref="JAW1:JAY1"/>
    <mergeCell ref="IZV1:IZX1"/>
    <mergeCell ref="IZY1:JAA1"/>
    <mergeCell ref="JAB1:JAD1"/>
    <mergeCell ref="JAE1:JAG1"/>
    <mergeCell ref="JAH1:JAJ1"/>
    <mergeCell ref="JDW1:JDY1"/>
    <mergeCell ref="JDZ1:JEB1"/>
    <mergeCell ref="JEC1:JEE1"/>
    <mergeCell ref="JEF1:JEH1"/>
    <mergeCell ref="JEI1:JEK1"/>
    <mergeCell ref="JDH1:JDJ1"/>
    <mergeCell ref="JDK1:JDM1"/>
    <mergeCell ref="JDN1:JDP1"/>
    <mergeCell ref="JDQ1:JDS1"/>
    <mergeCell ref="JDT1:JDV1"/>
    <mergeCell ref="JCS1:JCU1"/>
    <mergeCell ref="JCV1:JCX1"/>
    <mergeCell ref="JCY1:JDA1"/>
    <mergeCell ref="JDB1:JDD1"/>
    <mergeCell ref="JDE1:JDG1"/>
    <mergeCell ref="JCD1:JCF1"/>
    <mergeCell ref="JCG1:JCI1"/>
    <mergeCell ref="JCJ1:JCL1"/>
    <mergeCell ref="JCM1:JCO1"/>
    <mergeCell ref="JCP1:JCR1"/>
    <mergeCell ref="JGE1:JGG1"/>
    <mergeCell ref="JGH1:JGJ1"/>
    <mergeCell ref="JGK1:JGM1"/>
    <mergeCell ref="JGN1:JGP1"/>
    <mergeCell ref="JGQ1:JGS1"/>
    <mergeCell ref="JFP1:JFR1"/>
    <mergeCell ref="JFS1:JFU1"/>
    <mergeCell ref="JFV1:JFX1"/>
    <mergeCell ref="JFY1:JGA1"/>
    <mergeCell ref="JGB1:JGD1"/>
    <mergeCell ref="JFA1:JFC1"/>
    <mergeCell ref="JFD1:JFF1"/>
    <mergeCell ref="JFG1:JFI1"/>
    <mergeCell ref="JFJ1:JFL1"/>
    <mergeCell ref="JFM1:JFO1"/>
    <mergeCell ref="JEL1:JEN1"/>
    <mergeCell ref="JEO1:JEQ1"/>
    <mergeCell ref="JER1:JET1"/>
    <mergeCell ref="JEU1:JEW1"/>
    <mergeCell ref="JEX1:JEZ1"/>
    <mergeCell ref="JIM1:JIO1"/>
    <mergeCell ref="JIP1:JIR1"/>
    <mergeCell ref="JIS1:JIU1"/>
    <mergeCell ref="JIV1:JIX1"/>
    <mergeCell ref="JIY1:JJA1"/>
    <mergeCell ref="JHX1:JHZ1"/>
    <mergeCell ref="JIA1:JIC1"/>
    <mergeCell ref="JID1:JIF1"/>
    <mergeCell ref="JIG1:JII1"/>
    <mergeCell ref="JIJ1:JIL1"/>
    <mergeCell ref="JHI1:JHK1"/>
    <mergeCell ref="JHL1:JHN1"/>
    <mergeCell ref="JHO1:JHQ1"/>
    <mergeCell ref="JHR1:JHT1"/>
    <mergeCell ref="JHU1:JHW1"/>
    <mergeCell ref="JGT1:JGV1"/>
    <mergeCell ref="JGW1:JGY1"/>
    <mergeCell ref="JGZ1:JHB1"/>
    <mergeCell ref="JHC1:JHE1"/>
    <mergeCell ref="JHF1:JHH1"/>
    <mergeCell ref="JKU1:JKW1"/>
    <mergeCell ref="JKX1:JKZ1"/>
    <mergeCell ref="JLA1:JLC1"/>
    <mergeCell ref="JLD1:JLF1"/>
    <mergeCell ref="JLG1:JLI1"/>
    <mergeCell ref="JKF1:JKH1"/>
    <mergeCell ref="JKI1:JKK1"/>
    <mergeCell ref="JKL1:JKN1"/>
    <mergeCell ref="JKO1:JKQ1"/>
    <mergeCell ref="JKR1:JKT1"/>
    <mergeCell ref="JJQ1:JJS1"/>
    <mergeCell ref="JJT1:JJV1"/>
    <mergeCell ref="JJW1:JJY1"/>
    <mergeCell ref="JJZ1:JKB1"/>
    <mergeCell ref="JKC1:JKE1"/>
    <mergeCell ref="JJB1:JJD1"/>
    <mergeCell ref="JJE1:JJG1"/>
    <mergeCell ref="JJH1:JJJ1"/>
    <mergeCell ref="JJK1:JJM1"/>
    <mergeCell ref="JJN1:JJP1"/>
    <mergeCell ref="JNC1:JNE1"/>
    <mergeCell ref="JNF1:JNH1"/>
    <mergeCell ref="JNI1:JNK1"/>
    <mergeCell ref="JNL1:JNN1"/>
    <mergeCell ref="JNO1:JNQ1"/>
    <mergeCell ref="JMN1:JMP1"/>
    <mergeCell ref="JMQ1:JMS1"/>
    <mergeCell ref="JMT1:JMV1"/>
    <mergeCell ref="JMW1:JMY1"/>
    <mergeCell ref="JMZ1:JNB1"/>
    <mergeCell ref="JLY1:JMA1"/>
    <mergeCell ref="JMB1:JMD1"/>
    <mergeCell ref="JME1:JMG1"/>
    <mergeCell ref="JMH1:JMJ1"/>
    <mergeCell ref="JMK1:JMM1"/>
    <mergeCell ref="JLJ1:JLL1"/>
    <mergeCell ref="JLM1:JLO1"/>
    <mergeCell ref="JLP1:JLR1"/>
    <mergeCell ref="JLS1:JLU1"/>
    <mergeCell ref="JLV1:JLX1"/>
    <mergeCell ref="JPK1:JPM1"/>
    <mergeCell ref="JPN1:JPP1"/>
    <mergeCell ref="JPQ1:JPS1"/>
    <mergeCell ref="JPT1:JPV1"/>
    <mergeCell ref="JPW1:JPY1"/>
    <mergeCell ref="JOV1:JOX1"/>
    <mergeCell ref="JOY1:JPA1"/>
    <mergeCell ref="JPB1:JPD1"/>
    <mergeCell ref="JPE1:JPG1"/>
    <mergeCell ref="JPH1:JPJ1"/>
    <mergeCell ref="JOG1:JOI1"/>
    <mergeCell ref="JOJ1:JOL1"/>
    <mergeCell ref="JOM1:JOO1"/>
    <mergeCell ref="JOP1:JOR1"/>
    <mergeCell ref="JOS1:JOU1"/>
    <mergeCell ref="JNR1:JNT1"/>
    <mergeCell ref="JNU1:JNW1"/>
    <mergeCell ref="JNX1:JNZ1"/>
    <mergeCell ref="JOA1:JOC1"/>
    <mergeCell ref="JOD1:JOF1"/>
    <mergeCell ref="JRS1:JRU1"/>
    <mergeCell ref="JRV1:JRX1"/>
    <mergeCell ref="JRY1:JSA1"/>
    <mergeCell ref="JSB1:JSD1"/>
    <mergeCell ref="JSE1:JSG1"/>
    <mergeCell ref="JRD1:JRF1"/>
    <mergeCell ref="JRG1:JRI1"/>
    <mergeCell ref="JRJ1:JRL1"/>
    <mergeCell ref="JRM1:JRO1"/>
    <mergeCell ref="JRP1:JRR1"/>
    <mergeCell ref="JQO1:JQQ1"/>
    <mergeCell ref="JQR1:JQT1"/>
    <mergeCell ref="JQU1:JQW1"/>
    <mergeCell ref="JQX1:JQZ1"/>
    <mergeCell ref="JRA1:JRC1"/>
    <mergeCell ref="JPZ1:JQB1"/>
    <mergeCell ref="JQC1:JQE1"/>
    <mergeCell ref="JQF1:JQH1"/>
    <mergeCell ref="JQI1:JQK1"/>
    <mergeCell ref="JQL1:JQN1"/>
    <mergeCell ref="JUA1:JUC1"/>
    <mergeCell ref="JUD1:JUF1"/>
    <mergeCell ref="JUG1:JUI1"/>
    <mergeCell ref="JUJ1:JUL1"/>
    <mergeCell ref="JUM1:JUO1"/>
    <mergeCell ref="JTL1:JTN1"/>
    <mergeCell ref="JTO1:JTQ1"/>
    <mergeCell ref="JTR1:JTT1"/>
    <mergeCell ref="JTU1:JTW1"/>
    <mergeCell ref="JTX1:JTZ1"/>
    <mergeCell ref="JSW1:JSY1"/>
    <mergeCell ref="JSZ1:JTB1"/>
    <mergeCell ref="JTC1:JTE1"/>
    <mergeCell ref="JTF1:JTH1"/>
    <mergeCell ref="JTI1:JTK1"/>
    <mergeCell ref="JSH1:JSJ1"/>
    <mergeCell ref="JSK1:JSM1"/>
    <mergeCell ref="JSN1:JSP1"/>
    <mergeCell ref="JSQ1:JSS1"/>
    <mergeCell ref="JST1:JSV1"/>
    <mergeCell ref="JWI1:JWK1"/>
    <mergeCell ref="JWL1:JWN1"/>
    <mergeCell ref="JWO1:JWQ1"/>
    <mergeCell ref="JWR1:JWT1"/>
    <mergeCell ref="JWU1:JWW1"/>
    <mergeCell ref="JVT1:JVV1"/>
    <mergeCell ref="JVW1:JVY1"/>
    <mergeCell ref="JVZ1:JWB1"/>
    <mergeCell ref="JWC1:JWE1"/>
    <mergeCell ref="JWF1:JWH1"/>
    <mergeCell ref="JVE1:JVG1"/>
    <mergeCell ref="JVH1:JVJ1"/>
    <mergeCell ref="JVK1:JVM1"/>
    <mergeCell ref="JVN1:JVP1"/>
    <mergeCell ref="JVQ1:JVS1"/>
    <mergeCell ref="JUP1:JUR1"/>
    <mergeCell ref="JUS1:JUU1"/>
    <mergeCell ref="JUV1:JUX1"/>
    <mergeCell ref="JUY1:JVA1"/>
    <mergeCell ref="JVB1:JVD1"/>
    <mergeCell ref="JYQ1:JYS1"/>
    <mergeCell ref="JYT1:JYV1"/>
    <mergeCell ref="JYW1:JYY1"/>
    <mergeCell ref="JYZ1:JZB1"/>
    <mergeCell ref="JZC1:JZE1"/>
    <mergeCell ref="JYB1:JYD1"/>
    <mergeCell ref="JYE1:JYG1"/>
    <mergeCell ref="JYH1:JYJ1"/>
    <mergeCell ref="JYK1:JYM1"/>
    <mergeCell ref="JYN1:JYP1"/>
    <mergeCell ref="JXM1:JXO1"/>
    <mergeCell ref="JXP1:JXR1"/>
    <mergeCell ref="JXS1:JXU1"/>
    <mergeCell ref="JXV1:JXX1"/>
    <mergeCell ref="JXY1:JYA1"/>
    <mergeCell ref="JWX1:JWZ1"/>
    <mergeCell ref="JXA1:JXC1"/>
    <mergeCell ref="JXD1:JXF1"/>
    <mergeCell ref="JXG1:JXI1"/>
    <mergeCell ref="JXJ1:JXL1"/>
    <mergeCell ref="KAY1:KBA1"/>
    <mergeCell ref="KBB1:KBD1"/>
    <mergeCell ref="KBE1:KBG1"/>
    <mergeCell ref="KBH1:KBJ1"/>
    <mergeCell ref="KBK1:KBM1"/>
    <mergeCell ref="KAJ1:KAL1"/>
    <mergeCell ref="KAM1:KAO1"/>
    <mergeCell ref="KAP1:KAR1"/>
    <mergeCell ref="KAS1:KAU1"/>
    <mergeCell ref="KAV1:KAX1"/>
    <mergeCell ref="JZU1:JZW1"/>
    <mergeCell ref="JZX1:JZZ1"/>
    <mergeCell ref="KAA1:KAC1"/>
    <mergeCell ref="KAD1:KAF1"/>
    <mergeCell ref="KAG1:KAI1"/>
    <mergeCell ref="JZF1:JZH1"/>
    <mergeCell ref="JZI1:JZK1"/>
    <mergeCell ref="JZL1:JZN1"/>
    <mergeCell ref="JZO1:JZQ1"/>
    <mergeCell ref="JZR1:JZT1"/>
    <mergeCell ref="KDG1:KDI1"/>
    <mergeCell ref="KDJ1:KDL1"/>
    <mergeCell ref="KDM1:KDO1"/>
    <mergeCell ref="KDP1:KDR1"/>
    <mergeCell ref="KDS1:KDU1"/>
    <mergeCell ref="KCR1:KCT1"/>
    <mergeCell ref="KCU1:KCW1"/>
    <mergeCell ref="KCX1:KCZ1"/>
    <mergeCell ref="KDA1:KDC1"/>
    <mergeCell ref="KDD1:KDF1"/>
    <mergeCell ref="KCC1:KCE1"/>
    <mergeCell ref="KCF1:KCH1"/>
    <mergeCell ref="KCI1:KCK1"/>
    <mergeCell ref="KCL1:KCN1"/>
    <mergeCell ref="KCO1:KCQ1"/>
    <mergeCell ref="KBN1:KBP1"/>
    <mergeCell ref="KBQ1:KBS1"/>
    <mergeCell ref="KBT1:KBV1"/>
    <mergeCell ref="KBW1:KBY1"/>
    <mergeCell ref="KBZ1:KCB1"/>
    <mergeCell ref="KFO1:KFQ1"/>
    <mergeCell ref="KFR1:KFT1"/>
    <mergeCell ref="KFU1:KFW1"/>
    <mergeCell ref="KFX1:KFZ1"/>
    <mergeCell ref="KGA1:KGC1"/>
    <mergeCell ref="KEZ1:KFB1"/>
    <mergeCell ref="KFC1:KFE1"/>
    <mergeCell ref="KFF1:KFH1"/>
    <mergeCell ref="KFI1:KFK1"/>
    <mergeCell ref="KFL1:KFN1"/>
    <mergeCell ref="KEK1:KEM1"/>
    <mergeCell ref="KEN1:KEP1"/>
    <mergeCell ref="KEQ1:KES1"/>
    <mergeCell ref="KET1:KEV1"/>
    <mergeCell ref="KEW1:KEY1"/>
    <mergeCell ref="KDV1:KDX1"/>
    <mergeCell ref="KDY1:KEA1"/>
    <mergeCell ref="KEB1:KED1"/>
    <mergeCell ref="KEE1:KEG1"/>
    <mergeCell ref="KEH1:KEJ1"/>
    <mergeCell ref="KHW1:KHY1"/>
    <mergeCell ref="KHZ1:KIB1"/>
    <mergeCell ref="KIC1:KIE1"/>
    <mergeCell ref="KIF1:KIH1"/>
    <mergeCell ref="KII1:KIK1"/>
    <mergeCell ref="KHH1:KHJ1"/>
    <mergeCell ref="KHK1:KHM1"/>
    <mergeCell ref="KHN1:KHP1"/>
    <mergeCell ref="KHQ1:KHS1"/>
    <mergeCell ref="KHT1:KHV1"/>
    <mergeCell ref="KGS1:KGU1"/>
    <mergeCell ref="KGV1:KGX1"/>
    <mergeCell ref="KGY1:KHA1"/>
    <mergeCell ref="KHB1:KHD1"/>
    <mergeCell ref="KHE1:KHG1"/>
    <mergeCell ref="KGD1:KGF1"/>
    <mergeCell ref="KGG1:KGI1"/>
    <mergeCell ref="KGJ1:KGL1"/>
    <mergeCell ref="KGM1:KGO1"/>
    <mergeCell ref="KGP1:KGR1"/>
    <mergeCell ref="KKE1:KKG1"/>
    <mergeCell ref="KKH1:KKJ1"/>
    <mergeCell ref="KKK1:KKM1"/>
    <mergeCell ref="KKN1:KKP1"/>
    <mergeCell ref="KKQ1:KKS1"/>
    <mergeCell ref="KJP1:KJR1"/>
    <mergeCell ref="KJS1:KJU1"/>
    <mergeCell ref="KJV1:KJX1"/>
    <mergeCell ref="KJY1:KKA1"/>
    <mergeCell ref="KKB1:KKD1"/>
    <mergeCell ref="KJA1:KJC1"/>
    <mergeCell ref="KJD1:KJF1"/>
    <mergeCell ref="KJG1:KJI1"/>
    <mergeCell ref="KJJ1:KJL1"/>
    <mergeCell ref="KJM1:KJO1"/>
    <mergeCell ref="KIL1:KIN1"/>
    <mergeCell ref="KIO1:KIQ1"/>
    <mergeCell ref="KIR1:KIT1"/>
    <mergeCell ref="KIU1:KIW1"/>
    <mergeCell ref="KIX1:KIZ1"/>
    <mergeCell ref="KMM1:KMO1"/>
    <mergeCell ref="KMP1:KMR1"/>
    <mergeCell ref="KMS1:KMU1"/>
    <mergeCell ref="KMV1:KMX1"/>
    <mergeCell ref="KMY1:KNA1"/>
    <mergeCell ref="KLX1:KLZ1"/>
    <mergeCell ref="KMA1:KMC1"/>
    <mergeCell ref="KMD1:KMF1"/>
    <mergeCell ref="KMG1:KMI1"/>
    <mergeCell ref="KMJ1:KML1"/>
    <mergeCell ref="KLI1:KLK1"/>
    <mergeCell ref="KLL1:KLN1"/>
    <mergeCell ref="KLO1:KLQ1"/>
    <mergeCell ref="KLR1:KLT1"/>
    <mergeCell ref="KLU1:KLW1"/>
    <mergeCell ref="KKT1:KKV1"/>
    <mergeCell ref="KKW1:KKY1"/>
    <mergeCell ref="KKZ1:KLB1"/>
    <mergeCell ref="KLC1:KLE1"/>
    <mergeCell ref="KLF1:KLH1"/>
    <mergeCell ref="KOU1:KOW1"/>
    <mergeCell ref="KOX1:KOZ1"/>
    <mergeCell ref="KPA1:KPC1"/>
    <mergeCell ref="KPD1:KPF1"/>
    <mergeCell ref="KPG1:KPI1"/>
    <mergeCell ref="KOF1:KOH1"/>
    <mergeCell ref="KOI1:KOK1"/>
    <mergeCell ref="KOL1:KON1"/>
    <mergeCell ref="KOO1:KOQ1"/>
    <mergeCell ref="KOR1:KOT1"/>
    <mergeCell ref="KNQ1:KNS1"/>
    <mergeCell ref="KNT1:KNV1"/>
    <mergeCell ref="KNW1:KNY1"/>
    <mergeCell ref="KNZ1:KOB1"/>
    <mergeCell ref="KOC1:KOE1"/>
    <mergeCell ref="KNB1:KND1"/>
    <mergeCell ref="KNE1:KNG1"/>
    <mergeCell ref="KNH1:KNJ1"/>
    <mergeCell ref="KNK1:KNM1"/>
    <mergeCell ref="KNN1:KNP1"/>
    <mergeCell ref="KRC1:KRE1"/>
    <mergeCell ref="KRF1:KRH1"/>
    <mergeCell ref="KRI1:KRK1"/>
    <mergeCell ref="KRL1:KRN1"/>
    <mergeCell ref="KRO1:KRQ1"/>
    <mergeCell ref="KQN1:KQP1"/>
    <mergeCell ref="KQQ1:KQS1"/>
    <mergeCell ref="KQT1:KQV1"/>
    <mergeCell ref="KQW1:KQY1"/>
    <mergeCell ref="KQZ1:KRB1"/>
    <mergeCell ref="KPY1:KQA1"/>
    <mergeCell ref="KQB1:KQD1"/>
    <mergeCell ref="KQE1:KQG1"/>
    <mergeCell ref="KQH1:KQJ1"/>
    <mergeCell ref="KQK1:KQM1"/>
    <mergeCell ref="KPJ1:KPL1"/>
    <mergeCell ref="KPM1:KPO1"/>
    <mergeCell ref="KPP1:KPR1"/>
    <mergeCell ref="KPS1:KPU1"/>
    <mergeCell ref="KPV1:KPX1"/>
    <mergeCell ref="KTK1:KTM1"/>
    <mergeCell ref="KTN1:KTP1"/>
    <mergeCell ref="KTQ1:KTS1"/>
    <mergeCell ref="KTT1:KTV1"/>
    <mergeCell ref="KTW1:KTY1"/>
    <mergeCell ref="KSV1:KSX1"/>
    <mergeCell ref="KSY1:KTA1"/>
    <mergeCell ref="KTB1:KTD1"/>
    <mergeCell ref="KTE1:KTG1"/>
    <mergeCell ref="KTH1:KTJ1"/>
    <mergeCell ref="KSG1:KSI1"/>
    <mergeCell ref="KSJ1:KSL1"/>
    <mergeCell ref="KSM1:KSO1"/>
    <mergeCell ref="KSP1:KSR1"/>
    <mergeCell ref="KSS1:KSU1"/>
    <mergeCell ref="KRR1:KRT1"/>
    <mergeCell ref="KRU1:KRW1"/>
    <mergeCell ref="KRX1:KRZ1"/>
    <mergeCell ref="KSA1:KSC1"/>
    <mergeCell ref="KSD1:KSF1"/>
    <mergeCell ref="KVS1:KVU1"/>
    <mergeCell ref="KVV1:KVX1"/>
    <mergeCell ref="KVY1:KWA1"/>
    <mergeCell ref="KWB1:KWD1"/>
    <mergeCell ref="KWE1:KWG1"/>
    <mergeCell ref="KVD1:KVF1"/>
    <mergeCell ref="KVG1:KVI1"/>
    <mergeCell ref="KVJ1:KVL1"/>
    <mergeCell ref="KVM1:KVO1"/>
    <mergeCell ref="KVP1:KVR1"/>
    <mergeCell ref="KUO1:KUQ1"/>
    <mergeCell ref="KUR1:KUT1"/>
    <mergeCell ref="KUU1:KUW1"/>
    <mergeCell ref="KUX1:KUZ1"/>
    <mergeCell ref="KVA1:KVC1"/>
    <mergeCell ref="KTZ1:KUB1"/>
    <mergeCell ref="KUC1:KUE1"/>
    <mergeCell ref="KUF1:KUH1"/>
    <mergeCell ref="KUI1:KUK1"/>
    <mergeCell ref="KUL1:KUN1"/>
    <mergeCell ref="KYA1:KYC1"/>
    <mergeCell ref="KYD1:KYF1"/>
    <mergeCell ref="KYG1:KYI1"/>
    <mergeCell ref="KYJ1:KYL1"/>
    <mergeCell ref="KYM1:KYO1"/>
    <mergeCell ref="KXL1:KXN1"/>
    <mergeCell ref="KXO1:KXQ1"/>
    <mergeCell ref="KXR1:KXT1"/>
    <mergeCell ref="KXU1:KXW1"/>
    <mergeCell ref="KXX1:KXZ1"/>
    <mergeCell ref="KWW1:KWY1"/>
    <mergeCell ref="KWZ1:KXB1"/>
    <mergeCell ref="KXC1:KXE1"/>
    <mergeCell ref="KXF1:KXH1"/>
    <mergeCell ref="KXI1:KXK1"/>
    <mergeCell ref="KWH1:KWJ1"/>
    <mergeCell ref="KWK1:KWM1"/>
    <mergeCell ref="KWN1:KWP1"/>
    <mergeCell ref="KWQ1:KWS1"/>
    <mergeCell ref="KWT1:KWV1"/>
    <mergeCell ref="LAI1:LAK1"/>
    <mergeCell ref="LAL1:LAN1"/>
    <mergeCell ref="LAO1:LAQ1"/>
    <mergeCell ref="LAR1:LAT1"/>
    <mergeCell ref="LAU1:LAW1"/>
    <mergeCell ref="KZT1:KZV1"/>
    <mergeCell ref="KZW1:KZY1"/>
    <mergeCell ref="KZZ1:LAB1"/>
    <mergeCell ref="LAC1:LAE1"/>
    <mergeCell ref="LAF1:LAH1"/>
    <mergeCell ref="KZE1:KZG1"/>
    <mergeCell ref="KZH1:KZJ1"/>
    <mergeCell ref="KZK1:KZM1"/>
    <mergeCell ref="KZN1:KZP1"/>
    <mergeCell ref="KZQ1:KZS1"/>
    <mergeCell ref="KYP1:KYR1"/>
    <mergeCell ref="KYS1:KYU1"/>
    <mergeCell ref="KYV1:KYX1"/>
    <mergeCell ref="KYY1:KZA1"/>
    <mergeCell ref="KZB1:KZD1"/>
    <mergeCell ref="LCQ1:LCS1"/>
    <mergeCell ref="LCT1:LCV1"/>
    <mergeCell ref="LCW1:LCY1"/>
    <mergeCell ref="LCZ1:LDB1"/>
    <mergeCell ref="LDC1:LDE1"/>
    <mergeCell ref="LCB1:LCD1"/>
    <mergeCell ref="LCE1:LCG1"/>
    <mergeCell ref="LCH1:LCJ1"/>
    <mergeCell ref="LCK1:LCM1"/>
    <mergeCell ref="LCN1:LCP1"/>
    <mergeCell ref="LBM1:LBO1"/>
    <mergeCell ref="LBP1:LBR1"/>
    <mergeCell ref="LBS1:LBU1"/>
    <mergeCell ref="LBV1:LBX1"/>
    <mergeCell ref="LBY1:LCA1"/>
    <mergeCell ref="LAX1:LAZ1"/>
    <mergeCell ref="LBA1:LBC1"/>
    <mergeCell ref="LBD1:LBF1"/>
    <mergeCell ref="LBG1:LBI1"/>
    <mergeCell ref="LBJ1:LBL1"/>
    <mergeCell ref="LEY1:LFA1"/>
    <mergeCell ref="LFB1:LFD1"/>
    <mergeCell ref="LFE1:LFG1"/>
    <mergeCell ref="LFH1:LFJ1"/>
    <mergeCell ref="LFK1:LFM1"/>
    <mergeCell ref="LEJ1:LEL1"/>
    <mergeCell ref="LEM1:LEO1"/>
    <mergeCell ref="LEP1:LER1"/>
    <mergeCell ref="LES1:LEU1"/>
    <mergeCell ref="LEV1:LEX1"/>
    <mergeCell ref="LDU1:LDW1"/>
    <mergeCell ref="LDX1:LDZ1"/>
    <mergeCell ref="LEA1:LEC1"/>
    <mergeCell ref="LED1:LEF1"/>
    <mergeCell ref="LEG1:LEI1"/>
    <mergeCell ref="LDF1:LDH1"/>
    <mergeCell ref="LDI1:LDK1"/>
    <mergeCell ref="LDL1:LDN1"/>
    <mergeCell ref="LDO1:LDQ1"/>
    <mergeCell ref="LDR1:LDT1"/>
    <mergeCell ref="LHG1:LHI1"/>
    <mergeCell ref="LHJ1:LHL1"/>
    <mergeCell ref="LHM1:LHO1"/>
    <mergeCell ref="LHP1:LHR1"/>
    <mergeCell ref="LHS1:LHU1"/>
    <mergeCell ref="LGR1:LGT1"/>
    <mergeCell ref="LGU1:LGW1"/>
    <mergeCell ref="LGX1:LGZ1"/>
    <mergeCell ref="LHA1:LHC1"/>
    <mergeCell ref="LHD1:LHF1"/>
    <mergeCell ref="LGC1:LGE1"/>
    <mergeCell ref="LGF1:LGH1"/>
    <mergeCell ref="LGI1:LGK1"/>
    <mergeCell ref="LGL1:LGN1"/>
    <mergeCell ref="LGO1:LGQ1"/>
    <mergeCell ref="LFN1:LFP1"/>
    <mergeCell ref="LFQ1:LFS1"/>
    <mergeCell ref="LFT1:LFV1"/>
    <mergeCell ref="LFW1:LFY1"/>
    <mergeCell ref="LFZ1:LGB1"/>
    <mergeCell ref="LJO1:LJQ1"/>
    <mergeCell ref="LJR1:LJT1"/>
    <mergeCell ref="LJU1:LJW1"/>
    <mergeCell ref="LJX1:LJZ1"/>
    <mergeCell ref="LKA1:LKC1"/>
    <mergeCell ref="LIZ1:LJB1"/>
    <mergeCell ref="LJC1:LJE1"/>
    <mergeCell ref="LJF1:LJH1"/>
    <mergeCell ref="LJI1:LJK1"/>
    <mergeCell ref="LJL1:LJN1"/>
    <mergeCell ref="LIK1:LIM1"/>
    <mergeCell ref="LIN1:LIP1"/>
    <mergeCell ref="LIQ1:LIS1"/>
    <mergeCell ref="LIT1:LIV1"/>
    <mergeCell ref="LIW1:LIY1"/>
    <mergeCell ref="LHV1:LHX1"/>
    <mergeCell ref="LHY1:LIA1"/>
    <mergeCell ref="LIB1:LID1"/>
    <mergeCell ref="LIE1:LIG1"/>
    <mergeCell ref="LIH1:LIJ1"/>
    <mergeCell ref="LLW1:LLY1"/>
    <mergeCell ref="LLZ1:LMB1"/>
    <mergeCell ref="LMC1:LME1"/>
    <mergeCell ref="LMF1:LMH1"/>
    <mergeCell ref="LMI1:LMK1"/>
    <mergeCell ref="LLH1:LLJ1"/>
    <mergeCell ref="LLK1:LLM1"/>
    <mergeCell ref="LLN1:LLP1"/>
    <mergeCell ref="LLQ1:LLS1"/>
    <mergeCell ref="LLT1:LLV1"/>
    <mergeCell ref="LKS1:LKU1"/>
    <mergeCell ref="LKV1:LKX1"/>
    <mergeCell ref="LKY1:LLA1"/>
    <mergeCell ref="LLB1:LLD1"/>
    <mergeCell ref="LLE1:LLG1"/>
    <mergeCell ref="LKD1:LKF1"/>
    <mergeCell ref="LKG1:LKI1"/>
    <mergeCell ref="LKJ1:LKL1"/>
    <mergeCell ref="LKM1:LKO1"/>
    <mergeCell ref="LKP1:LKR1"/>
    <mergeCell ref="LOE1:LOG1"/>
    <mergeCell ref="LOH1:LOJ1"/>
    <mergeCell ref="LOK1:LOM1"/>
    <mergeCell ref="LON1:LOP1"/>
    <mergeCell ref="LOQ1:LOS1"/>
    <mergeCell ref="LNP1:LNR1"/>
    <mergeCell ref="LNS1:LNU1"/>
    <mergeCell ref="LNV1:LNX1"/>
    <mergeCell ref="LNY1:LOA1"/>
    <mergeCell ref="LOB1:LOD1"/>
    <mergeCell ref="LNA1:LNC1"/>
    <mergeCell ref="LND1:LNF1"/>
    <mergeCell ref="LNG1:LNI1"/>
    <mergeCell ref="LNJ1:LNL1"/>
    <mergeCell ref="LNM1:LNO1"/>
    <mergeCell ref="LML1:LMN1"/>
    <mergeCell ref="LMO1:LMQ1"/>
    <mergeCell ref="LMR1:LMT1"/>
    <mergeCell ref="LMU1:LMW1"/>
    <mergeCell ref="LMX1:LMZ1"/>
    <mergeCell ref="LQM1:LQO1"/>
    <mergeCell ref="LQP1:LQR1"/>
    <mergeCell ref="LQS1:LQU1"/>
    <mergeCell ref="LQV1:LQX1"/>
    <mergeCell ref="LQY1:LRA1"/>
    <mergeCell ref="LPX1:LPZ1"/>
    <mergeCell ref="LQA1:LQC1"/>
    <mergeCell ref="LQD1:LQF1"/>
    <mergeCell ref="LQG1:LQI1"/>
    <mergeCell ref="LQJ1:LQL1"/>
    <mergeCell ref="LPI1:LPK1"/>
    <mergeCell ref="LPL1:LPN1"/>
    <mergeCell ref="LPO1:LPQ1"/>
    <mergeCell ref="LPR1:LPT1"/>
    <mergeCell ref="LPU1:LPW1"/>
    <mergeCell ref="LOT1:LOV1"/>
    <mergeCell ref="LOW1:LOY1"/>
    <mergeCell ref="LOZ1:LPB1"/>
    <mergeCell ref="LPC1:LPE1"/>
    <mergeCell ref="LPF1:LPH1"/>
    <mergeCell ref="LSU1:LSW1"/>
    <mergeCell ref="LSX1:LSZ1"/>
    <mergeCell ref="LTA1:LTC1"/>
    <mergeCell ref="LTD1:LTF1"/>
    <mergeCell ref="LTG1:LTI1"/>
    <mergeCell ref="LSF1:LSH1"/>
    <mergeCell ref="LSI1:LSK1"/>
    <mergeCell ref="LSL1:LSN1"/>
    <mergeCell ref="LSO1:LSQ1"/>
    <mergeCell ref="LSR1:LST1"/>
    <mergeCell ref="LRQ1:LRS1"/>
    <mergeCell ref="LRT1:LRV1"/>
    <mergeCell ref="LRW1:LRY1"/>
    <mergeCell ref="LRZ1:LSB1"/>
    <mergeCell ref="LSC1:LSE1"/>
    <mergeCell ref="LRB1:LRD1"/>
    <mergeCell ref="LRE1:LRG1"/>
    <mergeCell ref="LRH1:LRJ1"/>
    <mergeCell ref="LRK1:LRM1"/>
    <mergeCell ref="LRN1:LRP1"/>
    <mergeCell ref="LVC1:LVE1"/>
    <mergeCell ref="LVF1:LVH1"/>
    <mergeCell ref="LVI1:LVK1"/>
    <mergeCell ref="LVL1:LVN1"/>
    <mergeCell ref="LVO1:LVQ1"/>
    <mergeCell ref="LUN1:LUP1"/>
    <mergeCell ref="LUQ1:LUS1"/>
    <mergeCell ref="LUT1:LUV1"/>
    <mergeCell ref="LUW1:LUY1"/>
    <mergeCell ref="LUZ1:LVB1"/>
    <mergeCell ref="LTY1:LUA1"/>
    <mergeCell ref="LUB1:LUD1"/>
    <mergeCell ref="LUE1:LUG1"/>
    <mergeCell ref="LUH1:LUJ1"/>
    <mergeCell ref="LUK1:LUM1"/>
    <mergeCell ref="LTJ1:LTL1"/>
    <mergeCell ref="LTM1:LTO1"/>
    <mergeCell ref="LTP1:LTR1"/>
    <mergeCell ref="LTS1:LTU1"/>
    <mergeCell ref="LTV1:LTX1"/>
    <mergeCell ref="LXK1:LXM1"/>
    <mergeCell ref="LXN1:LXP1"/>
    <mergeCell ref="LXQ1:LXS1"/>
    <mergeCell ref="LXT1:LXV1"/>
    <mergeCell ref="LXW1:LXY1"/>
    <mergeCell ref="LWV1:LWX1"/>
    <mergeCell ref="LWY1:LXA1"/>
    <mergeCell ref="LXB1:LXD1"/>
    <mergeCell ref="LXE1:LXG1"/>
    <mergeCell ref="LXH1:LXJ1"/>
    <mergeCell ref="LWG1:LWI1"/>
    <mergeCell ref="LWJ1:LWL1"/>
    <mergeCell ref="LWM1:LWO1"/>
    <mergeCell ref="LWP1:LWR1"/>
    <mergeCell ref="LWS1:LWU1"/>
    <mergeCell ref="LVR1:LVT1"/>
    <mergeCell ref="LVU1:LVW1"/>
    <mergeCell ref="LVX1:LVZ1"/>
    <mergeCell ref="LWA1:LWC1"/>
    <mergeCell ref="LWD1:LWF1"/>
    <mergeCell ref="LZS1:LZU1"/>
    <mergeCell ref="LZV1:LZX1"/>
    <mergeCell ref="LZY1:MAA1"/>
    <mergeCell ref="MAB1:MAD1"/>
    <mergeCell ref="MAE1:MAG1"/>
    <mergeCell ref="LZD1:LZF1"/>
    <mergeCell ref="LZG1:LZI1"/>
    <mergeCell ref="LZJ1:LZL1"/>
    <mergeCell ref="LZM1:LZO1"/>
    <mergeCell ref="LZP1:LZR1"/>
    <mergeCell ref="LYO1:LYQ1"/>
    <mergeCell ref="LYR1:LYT1"/>
    <mergeCell ref="LYU1:LYW1"/>
    <mergeCell ref="LYX1:LYZ1"/>
    <mergeCell ref="LZA1:LZC1"/>
    <mergeCell ref="LXZ1:LYB1"/>
    <mergeCell ref="LYC1:LYE1"/>
    <mergeCell ref="LYF1:LYH1"/>
    <mergeCell ref="LYI1:LYK1"/>
    <mergeCell ref="LYL1:LYN1"/>
    <mergeCell ref="MCA1:MCC1"/>
    <mergeCell ref="MCD1:MCF1"/>
    <mergeCell ref="MCG1:MCI1"/>
    <mergeCell ref="MCJ1:MCL1"/>
    <mergeCell ref="MCM1:MCO1"/>
    <mergeCell ref="MBL1:MBN1"/>
    <mergeCell ref="MBO1:MBQ1"/>
    <mergeCell ref="MBR1:MBT1"/>
    <mergeCell ref="MBU1:MBW1"/>
    <mergeCell ref="MBX1:MBZ1"/>
    <mergeCell ref="MAW1:MAY1"/>
    <mergeCell ref="MAZ1:MBB1"/>
    <mergeCell ref="MBC1:MBE1"/>
    <mergeCell ref="MBF1:MBH1"/>
    <mergeCell ref="MBI1:MBK1"/>
    <mergeCell ref="MAH1:MAJ1"/>
    <mergeCell ref="MAK1:MAM1"/>
    <mergeCell ref="MAN1:MAP1"/>
    <mergeCell ref="MAQ1:MAS1"/>
    <mergeCell ref="MAT1:MAV1"/>
    <mergeCell ref="MEI1:MEK1"/>
    <mergeCell ref="MEL1:MEN1"/>
    <mergeCell ref="MEO1:MEQ1"/>
    <mergeCell ref="MER1:MET1"/>
    <mergeCell ref="MEU1:MEW1"/>
    <mergeCell ref="MDT1:MDV1"/>
    <mergeCell ref="MDW1:MDY1"/>
    <mergeCell ref="MDZ1:MEB1"/>
    <mergeCell ref="MEC1:MEE1"/>
    <mergeCell ref="MEF1:MEH1"/>
    <mergeCell ref="MDE1:MDG1"/>
    <mergeCell ref="MDH1:MDJ1"/>
    <mergeCell ref="MDK1:MDM1"/>
    <mergeCell ref="MDN1:MDP1"/>
    <mergeCell ref="MDQ1:MDS1"/>
    <mergeCell ref="MCP1:MCR1"/>
    <mergeCell ref="MCS1:MCU1"/>
    <mergeCell ref="MCV1:MCX1"/>
    <mergeCell ref="MCY1:MDA1"/>
    <mergeCell ref="MDB1:MDD1"/>
    <mergeCell ref="MGQ1:MGS1"/>
    <mergeCell ref="MGT1:MGV1"/>
    <mergeCell ref="MGW1:MGY1"/>
    <mergeCell ref="MGZ1:MHB1"/>
    <mergeCell ref="MHC1:MHE1"/>
    <mergeCell ref="MGB1:MGD1"/>
    <mergeCell ref="MGE1:MGG1"/>
    <mergeCell ref="MGH1:MGJ1"/>
    <mergeCell ref="MGK1:MGM1"/>
    <mergeCell ref="MGN1:MGP1"/>
    <mergeCell ref="MFM1:MFO1"/>
    <mergeCell ref="MFP1:MFR1"/>
    <mergeCell ref="MFS1:MFU1"/>
    <mergeCell ref="MFV1:MFX1"/>
    <mergeCell ref="MFY1:MGA1"/>
    <mergeCell ref="MEX1:MEZ1"/>
    <mergeCell ref="MFA1:MFC1"/>
    <mergeCell ref="MFD1:MFF1"/>
    <mergeCell ref="MFG1:MFI1"/>
    <mergeCell ref="MFJ1:MFL1"/>
    <mergeCell ref="MIY1:MJA1"/>
    <mergeCell ref="MJB1:MJD1"/>
    <mergeCell ref="MJE1:MJG1"/>
    <mergeCell ref="MJH1:MJJ1"/>
    <mergeCell ref="MJK1:MJM1"/>
    <mergeCell ref="MIJ1:MIL1"/>
    <mergeCell ref="MIM1:MIO1"/>
    <mergeCell ref="MIP1:MIR1"/>
    <mergeCell ref="MIS1:MIU1"/>
    <mergeCell ref="MIV1:MIX1"/>
    <mergeCell ref="MHU1:MHW1"/>
    <mergeCell ref="MHX1:MHZ1"/>
    <mergeCell ref="MIA1:MIC1"/>
    <mergeCell ref="MID1:MIF1"/>
    <mergeCell ref="MIG1:MII1"/>
    <mergeCell ref="MHF1:MHH1"/>
    <mergeCell ref="MHI1:MHK1"/>
    <mergeCell ref="MHL1:MHN1"/>
    <mergeCell ref="MHO1:MHQ1"/>
    <mergeCell ref="MHR1:MHT1"/>
    <mergeCell ref="MLG1:MLI1"/>
    <mergeCell ref="MLJ1:MLL1"/>
    <mergeCell ref="MLM1:MLO1"/>
    <mergeCell ref="MLP1:MLR1"/>
    <mergeCell ref="MLS1:MLU1"/>
    <mergeCell ref="MKR1:MKT1"/>
    <mergeCell ref="MKU1:MKW1"/>
    <mergeCell ref="MKX1:MKZ1"/>
    <mergeCell ref="MLA1:MLC1"/>
    <mergeCell ref="MLD1:MLF1"/>
    <mergeCell ref="MKC1:MKE1"/>
    <mergeCell ref="MKF1:MKH1"/>
    <mergeCell ref="MKI1:MKK1"/>
    <mergeCell ref="MKL1:MKN1"/>
    <mergeCell ref="MKO1:MKQ1"/>
    <mergeCell ref="MJN1:MJP1"/>
    <mergeCell ref="MJQ1:MJS1"/>
    <mergeCell ref="MJT1:MJV1"/>
    <mergeCell ref="MJW1:MJY1"/>
    <mergeCell ref="MJZ1:MKB1"/>
    <mergeCell ref="MNO1:MNQ1"/>
    <mergeCell ref="MNR1:MNT1"/>
    <mergeCell ref="MNU1:MNW1"/>
    <mergeCell ref="MNX1:MNZ1"/>
    <mergeCell ref="MOA1:MOC1"/>
    <mergeCell ref="MMZ1:MNB1"/>
    <mergeCell ref="MNC1:MNE1"/>
    <mergeCell ref="MNF1:MNH1"/>
    <mergeCell ref="MNI1:MNK1"/>
    <mergeCell ref="MNL1:MNN1"/>
    <mergeCell ref="MMK1:MMM1"/>
    <mergeCell ref="MMN1:MMP1"/>
    <mergeCell ref="MMQ1:MMS1"/>
    <mergeCell ref="MMT1:MMV1"/>
    <mergeCell ref="MMW1:MMY1"/>
    <mergeCell ref="MLV1:MLX1"/>
    <mergeCell ref="MLY1:MMA1"/>
    <mergeCell ref="MMB1:MMD1"/>
    <mergeCell ref="MME1:MMG1"/>
    <mergeCell ref="MMH1:MMJ1"/>
    <mergeCell ref="MPW1:MPY1"/>
    <mergeCell ref="MPZ1:MQB1"/>
    <mergeCell ref="MQC1:MQE1"/>
    <mergeCell ref="MQF1:MQH1"/>
    <mergeCell ref="MQI1:MQK1"/>
    <mergeCell ref="MPH1:MPJ1"/>
    <mergeCell ref="MPK1:MPM1"/>
    <mergeCell ref="MPN1:MPP1"/>
    <mergeCell ref="MPQ1:MPS1"/>
    <mergeCell ref="MPT1:MPV1"/>
    <mergeCell ref="MOS1:MOU1"/>
    <mergeCell ref="MOV1:MOX1"/>
    <mergeCell ref="MOY1:MPA1"/>
    <mergeCell ref="MPB1:MPD1"/>
    <mergeCell ref="MPE1:MPG1"/>
    <mergeCell ref="MOD1:MOF1"/>
    <mergeCell ref="MOG1:MOI1"/>
    <mergeCell ref="MOJ1:MOL1"/>
    <mergeCell ref="MOM1:MOO1"/>
    <mergeCell ref="MOP1:MOR1"/>
    <mergeCell ref="MSE1:MSG1"/>
    <mergeCell ref="MSH1:MSJ1"/>
    <mergeCell ref="MSK1:MSM1"/>
    <mergeCell ref="MSN1:MSP1"/>
    <mergeCell ref="MSQ1:MSS1"/>
    <mergeCell ref="MRP1:MRR1"/>
    <mergeCell ref="MRS1:MRU1"/>
    <mergeCell ref="MRV1:MRX1"/>
    <mergeCell ref="MRY1:MSA1"/>
    <mergeCell ref="MSB1:MSD1"/>
    <mergeCell ref="MRA1:MRC1"/>
    <mergeCell ref="MRD1:MRF1"/>
    <mergeCell ref="MRG1:MRI1"/>
    <mergeCell ref="MRJ1:MRL1"/>
    <mergeCell ref="MRM1:MRO1"/>
    <mergeCell ref="MQL1:MQN1"/>
    <mergeCell ref="MQO1:MQQ1"/>
    <mergeCell ref="MQR1:MQT1"/>
    <mergeCell ref="MQU1:MQW1"/>
    <mergeCell ref="MQX1:MQZ1"/>
    <mergeCell ref="MUM1:MUO1"/>
    <mergeCell ref="MUP1:MUR1"/>
    <mergeCell ref="MUS1:MUU1"/>
    <mergeCell ref="MUV1:MUX1"/>
    <mergeCell ref="MUY1:MVA1"/>
    <mergeCell ref="MTX1:MTZ1"/>
    <mergeCell ref="MUA1:MUC1"/>
    <mergeCell ref="MUD1:MUF1"/>
    <mergeCell ref="MUG1:MUI1"/>
    <mergeCell ref="MUJ1:MUL1"/>
    <mergeCell ref="MTI1:MTK1"/>
    <mergeCell ref="MTL1:MTN1"/>
    <mergeCell ref="MTO1:MTQ1"/>
    <mergeCell ref="MTR1:MTT1"/>
    <mergeCell ref="MTU1:MTW1"/>
    <mergeCell ref="MST1:MSV1"/>
    <mergeCell ref="MSW1:MSY1"/>
    <mergeCell ref="MSZ1:MTB1"/>
    <mergeCell ref="MTC1:MTE1"/>
    <mergeCell ref="MTF1:MTH1"/>
    <mergeCell ref="MWU1:MWW1"/>
    <mergeCell ref="MWX1:MWZ1"/>
    <mergeCell ref="MXA1:MXC1"/>
    <mergeCell ref="MXD1:MXF1"/>
    <mergeCell ref="MXG1:MXI1"/>
    <mergeCell ref="MWF1:MWH1"/>
    <mergeCell ref="MWI1:MWK1"/>
    <mergeCell ref="MWL1:MWN1"/>
    <mergeCell ref="MWO1:MWQ1"/>
    <mergeCell ref="MWR1:MWT1"/>
    <mergeCell ref="MVQ1:MVS1"/>
    <mergeCell ref="MVT1:MVV1"/>
    <mergeCell ref="MVW1:MVY1"/>
    <mergeCell ref="MVZ1:MWB1"/>
    <mergeCell ref="MWC1:MWE1"/>
    <mergeCell ref="MVB1:MVD1"/>
    <mergeCell ref="MVE1:MVG1"/>
    <mergeCell ref="MVH1:MVJ1"/>
    <mergeCell ref="MVK1:MVM1"/>
    <mergeCell ref="MVN1:MVP1"/>
    <mergeCell ref="MZC1:MZE1"/>
    <mergeCell ref="MZF1:MZH1"/>
    <mergeCell ref="MZI1:MZK1"/>
    <mergeCell ref="MZL1:MZN1"/>
    <mergeCell ref="MZO1:MZQ1"/>
    <mergeCell ref="MYN1:MYP1"/>
    <mergeCell ref="MYQ1:MYS1"/>
    <mergeCell ref="MYT1:MYV1"/>
    <mergeCell ref="MYW1:MYY1"/>
    <mergeCell ref="MYZ1:MZB1"/>
    <mergeCell ref="MXY1:MYA1"/>
    <mergeCell ref="MYB1:MYD1"/>
    <mergeCell ref="MYE1:MYG1"/>
    <mergeCell ref="MYH1:MYJ1"/>
    <mergeCell ref="MYK1:MYM1"/>
    <mergeCell ref="MXJ1:MXL1"/>
    <mergeCell ref="MXM1:MXO1"/>
    <mergeCell ref="MXP1:MXR1"/>
    <mergeCell ref="MXS1:MXU1"/>
    <mergeCell ref="MXV1:MXX1"/>
    <mergeCell ref="NBK1:NBM1"/>
    <mergeCell ref="NBN1:NBP1"/>
    <mergeCell ref="NBQ1:NBS1"/>
    <mergeCell ref="NBT1:NBV1"/>
    <mergeCell ref="NBW1:NBY1"/>
    <mergeCell ref="NAV1:NAX1"/>
    <mergeCell ref="NAY1:NBA1"/>
    <mergeCell ref="NBB1:NBD1"/>
    <mergeCell ref="NBE1:NBG1"/>
    <mergeCell ref="NBH1:NBJ1"/>
    <mergeCell ref="NAG1:NAI1"/>
    <mergeCell ref="NAJ1:NAL1"/>
    <mergeCell ref="NAM1:NAO1"/>
    <mergeCell ref="NAP1:NAR1"/>
    <mergeCell ref="NAS1:NAU1"/>
    <mergeCell ref="MZR1:MZT1"/>
    <mergeCell ref="MZU1:MZW1"/>
    <mergeCell ref="MZX1:MZZ1"/>
    <mergeCell ref="NAA1:NAC1"/>
    <mergeCell ref="NAD1:NAF1"/>
    <mergeCell ref="NDS1:NDU1"/>
    <mergeCell ref="NDV1:NDX1"/>
    <mergeCell ref="NDY1:NEA1"/>
    <mergeCell ref="NEB1:NED1"/>
    <mergeCell ref="NEE1:NEG1"/>
    <mergeCell ref="NDD1:NDF1"/>
    <mergeCell ref="NDG1:NDI1"/>
    <mergeCell ref="NDJ1:NDL1"/>
    <mergeCell ref="NDM1:NDO1"/>
    <mergeCell ref="NDP1:NDR1"/>
    <mergeCell ref="NCO1:NCQ1"/>
    <mergeCell ref="NCR1:NCT1"/>
    <mergeCell ref="NCU1:NCW1"/>
    <mergeCell ref="NCX1:NCZ1"/>
    <mergeCell ref="NDA1:NDC1"/>
    <mergeCell ref="NBZ1:NCB1"/>
    <mergeCell ref="NCC1:NCE1"/>
    <mergeCell ref="NCF1:NCH1"/>
    <mergeCell ref="NCI1:NCK1"/>
    <mergeCell ref="NCL1:NCN1"/>
    <mergeCell ref="NGA1:NGC1"/>
    <mergeCell ref="NGD1:NGF1"/>
    <mergeCell ref="NGG1:NGI1"/>
    <mergeCell ref="NGJ1:NGL1"/>
    <mergeCell ref="NGM1:NGO1"/>
    <mergeCell ref="NFL1:NFN1"/>
    <mergeCell ref="NFO1:NFQ1"/>
    <mergeCell ref="NFR1:NFT1"/>
    <mergeCell ref="NFU1:NFW1"/>
    <mergeCell ref="NFX1:NFZ1"/>
    <mergeCell ref="NEW1:NEY1"/>
    <mergeCell ref="NEZ1:NFB1"/>
    <mergeCell ref="NFC1:NFE1"/>
    <mergeCell ref="NFF1:NFH1"/>
    <mergeCell ref="NFI1:NFK1"/>
    <mergeCell ref="NEH1:NEJ1"/>
    <mergeCell ref="NEK1:NEM1"/>
    <mergeCell ref="NEN1:NEP1"/>
    <mergeCell ref="NEQ1:NES1"/>
    <mergeCell ref="NET1:NEV1"/>
    <mergeCell ref="NII1:NIK1"/>
    <mergeCell ref="NIL1:NIN1"/>
    <mergeCell ref="NIO1:NIQ1"/>
    <mergeCell ref="NIR1:NIT1"/>
    <mergeCell ref="NIU1:NIW1"/>
    <mergeCell ref="NHT1:NHV1"/>
    <mergeCell ref="NHW1:NHY1"/>
    <mergeCell ref="NHZ1:NIB1"/>
    <mergeCell ref="NIC1:NIE1"/>
    <mergeCell ref="NIF1:NIH1"/>
    <mergeCell ref="NHE1:NHG1"/>
    <mergeCell ref="NHH1:NHJ1"/>
    <mergeCell ref="NHK1:NHM1"/>
    <mergeCell ref="NHN1:NHP1"/>
    <mergeCell ref="NHQ1:NHS1"/>
    <mergeCell ref="NGP1:NGR1"/>
    <mergeCell ref="NGS1:NGU1"/>
    <mergeCell ref="NGV1:NGX1"/>
    <mergeCell ref="NGY1:NHA1"/>
    <mergeCell ref="NHB1:NHD1"/>
    <mergeCell ref="NKQ1:NKS1"/>
    <mergeCell ref="NKT1:NKV1"/>
    <mergeCell ref="NKW1:NKY1"/>
    <mergeCell ref="NKZ1:NLB1"/>
    <mergeCell ref="NLC1:NLE1"/>
    <mergeCell ref="NKB1:NKD1"/>
    <mergeCell ref="NKE1:NKG1"/>
    <mergeCell ref="NKH1:NKJ1"/>
    <mergeCell ref="NKK1:NKM1"/>
    <mergeCell ref="NKN1:NKP1"/>
    <mergeCell ref="NJM1:NJO1"/>
    <mergeCell ref="NJP1:NJR1"/>
    <mergeCell ref="NJS1:NJU1"/>
    <mergeCell ref="NJV1:NJX1"/>
    <mergeCell ref="NJY1:NKA1"/>
    <mergeCell ref="NIX1:NIZ1"/>
    <mergeCell ref="NJA1:NJC1"/>
    <mergeCell ref="NJD1:NJF1"/>
    <mergeCell ref="NJG1:NJI1"/>
    <mergeCell ref="NJJ1:NJL1"/>
    <mergeCell ref="NMY1:NNA1"/>
    <mergeCell ref="NNB1:NND1"/>
    <mergeCell ref="NNE1:NNG1"/>
    <mergeCell ref="NNH1:NNJ1"/>
    <mergeCell ref="NNK1:NNM1"/>
    <mergeCell ref="NMJ1:NML1"/>
    <mergeCell ref="NMM1:NMO1"/>
    <mergeCell ref="NMP1:NMR1"/>
    <mergeCell ref="NMS1:NMU1"/>
    <mergeCell ref="NMV1:NMX1"/>
    <mergeCell ref="NLU1:NLW1"/>
    <mergeCell ref="NLX1:NLZ1"/>
    <mergeCell ref="NMA1:NMC1"/>
    <mergeCell ref="NMD1:NMF1"/>
    <mergeCell ref="NMG1:NMI1"/>
    <mergeCell ref="NLF1:NLH1"/>
    <mergeCell ref="NLI1:NLK1"/>
    <mergeCell ref="NLL1:NLN1"/>
    <mergeCell ref="NLO1:NLQ1"/>
    <mergeCell ref="NLR1:NLT1"/>
    <mergeCell ref="NPG1:NPI1"/>
    <mergeCell ref="NPJ1:NPL1"/>
    <mergeCell ref="NPM1:NPO1"/>
    <mergeCell ref="NPP1:NPR1"/>
    <mergeCell ref="NPS1:NPU1"/>
    <mergeCell ref="NOR1:NOT1"/>
    <mergeCell ref="NOU1:NOW1"/>
    <mergeCell ref="NOX1:NOZ1"/>
    <mergeCell ref="NPA1:NPC1"/>
    <mergeCell ref="NPD1:NPF1"/>
    <mergeCell ref="NOC1:NOE1"/>
    <mergeCell ref="NOF1:NOH1"/>
    <mergeCell ref="NOI1:NOK1"/>
    <mergeCell ref="NOL1:NON1"/>
    <mergeCell ref="NOO1:NOQ1"/>
    <mergeCell ref="NNN1:NNP1"/>
    <mergeCell ref="NNQ1:NNS1"/>
    <mergeCell ref="NNT1:NNV1"/>
    <mergeCell ref="NNW1:NNY1"/>
    <mergeCell ref="NNZ1:NOB1"/>
    <mergeCell ref="NRO1:NRQ1"/>
    <mergeCell ref="NRR1:NRT1"/>
    <mergeCell ref="NRU1:NRW1"/>
    <mergeCell ref="NRX1:NRZ1"/>
    <mergeCell ref="NSA1:NSC1"/>
    <mergeCell ref="NQZ1:NRB1"/>
    <mergeCell ref="NRC1:NRE1"/>
    <mergeCell ref="NRF1:NRH1"/>
    <mergeCell ref="NRI1:NRK1"/>
    <mergeCell ref="NRL1:NRN1"/>
    <mergeCell ref="NQK1:NQM1"/>
    <mergeCell ref="NQN1:NQP1"/>
    <mergeCell ref="NQQ1:NQS1"/>
    <mergeCell ref="NQT1:NQV1"/>
    <mergeCell ref="NQW1:NQY1"/>
    <mergeCell ref="NPV1:NPX1"/>
    <mergeCell ref="NPY1:NQA1"/>
    <mergeCell ref="NQB1:NQD1"/>
    <mergeCell ref="NQE1:NQG1"/>
    <mergeCell ref="NQH1:NQJ1"/>
    <mergeCell ref="NTW1:NTY1"/>
    <mergeCell ref="NTZ1:NUB1"/>
    <mergeCell ref="NUC1:NUE1"/>
    <mergeCell ref="NUF1:NUH1"/>
    <mergeCell ref="NUI1:NUK1"/>
    <mergeCell ref="NTH1:NTJ1"/>
    <mergeCell ref="NTK1:NTM1"/>
    <mergeCell ref="NTN1:NTP1"/>
    <mergeCell ref="NTQ1:NTS1"/>
    <mergeCell ref="NTT1:NTV1"/>
    <mergeCell ref="NSS1:NSU1"/>
    <mergeCell ref="NSV1:NSX1"/>
    <mergeCell ref="NSY1:NTA1"/>
    <mergeCell ref="NTB1:NTD1"/>
    <mergeCell ref="NTE1:NTG1"/>
    <mergeCell ref="NSD1:NSF1"/>
    <mergeCell ref="NSG1:NSI1"/>
    <mergeCell ref="NSJ1:NSL1"/>
    <mergeCell ref="NSM1:NSO1"/>
    <mergeCell ref="NSP1:NSR1"/>
    <mergeCell ref="NWE1:NWG1"/>
    <mergeCell ref="NWH1:NWJ1"/>
    <mergeCell ref="NWK1:NWM1"/>
    <mergeCell ref="NWN1:NWP1"/>
    <mergeCell ref="NWQ1:NWS1"/>
    <mergeCell ref="NVP1:NVR1"/>
    <mergeCell ref="NVS1:NVU1"/>
    <mergeCell ref="NVV1:NVX1"/>
    <mergeCell ref="NVY1:NWA1"/>
    <mergeCell ref="NWB1:NWD1"/>
    <mergeCell ref="NVA1:NVC1"/>
    <mergeCell ref="NVD1:NVF1"/>
    <mergeCell ref="NVG1:NVI1"/>
    <mergeCell ref="NVJ1:NVL1"/>
    <mergeCell ref="NVM1:NVO1"/>
    <mergeCell ref="NUL1:NUN1"/>
    <mergeCell ref="NUO1:NUQ1"/>
    <mergeCell ref="NUR1:NUT1"/>
    <mergeCell ref="NUU1:NUW1"/>
    <mergeCell ref="NUX1:NUZ1"/>
    <mergeCell ref="NYM1:NYO1"/>
    <mergeCell ref="NYP1:NYR1"/>
    <mergeCell ref="NYS1:NYU1"/>
    <mergeCell ref="NYV1:NYX1"/>
    <mergeCell ref="NYY1:NZA1"/>
    <mergeCell ref="NXX1:NXZ1"/>
    <mergeCell ref="NYA1:NYC1"/>
    <mergeCell ref="NYD1:NYF1"/>
    <mergeCell ref="NYG1:NYI1"/>
    <mergeCell ref="NYJ1:NYL1"/>
    <mergeCell ref="NXI1:NXK1"/>
    <mergeCell ref="NXL1:NXN1"/>
    <mergeCell ref="NXO1:NXQ1"/>
    <mergeCell ref="NXR1:NXT1"/>
    <mergeCell ref="NXU1:NXW1"/>
    <mergeCell ref="NWT1:NWV1"/>
    <mergeCell ref="NWW1:NWY1"/>
    <mergeCell ref="NWZ1:NXB1"/>
    <mergeCell ref="NXC1:NXE1"/>
    <mergeCell ref="NXF1:NXH1"/>
    <mergeCell ref="OAU1:OAW1"/>
    <mergeCell ref="OAX1:OAZ1"/>
    <mergeCell ref="OBA1:OBC1"/>
    <mergeCell ref="OBD1:OBF1"/>
    <mergeCell ref="OBG1:OBI1"/>
    <mergeCell ref="OAF1:OAH1"/>
    <mergeCell ref="OAI1:OAK1"/>
    <mergeCell ref="OAL1:OAN1"/>
    <mergeCell ref="OAO1:OAQ1"/>
    <mergeCell ref="OAR1:OAT1"/>
    <mergeCell ref="NZQ1:NZS1"/>
    <mergeCell ref="NZT1:NZV1"/>
    <mergeCell ref="NZW1:NZY1"/>
    <mergeCell ref="NZZ1:OAB1"/>
    <mergeCell ref="OAC1:OAE1"/>
    <mergeCell ref="NZB1:NZD1"/>
    <mergeCell ref="NZE1:NZG1"/>
    <mergeCell ref="NZH1:NZJ1"/>
    <mergeCell ref="NZK1:NZM1"/>
    <mergeCell ref="NZN1:NZP1"/>
    <mergeCell ref="ODC1:ODE1"/>
    <mergeCell ref="ODF1:ODH1"/>
    <mergeCell ref="ODI1:ODK1"/>
    <mergeCell ref="ODL1:ODN1"/>
    <mergeCell ref="ODO1:ODQ1"/>
    <mergeCell ref="OCN1:OCP1"/>
    <mergeCell ref="OCQ1:OCS1"/>
    <mergeCell ref="OCT1:OCV1"/>
    <mergeCell ref="OCW1:OCY1"/>
    <mergeCell ref="OCZ1:ODB1"/>
    <mergeCell ref="OBY1:OCA1"/>
    <mergeCell ref="OCB1:OCD1"/>
    <mergeCell ref="OCE1:OCG1"/>
    <mergeCell ref="OCH1:OCJ1"/>
    <mergeCell ref="OCK1:OCM1"/>
    <mergeCell ref="OBJ1:OBL1"/>
    <mergeCell ref="OBM1:OBO1"/>
    <mergeCell ref="OBP1:OBR1"/>
    <mergeCell ref="OBS1:OBU1"/>
    <mergeCell ref="OBV1:OBX1"/>
    <mergeCell ref="OFK1:OFM1"/>
    <mergeCell ref="OFN1:OFP1"/>
    <mergeCell ref="OFQ1:OFS1"/>
    <mergeCell ref="OFT1:OFV1"/>
    <mergeCell ref="OFW1:OFY1"/>
    <mergeCell ref="OEV1:OEX1"/>
    <mergeCell ref="OEY1:OFA1"/>
    <mergeCell ref="OFB1:OFD1"/>
    <mergeCell ref="OFE1:OFG1"/>
    <mergeCell ref="OFH1:OFJ1"/>
    <mergeCell ref="OEG1:OEI1"/>
    <mergeCell ref="OEJ1:OEL1"/>
    <mergeCell ref="OEM1:OEO1"/>
    <mergeCell ref="OEP1:OER1"/>
    <mergeCell ref="OES1:OEU1"/>
    <mergeCell ref="ODR1:ODT1"/>
    <mergeCell ref="ODU1:ODW1"/>
    <mergeCell ref="ODX1:ODZ1"/>
    <mergeCell ref="OEA1:OEC1"/>
    <mergeCell ref="OED1:OEF1"/>
    <mergeCell ref="OHS1:OHU1"/>
    <mergeCell ref="OHV1:OHX1"/>
    <mergeCell ref="OHY1:OIA1"/>
    <mergeCell ref="OIB1:OID1"/>
    <mergeCell ref="OIE1:OIG1"/>
    <mergeCell ref="OHD1:OHF1"/>
    <mergeCell ref="OHG1:OHI1"/>
    <mergeCell ref="OHJ1:OHL1"/>
    <mergeCell ref="OHM1:OHO1"/>
    <mergeCell ref="OHP1:OHR1"/>
    <mergeCell ref="OGO1:OGQ1"/>
    <mergeCell ref="OGR1:OGT1"/>
    <mergeCell ref="OGU1:OGW1"/>
    <mergeCell ref="OGX1:OGZ1"/>
    <mergeCell ref="OHA1:OHC1"/>
    <mergeCell ref="OFZ1:OGB1"/>
    <mergeCell ref="OGC1:OGE1"/>
    <mergeCell ref="OGF1:OGH1"/>
    <mergeCell ref="OGI1:OGK1"/>
    <mergeCell ref="OGL1:OGN1"/>
    <mergeCell ref="OKA1:OKC1"/>
    <mergeCell ref="OKD1:OKF1"/>
    <mergeCell ref="OKG1:OKI1"/>
    <mergeCell ref="OKJ1:OKL1"/>
    <mergeCell ref="OKM1:OKO1"/>
    <mergeCell ref="OJL1:OJN1"/>
    <mergeCell ref="OJO1:OJQ1"/>
    <mergeCell ref="OJR1:OJT1"/>
    <mergeCell ref="OJU1:OJW1"/>
    <mergeCell ref="OJX1:OJZ1"/>
    <mergeCell ref="OIW1:OIY1"/>
    <mergeCell ref="OIZ1:OJB1"/>
    <mergeCell ref="OJC1:OJE1"/>
    <mergeCell ref="OJF1:OJH1"/>
    <mergeCell ref="OJI1:OJK1"/>
    <mergeCell ref="OIH1:OIJ1"/>
    <mergeCell ref="OIK1:OIM1"/>
    <mergeCell ref="OIN1:OIP1"/>
    <mergeCell ref="OIQ1:OIS1"/>
    <mergeCell ref="OIT1:OIV1"/>
    <mergeCell ref="OMI1:OMK1"/>
    <mergeCell ref="OML1:OMN1"/>
    <mergeCell ref="OMO1:OMQ1"/>
    <mergeCell ref="OMR1:OMT1"/>
    <mergeCell ref="OMU1:OMW1"/>
    <mergeCell ref="OLT1:OLV1"/>
    <mergeCell ref="OLW1:OLY1"/>
    <mergeCell ref="OLZ1:OMB1"/>
    <mergeCell ref="OMC1:OME1"/>
    <mergeCell ref="OMF1:OMH1"/>
    <mergeCell ref="OLE1:OLG1"/>
    <mergeCell ref="OLH1:OLJ1"/>
    <mergeCell ref="OLK1:OLM1"/>
    <mergeCell ref="OLN1:OLP1"/>
    <mergeCell ref="OLQ1:OLS1"/>
    <mergeCell ref="OKP1:OKR1"/>
    <mergeCell ref="OKS1:OKU1"/>
    <mergeCell ref="OKV1:OKX1"/>
    <mergeCell ref="OKY1:OLA1"/>
    <mergeCell ref="OLB1:OLD1"/>
    <mergeCell ref="OOQ1:OOS1"/>
    <mergeCell ref="OOT1:OOV1"/>
    <mergeCell ref="OOW1:OOY1"/>
    <mergeCell ref="OOZ1:OPB1"/>
    <mergeCell ref="OPC1:OPE1"/>
    <mergeCell ref="OOB1:OOD1"/>
    <mergeCell ref="OOE1:OOG1"/>
    <mergeCell ref="OOH1:OOJ1"/>
    <mergeCell ref="OOK1:OOM1"/>
    <mergeCell ref="OON1:OOP1"/>
    <mergeCell ref="ONM1:ONO1"/>
    <mergeCell ref="ONP1:ONR1"/>
    <mergeCell ref="ONS1:ONU1"/>
    <mergeCell ref="ONV1:ONX1"/>
    <mergeCell ref="ONY1:OOA1"/>
    <mergeCell ref="OMX1:OMZ1"/>
    <mergeCell ref="ONA1:ONC1"/>
    <mergeCell ref="OND1:ONF1"/>
    <mergeCell ref="ONG1:ONI1"/>
    <mergeCell ref="ONJ1:ONL1"/>
    <mergeCell ref="OQY1:ORA1"/>
    <mergeCell ref="ORB1:ORD1"/>
    <mergeCell ref="ORE1:ORG1"/>
    <mergeCell ref="ORH1:ORJ1"/>
    <mergeCell ref="ORK1:ORM1"/>
    <mergeCell ref="OQJ1:OQL1"/>
    <mergeCell ref="OQM1:OQO1"/>
    <mergeCell ref="OQP1:OQR1"/>
    <mergeCell ref="OQS1:OQU1"/>
    <mergeCell ref="OQV1:OQX1"/>
    <mergeCell ref="OPU1:OPW1"/>
    <mergeCell ref="OPX1:OPZ1"/>
    <mergeCell ref="OQA1:OQC1"/>
    <mergeCell ref="OQD1:OQF1"/>
    <mergeCell ref="OQG1:OQI1"/>
    <mergeCell ref="OPF1:OPH1"/>
    <mergeCell ref="OPI1:OPK1"/>
    <mergeCell ref="OPL1:OPN1"/>
    <mergeCell ref="OPO1:OPQ1"/>
    <mergeCell ref="OPR1:OPT1"/>
    <mergeCell ref="OTG1:OTI1"/>
    <mergeCell ref="OTJ1:OTL1"/>
    <mergeCell ref="OTM1:OTO1"/>
    <mergeCell ref="OTP1:OTR1"/>
    <mergeCell ref="OTS1:OTU1"/>
    <mergeCell ref="OSR1:OST1"/>
    <mergeCell ref="OSU1:OSW1"/>
    <mergeCell ref="OSX1:OSZ1"/>
    <mergeCell ref="OTA1:OTC1"/>
    <mergeCell ref="OTD1:OTF1"/>
    <mergeCell ref="OSC1:OSE1"/>
    <mergeCell ref="OSF1:OSH1"/>
    <mergeCell ref="OSI1:OSK1"/>
    <mergeCell ref="OSL1:OSN1"/>
    <mergeCell ref="OSO1:OSQ1"/>
    <mergeCell ref="ORN1:ORP1"/>
    <mergeCell ref="ORQ1:ORS1"/>
    <mergeCell ref="ORT1:ORV1"/>
    <mergeCell ref="ORW1:ORY1"/>
    <mergeCell ref="ORZ1:OSB1"/>
    <mergeCell ref="OVO1:OVQ1"/>
    <mergeCell ref="OVR1:OVT1"/>
    <mergeCell ref="OVU1:OVW1"/>
    <mergeCell ref="OVX1:OVZ1"/>
    <mergeCell ref="OWA1:OWC1"/>
    <mergeCell ref="OUZ1:OVB1"/>
    <mergeCell ref="OVC1:OVE1"/>
    <mergeCell ref="OVF1:OVH1"/>
    <mergeCell ref="OVI1:OVK1"/>
    <mergeCell ref="OVL1:OVN1"/>
    <mergeCell ref="OUK1:OUM1"/>
    <mergeCell ref="OUN1:OUP1"/>
    <mergeCell ref="OUQ1:OUS1"/>
    <mergeCell ref="OUT1:OUV1"/>
    <mergeCell ref="OUW1:OUY1"/>
    <mergeCell ref="OTV1:OTX1"/>
    <mergeCell ref="OTY1:OUA1"/>
    <mergeCell ref="OUB1:OUD1"/>
    <mergeCell ref="OUE1:OUG1"/>
    <mergeCell ref="OUH1:OUJ1"/>
    <mergeCell ref="OXW1:OXY1"/>
    <mergeCell ref="OXZ1:OYB1"/>
    <mergeCell ref="OYC1:OYE1"/>
    <mergeCell ref="OYF1:OYH1"/>
    <mergeCell ref="OYI1:OYK1"/>
    <mergeCell ref="OXH1:OXJ1"/>
    <mergeCell ref="OXK1:OXM1"/>
    <mergeCell ref="OXN1:OXP1"/>
    <mergeCell ref="OXQ1:OXS1"/>
    <mergeCell ref="OXT1:OXV1"/>
    <mergeCell ref="OWS1:OWU1"/>
    <mergeCell ref="OWV1:OWX1"/>
    <mergeCell ref="OWY1:OXA1"/>
    <mergeCell ref="OXB1:OXD1"/>
    <mergeCell ref="OXE1:OXG1"/>
    <mergeCell ref="OWD1:OWF1"/>
    <mergeCell ref="OWG1:OWI1"/>
    <mergeCell ref="OWJ1:OWL1"/>
    <mergeCell ref="OWM1:OWO1"/>
    <mergeCell ref="OWP1:OWR1"/>
    <mergeCell ref="PAE1:PAG1"/>
    <mergeCell ref="PAH1:PAJ1"/>
    <mergeCell ref="PAK1:PAM1"/>
    <mergeCell ref="PAN1:PAP1"/>
    <mergeCell ref="PAQ1:PAS1"/>
    <mergeCell ref="OZP1:OZR1"/>
    <mergeCell ref="OZS1:OZU1"/>
    <mergeCell ref="OZV1:OZX1"/>
    <mergeCell ref="OZY1:PAA1"/>
    <mergeCell ref="PAB1:PAD1"/>
    <mergeCell ref="OZA1:OZC1"/>
    <mergeCell ref="OZD1:OZF1"/>
    <mergeCell ref="OZG1:OZI1"/>
    <mergeCell ref="OZJ1:OZL1"/>
    <mergeCell ref="OZM1:OZO1"/>
    <mergeCell ref="OYL1:OYN1"/>
    <mergeCell ref="OYO1:OYQ1"/>
    <mergeCell ref="OYR1:OYT1"/>
    <mergeCell ref="OYU1:OYW1"/>
    <mergeCell ref="OYX1:OYZ1"/>
    <mergeCell ref="PCM1:PCO1"/>
    <mergeCell ref="PCP1:PCR1"/>
    <mergeCell ref="PCS1:PCU1"/>
    <mergeCell ref="PCV1:PCX1"/>
    <mergeCell ref="PCY1:PDA1"/>
    <mergeCell ref="PBX1:PBZ1"/>
    <mergeCell ref="PCA1:PCC1"/>
    <mergeCell ref="PCD1:PCF1"/>
    <mergeCell ref="PCG1:PCI1"/>
    <mergeCell ref="PCJ1:PCL1"/>
    <mergeCell ref="PBI1:PBK1"/>
    <mergeCell ref="PBL1:PBN1"/>
    <mergeCell ref="PBO1:PBQ1"/>
    <mergeCell ref="PBR1:PBT1"/>
    <mergeCell ref="PBU1:PBW1"/>
    <mergeCell ref="PAT1:PAV1"/>
    <mergeCell ref="PAW1:PAY1"/>
    <mergeCell ref="PAZ1:PBB1"/>
    <mergeCell ref="PBC1:PBE1"/>
    <mergeCell ref="PBF1:PBH1"/>
    <mergeCell ref="PEU1:PEW1"/>
    <mergeCell ref="PEX1:PEZ1"/>
    <mergeCell ref="PFA1:PFC1"/>
    <mergeCell ref="PFD1:PFF1"/>
    <mergeCell ref="PFG1:PFI1"/>
    <mergeCell ref="PEF1:PEH1"/>
    <mergeCell ref="PEI1:PEK1"/>
    <mergeCell ref="PEL1:PEN1"/>
    <mergeCell ref="PEO1:PEQ1"/>
    <mergeCell ref="PER1:PET1"/>
    <mergeCell ref="PDQ1:PDS1"/>
    <mergeCell ref="PDT1:PDV1"/>
    <mergeCell ref="PDW1:PDY1"/>
    <mergeCell ref="PDZ1:PEB1"/>
    <mergeCell ref="PEC1:PEE1"/>
    <mergeCell ref="PDB1:PDD1"/>
    <mergeCell ref="PDE1:PDG1"/>
    <mergeCell ref="PDH1:PDJ1"/>
    <mergeCell ref="PDK1:PDM1"/>
    <mergeCell ref="PDN1:PDP1"/>
    <mergeCell ref="PHC1:PHE1"/>
    <mergeCell ref="PHF1:PHH1"/>
    <mergeCell ref="PHI1:PHK1"/>
    <mergeCell ref="PHL1:PHN1"/>
    <mergeCell ref="PHO1:PHQ1"/>
    <mergeCell ref="PGN1:PGP1"/>
    <mergeCell ref="PGQ1:PGS1"/>
    <mergeCell ref="PGT1:PGV1"/>
    <mergeCell ref="PGW1:PGY1"/>
    <mergeCell ref="PGZ1:PHB1"/>
    <mergeCell ref="PFY1:PGA1"/>
    <mergeCell ref="PGB1:PGD1"/>
    <mergeCell ref="PGE1:PGG1"/>
    <mergeCell ref="PGH1:PGJ1"/>
    <mergeCell ref="PGK1:PGM1"/>
    <mergeCell ref="PFJ1:PFL1"/>
    <mergeCell ref="PFM1:PFO1"/>
    <mergeCell ref="PFP1:PFR1"/>
    <mergeCell ref="PFS1:PFU1"/>
    <mergeCell ref="PFV1:PFX1"/>
    <mergeCell ref="PJK1:PJM1"/>
    <mergeCell ref="PJN1:PJP1"/>
    <mergeCell ref="PJQ1:PJS1"/>
    <mergeCell ref="PJT1:PJV1"/>
    <mergeCell ref="PJW1:PJY1"/>
    <mergeCell ref="PIV1:PIX1"/>
    <mergeCell ref="PIY1:PJA1"/>
    <mergeCell ref="PJB1:PJD1"/>
    <mergeCell ref="PJE1:PJG1"/>
    <mergeCell ref="PJH1:PJJ1"/>
    <mergeCell ref="PIG1:PII1"/>
    <mergeCell ref="PIJ1:PIL1"/>
    <mergeCell ref="PIM1:PIO1"/>
    <mergeCell ref="PIP1:PIR1"/>
    <mergeCell ref="PIS1:PIU1"/>
    <mergeCell ref="PHR1:PHT1"/>
    <mergeCell ref="PHU1:PHW1"/>
    <mergeCell ref="PHX1:PHZ1"/>
    <mergeCell ref="PIA1:PIC1"/>
    <mergeCell ref="PID1:PIF1"/>
    <mergeCell ref="PLS1:PLU1"/>
    <mergeCell ref="PLV1:PLX1"/>
    <mergeCell ref="PLY1:PMA1"/>
    <mergeCell ref="PMB1:PMD1"/>
    <mergeCell ref="PME1:PMG1"/>
    <mergeCell ref="PLD1:PLF1"/>
    <mergeCell ref="PLG1:PLI1"/>
    <mergeCell ref="PLJ1:PLL1"/>
    <mergeCell ref="PLM1:PLO1"/>
    <mergeCell ref="PLP1:PLR1"/>
    <mergeCell ref="PKO1:PKQ1"/>
    <mergeCell ref="PKR1:PKT1"/>
    <mergeCell ref="PKU1:PKW1"/>
    <mergeCell ref="PKX1:PKZ1"/>
    <mergeCell ref="PLA1:PLC1"/>
    <mergeCell ref="PJZ1:PKB1"/>
    <mergeCell ref="PKC1:PKE1"/>
    <mergeCell ref="PKF1:PKH1"/>
    <mergeCell ref="PKI1:PKK1"/>
    <mergeCell ref="PKL1:PKN1"/>
    <mergeCell ref="POA1:POC1"/>
    <mergeCell ref="POD1:POF1"/>
    <mergeCell ref="POG1:POI1"/>
    <mergeCell ref="POJ1:POL1"/>
    <mergeCell ref="POM1:POO1"/>
    <mergeCell ref="PNL1:PNN1"/>
    <mergeCell ref="PNO1:PNQ1"/>
    <mergeCell ref="PNR1:PNT1"/>
    <mergeCell ref="PNU1:PNW1"/>
    <mergeCell ref="PNX1:PNZ1"/>
    <mergeCell ref="PMW1:PMY1"/>
    <mergeCell ref="PMZ1:PNB1"/>
    <mergeCell ref="PNC1:PNE1"/>
    <mergeCell ref="PNF1:PNH1"/>
    <mergeCell ref="PNI1:PNK1"/>
    <mergeCell ref="PMH1:PMJ1"/>
    <mergeCell ref="PMK1:PMM1"/>
    <mergeCell ref="PMN1:PMP1"/>
    <mergeCell ref="PMQ1:PMS1"/>
    <mergeCell ref="PMT1:PMV1"/>
    <mergeCell ref="PQI1:PQK1"/>
    <mergeCell ref="PQL1:PQN1"/>
    <mergeCell ref="PQO1:PQQ1"/>
    <mergeCell ref="PQR1:PQT1"/>
    <mergeCell ref="PQU1:PQW1"/>
    <mergeCell ref="PPT1:PPV1"/>
    <mergeCell ref="PPW1:PPY1"/>
    <mergeCell ref="PPZ1:PQB1"/>
    <mergeCell ref="PQC1:PQE1"/>
    <mergeCell ref="PQF1:PQH1"/>
    <mergeCell ref="PPE1:PPG1"/>
    <mergeCell ref="PPH1:PPJ1"/>
    <mergeCell ref="PPK1:PPM1"/>
    <mergeCell ref="PPN1:PPP1"/>
    <mergeCell ref="PPQ1:PPS1"/>
    <mergeCell ref="POP1:POR1"/>
    <mergeCell ref="POS1:POU1"/>
    <mergeCell ref="POV1:POX1"/>
    <mergeCell ref="POY1:PPA1"/>
    <mergeCell ref="PPB1:PPD1"/>
    <mergeCell ref="PSQ1:PSS1"/>
    <mergeCell ref="PST1:PSV1"/>
    <mergeCell ref="PSW1:PSY1"/>
    <mergeCell ref="PSZ1:PTB1"/>
    <mergeCell ref="PTC1:PTE1"/>
    <mergeCell ref="PSB1:PSD1"/>
    <mergeCell ref="PSE1:PSG1"/>
    <mergeCell ref="PSH1:PSJ1"/>
    <mergeCell ref="PSK1:PSM1"/>
    <mergeCell ref="PSN1:PSP1"/>
    <mergeCell ref="PRM1:PRO1"/>
    <mergeCell ref="PRP1:PRR1"/>
    <mergeCell ref="PRS1:PRU1"/>
    <mergeCell ref="PRV1:PRX1"/>
    <mergeCell ref="PRY1:PSA1"/>
    <mergeCell ref="PQX1:PQZ1"/>
    <mergeCell ref="PRA1:PRC1"/>
    <mergeCell ref="PRD1:PRF1"/>
    <mergeCell ref="PRG1:PRI1"/>
    <mergeCell ref="PRJ1:PRL1"/>
    <mergeCell ref="PUY1:PVA1"/>
    <mergeCell ref="PVB1:PVD1"/>
    <mergeCell ref="PVE1:PVG1"/>
    <mergeCell ref="PVH1:PVJ1"/>
    <mergeCell ref="PVK1:PVM1"/>
    <mergeCell ref="PUJ1:PUL1"/>
    <mergeCell ref="PUM1:PUO1"/>
    <mergeCell ref="PUP1:PUR1"/>
    <mergeCell ref="PUS1:PUU1"/>
    <mergeCell ref="PUV1:PUX1"/>
    <mergeCell ref="PTU1:PTW1"/>
    <mergeCell ref="PTX1:PTZ1"/>
    <mergeCell ref="PUA1:PUC1"/>
    <mergeCell ref="PUD1:PUF1"/>
    <mergeCell ref="PUG1:PUI1"/>
    <mergeCell ref="PTF1:PTH1"/>
    <mergeCell ref="PTI1:PTK1"/>
    <mergeCell ref="PTL1:PTN1"/>
    <mergeCell ref="PTO1:PTQ1"/>
    <mergeCell ref="PTR1:PTT1"/>
    <mergeCell ref="PXG1:PXI1"/>
    <mergeCell ref="PXJ1:PXL1"/>
    <mergeCell ref="PXM1:PXO1"/>
    <mergeCell ref="PXP1:PXR1"/>
    <mergeCell ref="PXS1:PXU1"/>
    <mergeCell ref="PWR1:PWT1"/>
    <mergeCell ref="PWU1:PWW1"/>
    <mergeCell ref="PWX1:PWZ1"/>
    <mergeCell ref="PXA1:PXC1"/>
    <mergeCell ref="PXD1:PXF1"/>
    <mergeCell ref="PWC1:PWE1"/>
    <mergeCell ref="PWF1:PWH1"/>
    <mergeCell ref="PWI1:PWK1"/>
    <mergeCell ref="PWL1:PWN1"/>
    <mergeCell ref="PWO1:PWQ1"/>
    <mergeCell ref="PVN1:PVP1"/>
    <mergeCell ref="PVQ1:PVS1"/>
    <mergeCell ref="PVT1:PVV1"/>
    <mergeCell ref="PVW1:PVY1"/>
    <mergeCell ref="PVZ1:PWB1"/>
    <mergeCell ref="PZO1:PZQ1"/>
    <mergeCell ref="PZR1:PZT1"/>
    <mergeCell ref="PZU1:PZW1"/>
    <mergeCell ref="PZX1:PZZ1"/>
    <mergeCell ref="QAA1:QAC1"/>
    <mergeCell ref="PYZ1:PZB1"/>
    <mergeCell ref="PZC1:PZE1"/>
    <mergeCell ref="PZF1:PZH1"/>
    <mergeCell ref="PZI1:PZK1"/>
    <mergeCell ref="PZL1:PZN1"/>
    <mergeCell ref="PYK1:PYM1"/>
    <mergeCell ref="PYN1:PYP1"/>
    <mergeCell ref="PYQ1:PYS1"/>
    <mergeCell ref="PYT1:PYV1"/>
    <mergeCell ref="PYW1:PYY1"/>
    <mergeCell ref="PXV1:PXX1"/>
    <mergeCell ref="PXY1:PYA1"/>
    <mergeCell ref="PYB1:PYD1"/>
    <mergeCell ref="PYE1:PYG1"/>
    <mergeCell ref="PYH1:PYJ1"/>
    <mergeCell ref="QBW1:QBY1"/>
    <mergeCell ref="QBZ1:QCB1"/>
    <mergeCell ref="QCC1:QCE1"/>
    <mergeCell ref="QCF1:QCH1"/>
    <mergeCell ref="QCI1:QCK1"/>
    <mergeCell ref="QBH1:QBJ1"/>
    <mergeCell ref="QBK1:QBM1"/>
    <mergeCell ref="QBN1:QBP1"/>
    <mergeCell ref="QBQ1:QBS1"/>
    <mergeCell ref="QBT1:QBV1"/>
    <mergeCell ref="QAS1:QAU1"/>
    <mergeCell ref="QAV1:QAX1"/>
    <mergeCell ref="QAY1:QBA1"/>
    <mergeCell ref="QBB1:QBD1"/>
    <mergeCell ref="QBE1:QBG1"/>
    <mergeCell ref="QAD1:QAF1"/>
    <mergeCell ref="QAG1:QAI1"/>
    <mergeCell ref="QAJ1:QAL1"/>
    <mergeCell ref="QAM1:QAO1"/>
    <mergeCell ref="QAP1:QAR1"/>
    <mergeCell ref="QEE1:QEG1"/>
    <mergeCell ref="QEH1:QEJ1"/>
    <mergeCell ref="QEK1:QEM1"/>
    <mergeCell ref="QEN1:QEP1"/>
    <mergeCell ref="QEQ1:QES1"/>
    <mergeCell ref="QDP1:QDR1"/>
    <mergeCell ref="QDS1:QDU1"/>
    <mergeCell ref="QDV1:QDX1"/>
    <mergeCell ref="QDY1:QEA1"/>
    <mergeCell ref="QEB1:QED1"/>
    <mergeCell ref="QDA1:QDC1"/>
    <mergeCell ref="QDD1:QDF1"/>
    <mergeCell ref="QDG1:QDI1"/>
    <mergeCell ref="QDJ1:QDL1"/>
    <mergeCell ref="QDM1:QDO1"/>
    <mergeCell ref="QCL1:QCN1"/>
    <mergeCell ref="QCO1:QCQ1"/>
    <mergeCell ref="QCR1:QCT1"/>
    <mergeCell ref="QCU1:QCW1"/>
    <mergeCell ref="QCX1:QCZ1"/>
    <mergeCell ref="QGM1:QGO1"/>
    <mergeCell ref="QGP1:QGR1"/>
    <mergeCell ref="QGS1:QGU1"/>
    <mergeCell ref="QGV1:QGX1"/>
    <mergeCell ref="QGY1:QHA1"/>
    <mergeCell ref="QFX1:QFZ1"/>
    <mergeCell ref="QGA1:QGC1"/>
    <mergeCell ref="QGD1:QGF1"/>
    <mergeCell ref="QGG1:QGI1"/>
    <mergeCell ref="QGJ1:QGL1"/>
    <mergeCell ref="QFI1:QFK1"/>
    <mergeCell ref="QFL1:QFN1"/>
    <mergeCell ref="QFO1:QFQ1"/>
    <mergeCell ref="QFR1:QFT1"/>
    <mergeCell ref="QFU1:QFW1"/>
    <mergeCell ref="QET1:QEV1"/>
    <mergeCell ref="QEW1:QEY1"/>
    <mergeCell ref="QEZ1:QFB1"/>
    <mergeCell ref="QFC1:QFE1"/>
    <mergeCell ref="QFF1:QFH1"/>
    <mergeCell ref="QIU1:QIW1"/>
    <mergeCell ref="QIX1:QIZ1"/>
    <mergeCell ref="QJA1:QJC1"/>
    <mergeCell ref="QJD1:QJF1"/>
    <mergeCell ref="QJG1:QJI1"/>
    <mergeCell ref="QIF1:QIH1"/>
    <mergeCell ref="QII1:QIK1"/>
    <mergeCell ref="QIL1:QIN1"/>
    <mergeCell ref="QIO1:QIQ1"/>
    <mergeCell ref="QIR1:QIT1"/>
    <mergeCell ref="QHQ1:QHS1"/>
    <mergeCell ref="QHT1:QHV1"/>
    <mergeCell ref="QHW1:QHY1"/>
    <mergeCell ref="QHZ1:QIB1"/>
    <mergeCell ref="QIC1:QIE1"/>
    <mergeCell ref="QHB1:QHD1"/>
    <mergeCell ref="QHE1:QHG1"/>
    <mergeCell ref="QHH1:QHJ1"/>
    <mergeCell ref="QHK1:QHM1"/>
    <mergeCell ref="QHN1:QHP1"/>
    <mergeCell ref="QLC1:QLE1"/>
    <mergeCell ref="QLF1:QLH1"/>
    <mergeCell ref="QLI1:QLK1"/>
    <mergeCell ref="QLL1:QLN1"/>
    <mergeCell ref="QLO1:QLQ1"/>
    <mergeCell ref="QKN1:QKP1"/>
    <mergeCell ref="QKQ1:QKS1"/>
    <mergeCell ref="QKT1:QKV1"/>
    <mergeCell ref="QKW1:QKY1"/>
    <mergeCell ref="QKZ1:QLB1"/>
    <mergeCell ref="QJY1:QKA1"/>
    <mergeCell ref="QKB1:QKD1"/>
    <mergeCell ref="QKE1:QKG1"/>
    <mergeCell ref="QKH1:QKJ1"/>
    <mergeCell ref="QKK1:QKM1"/>
    <mergeCell ref="QJJ1:QJL1"/>
    <mergeCell ref="QJM1:QJO1"/>
    <mergeCell ref="QJP1:QJR1"/>
    <mergeCell ref="QJS1:QJU1"/>
    <mergeCell ref="QJV1:QJX1"/>
    <mergeCell ref="QNK1:QNM1"/>
    <mergeCell ref="QNN1:QNP1"/>
    <mergeCell ref="QNQ1:QNS1"/>
    <mergeCell ref="QNT1:QNV1"/>
    <mergeCell ref="QNW1:QNY1"/>
    <mergeCell ref="QMV1:QMX1"/>
    <mergeCell ref="QMY1:QNA1"/>
    <mergeCell ref="QNB1:QND1"/>
    <mergeCell ref="QNE1:QNG1"/>
    <mergeCell ref="QNH1:QNJ1"/>
    <mergeCell ref="QMG1:QMI1"/>
    <mergeCell ref="QMJ1:QML1"/>
    <mergeCell ref="QMM1:QMO1"/>
    <mergeCell ref="QMP1:QMR1"/>
    <mergeCell ref="QMS1:QMU1"/>
    <mergeCell ref="QLR1:QLT1"/>
    <mergeCell ref="QLU1:QLW1"/>
    <mergeCell ref="QLX1:QLZ1"/>
    <mergeCell ref="QMA1:QMC1"/>
    <mergeCell ref="QMD1:QMF1"/>
    <mergeCell ref="QPS1:QPU1"/>
    <mergeCell ref="QPV1:QPX1"/>
    <mergeCell ref="QPY1:QQA1"/>
    <mergeCell ref="QQB1:QQD1"/>
    <mergeCell ref="QQE1:QQG1"/>
    <mergeCell ref="QPD1:QPF1"/>
    <mergeCell ref="QPG1:QPI1"/>
    <mergeCell ref="QPJ1:QPL1"/>
    <mergeCell ref="QPM1:QPO1"/>
    <mergeCell ref="QPP1:QPR1"/>
    <mergeCell ref="QOO1:QOQ1"/>
    <mergeCell ref="QOR1:QOT1"/>
    <mergeCell ref="QOU1:QOW1"/>
    <mergeCell ref="QOX1:QOZ1"/>
    <mergeCell ref="QPA1:QPC1"/>
    <mergeCell ref="QNZ1:QOB1"/>
    <mergeCell ref="QOC1:QOE1"/>
    <mergeCell ref="QOF1:QOH1"/>
    <mergeCell ref="QOI1:QOK1"/>
    <mergeCell ref="QOL1:QON1"/>
    <mergeCell ref="QSA1:QSC1"/>
    <mergeCell ref="QSD1:QSF1"/>
    <mergeCell ref="QSG1:QSI1"/>
    <mergeCell ref="QSJ1:QSL1"/>
    <mergeCell ref="QSM1:QSO1"/>
    <mergeCell ref="QRL1:QRN1"/>
    <mergeCell ref="QRO1:QRQ1"/>
    <mergeCell ref="QRR1:QRT1"/>
    <mergeCell ref="QRU1:QRW1"/>
    <mergeCell ref="QRX1:QRZ1"/>
    <mergeCell ref="QQW1:QQY1"/>
    <mergeCell ref="QQZ1:QRB1"/>
    <mergeCell ref="QRC1:QRE1"/>
    <mergeCell ref="QRF1:QRH1"/>
    <mergeCell ref="QRI1:QRK1"/>
    <mergeCell ref="QQH1:QQJ1"/>
    <mergeCell ref="QQK1:QQM1"/>
    <mergeCell ref="QQN1:QQP1"/>
    <mergeCell ref="QQQ1:QQS1"/>
    <mergeCell ref="QQT1:QQV1"/>
    <mergeCell ref="QUI1:QUK1"/>
    <mergeCell ref="QUL1:QUN1"/>
    <mergeCell ref="QUO1:QUQ1"/>
    <mergeCell ref="QUR1:QUT1"/>
    <mergeCell ref="QUU1:QUW1"/>
    <mergeCell ref="QTT1:QTV1"/>
    <mergeCell ref="QTW1:QTY1"/>
    <mergeCell ref="QTZ1:QUB1"/>
    <mergeCell ref="QUC1:QUE1"/>
    <mergeCell ref="QUF1:QUH1"/>
    <mergeCell ref="QTE1:QTG1"/>
    <mergeCell ref="QTH1:QTJ1"/>
    <mergeCell ref="QTK1:QTM1"/>
    <mergeCell ref="QTN1:QTP1"/>
    <mergeCell ref="QTQ1:QTS1"/>
    <mergeCell ref="QSP1:QSR1"/>
    <mergeCell ref="QSS1:QSU1"/>
    <mergeCell ref="QSV1:QSX1"/>
    <mergeCell ref="QSY1:QTA1"/>
    <mergeCell ref="QTB1:QTD1"/>
    <mergeCell ref="QWQ1:QWS1"/>
    <mergeCell ref="QWT1:QWV1"/>
    <mergeCell ref="QWW1:QWY1"/>
    <mergeCell ref="QWZ1:QXB1"/>
    <mergeCell ref="QXC1:QXE1"/>
    <mergeCell ref="QWB1:QWD1"/>
    <mergeCell ref="QWE1:QWG1"/>
    <mergeCell ref="QWH1:QWJ1"/>
    <mergeCell ref="QWK1:QWM1"/>
    <mergeCell ref="QWN1:QWP1"/>
    <mergeCell ref="QVM1:QVO1"/>
    <mergeCell ref="QVP1:QVR1"/>
    <mergeCell ref="QVS1:QVU1"/>
    <mergeCell ref="QVV1:QVX1"/>
    <mergeCell ref="QVY1:QWA1"/>
    <mergeCell ref="QUX1:QUZ1"/>
    <mergeCell ref="QVA1:QVC1"/>
    <mergeCell ref="QVD1:QVF1"/>
    <mergeCell ref="QVG1:QVI1"/>
    <mergeCell ref="QVJ1:QVL1"/>
    <mergeCell ref="QYY1:QZA1"/>
    <mergeCell ref="QZB1:QZD1"/>
    <mergeCell ref="QZE1:QZG1"/>
    <mergeCell ref="QZH1:QZJ1"/>
    <mergeCell ref="QZK1:QZM1"/>
    <mergeCell ref="QYJ1:QYL1"/>
    <mergeCell ref="QYM1:QYO1"/>
    <mergeCell ref="QYP1:QYR1"/>
    <mergeCell ref="QYS1:QYU1"/>
    <mergeCell ref="QYV1:QYX1"/>
    <mergeCell ref="QXU1:QXW1"/>
    <mergeCell ref="QXX1:QXZ1"/>
    <mergeCell ref="QYA1:QYC1"/>
    <mergeCell ref="QYD1:QYF1"/>
    <mergeCell ref="QYG1:QYI1"/>
    <mergeCell ref="QXF1:QXH1"/>
    <mergeCell ref="QXI1:QXK1"/>
    <mergeCell ref="QXL1:QXN1"/>
    <mergeCell ref="QXO1:QXQ1"/>
    <mergeCell ref="QXR1:QXT1"/>
    <mergeCell ref="RBG1:RBI1"/>
    <mergeCell ref="RBJ1:RBL1"/>
    <mergeCell ref="RBM1:RBO1"/>
    <mergeCell ref="RBP1:RBR1"/>
    <mergeCell ref="RBS1:RBU1"/>
    <mergeCell ref="RAR1:RAT1"/>
    <mergeCell ref="RAU1:RAW1"/>
    <mergeCell ref="RAX1:RAZ1"/>
    <mergeCell ref="RBA1:RBC1"/>
    <mergeCell ref="RBD1:RBF1"/>
    <mergeCell ref="RAC1:RAE1"/>
    <mergeCell ref="RAF1:RAH1"/>
    <mergeCell ref="RAI1:RAK1"/>
    <mergeCell ref="RAL1:RAN1"/>
    <mergeCell ref="RAO1:RAQ1"/>
    <mergeCell ref="QZN1:QZP1"/>
    <mergeCell ref="QZQ1:QZS1"/>
    <mergeCell ref="QZT1:QZV1"/>
    <mergeCell ref="QZW1:QZY1"/>
    <mergeCell ref="QZZ1:RAB1"/>
    <mergeCell ref="RDO1:RDQ1"/>
    <mergeCell ref="RDR1:RDT1"/>
    <mergeCell ref="RDU1:RDW1"/>
    <mergeCell ref="RDX1:RDZ1"/>
    <mergeCell ref="REA1:REC1"/>
    <mergeCell ref="RCZ1:RDB1"/>
    <mergeCell ref="RDC1:RDE1"/>
    <mergeCell ref="RDF1:RDH1"/>
    <mergeCell ref="RDI1:RDK1"/>
    <mergeCell ref="RDL1:RDN1"/>
    <mergeCell ref="RCK1:RCM1"/>
    <mergeCell ref="RCN1:RCP1"/>
    <mergeCell ref="RCQ1:RCS1"/>
    <mergeCell ref="RCT1:RCV1"/>
    <mergeCell ref="RCW1:RCY1"/>
    <mergeCell ref="RBV1:RBX1"/>
    <mergeCell ref="RBY1:RCA1"/>
    <mergeCell ref="RCB1:RCD1"/>
    <mergeCell ref="RCE1:RCG1"/>
    <mergeCell ref="RCH1:RCJ1"/>
    <mergeCell ref="RFW1:RFY1"/>
    <mergeCell ref="RFZ1:RGB1"/>
    <mergeCell ref="RGC1:RGE1"/>
    <mergeCell ref="RGF1:RGH1"/>
    <mergeCell ref="RGI1:RGK1"/>
    <mergeCell ref="RFH1:RFJ1"/>
    <mergeCell ref="RFK1:RFM1"/>
    <mergeCell ref="RFN1:RFP1"/>
    <mergeCell ref="RFQ1:RFS1"/>
    <mergeCell ref="RFT1:RFV1"/>
    <mergeCell ref="RES1:REU1"/>
    <mergeCell ref="REV1:REX1"/>
    <mergeCell ref="REY1:RFA1"/>
    <mergeCell ref="RFB1:RFD1"/>
    <mergeCell ref="RFE1:RFG1"/>
    <mergeCell ref="RED1:REF1"/>
    <mergeCell ref="REG1:REI1"/>
    <mergeCell ref="REJ1:REL1"/>
    <mergeCell ref="REM1:REO1"/>
    <mergeCell ref="REP1:RER1"/>
    <mergeCell ref="RIE1:RIG1"/>
    <mergeCell ref="RIH1:RIJ1"/>
    <mergeCell ref="RIK1:RIM1"/>
    <mergeCell ref="RIN1:RIP1"/>
    <mergeCell ref="RIQ1:RIS1"/>
    <mergeCell ref="RHP1:RHR1"/>
    <mergeCell ref="RHS1:RHU1"/>
    <mergeCell ref="RHV1:RHX1"/>
    <mergeCell ref="RHY1:RIA1"/>
    <mergeCell ref="RIB1:RID1"/>
    <mergeCell ref="RHA1:RHC1"/>
    <mergeCell ref="RHD1:RHF1"/>
    <mergeCell ref="RHG1:RHI1"/>
    <mergeCell ref="RHJ1:RHL1"/>
    <mergeCell ref="RHM1:RHO1"/>
    <mergeCell ref="RGL1:RGN1"/>
    <mergeCell ref="RGO1:RGQ1"/>
    <mergeCell ref="RGR1:RGT1"/>
    <mergeCell ref="RGU1:RGW1"/>
    <mergeCell ref="RGX1:RGZ1"/>
    <mergeCell ref="RKM1:RKO1"/>
    <mergeCell ref="RKP1:RKR1"/>
    <mergeCell ref="RKS1:RKU1"/>
    <mergeCell ref="RKV1:RKX1"/>
    <mergeCell ref="RKY1:RLA1"/>
    <mergeCell ref="RJX1:RJZ1"/>
    <mergeCell ref="RKA1:RKC1"/>
    <mergeCell ref="RKD1:RKF1"/>
    <mergeCell ref="RKG1:RKI1"/>
    <mergeCell ref="RKJ1:RKL1"/>
    <mergeCell ref="RJI1:RJK1"/>
    <mergeCell ref="RJL1:RJN1"/>
    <mergeCell ref="RJO1:RJQ1"/>
    <mergeCell ref="RJR1:RJT1"/>
    <mergeCell ref="RJU1:RJW1"/>
    <mergeCell ref="RIT1:RIV1"/>
    <mergeCell ref="RIW1:RIY1"/>
    <mergeCell ref="RIZ1:RJB1"/>
    <mergeCell ref="RJC1:RJE1"/>
    <mergeCell ref="RJF1:RJH1"/>
    <mergeCell ref="RMU1:RMW1"/>
    <mergeCell ref="RMX1:RMZ1"/>
    <mergeCell ref="RNA1:RNC1"/>
    <mergeCell ref="RND1:RNF1"/>
    <mergeCell ref="RNG1:RNI1"/>
    <mergeCell ref="RMF1:RMH1"/>
    <mergeCell ref="RMI1:RMK1"/>
    <mergeCell ref="RML1:RMN1"/>
    <mergeCell ref="RMO1:RMQ1"/>
    <mergeCell ref="RMR1:RMT1"/>
    <mergeCell ref="RLQ1:RLS1"/>
    <mergeCell ref="RLT1:RLV1"/>
    <mergeCell ref="RLW1:RLY1"/>
    <mergeCell ref="RLZ1:RMB1"/>
    <mergeCell ref="RMC1:RME1"/>
    <mergeCell ref="RLB1:RLD1"/>
    <mergeCell ref="RLE1:RLG1"/>
    <mergeCell ref="RLH1:RLJ1"/>
    <mergeCell ref="RLK1:RLM1"/>
    <mergeCell ref="RLN1:RLP1"/>
    <mergeCell ref="RPC1:RPE1"/>
    <mergeCell ref="RPF1:RPH1"/>
    <mergeCell ref="RPI1:RPK1"/>
    <mergeCell ref="RPL1:RPN1"/>
    <mergeCell ref="RPO1:RPQ1"/>
    <mergeCell ref="RON1:ROP1"/>
    <mergeCell ref="ROQ1:ROS1"/>
    <mergeCell ref="ROT1:ROV1"/>
    <mergeCell ref="ROW1:ROY1"/>
    <mergeCell ref="ROZ1:RPB1"/>
    <mergeCell ref="RNY1:ROA1"/>
    <mergeCell ref="ROB1:ROD1"/>
    <mergeCell ref="ROE1:ROG1"/>
    <mergeCell ref="ROH1:ROJ1"/>
    <mergeCell ref="ROK1:ROM1"/>
    <mergeCell ref="RNJ1:RNL1"/>
    <mergeCell ref="RNM1:RNO1"/>
    <mergeCell ref="RNP1:RNR1"/>
    <mergeCell ref="RNS1:RNU1"/>
    <mergeCell ref="RNV1:RNX1"/>
    <mergeCell ref="RRK1:RRM1"/>
    <mergeCell ref="RRN1:RRP1"/>
    <mergeCell ref="RRQ1:RRS1"/>
    <mergeCell ref="RRT1:RRV1"/>
    <mergeCell ref="RRW1:RRY1"/>
    <mergeCell ref="RQV1:RQX1"/>
    <mergeCell ref="RQY1:RRA1"/>
    <mergeCell ref="RRB1:RRD1"/>
    <mergeCell ref="RRE1:RRG1"/>
    <mergeCell ref="RRH1:RRJ1"/>
    <mergeCell ref="RQG1:RQI1"/>
    <mergeCell ref="RQJ1:RQL1"/>
    <mergeCell ref="RQM1:RQO1"/>
    <mergeCell ref="RQP1:RQR1"/>
    <mergeCell ref="RQS1:RQU1"/>
    <mergeCell ref="RPR1:RPT1"/>
    <mergeCell ref="RPU1:RPW1"/>
    <mergeCell ref="RPX1:RPZ1"/>
    <mergeCell ref="RQA1:RQC1"/>
    <mergeCell ref="RQD1:RQF1"/>
    <mergeCell ref="RTS1:RTU1"/>
    <mergeCell ref="RTV1:RTX1"/>
    <mergeCell ref="RTY1:RUA1"/>
    <mergeCell ref="RUB1:RUD1"/>
    <mergeCell ref="RUE1:RUG1"/>
    <mergeCell ref="RTD1:RTF1"/>
    <mergeCell ref="RTG1:RTI1"/>
    <mergeCell ref="RTJ1:RTL1"/>
    <mergeCell ref="RTM1:RTO1"/>
    <mergeCell ref="RTP1:RTR1"/>
    <mergeCell ref="RSO1:RSQ1"/>
    <mergeCell ref="RSR1:RST1"/>
    <mergeCell ref="RSU1:RSW1"/>
    <mergeCell ref="RSX1:RSZ1"/>
    <mergeCell ref="RTA1:RTC1"/>
    <mergeCell ref="RRZ1:RSB1"/>
    <mergeCell ref="RSC1:RSE1"/>
    <mergeCell ref="RSF1:RSH1"/>
    <mergeCell ref="RSI1:RSK1"/>
    <mergeCell ref="RSL1:RSN1"/>
    <mergeCell ref="RWA1:RWC1"/>
    <mergeCell ref="RWD1:RWF1"/>
    <mergeCell ref="RWG1:RWI1"/>
    <mergeCell ref="RWJ1:RWL1"/>
    <mergeCell ref="RWM1:RWO1"/>
    <mergeCell ref="RVL1:RVN1"/>
    <mergeCell ref="RVO1:RVQ1"/>
    <mergeCell ref="RVR1:RVT1"/>
    <mergeCell ref="RVU1:RVW1"/>
    <mergeCell ref="RVX1:RVZ1"/>
    <mergeCell ref="RUW1:RUY1"/>
    <mergeCell ref="RUZ1:RVB1"/>
    <mergeCell ref="RVC1:RVE1"/>
    <mergeCell ref="RVF1:RVH1"/>
    <mergeCell ref="RVI1:RVK1"/>
    <mergeCell ref="RUH1:RUJ1"/>
    <mergeCell ref="RUK1:RUM1"/>
    <mergeCell ref="RUN1:RUP1"/>
    <mergeCell ref="RUQ1:RUS1"/>
    <mergeCell ref="RUT1:RUV1"/>
    <mergeCell ref="RYI1:RYK1"/>
    <mergeCell ref="RYL1:RYN1"/>
    <mergeCell ref="RYO1:RYQ1"/>
    <mergeCell ref="RYR1:RYT1"/>
    <mergeCell ref="RYU1:RYW1"/>
    <mergeCell ref="RXT1:RXV1"/>
    <mergeCell ref="RXW1:RXY1"/>
    <mergeCell ref="RXZ1:RYB1"/>
    <mergeCell ref="RYC1:RYE1"/>
    <mergeCell ref="RYF1:RYH1"/>
    <mergeCell ref="RXE1:RXG1"/>
    <mergeCell ref="RXH1:RXJ1"/>
    <mergeCell ref="RXK1:RXM1"/>
    <mergeCell ref="RXN1:RXP1"/>
    <mergeCell ref="RXQ1:RXS1"/>
    <mergeCell ref="RWP1:RWR1"/>
    <mergeCell ref="RWS1:RWU1"/>
    <mergeCell ref="RWV1:RWX1"/>
    <mergeCell ref="RWY1:RXA1"/>
    <mergeCell ref="RXB1:RXD1"/>
    <mergeCell ref="SAQ1:SAS1"/>
    <mergeCell ref="SAT1:SAV1"/>
    <mergeCell ref="SAW1:SAY1"/>
    <mergeCell ref="SAZ1:SBB1"/>
    <mergeCell ref="SBC1:SBE1"/>
    <mergeCell ref="SAB1:SAD1"/>
    <mergeCell ref="SAE1:SAG1"/>
    <mergeCell ref="SAH1:SAJ1"/>
    <mergeCell ref="SAK1:SAM1"/>
    <mergeCell ref="SAN1:SAP1"/>
    <mergeCell ref="RZM1:RZO1"/>
    <mergeCell ref="RZP1:RZR1"/>
    <mergeCell ref="RZS1:RZU1"/>
    <mergeCell ref="RZV1:RZX1"/>
    <mergeCell ref="RZY1:SAA1"/>
    <mergeCell ref="RYX1:RYZ1"/>
    <mergeCell ref="RZA1:RZC1"/>
    <mergeCell ref="RZD1:RZF1"/>
    <mergeCell ref="RZG1:RZI1"/>
    <mergeCell ref="RZJ1:RZL1"/>
    <mergeCell ref="SCY1:SDA1"/>
    <mergeCell ref="SDB1:SDD1"/>
    <mergeCell ref="SDE1:SDG1"/>
    <mergeCell ref="SDH1:SDJ1"/>
    <mergeCell ref="SDK1:SDM1"/>
    <mergeCell ref="SCJ1:SCL1"/>
    <mergeCell ref="SCM1:SCO1"/>
    <mergeCell ref="SCP1:SCR1"/>
    <mergeCell ref="SCS1:SCU1"/>
    <mergeCell ref="SCV1:SCX1"/>
    <mergeCell ref="SBU1:SBW1"/>
    <mergeCell ref="SBX1:SBZ1"/>
    <mergeCell ref="SCA1:SCC1"/>
    <mergeCell ref="SCD1:SCF1"/>
    <mergeCell ref="SCG1:SCI1"/>
    <mergeCell ref="SBF1:SBH1"/>
    <mergeCell ref="SBI1:SBK1"/>
    <mergeCell ref="SBL1:SBN1"/>
    <mergeCell ref="SBO1:SBQ1"/>
    <mergeCell ref="SBR1:SBT1"/>
    <mergeCell ref="SFG1:SFI1"/>
    <mergeCell ref="SFJ1:SFL1"/>
    <mergeCell ref="SFM1:SFO1"/>
    <mergeCell ref="SFP1:SFR1"/>
    <mergeCell ref="SFS1:SFU1"/>
    <mergeCell ref="SER1:SET1"/>
    <mergeCell ref="SEU1:SEW1"/>
    <mergeCell ref="SEX1:SEZ1"/>
    <mergeCell ref="SFA1:SFC1"/>
    <mergeCell ref="SFD1:SFF1"/>
    <mergeCell ref="SEC1:SEE1"/>
    <mergeCell ref="SEF1:SEH1"/>
    <mergeCell ref="SEI1:SEK1"/>
    <mergeCell ref="SEL1:SEN1"/>
    <mergeCell ref="SEO1:SEQ1"/>
    <mergeCell ref="SDN1:SDP1"/>
    <mergeCell ref="SDQ1:SDS1"/>
    <mergeCell ref="SDT1:SDV1"/>
    <mergeCell ref="SDW1:SDY1"/>
    <mergeCell ref="SDZ1:SEB1"/>
    <mergeCell ref="SHO1:SHQ1"/>
    <mergeCell ref="SHR1:SHT1"/>
    <mergeCell ref="SHU1:SHW1"/>
    <mergeCell ref="SHX1:SHZ1"/>
    <mergeCell ref="SIA1:SIC1"/>
    <mergeCell ref="SGZ1:SHB1"/>
    <mergeCell ref="SHC1:SHE1"/>
    <mergeCell ref="SHF1:SHH1"/>
    <mergeCell ref="SHI1:SHK1"/>
    <mergeCell ref="SHL1:SHN1"/>
    <mergeCell ref="SGK1:SGM1"/>
    <mergeCell ref="SGN1:SGP1"/>
    <mergeCell ref="SGQ1:SGS1"/>
    <mergeCell ref="SGT1:SGV1"/>
    <mergeCell ref="SGW1:SGY1"/>
    <mergeCell ref="SFV1:SFX1"/>
    <mergeCell ref="SFY1:SGA1"/>
    <mergeCell ref="SGB1:SGD1"/>
    <mergeCell ref="SGE1:SGG1"/>
    <mergeCell ref="SGH1:SGJ1"/>
    <mergeCell ref="SJW1:SJY1"/>
    <mergeCell ref="SJZ1:SKB1"/>
    <mergeCell ref="SKC1:SKE1"/>
    <mergeCell ref="SKF1:SKH1"/>
    <mergeCell ref="SKI1:SKK1"/>
    <mergeCell ref="SJH1:SJJ1"/>
    <mergeCell ref="SJK1:SJM1"/>
    <mergeCell ref="SJN1:SJP1"/>
    <mergeCell ref="SJQ1:SJS1"/>
    <mergeCell ref="SJT1:SJV1"/>
    <mergeCell ref="SIS1:SIU1"/>
    <mergeCell ref="SIV1:SIX1"/>
    <mergeCell ref="SIY1:SJA1"/>
    <mergeCell ref="SJB1:SJD1"/>
    <mergeCell ref="SJE1:SJG1"/>
    <mergeCell ref="SID1:SIF1"/>
    <mergeCell ref="SIG1:SII1"/>
    <mergeCell ref="SIJ1:SIL1"/>
    <mergeCell ref="SIM1:SIO1"/>
    <mergeCell ref="SIP1:SIR1"/>
    <mergeCell ref="SME1:SMG1"/>
    <mergeCell ref="SMH1:SMJ1"/>
    <mergeCell ref="SMK1:SMM1"/>
    <mergeCell ref="SMN1:SMP1"/>
    <mergeCell ref="SMQ1:SMS1"/>
    <mergeCell ref="SLP1:SLR1"/>
    <mergeCell ref="SLS1:SLU1"/>
    <mergeCell ref="SLV1:SLX1"/>
    <mergeCell ref="SLY1:SMA1"/>
    <mergeCell ref="SMB1:SMD1"/>
    <mergeCell ref="SLA1:SLC1"/>
    <mergeCell ref="SLD1:SLF1"/>
    <mergeCell ref="SLG1:SLI1"/>
    <mergeCell ref="SLJ1:SLL1"/>
    <mergeCell ref="SLM1:SLO1"/>
    <mergeCell ref="SKL1:SKN1"/>
    <mergeCell ref="SKO1:SKQ1"/>
    <mergeCell ref="SKR1:SKT1"/>
    <mergeCell ref="SKU1:SKW1"/>
    <mergeCell ref="SKX1:SKZ1"/>
    <mergeCell ref="SOM1:SOO1"/>
    <mergeCell ref="SOP1:SOR1"/>
    <mergeCell ref="SOS1:SOU1"/>
    <mergeCell ref="SOV1:SOX1"/>
    <mergeCell ref="SOY1:SPA1"/>
    <mergeCell ref="SNX1:SNZ1"/>
    <mergeCell ref="SOA1:SOC1"/>
    <mergeCell ref="SOD1:SOF1"/>
    <mergeCell ref="SOG1:SOI1"/>
    <mergeCell ref="SOJ1:SOL1"/>
    <mergeCell ref="SNI1:SNK1"/>
    <mergeCell ref="SNL1:SNN1"/>
    <mergeCell ref="SNO1:SNQ1"/>
    <mergeCell ref="SNR1:SNT1"/>
    <mergeCell ref="SNU1:SNW1"/>
    <mergeCell ref="SMT1:SMV1"/>
    <mergeCell ref="SMW1:SMY1"/>
    <mergeCell ref="SMZ1:SNB1"/>
    <mergeCell ref="SNC1:SNE1"/>
    <mergeCell ref="SNF1:SNH1"/>
    <mergeCell ref="SQU1:SQW1"/>
    <mergeCell ref="SQX1:SQZ1"/>
    <mergeCell ref="SRA1:SRC1"/>
    <mergeCell ref="SRD1:SRF1"/>
    <mergeCell ref="SRG1:SRI1"/>
    <mergeCell ref="SQF1:SQH1"/>
    <mergeCell ref="SQI1:SQK1"/>
    <mergeCell ref="SQL1:SQN1"/>
    <mergeCell ref="SQO1:SQQ1"/>
    <mergeCell ref="SQR1:SQT1"/>
    <mergeCell ref="SPQ1:SPS1"/>
    <mergeCell ref="SPT1:SPV1"/>
    <mergeCell ref="SPW1:SPY1"/>
    <mergeCell ref="SPZ1:SQB1"/>
    <mergeCell ref="SQC1:SQE1"/>
    <mergeCell ref="SPB1:SPD1"/>
    <mergeCell ref="SPE1:SPG1"/>
    <mergeCell ref="SPH1:SPJ1"/>
    <mergeCell ref="SPK1:SPM1"/>
    <mergeCell ref="SPN1:SPP1"/>
    <mergeCell ref="STC1:STE1"/>
    <mergeCell ref="STF1:STH1"/>
    <mergeCell ref="STI1:STK1"/>
    <mergeCell ref="STL1:STN1"/>
    <mergeCell ref="STO1:STQ1"/>
    <mergeCell ref="SSN1:SSP1"/>
    <mergeCell ref="SSQ1:SSS1"/>
    <mergeCell ref="SST1:SSV1"/>
    <mergeCell ref="SSW1:SSY1"/>
    <mergeCell ref="SSZ1:STB1"/>
    <mergeCell ref="SRY1:SSA1"/>
    <mergeCell ref="SSB1:SSD1"/>
    <mergeCell ref="SSE1:SSG1"/>
    <mergeCell ref="SSH1:SSJ1"/>
    <mergeCell ref="SSK1:SSM1"/>
    <mergeCell ref="SRJ1:SRL1"/>
    <mergeCell ref="SRM1:SRO1"/>
    <mergeCell ref="SRP1:SRR1"/>
    <mergeCell ref="SRS1:SRU1"/>
    <mergeCell ref="SRV1:SRX1"/>
    <mergeCell ref="SVK1:SVM1"/>
    <mergeCell ref="SVN1:SVP1"/>
    <mergeCell ref="SVQ1:SVS1"/>
    <mergeCell ref="SVT1:SVV1"/>
    <mergeCell ref="SVW1:SVY1"/>
    <mergeCell ref="SUV1:SUX1"/>
    <mergeCell ref="SUY1:SVA1"/>
    <mergeCell ref="SVB1:SVD1"/>
    <mergeCell ref="SVE1:SVG1"/>
    <mergeCell ref="SVH1:SVJ1"/>
    <mergeCell ref="SUG1:SUI1"/>
    <mergeCell ref="SUJ1:SUL1"/>
    <mergeCell ref="SUM1:SUO1"/>
    <mergeCell ref="SUP1:SUR1"/>
    <mergeCell ref="SUS1:SUU1"/>
    <mergeCell ref="STR1:STT1"/>
    <mergeCell ref="STU1:STW1"/>
    <mergeCell ref="STX1:STZ1"/>
    <mergeCell ref="SUA1:SUC1"/>
    <mergeCell ref="SUD1:SUF1"/>
    <mergeCell ref="SXS1:SXU1"/>
    <mergeCell ref="SXV1:SXX1"/>
    <mergeCell ref="SXY1:SYA1"/>
    <mergeCell ref="SYB1:SYD1"/>
    <mergeCell ref="SYE1:SYG1"/>
    <mergeCell ref="SXD1:SXF1"/>
    <mergeCell ref="SXG1:SXI1"/>
    <mergeCell ref="SXJ1:SXL1"/>
    <mergeCell ref="SXM1:SXO1"/>
    <mergeCell ref="SXP1:SXR1"/>
    <mergeCell ref="SWO1:SWQ1"/>
    <mergeCell ref="SWR1:SWT1"/>
    <mergeCell ref="SWU1:SWW1"/>
    <mergeCell ref="SWX1:SWZ1"/>
    <mergeCell ref="SXA1:SXC1"/>
    <mergeCell ref="SVZ1:SWB1"/>
    <mergeCell ref="SWC1:SWE1"/>
    <mergeCell ref="SWF1:SWH1"/>
    <mergeCell ref="SWI1:SWK1"/>
    <mergeCell ref="SWL1:SWN1"/>
    <mergeCell ref="TAA1:TAC1"/>
    <mergeCell ref="TAD1:TAF1"/>
    <mergeCell ref="TAG1:TAI1"/>
    <mergeCell ref="TAJ1:TAL1"/>
    <mergeCell ref="TAM1:TAO1"/>
    <mergeCell ref="SZL1:SZN1"/>
    <mergeCell ref="SZO1:SZQ1"/>
    <mergeCell ref="SZR1:SZT1"/>
    <mergeCell ref="SZU1:SZW1"/>
    <mergeCell ref="SZX1:SZZ1"/>
    <mergeCell ref="SYW1:SYY1"/>
    <mergeCell ref="SYZ1:SZB1"/>
    <mergeCell ref="SZC1:SZE1"/>
    <mergeCell ref="SZF1:SZH1"/>
    <mergeCell ref="SZI1:SZK1"/>
    <mergeCell ref="SYH1:SYJ1"/>
    <mergeCell ref="SYK1:SYM1"/>
    <mergeCell ref="SYN1:SYP1"/>
    <mergeCell ref="SYQ1:SYS1"/>
    <mergeCell ref="SYT1:SYV1"/>
    <mergeCell ref="TCI1:TCK1"/>
    <mergeCell ref="TCL1:TCN1"/>
    <mergeCell ref="TCO1:TCQ1"/>
    <mergeCell ref="TCR1:TCT1"/>
    <mergeCell ref="TCU1:TCW1"/>
    <mergeCell ref="TBT1:TBV1"/>
    <mergeCell ref="TBW1:TBY1"/>
    <mergeCell ref="TBZ1:TCB1"/>
    <mergeCell ref="TCC1:TCE1"/>
    <mergeCell ref="TCF1:TCH1"/>
    <mergeCell ref="TBE1:TBG1"/>
    <mergeCell ref="TBH1:TBJ1"/>
    <mergeCell ref="TBK1:TBM1"/>
    <mergeCell ref="TBN1:TBP1"/>
    <mergeCell ref="TBQ1:TBS1"/>
    <mergeCell ref="TAP1:TAR1"/>
    <mergeCell ref="TAS1:TAU1"/>
    <mergeCell ref="TAV1:TAX1"/>
    <mergeCell ref="TAY1:TBA1"/>
    <mergeCell ref="TBB1:TBD1"/>
    <mergeCell ref="TEQ1:TES1"/>
    <mergeCell ref="TET1:TEV1"/>
    <mergeCell ref="TEW1:TEY1"/>
    <mergeCell ref="TEZ1:TFB1"/>
    <mergeCell ref="TFC1:TFE1"/>
    <mergeCell ref="TEB1:TED1"/>
    <mergeCell ref="TEE1:TEG1"/>
    <mergeCell ref="TEH1:TEJ1"/>
    <mergeCell ref="TEK1:TEM1"/>
    <mergeCell ref="TEN1:TEP1"/>
    <mergeCell ref="TDM1:TDO1"/>
    <mergeCell ref="TDP1:TDR1"/>
    <mergeCell ref="TDS1:TDU1"/>
    <mergeCell ref="TDV1:TDX1"/>
    <mergeCell ref="TDY1:TEA1"/>
    <mergeCell ref="TCX1:TCZ1"/>
    <mergeCell ref="TDA1:TDC1"/>
    <mergeCell ref="TDD1:TDF1"/>
    <mergeCell ref="TDG1:TDI1"/>
    <mergeCell ref="TDJ1:TDL1"/>
    <mergeCell ref="TGY1:THA1"/>
    <mergeCell ref="THB1:THD1"/>
    <mergeCell ref="THE1:THG1"/>
    <mergeCell ref="THH1:THJ1"/>
    <mergeCell ref="THK1:THM1"/>
    <mergeCell ref="TGJ1:TGL1"/>
    <mergeCell ref="TGM1:TGO1"/>
    <mergeCell ref="TGP1:TGR1"/>
    <mergeCell ref="TGS1:TGU1"/>
    <mergeCell ref="TGV1:TGX1"/>
    <mergeCell ref="TFU1:TFW1"/>
    <mergeCell ref="TFX1:TFZ1"/>
    <mergeCell ref="TGA1:TGC1"/>
    <mergeCell ref="TGD1:TGF1"/>
    <mergeCell ref="TGG1:TGI1"/>
    <mergeCell ref="TFF1:TFH1"/>
    <mergeCell ref="TFI1:TFK1"/>
    <mergeCell ref="TFL1:TFN1"/>
    <mergeCell ref="TFO1:TFQ1"/>
    <mergeCell ref="TFR1:TFT1"/>
    <mergeCell ref="TJG1:TJI1"/>
    <mergeCell ref="TJJ1:TJL1"/>
    <mergeCell ref="TJM1:TJO1"/>
    <mergeCell ref="TJP1:TJR1"/>
    <mergeCell ref="TJS1:TJU1"/>
    <mergeCell ref="TIR1:TIT1"/>
    <mergeCell ref="TIU1:TIW1"/>
    <mergeCell ref="TIX1:TIZ1"/>
    <mergeCell ref="TJA1:TJC1"/>
    <mergeCell ref="TJD1:TJF1"/>
    <mergeCell ref="TIC1:TIE1"/>
    <mergeCell ref="TIF1:TIH1"/>
    <mergeCell ref="TII1:TIK1"/>
    <mergeCell ref="TIL1:TIN1"/>
    <mergeCell ref="TIO1:TIQ1"/>
    <mergeCell ref="THN1:THP1"/>
    <mergeCell ref="THQ1:THS1"/>
    <mergeCell ref="THT1:THV1"/>
    <mergeCell ref="THW1:THY1"/>
    <mergeCell ref="THZ1:TIB1"/>
    <mergeCell ref="TLO1:TLQ1"/>
    <mergeCell ref="TLR1:TLT1"/>
    <mergeCell ref="TLU1:TLW1"/>
    <mergeCell ref="TLX1:TLZ1"/>
    <mergeCell ref="TMA1:TMC1"/>
    <mergeCell ref="TKZ1:TLB1"/>
    <mergeCell ref="TLC1:TLE1"/>
    <mergeCell ref="TLF1:TLH1"/>
    <mergeCell ref="TLI1:TLK1"/>
    <mergeCell ref="TLL1:TLN1"/>
    <mergeCell ref="TKK1:TKM1"/>
    <mergeCell ref="TKN1:TKP1"/>
    <mergeCell ref="TKQ1:TKS1"/>
    <mergeCell ref="TKT1:TKV1"/>
    <mergeCell ref="TKW1:TKY1"/>
    <mergeCell ref="TJV1:TJX1"/>
    <mergeCell ref="TJY1:TKA1"/>
    <mergeCell ref="TKB1:TKD1"/>
    <mergeCell ref="TKE1:TKG1"/>
    <mergeCell ref="TKH1:TKJ1"/>
    <mergeCell ref="TNW1:TNY1"/>
    <mergeCell ref="TNZ1:TOB1"/>
    <mergeCell ref="TOC1:TOE1"/>
    <mergeCell ref="TOF1:TOH1"/>
    <mergeCell ref="TOI1:TOK1"/>
    <mergeCell ref="TNH1:TNJ1"/>
    <mergeCell ref="TNK1:TNM1"/>
    <mergeCell ref="TNN1:TNP1"/>
    <mergeCell ref="TNQ1:TNS1"/>
    <mergeCell ref="TNT1:TNV1"/>
    <mergeCell ref="TMS1:TMU1"/>
    <mergeCell ref="TMV1:TMX1"/>
    <mergeCell ref="TMY1:TNA1"/>
    <mergeCell ref="TNB1:TND1"/>
    <mergeCell ref="TNE1:TNG1"/>
    <mergeCell ref="TMD1:TMF1"/>
    <mergeCell ref="TMG1:TMI1"/>
    <mergeCell ref="TMJ1:TML1"/>
    <mergeCell ref="TMM1:TMO1"/>
    <mergeCell ref="TMP1:TMR1"/>
    <mergeCell ref="TQE1:TQG1"/>
    <mergeCell ref="TQH1:TQJ1"/>
    <mergeCell ref="TQK1:TQM1"/>
    <mergeCell ref="TQN1:TQP1"/>
    <mergeCell ref="TQQ1:TQS1"/>
    <mergeCell ref="TPP1:TPR1"/>
    <mergeCell ref="TPS1:TPU1"/>
    <mergeCell ref="TPV1:TPX1"/>
    <mergeCell ref="TPY1:TQA1"/>
    <mergeCell ref="TQB1:TQD1"/>
    <mergeCell ref="TPA1:TPC1"/>
    <mergeCell ref="TPD1:TPF1"/>
    <mergeCell ref="TPG1:TPI1"/>
    <mergeCell ref="TPJ1:TPL1"/>
    <mergeCell ref="TPM1:TPO1"/>
    <mergeCell ref="TOL1:TON1"/>
    <mergeCell ref="TOO1:TOQ1"/>
    <mergeCell ref="TOR1:TOT1"/>
    <mergeCell ref="TOU1:TOW1"/>
    <mergeCell ref="TOX1:TOZ1"/>
    <mergeCell ref="TSM1:TSO1"/>
    <mergeCell ref="TSP1:TSR1"/>
    <mergeCell ref="TSS1:TSU1"/>
    <mergeCell ref="TSV1:TSX1"/>
    <mergeCell ref="TSY1:TTA1"/>
    <mergeCell ref="TRX1:TRZ1"/>
    <mergeCell ref="TSA1:TSC1"/>
    <mergeCell ref="TSD1:TSF1"/>
    <mergeCell ref="TSG1:TSI1"/>
    <mergeCell ref="TSJ1:TSL1"/>
    <mergeCell ref="TRI1:TRK1"/>
    <mergeCell ref="TRL1:TRN1"/>
    <mergeCell ref="TRO1:TRQ1"/>
    <mergeCell ref="TRR1:TRT1"/>
    <mergeCell ref="TRU1:TRW1"/>
    <mergeCell ref="TQT1:TQV1"/>
    <mergeCell ref="TQW1:TQY1"/>
    <mergeCell ref="TQZ1:TRB1"/>
    <mergeCell ref="TRC1:TRE1"/>
    <mergeCell ref="TRF1:TRH1"/>
    <mergeCell ref="TUU1:TUW1"/>
    <mergeCell ref="TUX1:TUZ1"/>
    <mergeCell ref="TVA1:TVC1"/>
    <mergeCell ref="TVD1:TVF1"/>
    <mergeCell ref="TVG1:TVI1"/>
    <mergeCell ref="TUF1:TUH1"/>
    <mergeCell ref="TUI1:TUK1"/>
    <mergeCell ref="TUL1:TUN1"/>
    <mergeCell ref="TUO1:TUQ1"/>
    <mergeCell ref="TUR1:TUT1"/>
    <mergeCell ref="TTQ1:TTS1"/>
    <mergeCell ref="TTT1:TTV1"/>
    <mergeCell ref="TTW1:TTY1"/>
    <mergeCell ref="TTZ1:TUB1"/>
    <mergeCell ref="TUC1:TUE1"/>
    <mergeCell ref="TTB1:TTD1"/>
    <mergeCell ref="TTE1:TTG1"/>
    <mergeCell ref="TTH1:TTJ1"/>
    <mergeCell ref="TTK1:TTM1"/>
    <mergeCell ref="TTN1:TTP1"/>
    <mergeCell ref="TXC1:TXE1"/>
    <mergeCell ref="TXF1:TXH1"/>
    <mergeCell ref="TXI1:TXK1"/>
    <mergeCell ref="TXL1:TXN1"/>
    <mergeCell ref="TXO1:TXQ1"/>
    <mergeCell ref="TWN1:TWP1"/>
    <mergeCell ref="TWQ1:TWS1"/>
    <mergeCell ref="TWT1:TWV1"/>
    <mergeCell ref="TWW1:TWY1"/>
    <mergeCell ref="TWZ1:TXB1"/>
    <mergeCell ref="TVY1:TWA1"/>
    <mergeCell ref="TWB1:TWD1"/>
    <mergeCell ref="TWE1:TWG1"/>
    <mergeCell ref="TWH1:TWJ1"/>
    <mergeCell ref="TWK1:TWM1"/>
    <mergeCell ref="TVJ1:TVL1"/>
    <mergeCell ref="TVM1:TVO1"/>
    <mergeCell ref="TVP1:TVR1"/>
    <mergeCell ref="TVS1:TVU1"/>
    <mergeCell ref="TVV1:TVX1"/>
    <mergeCell ref="TZK1:TZM1"/>
    <mergeCell ref="TZN1:TZP1"/>
    <mergeCell ref="TZQ1:TZS1"/>
    <mergeCell ref="TZT1:TZV1"/>
    <mergeCell ref="TZW1:TZY1"/>
    <mergeCell ref="TYV1:TYX1"/>
    <mergeCell ref="TYY1:TZA1"/>
    <mergeCell ref="TZB1:TZD1"/>
    <mergeCell ref="TZE1:TZG1"/>
    <mergeCell ref="TZH1:TZJ1"/>
    <mergeCell ref="TYG1:TYI1"/>
    <mergeCell ref="TYJ1:TYL1"/>
    <mergeCell ref="TYM1:TYO1"/>
    <mergeCell ref="TYP1:TYR1"/>
    <mergeCell ref="TYS1:TYU1"/>
    <mergeCell ref="TXR1:TXT1"/>
    <mergeCell ref="TXU1:TXW1"/>
    <mergeCell ref="TXX1:TXZ1"/>
    <mergeCell ref="TYA1:TYC1"/>
    <mergeCell ref="TYD1:TYF1"/>
    <mergeCell ref="UBS1:UBU1"/>
    <mergeCell ref="UBV1:UBX1"/>
    <mergeCell ref="UBY1:UCA1"/>
    <mergeCell ref="UCB1:UCD1"/>
    <mergeCell ref="UCE1:UCG1"/>
    <mergeCell ref="UBD1:UBF1"/>
    <mergeCell ref="UBG1:UBI1"/>
    <mergeCell ref="UBJ1:UBL1"/>
    <mergeCell ref="UBM1:UBO1"/>
    <mergeCell ref="UBP1:UBR1"/>
    <mergeCell ref="UAO1:UAQ1"/>
    <mergeCell ref="UAR1:UAT1"/>
    <mergeCell ref="UAU1:UAW1"/>
    <mergeCell ref="UAX1:UAZ1"/>
    <mergeCell ref="UBA1:UBC1"/>
    <mergeCell ref="TZZ1:UAB1"/>
    <mergeCell ref="UAC1:UAE1"/>
    <mergeCell ref="UAF1:UAH1"/>
    <mergeCell ref="UAI1:UAK1"/>
    <mergeCell ref="UAL1:UAN1"/>
    <mergeCell ref="UEA1:UEC1"/>
    <mergeCell ref="UED1:UEF1"/>
    <mergeCell ref="UEG1:UEI1"/>
    <mergeCell ref="UEJ1:UEL1"/>
    <mergeCell ref="UEM1:UEO1"/>
    <mergeCell ref="UDL1:UDN1"/>
    <mergeCell ref="UDO1:UDQ1"/>
    <mergeCell ref="UDR1:UDT1"/>
    <mergeCell ref="UDU1:UDW1"/>
    <mergeCell ref="UDX1:UDZ1"/>
    <mergeCell ref="UCW1:UCY1"/>
    <mergeCell ref="UCZ1:UDB1"/>
    <mergeCell ref="UDC1:UDE1"/>
    <mergeCell ref="UDF1:UDH1"/>
    <mergeCell ref="UDI1:UDK1"/>
    <mergeCell ref="UCH1:UCJ1"/>
    <mergeCell ref="UCK1:UCM1"/>
    <mergeCell ref="UCN1:UCP1"/>
    <mergeCell ref="UCQ1:UCS1"/>
    <mergeCell ref="UCT1:UCV1"/>
    <mergeCell ref="UGI1:UGK1"/>
    <mergeCell ref="UGL1:UGN1"/>
    <mergeCell ref="UGO1:UGQ1"/>
    <mergeCell ref="UGR1:UGT1"/>
    <mergeCell ref="UGU1:UGW1"/>
    <mergeCell ref="UFT1:UFV1"/>
    <mergeCell ref="UFW1:UFY1"/>
    <mergeCell ref="UFZ1:UGB1"/>
    <mergeCell ref="UGC1:UGE1"/>
    <mergeCell ref="UGF1:UGH1"/>
    <mergeCell ref="UFE1:UFG1"/>
    <mergeCell ref="UFH1:UFJ1"/>
    <mergeCell ref="UFK1:UFM1"/>
    <mergeCell ref="UFN1:UFP1"/>
    <mergeCell ref="UFQ1:UFS1"/>
    <mergeCell ref="UEP1:UER1"/>
    <mergeCell ref="UES1:UEU1"/>
    <mergeCell ref="UEV1:UEX1"/>
    <mergeCell ref="UEY1:UFA1"/>
    <mergeCell ref="UFB1:UFD1"/>
    <mergeCell ref="UIQ1:UIS1"/>
    <mergeCell ref="UIT1:UIV1"/>
    <mergeCell ref="UIW1:UIY1"/>
    <mergeCell ref="UIZ1:UJB1"/>
    <mergeCell ref="UJC1:UJE1"/>
    <mergeCell ref="UIB1:UID1"/>
    <mergeCell ref="UIE1:UIG1"/>
    <mergeCell ref="UIH1:UIJ1"/>
    <mergeCell ref="UIK1:UIM1"/>
    <mergeCell ref="UIN1:UIP1"/>
    <mergeCell ref="UHM1:UHO1"/>
    <mergeCell ref="UHP1:UHR1"/>
    <mergeCell ref="UHS1:UHU1"/>
    <mergeCell ref="UHV1:UHX1"/>
    <mergeCell ref="UHY1:UIA1"/>
    <mergeCell ref="UGX1:UGZ1"/>
    <mergeCell ref="UHA1:UHC1"/>
    <mergeCell ref="UHD1:UHF1"/>
    <mergeCell ref="UHG1:UHI1"/>
    <mergeCell ref="UHJ1:UHL1"/>
    <mergeCell ref="UKY1:ULA1"/>
    <mergeCell ref="ULB1:ULD1"/>
    <mergeCell ref="ULE1:ULG1"/>
    <mergeCell ref="ULH1:ULJ1"/>
    <mergeCell ref="ULK1:ULM1"/>
    <mergeCell ref="UKJ1:UKL1"/>
    <mergeCell ref="UKM1:UKO1"/>
    <mergeCell ref="UKP1:UKR1"/>
    <mergeCell ref="UKS1:UKU1"/>
    <mergeCell ref="UKV1:UKX1"/>
    <mergeCell ref="UJU1:UJW1"/>
    <mergeCell ref="UJX1:UJZ1"/>
    <mergeCell ref="UKA1:UKC1"/>
    <mergeCell ref="UKD1:UKF1"/>
    <mergeCell ref="UKG1:UKI1"/>
    <mergeCell ref="UJF1:UJH1"/>
    <mergeCell ref="UJI1:UJK1"/>
    <mergeCell ref="UJL1:UJN1"/>
    <mergeCell ref="UJO1:UJQ1"/>
    <mergeCell ref="UJR1:UJT1"/>
    <mergeCell ref="UNG1:UNI1"/>
    <mergeCell ref="UNJ1:UNL1"/>
    <mergeCell ref="UNM1:UNO1"/>
    <mergeCell ref="UNP1:UNR1"/>
    <mergeCell ref="UNS1:UNU1"/>
    <mergeCell ref="UMR1:UMT1"/>
    <mergeCell ref="UMU1:UMW1"/>
    <mergeCell ref="UMX1:UMZ1"/>
    <mergeCell ref="UNA1:UNC1"/>
    <mergeCell ref="UND1:UNF1"/>
    <mergeCell ref="UMC1:UME1"/>
    <mergeCell ref="UMF1:UMH1"/>
    <mergeCell ref="UMI1:UMK1"/>
    <mergeCell ref="UML1:UMN1"/>
    <mergeCell ref="UMO1:UMQ1"/>
    <mergeCell ref="ULN1:ULP1"/>
    <mergeCell ref="ULQ1:ULS1"/>
    <mergeCell ref="ULT1:ULV1"/>
    <mergeCell ref="ULW1:ULY1"/>
    <mergeCell ref="ULZ1:UMB1"/>
    <mergeCell ref="UPO1:UPQ1"/>
    <mergeCell ref="UPR1:UPT1"/>
    <mergeCell ref="UPU1:UPW1"/>
    <mergeCell ref="UPX1:UPZ1"/>
    <mergeCell ref="UQA1:UQC1"/>
    <mergeCell ref="UOZ1:UPB1"/>
    <mergeCell ref="UPC1:UPE1"/>
    <mergeCell ref="UPF1:UPH1"/>
    <mergeCell ref="UPI1:UPK1"/>
    <mergeCell ref="UPL1:UPN1"/>
    <mergeCell ref="UOK1:UOM1"/>
    <mergeCell ref="UON1:UOP1"/>
    <mergeCell ref="UOQ1:UOS1"/>
    <mergeCell ref="UOT1:UOV1"/>
    <mergeCell ref="UOW1:UOY1"/>
    <mergeCell ref="UNV1:UNX1"/>
    <mergeCell ref="UNY1:UOA1"/>
    <mergeCell ref="UOB1:UOD1"/>
    <mergeCell ref="UOE1:UOG1"/>
    <mergeCell ref="UOH1:UOJ1"/>
    <mergeCell ref="URW1:URY1"/>
    <mergeCell ref="URZ1:USB1"/>
    <mergeCell ref="USC1:USE1"/>
    <mergeCell ref="USF1:USH1"/>
    <mergeCell ref="USI1:USK1"/>
    <mergeCell ref="URH1:URJ1"/>
    <mergeCell ref="URK1:URM1"/>
    <mergeCell ref="URN1:URP1"/>
    <mergeCell ref="URQ1:URS1"/>
    <mergeCell ref="URT1:URV1"/>
    <mergeCell ref="UQS1:UQU1"/>
    <mergeCell ref="UQV1:UQX1"/>
    <mergeCell ref="UQY1:URA1"/>
    <mergeCell ref="URB1:URD1"/>
    <mergeCell ref="URE1:URG1"/>
    <mergeCell ref="UQD1:UQF1"/>
    <mergeCell ref="UQG1:UQI1"/>
    <mergeCell ref="UQJ1:UQL1"/>
    <mergeCell ref="UQM1:UQO1"/>
    <mergeCell ref="UQP1:UQR1"/>
    <mergeCell ref="UUE1:UUG1"/>
    <mergeCell ref="UUH1:UUJ1"/>
    <mergeCell ref="UUK1:UUM1"/>
    <mergeCell ref="UUN1:UUP1"/>
    <mergeCell ref="UUQ1:UUS1"/>
    <mergeCell ref="UTP1:UTR1"/>
    <mergeCell ref="UTS1:UTU1"/>
    <mergeCell ref="UTV1:UTX1"/>
    <mergeCell ref="UTY1:UUA1"/>
    <mergeCell ref="UUB1:UUD1"/>
    <mergeCell ref="UTA1:UTC1"/>
    <mergeCell ref="UTD1:UTF1"/>
    <mergeCell ref="UTG1:UTI1"/>
    <mergeCell ref="UTJ1:UTL1"/>
    <mergeCell ref="UTM1:UTO1"/>
    <mergeCell ref="USL1:USN1"/>
    <mergeCell ref="USO1:USQ1"/>
    <mergeCell ref="USR1:UST1"/>
    <mergeCell ref="USU1:USW1"/>
    <mergeCell ref="USX1:USZ1"/>
    <mergeCell ref="UWM1:UWO1"/>
    <mergeCell ref="UWP1:UWR1"/>
    <mergeCell ref="UWS1:UWU1"/>
    <mergeCell ref="UWV1:UWX1"/>
    <mergeCell ref="UWY1:UXA1"/>
    <mergeCell ref="UVX1:UVZ1"/>
    <mergeCell ref="UWA1:UWC1"/>
    <mergeCell ref="UWD1:UWF1"/>
    <mergeCell ref="UWG1:UWI1"/>
    <mergeCell ref="UWJ1:UWL1"/>
    <mergeCell ref="UVI1:UVK1"/>
    <mergeCell ref="UVL1:UVN1"/>
    <mergeCell ref="UVO1:UVQ1"/>
    <mergeCell ref="UVR1:UVT1"/>
    <mergeCell ref="UVU1:UVW1"/>
    <mergeCell ref="UUT1:UUV1"/>
    <mergeCell ref="UUW1:UUY1"/>
    <mergeCell ref="UUZ1:UVB1"/>
    <mergeCell ref="UVC1:UVE1"/>
    <mergeCell ref="UVF1:UVH1"/>
    <mergeCell ref="UYU1:UYW1"/>
    <mergeCell ref="UYX1:UYZ1"/>
    <mergeCell ref="UZA1:UZC1"/>
    <mergeCell ref="UZD1:UZF1"/>
    <mergeCell ref="UZG1:UZI1"/>
    <mergeCell ref="UYF1:UYH1"/>
    <mergeCell ref="UYI1:UYK1"/>
    <mergeCell ref="UYL1:UYN1"/>
    <mergeCell ref="UYO1:UYQ1"/>
    <mergeCell ref="UYR1:UYT1"/>
    <mergeCell ref="UXQ1:UXS1"/>
    <mergeCell ref="UXT1:UXV1"/>
    <mergeCell ref="UXW1:UXY1"/>
    <mergeCell ref="UXZ1:UYB1"/>
    <mergeCell ref="UYC1:UYE1"/>
    <mergeCell ref="UXB1:UXD1"/>
    <mergeCell ref="UXE1:UXG1"/>
    <mergeCell ref="UXH1:UXJ1"/>
    <mergeCell ref="UXK1:UXM1"/>
    <mergeCell ref="UXN1:UXP1"/>
    <mergeCell ref="VBC1:VBE1"/>
    <mergeCell ref="VBF1:VBH1"/>
    <mergeCell ref="VBI1:VBK1"/>
    <mergeCell ref="VBL1:VBN1"/>
    <mergeCell ref="VBO1:VBQ1"/>
    <mergeCell ref="VAN1:VAP1"/>
    <mergeCell ref="VAQ1:VAS1"/>
    <mergeCell ref="VAT1:VAV1"/>
    <mergeCell ref="VAW1:VAY1"/>
    <mergeCell ref="VAZ1:VBB1"/>
    <mergeCell ref="UZY1:VAA1"/>
    <mergeCell ref="VAB1:VAD1"/>
    <mergeCell ref="VAE1:VAG1"/>
    <mergeCell ref="VAH1:VAJ1"/>
    <mergeCell ref="VAK1:VAM1"/>
    <mergeCell ref="UZJ1:UZL1"/>
    <mergeCell ref="UZM1:UZO1"/>
    <mergeCell ref="UZP1:UZR1"/>
    <mergeCell ref="UZS1:UZU1"/>
    <mergeCell ref="UZV1:UZX1"/>
    <mergeCell ref="VDK1:VDM1"/>
    <mergeCell ref="VDN1:VDP1"/>
    <mergeCell ref="VDQ1:VDS1"/>
    <mergeCell ref="VDT1:VDV1"/>
    <mergeCell ref="VDW1:VDY1"/>
    <mergeCell ref="VCV1:VCX1"/>
    <mergeCell ref="VCY1:VDA1"/>
    <mergeCell ref="VDB1:VDD1"/>
    <mergeCell ref="VDE1:VDG1"/>
    <mergeCell ref="VDH1:VDJ1"/>
    <mergeCell ref="VCG1:VCI1"/>
    <mergeCell ref="VCJ1:VCL1"/>
    <mergeCell ref="VCM1:VCO1"/>
    <mergeCell ref="VCP1:VCR1"/>
    <mergeCell ref="VCS1:VCU1"/>
    <mergeCell ref="VBR1:VBT1"/>
    <mergeCell ref="VBU1:VBW1"/>
    <mergeCell ref="VBX1:VBZ1"/>
    <mergeCell ref="VCA1:VCC1"/>
    <mergeCell ref="VCD1:VCF1"/>
    <mergeCell ref="VFS1:VFU1"/>
    <mergeCell ref="VFV1:VFX1"/>
    <mergeCell ref="VFY1:VGA1"/>
    <mergeCell ref="VGB1:VGD1"/>
    <mergeCell ref="VGE1:VGG1"/>
    <mergeCell ref="VFD1:VFF1"/>
    <mergeCell ref="VFG1:VFI1"/>
    <mergeCell ref="VFJ1:VFL1"/>
    <mergeCell ref="VFM1:VFO1"/>
    <mergeCell ref="VFP1:VFR1"/>
    <mergeCell ref="VEO1:VEQ1"/>
    <mergeCell ref="VER1:VET1"/>
    <mergeCell ref="VEU1:VEW1"/>
    <mergeCell ref="VEX1:VEZ1"/>
    <mergeCell ref="VFA1:VFC1"/>
    <mergeCell ref="VDZ1:VEB1"/>
    <mergeCell ref="VEC1:VEE1"/>
    <mergeCell ref="VEF1:VEH1"/>
    <mergeCell ref="VEI1:VEK1"/>
    <mergeCell ref="VEL1:VEN1"/>
    <mergeCell ref="VIA1:VIC1"/>
    <mergeCell ref="VID1:VIF1"/>
    <mergeCell ref="VIG1:VII1"/>
    <mergeCell ref="VIJ1:VIL1"/>
    <mergeCell ref="VIM1:VIO1"/>
    <mergeCell ref="VHL1:VHN1"/>
    <mergeCell ref="VHO1:VHQ1"/>
    <mergeCell ref="VHR1:VHT1"/>
    <mergeCell ref="VHU1:VHW1"/>
    <mergeCell ref="VHX1:VHZ1"/>
    <mergeCell ref="VGW1:VGY1"/>
    <mergeCell ref="VGZ1:VHB1"/>
    <mergeCell ref="VHC1:VHE1"/>
    <mergeCell ref="VHF1:VHH1"/>
    <mergeCell ref="VHI1:VHK1"/>
    <mergeCell ref="VGH1:VGJ1"/>
    <mergeCell ref="VGK1:VGM1"/>
    <mergeCell ref="VGN1:VGP1"/>
    <mergeCell ref="VGQ1:VGS1"/>
    <mergeCell ref="VGT1:VGV1"/>
    <mergeCell ref="VKI1:VKK1"/>
    <mergeCell ref="VKL1:VKN1"/>
    <mergeCell ref="VKO1:VKQ1"/>
    <mergeCell ref="VKR1:VKT1"/>
    <mergeCell ref="VKU1:VKW1"/>
    <mergeCell ref="VJT1:VJV1"/>
    <mergeCell ref="VJW1:VJY1"/>
    <mergeCell ref="VJZ1:VKB1"/>
    <mergeCell ref="VKC1:VKE1"/>
    <mergeCell ref="VKF1:VKH1"/>
    <mergeCell ref="VJE1:VJG1"/>
    <mergeCell ref="VJH1:VJJ1"/>
    <mergeCell ref="VJK1:VJM1"/>
    <mergeCell ref="VJN1:VJP1"/>
    <mergeCell ref="VJQ1:VJS1"/>
    <mergeCell ref="VIP1:VIR1"/>
    <mergeCell ref="VIS1:VIU1"/>
    <mergeCell ref="VIV1:VIX1"/>
    <mergeCell ref="VIY1:VJA1"/>
    <mergeCell ref="VJB1:VJD1"/>
    <mergeCell ref="VMQ1:VMS1"/>
    <mergeCell ref="VMT1:VMV1"/>
    <mergeCell ref="VMW1:VMY1"/>
    <mergeCell ref="VMZ1:VNB1"/>
    <mergeCell ref="VNC1:VNE1"/>
    <mergeCell ref="VMB1:VMD1"/>
    <mergeCell ref="VME1:VMG1"/>
    <mergeCell ref="VMH1:VMJ1"/>
    <mergeCell ref="VMK1:VMM1"/>
    <mergeCell ref="VMN1:VMP1"/>
    <mergeCell ref="VLM1:VLO1"/>
    <mergeCell ref="VLP1:VLR1"/>
    <mergeCell ref="VLS1:VLU1"/>
    <mergeCell ref="VLV1:VLX1"/>
    <mergeCell ref="VLY1:VMA1"/>
    <mergeCell ref="VKX1:VKZ1"/>
    <mergeCell ref="VLA1:VLC1"/>
    <mergeCell ref="VLD1:VLF1"/>
    <mergeCell ref="VLG1:VLI1"/>
    <mergeCell ref="VLJ1:VLL1"/>
    <mergeCell ref="VOY1:VPA1"/>
    <mergeCell ref="VPB1:VPD1"/>
    <mergeCell ref="VPE1:VPG1"/>
    <mergeCell ref="VPH1:VPJ1"/>
    <mergeCell ref="VPK1:VPM1"/>
    <mergeCell ref="VOJ1:VOL1"/>
    <mergeCell ref="VOM1:VOO1"/>
    <mergeCell ref="VOP1:VOR1"/>
    <mergeCell ref="VOS1:VOU1"/>
    <mergeCell ref="VOV1:VOX1"/>
    <mergeCell ref="VNU1:VNW1"/>
    <mergeCell ref="VNX1:VNZ1"/>
    <mergeCell ref="VOA1:VOC1"/>
    <mergeCell ref="VOD1:VOF1"/>
    <mergeCell ref="VOG1:VOI1"/>
    <mergeCell ref="VNF1:VNH1"/>
    <mergeCell ref="VNI1:VNK1"/>
    <mergeCell ref="VNL1:VNN1"/>
    <mergeCell ref="VNO1:VNQ1"/>
    <mergeCell ref="VNR1:VNT1"/>
    <mergeCell ref="VRG1:VRI1"/>
    <mergeCell ref="VRJ1:VRL1"/>
    <mergeCell ref="VRM1:VRO1"/>
    <mergeCell ref="VRP1:VRR1"/>
    <mergeCell ref="VRS1:VRU1"/>
    <mergeCell ref="VQR1:VQT1"/>
    <mergeCell ref="VQU1:VQW1"/>
    <mergeCell ref="VQX1:VQZ1"/>
    <mergeCell ref="VRA1:VRC1"/>
    <mergeCell ref="VRD1:VRF1"/>
    <mergeCell ref="VQC1:VQE1"/>
    <mergeCell ref="VQF1:VQH1"/>
    <mergeCell ref="VQI1:VQK1"/>
    <mergeCell ref="VQL1:VQN1"/>
    <mergeCell ref="VQO1:VQQ1"/>
    <mergeCell ref="VPN1:VPP1"/>
    <mergeCell ref="VPQ1:VPS1"/>
    <mergeCell ref="VPT1:VPV1"/>
    <mergeCell ref="VPW1:VPY1"/>
    <mergeCell ref="VPZ1:VQB1"/>
    <mergeCell ref="VTO1:VTQ1"/>
    <mergeCell ref="VTR1:VTT1"/>
    <mergeCell ref="VTU1:VTW1"/>
    <mergeCell ref="VTX1:VTZ1"/>
    <mergeCell ref="VUA1:VUC1"/>
    <mergeCell ref="VSZ1:VTB1"/>
    <mergeCell ref="VTC1:VTE1"/>
    <mergeCell ref="VTF1:VTH1"/>
    <mergeCell ref="VTI1:VTK1"/>
    <mergeCell ref="VTL1:VTN1"/>
    <mergeCell ref="VSK1:VSM1"/>
    <mergeCell ref="VSN1:VSP1"/>
    <mergeCell ref="VSQ1:VSS1"/>
    <mergeCell ref="VST1:VSV1"/>
    <mergeCell ref="VSW1:VSY1"/>
    <mergeCell ref="VRV1:VRX1"/>
    <mergeCell ref="VRY1:VSA1"/>
    <mergeCell ref="VSB1:VSD1"/>
    <mergeCell ref="VSE1:VSG1"/>
    <mergeCell ref="VSH1:VSJ1"/>
    <mergeCell ref="VVW1:VVY1"/>
    <mergeCell ref="VVZ1:VWB1"/>
    <mergeCell ref="VWC1:VWE1"/>
    <mergeCell ref="VWF1:VWH1"/>
    <mergeCell ref="VWI1:VWK1"/>
    <mergeCell ref="VVH1:VVJ1"/>
    <mergeCell ref="VVK1:VVM1"/>
    <mergeCell ref="VVN1:VVP1"/>
    <mergeCell ref="VVQ1:VVS1"/>
    <mergeCell ref="VVT1:VVV1"/>
    <mergeCell ref="VUS1:VUU1"/>
    <mergeCell ref="VUV1:VUX1"/>
    <mergeCell ref="VUY1:VVA1"/>
    <mergeCell ref="VVB1:VVD1"/>
    <mergeCell ref="VVE1:VVG1"/>
    <mergeCell ref="VUD1:VUF1"/>
    <mergeCell ref="VUG1:VUI1"/>
    <mergeCell ref="VUJ1:VUL1"/>
    <mergeCell ref="VUM1:VUO1"/>
    <mergeCell ref="VUP1:VUR1"/>
    <mergeCell ref="VYE1:VYG1"/>
    <mergeCell ref="VYH1:VYJ1"/>
    <mergeCell ref="VYK1:VYM1"/>
    <mergeCell ref="VYN1:VYP1"/>
    <mergeCell ref="VYQ1:VYS1"/>
    <mergeCell ref="VXP1:VXR1"/>
    <mergeCell ref="VXS1:VXU1"/>
    <mergeCell ref="VXV1:VXX1"/>
    <mergeCell ref="VXY1:VYA1"/>
    <mergeCell ref="VYB1:VYD1"/>
    <mergeCell ref="VXA1:VXC1"/>
    <mergeCell ref="VXD1:VXF1"/>
    <mergeCell ref="VXG1:VXI1"/>
    <mergeCell ref="VXJ1:VXL1"/>
    <mergeCell ref="VXM1:VXO1"/>
    <mergeCell ref="VWL1:VWN1"/>
    <mergeCell ref="VWO1:VWQ1"/>
    <mergeCell ref="VWR1:VWT1"/>
    <mergeCell ref="VWU1:VWW1"/>
    <mergeCell ref="VWX1:VWZ1"/>
    <mergeCell ref="WAM1:WAO1"/>
    <mergeCell ref="WAP1:WAR1"/>
    <mergeCell ref="WAS1:WAU1"/>
    <mergeCell ref="WAV1:WAX1"/>
    <mergeCell ref="WAY1:WBA1"/>
    <mergeCell ref="VZX1:VZZ1"/>
    <mergeCell ref="WAA1:WAC1"/>
    <mergeCell ref="WAD1:WAF1"/>
    <mergeCell ref="WAG1:WAI1"/>
    <mergeCell ref="WAJ1:WAL1"/>
    <mergeCell ref="VZI1:VZK1"/>
    <mergeCell ref="VZL1:VZN1"/>
    <mergeCell ref="VZO1:VZQ1"/>
    <mergeCell ref="VZR1:VZT1"/>
    <mergeCell ref="VZU1:VZW1"/>
    <mergeCell ref="VYT1:VYV1"/>
    <mergeCell ref="VYW1:VYY1"/>
    <mergeCell ref="VYZ1:VZB1"/>
    <mergeCell ref="VZC1:VZE1"/>
    <mergeCell ref="VZF1:VZH1"/>
    <mergeCell ref="WCU1:WCW1"/>
    <mergeCell ref="WCX1:WCZ1"/>
    <mergeCell ref="WDA1:WDC1"/>
    <mergeCell ref="WDD1:WDF1"/>
    <mergeCell ref="WDG1:WDI1"/>
    <mergeCell ref="WCF1:WCH1"/>
    <mergeCell ref="WCI1:WCK1"/>
    <mergeCell ref="WCL1:WCN1"/>
    <mergeCell ref="WCO1:WCQ1"/>
    <mergeCell ref="WCR1:WCT1"/>
    <mergeCell ref="WBQ1:WBS1"/>
    <mergeCell ref="WBT1:WBV1"/>
    <mergeCell ref="WBW1:WBY1"/>
    <mergeCell ref="WBZ1:WCB1"/>
    <mergeCell ref="WCC1:WCE1"/>
    <mergeCell ref="WBB1:WBD1"/>
    <mergeCell ref="WBE1:WBG1"/>
    <mergeCell ref="WBH1:WBJ1"/>
    <mergeCell ref="WBK1:WBM1"/>
    <mergeCell ref="WBN1:WBP1"/>
    <mergeCell ref="WFC1:WFE1"/>
    <mergeCell ref="WFF1:WFH1"/>
    <mergeCell ref="WFI1:WFK1"/>
    <mergeCell ref="WFL1:WFN1"/>
    <mergeCell ref="WFO1:WFQ1"/>
    <mergeCell ref="WEN1:WEP1"/>
    <mergeCell ref="WEQ1:WES1"/>
    <mergeCell ref="WET1:WEV1"/>
    <mergeCell ref="WEW1:WEY1"/>
    <mergeCell ref="WEZ1:WFB1"/>
    <mergeCell ref="WDY1:WEA1"/>
    <mergeCell ref="WEB1:WED1"/>
    <mergeCell ref="WEE1:WEG1"/>
    <mergeCell ref="WEH1:WEJ1"/>
    <mergeCell ref="WEK1:WEM1"/>
    <mergeCell ref="WDJ1:WDL1"/>
    <mergeCell ref="WDM1:WDO1"/>
    <mergeCell ref="WDP1:WDR1"/>
    <mergeCell ref="WDS1:WDU1"/>
    <mergeCell ref="WDV1:WDX1"/>
    <mergeCell ref="WHK1:WHM1"/>
    <mergeCell ref="WHN1:WHP1"/>
    <mergeCell ref="WHQ1:WHS1"/>
    <mergeCell ref="WHT1:WHV1"/>
    <mergeCell ref="WHW1:WHY1"/>
    <mergeCell ref="WGV1:WGX1"/>
    <mergeCell ref="WGY1:WHA1"/>
    <mergeCell ref="WHB1:WHD1"/>
    <mergeCell ref="WHE1:WHG1"/>
    <mergeCell ref="WHH1:WHJ1"/>
    <mergeCell ref="WGG1:WGI1"/>
    <mergeCell ref="WGJ1:WGL1"/>
    <mergeCell ref="WGM1:WGO1"/>
    <mergeCell ref="WGP1:WGR1"/>
    <mergeCell ref="WGS1:WGU1"/>
    <mergeCell ref="WFR1:WFT1"/>
    <mergeCell ref="WFU1:WFW1"/>
    <mergeCell ref="WFX1:WFZ1"/>
    <mergeCell ref="WGA1:WGC1"/>
    <mergeCell ref="WGD1:WGF1"/>
    <mergeCell ref="WJS1:WJU1"/>
    <mergeCell ref="WJV1:WJX1"/>
    <mergeCell ref="WJY1:WKA1"/>
    <mergeCell ref="WKB1:WKD1"/>
    <mergeCell ref="WKE1:WKG1"/>
    <mergeCell ref="WJD1:WJF1"/>
    <mergeCell ref="WJG1:WJI1"/>
    <mergeCell ref="WJJ1:WJL1"/>
    <mergeCell ref="WJM1:WJO1"/>
    <mergeCell ref="WJP1:WJR1"/>
    <mergeCell ref="WIO1:WIQ1"/>
    <mergeCell ref="WIR1:WIT1"/>
    <mergeCell ref="WIU1:WIW1"/>
    <mergeCell ref="WIX1:WIZ1"/>
    <mergeCell ref="WJA1:WJC1"/>
    <mergeCell ref="WHZ1:WIB1"/>
    <mergeCell ref="WIC1:WIE1"/>
    <mergeCell ref="WIF1:WIH1"/>
    <mergeCell ref="WII1:WIK1"/>
    <mergeCell ref="WIL1:WIN1"/>
    <mergeCell ref="WMA1:WMC1"/>
    <mergeCell ref="WMD1:WMF1"/>
    <mergeCell ref="WMG1:WMI1"/>
    <mergeCell ref="WMJ1:WML1"/>
    <mergeCell ref="WMM1:WMO1"/>
    <mergeCell ref="WLL1:WLN1"/>
    <mergeCell ref="WLO1:WLQ1"/>
    <mergeCell ref="WLR1:WLT1"/>
    <mergeCell ref="WLU1:WLW1"/>
    <mergeCell ref="WLX1:WLZ1"/>
    <mergeCell ref="WKW1:WKY1"/>
    <mergeCell ref="WKZ1:WLB1"/>
    <mergeCell ref="WLC1:WLE1"/>
    <mergeCell ref="WLF1:WLH1"/>
    <mergeCell ref="WLI1:WLK1"/>
    <mergeCell ref="WKH1:WKJ1"/>
    <mergeCell ref="WKK1:WKM1"/>
    <mergeCell ref="WKN1:WKP1"/>
    <mergeCell ref="WKQ1:WKS1"/>
    <mergeCell ref="WKT1:WKV1"/>
    <mergeCell ref="WOI1:WOK1"/>
    <mergeCell ref="WOL1:WON1"/>
    <mergeCell ref="WOO1:WOQ1"/>
    <mergeCell ref="WOR1:WOT1"/>
    <mergeCell ref="WOU1:WOW1"/>
    <mergeCell ref="WNT1:WNV1"/>
    <mergeCell ref="WNW1:WNY1"/>
    <mergeCell ref="WNZ1:WOB1"/>
    <mergeCell ref="WOC1:WOE1"/>
    <mergeCell ref="WOF1:WOH1"/>
    <mergeCell ref="WNE1:WNG1"/>
    <mergeCell ref="WNH1:WNJ1"/>
    <mergeCell ref="WNK1:WNM1"/>
    <mergeCell ref="WNN1:WNP1"/>
    <mergeCell ref="WNQ1:WNS1"/>
    <mergeCell ref="WMP1:WMR1"/>
    <mergeCell ref="WMS1:WMU1"/>
    <mergeCell ref="WMV1:WMX1"/>
    <mergeCell ref="WMY1:WNA1"/>
    <mergeCell ref="WNB1:WND1"/>
    <mergeCell ref="WQQ1:WQS1"/>
    <mergeCell ref="WQT1:WQV1"/>
    <mergeCell ref="WQW1:WQY1"/>
    <mergeCell ref="WQZ1:WRB1"/>
    <mergeCell ref="WRC1:WRE1"/>
    <mergeCell ref="WQB1:WQD1"/>
    <mergeCell ref="WQE1:WQG1"/>
    <mergeCell ref="WQH1:WQJ1"/>
    <mergeCell ref="WQK1:WQM1"/>
    <mergeCell ref="WQN1:WQP1"/>
    <mergeCell ref="WPM1:WPO1"/>
    <mergeCell ref="WPP1:WPR1"/>
    <mergeCell ref="WPS1:WPU1"/>
    <mergeCell ref="WPV1:WPX1"/>
    <mergeCell ref="WPY1:WQA1"/>
    <mergeCell ref="WOX1:WOZ1"/>
    <mergeCell ref="WPA1:WPC1"/>
    <mergeCell ref="WPD1:WPF1"/>
    <mergeCell ref="WPG1:WPI1"/>
    <mergeCell ref="WPJ1:WPL1"/>
    <mergeCell ref="WSY1:WTA1"/>
    <mergeCell ref="WTB1:WTD1"/>
    <mergeCell ref="WTE1:WTG1"/>
    <mergeCell ref="WTH1:WTJ1"/>
    <mergeCell ref="WTK1:WTM1"/>
    <mergeCell ref="WSJ1:WSL1"/>
    <mergeCell ref="WSM1:WSO1"/>
    <mergeCell ref="WSP1:WSR1"/>
    <mergeCell ref="WSS1:WSU1"/>
    <mergeCell ref="WSV1:WSX1"/>
    <mergeCell ref="WRU1:WRW1"/>
    <mergeCell ref="WRX1:WRZ1"/>
    <mergeCell ref="WSA1:WSC1"/>
    <mergeCell ref="WSD1:WSF1"/>
    <mergeCell ref="WSG1:WSI1"/>
    <mergeCell ref="WRF1:WRH1"/>
    <mergeCell ref="WRI1:WRK1"/>
    <mergeCell ref="WRL1:WRN1"/>
    <mergeCell ref="WRO1:WRQ1"/>
    <mergeCell ref="WRR1:WRT1"/>
    <mergeCell ref="WVG1:WVI1"/>
    <mergeCell ref="WVJ1:WVL1"/>
    <mergeCell ref="WVM1:WVO1"/>
    <mergeCell ref="WVP1:WVR1"/>
    <mergeCell ref="WVS1:WVU1"/>
    <mergeCell ref="WUR1:WUT1"/>
    <mergeCell ref="WUU1:WUW1"/>
    <mergeCell ref="WUX1:WUZ1"/>
    <mergeCell ref="WVA1:WVC1"/>
    <mergeCell ref="WVD1:WVF1"/>
    <mergeCell ref="WUC1:WUE1"/>
    <mergeCell ref="WUF1:WUH1"/>
    <mergeCell ref="WUI1:WUK1"/>
    <mergeCell ref="WUL1:WUN1"/>
    <mergeCell ref="WUO1:WUQ1"/>
    <mergeCell ref="WTN1:WTP1"/>
    <mergeCell ref="WTQ1:WTS1"/>
    <mergeCell ref="WTT1:WTV1"/>
    <mergeCell ref="WTW1:WTY1"/>
    <mergeCell ref="WTZ1:WUB1"/>
    <mergeCell ref="WXO1:WXQ1"/>
    <mergeCell ref="WXR1:WXT1"/>
    <mergeCell ref="WXU1:WXW1"/>
    <mergeCell ref="WXX1:WXZ1"/>
    <mergeCell ref="WYA1:WYC1"/>
    <mergeCell ref="WWZ1:WXB1"/>
    <mergeCell ref="WXC1:WXE1"/>
    <mergeCell ref="WXF1:WXH1"/>
    <mergeCell ref="WXI1:WXK1"/>
    <mergeCell ref="WXL1:WXN1"/>
    <mergeCell ref="WWK1:WWM1"/>
    <mergeCell ref="WWN1:WWP1"/>
    <mergeCell ref="WWQ1:WWS1"/>
    <mergeCell ref="WWT1:WWV1"/>
    <mergeCell ref="WWW1:WWY1"/>
    <mergeCell ref="WVV1:WVX1"/>
    <mergeCell ref="WVY1:WWA1"/>
    <mergeCell ref="WWB1:WWD1"/>
    <mergeCell ref="WWE1:WWG1"/>
    <mergeCell ref="WWH1:WWJ1"/>
    <mergeCell ref="WZW1:WZY1"/>
    <mergeCell ref="WZZ1:XAB1"/>
    <mergeCell ref="XAC1:XAE1"/>
    <mergeCell ref="XAF1:XAH1"/>
    <mergeCell ref="XAI1:XAK1"/>
    <mergeCell ref="WZH1:WZJ1"/>
    <mergeCell ref="WZK1:WZM1"/>
    <mergeCell ref="WZN1:WZP1"/>
    <mergeCell ref="WZQ1:WZS1"/>
    <mergeCell ref="WZT1:WZV1"/>
    <mergeCell ref="WYS1:WYU1"/>
    <mergeCell ref="WYV1:WYX1"/>
    <mergeCell ref="WYY1:WZA1"/>
    <mergeCell ref="WZB1:WZD1"/>
    <mergeCell ref="WZE1:WZG1"/>
    <mergeCell ref="WYD1:WYF1"/>
    <mergeCell ref="WYG1:WYI1"/>
    <mergeCell ref="WYJ1:WYL1"/>
    <mergeCell ref="WYM1:WYO1"/>
    <mergeCell ref="WYP1:WYR1"/>
    <mergeCell ref="XCE1:XCG1"/>
    <mergeCell ref="XCH1:XCJ1"/>
    <mergeCell ref="XCK1:XCM1"/>
    <mergeCell ref="XCN1:XCP1"/>
    <mergeCell ref="XCQ1:XCS1"/>
    <mergeCell ref="XBP1:XBR1"/>
    <mergeCell ref="XBS1:XBU1"/>
    <mergeCell ref="XBV1:XBX1"/>
    <mergeCell ref="XBY1:XCA1"/>
    <mergeCell ref="XCB1:XCD1"/>
    <mergeCell ref="XBA1:XBC1"/>
    <mergeCell ref="XBD1:XBF1"/>
    <mergeCell ref="XBG1:XBI1"/>
    <mergeCell ref="XBJ1:XBL1"/>
    <mergeCell ref="XBM1:XBO1"/>
    <mergeCell ref="XAL1:XAN1"/>
    <mergeCell ref="XAO1:XAQ1"/>
    <mergeCell ref="XAR1:XAT1"/>
    <mergeCell ref="XAU1:XAW1"/>
    <mergeCell ref="XAX1:XAZ1"/>
    <mergeCell ref="XFB1:XFD1"/>
    <mergeCell ref="XEM1:XEO1"/>
    <mergeCell ref="XEP1:XER1"/>
    <mergeCell ref="XES1:XEU1"/>
    <mergeCell ref="XEV1:XEX1"/>
    <mergeCell ref="XEY1:XFA1"/>
    <mergeCell ref="XDX1:XDZ1"/>
    <mergeCell ref="XEA1:XEC1"/>
    <mergeCell ref="XED1:XEF1"/>
    <mergeCell ref="XEG1:XEI1"/>
    <mergeCell ref="XEJ1:XEL1"/>
    <mergeCell ref="XDI1:XDK1"/>
    <mergeCell ref="XDL1:XDN1"/>
    <mergeCell ref="XDO1:XDQ1"/>
    <mergeCell ref="XDR1:XDT1"/>
    <mergeCell ref="XDU1:XDW1"/>
    <mergeCell ref="XCT1:XCV1"/>
    <mergeCell ref="XCW1:XCY1"/>
    <mergeCell ref="XCZ1:XDB1"/>
    <mergeCell ref="XDC1:XDE1"/>
    <mergeCell ref="XDF1:XDH1"/>
    <mergeCell ref="H60:J60"/>
    <mergeCell ref="A8:E8"/>
    <mergeCell ref="F9:G9"/>
    <mergeCell ref="F60:G60"/>
    <mergeCell ref="H10:J10"/>
    <mergeCell ref="H11:J11"/>
    <mergeCell ref="H12:J12"/>
    <mergeCell ref="H13:J13"/>
    <mergeCell ref="H14:J14"/>
    <mergeCell ref="H15:J15"/>
    <mergeCell ref="H16:J16"/>
    <mergeCell ref="H17:J17"/>
    <mergeCell ref="H18:J18"/>
    <mergeCell ref="H19:J19"/>
    <mergeCell ref="H20:J20"/>
    <mergeCell ref="H21:J21"/>
    <mergeCell ref="H22:J22"/>
    <mergeCell ref="D9:E9"/>
    <mergeCell ref="F10:G10"/>
    <mergeCell ref="F11:G11"/>
    <mergeCell ref="F12:G12"/>
    <mergeCell ref="F13:G13"/>
    <mergeCell ref="F22:G22"/>
    <mergeCell ref="F21:G21"/>
    <mergeCell ref="F20:G20"/>
    <mergeCell ref="F17:G17"/>
    <mergeCell ref="F14:G14"/>
    <mergeCell ref="F15:G15"/>
    <mergeCell ref="F16:G16"/>
    <mergeCell ref="F18:G18"/>
    <mergeCell ref="F19:G19"/>
    <mergeCell ref="F23:G23"/>
    <mergeCell ref="F24:G24"/>
    <mergeCell ref="F25:G25"/>
    <mergeCell ref="F26:G26"/>
    <mergeCell ref="F27:G27"/>
    <mergeCell ref="F28:G28"/>
    <mergeCell ref="F29:G29"/>
    <mergeCell ref="F30:G30"/>
    <mergeCell ref="F31:G31"/>
    <mergeCell ref="F32:G32"/>
    <mergeCell ref="F33:G33"/>
    <mergeCell ref="F34:G34"/>
    <mergeCell ref="H23:J23"/>
    <mergeCell ref="H24:J24"/>
    <mergeCell ref="H25:J25"/>
    <mergeCell ref="H26:J26"/>
    <mergeCell ref="H27:J27"/>
    <mergeCell ref="H28:J28"/>
    <mergeCell ref="H29:J29"/>
    <mergeCell ref="H30:J30"/>
    <mergeCell ref="H31:J31"/>
    <mergeCell ref="H32:J32"/>
    <mergeCell ref="H33:J33"/>
    <mergeCell ref="H34:J34"/>
    <mergeCell ref="F35:G35"/>
    <mergeCell ref="H35:J35"/>
    <mergeCell ref="F36:G36"/>
    <mergeCell ref="H36:J36"/>
    <mergeCell ref="F37:G37"/>
    <mergeCell ref="H37:J37"/>
    <mergeCell ref="F38:G38"/>
    <mergeCell ref="H38:J38"/>
    <mergeCell ref="F39:G39"/>
    <mergeCell ref="H39:J39"/>
    <mergeCell ref="F40:G40"/>
    <mergeCell ref="H40:J40"/>
    <mergeCell ref="F41:G41"/>
    <mergeCell ref="H41:J41"/>
    <mergeCell ref="F42:G42"/>
    <mergeCell ref="H42:J42"/>
    <mergeCell ref="F43:G43"/>
    <mergeCell ref="H43:J43"/>
    <mergeCell ref="F53:G53"/>
    <mergeCell ref="H53:J53"/>
    <mergeCell ref="F54:G54"/>
    <mergeCell ref="H54:J54"/>
    <mergeCell ref="F55:G55"/>
    <mergeCell ref="H55:J55"/>
    <mergeCell ref="F56:G56"/>
    <mergeCell ref="H56:J56"/>
    <mergeCell ref="F57:G57"/>
    <mergeCell ref="H57:J57"/>
    <mergeCell ref="F58:G58"/>
    <mergeCell ref="H58:J58"/>
    <mergeCell ref="F59:G59"/>
    <mergeCell ref="H59:J59"/>
    <mergeCell ref="F44:G44"/>
    <mergeCell ref="H44:J44"/>
    <mergeCell ref="F45:G45"/>
    <mergeCell ref="H45:J45"/>
    <mergeCell ref="F46:G46"/>
    <mergeCell ref="H46:J46"/>
    <mergeCell ref="F47:G47"/>
    <mergeCell ref="H47:J47"/>
    <mergeCell ref="F48:G48"/>
    <mergeCell ref="H48:J48"/>
    <mergeCell ref="F49:G49"/>
    <mergeCell ref="H49:J49"/>
    <mergeCell ref="F50:G50"/>
    <mergeCell ref="H50:J50"/>
    <mergeCell ref="F51:G51"/>
    <mergeCell ref="H51:J51"/>
    <mergeCell ref="F52:G52"/>
    <mergeCell ref="H52:J52"/>
  </mergeCells>
  <conditionalFormatting sqref="A10:F10 A11:E59 F11:F60 C60 AN10:AN60">
    <cfRule type="expression" dxfId="122" priority="5">
      <formula>OR($N10=1,$B10="hoch 1",$B10="hoch 2",$B10="hoch 3",$B10="hoch 1 Nitratrisikogebiet",$B10="hoch 2 Nitratrisikogebiet",$B10="hoch 3 Nitratrisikogebiet")</formula>
    </cfRule>
  </conditionalFormatting>
  <conditionalFormatting sqref="C10:C60">
    <cfRule type="expression" dxfId="121" priority="7">
      <formula>AND($N10=1,$C10="")</formula>
    </cfRule>
  </conditionalFormatting>
  <conditionalFormatting sqref="D10:D59">
    <cfRule type="expression" dxfId="120" priority="8">
      <formula>AND($N10=1,$D10="")</formula>
    </cfRule>
  </conditionalFormatting>
  <conditionalFormatting sqref="D10:D60">
    <cfRule type="expression" dxfId="119" priority="10">
      <formula>AND(ISNUMBER($D10),$C10&lt;&gt;"")</formula>
    </cfRule>
  </conditionalFormatting>
  <conditionalFormatting sqref="H10:J60">
    <cfRule type="expression" dxfId="118" priority="11">
      <formula>$C10="m3 / ha"</formula>
    </cfRule>
  </conditionalFormatting>
  <conditionalFormatting sqref="W12:W151">
    <cfRule type="expression" dxfId="117" priority="13">
      <formula>$BO12="FEHLER"</formula>
    </cfRule>
  </conditionalFormatting>
  <conditionalFormatting sqref="AI10:AM10 AL11:AM11 AI11:AL21 AM12:AM21 AL61:AL151">
    <cfRule type="expression" dxfId="116" priority="1">
      <formula>$N10=1</formula>
    </cfRule>
  </conditionalFormatting>
  <conditionalFormatting sqref="AI22:AM60">
    <cfRule type="expression" dxfId="115" priority="318">
      <formula>$N60=1</formula>
    </cfRule>
  </conditionalFormatting>
  <conditionalFormatting sqref="AK10:AK21">
    <cfRule type="expression" dxfId="114" priority="2">
      <formula>AND($N11=1,$C11="")</formula>
    </cfRule>
  </conditionalFormatting>
  <conditionalFormatting sqref="AK22:AK60">
    <cfRule type="expression" dxfId="113" priority="317">
      <formula>AND($N60=1,$C60="")</formula>
    </cfRule>
  </conditionalFormatting>
  <conditionalFormatting sqref="AL10:AL21 AL61:AL151">
    <cfRule type="expression" dxfId="112" priority="3">
      <formula>AND($N11=1,$D11="")</formula>
    </cfRule>
    <cfRule type="expression" dxfId="111" priority="4">
      <formula>AND(ISNUMBER($D11),$C11&lt;&gt;"")</formula>
    </cfRule>
  </conditionalFormatting>
  <conditionalFormatting sqref="AL22:AL60">
    <cfRule type="expression" dxfId="110" priority="315">
      <formula>AND(ISNUMBER($D60),$C60&lt;&gt;"")</formula>
    </cfRule>
    <cfRule type="expression" dxfId="109" priority="316">
      <formula>AND($N60=1,$D60="")</formula>
    </cfRule>
  </conditionalFormatting>
  <dataValidations count="15">
    <dataValidation type="list" allowBlank="1" showInputMessage="1" showErrorMessage="1" errorTitle="Eingabe nur in t/ha und m3" sqref="C10" xr:uid="{00000000-0002-0000-0900-000000000000}">
      <formula1>Ertrag_A8</formula1>
    </dataValidation>
    <dataValidation allowBlank="1" showInputMessage="1" showErrorMessage="1" errorTitle="Eingabe nur in t/ha und m3" sqref="AK10:AK60" xr:uid="{00000000-0002-0000-0900-000001000000}"/>
    <dataValidation type="list" allowBlank="1" showInputMessage="1" showErrorMessage="1" errorTitle="Eingabe nur in t/ha und m3" sqref="C11" xr:uid="{00000000-0002-0000-0900-000002000000}">
      <formula1>ErtragA22_ErsatzA9</formula1>
    </dataValidation>
    <dataValidation type="list" allowBlank="1" showInputMessage="1" showErrorMessage="1" errorTitle="Eingabe nur in t/ha und m3" sqref="C12" xr:uid="{00000000-0002-0000-0900-000003000000}">
      <formula1>Ertrag_A10</formula1>
    </dataValidation>
    <dataValidation type="list" allowBlank="1" showInputMessage="1" showErrorMessage="1" errorTitle="Eingabe nur in t/ha und m3" sqref="C13" xr:uid="{00000000-0002-0000-0900-000004000000}">
      <formula1>Ertrag_A11</formula1>
    </dataValidation>
    <dataValidation type="list" allowBlank="1" showInputMessage="1" showErrorMessage="1" errorTitle="Eingabe nur in t/ha und m3" sqref="C14" xr:uid="{00000000-0002-0000-0900-000005000000}">
      <formula1>Ertrag_A12</formula1>
    </dataValidation>
    <dataValidation type="list" allowBlank="1" showInputMessage="1" showErrorMessage="1" errorTitle="Eingabe nur in t/ha und m3" sqref="C15" xr:uid="{00000000-0002-0000-0900-000006000000}">
      <formula1>Ertrag_A13</formula1>
    </dataValidation>
    <dataValidation type="list" allowBlank="1" showInputMessage="1" showErrorMessage="1" errorTitle="Eingabe nur in t/ha und m3" sqref="C16" xr:uid="{00000000-0002-0000-0900-000007000000}">
      <formula1>Ertrag_A14</formula1>
    </dataValidation>
    <dataValidation type="list" allowBlank="1" showInputMessage="1" showErrorMessage="1" errorTitle="Eingabe nur in t/ha und m3" sqref="C17" xr:uid="{00000000-0002-0000-0900-000008000000}">
      <formula1>Ertrag_A15</formula1>
    </dataValidation>
    <dataValidation type="list" allowBlank="1" showInputMessage="1" showErrorMessage="1" errorTitle="Eingabe nur in t/ha und m3" sqref="C18" xr:uid="{00000000-0002-0000-0900-000009000000}">
      <formula1>Ertrag_A16</formula1>
    </dataValidation>
    <dataValidation type="list" allowBlank="1" showInputMessage="1" showErrorMessage="1" errorTitle="Eingabe nur in t/ha und m3" sqref="C19" xr:uid="{00000000-0002-0000-0900-00000A000000}">
      <formula1>Ertrag_A17</formula1>
    </dataValidation>
    <dataValidation type="list" allowBlank="1" showInputMessage="1" showErrorMessage="1" errorTitle="Eingabe nur in t/ha und m3" sqref="C20" xr:uid="{00000000-0002-0000-0900-00000B000000}">
      <formula1>Ertrag_A18</formula1>
    </dataValidation>
    <dataValidation type="list" allowBlank="1" showInputMessage="1" showErrorMessage="1" errorTitle="Eingabe nur in t/ha und m3" sqref="C21" xr:uid="{00000000-0002-0000-0900-00000C000000}">
      <formula1>Ertrag_A19</formula1>
    </dataValidation>
    <dataValidation type="list" allowBlank="1" showInputMessage="1" showErrorMessage="1" errorTitle="Eingabe nur in t/ha und m3" sqref="C22:C59" xr:uid="{00000000-0002-0000-0900-00000D000000}">
      <formula1>Ertrag_A20</formula1>
    </dataValidation>
    <dataValidation type="list" allowBlank="1" showInputMessage="1" showErrorMessage="1" errorTitle="Eingabe nur in t/ha und m3" sqref="C60" xr:uid="{00000000-0002-0000-0900-00000E000000}">
      <formula1>Ertrag_A21</formula1>
    </dataValidation>
  </dataValidations>
  <hyperlinks>
    <hyperlink ref="H10:J10" location="'Ertragsschätzung m3'!A1" display="'Ertragsschätzung m3'!A1" xr:uid="{00000000-0004-0000-0900-000000000000}"/>
    <hyperlink ref="G1:G3" location="Ergebnis!A1" display="  ►" xr:uid="{00000000-0004-0000-0900-000001000000}"/>
    <hyperlink ref="F1:F3" location="Mineral!A1" display="◄" xr:uid="{00000000-0004-0000-0900-000002000000}"/>
    <hyperlink ref="H11:J60" location="'Ertragsschätzung m3'!A1" display="'Ertragsschätzung m3'!A1" xr:uid="{00000000-0004-0000-0900-000003000000}"/>
  </hyperlinks>
  <pageMargins left="0.70866141732283472" right="0.70866141732283472" top="0.78740157480314965" bottom="0.78740157480314965" header="0.31496062992125984" footer="0.31496062992125984"/>
  <pageSetup paperSize="9" scale="67" orientation="portrait"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tabColor theme="9" tint="0.39997558519241921"/>
  </sheetPr>
  <dimension ref="A1:BB93"/>
  <sheetViews>
    <sheetView showZeros="0" zoomScale="90" zoomScaleNormal="90" workbookViewId="0">
      <selection sqref="A1:H1"/>
    </sheetView>
  </sheetViews>
  <sheetFormatPr baseColWidth="10" defaultColWidth="11.42578125" defaultRowHeight="11.25"/>
  <cols>
    <col min="1" max="1" width="3.140625" style="1456" customWidth="1"/>
    <col min="2" max="2" width="24.42578125" style="1456" customWidth="1"/>
    <col min="3" max="3" width="10.7109375" style="1456" customWidth="1"/>
    <col min="4" max="4" width="10" style="1456" customWidth="1"/>
    <col min="5" max="5" width="11" style="1456" customWidth="1"/>
    <col min="6" max="7" width="11.28515625" style="1456" customWidth="1"/>
    <col min="8" max="8" width="14" style="1456" customWidth="1"/>
    <col min="9" max="9" width="12.85546875" style="1456" customWidth="1"/>
    <col min="10" max="10" width="10.42578125" style="1456" customWidth="1"/>
    <col min="11" max="11" width="14.140625" style="1456" customWidth="1"/>
    <col min="12" max="12" width="22.28515625" style="1456" customWidth="1"/>
    <col min="13" max="13" width="14.28515625" style="1456" customWidth="1"/>
    <col min="14" max="14" width="13.7109375" style="1456" customWidth="1"/>
    <col min="15" max="15" width="13" style="1456" customWidth="1"/>
    <col min="16" max="16" width="13.28515625" style="1456" customWidth="1"/>
    <col min="17" max="17" width="13.7109375" style="1456" customWidth="1"/>
    <col min="18" max="18" width="17.42578125" style="1456" customWidth="1"/>
    <col min="19" max="19" width="27.42578125" style="1456" hidden="1" customWidth="1"/>
    <col min="20" max="20" width="10.140625" style="1456" hidden="1" customWidth="1"/>
    <col min="21" max="21" width="6.28515625" style="1456" hidden="1" customWidth="1"/>
    <col min="22" max="22" width="30.85546875" style="1456" hidden="1" customWidth="1"/>
    <col min="23" max="27" width="11.42578125" style="1456" hidden="1" customWidth="1"/>
    <col min="28" max="29" width="14.28515625" style="1456" hidden="1" customWidth="1"/>
    <col min="30" max="36" width="11.42578125" style="1456" hidden="1" customWidth="1"/>
    <col min="37" max="37" width="40.85546875" style="1456" hidden="1" customWidth="1"/>
    <col min="38" max="38" width="6" style="1456" hidden="1" customWidth="1"/>
    <col min="39" max="39" width="5.5703125" style="1456" hidden="1" customWidth="1"/>
    <col min="40" max="40" width="5.85546875" style="1456" hidden="1" customWidth="1"/>
    <col min="41" max="42" width="6.28515625" style="1456" hidden="1" customWidth="1"/>
    <col min="43" max="49" width="11.42578125" style="1456" hidden="1" customWidth="1"/>
    <col min="50" max="50" width="5.28515625" style="1456" customWidth="1"/>
    <col min="51" max="51" width="11.42578125" style="1456"/>
    <col min="52" max="52" width="11.42578125" style="1456" customWidth="1"/>
    <col min="53" max="16384" width="11.42578125" style="1456"/>
  </cols>
  <sheetData>
    <row r="1" spans="1:54" ht="28.5" customHeight="1">
      <c r="A1" s="2798" t="s">
        <v>1456</v>
      </c>
      <c r="B1" s="2798"/>
      <c r="C1" s="2798"/>
      <c r="D1" s="2798"/>
      <c r="E1" s="2798"/>
      <c r="F1" s="2798"/>
      <c r="G1" s="2798"/>
      <c r="H1" s="2798"/>
      <c r="I1" s="1455"/>
      <c r="J1" s="1455"/>
      <c r="K1" s="2799" t="s">
        <v>1457</v>
      </c>
      <c r="L1" s="2799"/>
      <c r="M1" s="2799"/>
      <c r="N1" s="2799"/>
      <c r="O1" s="2799"/>
      <c r="P1" s="2799"/>
      <c r="Q1" s="2799"/>
      <c r="R1" s="1455"/>
      <c r="S1" s="2827"/>
      <c r="V1" s="1398" t="s">
        <v>1239</v>
      </c>
      <c r="W1" s="1274" t="s">
        <v>1245</v>
      </c>
      <c r="X1" s="1274" t="s">
        <v>608</v>
      </c>
      <c r="Y1" s="1274" t="s">
        <v>604</v>
      </c>
      <c r="Z1" s="1274" t="s">
        <v>1246</v>
      </c>
      <c r="AA1" s="1274" t="s">
        <v>1247</v>
      </c>
      <c r="AB1" s="1274" t="s">
        <v>1458</v>
      </c>
      <c r="AD1" s="1274" t="s">
        <v>1245</v>
      </c>
      <c r="AE1" s="1274" t="s">
        <v>608</v>
      </c>
      <c r="AF1" s="1274" t="s">
        <v>604</v>
      </c>
      <c r="AG1" s="1274" t="s">
        <v>1246</v>
      </c>
      <c r="AH1" s="1274" t="s">
        <v>1247</v>
      </c>
      <c r="AI1" s="1744"/>
      <c r="AJ1" s="1744"/>
      <c r="AK1" s="1456" t="s">
        <v>130</v>
      </c>
      <c r="AL1" s="1456" t="s">
        <v>1245</v>
      </c>
      <c r="AM1" s="1456" t="s">
        <v>608</v>
      </c>
      <c r="AN1" s="1456" t="s">
        <v>604</v>
      </c>
      <c r="AO1" s="1456" t="s">
        <v>1246</v>
      </c>
      <c r="AP1" s="1456" t="s">
        <v>1247</v>
      </c>
      <c r="AQ1" s="1744"/>
      <c r="AR1" s="1744"/>
      <c r="AS1" s="1744"/>
      <c r="AT1" s="1744"/>
      <c r="AU1" s="1744"/>
      <c r="AV1" s="1744"/>
      <c r="AW1" s="1744"/>
      <c r="AX1" s="1455"/>
      <c r="AY1" s="2826" t="s">
        <v>891</v>
      </c>
      <c r="AZ1" s="2826"/>
      <c r="BA1" s="2826" t="s">
        <v>867</v>
      </c>
      <c r="BB1" s="2826"/>
    </row>
    <row r="2" spans="1:54" ht="9.75" customHeight="1">
      <c r="A2" s="1457"/>
      <c r="B2" s="1455"/>
      <c r="C2" s="1455"/>
      <c r="D2" s="1455"/>
      <c r="E2" s="1455"/>
      <c r="F2" s="1455"/>
      <c r="G2" s="1455"/>
      <c r="H2" s="1458"/>
      <c r="I2" s="2828" t="s">
        <v>1459</v>
      </c>
      <c r="J2" s="1459"/>
      <c r="K2" s="2817" t="s">
        <v>2552</v>
      </c>
      <c r="L2" s="2818"/>
      <c r="M2" s="2818"/>
      <c r="N2" s="2818"/>
      <c r="O2" s="2818"/>
      <c r="P2" s="2818"/>
      <c r="Q2" s="2819"/>
      <c r="R2" s="1455"/>
      <c r="S2" s="2827"/>
      <c r="V2" s="1398" t="s">
        <v>1381</v>
      </c>
      <c r="W2" s="1460" t="s">
        <v>1460</v>
      </c>
      <c r="X2" s="1460" t="s">
        <v>1460</v>
      </c>
      <c r="Y2" s="1460" t="s">
        <v>1460</v>
      </c>
      <c r="Z2" s="1460" t="s">
        <v>1460</v>
      </c>
      <c r="AA2" s="1460" t="s">
        <v>1460</v>
      </c>
      <c r="AB2" s="1460" t="s">
        <v>1461</v>
      </c>
      <c r="AC2" s="1460"/>
      <c r="AD2" s="1460" t="s">
        <v>1462</v>
      </c>
      <c r="AE2" s="1460" t="s">
        <v>1462</v>
      </c>
      <c r="AF2" s="1460" t="s">
        <v>1462</v>
      </c>
      <c r="AG2" s="1460" t="s">
        <v>1462</v>
      </c>
      <c r="AH2" s="1460" t="s">
        <v>1462</v>
      </c>
      <c r="AI2" s="1928"/>
      <c r="AJ2" s="1928"/>
      <c r="AL2" s="1456" t="s">
        <v>2504</v>
      </c>
      <c r="AM2" s="1456" t="s">
        <v>2504</v>
      </c>
      <c r="AN2" s="1456" t="s">
        <v>2504</v>
      </c>
      <c r="AO2" s="1456" t="s">
        <v>2504</v>
      </c>
      <c r="AP2" s="1456" t="s">
        <v>2504</v>
      </c>
      <c r="AQ2" s="1928"/>
      <c r="AR2" s="1928"/>
      <c r="AS2" s="1928"/>
      <c r="AT2" s="1928"/>
      <c r="AU2" s="1928"/>
      <c r="AV2" s="1928"/>
      <c r="AW2" s="1928"/>
      <c r="AX2" s="1455"/>
    </row>
    <row r="3" spans="1:54" ht="40.5" customHeight="1">
      <c r="A3" s="1457"/>
      <c r="B3" s="1461" t="s">
        <v>1463</v>
      </c>
      <c r="C3" s="1462" t="s">
        <v>1464</v>
      </c>
      <c r="D3" s="1463" t="s">
        <v>1465</v>
      </c>
      <c r="E3" s="1464" t="s">
        <v>1466</v>
      </c>
      <c r="F3" s="1462" t="s">
        <v>1467</v>
      </c>
      <c r="G3" s="1919" t="s">
        <v>2413</v>
      </c>
      <c r="H3" s="1462" t="s">
        <v>2505</v>
      </c>
      <c r="I3" s="2828"/>
      <c r="J3" s="1459"/>
      <c r="K3" s="2820"/>
      <c r="L3" s="2821"/>
      <c r="M3" s="2821"/>
      <c r="N3" s="2821"/>
      <c r="O3" s="2821"/>
      <c r="P3" s="2821"/>
      <c r="Q3" s="2822"/>
      <c r="R3" s="1455"/>
      <c r="S3" s="1942"/>
      <c r="U3" s="429"/>
      <c r="V3" s="1465" t="s">
        <v>342</v>
      </c>
      <c r="W3" s="1466">
        <v>5.8</v>
      </c>
      <c r="X3" s="1275">
        <v>7.8</v>
      </c>
      <c r="Y3" s="1466">
        <v>9.5</v>
      </c>
      <c r="Z3" s="1466">
        <v>11.3</v>
      </c>
      <c r="AA3" s="1466">
        <v>11.3</v>
      </c>
      <c r="AB3" s="953">
        <v>80</v>
      </c>
      <c r="AC3" s="953"/>
      <c r="AD3" s="1466">
        <v>5</v>
      </c>
      <c r="AE3" s="1275">
        <v>6</v>
      </c>
      <c r="AF3" s="1466">
        <v>7.5</v>
      </c>
      <c r="AG3" s="1466">
        <v>9</v>
      </c>
      <c r="AH3" s="1466">
        <v>8.99</v>
      </c>
      <c r="AI3" s="1929"/>
      <c r="AJ3" s="1929"/>
      <c r="AQ3" s="1929"/>
      <c r="AR3" s="1929"/>
      <c r="AS3" s="1929"/>
      <c r="AT3" s="1929"/>
      <c r="AU3" s="1929"/>
      <c r="AV3" s="1929"/>
      <c r="AW3" s="1929"/>
      <c r="AX3" s="1455"/>
    </row>
    <row r="4" spans="1:54" ht="30" customHeight="1">
      <c r="A4" s="1457"/>
      <c r="B4" s="2302"/>
      <c r="C4" s="1467"/>
      <c r="D4" s="1468"/>
      <c r="E4" s="1469">
        <f>SUM(F7:F11)</f>
        <v>0</v>
      </c>
      <c r="F4" s="1470" t="str">
        <f>IF(ISNUMBER(C4),E4/C4,"")</f>
        <v/>
      </c>
      <c r="G4" s="1920" t="str">
        <f>IF(AND(ISNUMBER(C4),ISNUMBER(D4)),(F4*(D4*10))/1000,"")</f>
        <v/>
      </c>
      <c r="H4" s="1471">
        <f>IF(ISBLANK(C4),0,IF(F4&lt;VLOOKUP(B4,$AK$4:$AP$34,2,FALSE),$AL$1,IF(F4&lt;VLOOKUP(B4,$AK$4:$AP$34,3,FALSE),$AM$1,IF(F4&lt;VLOOKUP(B4,$AK$4:$AP$34,4,FALSE),$AN$1,IF(F4&lt;=VLOOKUP(B4,$AK$4:$AP$34,5,FALSE),$AO$1,IF(F4&gt;VLOOKUP(B4,$AK$4:$AP$34,6,FALSE),$AP$1,))))))</f>
        <v>0</v>
      </c>
      <c r="I4" s="2828"/>
      <c r="J4" s="1459"/>
      <c r="K4" s="2820"/>
      <c r="L4" s="2821"/>
      <c r="M4" s="2821"/>
      <c r="N4" s="2821"/>
      <c r="O4" s="2821"/>
      <c r="P4" s="2821"/>
      <c r="Q4" s="2822"/>
      <c r="R4" s="1455"/>
      <c r="S4" s="1942"/>
      <c r="U4" s="429"/>
      <c r="V4" s="1465" t="s">
        <v>1468</v>
      </c>
      <c r="W4" s="1466">
        <v>4.3</v>
      </c>
      <c r="X4" s="1275">
        <v>5.7</v>
      </c>
      <c r="Y4" s="1466">
        <v>7.5</v>
      </c>
      <c r="Z4" s="1466">
        <v>9.3000000000000007</v>
      </c>
      <c r="AA4" s="1466">
        <v>9.3000000000000007</v>
      </c>
      <c r="AB4" s="953">
        <v>81</v>
      </c>
      <c r="AC4" s="953"/>
      <c r="AD4" s="1466">
        <v>3.5</v>
      </c>
      <c r="AE4" s="1275">
        <v>5</v>
      </c>
      <c r="AF4" s="1466">
        <v>6.25</v>
      </c>
      <c r="AG4" s="1466">
        <v>7.5</v>
      </c>
      <c r="AH4" s="1466">
        <v>7.49</v>
      </c>
      <c r="AI4" s="1929"/>
      <c r="AJ4" s="1929"/>
      <c r="AK4" s="1962" t="s">
        <v>1495</v>
      </c>
      <c r="AL4" s="1964">
        <v>110</v>
      </c>
      <c r="AM4" s="1965">
        <v>140</v>
      </c>
      <c r="AN4" s="1965">
        <v>160</v>
      </c>
      <c r="AO4" s="1965">
        <v>180</v>
      </c>
      <c r="AP4" s="1965">
        <v>180</v>
      </c>
      <c r="AQ4" s="1929"/>
      <c r="AR4" s="1929"/>
      <c r="AS4" s="1929"/>
      <c r="AT4" s="1929"/>
      <c r="AU4" s="1929"/>
      <c r="AV4" s="1929"/>
      <c r="AW4" s="1929"/>
      <c r="AX4" s="1455"/>
    </row>
    <row r="5" spans="1:54" ht="14.25" customHeight="1">
      <c r="A5" s="1472"/>
      <c r="B5" s="1472"/>
      <c r="C5" s="1472"/>
      <c r="D5" s="1472"/>
      <c r="E5" s="1472"/>
      <c r="F5" s="1472"/>
      <c r="G5" s="1472"/>
      <c r="H5" s="1458"/>
      <c r="I5" s="2828"/>
      <c r="J5" s="1459"/>
      <c r="K5" s="2820"/>
      <c r="L5" s="2821"/>
      <c r="M5" s="2821"/>
      <c r="N5" s="2821"/>
      <c r="O5" s="2821"/>
      <c r="P5" s="2821"/>
      <c r="Q5" s="2822"/>
      <c r="R5" s="1455"/>
      <c r="S5" s="1942"/>
      <c r="U5" s="429"/>
      <c r="V5" s="1465" t="s">
        <v>1261</v>
      </c>
      <c r="W5" s="1466">
        <v>6.7</v>
      </c>
      <c r="X5" s="1275">
        <v>9.1</v>
      </c>
      <c r="Y5" s="1466">
        <v>11.3</v>
      </c>
      <c r="Z5" s="1466">
        <v>13.4</v>
      </c>
      <c r="AA5" s="1466">
        <v>13.4</v>
      </c>
      <c r="AB5" s="953">
        <v>67</v>
      </c>
      <c r="AC5" s="953"/>
      <c r="AD5" s="1466">
        <v>4.5</v>
      </c>
      <c r="AE5" s="1275">
        <v>6</v>
      </c>
      <c r="AF5" s="1466">
        <v>7.5</v>
      </c>
      <c r="AG5" s="1466">
        <v>9</v>
      </c>
      <c r="AH5" s="1466">
        <v>8.99</v>
      </c>
      <c r="AI5" s="1929"/>
      <c r="AJ5" s="1929"/>
      <c r="AK5" s="1962" t="s">
        <v>2550</v>
      </c>
      <c r="AL5" s="1964">
        <v>55</v>
      </c>
      <c r="AM5" s="1965">
        <v>70</v>
      </c>
      <c r="AN5" s="1965">
        <v>80</v>
      </c>
      <c r="AO5" s="1965">
        <v>90</v>
      </c>
      <c r="AP5" s="1965">
        <v>90</v>
      </c>
      <c r="AQ5" s="1929"/>
      <c r="AR5" s="1929"/>
      <c r="AS5" s="1929"/>
      <c r="AT5" s="1929"/>
      <c r="AU5" s="1929"/>
      <c r="AV5" s="1929"/>
      <c r="AW5" s="1929"/>
      <c r="AX5" s="1455"/>
    </row>
    <row r="6" spans="1:54" ht="24.75" customHeight="1">
      <c r="A6" s="1457"/>
      <c r="B6" s="1473" t="s">
        <v>1469</v>
      </c>
      <c r="C6" s="1463" t="s">
        <v>1470</v>
      </c>
      <c r="D6" s="1474" t="s">
        <v>1471</v>
      </c>
      <c r="E6" s="1475" t="s">
        <v>1472</v>
      </c>
      <c r="F6" s="1476" t="s">
        <v>1473</v>
      </c>
      <c r="G6" s="1921"/>
      <c r="H6" s="1458"/>
      <c r="I6" s="2828"/>
      <c r="J6" s="1459"/>
      <c r="K6" s="2823"/>
      <c r="L6" s="2824"/>
      <c r="M6" s="2824"/>
      <c r="N6" s="2824"/>
      <c r="O6" s="2824"/>
      <c r="P6" s="2824"/>
      <c r="Q6" s="2825"/>
      <c r="R6" s="1455"/>
      <c r="S6" s="1942"/>
      <c r="U6" s="429"/>
      <c r="V6" s="1465" t="s">
        <v>343</v>
      </c>
      <c r="W6" s="1466">
        <v>6.3</v>
      </c>
      <c r="X6" s="1275">
        <v>8.4</v>
      </c>
      <c r="Y6" s="1466">
        <v>10.5</v>
      </c>
      <c r="Z6" s="1466">
        <v>12.5</v>
      </c>
      <c r="AA6" s="1466">
        <v>12.5</v>
      </c>
      <c r="AB6" s="953">
        <v>72</v>
      </c>
      <c r="AC6" s="953"/>
      <c r="AD6" s="1466">
        <v>4.5</v>
      </c>
      <c r="AE6" s="1275">
        <v>6</v>
      </c>
      <c r="AF6" s="1466">
        <v>7.5</v>
      </c>
      <c r="AG6" s="1466">
        <v>9</v>
      </c>
      <c r="AH6" s="1466">
        <v>8.99</v>
      </c>
      <c r="AI6" s="1929"/>
      <c r="AJ6" s="1929"/>
      <c r="AK6" s="1962" t="s">
        <v>2551</v>
      </c>
      <c r="AL6" s="1964">
        <v>11</v>
      </c>
      <c r="AM6" s="1965">
        <v>13.8</v>
      </c>
      <c r="AN6" s="1965">
        <v>15.7</v>
      </c>
      <c r="AO6" s="1965">
        <v>17.600000000000001</v>
      </c>
      <c r="AP6" s="1965">
        <v>17.600000000000001</v>
      </c>
      <c r="AQ6" s="1929"/>
      <c r="AR6" s="1929"/>
      <c r="AS6" s="1929"/>
      <c r="AT6" s="1929"/>
      <c r="AU6" s="1929"/>
      <c r="AV6" s="1929"/>
      <c r="AW6" s="1929"/>
      <c r="AX6" s="1455"/>
    </row>
    <row r="7" spans="1:54" ht="18" customHeight="1">
      <c r="A7" s="1457"/>
      <c r="B7" s="1477"/>
      <c r="C7" s="1478">
        <f>_xlfn.IFNA(VLOOKUP(B7,'Ertragsschätzung m3'!$S$23:$T$47,2,"falsch"),"0")</f>
        <v>0</v>
      </c>
      <c r="D7" s="1479"/>
      <c r="E7" s="1480"/>
      <c r="F7" s="1481">
        <f>IF(ISBLANK(D7),C7*E7,D7*E7)</f>
        <v>0</v>
      </c>
      <c r="G7" s="1922"/>
      <c r="H7" s="1458"/>
      <c r="I7" s="2828"/>
      <c r="J7" s="1459"/>
      <c r="K7" s="1459"/>
      <c r="L7" s="1459"/>
      <c r="M7" s="1459"/>
      <c r="N7" s="1459"/>
      <c r="O7" s="1459"/>
      <c r="P7" s="1459"/>
      <c r="Q7" s="1459"/>
      <c r="R7" s="1455"/>
      <c r="S7" s="1942"/>
      <c r="U7" s="429"/>
      <c r="V7" s="1482" t="s">
        <v>1475</v>
      </c>
      <c r="W7" s="1483">
        <v>60</v>
      </c>
      <c r="X7" s="1483">
        <v>80</v>
      </c>
      <c r="Y7" s="1483">
        <v>100</v>
      </c>
      <c r="Z7" s="1483">
        <v>120</v>
      </c>
      <c r="AA7" s="1483">
        <v>120</v>
      </c>
      <c r="AB7" s="1483">
        <v>34</v>
      </c>
      <c r="AC7" s="1483"/>
      <c r="AD7" s="1484"/>
      <c r="AE7" s="1484"/>
      <c r="AF7" s="1484"/>
      <c r="AG7" s="1484"/>
      <c r="AH7" s="1485"/>
      <c r="AI7" s="1930"/>
      <c r="AJ7" s="1930"/>
      <c r="AK7" s="1963" t="s">
        <v>2506</v>
      </c>
      <c r="AL7" s="1964">
        <v>10.3</v>
      </c>
      <c r="AM7" s="1965">
        <v>12.8</v>
      </c>
      <c r="AN7" s="1965">
        <v>14.7</v>
      </c>
      <c r="AO7" s="1965">
        <v>16.399999999999999</v>
      </c>
      <c r="AP7" s="1965">
        <v>16.399999999999999</v>
      </c>
      <c r="AQ7" s="1930"/>
      <c r="AR7" s="1930"/>
      <c r="AS7" s="1930"/>
      <c r="AT7" s="1930"/>
      <c r="AU7" s="1930"/>
      <c r="AV7" s="1930"/>
      <c r="AW7" s="1930"/>
      <c r="AX7" s="1455"/>
    </row>
    <row r="8" spans="1:54" ht="18" customHeight="1">
      <c r="A8" s="1457"/>
      <c r="B8" s="1477"/>
      <c r="C8" s="1478">
        <f>_xlfn.IFNA(VLOOKUP(B8,'Ertragsschätzung m3'!$S$23:$T$47,2,"falsch"),"0")</f>
        <v>0</v>
      </c>
      <c r="D8" s="1479"/>
      <c r="E8" s="1480"/>
      <c r="F8" s="1481">
        <f>IF(ISBLANK(D8),C8*E8,D8*E8)</f>
        <v>0</v>
      </c>
      <c r="G8" s="1922"/>
      <c r="H8" s="1458"/>
      <c r="I8" s="2828"/>
      <c r="J8" s="1459"/>
      <c r="K8" s="2800" t="s">
        <v>1474</v>
      </c>
      <c r="L8" s="2800"/>
      <c r="M8" s="2800"/>
      <c r="N8" s="2800"/>
      <c r="O8" s="2800"/>
      <c r="P8" s="2800"/>
      <c r="Q8" s="2800"/>
      <c r="R8" s="1455"/>
      <c r="S8" s="1942"/>
      <c r="U8" s="429"/>
      <c r="V8" s="1465" t="s">
        <v>1398</v>
      </c>
      <c r="W8" s="1466">
        <v>4.9000000000000004</v>
      </c>
      <c r="X8" s="1275">
        <v>7.7</v>
      </c>
      <c r="Y8" s="1466">
        <v>9.8000000000000007</v>
      </c>
      <c r="Z8" s="1466">
        <v>11.8</v>
      </c>
      <c r="AA8" s="1466">
        <v>11.8</v>
      </c>
      <c r="AB8" s="953">
        <v>72</v>
      </c>
      <c r="AC8" s="953"/>
      <c r="AD8" s="1466">
        <v>3.5</v>
      </c>
      <c r="AE8" s="1275">
        <v>5.5</v>
      </c>
      <c r="AF8" s="1466">
        <v>7</v>
      </c>
      <c r="AG8" s="1466">
        <v>8.5</v>
      </c>
      <c r="AH8" s="1486">
        <v>8.49</v>
      </c>
      <c r="AI8" s="1931"/>
      <c r="AJ8" s="1931"/>
      <c r="AK8" s="1963" t="s">
        <v>2420</v>
      </c>
      <c r="AL8" s="1964">
        <v>9.1999999999999993</v>
      </c>
      <c r="AM8" s="1965">
        <v>11.5</v>
      </c>
      <c r="AN8" s="1965">
        <v>13.1</v>
      </c>
      <c r="AO8" s="1965">
        <v>14.6</v>
      </c>
      <c r="AP8" s="1965">
        <v>14.6</v>
      </c>
      <c r="AQ8" s="1931"/>
      <c r="AR8" s="1931"/>
      <c r="AS8" s="1931"/>
      <c r="AT8" s="1931"/>
      <c r="AU8" s="1931"/>
      <c r="AV8" s="1931"/>
      <c r="AW8" s="1931"/>
      <c r="AX8" s="1455"/>
    </row>
    <row r="9" spans="1:54" ht="18" customHeight="1">
      <c r="A9" s="1457"/>
      <c r="B9" s="1477"/>
      <c r="C9" s="1478">
        <f>_xlfn.IFNA(VLOOKUP(B9,'Ertragsschätzung m3'!$S$23:$T$47,2,"falsch"),"0")</f>
        <v>0</v>
      </c>
      <c r="D9" s="1479"/>
      <c r="E9" s="1480"/>
      <c r="F9" s="1481">
        <f>IF(ISBLANK(D9),C9*E9,D9*E9)</f>
        <v>0</v>
      </c>
      <c r="G9" s="1922"/>
      <c r="H9" s="1458"/>
      <c r="I9" s="2828"/>
      <c r="J9" s="1459"/>
      <c r="K9" s="2801" t="s">
        <v>1568</v>
      </c>
      <c r="L9" s="2802"/>
      <c r="M9" s="2802"/>
      <c r="N9" s="2802"/>
      <c r="O9" s="2802"/>
      <c r="P9" s="2802"/>
      <c r="Q9" s="2803"/>
      <c r="R9" s="1455"/>
      <c r="S9" s="1942"/>
      <c r="U9" s="429"/>
      <c r="V9" s="1465" t="s">
        <v>1476</v>
      </c>
      <c r="W9" s="1466">
        <v>7.1</v>
      </c>
      <c r="X9" s="1275">
        <v>10.3</v>
      </c>
      <c r="Y9" s="1466">
        <v>13.4</v>
      </c>
      <c r="Z9" s="1466">
        <v>16.3</v>
      </c>
      <c r="AA9" s="1466">
        <v>16.3</v>
      </c>
      <c r="AB9" s="953">
        <v>49</v>
      </c>
      <c r="AC9" s="953"/>
      <c r="AD9" s="1466">
        <v>3.5</v>
      </c>
      <c r="AE9" s="1275">
        <v>5</v>
      </c>
      <c r="AF9" s="1466">
        <v>6.5</v>
      </c>
      <c r="AG9" s="1466">
        <v>8</v>
      </c>
      <c r="AH9" s="1486">
        <v>7.99</v>
      </c>
      <c r="AI9" s="1931"/>
      <c r="AJ9" s="1931"/>
      <c r="AK9" s="1963" t="s">
        <v>2423</v>
      </c>
      <c r="AL9" s="1964">
        <v>8.6999999999999993</v>
      </c>
      <c r="AM9" s="1965">
        <v>10.9</v>
      </c>
      <c r="AN9" s="1965">
        <v>12.4</v>
      </c>
      <c r="AO9" s="1965">
        <v>13.9</v>
      </c>
      <c r="AP9" s="1965">
        <v>13.9</v>
      </c>
      <c r="AQ9" s="1931"/>
      <c r="AR9" s="1931"/>
      <c r="AS9" s="1931"/>
      <c r="AT9" s="1931"/>
      <c r="AU9" s="1931"/>
      <c r="AV9" s="1931"/>
      <c r="AW9" s="1931"/>
      <c r="AX9" s="1455"/>
    </row>
    <row r="10" spans="1:54" ht="18" customHeight="1">
      <c r="A10" s="1457"/>
      <c r="B10" s="1477"/>
      <c r="C10" s="1478">
        <f>_xlfn.IFNA(VLOOKUP(B10,'Ertragsschätzung m3'!$S$23:$T$47,2,"falsch"),"0")</f>
        <v>0</v>
      </c>
      <c r="D10" s="1479"/>
      <c r="E10" s="1480"/>
      <c r="F10" s="1481">
        <f>IF(ISBLANK(D10),C10*E10,D10*E10)</f>
        <v>0</v>
      </c>
      <c r="G10" s="1922"/>
      <c r="H10" s="1458"/>
      <c r="I10" s="2828"/>
      <c r="J10" s="1459"/>
      <c r="K10" s="2804"/>
      <c r="L10" s="2805"/>
      <c r="M10" s="2805"/>
      <c r="N10" s="2805"/>
      <c r="O10" s="2805"/>
      <c r="P10" s="2805"/>
      <c r="Q10" s="2806"/>
      <c r="R10" s="1455"/>
      <c r="S10" s="1942"/>
      <c r="U10" s="429"/>
      <c r="V10" s="1465" t="s">
        <v>1268</v>
      </c>
      <c r="W10" s="1466">
        <v>4.5</v>
      </c>
      <c r="X10" s="1275">
        <v>6.8</v>
      </c>
      <c r="Y10" s="1466">
        <v>9.1</v>
      </c>
      <c r="Z10" s="1466">
        <v>11.2</v>
      </c>
      <c r="AA10" s="1466">
        <v>11.2</v>
      </c>
      <c r="AB10" s="953">
        <v>67</v>
      </c>
      <c r="AC10" s="953"/>
      <c r="AD10" s="1466">
        <v>3.5</v>
      </c>
      <c r="AE10" s="1275">
        <v>5.5</v>
      </c>
      <c r="AF10" s="1466">
        <v>7</v>
      </c>
      <c r="AG10" s="1466">
        <v>8.5</v>
      </c>
      <c r="AH10" s="1486">
        <v>7.49</v>
      </c>
      <c r="AI10" s="1931"/>
      <c r="AJ10" s="1931"/>
      <c r="AK10" s="1962" t="s">
        <v>1999</v>
      </c>
      <c r="AL10" s="1964">
        <v>180</v>
      </c>
      <c r="AM10" s="1965">
        <v>225</v>
      </c>
      <c r="AN10" s="1965">
        <v>255</v>
      </c>
      <c r="AO10" s="1965">
        <v>275</v>
      </c>
      <c r="AP10" s="1965">
        <v>275</v>
      </c>
      <c r="AQ10" s="1931"/>
      <c r="AR10" s="1931"/>
      <c r="AS10" s="1931"/>
      <c r="AT10" s="1931"/>
      <c r="AU10" s="1931"/>
      <c r="AV10" s="1931"/>
      <c r="AW10" s="1931"/>
      <c r="AX10" s="1455"/>
    </row>
    <row r="11" spans="1:54" ht="18" customHeight="1">
      <c r="A11" s="1457"/>
      <c r="B11" s="1477"/>
      <c r="C11" s="1478">
        <f>_xlfn.IFNA(VLOOKUP(B11,'Ertragsschätzung m3'!$S$23:$T$47,2,"falsch"),"0")</f>
        <v>0</v>
      </c>
      <c r="D11" s="1479"/>
      <c r="E11" s="1480"/>
      <c r="F11" s="1481">
        <f>IF(ISBLANK(D11),C11*E11,D11*E11)</f>
        <v>0</v>
      </c>
      <c r="G11" s="1922"/>
      <c r="H11" s="1458"/>
      <c r="I11" s="2828"/>
      <c r="J11" s="1459"/>
      <c r="K11" s="2804"/>
      <c r="L11" s="2805"/>
      <c r="M11" s="2805"/>
      <c r="N11" s="2805"/>
      <c r="O11" s="2805"/>
      <c r="P11" s="2805"/>
      <c r="Q11" s="2806"/>
      <c r="R11" s="1455"/>
      <c r="S11" s="1942"/>
      <c r="U11" s="429"/>
      <c r="V11" s="1492" t="s">
        <v>1487</v>
      </c>
      <c r="W11" s="1493">
        <v>8</v>
      </c>
      <c r="X11" s="1494">
        <v>10</v>
      </c>
      <c r="Y11" s="1493">
        <v>11.5</v>
      </c>
      <c r="Z11" s="1493">
        <v>13</v>
      </c>
      <c r="AA11" s="1493">
        <v>13</v>
      </c>
      <c r="AB11" s="1495">
        <v>98</v>
      </c>
      <c r="AC11" s="1495"/>
      <c r="AD11" s="1493"/>
      <c r="AE11" s="1493"/>
      <c r="AF11" s="1493"/>
      <c r="AG11" s="1493"/>
      <c r="AH11" s="1496"/>
      <c r="AI11" s="1932"/>
      <c r="AJ11" s="1932"/>
      <c r="AK11" s="1963" t="s">
        <v>2000</v>
      </c>
      <c r="AL11" s="1964">
        <v>60</v>
      </c>
      <c r="AM11" s="1965">
        <v>80</v>
      </c>
      <c r="AN11" s="1965">
        <v>100</v>
      </c>
      <c r="AO11" s="1965">
        <v>120</v>
      </c>
      <c r="AP11" s="1965">
        <v>120</v>
      </c>
      <c r="AQ11" s="1932"/>
      <c r="AR11" s="1932"/>
      <c r="AS11" s="1932"/>
      <c r="AT11" s="1932"/>
      <c r="AU11" s="1932"/>
      <c r="AV11" s="1932"/>
      <c r="AW11" s="1932"/>
      <c r="AX11" s="1455"/>
    </row>
    <row r="12" spans="1:54" ht="18" customHeight="1">
      <c r="A12" s="1457"/>
      <c r="B12" s="1455"/>
      <c r="C12" s="1455"/>
      <c r="D12" s="1455"/>
      <c r="E12" s="1455"/>
      <c r="F12" s="1455"/>
      <c r="G12" s="1455"/>
      <c r="H12" s="1497"/>
      <c r="I12" s="2828"/>
      <c r="J12" s="1459"/>
      <c r="K12" s="1487" t="s">
        <v>1477</v>
      </c>
      <c r="L12" s="2816" t="s">
        <v>1478</v>
      </c>
      <c r="M12" s="2816"/>
      <c r="N12" s="2816"/>
      <c r="O12" s="2815" t="s">
        <v>1479</v>
      </c>
      <c r="P12" s="2815"/>
      <c r="Q12" s="1488"/>
      <c r="R12" s="1455"/>
      <c r="S12" s="1942"/>
      <c r="U12" s="429"/>
      <c r="V12" s="1492" t="s">
        <v>1486</v>
      </c>
      <c r="W12" s="1493">
        <v>9.5</v>
      </c>
      <c r="X12" s="1494">
        <v>12</v>
      </c>
      <c r="Y12" s="1493">
        <v>14</v>
      </c>
      <c r="Z12" s="1493">
        <v>16</v>
      </c>
      <c r="AA12" s="1493">
        <v>16</v>
      </c>
      <c r="AB12" s="1495">
        <v>83</v>
      </c>
      <c r="AC12" s="1495"/>
      <c r="AD12" s="1496"/>
      <c r="AE12" s="1496"/>
      <c r="AF12" s="1496"/>
      <c r="AG12" s="1496"/>
      <c r="AH12" s="1496"/>
      <c r="AI12" s="1932"/>
      <c r="AJ12" s="1932"/>
      <c r="AK12" s="1963" t="s">
        <v>1733</v>
      </c>
      <c r="AL12" s="1964">
        <v>6.9</v>
      </c>
      <c r="AM12" s="1965">
        <v>8.4</v>
      </c>
      <c r="AN12" s="1965">
        <v>10.5</v>
      </c>
      <c r="AO12" s="1965">
        <v>12.5</v>
      </c>
      <c r="AP12" s="1965">
        <v>12.5</v>
      </c>
      <c r="AQ12" s="1932"/>
      <c r="AR12" s="1932"/>
      <c r="AS12" s="1932"/>
      <c r="AT12" s="1932"/>
      <c r="AU12" s="1932"/>
      <c r="AV12" s="1932"/>
      <c r="AW12" s="1932"/>
      <c r="AX12" s="1455"/>
    </row>
    <row r="13" spans="1:54" ht="40.5" customHeight="1">
      <c r="A13" s="1457"/>
      <c r="B13" s="1461" t="s">
        <v>1491</v>
      </c>
      <c r="C13" s="1462" t="s">
        <v>1464</v>
      </c>
      <c r="D13" s="1463" t="s">
        <v>1492</v>
      </c>
      <c r="E13" s="1464" t="s">
        <v>1466</v>
      </c>
      <c r="F13" s="1462" t="s">
        <v>1467</v>
      </c>
      <c r="G13" s="1919" t="s">
        <v>2413</v>
      </c>
      <c r="H13" s="1462" t="s">
        <v>2505</v>
      </c>
      <c r="I13" s="2828"/>
      <c r="J13" s="1459"/>
      <c r="K13" s="1487" t="s">
        <v>1480</v>
      </c>
      <c r="L13" s="1489" t="s">
        <v>1481</v>
      </c>
      <c r="M13" s="1490" t="s">
        <v>1482</v>
      </c>
      <c r="N13" s="1491" t="s">
        <v>1483</v>
      </c>
      <c r="O13" s="2807" t="s">
        <v>1484</v>
      </c>
      <c r="P13" s="2808"/>
      <c r="Q13" s="2813" t="s">
        <v>1485</v>
      </c>
      <c r="R13" s="1455"/>
      <c r="S13" s="1942"/>
      <c r="V13" s="1492" t="s">
        <v>1495</v>
      </c>
      <c r="W13" s="1493">
        <v>110</v>
      </c>
      <c r="X13" s="1494">
        <v>140</v>
      </c>
      <c r="Y13" s="1493">
        <v>160</v>
      </c>
      <c r="Z13" s="1493">
        <v>180</v>
      </c>
      <c r="AA13" s="1493">
        <v>180</v>
      </c>
      <c r="AB13" s="1495">
        <v>36</v>
      </c>
      <c r="AK13" s="1963" t="s">
        <v>2516</v>
      </c>
      <c r="AL13" s="1964">
        <v>6.3</v>
      </c>
      <c r="AM13" s="1965">
        <v>7.7</v>
      </c>
      <c r="AN13" s="1965">
        <v>9.6999999999999993</v>
      </c>
      <c r="AO13" s="1965">
        <v>11.8</v>
      </c>
      <c r="AP13" s="1965">
        <v>11.8</v>
      </c>
      <c r="AX13" s="1455"/>
    </row>
    <row r="14" spans="1:54" ht="30" customHeight="1">
      <c r="A14" s="1457"/>
      <c r="B14" s="2303"/>
      <c r="C14" s="1467"/>
      <c r="D14" s="1468"/>
      <c r="E14" s="1469">
        <f>SUM(F17:F21)</f>
        <v>0</v>
      </c>
      <c r="F14" s="1470" t="str">
        <f>IF(ISNUMBER(C14),E14/C14,"")</f>
        <v/>
      </c>
      <c r="G14" s="1920" t="str">
        <f>IF(AND(ISNUMBER(C14),ISNUMBER(D14)),(F14*(D14*10))/1000,"")</f>
        <v/>
      </c>
      <c r="H14" s="1471">
        <f>IF(ISBLANK(C14),0,IF(F14&lt;VLOOKUP(B14,$AK$4:$AP$34,2,FALSE),$AL$1,IF(F14&lt;VLOOKUP(B14,$AK$4:$AP$34,3,FALSE),$AM$1,IF(F14&lt;VLOOKUP(B14,$AK$4:$AP$34,4,FALSE),$AN$1,IF(F14&lt;=VLOOKUP(B14,$AK$4:$AP$34,5,FALSE),$AO$1,IF(F14&gt;VLOOKUP(B14,$AK$4:$AP$34,6,FALSE),$AP$1,))))))</f>
        <v>0</v>
      </c>
      <c r="I14" s="2828"/>
      <c r="J14" s="1459"/>
      <c r="K14" s="1487" t="s">
        <v>1488</v>
      </c>
      <c r="L14" s="1489" t="s">
        <v>1489</v>
      </c>
      <c r="M14" s="1490" t="s">
        <v>1490</v>
      </c>
      <c r="N14" s="1498" t="s">
        <v>1483</v>
      </c>
      <c r="O14" s="2809"/>
      <c r="P14" s="2810"/>
      <c r="Q14" s="2813"/>
      <c r="R14" s="1455"/>
      <c r="S14" s="1942"/>
      <c r="V14" s="1492" t="s">
        <v>1496</v>
      </c>
      <c r="W14" s="1493">
        <v>55</v>
      </c>
      <c r="X14" s="1494">
        <v>70</v>
      </c>
      <c r="Y14" s="1493">
        <v>80</v>
      </c>
      <c r="Z14" s="1493">
        <v>90</v>
      </c>
      <c r="AA14" s="1493">
        <v>90</v>
      </c>
      <c r="AB14" s="1495">
        <v>72</v>
      </c>
      <c r="AC14" s="1495"/>
      <c r="AD14" s="1496"/>
      <c r="AE14" s="1496"/>
      <c r="AF14" s="1496"/>
      <c r="AG14" s="1496"/>
      <c r="AH14" s="1496"/>
      <c r="AI14" s="1932"/>
      <c r="AJ14" s="1932"/>
      <c r="AK14" s="1963" t="s">
        <v>2517</v>
      </c>
      <c r="AL14" s="1964">
        <v>6.4</v>
      </c>
      <c r="AM14" s="1965">
        <v>8</v>
      </c>
      <c r="AN14" s="1965">
        <v>10.1</v>
      </c>
      <c r="AO14" s="1965">
        <v>12.1</v>
      </c>
      <c r="AP14" s="1965">
        <v>12.1</v>
      </c>
      <c r="AQ14" s="1932"/>
      <c r="AR14" s="1932"/>
      <c r="AS14" s="1932"/>
      <c r="AT14" s="1932"/>
      <c r="AU14" s="1932"/>
      <c r="AV14" s="1932"/>
      <c r="AW14" s="1932"/>
      <c r="AX14" s="1455"/>
    </row>
    <row r="15" spans="1:54" ht="14.25" customHeight="1">
      <c r="A15" s="1457"/>
      <c r="B15" s="1472"/>
      <c r="C15" s="1472"/>
      <c r="D15" s="1472"/>
      <c r="E15" s="1472"/>
      <c r="F15" s="1472"/>
      <c r="G15" s="1472"/>
      <c r="H15" s="1458"/>
      <c r="I15" s="2828"/>
      <c r="J15" s="1459"/>
      <c r="K15" s="1487" t="s">
        <v>1493</v>
      </c>
      <c r="L15" s="1489" t="s">
        <v>1494</v>
      </c>
      <c r="M15" s="1490"/>
      <c r="N15" s="1498" t="s">
        <v>1483</v>
      </c>
      <c r="O15" s="2811"/>
      <c r="P15" s="2812"/>
      <c r="Q15" s="2814"/>
      <c r="R15" s="1455"/>
      <c r="S15" s="1942"/>
      <c r="V15" s="1492" t="s">
        <v>1497</v>
      </c>
      <c r="W15" s="1493">
        <v>180</v>
      </c>
      <c r="X15" s="1494">
        <v>225</v>
      </c>
      <c r="Y15" s="1493">
        <v>255</v>
      </c>
      <c r="Z15" s="1493">
        <v>285</v>
      </c>
      <c r="AA15" s="1493">
        <v>285</v>
      </c>
      <c r="AB15" s="1495">
        <v>25</v>
      </c>
      <c r="AC15" s="1495"/>
      <c r="AD15" s="1496"/>
      <c r="AE15" s="1496"/>
      <c r="AF15" s="1496"/>
      <c r="AG15" s="1496"/>
      <c r="AH15" s="1496"/>
      <c r="AI15" s="1932"/>
      <c r="AJ15" s="1932"/>
      <c r="AK15" s="1963" t="s">
        <v>2518</v>
      </c>
      <c r="AL15" s="1964">
        <v>5</v>
      </c>
      <c r="AM15" s="1965">
        <v>6.1</v>
      </c>
      <c r="AN15" s="1965">
        <v>9.1</v>
      </c>
      <c r="AO15" s="1965">
        <v>11.1</v>
      </c>
      <c r="AP15" s="1965">
        <v>11.1</v>
      </c>
      <c r="AQ15" s="1932"/>
      <c r="AR15" s="1932"/>
      <c r="AS15" s="1932"/>
      <c r="AT15" s="1932"/>
      <c r="AU15" s="1932"/>
      <c r="AV15" s="1932"/>
      <c r="AW15" s="1932"/>
      <c r="AX15" s="1455"/>
    </row>
    <row r="16" spans="1:54" ht="24.75" customHeight="1">
      <c r="A16" s="1457"/>
      <c r="B16" s="1473" t="s">
        <v>1469</v>
      </c>
      <c r="C16" s="1463" t="s">
        <v>1470</v>
      </c>
      <c r="D16" s="1474" t="s">
        <v>1471</v>
      </c>
      <c r="E16" s="1475" t="s">
        <v>1498</v>
      </c>
      <c r="F16" s="1476" t="s">
        <v>1473</v>
      </c>
      <c r="G16" s="1921"/>
      <c r="H16" s="1458"/>
      <c r="I16" s="2828"/>
      <c r="J16" s="1459"/>
      <c r="K16" s="1499"/>
      <c r="L16" s="1500"/>
      <c r="M16" s="1501"/>
      <c r="N16" s="1455"/>
      <c r="O16" s="1455"/>
      <c r="P16" s="1455"/>
      <c r="Q16" s="1455"/>
      <c r="R16" s="1455"/>
      <c r="S16" s="1946"/>
      <c r="W16" s="1466"/>
      <c r="X16" s="1275"/>
      <c r="Y16" s="1466"/>
      <c r="Z16" s="1466"/>
      <c r="AA16" s="1466"/>
      <c r="AD16" s="1466"/>
      <c r="AE16" s="1275"/>
      <c r="AF16" s="1466"/>
      <c r="AG16" s="1466"/>
      <c r="AH16" s="1466"/>
      <c r="AI16" s="1929"/>
      <c r="AJ16" s="1929"/>
      <c r="AK16" s="1963" t="s">
        <v>2519</v>
      </c>
      <c r="AL16" s="1964">
        <v>5.0999999999999996</v>
      </c>
      <c r="AM16" s="1965">
        <v>7.2</v>
      </c>
      <c r="AN16" s="1965">
        <v>9.4</v>
      </c>
      <c r="AO16" s="1965">
        <v>11.4</v>
      </c>
      <c r="AP16" s="1965">
        <v>11.4</v>
      </c>
      <c r="AQ16" s="1929"/>
      <c r="AR16" s="1929"/>
      <c r="AS16" s="1929"/>
      <c r="AT16" s="1929"/>
      <c r="AU16" s="1929"/>
      <c r="AV16" s="1929"/>
      <c r="AW16" s="1929"/>
      <c r="AX16" s="1455"/>
    </row>
    <row r="17" spans="1:53" ht="18" customHeight="1">
      <c r="A17" s="1457"/>
      <c r="B17" s="1477"/>
      <c r="C17" s="1502">
        <f>_xlfn.IFNA(VLOOKUP(B17,'Ertragsschätzung m3'!$S$23:$T$47,2,"falsch"),"0")</f>
        <v>0</v>
      </c>
      <c r="D17" s="1479"/>
      <c r="E17" s="1480"/>
      <c r="F17" s="1503">
        <f>IF(ISBLANK(D17),C17*E17,D17*E17)</f>
        <v>0</v>
      </c>
      <c r="G17" s="1923"/>
      <c r="H17" s="1458"/>
      <c r="I17" s="2828"/>
      <c r="J17" s="1459"/>
      <c r="K17" s="1547" t="s">
        <v>2520</v>
      </c>
      <c r="L17" s="1455"/>
      <c r="M17" s="1455"/>
      <c r="N17" s="1455"/>
      <c r="O17" s="1455"/>
      <c r="P17" s="1455"/>
      <c r="Q17" s="1455"/>
      <c r="R17" s="1455"/>
      <c r="S17" s="1946"/>
      <c r="AK17" s="1963" t="s">
        <v>2521</v>
      </c>
      <c r="AL17" s="1964">
        <v>8.9</v>
      </c>
      <c r="AM17" s="1965">
        <v>13.9</v>
      </c>
      <c r="AN17" s="1965">
        <v>16.399999999999999</v>
      </c>
      <c r="AO17" s="1965">
        <v>18.8</v>
      </c>
      <c r="AP17" s="1965">
        <v>18.8</v>
      </c>
      <c r="AX17" s="1455"/>
    </row>
    <row r="18" spans="1:53" ht="18" customHeight="1">
      <c r="A18" s="1457"/>
      <c r="B18" s="1477"/>
      <c r="C18" s="1502">
        <f>_xlfn.IFNA(VLOOKUP(B18,'Ertragsschätzung m3'!$S$23:$T$47,2,"falsch"),"0")</f>
        <v>0</v>
      </c>
      <c r="D18" s="1479"/>
      <c r="E18" s="1480"/>
      <c r="F18" s="1503">
        <f>IF(ISBLANK(D18),C18*E18,D18*E18)</f>
        <v>0</v>
      </c>
      <c r="G18" s="1923"/>
      <c r="H18" s="1458"/>
      <c r="I18" s="2828"/>
      <c r="J18" s="1459"/>
      <c r="K18" s="1934" t="s">
        <v>1239</v>
      </c>
      <c r="L18" s="1935"/>
      <c r="M18" s="1546" t="s">
        <v>1245</v>
      </c>
      <c r="N18" s="1546" t="s">
        <v>608</v>
      </c>
      <c r="O18" s="1546" t="s">
        <v>604</v>
      </c>
      <c r="P18" s="1546" t="s">
        <v>1246</v>
      </c>
      <c r="Q18" s="1546" t="s">
        <v>1247</v>
      </c>
      <c r="R18" s="1943" t="s">
        <v>2549</v>
      </c>
      <c r="S18" s="1946"/>
      <c r="V18" s="1504"/>
      <c r="W18" s="1505"/>
      <c r="X18" s="1505"/>
      <c r="Y18" s="1505"/>
      <c r="Z18" s="1505"/>
      <c r="AA18" s="1506"/>
      <c r="AB18" s="1505"/>
      <c r="AC18" s="1505"/>
      <c r="AK18" s="1963" t="s">
        <v>2507</v>
      </c>
      <c r="AL18" s="1964">
        <v>8.6</v>
      </c>
      <c r="AM18" s="1965">
        <v>13.5</v>
      </c>
      <c r="AN18" s="1965">
        <v>16</v>
      </c>
      <c r="AO18" s="1965">
        <v>18.3</v>
      </c>
      <c r="AP18" s="1965">
        <v>18.3</v>
      </c>
      <c r="AX18" s="1455"/>
      <c r="BA18" s="1941"/>
    </row>
    <row r="19" spans="1:53" ht="18" customHeight="1">
      <c r="A19" s="1457"/>
      <c r="B19" s="1477"/>
      <c r="C19" s="1502">
        <f>_xlfn.IFNA(VLOOKUP(B19,'Ertragsschätzung m3'!$S$23:$T$47,2,"falsch"),"0")</f>
        <v>0</v>
      </c>
      <c r="D19" s="1479"/>
      <c r="E19" s="1480"/>
      <c r="F19" s="1503">
        <f>IF(ISBLANK(D19),C19*E19,D19*E19)</f>
        <v>0</v>
      </c>
      <c r="G19" s="1923"/>
      <c r="H19" s="1458"/>
      <c r="I19" s="2828"/>
      <c r="J19" s="1459"/>
      <c r="K19" s="1934" t="s">
        <v>1381</v>
      </c>
      <c r="L19" s="1935"/>
      <c r="M19" s="1545" t="s">
        <v>1528</v>
      </c>
      <c r="N19" s="1545" t="s">
        <v>1528</v>
      </c>
      <c r="O19" s="1545" t="s">
        <v>1528</v>
      </c>
      <c r="P19" s="1545" t="s">
        <v>1528</v>
      </c>
      <c r="Q19" s="1545" t="s">
        <v>1528</v>
      </c>
      <c r="R19" s="1944" t="s">
        <v>1461</v>
      </c>
      <c r="S19" s="1946"/>
      <c r="AC19" s="1505"/>
      <c r="AE19" s="1507"/>
      <c r="AF19" s="1508"/>
      <c r="AG19" s="1507"/>
      <c r="AK19" s="1963" t="s">
        <v>2508</v>
      </c>
      <c r="AL19" s="1964">
        <v>7.3</v>
      </c>
      <c r="AM19" s="1965">
        <v>8.8000000000000007</v>
      </c>
      <c r="AN19" s="1965">
        <v>11</v>
      </c>
      <c r="AO19" s="1965">
        <v>13</v>
      </c>
      <c r="AP19" s="1965">
        <v>13</v>
      </c>
      <c r="AX19" s="1455"/>
      <c r="BA19" s="1941"/>
    </row>
    <row r="20" spans="1:53" ht="18" customHeight="1" thickBot="1">
      <c r="A20" s="1457"/>
      <c r="B20" s="1477"/>
      <c r="C20" s="1502">
        <f>_xlfn.IFNA(VLOOKUP(B20,'Ertragsschätzung m3'!$S$23:$T$47,2,"falsch"),"0")</f>
        <v>0</v>
      </c>
      <c r="D20" s="1479"/>
      <c r="E20" s="1480"/>
      <c r="F20" s="1503">
        <f>IF(ISBLANK(D20),C20*E20,D20*E20)</f>
        <v>0</v>
      </c>
      <c r="G20" s="1923"/>
      <c r="H20" s="1458"/>
      <c r="I20" s="2828"/>
      <c r="J20" s="1459"/>
      <c r="K20" s="2797" t="s">
        <v>1495</v>
      </c>
      <c r="L20" s="2795"/>
      <c r="M20" s="1936" t="s">
        <v>1531</v>
      </c>
      <c r="N20" s="1937" t="s">
        <v>1551</v>
      </c>
      <c r="O20" s="1936" t="s">
        <v>40</v>
      </c>
      <c r="P20" s="1936" t="s">
        <v>1552</v>
      </c>
      <c r="Q20" s="1936" t="s">
        <v>1539</v>
      </c>
      <c r="R20" s="1945" t="s">
        <v>2522</v>
      </c>
      <c r="S20" s="1947"/>
      <c r="AC20" s="1505"/>
      <c r="AF20" s="1508"/>
      <c r="AK20" s="1963" t="s">
        <v>2509</v>
      </c>
      <c r="AL20" s="1964">
        <v>6.8</v>
      </c>
      <c r="AM20" s="1965">
        <v>9.1999999999999993</v>
      </c>
      <c r="AN20" s="1965">
        <v>11.5</v>
      </c>
      <c r="AO20" s="1965">
        <v>13.6</v>
      </c>
      <c r="AP20" s="1965">
        <v>13.6</v>
      </c>
      <c r="AX20" s="1455"/>
      <c r="BA20" s="1941"/>
    </row>
    <row r="21" spans="1:53" ht="18" customHeight="1" thickBot="1">
      <c r="A21" s="1457"/>
      <c r="B21" s="1477"/>
      <c r="C21" s="1502">
        <f>_xlfn.IFNA(VLOOKUP(B21,'Ertragsschätzung m3'!$S$23:$T$47,2,"falsch"),"0")</f>
        <v>0</v>
      </c>
      <c r="D21" s="1479"/>
      <c r="E21" s="1480"/>
      <c r="F21" s="1503">
        <f>IF(ISBLANK(D21),C21*E21,D21*E21)</f>
        <v>0</v>
      </c>
      <c r="G21" s="1923"/>
      <c r="H21" s="1458"/>
      <c r="I21" s="2828"/>
      <c r="J21" s="1459"/>
      <c r="K21" s="2797" t="s">
        <v>2550</v>
      </c>
      <c r="L21" s="2795"/>
      <c r="M21" s="1936" t="s">
        <v>1413</v>
      </c>
      <c r="N21" s="1937" t="s">
        <v>1553</v>
      </c>
      <c r="O21" s="1936" t="s">
        <v>39</v>
      </c>
      <c r="P21" s="1936" t="s">
        <v>1554</v>
      </c>
      <c r="Q21" s="1936" t="s">
        <v>1540</v>
      </c>
      <c r="R21" s="1938" t="s">
        <v>2523</v>
      </c>
      <c r="S21" s="1509" t="s">
        <v>1499</v>
      </c>
      <c r="T21" s="1510" t="s">
        <v>1500</v>
      </c>
      <c r="AC21" s="1505"/>
      <c r="AF21" s="1508"/>
      <c r="AK21" s="1963" t="s">
        <v>2510</v>
      </c>
      <c r="AL21" s="1964">
        <v>5.6</v>
      </c>
      <c r="AM21" s="1965">
        <v>7.9</v>
      </c>
      <c r="AN21" s="1965">
        <v>9.9</v>
      </c>
      <c r="AO21" s="1965">
        <v>12.7</v>
      </c>
      <c r="AP21" s="1965">
        <v>12.7</v>
      </c>
      <c r="AX21" s="1455"/>
      <c r="BA21" s="1941"/>
    </row>
    <row r="22" spans="1:53" ht="14.25" customHeight="1">
      <c r="A22" s="1457"/>
      <c r="B22" s="1455"/>
      <c r="C22" s="1455"/>
      <c r="D22" s="1455"/>
      <c r="E22" s="1455"/>
      <c r="F22" s="1455"/>
      <c r="G22" s="1455"/>
      <c r="H22" s="1497"/>
      <c r="I22" s="2828"/>
      <c r="J22" s="1459"/>
      <c r="K22" s="2797" t="s">
        <v>2551</v>
      </c>
      <c r="L22" s="2795"/>
      <c r="M22" s="1936" t="s">
        <v>590</v>
      </c>
      <c r="N22" s="1937" t="s">
        <v>2414</v>
      </c>
      <c r="O22" s="1936" t="s">
        <v>2415</v>
      </c>
      <c r="P22" s="1936" t="s">
        <v>2416</v>
      </c>
      <c r="Q22" s="1936" t="s">
        <v>1844</v>
      </c>
      <c r="R22" s="1938" t="s">
        <v>2524</v>
      </c>
      <c r="S22" s="1511"/>
      <c r="T22" s="1512"/>
      <c r="AF22" s="1508"/>
      <c r="AK22" s="1963" t="s">
        <v>2511</v>
      </c>
      <c r="AL22" s="1964">
        <v>6</v>
      </c>
      <c r="AM22" s="1965">
        <v>8.3000000000000007</v>
      </c>
      <c r="AN22" s="1965">
        <v>10.5</v>
      </c>
      <c r="AO22" s="1965">
        <v>13.4</v>
      </c>
      <c r="AP22" s="1965">
        <v>13.4</v>
      </c>
      <c r="AX22" s="1455"/>
      <c r="BA22" s="1941"/>
    </row>
    <row r="23" spans="1:53" ht="40.5" customHeight="1">
      <c r="A23" s="1457"/>
      <c r="B23" s="1461" t="s">
        <v>1501</v>
      </c>
      <c r="C23" s="1462" t="s">
        <v>1464</v>
      </c>
      <c r="D23" s="1463" t="s">
        <v>1492</v>
      </c>
      <c r="E23" s="1464" t="s">
        <v>1466</v>
      </c>
      <c r="F23" s="1462" t="s">
        <v>1467</v>
      </c>
      <c r="G23" s="1919" t="s">
        <v>2413</v>
      </c>
      <c r="H23" s="1462" t="s">
        <v>2505</v>
      </c>
      <c r="I23" s="2828"/>
      <c r="J23" s="1459"/>
      <c r="K23" s="2794" t="s">
        <v>2506</v>
      </c>
      <c r="L23" s="2795"/>
      <c r="M23" s="1936" t="s">
        <v>1845</v>
      </c>
      <c r="N23" s="1937" t="s">
        <v>2417</v>
      </c>
      <c r="O23" s="1936" t="s">
        <v>2418</v>
      </c>
      <c r="P23" s="1936" t="s">
        <v>2419</v>
      </c>
      <c r="Q23" s="1936" t="s">
        <v>1849</v>
      </c>
      <c r="R23" s="1938" t="s">
        <v>2526</v>
      </c>
      <c r="S23" s="1511">
        <f>B58</f>
        <v>0</v>
      </c>
      <c r="T23" s="1512">
        <f>H58</f>
        <v>0</v>
      </c>
      <c r="AF23" s="1508"/>
      <c r="AK23" s="1963" t="s">
        <v>2512</v>
      </c>
      <c r="AL23" s="1964">
        <v>7.2</v>
      </c>
      <c r="AM23" s="1965">
        <v>10.3</v>
      </c>
      <c r="AN23" s="1965">
        <v>13.4</v>
      </c>
      <c r="AO23" s="1965">
        <v>16.3</v>
      </c>
      <c r="AP23" s="1965">
        <v>16.3</v>
      </c>
      <c r="AX23" s="1455"/>
      <c r="BA23" s="1941"/>
    </row>
    <row r="24" spans="1:53" ht="30" customHeight="1">
      <c r="A24" s="1457"/>
      <c r="B24" s="2303"/>
      <c r="C24" s="1467"/>
      <c r="D24" s="1468"/>
      <c r="E24" s="1469">
        <f>SUM(F27:F31)</f>
        <v>0</v>
      </c>
      <c r="F24" s="1470" t="str">
        <f>IF(ISNUMBER(C24),E24/C24,"")</f>
        <v/>
      </c>
      <c r="G24" s="1920" t="str">
        <f>IF(AND(ISNUMBER(C24),ISNUMBER(D24)),(F24*(D24*10))/1000,"")</f>
        <v/>
      </c>
      <c r="H24" s="1471">
        <f>IF(ISBLANK(C24),0,IF(F24&lt;VLOOKUP(B24,$AK$4:$AP$34,2,FALSE),$AL$1,IF(F24&lt;VLOOKUP(B24,$AK$4:$AP$34,3,FALSE),$AM$1,IF(F24&lt;VLOOKUP(B24,$AK$4:$AP$34,4,FALSE),$AN$1,IF(F24&lt;=VLOOKUP(B24,$AK$4:$AP$34,5,FALSE),$AO$1,IF(F24&gt;VLOOKUP(B24,$AK$4:$AP$34,6,FALSE),$AP$1,))))))</f>
        <v>0</v>
      </c>
      <c r="I24" s="2828"/>
      <c r="J24" s="1459"/>
      <c r="K24" s="2794" t="s">
        <v>2420</v>
      </c>
      <c r="L24" s="2795"/>
      <c r="M24" s="1936" t="s">
        <v>1850</v>
      </c>
      <c r="N24" s="1937" t="s">
        <v>1851</v>
      </c>
      <c r="O24" s="1936" t="s">
        <v>2421</v>
      </c>
      <c r="P24" s="1936" t="s">
        <v>2422</v>
      </c>
      <c r="Q24" s="1936" t="s">
        <v>1853</v>
      </c>
      <c r="R24" s="1938" t="s">
        <v>2525</v>
      </c>
      <c r="S24" s="1513">
        <f>B59</f>
        <v>0</v>
      </c>
      <c r="T24" s="1512">
        <f>H59</f>
        <v>0</v>
      </c>
      <c r="AK24" s="1963" t="s">
        <v>2513</v>
      </c>
      <c r="AL24" s="1964">
        <v>6.9</v>
      </c>
      <c r="AM24" s="1965">
        <v>9.9</v>
      </c>
      <c r="AN24" s="1965">
        <v>12.9</v>
      </c>
      <c r="AO24" s="1965">
        <v>15.7</v>
      </c>
      <c r="AP24" s="1965">
        <v>15.7</v>
      </c>
      <c r="AX24" s="1455"/>
      <c r="BA24" s="1941"/>
    </row>
    <row r="25" spans="1:53" ht="14.25" customHeight="1">
      <c r="A25" s="1457"/>
      <c r="B25" s="1472"/>
      <c r="C25" s="1472"/>
      <c r="D25" s="1472"/>
      <c r="E25" s="1472"/>
      <c r="F25" s="1472"/>
      <c r="G25" s="1472"/>
      <c r="H25" s="1458"/>
      <c r="I25" s="2828"/>
      <c r="J25" s="1459"/>
      <c r="K25" s="2794" t="s">
        <v>2423</v>
      </c>
      <c r="L25" s="2795"/>
      <c r="M25" s="1936" t="s">
        <v>1854</v>
      </c>
      <c r="N25" s="1937" t="s">
        <v>2424</v>
      </c>
      <c r="O25" s="1936" t="s">
        <v>2425</v>
      </c>
      <c r="P25" s="1936" t="s">
        <v>2426</v>
      </c>
      <c r="Q25" s="1936" t="s">
        <v>1858</v>
      </c>
      <c r="R25" s="1938" t="s">
        <v>2527</v>
      </c>
      <c r="S25" s="1513">
        <f>B60</f>
        <v>0</v>
      </c>
      <c r="T25" s="1512">
        <f>H60</f>
        <v>0</v>
      </c>
      <c r="AK25" s="1963" t="s">
        <v>1717</v>
      </c>
      <c r="AL25" s="1964">
        <v>5.6</v>
      </c>
      <c r="AM25" s="1965">
        <v>7.7</v>
      </c>
      <c r="AN25" s="1965">
        <v>9.8000000000000007</v>
      </c>
      <c r="AO25" s="1965">
        <v>11.8</v>
      </c>
      <c r="AP25" s="1965">
        <v>11.8</v>
      </c>
      <c r="AX25" s="1455"/>
      <c r="BA25" s="1941"/>
    </row>
    <row r="26" spans="1:53" ht="23.25" customHeight="1">
      <c r="A26" s="1457"/>
      <c r="B26" s="1473" t="s">
        <v>1469</v>
      </c>
      <c r="C26" s="1463" t="s">
        <v>1470</v>
      </c>
      <c r="D26" s="1474" t="s">
        <v>1471</v>
      </c>
      <c r="E26" s="1475" t="s">
        <v>1498</v>
      </c>
      <c r="F26" s="1476" t="s">
        <v>1473</v>
      </c>
      <c r="G26" s="1921"/>
      <c r="H26" s="1458"/>
      <c r="I26" s="2828"/>
      <c r="J26" s="1459"/>
      <c r="K26" s="2797" t="s">
        <v>1999</v>
      </c>
      <c r="L26" s="2795"/>
      <c r="M26" s="1936" t="s">
        <v>1532</v>
      </c>
      <c r="N26" s="1937" t="s">
        <v>1555</v>
      </c>
      <c r="O26" s="1936" t="s">
        <v>1556</v>
      </c>
      <c r="P26" s="1936" t="s">
        <v>2427</v>
      </c>
      <c r="Q26" s="1936" t="s">
        <v>2428</v>
      </c>
      <c r="R26" s="1938" t="s">
        <v>2529</v>
      </c>
      <c r="S26" s="1513">
        <f>B61</f>
        <v>0</v>
      </c>
      <c r="T26" s="1512">
        <f>H61</f>
        <v>0</v>
      </c>
      <c r="AK26" s="1963" t="s">
        <v>1398</v>
      </c>
      <c r="AL26" s="1964">
        <v>5.6</v>
      </c>
      <c r="AM26" s="1965">
        <v>7.7</v>
      </c>
      <c r="AN26" s="1965">
        <v>9.8000000000000007</v>
      </c>
      <c r="AO26" s="1965">
        <v>11.8</v>
      </c>
      <c r="AP26" s="1965">
        <v>11.8</v>
      </c>
      <c r="AX26" s="1455"/>
      <c r="BA26" s="1941"/>
    </row>
    <row r="27" spans="1:53" ht="18" customHeight="1">
      <c r="A27" s="1457"/>
      <c r="B27" s="1477"/>
      <c r="C27" s="1502">
        <f>_xlfn.IFNA(VLOOKUP(B27,'Ertragsschätzung m3'!$S$23:$T$47,2,"falsch"),"0")</f>
        <v>0</v>
      </c>
      <c r="D27" s="1479"/>
      <c r="E27" s="1480"/>
      <c r="F27" s="1503">
        <f>IF(ISBLANK(D27),C27*E27,D27*E27)</f>
        <v>0</v>
      </c>
      <c r="G27" s="1923"/>
      <c r="H27" s="1458"/>
      <c r="I27" s="2828"/>
      <c r="J27" s="1459"/>
      <c r="K27" s="2794" t="s">
        <v>2000</v>
      </c>
      <c r="L27" s="2795"/>
      <c r="M27" s="1936" t="s">
        <v>122</v>
      </c>
      <c r="N27" s="1937" t="s">
        <v>1557</v>
      </c>
      <c r="O27" s="1936" t="s">
        <v>38</v>
      </c>
      <c r="P27" s="1936" t="s">
        <v>1558</v>
      </c>
      <c r="Q27" s="1936" t="s">
        <v>2429</v>
      </c>
      <c r="R27" s="1940" t="s">
        <v>2528</v>
      </c>
      <c r="S27" s="1513">
        <f>B62</f>
        <v>0</v>
      </c>
      <c r="T27" s="1512">
        <f>H62</f>
        <v>0</v>
      </c>
      <c r="AK27" s="1963" t="s">
        <v>1713</v>
      </c>
      <c r="AL27" s="1964">
        <v>4.3</v>
      </c>
      <c r="AM27" s="1965">
        <v>5.7</v>
      </c>
      <c r="AN27" s="1965">
        <v>7.7</v>
      </c>
      <c r="AO27" s="1965">
        <v>9.3000000000000007</v>
      </c>
      <c r="AP27" s="1965">
        <v>9.3000000000000007</v>
      </c>
      <c r="AX27" s="1455"/>
      <c r="BA27" s="1941"/>
    </row>
    <row r="28" spans="1:53" ht="18" customHeight="1">
      <c r="A28" s="1457"/>
      <c r="B28" s="1477"/>
      <c r="C28" s="1502">
        <f>_xlfn.IFNA(VLOOKUP(B28,'Ertragsschätzung m3'!$S$23:$T$47,2,"falsch"),"0")</f>
        <v>0</v>
      </c>
      <c r="D28" s="1479"/>
      <c r="E28" s="1480"/>
      <c r="F28" s="1503">
        <f>IF(ISBLANK(D28),C28*E28,D28*E28)</f>
        <v>0</v>
      </c>
      <c r="G28" s="1923"/>
      <c r="H28" s="1458"/>
      <c r="I28" s="2828"/>
      <c r="J28" s="1459"/>
      <c r="K28" s="2794" t="s">
        <v>1733</v>
      </c>
      <c r="L28" s="2795"/>
      <c r="M28" s="1936" t="s">
        <v>2474</v>
      </c>
      <c r="N28" s="1936" t="s">
        <v>2503</v>
      </c>
      <c r="O28" s="1936" t="s">
        <v>1544</v>
      </c>
      <c r="P28" s="1936" t="s">
        <v>1545</v>
      </c>
      <c r="Q28" s="1936" t="s">
        <v>592</v>
      </c>
      <c r="R28" s="1939" t="s">
        <v>2530</v>
      </c>
      <c r="S28" s="1513">
        <f>B65</f>
        <v>0</v>
      </c>
      <c r="T28" s="1512">
        <f>H65</f>
        <v>0</v>
      </c>
      <c r="AK28" s="1963" t="s">
        <v>1729</v>
      </c>
      <c r="AL28" s="1964">
        <v>4.5999999999999996</v>
      </c>
      <c r="AM28" s="1965">
        <v>6.2</v>
      </c>
      <c r="AN28" s="1965">
        <v>7.7</v>
      </c>
      <c r="AO28" s="1965">
        <v>9.3000000000000007</v>
      </c>
      <c r="AP28" s="1965">
        <v>9.3000000000000007</v>
      </c>
      <c r="AX28" s="1455"/>
      <c r="BA28" s="1941"/>
    </row>
    <row r="29" spans="1:53" ht="18" customHeight="1">
      <c r="A29" s="1457"/>
      <c r="B29" s="1477"/>
      <c r="C29" s="1502">
        <f>_xlfn.IFNA(VLOOKUP(B29,'Ertragsschätzung m3'!$S$23:$T$47,2,"falsch"),"0")</f>
        <v>0</v>
      </c>
      <c r="D29" s="1479"/>
      <c r="E29" s="1480"/>
      <c r="F29" s="1503">
        <f>IF(ISBLANK(D29),C29*E29,D29*E29)</f>
        <v>0</v>
      </c>
      <c r="G29" s="1923"/>
      <c r="H29" s="1458"/>
      <c r="I29" s="2828"/>
      <c r="J29" s="1459"/>
      <c r="K29" s="2794" t="s">
        <v>2516</v>
      </c>
      <c r="L29" s="2795"/>
      <c r="M29" s="1936" t="s">
        <v>2430</v>
      </c>
      <c r="N29" s="1936" t="s">
        <v>2431</v>
      </c>
      <c r="O29" s="1936" t="s">
        <v>2432</v>
      </c>
      <c r="P29" s="1936" t="s">
        <v>1547</v>
      </c>
      <c r="Q29" s="1936" t="s">
        <v>2433</v>
      </c>
      <c r="R29" s="1939" t="s">
        <v>2530</v>
      </c>
      <c r="S29" s="1513">
        <f>B66</f>
        <v>0</v>
      </c>
      <c r="T29" s="1512">
        <f>H66</f>
        <v>0</v>
      </c>
      <c r="AK29" s="1962" t="s">
        <v>2554</v>
      </c>
      <c r="AL29" s="1964">
        <v>6.4</v>
      </c>
      <c r="AM29" s="1965">
        <v>7.8</v>
      </c>
      <c r="AN29" s="1965">
        <v>9.6999999999999993</v>
      </c>
      <c r="AO29" s="1965">
        <v>11.5</v>
      </c>
      <c r="AP29" s="1965">
        <v>11.5</v>
      </c>
      <c r="AX29" s="1455"/>
      <c r="BA29" s="1941"/>
    </row>
    <row r="30" spans="1:53" ht="18" customHeight="1">
      <c r="A30" s="1457"/>
      <c r="B30" s="1477"/>
      <c r="C30" s="1502">
        <f>_xlfn.IFNA(VLOOKUP(B30,'Ertragsschätzung m3'!$S$23:$T$47,2,"falsch"),"0")</f>
        <v>0</v>
      </c>
      <c r="D30" s="1479"/>
      <c r="E30" s="1480"/>
      <c r="F30" s="1503">
        <f>IF(ISBLANK(D30),C30*E30,D30*E30)</f>
        <v>0</v>
      </c>
      <c r="G30" s="1923"/>
      <c r="H30" s="1458"/>
      <c r="I30" s="2828"/>
      <c r="J30" s="1459"/>
      <c r="K30" s="2794" t="s">
        <v>2517</v>
      </c>
      <c r="L30" s="2795"/>
      <c r="M30" s="1936" t="s">
        <v>2434</v>
      </c>
      <c r="N30" s="1936" t="s">
        <v>2435</v>
      </c>
      <c r="O30" s="1936" t="s">
        <v>1406</v>
      </c>
      <c r="P30" s="1936" t="s">
        <v>2436</v>
      </c>
      <c r="Q30" s="1936" t="s">
        <v>2437</v>
      </c>
      <c r="R30" s="1939" t="s">
        <v>2531</v>
      </c>
      <c r="S30" s="1513">
        <f>B67</f>
        <v>0</v>
      </c>
      <c r="T30" s="1512">
        <f>H67</f>
        <v>0</v>
      </c>
      <c r="AK30" s="1962" t="s">
        <v>2555</v>
      </c>
      <c r="AL30" s="1964">
        <v>5.0999999999999996</v>
      </c>
      <c r="AM30" s="1965">
        <v>7.1</v>
      </c>
      <c r="AN30" s="1965">
        <v>8.5</v>
      </c>
      <c r="AO30" s="1965">
        <v>10.1</v>
      </c>
      <c r="AP30" s="1965">
        <v>10.1</v>
      </c>
      <c r="AX30" s="1455"/>
      <c r="BA30" s="1941"/>
    </row>
    <row r="31" spans="1:53" ht="18" customHeight="1">
      <c r="A31" s="1457"/>
      <c r="B31" s="1477"/>
      <c r="C31" s="1502">
        <f>_xlfn.IFNA(VLOOKUP(B31,'Ertragsschätzung m3'!$S$23:$T$47,2,"falsch"),"0")</f>
        <v>0</v>
      </c>
      <c r="D31" s="1479"/>
      <c r="E31" s="1480"/>
      <c r="F31" s="1503">
        <f>IF(ISBLANK(D31),C31*E31,D31*E31)</f>
        <v>0</v>
      </c>
      <c r="G31" s="1923"/>
      <c r="H31" s="1458"/>
      <c r="I31" s="2828"/>
      <c r="J31" s="1459"/>
      <c r="K31" s="2794" t="s">
        <v>2518</v>
      </c>
      <c r="L31" s="2795"/>
      <c r="M31" s="1936" t="s">
        <v>2438</v>
      </c>
      <c r="N31" s="1936" t="s">
        <v>1804</v>
      </c>
      <c r="O31" s="1936" t="s">
        <v>2439</v>
      </c>
      <c r="P31" s="1936" t="s">
        <v>2440</v>
      </c>
      <c r="Q31" s="1936" t="s">
        <v>2441</v>
      </c>
      <c r="R31" s="1939" t="s">
        <v>2530</v>
      </c>
      <c r="S31" s="1513">
        <f>B68</f>
        <v>0</v>
      </c>
      <c r="T31" s="1512">
        <f>H68</f>
        <v>0</v>
      </c>
      <c r="AK31" s="1962" t="s">
        <v>2375</v>
      </c>
      <c r="AL31" s="1964">
        <v>6.4</v>
      </c>
      <c r="AM31" s="1965">
        <v>7.8</v>
      </c>
      <c r="AN31" s="1965">
        <v>9.5</v>
      </c>
      <c r="AO31" s="1965">
        <v>11.3</v>
      </c>
      <c r="AP31" s="1965">
        <v>11.3</v>
      </c>
      <c r="AX31" s="1455"/>
      <c r="BA31" s="1941"/>
    </row>
    <row r="32" spans="1:53" ht="15.75" customHeight="1">
      <c r="A32" s="1457"/>
      <c r="B32" s="1455"/>
      <c r="C32" s="1455"/>
      <c r="D32" s="1455"/>
      <c r="E32" s="1455"/>
      <c r="F32" s="1455"/>
      <c r="G32" s="1455"/>
      <c r="H32" s="1497"/>
      <c r="I32" s="2828"/>
      <c r="J32" s="1459"/>
      <c r="K32" s="2794" t="s">
        <v>2519</v>
      </c>
      <c r="L32" s="2795"/>
      <c r="M32" s="1936" t="s">
        <v>2442</v>
      </c>
      <c r="N32" s="1936" t="s">
        <v>2443</v>
      </c>
      <c r="O32" s="1936" t="s">
        <v>2444</v>
      </c>
      <c r="P32" s="1936" t="s">
        <v>2445</v>
      </c>
      <c r="Q32" s="1936" t="s">
        <v>2446</v>
      </c>
      <c r="R32" s="1939" t="s">
        <v>2531</v>
      </c>
      <c r="S32" s="1513">
        <f>B69</f>
        <v>0</v>
      </c>
      <c r="T32" s="1512">
        <f>H69</f>
        <v>0</v>
      </c>
      <c r="AK32" s="1962" t="s">
        <v>2376</v>
      </c>
      <c r="AL32" s="1964">
        <v>5.0999999999999996</v>
      </c>
      <c r="AM32" s="1965">
        <v>7.1</v>
      </c>
      <c r="AN32" s="1965">
        <v>8.6</v>
      </c>
      <c r="AO32" s="1965">
        <v>10.1</v>
      </c>
      <c r="AP32" s="1965">
        <v>10.1</v>
      </c>
      <c r="AX32" s="1455"/>
      <c r="BA32" s="1941"/>
    </row>
    <row r="33" spans="1:53" ht="40.5" customHeight="1">
      <c r="A33" s="1457"/>
      <c r="B33" s="1461" t="s">
        <v>1502</v>
      </c>
      <c r="C33" s="1462" t="s">
        <v>1464</v>
      </c>
      <c r="D33" s="1463" t="s">
        <v>1492</v>
      </c>
      <c r="E33" s="1464" t="s">
        <v>1466</v>
      </c>
      <c r="F33" s="1462" t="s">
        <v>1467</v>
      </c>
      <c r="G33" s="1919" t="s">
        <v>2413</v>
      </c>
      <c r="H33" s="1462" t="s">
        <v>2505</v>
      </c>
      <c r="I33" s="1514"/>
      <c r="J33" s="1514"/>
      <c r="K33" s="2794" t="s">
        <v>2521</v>
      </c>
      <c r="L33" s="2795"/>
      <c r="M33" s="1936" t="s">
        <v>2447</v>
      </c>
      <c r="N33" s="1936" t="s">
        <v>2448</v>
      </c>
      <c r="O33" s="1936" t="s">
        <v>2449</v>
      </c>
      <c r="P33" s="1936" t="s">
        <v>2450</v>
      </c>
      <c r="Q33" s="1936" t="s">
        <v>2451</v>
      </c>
      <c r="R33" s="1939" t="s">
        <v>2532</v>
      </c>
      <c r="S33" s="1513">
        <f>B72</f>
        <v>0</v>
      </c>
      <c r="T33" s="1512">
        <f>H72</f>
        <v>0</v>
      </c>
      <c r="AK33" s="1963" t="s">
        <v>2514</v>
      </c>
      <c r="AL33" s="1964">
        <v>7.6</v>
      </c>
      <c r="AM33" s="1965">
        <v>10.1</v>
      </c>
      <c r="AN33" s="1965">
        <v>15.1</v>
      </c>
      <c r="AO33" s="1965">
        <v>18.8</v>
      </c>
      <c r="AP33" s="1965">
        <v>18.8</v>
      </c>
      <c r="AX33" s="1455"/>
      <c r="BA33" s="1941"/>
    </row>
    <row r="34" spans="1:53" ht="30" customHeight="1">
      <c r="A34" s="1457"/>
      <c r="B34" s="2303"/>
      <c r="C34" s="1467"/>
      <c r="D34" s="1468"/>
      <c r="E34" s="1469">
        <f>SUM(F37:F41)</f>
        <v>0</v>
      </c>
      <c r="F34" s="1470" t="str">
        <f>IF(ISNUMBER(C34),E34/C34,"")</f>
        <v/>
      </c>
      <c r="G34" s="1920" t="str">
        <f>IF(AND(ISNUMBER(C34),ISNUMBER(D34)),(F34*(D34*10))/1000,"")</f>
        <v/>
      </c>
      <c r="H34" s="1471">
        <f>IF(ISBLANK(C34),0,IF(F34&lt;VLOOKUP(B34,$AK$4:$AP$34,2,FALSE),$AL$1,IF(F34&lt;VLOOKUP(B34,$AK$4:$AP$34,3,FALSE),$AM$1,IF(F34&lt;VLOOKUP(B34,$AK$4:$AP$34,4,FALSE),$AN$1,IF(F34&lt;=VLOOKUP(B34,$AK$4:$AP$34,5,FALSE),$AO$1,IF(F34&gt;VLOOKUP(B34,$AK$4:$AP$34,6,FALSE),$AP$1,))))))</f>
        <v>0</v>
      </c>
      <c r="I34" s="1514"/>
      <c r="J34" s="1514"/>
      <c r="K34" s="2794" t="s">
        <v>2507</v>
      </c>
      <c r="L34" s="2795"/>
      <c r="M34" s="1936" t="s">
        <v>2452</v>
      </c>
      <c r="N34" s="1936" t="s">
        <v>2453</v>
      </c>
      <c r="O34" s="1936" t="s">
        <v>2454</v>
      </c>
      <c r="P34" s="1936" t="s">
        <v>2455</v>
      </c>
      <c r="Q34" s="1936" t="s">
        <v>2456</v>
      </c>
      <c r="R34" s="1939" t="s">
        <v>2533</v>
      </c>
      <c r="S34" s="1513">
        <f>B73</f>
        <v>0</v>
      </c>
      <c r="T34" s="1512">
        <f>H73</f>
        <v>0</v>
      </c>
      <c r="AK34" s="1963" t="s">
        <v>2515</v>
      </c>
      <c r="AL34" s="1964">
        <v>7.2</v>
      </c>
      <c r="AM34" s="1965">
        <v>10.8</v>
      </c>
      <c r="AN34" s="1965">
        <v>14.4</v>
      </c>
      <c r="AO34" s="1965">
        <v>17.899999999999999</v>
      </c>
      <c r="AP34" s="1965">
        <v>17.899999999999999</v>
      </c>
      <c r="AX34" s="1455"/>
      <c r="BA34" s="1941"/>
    </row>
    <row r="35" spans="1:53" ht="14.25" customHeight="1">
      <c r="A35" s="1457"/>
      <c r="B35" s="1472"/>
      <c r="C35" s="1472"/>
      <c r="D35" s="1472"/>
      <c r="E35" s="1472"/>
      <c r="F35" s="1472"/>
      <c r="G35" s="1472"/>
      <c r="H35" s="1458"/>
      <c r="I35" s="1514"/>
      <c r="J35" s="1514"/>
      <c r="K35" s="2794" t="s">
        <v>2508</v>
      </c>
      <c r="L35" s="2795"/>
      <c r="M35" s="1936" t="s">
        <v>2457</v>
      </c>
      <c r="N35" s="1936" t="s">
        <v>2458</v>
      </c>
      <c r="O35" s="1936" t="s">
        <v>2459</v>
      </c>
      <c r="P35" s="1936" t="s">
        <v>2460</v>
      </c>
      <c r="Q35" s="1936" t="s">
        <v>1408</v>
      </c>
      <c r="R35" s="1939" t="s">
        <v>2534</v>
      </c>
      <c r="S35" s="1513">
        <f>B74</f>
        <v>0</v>
      </c>
      <c r="T35" s="1512">
        <f>H74</f>
        <v>0</v>
      </c>
      <c r="AX35" s="1455"/>
      <c r="BA35" s="1941"/>
    </row>
    <row r="36" spans="1:53" ht="24" customHeight="1">
      <c r="A36" s="1457"/>
      <c r="B36" s="1473" t="s">
        <v>1469</v>
      </c>
      <c r="C36" s="1463" t="s">
        <v>1470</v>
      </c>
      <c r="D36" s="1474" t="s">
        <v>1471</v>
      </c>
      <c r="E36" s="1475" t="s">
        <v>1498</v>
      </c>
      <c r="F36" s="1476" t="s">
        <v>1473</v>
      </c>
      <c r="G36" s="1921"/>
      <c r="H36" s="1458"/>
      <c r="I36" s="1514"/>
      <c r="J36" s="1514"/>
      <c r="K36" s="2794" t="s">
        <v>2509</v>
      </c>
      <c r="L36" s="2795"/>
      <c r="M36" s="1936" t="s">
        <v>2461</v>
      </c>
      <c r="N36" s="1936" t="s">
        <v>2462</v>
      </c>
      <c r="O36" s="1936" t="s">
        <v>1851</v>
      </c>
      <c r="P36" s="1936" t="s">
        <v>2463</v>
      </c>
      <c r="Q36" s="1936" t="s">
        <v>2464</v>
      </c>
      <c r="R36" s="1939" t="s">
        <v>2535</v>
      </c>
      <c r="S36" s="1513">
        <f>B75</f>
        <v>0</v>
      </c>
      <c r="T36" s="1512">
        <f>H75</f>
        <v>0</v>
      </c>
      <c r="AX36" s="1455"/>
      <c r="BA36" s="1941"/>
    </row>
    <row r="37" spans="1:53" ht="14.25">
      <c r="A37" s="1457"/>
      <c r="B37" s="1477"/>
      <c r="C37" s="1502">
        <f>_xlfn.IFNA(VLOOKUP(B37,'Ertragsschätzung m3'!$S$23:$T$47,2,"falsch"),"0")</f>
        <v>0</v>
      </c>
      <c r="D37" s="1479"/>
      <c r="E37" s="1480"/>
      <c r="F37" s="1503">
        <f>IF(ISBLANK(D37),C37*E37,D37*E37)</f>
        <v>0</v>
      </c>
      <c r="G37" s="1923"/>
      <c r="H37" s="1458"/>
      <c r="I37" s="1514"/>
      <c r="J37" s="1514"/>
      <c r="K37" s="2794" t="s">
        <v>2510</v>
      </c>
      <c r="L37" s="2795"/>
      <c r="M37" s="1936" t="s">
        <v>2465</v>
      </c>
      <c r="N37" s="1936" t="s">
        <v>2466</v>
      </c>
      <c r="O37" s="1936" t="s">
        <v>2467</v>
      </c>
      <c r="P37" s="1936" t="s">
        <v>2468</v>
      </c>
      <c r="Q37" s="1936" t="s">
        <v>2469</v>
      </c>
      <c r="R37" s="1939" t="s">
        <v>2536</v>
      </c>
      <c r="S37" s="1513">
        <f>B76</f>
        <v>0</v>
      </c>
      <c r="T37" s="1512">
        <f>H76</f>
        <v>0</v>
      </c>
      <c r="AX37" s="1455"/>
      <c r="BA37" s="1941"/>
    </row>
    <row r="38" spans="1:53" ht="14.25">
      <c r="A38" s="1457"/>
      <c r="B38" s="1477"/>
      <c r="C38" s="1502">
        <f>_xlfn.IFNA(VLOOKUP(B38,'Ertragsschätzung m3'!$S$23:$T$47,2,"falsch"),"0")</f>
        <v>0</v>
      </c>
      <c r="D38" s="1479"/>
      <c r="E38" s="1480"/>
      <c r="F38" s="1503">
        <f>IF(ISBLANK(D38),C38*E38,D38*E38)</f>
        <v>0</v>
      </c>
      <c r="G38" s="1923"/>
      <c r="H38" s="1458"/>
      <c r="I38" s="1514"/>
      <c r="J38" s="1514"/>
      <c r="K38" s="2794" t="s">
        <v>2511</v>
      </c>
      <c r="L38" s="2795"/>
      <c r="M38" s="1936" t="s">
        <v>586</v>
      </c>
      <c r="N38" s="1936" t="s">
        <v>2470</v>
      </c>
      <c r="O38" s="1936" t="s">
        <v>2471</v>
      </c>
      <c r="P38" s="1936" t="s">
        <v>2472</v>
      </c>
      <c r="Q38" s="1936" t="s">
        <v>1535</v>
      </c>
      <c r="R38" s="1939" t="s">
        <v>2537</v>
      </c>
      <c r="S38" s="1513">
        <f>B79</f>
        <v>0</v>
      </c>
      <c r="T38" s="1512">
        <f>I79</f>
        <v>0</v>
      </c>
      <c r="AX38" s="1455"/>
      <c r="BA38" s="1941"/>
    </row>
    <row r="39" spans="1:53" ht="14.25">
      <c r="A39" s="1457"/>
      <c r="B39" s="1477"/>
      <c r="C39" s="1502">
        <f>_xlfn.IFNA(VLOOKUP(B39,'Ertragsschätzung m3'!$S$23:$T$47,2,"falsch"),"0")</f>
        <v>0</v>
      </c>
      <c r="D39" s="1479"/>
      <c r="E39" s="1480"/>
      <c r="F39" s="1503">
        <f>IF(ISBLANK(D39),C39*E39,D39*E39)</f>
        <v>0</v>
      </c>
      <c r="G39" s="1923"/>
      <c r="H39" s="1458"/>
      <c r="I39" s="1514"/>
      <c r="J39" s="1514"/>
      <c r="K39" s="2794" t="s">
        <v>2512</v>
      </c>
      <c r="L39" s="2795"/>
      <c r="M39" s="1936" t="s">
        <v>2473</v>
      </c>
      <c r="N39" s="1936" t="s">
        <v>1548</v>
      </c>
      <c r="O39" s="1936" t="s">
        <v>1549</v>
      </c>
      <c r="P39" s="1936" t="s">
        <v>1550</v>
      </c>
      <c r="Q39" s="1936" t="s">
        <v>1538</v>
      </c>
      <c r="R39" s="1939" t="s">
        <v>2546</v>
      </c>
      <c r="S39" s="1513">
        <f>B80</f>
        <v>0</v>
      </c>
      <c r="T39" s="1512">
        <f>I80</f>
        <v>0</v>
      </c>
      <c r="AX39" s="1455"/>
      <c r="BA39" s="1941"/>
    </row>
    <row r="40" spans="1:53" ht="14.25">
      <c r="A40" s="1457"/>
      <c r="B40" s="1477"/>
      <c r="C40" s="1502">
        <f>_xlfn.IFNA(VLOOKUP(B40,'Ertragsschätzung m3'!$S$23:$T$47,2,"falsch"),"0")</f>
        <v>0</v>
      </c>
      <c r="D40" s="1479"/>
      <c r="E40" s="1480"/>
      <c r="F40" s="1503">
        <f>IF(ISBLANK(D40),C40*E40,D40*E40)</f>
        <v>0</v>
      </c>
      <c r="G40" s="1923"/>
      <c r="H40" s="1458"/>
      <c r="I40" s="1514"/>
      <c r="J40" s="1514"/>
      <c r="K40" s="2794" t="s">
        <v>2513</v>
      </c>
      <c r="L40" s="2795"/>
      <c r="M40" s="1936" t="s">
        <v>2474</v>
      </c>
      <c r="N40" s="1936" t="s">
        <v>2475</v>
      </c>
      <c r="O40" s="1936" t="s">
        <v>2476</v>
      </c>
      <c r="P40" s="1936" t="s">
        <v>2477</v>
      </c>
      <c r="Q40" s="1936" t="s">
        <v>2478</v>
      </c>
      <c r="R40" s="1939" t="s">
        <v>2545</v>
      </c>
      <c r="S40" s="1513">
        <f>B81</f>
        <v>0</v>
      </c>
      <c r="T40" s="1512">
        <f>I81</f>
        <v>0</v>
      </c>
      <c r="AX40" s="1455"/>
      <c r="BA40" s="1941"/>
    </row>
    <row r="41" spans="1:53" ht="14.25">
      <c r="A41" s="1457"/>
      <c r="B41" s="1477"/>
      <c r="C41" s="1502">
        <f>_xlfn.IFNA(VLOOKUP(B41,'Ertragsschätzung m3'!$S$23:$T$47,2,"falsch"),"0")</f>
        <v>0</v>
      </c>
      <c r="D41" s="1479"/>
      <c r="E41" s="1480"/>
      <c r="F41" s="1503">
        <f>IF(ISBLANK(D41),C41*E41,D41*E41)</f>
        <v>0</v>
      </c>
      <c r="G41" s="1923"/>
      <c r="H41" s="1458"/>
      <c r="I41" s="1514"/>
      <c r="J41" s="1514"/>
      <c r="K41" s="2794" t="s">
        <v>1717</v>
      </c>
      <c r="L41" s="2795"/>
      <c r="M41" s="1936" t="s">
        <v>2465</v>
      </c>
      <c r="N41" s="1936" t="s">
        <v>2479</v>
      </c>
      <c r="O41" s="1936" t="s">
        <v>1546</v>
      </c>
      <c r="P41" s="1936" t="s">
        <v>1547</v>
      </c>
      <c r="Q41" s="1936" t="s">
        <v>1537</v>
      </c>
      <c r="R41" s="1939" t="s">
        <v>2530</v>
      </c>
      <c r="S41" s="1513">
        <f>B82</f>
        <v>0</v>
      </c>
      <c r="T41" s="1512">
        <f>I82</f>
        <v>0</v>
      </c>
      <c r="AX41" s="1455"/>
      <c r="BA41" s="1941"/>
    </row>
    <row r="42" spans="1:53" ht="12" customHeight="1">
      <c r="A42" s="1472"/>
      <c r="B42" s="1455"/>
      <c r="C42" s="1455"/>
      <c r="D42" s="1455"/>
      <c r="E42" s="1455"/>
      <c r="F42" s="1455"/>
      <c r="G42" s="1455"/>
      <c r="H42" s="1497"/>
      <c r="I42" s="1514"/>
      <c r="J42" s="1514"/>
      <c r="K42" s="2794" t="s">
        <v>1398</v>
      </c>
      <c r="L42" s="2795"/>
      <c r="M42" s="1936" t="s">
        <v>2465</v>
      </c>
      <c r="N42" s="1936" t="s">
        <v>2479</v>
      </c>
      <c r="O42" s="1936" t="s">
        <v>1546</v>
      </c>
      <c r="P42" s="1936" t="s">
        <v>1547</v>
      </c>
      <c r="Q42" s="1936" t="s">
        <v>1537</v>
      </c>
      <c r="R42" s="1939" t="s">
        <v>2544</v>
      </c>
      <c r="S42" s="1513">
        <f>B83</f>
        <v>0</v>
      </c>
      <c r="T42" s="1512">
        <f>I83</f>
        <v>0</v>
      </c>
      <c r="AX42" s="1455"/>
      <c r="BA42" s="1941"/>
    </row>
    <row r="43" spans="1:53" ht="40.5" customHeight="1">
      <c r="A43" s="1457"/>
      <c r="B43" s="1461" t="s">
        <v>1503</v>
      </c>
      <c r="C43" s="1462" t="s">
        <v>1464</v>
      </c>
      <c r="D43" s="1463" t="s">
        <v>1492</v>
      </c>
      <c r="E43" s="1464" t="s">
        <v>1466</v>
      </c>
      <c r="F43" s="1462" t="s">
        <v>1467</v>
      </c>
      <c r="G43" s="1919" t="s">
        <v>2413</v>
      </c>
      <c r="H43" s="1462" t="s">
        <v>2505</v>
      </c>
      <c r="I43" s="1514"/>
      <c r="J43" s="1514"/>
      <c r="K43" s="2794" t="s">
        <v>1713</v>
      </c>
      <c r="L43" s="2795"/>
      <c r="M43" s="1936" t="s">
        <v>1529</v>
      </c>
      <c r="N43" s="1936" t="s">
        <v>1543</v>
      </c>
      <c r="O43" s="1936" t="s">
        <v>2480</v>
      </c>
      <c r="P43" s="1936" t="s">
        <v>2481</v>
      </c>
      <c r="Q43" s="1936" t="s">
        <v>1534</v>
      </c>
      <c r="R43" s="1939" t="s">
        <v>2543</v>
      </c>
      <c r="S43" s="1513">
        <f>B86</f>
        <v>0</v>
      </c>
      <c r="T43" s="1512">
        <f>I86</f>
        <v>0</v>
      </c>
      <c r="AX43" s="1455"/>
      <c r="BA43" s="1941"/>
    </row>
    <row r="44" spans="1:53" ht="30" customHeight="1">
      <c r="A44" s="1457"/>
      <c r="B44" s="2303"/>
      <c r="C44" s="1467"/>
      <c r="D44" s="1468"/>
      <c r="E44" s="1469">
        <f>SUM(F48:F51)</f>
        <v>0</v>
      </c>
      <c r="F44" s="1470" t="str">
        <f>IF(ISNUMBER(C44),E44/C44,"")</f>
        <v/>
      </c>
      <c r="G44" s="1920" t="str">
        <f>IF(AND(ISNUMBER(C44),ISNUMBER(D44)),(F44*(D44*10))/1000,"")</f>
        <v/>
      </c>
      <c r="H44" s="1471">
        <f>IF(ISBLANK(C44),0,IF(F44&lt;VLOOKUP(B44,$AK$4:$AP$34,2,FALSE),$AL$1,IF(F44&lt;VLOOKUP(B44,$AK$4:$AP$34,3,FALSE),$AM$1,IF(F44&lt;VLOOKUP(B44,$AK$4:$AP$34,4,FALSE),$AN$1,IF(F44&lt;=VLOOKUP(B44,$AK$4:$AP$34,5,FALSE),$AO$1,IF(F44&gt;VLOOKUP(B44,$AK$4:$AP$34,6,FALSE),$AP$1,))))))</f>
        <v>0</v>
      </c>
      <c r="I44" s="1514"/>
      <c r="J44" s="1514"/>
      <c r="K44" s="2794" t="s">
        <v>1729</v>
      </c>
      <c r="L44" s="2795"/>
      <c r="M44" s="1936" t="s">
        <v>2482</v>
      </c>
      <c r="N44" s="1936" t="s">
        <v>2483</v>
      </c>
      <c r="O44" s="1936" t="s">
        <v>2484</v>
      </c>
      <c r="P44" s="1936" t="s">
        <v>2481</v>
      </c>
      <c r="Q44" s="1936" t="s">
        <v>1534</v>
      </c>
      <c r="R44" s="1939" t="s">
        <v>2547</v>
      </c>
      <c r="S44" s="1513">
        <f>B87</f>
        <v>0</v>
      </c>
      <c r="T44" s="1512">
        <f>I87</f>
        <v>0</v>
      </c>
      <c r="AX44" s="1455"/>
      <c r="BA44" s="1941"/>
    </row>
    <row r="45" spans="1:53" ht="14.25" customHeight="1">
      <c r="A45" s="1457"/>
      <c r="B45" s="1472"/>
      <c r="C45" s="1472"/>
      <c r="D45" s="1472"/>
      <c r="E45" s="1472"/>
      <c r="F45" s="1472"/>
      <c r="G45" s="1472"/>
      <c r="H45" s="1458"/>
      <c r="I45" s="1514"/>
      <c r="J45" s="1514"/>
      <c r="K45" s="2797" t="s">
        <v>2554</v>
      </c>
      <c r="L45" s="2795"/>
      <c r="M45" s="1936" t="s">
        <v>2434</v>
      </c>
      <c r="N45" s="1936" t="s">
        <v>2485</v>
      </c>
      <c r="O45" s="1936" t="s">
        <v>2486</v>
      </c>
      <c r="P45" s="1936" t="s">
        <v>2487</v>
      </c>
      <c r="Q45" s="1936" t="s">
        <v>2488</v>
      </c>
      <c r="R45" s="1939" t="s">
        <v>2548</v>
      </c>
      <c r="S45" s="1513">
        <f>B88</f>
        <v>0</v>
      </c>
      <c r="T45" s="1512">
        <f>I88</f>
        <v>0</v>
      </c>
      <c r="AX45" s="1455"/>
    </row>
    <row r="46" spans="1:53" ht="26.25" customHeight="1">
      <c r="A46" s="1457"/>
      <c r="B46" s="1473" t="s">
        <v>1469</v>
      </c>
      <c r="C46" s="1463" t="s">
        <v>1470</v>
      </c>
      <c r="D46" s="1474" t="s">
        <v>1471</v>
      </c>
      <c r="E46" s="1475" t="s">
        <v>1498</v>
      </c>
      <c r="F46" s="1476" t="s">
        <v>1473</v>
      </c>
      <c r="G46" s="1921"/>
      <c r="H46" s="1458"/>
      <c r="I46" s="1514"/>
      <c r="J46" s="1514"/>
      <c r="K46" s="2797" t="s">
        <v>2555</v>
      </c>
      <c r="L46" s="2795"/>
      <c r="M46" s="1936" t="s">
        <v>2489</v>
      </c>
      <c r="N46" s="1936" t="s">
        <v>2490</v>
      </c>
      <c r="O46" s="1936" t="s">
        <v>2491</v>
      </c>
      <c r="P46" s="1936" t="s">
        <v>2492</v>
      </c>
      <c r="Q46" s="1936" t="s">
        <v>2493</v>
      </c>
      <c r="R46" s="1939" t="s">
        <v>2542</v>
      </c>
      <c r="S46" s="1513">
        <f>B89</f>
        <v>0</v>
      </c>
      <c r="T46" s="1512">
        <f>I89</f>
        <v>0</v>
      </c>
      <c r="AX46" s="1455"/>
      <c r="BA46" s="1941"/>
    </row>
    <row r="47" spans="1:53" ht="14.25" customHeight="1" thickBot="1">
      <c r="A47" s="1457"/>
      <c r="B47" s="1477"/>
      <c r="C47" s="1502">
        <f>_xlfn.IFNA(VLOOKUP(B47,'Ertragsschätzung m3'!$S$23:$T$47,2,"falsch"),"0")</f>
        <v>0</v>
      </c>
      <c r="D47" s="1479"/>
      <c r="E47" s="1480"/>
      <c r="F47" s="1503"/>
      <c r="G47" s="1923"/>
      <c r="H47" s="1458"/>
      <c r="I47" s="1514"/>
      <c r="J47" s="1514"/>
      <c r="K47" s="2797" t="s">
        <v>2375</v>
      </c>
      <c r="L47" s="2795"/>
      <c r="M47" s="1936" t="s">
        <v>2434</v>
      </c>
      <c r="N47" s="1936" t="s">
        <v>2485</v>
      </c>
      <c r="O47" s="1936" t="s">
        <v>1541</v>
      </c>
      <c r="P47" s="1936" t="s">
        <v>1542</v>
      </c>
      <c r="Q47" s="1936" t="s">
        <v>1533</v>
      </c>
      <c r="R47" s="1939" t="s">
        <v>2541</v>
      </c>
      <c r="S47" s="1515">
        <f>B90</f>
        <v>0</v>
      </c>
      <c r="T47" s="1516">
        <f>I90</f>
        <v>0</v>
      </c>
      <c r="AX47" s="1455"/>
      <c r="BA47" s="1941"/>
    </row>
    <row r="48" spans="1:53" ht="15.75" customHeight="1">
      <c r="A48" s="1457"/>
      <c r="B48" s="1477"/>
      <c r="C48" s="1502">
        <f>_xlfn.IFNA(VLOOKUP(B48,'Ertragsschätzung m3'!$S$23:$T$47,2,"falsch"),"0")</f>
        <v>0</v>
      </c>
      <c r="D48" s="1479"/>
      <c r="E48" s="1480"/>
      <c r="F48" s="1503">
        <f>IF(ISBLANK(D48),C48*E48,D48*E48)</f>
        <v>0</v>
      </c>
      <c r="G48" s="1923"/>
      <c r="H48" s="1458"/>
      <c r="I48" s="1514"/>
      <c r="J48" s="1514"/>
      <c r="K48" s="2797" t="s">
        <v>2376</v>
      </c>
      <c r="L48" s="2795"/>
      <c r="M48" s="1936" t="s">
        <v>2489</v>
      </c>
      <c r="N48" s="1936" t="s">
        <v>2490</v>
      </c>
      <c r="O48" s="1936" t="s">
        <v>2491</v>
      </c>
      <c r="P48" s="1936" t="s">
        <v>2494</v>
      </c>
      <c r="Q48" s="1936" t="s">
        <v>2493</v>
      </c>
      <c r="R48" s="1948" t="s">
        <v>2540</v>
      </c>
      <c r="S48" s="1949"/>
      <c r="AX48" s="1455"/>
      <c r="BA48" s="1941"/>
    </row>
    <row r="49" spans="1:53" ht="15.75" customHeight="1">
      <c r="A49" s="1457"/>
      <c r="B49" s="1477"/>
      <c r="C49" s="1502">
        <f>_xlfn.IFNA(VLOOKUP(B49,'Ertragsschätzung m3'!$S$23:$T$47,2,"falsch"),"0")</f>
        <v>0</v>
      </c>
      <c r="D49" s="1479"/>
      <c r="E49" s="1480"/>
      <c r="F49" s="1503">
        <f>IF(ISBLANK(D49),C49*E49,D49*E49)</f>
        <v>0</v>
      </c>
      <c r="G49" s="1923"/>
      <c r="H49" s="1458"/>
      <c r="I49" s="1514"/>
      <c r="J49" s="1514"/>
      <c r="K49" s="2794" t="s">
        <v>2514</v>
      </c>
      <c r="L49" s="2795"/>
      <c r="M49" s="1936" t="s">
        <v>2495</v>
      </c>
      <c r="N49" s="1936" t="s">
        <v>2496</v>
      </c>
      <c r="O49" s="1936" t="s">
        <v>2497</v>
      </c>
      <c r="P49" s="1936" t="s">
        <v>2498</v>
      </c>
      <c r="Q49" s="1936" t="s">
        <v>2451</v>
      </c>
      <c r="R49" s="1948" t="s">
        <v>2539</v>
      </c>
      <c r="S49" s="1946"/>
      <c r="AF49"/>
      <c r="AG49"/>
      <c r="AX49" s="1455"/>
      <c r="BA49" s="1941"/>
    </row>
    <row r="50" spans="1:53" ht="15.75" customHeight="1">
      <c r="A50" s="1457"/>
      <c r="B50" s="1477"/>
      <c r="C50" s="1502">
        <f>_xlfn.IFNA(VLOOKUP(B50,'Ertragsschätzung m3'!$S$23:$T$47,2,"falsch"),"0")</f>
        <v>0</v>
      </c>
      <c r="D50" s="1479"/>
      <c r="E50" s="1480"/>
      <c r="F50" s="1503">
        <f>IF(ISBLANK(D50),C50*E50,D50*E50)</f>
        <v>0</v>
      </c>
      <c r="G50" s="1923"/>
      <c r="H50" s="1458"/>
      <c r="I50" s="1514"/>
      <c r="J50" s="1514"/>
      <c r="K50" s="2794" t="s">
        <v>2515</v>
      </c>
      <c r="L50" s="2795"/>
      <c r="M50" s="1936" t="s">
        <v>1530</v>
      </c>
      <c r="N50" s="1936" t="s">
        <v>2499</v>
      </c>
      <c r="O50" s="1936" t="s">
        <v>2500</v>
      </c>
      <c r="P50" s="1936" t="s">
        <v>2501</v>
      </c>
      <c r="Q50" s="1936" t="s">
        <v>2502</v>
      </c>
      <c r="R50" s="1948" t="s">
        <v>2538</v>
      </c>
      <c r="S50" s="1946"/>
      <c r="AF50"/>
      <c r="AG50"/>
      <c r="AX50" s="1455"/>
      <c r="BA50" s="1941"/>
    </row>
    <row r="51" spans="1:53" ht="15.75" customHeight="1">
      <c r="A51" s="1457"/>
      <c r="B51" s="1477"/>
      <c r="C51" s="1502">
        <f>_xlfn.IFNA(VLOOKUP(B51,'Ertragsschätzung m3'!$S$23:$T$47,2,"falsch"),"0")</f>
        <v>0</v>
      </c>
      <c r="D51" s="1479"/>
      <c r="E51" s="1480"/>
      <c r="F51" s="1503">
        <f>IF(ISBLANK(D51),C51*E51,D51*E51)</f>
        <v>0</v>
      </c>
      <c r="G51" s="1923"/>
      <c r="H51" s="1458"/>
      <c r="I51" s="1514"/>
      <c r="J51" s="1514"/>
      <c r="K51" s="1455"/>
      <c r="L51" s="1455"/>
      <c r="M51" s="1455"/>
      <c r="N51" s="1455"/>
      <c r="O51" s="1455"/>
      <c r="P51" s="1455"/>
      <c r="Q51" s="1455"/>
      <c r="R51" s="1455"/>
      <c r="S51" s="1946"/>
      <c r="AC51" s="1933"/>
      <c r="AD51" s="1933"/>
      <c r="AE51" s="1933"/>
      <c r="AF51" s="1933"/>
      <c r="AG51" s="1933"/>
      <c r="AX51" s="1455"/>
    </row>
    <row r="52" spans="1:53">
      <c r="A52" s="1517"/>
      <c r="B52" s="1518"/>
      <c r="C52" s="1518"/>
      <c r="D52" s="1518"/>
      <c r="E52" s="1518"/>
      <c r="F52" s="1518"/>
      <c r="G52" s="1924"/>
      <c r="H52" s="1519"/>
      <c r="I52" s="1514"/>
      <c r="J52" s="1514"/>
      <c r="K52" s="1455"/>
      <c r="L52" s="1455"/>
      <c r="M52" s="1455"/>
      <c r="N52" s="1455"/>
      <c r="O52" s="1455"/>
      <c r="P52" s="1455"/>
      <c r="Q52" s="1455"/>
      <c r="R52" s="1455"/>
      <c r="S52" s="1950"/>
      <c r="T52" s="1455"/>
      <c r="U52" s="1455"/>
      <c r="V52" s="1455"/>
      <c r="W52" s="1455"/>
      <c r="X52" s="1455"/>
      <c r="Y52" s="1455"/>
      <c r="Z52" s="1455"/>
      <c r="AA52" s="1455"/>
      <c r="AB52" s="1455"/>
      <c r="AC52" s="1455"/>
      <c r="AD52" s="1455"/>
      <c r="AE52" s="1455"/>
      <c r="AF52" s="1455"/>
      <c r="AG52" s="1455"/>
      <c r="AH52" s="1455"/>
      <c r="AI52" s="1455"/>
      <c r="AJ52" s="1455"/>
      <c r="AK52" s="1455"/>
      <c r="AL52" s="1455"/>
      <c r="AM52" s="1455"/>
      <c r="AN52" s="1455"/>
      <c r="AO52" s="1455"/>
      <c r="AP52" s="1455"/>
      <c r="AQ52" s="1455"/>
      <c r="AR52" s="1455"/>
      <c r="AS52" s="1455"/>
      <c r="AT52" s="1455"/>
      <c r="AU52" s="1455"/>
      <c r="AV52" s="1455"/>
      <c r="AW52" s="1455"/>
      <c r="AX52" s="1455"/>
    </row>
    <row r="53" spans="1:53" ht="3.75" customHeight="1">
      <c r="A53" s="1520"/>
      <c r="B53" s="1455"/>
      <c r="C53" s="1455"/>
      <c r="D53" s="1455"/>
      <c r="E53" s="1455"/>
      <c r="F53" s="1455"/>
      <c r="G53" s="1455"/>
      <c r="H53" s="1455"/>
      <c r="I53" s="1455"/>
      <c r="J53" s="1455"/>
      <c r="K53" s="1455"/>
      <c r="L53" s="1455"/>
      <c r="M53" s="1455"/>
      <c r="N53" s="1455"/>
      <c r="O53" s="1455"/>
      <c r="P53" s="1455"/>
      <c r="Q53" s="1455"/>
      <c r="R53" s="1455"/>
      <c r="S53" s="1946"/>
      <c r="AX53" s="1455"/>
    </row>
    <row r="54" spans="1:53" ht="28.5" customHeight="1">
      <c r="A54" s="2796" t="s">
        <v>1504</v>
      </c>
      <c r="B54" s="2796"/>
      <c r="C54" s="2796"/>
      <c r="D54" s="2796"/>
      <c r="E54" s="2796"/>
      <c r="F54" s="2796"/>
      <c r="G54" s="2796"/>
      <c r="H54" s="2796"/>
      <c r="I54" s="1472"/>
      <c r="J54" s="1472"/>
      <c r="K54" s="1455"/>
      <c r="L54" s="1455"/>
      <c r="M54" s="1455"/>
      <c r="N54" s="1455"/>
      <c r="O54" s="1455"/>
      <c r="P54" s="1455"/>
      <c r="Q54" s="1455"/>
      <c r="R54" s="1455"/>
      <c r="S54" s="1951"/>
      <c r="T54" s="1472"/>
      <c r="U54" s="1472"/>
      <c r="V54" s="1472"/>
      <c r="W54" s="1472"/>
      <c r="X54" s="1472"/>
      <c r="Y54" s="1472"/>
      <c r="Z54" s="1472"/>
      <c r="AA54" s="1472"/>
      <c r="AB54" s="1472"/>
      <c r="AC54" s="1472"/>
      <c r="AD54" s="1472"/>
      <c r="AE54" s="1472"/>
      <c r="AF54" s="1472"/>
      <c r="AG54" s="1472"/>
      <c r="AH54" s="1472"/>
      <c r="AI54" s="1472"/>
      <c r="AJ54" s="1472"/>
      <c r="AK54" s="1472"/>
      <c r="AL54" s="1472"/>
      <c r="AM54" s="1472"/>
      <c r="AN54" s="1472"/>
      <c r="AO54" s="1472"/>
      <c r="AP54" s="1472"/>
      <c r="AQ54" s="1472"/>
      <c r="AR54" s="1472"/>
      <c r="AS54" s="1472"/>
      <c r="AT54" s="1472"/>
      <c r="AU54" s="1472"/>
      <c r="AV54" s="1472"/>
      <c r="AW54" s="1472"/>
      <c r="AX54" s="1455"/>
    </row>
    <row r="55" spans="1:53" ht="9.75" customHeight="1">
      <c r="A55" s="1472"/>
      <c r="B55" s="1472"/>
      <c r="C55" s="1472"/>
      <c r="D55" s="1472"/>
      <c r="E55" s="1472"/>
      <c r="F55" s="1472"/>
      <c r="G55" s="1472"/>
      <c r="H55" s="1472"/>
      <c r="I55" s="1472"/>
      <c r="J55" s="1472"/>
      <c r="K55" s="1455"/>
      <c r="L55" s="1455"/>
      <c r="M55" s="1455"/>
      <c r="N55" s="1455"/>
      <c r="O55" s="1455"/>
      <c r="P55" s="1455"/>
      <c r="Q55" s="1455"/>
      <c r="R55" s="1455"/>
      <c r="S55" s="1951"/>
      <c r="T55" s="1472"/>
      <c r="U55" s="1472"/>
      <c r="V55" s="1472"/>
      <c r="W55" s="1472"/>
      <c r="X55" s="1472"/>
      <c r="Y55" s="1472"/>
      <c r="Z55" s="1472"/>
      <c r="AA55" s="1472"/>
      <c r="AB55" s="1472"/>
      <c r="AC55" s="1472"/>
      <c r="AD55" s="1472"/>
      <c r="AE55" s="1472"/>
      <c r="AF55" s="1472"/>
      <c r="AG55" s="1472"/>
      <c r="AH55" s="1472"/>
      <c r="AI55" s="1472"/>
      <c r="AJ55" s="1472"/>
      <c r="AK55" s="1472"/>
      <c r="AL55" s="1472"/>
      <c r="AM55" s="1472"/>
      <c r="AN55" s="1472"/>
      <c r="AO55" s="1472"/>
      <c r="AP55" s="1472"/>
      <c r="AQ55" s="1472"/>
      <c r="AR55" s="1472"/>
      <c r="AS55" s="1472"/>
      <c r="AT55" s="1472"/>
      <c r="AU55" s="1472"/>
      <c r="AV55" s="1472"/>
      <c r="AW55" s="1472"/>
      <c r="AX55" s="1455"/>
    </row>
    <row r="56" spans="1:53" ht="48.75" customHeight="1">
      <c r="A56" s="1472"/>
      <c r="B56" s="1521" t="s">
        <v>1505</v>
      </c>
      <c r="C56" s="1522" t="s">
        <v>1506</v>
      </c>
      <c r="D56" s="1523"/>
      <c r="E56" s="1521" t="s">
        <v>1507</v>
      </c>
      <c r="F56" s="1524" t="s">
        <v>1508</v>
      </c>
      <c r="G56" s="1917"/>
      <c r="H56" s="1521" t="s">
        <v>1509</v>
      </c>
      <c r="I56" s="1472"/>
      <c r="J56" s="1472"/>
      <c r="K56" s="1455"/>
      <c r="L56" s="1455"/>
      <c r="M56" s="1455"/>
      <c r="N56" s="1455"/>
      <c r="O56" s="1455"/>
      <c r="P56" s="1455"/>
      <c r="Q56" s="1455"/>
      <c r="R56" s="1455"/>
      <c r="S56" s="1946"/>
      <c r="AA56"/>
      <c r="AB56"/>
      <c r="AC56"/>
      <c r="AD56"/>
      <c r="AX56" s="1455"/>
    </row>
    <row r="57" spans="1:53" ht="28.5" customHeight="1">
      <c r="A57" s="1472"/>
      <c r="B57" s="1525" t="s">
        <v>1510</v>
      </c>
      <c r="C57" s="1522"/>
      <c r="D57" s="1526"/>
      <c r="E57" s="1521"/>
      <c r="F57" s="1524"/>
      <c r="G57" s="1917"/>
      <c r="H57" s="1522"/>
      <c r="I57" s="1472"/>
      <c r="J57" s="1472"/>
      <c r="K57" s="1455"/>
      <c r="L57" s="1455"/>
      <c r="M57" s="1455"/>
      <c r="N57" s="1455"/>
      <c r="O57" s="1455"/>
      <c r="P57" s="1455"/>
      <c r="Q57" s="1455"/>
      <c r="R57" s="1455"/>
      <c r="S57" s="1946"/>
      <c r="AA57"/>
      <c r="AB57"/>
      <c r="AC57"/>
      <c r="AD57"/>
      <c r="AX57" s="1455"/>
    </row>
    <row r="58" spans="1:53" ht="16.5" customHeight="1">
      <c r="A58" s="1472"/>
      <c r="B58" s="1528"/>
      <c r="C58" s="1529"/>
      <c r="D58" s="1526"/>
      <c r="E58" s="1529"/>
      <c r="F58" s="1530"/>
      <c r="G58" s="1918"/>
      <c r="H58" s="1531">
        <f>IF(ISNUMBER(F58),((E58/2)^2)*3.14*C58*F58,((E58/2)^2)*3.14*C58)</f>
        <v>0</v>
      </c>
      <c r="I58" s="1472"/>
      <c r="J58" s="1472"/>
      <c r="K58" s="1455"/>
      <c r="L58" s="1455"/>
      <c r="M58" s="1455"/>
      <c r="N58" s="1455"/>
      <c r="O58" s="1455"/>
      <c r="P58" s="1455"/>
      <c r="Q58" s="1455"/>
      <c r="R58" s="1455"/>
      <c r="S58" s="1946"/>
      <c r="AA58"/>
      <c r="AB58"/>
      <c r="AC58"/>
      <c r="AD58"/>
      <c r="AX58" s="1455"/>
    </row>
    <row r="59" spans="1:53" ht="16.5" customHeight="1">
      <c r="A59" s="1472"/>
      <c r="B59" s="1528"/>
      <c r="C59" s="1529"/>
      <c r="D59" s="1526"/>
      <c r="E59" s="1529"/>
      <c r="F59" s="1530"/>
      <c r="G59" s="1918"/>
      <c r="H59" s="1531">
        <f>IF(ISNUMBER(F59),((E59/2)^2)*3.14*C59*F59,((E59/2)^2)*3.14*C59)</f>
        <v>0</v>
      </c>
      <c r="I59" s="1472"/>
      <c r="J59" s="1472"/>
      <c r="K59" s="1455"/>
      <c r="L59" s="1455"/>
      <c r="M59" s="1455"/>
      <c r="N59" s="1455"/>
      <c r="O59" s="1455"/>
      <c r="P59" s="1455"/>
      <c r="Q59" s="1455"/>
      <c r="R59" s="1455"/>
      <c r="S59" s="1946"/>
      <c r="AA59"/>
      <c r="AB59"/>
      <c r="AC59"/>
      <c r="AD59"/>
      <c r="AX59" s="1455"/>
    </row>
    <row r="60" spans="1:53" ht="16.5" customHeight="1">
      <c r="A60" s="1472"/>
      <c r="B60" s="1528"/>
      <c r="C60" s="1529"/>
      <c r="D60" s="1526"/>
      <c r="E60" s="1529"/>
      <c r="F60" s="1530"/>
      <c r="G60" s="1918"/>
      <c r="H60" s="1531">
        <f>IF(ISNUMBER(F60),((E60/2)^2)*3.14*C60*F60,((E60/2)^2)*3.14*C60)</f>
        <v>0</v>
      </c>
      <c r="I60" s="1472"/>
      <c r="J60" s="1472"/>
      <c r="K60" s="1455"/>
      <c r="L60" s="1455"/>
      <c r="M60" s="1455"/>
      <c r="N60" s="1455"/>
      <c r="O60" s="1455"/>
      <c r="P60" s="1455"/>
      <c r="Q60" s="1455"/>
      <c r="R60" s="1455"/>
      <c r="S60" s="1946"/>
      <c r="AA60"/>
      <c r="AB60"/>
      <c r="AC60"/>
      <c r="AD60"/>
      <c r="AX60" s="1455"/>
    </row>
    <row r="61" spans="1:53" ht="16.5" customHeight="1">
      <c r="A61" s="1472"/>
      <c r="B61" s="1528"/>
      <c r="C61" s="1529"/>
      <c r="D61" s="1526"/>
      <c r="E61" s="1529"/>
      <c r="F61" s="1530"/>
      <c r="G61" s="1918"/>
      <c r="H61" s="1531">
        <f>IF(ISNUMBER(F61),((E61/2)^2)*3.14*C61*F61,((E61/2)^2)*3.14*C61)</f>
        <v>0</v>
      </c>
      <c r="I61" s="1472"/>
      <c r="J61" s="1472"/>
      <c r="K61" s="1455"/>
      <c r="L61" s="1455"/>
      <c r="M61" s="1455"/>
      <c r="N61" s="1455"/>
      <c r="O61" s="1455"/>
      <c r="P61" s="1455"/>
      <c r="Q61" s="1455"/>
      <c r="R61" s="1455"/>
      <c r="S61" s="1946"/>
      <c r="AA61"/>
      <c r="AB61"/>
      <c r="AC61"/>
      <c r="AD61"/>
      <c r="AX61" s="1455"/>
    </row>
    <row r="62" spans="1:53" ht="16.5" customHeight="1">
      <c r="A62" s="1472"/>
      <c r="B62" s="1528"/>
      <c r="C62" s="1529"/>
      <c r="D62" s="1532"/>
      <c r="E62" s="1529"/>
      <c r="F62" s="1530"/>
      <c r="G62" s="1918"/>
      <c r="H62" s="1531">
        <f>IF(ISNUMBER(F62),((E62/2)^2)*3.14*C62*F62,((E62/2)^2)*3.14*C62)</f>
        <v>0</v>
      </c>
      <c r="I62" s="1472"/>
      <c r="J62" s="1472"/>
      <c r="K62" s="1455"/>
      <c r="L62" s="1455"/>
      <c r="M62" s="1455"/>
      <c r="N62" s="1455"/>
      <c r="O62" s="1455"/>
      <c r="P62" s="1455"/>
      <c r="Q62" s="1455"/>
      <c r="R62" s="1455"/>
      <c r="S62" s="1946"/>
      <c r="AX62" s="1455"/>
    </row>
    <row r="63" spans="1:53">
      <c r="A63" s="1472"/>
      <c r="B63" s="1472"/>
      <c r="C63" s="1472"/>
      <c r="D63" s="1472"/>
      <c r="E63" s="1472"/>
      <c r="F63" s="1472"/>
      <c r="G63" s="1472"/>
      <c r="H63" s="1472"/>
      <c r="I63" s="1472"/>
      <c r="J63" s="1472"/>
      <c r="K63" s="1455"/>
      <c r="L63" s="1455"/>
      <c r="M63" s="1455"/>
      <c r="N63" s="1455"/>
      <c r="O63" s="1455"/>
      <c r="P63" s="1455"/>
      <c r="Q63" s="1455"/>
      <c r="R63" s="1455"/>
      <c r="S63" s="1946"/>
      <c r="AX63" s="1455"/>
    </row>
    <row r="64" spans="1:53" ht="51">
      <c r="A64" s="1472"/>
      <c r="B64" s="1533" t="s">
        <v>1511</v>
      </c>
      <c r="C64" s="1521" t="s">
        <v>1512</v>
      </c>
      <c r="D64" s="1521" t="s">
        <v>1513</v>
      </c>
      <c r="E64" s="1534" t="s">
        <v>1507</v>
      </c>
      <c r="F64" s="1524" t="s">
        <v>1508</v>
      </c>
      <c r="G64" s="1917"/>
      <c r="H64" s="1521" t="s">
        <v>1509</v>
      </c>
      <c r="I64" s="1472"/>
      <c r="J64" s="1472"/>
      <c r="K64" s="1455"/>
      <c r="L64" s="1455"/>
      <c r="M64" s="1455"/>
      <c r="N64" s="1455"/>
      <c r="O64" s="1455"/>
      <c r="P64" s="1455"/>
      <c r="Q64" s="1455"/>
      <c r="R64" s="1455"/>
      <c r="S64" s="1946"/>
      <c r="AX64" s="1455"/>
    </row>
    <row r="65" spans="1:50" ht="20.25" customHeight="1">
      <c r="A65" s="1472"/>
      <c r="B65" s="1528"/>
      <c r="C65" s="1529"/>
      <c r="D65" s="1529"/>
      <c r="E65" s="1535"/>
      <c r="F65" s="1530"/>
      <c r="G65" s="1918"/>
      <c r="H65" s="1531">
        <f>IF(ISNUMBER(F65),(((E65/2)^2)*3.14*C65+((((E65/2)^2)*3.14*D65)/3))*F65,((E65/2)^2)*3.14*C65+((((E65/2)^2)*3.14*D65)/3))</f>
        <v>0</v>
      </c>
      <c r="I65" s="1472"/>
      <c r="J65" s="1472"/>
      <c r="K65" s="1455"/>
      <c r="L65" s="1455"/>
      <c r="M65" s="1455"/>
      <c r="N65" s="1455"/>
      <c r="O65" s="1455"/>
      <c r="P65" s="1455"/>
      <c r="Q65" s="1455"/>
      <c r="R65" s="1455"/>
      <c r="S65" s="1946"/>
      <c r="AX65" s="1455"/>
    </row>
    <row r="66" spans="1:50" ht="20.25" customHeight="1">
      <c r="A66" s="1472"/>
      <c r="B66" s="1528"/>
      <c r="C66" s="1529"/>
      <c r="D66" s="1529"/>
      <c r="E66" s="1535"/>
      <c r="F66" s="1530"/>
      <c r="G66" s="1918"/>
      <c r="H66" s="1531">
        <f>IF(ISNUMBER(F66),(((E66/2)^2)*3.14*C66+((((E66/2)^2)*3.14*D66)/3))*F66,((E66/2)^2)*3.14*C66+((((E66/2)^2)*3.14*D66)/3))</f>
        <v>0</v>
      </c>
      <c r="I66" s="1472"/>
      <c r="J66" s="1472"/>
      <c r="K66" s="1455"/>
      <c r="L66" s="1455"/>
      <c r="M66" s="1455"/>
      <c r="N66" s="1455"/>
      <c r="O66" s="1455"/>
      <c r="P66" s="1455"/>
      <c r="Q66" s="1455"/>
      <c r="R66" s="1455"/>
      <c r="S66" s="1946"/>
      <c r="AX66" s="1455"/>
    </row>
    <row r="67" spans="1:50" ht="20.25" customHeight="1">
      <c r="A67" s="1472"/>
      <c r="B67" s="1528"/>
      <c r="C67" s="1529"/>
      <c r="D67" s="1529"/>
      <c r="E67" s="1536"/>
      <c r="F67" s="1530"/>
      <c r="G67" s="1918"/>
      <c r="H67" s="1531">
        <f>IF(ISNUMBER(F67),(((E67/2)^2)*3.14*C67+((((E67/2)^2)*3.14*D67)/3))*F67,((E67/2)^2)*3.14*C67+((((E67/2)^2)*3.14*D67)/3))</f>
        <v>0</v>
      </c>
      <c r="I67" s="1472"/>
      <c r="J67" s="1472"/>
      <c r="K67" s="1455"/>
      <c r="L67" s="1455"/>
      <c r="M67" s="1455"/>
      <c r="N67" s="1455"/>
      <c r="O67" s="1455"/>
      <c r="P67" s="1455"/>
      <c r="Q67" s="1455"/>
      <c r="R67" s="1455"/>
      <c r="S67" s="1946"/>
      <c r="AX67" s="1455"/>
    </row>
    <row r="68" spans="1:50" ht="20.25" customHeight="1">
      <c r="A68" s="1472"/>
      <c r="B68" s="1528"/>
      <c r="C68" s="1529"/>
      <c r="D68" s="1529"/>
      <c r="E68" s="1536"/>
      <c r="F68" s="1530"/>
      <c r="G68" s="1918"/>
      <c r="H68" s="1531">
        <f>IF(ISNUMBER(F68),(((E68/2)^2)*3.14*C68+((((E68/2)^2)*3.14*D68)/3))*F68,((E68/2)^2)*3.14*C68+((((E68/2)^2)*3.14*D68)/3))</f>
        <v>0</v>
      </c>
      <c r="I68" s="1472"/>
      <c r="J68" s="1472"/>
      <c r="K68" s="1455"/>
      <c r="L68" s="1455"/>
      <c r="M68" s="1455"/>
      <c r="N68" s="1455"/>
      <c r="O68" s="1455"/>
      <c r="P68" s="1455"/>
      <c r="Q68" s="1455"/>
      <c r="R68" s="1455"/>
      <c r="S68" s="1946"/>
      <c r="AX68" s="1455"/>
    </row>
    <row r="69" spans="1:50" ht="20.25" customHeight="1">
      <c r="A69" s="1472"/>
      <c r="B69" s="1528"/>
      <c r="C69" s="1529"/>
      <c r="D69" s="1529"/>
      <c r="E69" s="1536"/>
      <c r="F69" s="1530"/>
      <c r="G69" s="1918"/>
      <c r="H69" s="1531">
        <f>IF(ISNUMBER(F69),(((E69/2)^2)*3.14*C69+((((E69/2)^2)*3.14*D69)/3))*F69,((E69/2)^2)*3.14*C69+((((E69/2)^2)*3.14*D69)/3))</f>
        <v>0</v>
      </c>
      <c r="I69" s="1472"/>
      <c r="J69" s="1472"/>
      <c r="K69" s="1455"/>
      <c r="L69" s="1455"/>
      <c r="M69" s="1455"/>
      <c r="N69" s="1455"/>
      <c r="O69" s="1455"/>
      <c r="P69" s="1455"/>
      <c r="Q69" s="1455"/>
      <c r="R69" s="1455"/>
      <c r="S69" s="1946"/>
      <c r="AX69" s="1455"/>
    </row>
    <row r="70" spans="1:50">
      <c r="A70" s="1472"/>
      <c r="B70" s="1472"/>
      <c r="C70" s="1472"/>
      <c r="D70" s="1472"/>
      <c r="E70" s="1472"/>
      <c r="F70" s="1472"/>
      <c r="G70" s="1472"/>
      <c r="H70" s="1472"/>
      <c r="I70" s="1472"/>
      <c r="J70" s="1472"/>
      <c r="K70" s="1455"/>
      <c r="L70" s="1455"/>
      <c r="M70" s="1455"/>
      <c r="N70" s="1455"/>
      <c r="O70" s="1455"/>
      <c r="P70" s="1455"/>
      <c r="Q70" s="1455"/>
      <c r="R70" s="1455"/>
      <c r="S70" s="1946"/>
      <c r="AX70" s="1455"/>
    </row>
    <row r="71" spans="1:50" ht="51">
      <c r="A71" s="1472"/>
      <c r="B71" s="1537" t="s">
        <v>1514</v>
      </c>
      <c r="C71" s="1522" t="s">
        <v>1515</v>
      </c>
      <c r="D71" s="1522" t="s">
        <v>1516</v>
      </c>
      <c r="E71" s="1538" t="s">
        <v>1517</v>
      </c>
      <c r="F71" s="1524" t="s">
        <v>1508</v>
      </c>
      <c r="G71" s="1917"/>
      <c r="H71" s="1521" t="s">
        <v>1509</v>
      </c>
      <c r="I71" s="1472"/>
      <c r="J71" s="1472"/>
      <c r="K71" s="1472"/>
      <c r="L71" s="1472"/>
      <c r="M71" s="1472"/>
      <c r="N71" s="1472"/>
      <c r="O71" s="1455"/>
      <c r="P71" s="1455"/>
      <c r="Q71" s="1455"/>
      <c r="R71" s="1455"/>
      <c r="S71" s="1946"/>
      <c r="AX71" s="1455"/>
    </row>
    <row r="72" spans="1:50" ht="15.75" customHeight="1">
      <c r="A72" s="1472"/>
      <c r="B72" s="1528"/>
      <c r="C72" s="1529"/>
      <c r="D72" s="1529"/>
      <c r="E72" s="1539"/>
      <c r="F72" s="1530"/>
      <c r="G72" s="1918"/>
      <c r="H72" s="1531">
        <f>IF(ISNUMBER(F72),C72*D72*E72*F72,C72*D72*E72)</f>
        <v>0</v>
      </c>
      <c r="I72" s="1472"/>
      <c r="J72" s="1472"/>
      <c r="K72" s="1472"/>
      <c r="L72" s="1472"/>
      <c r="M72" s="1472"/>
      <c r="N72" s="1472"/>
      <c r="O72" s="1455"/>
      <c r="P72" s="1455"/>
      <c r="Q72" s="1455"/>
      <c r="R72" s="1455"/>
      <c r="S72" s="1946"/>
      <c r="AX72" s="1455"/>
    </row>
    <row r="73" spans="1:50" ht="15.75" customHeight="1">
      <c r="A73" s="1472"/>
      <c r="B73" s="1528"/>
      <c r="C73" s="1529"/>
      <c r="D73" s="1529"/>
      <c r="E73" s="1539"/>
      <c r="F73" s="1530"/>
      <c r="G73" s="1918"/>
      <c r="H73" s="1531">
        <f>IF(ISNUMBER(F73),C73*D73*E73*F73,C73*D73*E73)</f>
        <v>0</v>
      </c>
      <c r="I73" s="1472"/>
      <c r="J73" s="1472"/>
      <c r="K73" s="1472"/>
      <c r="L73" s="1472"/>
      <c r="M73" s="1472"/>
      <c r="N73" s="1472"/>
      <c r="O73" s="1455"/>
      <c r="P73" s="1455"/>
      <c r="Q73" s="1455"/>
      <c r="R73" s="1455"/>
      <c r="S73" s="1946"/>
      <c r="AX73" s="1455"/>
    </row>
    <row r="74" spans="1:50" ht="15.75" customHeight="1">
      <c r="A74" s="1472"/>
      <c r="B74" s="1528"/>
      <c r="C74" s="1529"/>
      <c r="D74" s="1529"/>
      <c r="E74" s="1539"/>
      <c r="F74" s="1530"/>
      <c r="G74" s="1918"/>
      <c r="H74" s="1531">
        <f>IF(ISNUMBER(F74),C74*D74*E74*F74,C74*D74*E74)</f>
        <v>0</v>
      </c>
      <c r="I74" s="1472"/>
      <c r="J74" s="1472"/>
      <c r="K74" s="1472"/>
      <c r="L74" s="1472"/>
      <c r="M74" s="1472"/>
      <c r="N74" s="1472"/>
      <c r="O74" s="1455"/>
      <c r="P74" s="1455"/>
      <c r="Q74" s="1455"/>
      <c r="R74" s="1455"/>
      <c r="S74" s="1946"/>
      <c r="AX74" s="1455"/>
    </row>
    <row r="75" spans="1:50" ht="15.75" customHeight="1">
      <c r="A75" s="1472"/>
      <c r="B75" s="1528"/>
      <c r="C75" s="1529"/>
      <c r="D75" s="1529"/>
      <c r="E75" s="1539"/>
      <c r="F75" s="1530"/>
      <c r="G75" s="1918"/>
      <c r="H75" s="1531">
        <f>IF(ISNUMBER(F75),C75*D75*E75*F75,C75*D75*E75)</f>
        <v>0</v>
      </c>
      <c r="I75" s="1472"/>
      <c r="J75" s="1472"/>
      <c r="K75" s="1472"/>
      <c r="L75" s="1472"/>
      <c r="M75" s="1472"/>
      <c r="N75" s="1472"/>
      <c r="O75" s="1455"/>
      <c r="P75" s="1455"/>
      <c r="Q75" s="1455"/>
      <c r="R75" s="1455"/>
      <c r="S75" s="1946"/>
      <c r="AX75" s="1455"/>
    </row>
    <row r="76" spans="1:50" ht="15.75" customHeight="1">
      <c r="A76" s="1472"/>
      <c r="B76" s="1528"/>
      <c r="C76" s="1529"/>
      <c r="D76" s="1529"/>
      <c r="E76" s="1539"/>
      <c r="F76" s="1530"/>
      <c r="G76" s="1918"/>
      <c r="H76" s="1531">
        <f>IF(ISNUMBER(F76),C76*D76*E76*F76,C76*D76*E76)</f>
        <v>0</v>
      </c>
      <c r="I76" s="1472"/>
      <c r="J76" s="1472"/>
      <c r="K76" s="1472"/>
      <c r="L76" s="1472"/>
      <c r="M76" s="1472"/>
      <c r="N76" s="1472"/>
      <c r="O76" s="1455"/>
      <c r="P76" s="1455"/>
      <c r="Q76" s="1455"/>
      <c r="R76" s="1455"/>
      <c r="S76" s="1946"/>
      <c r="AX76" s="1455"/>
    </row>
    <row r="77" spans="1:50" ht="18.75" customHeight="1">
      <c r="A77" s="1472"/>
      <c r="B77" s="1527" t="s">
        <v>1518</v>
      </c>
      <c r="C77" s="1472"/>
      <c r="D77" s="1472"/>
      <c r="E77" s="1472"/>
      <c r="F77" s="1472"/>
      <c r="G77" s="1472"/>
      <c r="H77" s="1472"/>
      <c r="I77" s="1472"/>
      <c r="J77" s="1472"/>
      <c r="K77" s="1472"/>
      <c r="L77" s="1472"/>
      <c r="M77" s="1472"/>
      <c r="N77" s="1472"/>
      <c r="O77" s="1455"/>
      <c r="P77" s="1455"/>
      <c r="Q77" s="1455"/>
      <c r="R77" s="1455"/>
      <c r="S77" s="1946"/>
      <c r="AX77" s="1455"/>
    </row>
    <row r="78" spans="1:50" ht="51">
      <c r="A78" s="1472"/>
      <c r="B78" s="1533" t="s">
        <v>1519</v>
      </c>
      <c r="C78" s="1522" t="s">
        <v>1515</v>
      </c>
      <c r="D78" s="1522" t="s">
        <v>1516</v>
      </c>
      <c r="E78" s="1521" t="s">
        <v>1520</v>
      </c>
      <c r="F78" s="1521" t="s">
        <v>1521</v>
      </c>
      <c r="G78" s="1925"/>
      <c r="H78" s="1524" t="s">
        <v>1508</v>
      </c>
      <c r="I78" s="1521" t="s">
        <v>1509</v>
      </c>
      <c r="J78" s="1472"/>
      <c r="K78" s="1472"/>
      <c r="L78" s="1472"/>
      <c r="M78" s="1472"/>
      <c r="N78" s="1472"/>
      <c r="O78" s="1455"/>
      <c r="P78" s="1455"/>
      <c r="Q78" s="1455"/>
      <c r="R78" s="1455"/>
      <c r="S78" s="1946"/>
      <c r="AX78" s="1455"/>
    </row>
    <row r="79" spans="1:50" ht="18.75" customHeight="1">
      <c r="A79" s="1472"/>
      <c r="B79" s="1528"/>
      <c r="C79" s="1529"/>
      <c r="D79" s="1529"/>
      <c r="E79" s="1529"/>
      <c r="F79" s="1529"/>
      <c r="G79" s="1926"/>
      <c r="H79" s="1530"/>
      <c r="I79" s="1531">
        <f>IF(ISNUMBER(H79),((C79*D79*E79)+((C79*D79*F79)/3))*H79,(C79*D79*E79)+((C79*D79*F79)/3))</f>
        <v>0</v>
      </c>
      <c r="J79" s="1472"/>
      <c r="K79" s="1472"/>
      <c r="L79" s="1472"/>
      <c r="M79" s="1472"/>
      <c r="N79" s="1472"/>
      <c r="O79" s="1455"/>
      <c r="P79" s="1455"/>
      <c r="Q79" s="1455"/>
      <c r="R79" s="1455"/>
      <c r="S79" s="1946"/>
      <c r="AX79" s="1455"/>
    </row>
    <row r="80" spans="1:50" ht="18.75" customHeight="1">
      <c r="A80" s="1472"/>
      <c r="B80" s="1528"/>
      <c r="C80" s="1529"/>
      <c r="D80" s="1529"/>
      <c r="E80" s="1529"/>
      <c r="F80" s="1529"/>
      <c r="G80" s="1926"/>
      <c r="H80" s="1530"/>
      <c r="I80" s="1531">
        <f>IF(ISNUMBER(H80),((C80*D80*E80)+((C80*D80*F80)/3))*H80,(C80*D80*E80)+((C80*D80*F80)/3))</f>
        <v>0</v>
      </c>
      <c r="J80" s="1472"/>
      <c r="K80" s="1472"/>
      <c r="L80" s="1472"/>
      <c r="M80" s="1472"/>
      <c r="N80" s="1472"/>
      <c r="O80" s="1455"/>
      <c r="P80" s="1455"/>
      <c r="Q80" s="1455"/>
      <c r="R80" s="1455"/>
      <c r="S80" s="1946"/>
      <c r="AX80" s="1455"/>
    </row>
    <row r="81" spans="1:50" ht="18.75" customHeight="1">
      <c r="A81" s="1472"/>
      <c r="B81" s="1528"/>
      <c r="C81" s="1529"/>
      <c r="D81" s="1529"/>
      <c r="E81" s="1529"/>
      <c r="F81" s="1529"/>
      <c r="G81" s="1926"/>
      <c r="H81" s="1530"/>
      <c r="I81" s="1531">
        <f>IF(ISNUMBER(H81),((C81*D81*E81)+((C81*D81*F81)/3))*H81,(C81*D81*E81)+((C81*D81*F81)/3))</f>
        <v>0</v>
      </c>
      <c r="J81" s="1472"/>
      <c r="K81" s="1472"/>
      <c r="L81" s="1472"/>
      <c r="M81" s="1472"/>
      <c r="N81" s="1472"/>
      <c r="O81" s="1455"/>
      <c r="P81" s="1455"/>
      <c r="Q81" s="1455"/>
      <c r="R81" s="1455"/>
      <c r="S81" s="1946"/>
      <c r="AX81" s="1455"/>
    </row>
    <row r="82" spans="1:50" ht="18.75" customHeight="1">
      <c r="A82" s="1472"/>
      <c r="B82" s="1528"/>
      <c r="C82" s="1529"/>
      <c r="D82" s="1529"/>
      <c r="E82" s="1529"/>
      <c r="F82" s="1529"/>
      <c r="G82" s="1926"/>
      <c r="H82" s="1530"/>
      <c r="I82" s="1531">
        <f>IF(ISNUMBER(H82),((C82*D82*E82)+((C82*D82*F82)/3))*H82,(C82*D82*E82)+((C82*D82*F82)/3))</f>
        <v>0</v>
      </c>
      <c r="J82" s="1472"/>
      <c r="K82" s="1472"/>
      <c r="L82" s="1472"/>
      <c r="M82" s="1472"/>
      <c r="N82" s="1472"/>
      <c r="O82" s="1455"/>
      <c r="P82" s="1455"/>
      <c r="Q82" s="1455"/>
      <c r="R82" s="1455"/>
      <c r="S82" s="1946"/>
      <c r="AX82" s="1455"/>
    </row>
    <row r="83" spans="1:50" ht="18.75" customHeight="1">
      <c r="A83" s="1472"/>
      <c r="B83" s="1528"/>
      <c r="C83" s="1529"/>
      <c r="D83" s="1529"/>
      <c r="E83" s="1529"/>
      <c r="F83" s="1529"/>
      <c r="G83" s="1926"/>
      <c r="H83" s="1530"/>
      <c r="I83" s="1531">
        <f>IF(ISNUMBER(H83),((C83*D83*E83)+((C83*D83*F83)/3))*H83,(C83*D83*E83)+((C83*D83*F83)/3))</f>
        <v>0</v>
      </c>
      <c r="J83" s="1472"/>
      <c r="K83" s="1472"/>
      <c r="L83" s="1472"/>
      <c r="M83" s="1472"/>
      <c r="N83" s="1472"/>
      <c r="O83" s="1455"/>
      <c r="P83" s="1455"/>
      <c r="Q83" s="1455"/>
      <c r="R83" s="1455"/>
      <c r="S83" s="1946"/>
      <c r="AX83" s="1455"/>
    </row>
    <row r="84" spans="1:50" ht="9" customHeight="1">
      <c r="A84" s="1472"/>
      <c r="B84" s="1472"/>
      <c r="C84" s="1472"/>
      <c r="D84" s="1472"/>
      <c r="E84" s="1472"/>
      <c r="F84" s="1472"/>
      <c r="G84" s="1472"/>
      <c r="H84" s="1472"/>
      <c r="I84" s="1472"/>
      <c r="J84" s="1472"/>
      <c r="K84" s="1472"/>
      <c r="L84" s="1472"/>
      <c r="M84" s="1472"/>
      <c r="N84" s="1472"/>
      <c r="O84" s="1455"/>
      <c r="P84" s="1455"/>
      <c r="Q84" s="1455"/>
      <c r="R84" s="1455"/>
      <c r="S84" s="1946"/>
      <c r="AX84" s="1455"/>
    </row>
    <row r="85" spans="1:50" ht="38.25">
      <c r="A85" s="1472"/>
      <c r="B85" s="1533" t="s">
        <v>1522</v>
      </c>
      <c r="C85" s="1521" t="s">
        <v>1523</v>
      </c>
      <c r="D85" s="1521" t="s">
        <v>1524</v>
      </c>
      <c r="E85" s="1521" t="s">
        <v>1506</v>
      </c>
      <c r="F85" s="1521" t="s">
        <v>1515</v>
      </c>
      <c r="G85" s="1925"/>
      <c r="H85" s="1524" t="s">
        <v>1525</v>
      </c>
      <c r="I85" s="1521" t="s">
        <v>1509</v>
      </c>
      <c r="J85" s="1472"/>
      <c r="K85" s="1472"/>
      <c r="L85" s="1472"/>
      <c r="M85" s="1472"/>
      <c r="N85" s="1472"/>
      <c r="O85" s="1455"/>
      <c r="P85" s="1455"/>
      <c r="Q85" s="1455"/>
      <c r="R85" s="1455"/>
      <c r="S85" s="1946"/>
      <c r="AX85" s="1455"/>
    </row>
    <row r="86" spans="1:50" ht="17.25" customHeight="1">
      <c r="A86" s="1472"/>
      <c r="B86" s="1528"/>
      <c r="C86" s="1529"/>
      <c r="D86" s="1529"/>
      <c r="E86" s="1529"/>
      <c r="F86" s="1540"/>
      <c r="G86" s="1927"/>
      <c r="H86" s="1541"/>
      <c r="I86" s="1531">
        <f>IF(ISNUMBER(H86),(((((C86+D86)*E86)/2)*F86)*H86),((((C86+D86)*E86)/2)*F86))</f>
        <v>0</v>
      </c>
      <c r="J86" s="1472"/>
      <c r="K86" s="1472"/>
      <c r="L86" s="1472"/>
      <c r="M86" s="1472"/>
      <c r="N86" s="1472"/>
      <c r="O86" s="1455"/>
      <c r="P86" s="1455"/>
      <c r="Q86" s="1455"/>
      <c r="R86" s="1455"/>
      <c r="S86" s="1946"/>
      <c r="AX86" s="1455"/>
    </row>
    <row r="87" spans="1:50" ht="17.25" customHeight="1">
      <c r="A87" s="1472"/>
      <c r="B87" s="1528"/>
      <c r="C87" s="1529"/>
      <c r="D87" s="1529"/>
      <c r="E87" s="1529"/>
      <c r="F87" s="1540"/>
      <c r="G87" s="1927"/>
      <c r="H87" s="1541"/>
      <c r="I87" s="1531">
        <f>IF(ISNUMBER(H87),(((((C87+D87)*E87)/2)*F87)*H87),((((C87+D87)*E87)/2)*F87))</f>
        <v>0</v>
      </c>
      <c r="J87" s="1472"/>
      <c r="K87" s="1472"/>
      <c r="L87" s="1472"/>
      <c r="M87" s="1472"/>
      <c r="N87" s="1472"/>
      <c r="O87" s="1455"/>
      <c r="P87" s="1455"/>
      <c r="Q87" s="1455"/>
      <c r="R87" s="1455"/>
      <c r="S87" s="1946"/>
      <c r="AX87" s="1455"/>
    </row>
    <row r="88" spans="1:50" ht="17.25" customHeight="1">
      <c r="A88" s="1472"/>
      <c r="B88" s="1528"/>
      <c r="C88" s="1529"/>
      <c r="D88" s="1529"/>
      <c r="E88" s="1529"/>
      <c r="F88" s="1540"/>
      <c r="G88" s="1927"/>
      <c r="H88" s="1541"/>
      <c r="I88" s="1531">
        <f>IF(ISNUMBER(H88),(((((C88+D88)*E88)/2)*F88)*H88),((((C88+D88)*E88)/2)*F88))</f>
        <v>0</v>
      </c>
      <c r="J88" s="1472"/>
      <c r="K88" s="1472"/>
      <c r="L88" s="1472"/>
      <c r="M88" s="1472"/>
      <c r="N88" s="1472"/>
      <c r="O88" s="1455"/>
      <c r="P88" s="1455"/>
      <c r="Q88" s="1455"/>
      <c r="R88" s="1455"/>
      <c r="S88" s="1946"/>
      <c r="AX88" s="1455"/>
    </row>
    <row r="89" spans="1:50" ht="17.25" customHeight="1">
      <c r="A89" s="1472"/>
      <c r="B89" s="1528"/>
      <c r="C89" s="1529"/>
      <c r="D89" s="1529"/>
      <c r="E89" s="1529"/>
      <c r="F89" s="1540"/>
      <c r="G89" s="1927"/>
      <c r="H89" s="1541"/>
      <c r="I89" s="1531">
        <f>IF(ISNUMBER(H89),(((((C89+D89)*E89)/2)*F89)*H89),((((C89+D89)*E89)/2)*F89))</f>
        <v>0</v>
      </c>
      <c r="J89" s="1472"/>
      <c r="K89" s="1472"/>
      <c r="L89" s="1472"/>
      <c r="M89" s="1472"/>
      <c r="N89" s="1472"/>
      <c r="O89" s="1455"/>
      <c r="P89" s="1455"/>
      <c r="Q89" s="1455"/>
      <c r="R89" s="1455"/>
      <c r="S89" s="1946"/>
      <c r="AX89" s="1455"/>
    </row>
    <row r="90" spans="1:50" ht="17.25" customHeight="1">
      <c r="A90" s="1472"/>
      <c r="B90" s="1528"/>
      <c r="C90" s="1529"/>
      <c r="D90" s="1529"/>
      <c r="E90" s="1529"/>
      <c r="F90" s="1540"/>
      <c r="G90" s="1927"/>
      <c r="H90" s="1541"/>
      <c r="I90" s="1531">
        <f>IF(ISNUMBER(H90),(((((C90+D90)*E90)/2)*F90)*H90),((((C90+D90)*E90)/2)*F90))</f>
        <v>0</v>
      </c>
      <c r="J90" s="1472"/>
      <c r="K90" s="1472"/>
      <c r="L90" s="1472"/>
      <c r="M90" s="1472"/>
      <c r="N90" s="1472"/>
      <c r="O90" s="1455"/>
      <c r="P90" s="1455"/>
      <c r="Q90" s="1455"/>
      <c r="R90" s="1455"/>
      <c r="S90" s="1946"/>
      <c r="AX90" s="1455"/>
    </row>
    <row r="91" spans="1:50" ht="15.75" customHeight="1">
      <c r="A91" s="1472"/>
      <c r="B91" s="1472"/>
      <c r="C91" s="1472"/>
      <c r="D91" s="1472"/>
      <c r="E91" s="1472"/>
      <c r="F91" s="1472"/>
      <c r="G91" s="1472"/>
      <c r="H91" s="1472"/>
      <c r="I91" s="1472"/>
      <c r="J91" s="1472"/>
      <c r="K91" s="1472"/>
      <c r="L91" s="1472"/>
      <c r="M91" s="1472"/>
      <c r="N91" s="1472"/>
      <c r="O91" s="1455"/>
      <c r="P91" s="1455"/>
      <c r="Q91" s="1455"/>
      <c r="R91" s="1455"/>
      <c r="S91" s="1946"/>
      <c r="AX91" s="1455"/>
    </row>
    <row r="92" spans="1:50" ht="12.75">
      <c r="B92" s="3"/>
      <c r="C92" s="3"/>
      <c r="D92" s="3"/>
      <c r="E92" s="3"/>
      <c r="F92" s="3"/>
      <c r="G92" s="3"/>
      <c r="H92" s="3"/>
      <c r="I92" s="3"/>
      <c r="J92" s="3"/>
    </row>
    <row r="93" spans="1:50" ht="12.75">
      <c r="B93" s="3"/>
      <c r="C93" s="3"/>
      <c r="D93" s="3"/>
      <c r="E93" s="3"/>
      <c r="F93" s="3"/>
      <c r="G93" s="3"/>
      <c r="H93" s="3"/>
      <c r="I93" s="3"/>
      <c r="J93" s="3"/>
    </row>
  </sheetData>
  <sheetProtection password="CAEF" sheet="1" formatCells="0" formatColumns="0" formatRows="0"/>
  <mergeCells count="45">
    <mergeCell ref="AY1:AZ1"/>
    <mergeCell ref="BA1:BB1"/>
    <mergeCell ref="S1:S2"/>
    <mergeCell ref="I2:I32"/>
    <mergeCell ref="K21:L21"/>
    <mergeCell ref="K27:L27"/>
    <mergeCell ref="K28:L28"/>
    <mergeCell ref="K29:L29"/>
    <mergeCell ref="K20:L20"/>
    <mergeCell ref="K22:L22"/>
    <mergeCell ref="K23:L23"/>
    <mergeCell ref="K24:L24"/>
    <mergeCell ref="K25:L25"/>
    <mergeCell ref="K26:L26"/>
    <mergeCell ref="A1:H1"/>
    <mergeCell ref="K1:Q1"/>
    <mergeCell ref="K8:Q8"/>
    <mergeCell ref="K9:Q11"/>
    <mergeCell ref="O13:P15"/>
    <mergeCell ref="Q13:Q15"/>
    <mergeCell ref="O12:P12"/>
    <mergeCell ref="L12:N12"/>
    <mergeCell ref="K2:Q6"/>
    <mergeCell ref="K41:L41"/>
    <mergeCell ref="K48:L48"/>
    <mergeCell ref="K30:L30"/>
    <mergeCell ref="K31:L31"/>
    <mergeCell ref="K32:L32"/>
    <mergeCell ref="K33:L33"/>
    <mergeCell ref="K34:L34"/>
    <mergeCell ref="K35:L35"/>
    <mergeCell ref="K36:L36"/>
    <mergeCell ref="K37:L37"/>
    <mergeCell ref="K38:L38"/>
    <mergeCell ref="K39:L39"/>
    <mergeCell ref="K40:L40"/>
    <mergeCell ref="K49:L49"/>
    <mergeCell ref="K50:L50"/>
    <mergeCell ref="A54:H54"/>
    <mergeCell ref="K45:L45"/>
    <mergeCell ref="K42:L42"/>
    <mergeCell ref="K43:L43"/>
    <mergeCell ref="K44:L44"/>
    <mergeCell ref="K46:L46"/>
    <mergeCell ref="K47:L47"/>
  </mergeCells>
  <dataValidations count="4">
    <dataValidation type="list" allowBlank="1" showInputMessage="1" sqref="B15" xr:uid="{00000000-0002-0000-0A00-000000000000}">
      <formula1>$S$3:$S$15</formula1>
    </dataValidation>
    <dataValidation type="list" allowBlank="1" showInputMessage="1" sqref="B47:B51 B7:B11 B37:B41 B27:B31 B17:B21" xr:uid="{00000000-0002-0000-0A00-000001000000}">
      <formula1>$S$22:$S$47</formula1>
    </dataValidation>
    <dataValidation type="list" allowBlank="1" showInputMessage="1" sqref="B4 B14 B24 B34 B44" xr:uid="{00000000-0002-0000-0A00-000002000000}">
      <formula1>Auswahl_Kulturen</formula1>
    </dataValidation>
    <dataValidation type="list" allowBlank="1" showInputMessage="1" sqref="B35 B25 B45" xr:uid="{00000000-0002-0000-0A00-000003000000}">
      <formula1>#REF!</formula1>
    </dataValidation>
  </dataValidations>
  <hyperlinks>
    <hyperlink ref="AY1" location="Mineral!B3" display="◄" xr:uid="{00000000-0004-0000-0A00-000000000000}"/>
    <hyperlink ref="AY1:AZ1" location="Ertragsdokumentation!C3" display="◄" xr:uid="{00000000-0004-0000-0A00-000001000000}"/>
    <hyperlink ref="BA1:BB1" location="Ergebnis!A1" display="  ►" xr:uid="{00000000-0004-0000-0A00-000002000000}"/>
  </hyperlinks>
  <pageMargins left="0.71" right="0.77" top="0.51181102362204722" bottom="0.39370078740157483" header="0.31496062992125984" footer="0.31496062992125984"/>
  <pageSetup paperSize="8" scale="125" fitToHeight="2" orientation="portrait" blackAndWhite="1"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tabColor rgb="FFFFFF00"/>
    <pageSetUpPr fitToPage="1"/>
  </sheetPr>
  <dimension ref="A1:Y93"/>
  <sheetViews>
    <sheetView showZeros="0" zoomScale="75" zoomScaleNormal="75" workbookViewId="0">
      <selection activeCell="B5" sqref="B5:G5"/>
    </sheetView>
  </sheetViews>
  <sheetFormatPr baseColWidth="10" defaultColWidth="12.28515625" defaultRowHeight="12.75"/>
  <cols>
    <col min="1" max="1" width="2.28515625" customWidth="1"/>
    <col min="2" max="2" width="47.28515625" customWidth="1"/>
    <col min="3" max="3" width="9" customWidth="1"/>
    <col min="4" max="4" width="17.7109375" customWidth="1"/>
    <col min="5" max="5" width="13.7109375" customWidth="1"/>
    <col min="6" max="6" width="12.7109375" bestFit="1" customWidth="1"/>
    <col min="7" max="7" width="20.7109375" customWidth="1"/>
    <col min="8" max="8" width="22.85546875" customWidth="1"/>
    <col min="9" max="9" width="13.42578125" customWidth="1"/>
    <col min="10" max="14" width="9.85546875" customWidth="1"/>
    <col min="16" max="16" width="49.42578125" hidden="1" customWidth="1"/>
    <col min="17" max="17" width="44.5703125" hidden="1" customWidth="1"/>
    <col min="18" max="18" width="22" hidden="1" customWidth="1"/>
    <col min="19" max="20" width="12.28515625" hidden="1" customWidth="1"/>
    <col min="21" max="21" width="28.140625" hidden="1" customWidth="1"/>
    <col min="22" max="22" width="17.28515625" hidden="1" customWidth="1"/>
    <col min="23" max="23" width="14.140625" hidden="1" customWidth="1"/>
    <col min="24" max="24" width="87" hidden="1" customWidth="1"/>
    <col min="25" max="25" width="12.28515625" hidden="1" customWidth="1"/>
  </cols>
  <sheetData>
    <row r="1" spans="1:15" ht="63.2" customHeight="1">
      <c r="A1" s="1059"/>
      <c r="B1" s="1060" t="s">
        <v>395</v>
      </c>
      <c r="C1" s="1059"/>
      <c r="D1" s="1059"/>
      <c r="E1" s="1059"/>
      <c r="F1" s="1061"/>
      <c r="H1" s="1678" t="s">
        <v>891</v>
      </c>
      <c r="I1" s="2833" t="s">
        <v>867</v>
      </c>
      <c r="J1" s="2834"/>
      <c r="K1" s="2339"/>
      <c r="L1" s="2339"/>
      <c r="M1" s="2339"/>
      <c r="N1" s="2339"/>
    </row>
    <row r="2" spans="1:15" ht="33.75" customHeight="1">
      <c r="A2" s="405"/>
      <c r="B2" s="236">
        <f>Betrieb!B4</f>
        <v>0</v>
      </c>
      <c r="C2" s="379"/>
      <c r="D2" s="2045"/>
      <c r="E2" s="2044" t="s">
        <v>1317</v>
      </c>
      <c r="F2" s="808">
        <f>Betrieb!B3</f>
        <v>0</v>
      </c>
    </row>
    <row r="3" spans="1:15" ht="33.75" customHeight="1">
      <c r="A3" s="405"/>
      <c r="B3" s="2850" t="str">
        <f>CONCATENATE(Betrieb!B5,"; ",Betrieb!B6)</f>
        <v xml:space="preserve">; </v>
      </c>
      <c r="C3" s="2850"/>
      <c r="D3" s="2850"/>
      <c r="E3" s="2046" t="s">
        <v>2822</v>
      </c>
      <c r="F3" s="808">
        <f>Betrieb!D4</f>
        <v>2025</v>
      </c>
    </row>
    <row r="4" spans="1:15" ht="19.5" customHeight="1" thickBot="1">
      <c r="A4" s="405"/>
      <c r="B4" s="236"/>
      <c r="C4" s="237"/>
      <c r="D4" s="237"/>
      <c r="E4" s="238"/>
      <c r="F4" s="150"/>
    </row>
    <row r="5" spans="1:15" ht="50.25" customHeight="1" thickBot="1">
      <c r="A5" s="405"/>
      <c r="B5" s="2837" t="s">
        <v>2405</v>
      </c>
      <c r="C5" s="2838"/>
      <c r="D5" s="2838"/>
      <c r="E5" s="2838"/>
      <c r="F5" s="2838"/>
      <c r="G5" s="2839"/>
    </row>
    <row r="6" spans="1:15" ht="30" customHeight="1">
      <c r="A6" s="405"/>
      <c r="B6" s="2041" t="s">
        <v>347</v>
      </c>
      <c r="C6" s="2042"/>
      <c r="D6" s="2042"/>
      <c r="E6" s="2043"/>
      <c r="F6" s="2840">
        <f>Betrieb!D18</f>
        <v>0</v>
      </c>
      <c r="G6" s="2841"/>
    </row>
    <row r="7" spans="1:15" ht="30" customHeight="1">
      <c r="A7" s="405"/>
      <c r="B7" s="239" t="s">
        <v>1566</v>
      </c>
      <c r="C7" s="240"/>
      <c r="D7" s="240"/>
      <c r="E7" s="241"/>
      <c r="F7" s="2842">
        <f>N_Bedarf!AQ63</f>
        <v>0</v>
      </c>
      <c r="G7" s="2843"/>
    </row>
    <row r="8" spans="1:15" ht="30" customHeight="1">
      <c r="A8" s="405"/>
      <c r="B8" s="242" t="s">
        <v>348</v>
      </c>
      <c r="C8" s="243"/>
      <c r="D8" s="243"/>
      <c r="E8" s="243"/>
      <c r="F8" s="2844">
        <f>Tabelle1!AX20</f>
        <v>0</v>
      </c>
      <c r="G8" s="2845"/>
    </row>
    <row r="9" spans="1:15" ht="30" customHeight="1">
      <c r="A9" s="405"/>
      <c r="B9" s="2835" t="s">
        <v>349</v>
      </c>
      <c r="C9" s="2835"/>
      <c r="D9" s="2835"/>
      <c r="E9" s="2835"/>
      <c r="F9" s="2846">
        <f>Tabelle1!AX32</f>
        <v>0</v>
      </c>
      <c r="G9" s="2847"/>
    </row>
    <row r="10" spans="1:15" ht="30" customHeight="1">
      <c r="A10" s="405"/>
      <c r="B10" s="2835" t="s">
        <v>350</v>
      </c>
      <c r="C10" s="2835"/>
      <c r="D10" s="244"/>
      <c r="E10" s="31" t="s">
        <v>1302</v>
      </c>
      <c r="F10" s="2848">
        <f>IFERROR(IF(F11=0,0,F11/Betrieb!$D$18),"")</f>
        <v>0</v>
      </c>
      <c r="G10" s="2849"/>
    </row>
    <row r="11" spans="1:15" ht="30" customHeight="1">
      <c r="A11" s="405"/>
      <c r="B11" s="2835"/>
      <c r="C11" s="2835"/>
      <c r="D11" s="245"/>
      <c r="E11" s="246" t="s">
        <v>1303</v>
      </c>
      <c r="F11" s="2844">
        <f>Tabelle1!AX33</f>
        <v>0</v>
      </c>
      <c r="G11" s="2845"/>
    </row>
    <row r="12" spans="1:15" ht="30" customHeight="1">
      <c r="A12" s="405"/>
      <c r="B12" s="2836" t="s">
        <v>351</v>
      </c>
      <c r="C12" s="2836"/>
      <c r="D12" s="2836"/>
      <c r="E12" s="2836"/>
      <c r="F12" s="2844">
        <f>Tabelle1!AX65</f>
        <v>0</v>
      </c>
      <c r="G12" s="2845"/>
    </row>
    <row r="13" spans="1:15" ht="30" customHeight="1">
      <c r="A13" s="405"/>
      <c r="B13" s="2851" t="s">
        <v>352</v>
      </c>
      <c r="C13" s="2851"/>
      <c r="D13" s="2851"/>
      <c r="E13" s="2851"/>
      <c r="F13" s="2844">
        <f>Tabelle1!AX76</f>
        <v>0</v>
      </c>
      <c r="G13" s="2845"/>
    </row>
    <row r="14" spans="1:15" ht="30" customHeight="1">
      <c r="A14" s="405"/>
      <c r="B14" s="2835" t="s">
        <v>353</v>
      </c>
      <c r="C14" s="2835"/>
      <c r="D14" s="2835"/>
      <c r="E14" s="82" t="s">
        <v>1302</v>
      </c>
      <c r="F14" s="2844">
        <f>Tiere!F34</f>
        <v>0</v>
      </c>
      <c r="G14" s="2845"/>
      <c r="H14" s="2831" t="str">
        <f>IF($F$23="ja","",IF($F$23="NEIN",CONCATENATE("Hinweis - Gemäß Wasserrechtsgesetz 1959; Absatz 2 besteht für diesen Grenzwert (Nfeldfallend) eine Ausnahme
 für auf Gartenbauflächen ausgebrachte Handelsdünger, Klärschlamm, Kompost oder anderen zur Düngung ausgebrachten Abfällen."," Diese Düngermengen / Gartenbauflächen können entsprechend berücksichtigt werden.","")))</f>
        <v/>
      </c>
      <c r="I14" s="2832"/>
      <c r="J14" s="2832"/>
      <c r="K14" s="2832"/>
      <c r="L14" s="2832"/>
      <c r="M14" s="2832"/>
      <c r="N14" s="2832"/>
      <c r="O14" s="2832"/>
    </row>
    <row r="15" spans="1:15" ht="30" customHeight="1">
      <c r="A15" s="405"/>
      <c r="B15" s="2835"/>
      <c r="C15" s="2835"/>
      <c r="D15" s="2835"/>
      <c r="E15" s="247" t="s">
        <v>1304</v>
      </c>
      <c r="F15" s="2844">
        <f>Tabelle1!AX69</f>
        <v>0</v>
      </c>
      <c r="G15" s="2845"/>
      <c r="H15" s="2831"/>
      <c r="I15" s="2832"/>
      <c r="J15" s="2832"/>
      <c r="K15" s="2832"/>
      <c r="L15" s="2832"/>
      <c r="M15" s="2832"/>
      <c r="N15" s="2832"/>
      <c r="O15" s="2832"/>
    </row>
    <row r="16" spans="1:15" ht="30" customHeight="1">
      <c r="A16" s="405"/>
      <c r="B16" s="248" t="s">
        <v>354</v>
      </c>
      <c r="C16" s="97"/>
      <c r="D16" s="97"/>
      <c r="E16" s="249"/>
      <c r="F16" s="2844">
        <f>Tabelle1!AX78</f>
        <v>0</v>
      </c>
      <c r="G16" s="2845"/>
    </row>
    <row r="17" spans="1:25" ht="30" customHeight="1">
      <c r="A17" s="405"/>
      <c r="B17" s="250" t="s">
        <v>355</v>
      </c>
      <c r="E17" s="1"/>
      <c r="F17" s="2844">
        <f>N_Bedarf!J65</f>
        <v>0</v>
      </c>
      <c r="G17" s="2845"/>
    </row>
    <row r="18" spans="1:25" ht="30.75" customHeight="1">
      <c r="A18" s="405"/>
      <c r="B18" s="1368" t="s">
        <v>356</v>
      </c>
      <c r="C18" s="1369"/>
      <c r="D18" s="1369"/>
      <c r="E18" s="1370"/>
      <c r="F18" s="2875">
        <f>N_Bedarf!J67</f>
        <v>0</v>
      </c>
      <c r="G18" s="2876"/>
    </row>
    <row r="19" spans="1:25" ht="30.75" customHeight="1">
      <c r="A19" s="405"/>
      <c r="B19" s="1371" t="s">
        <v>357</v>
      </c>
      <c r="C19" s="1372"/>
      <c r="D19" s="1372"/>
      <c r="E19" s="1373"/>
      <c r="F19" s="2877">
        <f>N_Bedarf!M66</f>
        <v>0</v>
      </c>
      <c r="G19" s="2878"/>
    </row>
    <row r="20" spans="1:25" ht="28.5" customHeight="1">
      <c r="A20" s="405"/>
      <c r="B20" s="251"/>
      <c r="C20" s="252"/>
      <c r="D20" s="252"/>
      <c r="E20" s="253"/>
      <c r="F20" s="254"/>
    </row>
    <row r="21" spans="1:25" ht="33" customHeight="1">
      <c r="A21" s="405"/>
      <c r="B21" s="1368" t="s">
        <v>2861</v>
      </c>
      <c r="C21" s="1369"/>
      <c r="D21" s="1369"/>
      <c r="E21" s="1374"/>
      <c r="F21" s="2879" t="s">
        <v>1305</v>
      </c>
      <c r="G21" s="2880"/>
    </row>
    <row r="22" spans="1:25" ht="45.75" customHeight="1">
      <c r="A22" s="405"/>
      <c r="B22" s="2856" t="s">
        <v>2404</v>
      </c>
      <c r="C22" s="2856"/>
      <c r="D22" s="2856"/>
      <c r="E22" s="2856"/>
      <c r="F22" s="2881" t="str">
        <f>IF(F10&lt;=170,"ja","nein")</f>
        <v>ja</v>
      </c>
      <c r="G22" s="2882"/>
    </row>
    <row r="23" spans="1:25" ht="44.25" customHeight="1">
      <c r="A23" s="405"/>
      <c r="B23" s="2856" t="s">
        <v>1306</v>
      </c>
      <c r="C23" s="2856"/>
      <c r="D23" s="2856"/>
      <c r="E23" s="2856"/>
      <c r="F23" s="2864" t="str">
        <f>IF(F14=0,"ja",IF(AND(Betrieb!D11="",F14&lt;=175),"ja",IF(AND(Betrieb!D11="Nein",F14&lt;=175),"ja",IF(AND(Betrieb!D11="ja",F14&lt;=210),"ja",IF(AND(Betrieb!D11="",F14&gt;175,F14&lt;=210),"Fruchtf. definieren!","nein")))))</f>
        <v>ja</v>
      </c>
      <c r="G23" s="2865"/>
    </row>
    <row r="24" spans="1:25" ht="30" customHeight="1">
      <c r="A24" s="405"/>
      <c r="B24" s="2860" t="s">
        <v>1307</v>
      </c>
      <c r="C24" s="2860"/>
      <c r="D24" s="2860"/>
      <c r="E24" s="2860"/>
      <c r="F24" s="2866" t="str">
        <f>IF(F18&lt;=0,"ja","nein")</f>
        <v>ja</v>
      </c>
      <c r="G24" s="2867"/>
    </row>
    <row r="25" spans="1:25" ht="30" customHeight="1">
      <c r="A25" s="405"/>
      <c r="B25" s="2853" t="s">
        <v>2403</v>
      </c>
      <c r="C25" s="2854"/>
      <c r="D25" s="2854"/>
      <c r="E25" s="2855"/>
      <c r="F25" s="2868" t="str">
        <f>IF(AND(Mineral!$I$28&lt;=0,$F$10&lt;=170,$F$18&lt;=0,$F$23="ja"),"ja",IF(AND(Mineral!$I$28&lt;=0,OR($F$10&gt;170,$F$19&gt;0,$F$23="nein")),"nein",IF(AND(Mineral!$I$28&gt;0,F19&lt;=0),"ja",IF(AND(Mineral!$I$28&gt;0,F19&gt;0),IF(AND($F$19&gt;0,Mineral!$I$28&gt;0),"nein","nein")))))</f>
        <v>ja</v>
      </c>
      <c r="G25" s="2869"/>
    </row>
    <row r="26" spans="1:25" ht="50.25" customHeight="1">
      <c r="A26" s="405"/>
      <c r="B26" s="2792" t="str">
        <f>IFERROR(IF(AND(Mineral!$I$28&gt;0,N_Bedarf!M65&gt;=100),CONCATENATE("Obergrenze von 100 kg P2O5 je ha eingehalten:",
" nein, ",ROUND(N_Bedarf!M65,1)," kg je ha dokumentiert.
Nachweis eines erhöhten P-Bedarfs anhand Bodenuntersuchung(en) erforderlich"),IF(AND(Mineral!$I$28&lt;=0,N_Bedarf!M65&gt;=100),CONCATENATE("Obergrenze von 100 kg P2O5 je ha: ",ROUND(N_Bedarf!$M$65,1)," kg je ha dokumentiert. Vorgabe gilt als Eingehalten, da kein mineralischer P Dünger am Betrieb und 170 kg NaL Grenze als eingehalten gilt"),IF(AND(Mineral!$I$28&gt;0,N_Bedarf!M65&lt;100),CONCATENATE("Obergrenze von 100 kg P2O5 je ha eingehalten: ","ja, ",ROUND(N_Bedarf!$M$65,1)," kg je ha dokumentiert"),IF(N_Bedarf!M65&lt;100,CONCATENATE("Obergrenze von 100 kg P2O5 je ha eingehalten: ",ROUND(N_Bedarf!$M$65,1)," kg je ha dokumentiert"),"")))),"")</f>
        <v>Obergrenze von 100 kg P2O5 je ha eingehalten: 0 kg je ha dokumentiert</v>
      </c>
      <c r="C26" s="2586"/>
      <c r="D26" s="2586"/>
      <c r="E26" s="2586"/>
      <c r="F26" s="2586"/>
      <c r="G26" s="2587"/>
    </row>
    <row r="27" spans="1:25" ht="30" customHeight="1">
      <c r="A27" s="405"/>
      <c r="B27" s="2857" t="str">
        <f>Tabelle1!DD23</f>
        <v/>
      </c>
      <c r="C27" s="2858"/>
      <c r="D27" s="2858"/>
      <c r="E27" s="2859"/>
      <c r="F27" s="2870" t="str">
        <f>IF(Tabelle1!DE23=1,"Achtung!","")</f>
        <v/>
      </c>
      <c r="G27" s="2871"/>
    </row>
    <row r="28" spans="1:25" ht="35.1" customHeight="1"/>
    <row r="29" spans="1:25" ht="45.75" customHeight="1" thickBot="1">
      <c r="A29" s="405"/>
      <c r="B29" s="2861" t="s">
        <v>2824</v>
      </c>
      <c r="C29" s="2862"/>
      <c r="D29" s="2862"/>
      <c r="E29" s="2862"/>
      <c r="F29" s="2862"/>
      <c r="G29" s="2863"/>
    </row>
    <row r="30" spans="1:25" ht="45" customHeight="1" thickBot="1">
      <c r="A30" s="405"/>
      <c r="B30" s="1954" t="s">
        <v>1308</v>
      </c>
      <c r="C30" s="1955" t="s">
        <v>1309</v>
      </c>
      <c r="D30" s="1956" t="s">
        <v>1310</v>
      </c>
      <c r="E30" s="1957" t="s">
        <v>362</v>
      </c>
      <c r="F30" s="1957" t="s">
        <v>363</v>
      </c>
      <c r="G30" s="1958" t="s">
        <v>2558</v>
      </c>
      <c r="P30" s="2047" t="s">
        <v>398</v>
      </c>
      <c r="Q30" s="2049" t="s">
        <v>2572</v>
      </c>
      <c r="R30" s="2034" t="s">
        <v>2820</v>
      </c>
      <c r="S30" s="2773" t="s">
        <v>2409</v>
      </c>
      <c r="T30" s="2774"/>
      <c r="U30" s="2317" t="s">
        <v>2753</v>
      </c>
      <c r="V30" s="2317" t="s">
        <v>2827</v>
      </c>
      <c r="W30" s="2334" t="s">
        <v>2941</v>
      </c>
    </row>
    <row r="31" spans="1:25" ht="26.1" customHeight="1" thickBot="1">
      <c r="A31" s="405"/>
      <c r="B31" s="255">
        <f>N_Bedarf!C5</f>
        <v>0</v>
      </c>
      <c r="C31" s="256">
        <f>N_Bedarf!E5</f>
        <v>0</v>
      </c>
      <c r="D31" s="257">
        <f>N_Bedarf!F5</f>
        <v>0</v>
      </c>
      <c r="E31" s="257">
        <f>N_Bedarf!I5</f>
        <v>0</v>
      </c>
      <c r="F31" s="258">
        <f>N_Bedarf!J5</f>
        <v>0</v>
      </c>
      <c r="G31" s="2039" t="str">
        <f t="shared" ref="G31:G68" si="0">IFERROR(IF(B31="diverse Grünbrachen zB Biodiv.","",IF(V31="JA",CONCATENATE(VLOOKUP($P31,$P$31:$U$81,4,0)," ",VLOOKUP($P31,$P$31:$U$81,5,0)),IF(V31="NEIN","Ertragslage &lt; hoch1",""))),"")</f>
        <v/>
      </c>
      <c r="H31" s="2829" t="str">
        <f>IFERROR(X31,"")</f>
        <v/>
      </c>
      <c r="I31" s="2830"/>
      <c r="J31" s="2830"/>
      <c r="K31" s="2830"/>
      <c r="L31" s="2830"/>
      <c r="M31" s="2830"/>
      <c r="N31" s="2830"/>
      <c r="O31" s="2830"/>
      <c r="P31" s="2338" t="str">
        <f>IF(B31&gt;0,CONCATENATE(B31,Ertragsdokumentation!B10,Ertragsdokumentation!E10),"")</f>
        <v/>
      </c>
      <c r="Q31" s="2320" t="str">
        <f>VLOOKUP(P31,Ertragsdokumentation!$AI$10:$AO$60,2,0)</f>
        <v/>
      </c>
      <c r="R31" s="2320" t="str">
        <f>VLOOKUP(P31,Ertragsdokumentation!$AI$10:$AO$60,3,0)</f>
        <v/>
      </c>
      <c r="S31" s="2320" t="str">
        <f>VLOOKUP(P31,Ertragsdokumentation!$AI$10:$AO$60,4,0)</f>
        <v/>
      </c>
      <c r="T31" s="2320" t="str">
        <f>VLOOKUP(P31,Ertragsdokumentation!$AI$10:$AO$60,5,0)</f>
        <v/>
      </c>
      <c r="U31" s="2320" t="str">
        <f>VLOOKUP(P31,Ertragsdokumentation!$AI$10:$AO$60,6,0)</f>
        <v/>
      </c>
      <c r="V31" s="2332" t="str">
        <f>IF(W31&gt;0,"JA",IF(AND(W31&lt;1,Ertragsdokumentation!D10="",Ertragsdokumentation!A10&lt;&gt;"",Ertragsdokumentation!B10&lt;&gt;""),"NEIN",IF(AND(W31&lt;1,Ertragsdokumentation!D10&gt;0,Ertragsdokumentation!A10&lt;&gt;"",Ertragsdokumentation!B10&lt;&gt;"",Ertragsdokumentation!C10&lt;&gt;""),"JA","")))</f>
        <v/>
      </c>
      <c r="W31" s="2333">
        <f>IF(OR(N_Bedarf!$F5=N_Bedarf!$AV$70,N_Bedarf!$F5=N_Bedarf!$AV$71,N_Bedarf!$F5=N_Bedarf!$AV$72,N_Bedarf!$F5=N_Bedarf!$AV$73,N_Bedarf!$F5=N_Bedarf!$AV$74,N_Bedarf!$F5=N_Bedarf!$AV$75),1,0)</f>
        <v>0</v>
      </c>
      <c r="X31" s="2335" t="str">
        <f>IF(AND(VLOOKUP(P31,Ertragsdokumentation!$AI$10:$AO$60,7,0)=1,Ertragsdokumentation!D10=""),CONCATENATE("Ertragsdokumentation für ",B31," ","Ertragslage ",D31," fehlt"),"")</f>
        <v/>
      </c>
      <c r="Y31" s="2336">
        <f>IF(AND(VLOOKUP(P31,Ertragsdokumentation!$AI$10:$AO$60,7,0)=1,Ertragsdokumentation!D10=""),1,0)</f>
        <v>0</v>
      </c>
    </row>
    <row r="32" spans="1:25" ht="26.1" customHeight="1" thickBot="1">
      <c r="A32" s="405"/>
      <c r="B32" s="255">
        <f>N_Bedarf!C6</f>
        <v>0</v>
      </c>
      <c r="C32" s="256">
        <f>N_Bedarf!E6</f>
        <v>0</v>
      </c>
      <c r="D32" s="257">
        <f>N_Bedarf!F6</f>
        <v>0</v>
      </c>
      <c r="E32" s="257">
        <f>N_Bedarf!I6</f>
        <v>0</v>
      </c>
      <c r="F32" s="258">
        <f>N_Bedarf!J6</f>
        <v>0</v>
      </c>
      <c r="G32" s="2039" t="str">
        <f t="shared" si="0"/>
        <v/>
      </c>
      <c r="H32" s="2829" t="str">
        <f t="shared" ref="H32:H43" si="1">IFERROR(X32,"")</f>
        <v/>
      </c>
      <c r="I32" s="2830"/>
      <c r="J32" s="2830"/>
      <c r="K32" s="2830"/>
      <c r="L32" s="2830"/>
      <c r="M32" s="2830"/>
      <c r="N32" s="2830"/>
      <c r="O32" s="2830"/>
      <c r="P32" s="2338" t="str">
        <f>IF(B32&gt;0,CONCATENATE(B32,Ertragsdokumentation!B11,Ertragsdokumentation!E11),"")</f>
        <v/>
      </c>
      <c r="Q32" s="2320" t="str">
        <f>VLOOKUP(P32,Ertragsdokumentation!$AI$10:$AO$60,2,0)</f>
        <v/>
      </c>
      <c r="R32" s="2320" t="str">
        <f>VLOOKUP(P32,Ertragsdokumentation!$AI$10:$AO$60,3,0)</f>
        <v/>
      </c>
      <c r="S32" s="2320" t="str">
        <f>VLOOKUP(P32,Ertragsdokumentation!$AI$10:$AO$60,4,0)</f>
        <v/>
      </c>
      <c r="T32" s="2320" t="str">
        <f>VLOOKUP(P32,Ertragsdokumentation!$AI$10:$AO$60,5,0)</f>
        <v/>
      </c>
      <c r="U32" s="2320" t="str">
        <f>VLOOKUP(P32,Ertragsdokumentation!$AI$10:$AO$60,6,0)</f>
        <v/>
      </c>
      <c r="V32" s="2332" t="str">
        <f>IF(W32&gt;0,"JA",IF(AND(W32&lt;1,Ertragsdokumentation!D11="",Ertragsdokumentation!A11&lt;&gt;"",Ertragsdokumentation!B11&lt;&gt;""),"NEIN",IF(AND(W32&lt;1,Ertragsdokumentation!D11&gt;0,Ertragsdokumentation!A11&lt;&gt;"",Ertragsdokumentation!B11&lt;&gt;"",Ertragsdokumentation!C11&lt;&gt;""),"JA","")))</f>
        <v/>
      </c>
      <c r="W32" s="2333">
        <f>IF(OR(N_Bedarf!$F6=N_Bedarf!$AV$70,N_Bedarf!$F6=N_Bedarf!$AV$71,N_Bedarf!$F6=N_Bedarf!$AV$72,N_Bedarf!$F6=N_Bedarf!$AV$73,N_Bedarf!$F6=N_Bedarf!$AV$74,N_Bedarf!$F6=N_Bedarf!$AV$75),1,0)</f>
        <v>0</v>
      </c>
      <c r="X32" s="2335" t="str">
        <f>IF(AND(VLOOKUP(P32,Ertragsdokumentation!$AI$10:$AO$60,7,0)=1,Ertragsdokumentation!D11=""),CONCATENATE("Ertragsdokumentation für ",B32," ","Ertragslage ",D32," fehlt"),"")</f>
        <v/>
      </c>
      <c r="Y32" s="2336">
        <f>IF(AND(VLOOKUP(P32,Ertragsdokumentation!$AI$10:$AO$60,7,0)=1,Ertragsdokumentation!D11=""),1,0)</f>
        <v>0</v>
      </c>
    </row>
    <row r="33" spans="1:25" ht="26.1" customHeight="1" thickBot="1">
      <c r="A33" s="405"/>
      <c r="B33" s="255">
        <f>N_Bedarf!C7</f>
        <v>0</v>
      </c>
      <c r="C33" s="256">
        <f>N_Bedarf!E7</f>
        <v>0</v>
      </c>
      <c r="D33" s="257">
        <f>N_Bedarf!F7</f>
        <v>0</v>
      </c>
      <c r="E33" s="257">
        <f>N_Bedarf!I7</f>
        <v>0</v>
      </c>
      <c r="F33" s="258">
        <f>N_Bedarf!J7</f>
        <v>0</v>
      </c>
      <c r="G33" s="2039" t="str">
        <f t="shared" si="0"/>
        <v/>
      </c>
      <c r="H33" s="2829" t="str">
        <f t="shared" si="1"/>
        <v/>
      </c>
      <c r="I33" s="2830"/>
      <c r="J33" s="2830"/>
      <c r="K33" s="2830"/>
      <c r="L33" s="2830"/>
      <c r="M33" s="2830"/>
      <c r="N33" s="2830"/>
      <c r="O33" s="2830"/>
      <c r="P33" s="2338" t="str">
        <f>IF(B33&gt;0,CONCATENATE(B33,Ertragsdokumentation!B12,Ertragsdokumentation!E12),"")</f>
        <v/>
      </c>
      <c r="Q33" s="2320" t="str">
        <f>VLOOKUP(P33,Ertragsdokumentation!$AI$10:$AO$60,2,0)</f>
        <v/>
      </c>
      <c r="R33" s="2320" t="str">
        <f>VLOOKUP(P33,Ertragsdokumentation!$AI$10:$AO$60,3,0)</f>
        <v/>
      </c>
      <c r="S33" s="2320" t="str">
        <f>VLOOKUP(P33,Ertragsdokumentation!$AI$10:$AO$60,4,0)</f>
        <v/>
      </c>
      <c r="T33" s="2320" t="str">
        <f>VLOOKUP(P33,Ertragsdokumentation!$AI$10:$AO$60,5,0)</f>
        <v/>
      </c>
      <c r="U33" s="2320" t="str">
        <f>VLOOKUP(P33,Ertragsdokumentation!$AI$10:$AO$60,6,0)</f>
        <v/>
      </c>
      <c r="V33" s="2332" t="str">
        <f>IF(W33&gt;0,"JA",IF(AND(W33&lt;1,Ertragsdokumentation!D12="",Ertragsdokumentation!A12&lt;&gt;"",Ertragsdokumentation!B12&lt;&gt;""),"NEIN",IF(AND(W33&lt;1,Ertragsdokumentation!D12&gt;0,Ertragsdokumentation!A12&lt;&gt;"",Ertragsdokumentation!B12&lt;&gt;"",Ertragsdokumentation!C12&lt;&gt;""),"JA","")))</f>
        <v/>
      </c>
      <c r="W33" s="2333">
        <f>IF(OR(N_Bedarf!$F7=N_Bedarf!$AV$70,N_Bedarf!$F7=N_Bedarf!$AV$71,N_Bedarf!$F7=N_Bedarf!$AV$72,N_Bedarf!$F7=N_Bedarf!$AV$73,N_Bedarf!$F7=N_Bedarf!$AV$74,N_Bedarf!$F7=N_Bedarf!$AV$75),1,0)</f>
        <v>0</v>
      </c>
      <c r="X33" s="2335" t="str">
        <f>IF(AND(VLOOKUP(P33,Ertragsdokumentation!$AI$10:$AO$60,7,0)=1,Ertragsdokumentation!D12=""),CONCATENATE("Ertragsdokumentation für ",B33," ","Ertragslage ",D33," fehlt"),"")</f>
        <v/>
      </c>
      <c r="Y33" s="2336">
        <f>IF(AND(VLOOKUP(P33,Ertragsdokumentation!$AI$10:$AO$60,7,0)=1,Ertragsdokumentation!D12=""),1,0)</f>
        <v>0</v>
      </c>
    </row>
    <row r="34" spans="1:25" ht="26.1" customHeight="1" thickBot="1">
      <c r="A34" s="405"/>
      <c r="B34" s="255">
        <f>N_Bedarf!C8</f>
        <v>0</v>
      </c>
      <c r="C34" s="256">
        <f>N_Bedarf!E8</f>
        <v>0</v>
      </c>
      <c r="D34" s="257">
        <f>N_Bedarf!F8</f>
        <v>0</v>
      </c>
      <c r="E34" s="257">
        <f>N_Bedarf!I8</f>
        <v>0</v>
      </c>
      <c r="F34" s="258">
        <f>N_Bedarf!J8</f>
        <v>0</v>
      </c>
      <c r="G34" s="2039" t="str">
        <f t="shared" si="0"/>
        <v/>
      </c>
      <c r="H34" s="2829" t="str">
        <f t="shared" si="1"/>
        <v/>
      </c>
      <c r="I34" s="2830"/>
      <c r="J34" s="2830"/>
      <c r="K34" s="2830"/>
      <c r="L34" s="2830"/>
      <c r="M34" s="2830"/>
      <c r="N34" s="2830"/>
      <c r="O34" s="2830"/>
      <c r="P34" s="2338" t="str">
        <f>IF(B34&gt;0,CONCATENATE(B34,Ertragsdokumentation!B13,Ertragsdokumentation!E13),"")</f>
        <v/>
      </c>
      <c r="Q34" s="2320" t="str">
        <f>VLOOKUP(P34,Ertragsdokumentation!$AI$10:$AO$60,2,0)</f>
        <v/>
      </c>
      <c r="R34" s="2320" t="str">
        <f>VLOOKUP(P34,Ertragsdokumentation!$AI$10:$AO$60,3,0)</f>
        <v/>
      </c>
      <c r="S34" s="2320" t="str">
        <f>VLOOKUP(P34,Ertragsdokumentation!$AI$10:$AO$60,4,0)</f>
        <v/>
      </c>
      <c r="T34" s="2320" t="str">
        <f>VLOOKUP(P34,Ertragsdokumentation!$AI$10:$AO$60,5,0)</f>
        <v/>
      </c>
      <c r="U34" s="2320" t="str">
        <f>VLOOKUP(P34,Ertragsdokumentation!$AI$10:$AO$60,6,0)</f>
        <v/>
      </c>
      <c r="V34" s="2332" t="str">
        <f>IF(W34&gt;0,"JA",IF(AND(W34&lt;1,Ertragsdokumentation!D13="",Ertragsdokumentation!A13&lt;&gt;"",Ertragsdokumentation!B13&lt;&gt;""),"NEIN",IF(AND(W34&lt;1,Ertragsdokumentation!D13&gt;0,Ertragsdokumentation!A13&lt;&gt;"",Ertragsdokumentation!B13&lt;&gt;"",Ertragsdokumentation!C13&lt;&gt;""),"JA","")))</f>
        <v/>
      </c>
      <c r="W34" s="2333">
        <f>IF(OR(N_Bedarf!$F8=N_Bedarf!$AV$70,N_Bedarf!$F8=N_Bedarf!$AV$71,N_Bedarf!$F8=N_Bedarf!$AV$72,N_Bedarf!$F8=N_Bedarf!$AV$73,N_Bedarf!$F8=N_Bedarf!$AV$74,N_Bedarf!$F8=N_Bedarf!$AV$75),1,0)</f>
        <v>0</v>
      </c>
      <c r="X34" s="2335" t="str">
        <f>IF(AND(VLOOKUP(P34,Ertragsdokumentation!$AI$10:$AO$60,7,0)=1,Ertragsdokumentation!D13=""),CONCATENATE("Ertragsdokumentation für ",B34," ","Ertragslage ",D34," fehlt"),"")</f>
        <v/>
      </c>
      <c r="Y34" s="2336">
        <f>IF(AND(VLOOKUP(P34,Ertragsdokumentation!$AI$10:$AO$60,7,0)=1,Ertragsdokumentation!D13=""),1,0)</f>
        <v>0</v>
      </c>
    </row>
    <row r="35" spans="1:25" ht="26.1" customHeight="1" thickBot="1">
      <c r="A35" s="405"/>
      <c r="B35" s="255">
        <f>N_Bedarf!C9</f>
        <v>0</v>
      </c>
      <c r="C35" s="256">
        <f>N_Bedarf!E9</f>
        <v>0</v>
      </c>
      <c r="D35" s="257">
        <f>N_Bedarf!F9</f>
        <v>0</v>
      </c>
      <c r="E35" s="257">
        <f>N_Bedarf!I9</f>
        <v>0</v>
      </c>
      <c r="F35" s="258">
        <f>N_Bedarf!J9</f>
        <v>0</v>
      </c>
      <c r="G35" s="2039" t="str">
        <f t="shared" si="0"/>
        <v/>
      </c>
      <c r="H35" s="2829" t="str">
        <f t="shared" si="1"/>
        <v/>
      </c>
      <c r="I35" s="2830"/>
      <c r="J35" s="2830"/>
      <c r="K35" s="2830"/>
      <c r="L35" s="2830"/>
      <c r="M35" s="2830"/>
      <c r="N35" s="2830"/>
      <c r="O35" s="2830"/>
      <c r="P35" s="2338" t="str">
        <f>IF(B35&gt;0,CONCATENATE(B35,Ertragsdokumentation!B14,Ertragsdokumentation!E14),"")</f>
        <v/>
      </c>
      <c r="Q35" s="2320" t="str">
        <f>VLOOKUP(P35,Ertragsdokumentation!$AI$10:$AO$60,2,0)</f>
        <v/>
      </c>
      <c r="R35" s="2320" t="str">
        <f>VLOOKUP(P35,Ertragsdokumentation!$AI$10:$AO$60,3,0)</f>
        <v/>
      </c>
      <c r="S35" s="2320" t="str">
        <f>VLOOKUP(P35,Ertragsdokumentation!$AI$10:$AO$60,4,0)</f>
        <v/>
      </c>
      <c r="T35" s="2320" t="str">
        <f>VLOOKUP(P35,Ertragsdokumentation!$AI$10:$AO$60,5,0)</f>
        <v/>
      </c>
      <c r="U35" s="2320" t="str">
        <f>VLOOKUP(P35,Ertragsdokumentation!$AI$10:$AO$60,6,0)</f>
        <v/>
      </c>
      <c r="V35" s="2332" t="str">
        <f>IF(W35&gt;0,"JA",IF(AND(W35&lt;1,Ertragsdokumentation!D14="",Ertragsdokumentation!A14&lt;&gt;"",Ertragsdokumentation!B14&lt;&gt;""),"NEIN",IF(AND(W35&lt;1,Ertragsdokumentation!D14&gt;0,Ertragsdokumentation!A14&lt;&gt;"",Ertragsdokumentation!B14&lt;&gt;"",Ertragsdokumentation!C14&lt;&gt;""),"JA","")))</f>
        <v/>
      </c>
      <c r="W35" s="2333">
        <f>IF(OR(N_Bedarf!$F9=N_Bedarf!$AV$70,N_Bedarf!$F9=N_Bedarf!$AV$71,N_Bedarf!$F9=N_Bedarf!$AV$72,N_Bedarf!$F9=N_Bedarf!$AV$73,N_Bedarf!$F9=N_Bedarf!$AV$74,N_Bedarf!$F9=N_Bedarf!$AV$75),1,0)</f>
        <v>0</v>
      </c>
      <c r="X35" s="2335" t="str">
        <f>IF(AND(VLOOKUP(P35,Ertragsdokumentation!$AI$10:$AO$60,7,0)=1,Ertragsdokumentation!D14=""),CONCATENATE("Ertragsdokumentation für ",B35," ","Ertragslage ",D35," fehlt"),"")</f>
        <v/>
      </c>
      <c r="Y35" s="2336">
        <f>IF(AND(VLOOKUP(P35,Ertragsdokumentation!$AI$10:$AO$60,7,0)=1,Ertragsdokumentation!D14=""),1,0)</f>
        <v>0</v>
      </c>
    </row>
    <row r="36" spans="1:25" ht="26.1" customHeight="1" thickBot="1">
      <c r="A36" s="405"/>
      <c r="B36" s="255">
        <f>N_Bedarf!C10</f>
        <v>0</v>
      </c>
      <c r="C36" s="256">
        <f>N_Bedarf!E10</f>
        <v>0</v>
      </c>
      <c r="D36" s="257">
        <f>N_Bedarf!F10</f>
        <v>0</v>
      </c>
      <c r="E36" s="257">
        <f>N_Bedarf!I10</f>
        <v>0</v>
      </c>
      <c r="F36" s="258">
        <f>N_Bedarf!J10</f>
        <v>0</v>
      </c>
      <c r="G36" s="2039" t="str">
        <f t="shared" si="0"/>
        <v/>
      </c>
      <c r="H36" s="2829" t="str">
        <f t="shared" si="1"/>
        <v/>
      </c>
      <c r="I36" s="2830"/>
      <c r="J36" s="2830"/>
      <c r="K36" s="2830"/>
      <c r="L36" s="2830"/>
      <c r="M36" s="2830"/>
      <c r="N36" s="2830"/>
      <c r="O36" s="2830"/>
      <c r="P36" s="2338" t="str">
        <f>IF(B36&gt;0,CONCATENATE(B36,Ertragsdokumentation!B15,Ertragsdokumentation!E15),"")</f>
        <v/>
      </c>
      <c r="Q36" s="2320" t="str">
        <f>VLOOKUP(P36,Ertragsdokumentation!$AI$10:$AO$60,2,0)</f>
        <v/>
      </c>
      <c r="R36" s="2320" t="str">
        <f>VLOOKUP(P36,Ertragsdokumentation!$AI$10:$AO$60,3,0)</f>
        <v/>
      </c>
      <c r="S36" s="2320" t="str">
        <f>VLOOKUP(P36,Ertragsdokumentation!$AI$10:$AO$60,4,0)</f>
        <v/>
      </c>
      <c r="T36" s="2320" t="str">
        <f>VLOOKUP(P36,Ertragsdokumentation!$AI$10:$AO$60,5,0)</f>
        <v/>
      </c>
      <c r="U36" s="2320" t="str">
        <f>VLOOKUP(P36,Ertragsdokumentation!$AI$10:$AO$60,6,0)</f>
        <v/>
      </c>
      <c r="V36" s="2332" t="str">
        <f>IF(W36&gt;0,"JA",IF(AND(W36&lt;1,Ertragsdokumentation!D15="",Ertragsdokumentation!A15&lt;&gt;"",Ertragsdokumentation!B15&lt;&gt;""),"NEIN",IF(AND(W36&lt;1,Ertragsdokumentation!D15&gt;0,Ertragsdokumentation!A15&lt;&gt;"",Ertragsdokumentation!B15&lt;&gt;"",Ertragsdokumentation!C15&lt;&gt;""),"JA","")))</f>
        <v/>
      </c>
      <c r="W36" s="2333">
        <f>IF(OR(N_Bedarf!$F10=N_Bedarf!$AV$70,N_Bedarf!$F10=N_Bedarf!$AV$71,N_Bedarf!$F10=N_Bedarf!$AV$72,N_Bedarf!$F10=N_Bedarf!$AV$73,N_Bedarf!$F10=N_Bedarf!$AV$74,N_Bedarf!$F10=N_Bedarf!$AV$75),1,0)</f>
        <v>0</v>
      </c>
      <c r="X36" s="2335" t="str">
        <f>IF(AND(VLOOKUP(P36,Ertragsdokumentation!$AI$10:$AO$60,7,0)=1,Ertragsdokumentation!D15=""),CONCATENATE("Ertragsdokumentation für ",B36," ","Ertragslage ",D36," fehlt"),"")</f>
        <v/>
      </c>
      <c r="Y36" s="2336">
        <f>IF(AND(VLOOKUP(P36,Ertragsdokumentation!$AI$10:$AO$60,7,0)=1,Ertragsdokumentation!D15=""),1,0)</f>
        <v>0</v>
      </c>
    </row>
    <row r="37" spans="1:25" ht="26.1" customHeight="1" thickBot="1">
      <c r="A37" s="405"/>
      <c r="B37" s="255">
        <f>N_Bedarf!C11</f>
        <v>0</v>
      </c>
      <c r="C37" s="256">
        <f>N_Bedarf!E11</f>
        <v>0</v>
      </c>
      <c r="D37" s="257">
        <f>N_Bedarf!F11</f>
        <v>0</v>
      </c>
      <c r="E37" s="257">
        <f>N_Bedarf!I11</f>
        <v>0</v>
      </c>
      <c r="F37" s="258">
        <f>N_Bedarf!J11</f>
        <v>0</v>
      </c>
      <c r="G37" s="2039" t="str">
        <f t="shared" si="0"/>
        <v/>
      </c>
      <c r="H37" s="2829" t="str">
        <f t="shared" si="1"/>
        <v/>
      </c>
      <c r="I37" s="2830"/>
      <c r="J37" s="2830"/>
      <c r="K37" s="2830"/>
      <c r="L37" s="2830"/>
      <c r="M37" s="2830"/>
      <c r="N37" s="2830"/>
      <c r="O37" s="2830"/>
      <c r="P37" s="2338" t="str">
        <f>IF(B37&gt;0,CONCATENATE(B37,Ertragsdokumentation!B16,Ertragsdokumentation!E16),"")</f>
        <v/>
      </c>
      <c r="Q37" s="2320" t="str">
        <f>VLOOKUP(P37,Ertragsdokumentation!$AI$10:$AO$60,2,0)</f>
        <v/>
      </c>
      <c r="R37" s="2320" t="str">
        <f>VLOOKUP(P37,Ertragsdokumentation!$AI$10:$AO$60,3,0)</f>
        <v/>
      </c>
      <c r="S37" s="2320" t="str">
        <f>VLOOKUP(P37,Ertragsdokumentation!$AI$10:$AO$60,4,0)</f>
        <v/>
      </c>
      <c r="T37" s="2320" t="str">
        <f>VLOOKUP(P37,Ertragsdokumentation!$AI$10:$AO$60,5,0)</f>
        <v/>
      </c>
      <c r="U37" s="2320" t="str">
        <f>VLOOKUP(P37,Ertragsdokumentation!$AI$10:$AO$60,6,0)</f>
        <v/>
      </c>
      <c r="V37" s="2332" t="str">
        <f>IF(W37&gt;0,"JA",IF(AND(W37&lt;1,Ertragsdokumentation!D16="",Ertragsdokumentation!A16&lt;&gt;"",Ertragsdokumentation!B16&lt;&gt;""),"NEIN",IF(AND(W37&lt;1,Ertragsdokumentation!D16&gt;0,Ertragsdokumentation!A16&lt;&gt;"",Ertragsdokumentation!B16&lt;&gt;"",Ertragsdokumentation!C16&lt;&gt;""),"JA","")))</f>
        <v/>
      </c>
      <c r="W37" s="2333">
        <f>IF(OR(N_Bedarf!$F11=N_Bedarf!$AV$70,N_Bedarf!$F11=N_Bedarf!$AV$71,N_Bedarf!$F11=N_Bedarf!$AV$72,N_Bedarf!$F11=N_Bedarf!$AV$73,N_Bedarf!$F11=N_Bedarf!$AV$74,N_Bedarf!$F11=N_Bedarf!$AV$75),1,0)</f>
        <v>0</v>
      </c>
      <c r="X37" s="2335" t="str">
        <f>IF(AND(VLOOKUP(P37,Ertragsdokumentation!$AI$10:$AO$60,7,0)=1,Ertragsdokumentation!D16=""),CONCATENATE("Ertragsdokumentation für ",B37," ","Ertragslage ",D37," fehlt"),"")</f>
        <v/>
      </c>
      <c r="Y37" s="2336">
        <f>IF(AND(VLOOKUP(P37,Ertragsdokumentation!$AI$10:$AO$60,7,0)=1,Ertragsdokumentation!D16=""),1,0)</f>
        <v>0</v>
      </c>
    </row>
    <row r="38" spans="1:25" ht="26.1" customHeight="1" thickBot="1">
      <c r="A38" s="405"/>
      <c r="B38" s="255">
        <f>N_Bedarf!C12</f>
        <v>0</v>
      </c>
      <c r="C38" s="256">
        <f>N_Bedarf!E12</f>
        <v>0</v>
      </c>
      <c r="D38" s="257">
        <f>N_Bedarf!F12</f>
        <v>0</v>
      </c>
      <c r="E38" s="257">
        <f>N_Bedarf!I12</f>
        <v>0</v>
      </c>
      <c r="F38" s="258">
        <f>N_Bedarf!J12</f>
        <v>0</v>
      </c>
      <c r="G38" s="2039" t="str">
        <f t="shared" si="0"/>
        <v/>
      </c>
      <c r="H38" s="2829" t="str">
        <f t="shared" si="1"/>
        <v/>
      </c>
      <c r="I38" s="2830"/>
      <c r="J38" s="2830"/>
      <c r="K38" s="2830"/>
      <c r="L38" s="2830"/>
      <c r="M38" s="2830"/>
      <c r="N38" s="2830"/>
      <c r="O38" s="2830"/>
      <c r="P38" s="2338" t="str">
        <f>IF(B38&gt;0,CONCATENATE(B38,Ertragsdokumentation!B17,Ertragsdokumentation!E17),"")</f>
        <v/>
      </c>
      <c r="Q38" s="2320" t="str">
        <f>VLOOKUP(P38,Ertragsdokumentation!$AI$10:$AO$60,2,0)</f>
        <v/>
      </c>
      <c r="R38" s="2320" t="str">
        <f>VLOOKUP(P38,Ertragsdokumentation!$AI$10:$AO$60,3,0)</f>
        <v/>
      </c>
      <c r="S38" s="2320" t="str">
        <f>VLOOKUP(P38,Ertragsdokumentation!$AI$10:$AO$60,4,0)</f>
        <v/>
      </c>
      <c r="T38" s="2320" t="str">
        <f>VLOOKUP(P38,Ertragsdokumentation!$AI$10:$AO$60,5,0)</f>
        <v/>
      </c>
      <c r="U38" s="2320" t="str">
        <f>VLOOKUP(P38,Ertragsdokumentation!$AI$10:$AO$60,6,0)</f>
        <v/>
      </c>
      <c r="V38" s="2332" t="str">
        <f>IF(W38&gt;0,"JA",IF(AND(W38&lt;1,Ertragsdokumentation!D17="",Ertragsdokumentation!A17&lt;&gt;"",Ertragsdokumentation!B17&lt;&gt;""),"NEIN",IF(AND(W38&lt;1,Ertragsdokumentation!D17&gt;0,Ertragsdokumentation!A17&lt;&gt;"",Ertragsdokumentation!B17&lt;&gt;"",Ertragsdokumentation!C17&lt;&gt;""),"JA","")))</f>
        <v/>
      </c>
      <c r="W38" s="2333">
        <f>IF(OR(N_Bedarf!$F12=N_Bedarf!$AV$70,N_Bedarf!$F12=N_Bedarf!$AV$71,N_Bedarf!$F12=N_Bedarf!$AV$72,N_Bedarf!$F12=N_Bedarf!$AV$73,N_Bedarf!$F12=N_Bedarf!$AV$74,N_Bedarf!$F12=N_Bedarf!$AV$75),1,0)</f>
        <v>0</v>
      </c>
      <c r="X38" s="2335" t="str">
        <f>IF(AND(VLOOKUP(P38,Ertragsdokumentation!$AI$10:$AO$60,7,0)=1,Ertragsdokumentation!D17=""),CONCATENATE("Ertragsdokumentation für ",B38," ","Ertragslage ",D38," fehlt"),"")</f>
        <v/>
      </c>
      <c r="Y38" s="2336">
        <f>IF(AND(VLOOKUP(P38,Ertragsdokumentation!$AI$10:$AO$60,7,0)=1,Ertragsdokumentation!D17=""),1,0)</f>
        <v>0</v>
      </c>
    </row>
    <row r="39" spans="1:25" ht="26.1" customHeight="1" thickBot="1">
      <c r="A39" s="405"/>
      <c r="B39" s="255">
        <f>N_Bedarf!C13</f>
        <v>0</v>
      </c>
      <c r="C39" s="256">
        <f>N_Bedarf!E13</f>
        <v>0</v>
      </c>
      <c r="D39" s="257">
        <f>N_Bedarf!F13</f>
        <v>0</v>
      </c>
      <c r="E39" s="257">
        <f>N_Bedarf!I13</f>
        <v>0</v>
      </c>
      <c r="F39" s="258">
        <f>N_Bedarf!J13</f>
        <v>0</v>
      </c>
      <c r="G39" s="2039" t="str">
        <f t="shared" si="0"/>
        <v/>
      </c>
      <c r="H39" s="2829" t="str">
        <f t="shared" si="1"/>
        <v/>
      </c>
      <c r="I39" s="2830"/>
      <c r="J39" s="2830"/>
      <c r="K39" s="2830"/>
      <c r="L39" s="2830"/>
      <c r="M39" s="2830"/>
      <c r="N39" s="2830"/>
      <c r="O39" s="2830"/>
      <c r="P39" s="2338" t="str">
        <f>IF(B39&gt;0,CONCATENATE(B39,Ertragsdokumentation!B18,Ertragsdokumentation!E18),"")</f>
        <v/>
      </c>
      <c r="Q39" s="2320" t="str">
        <f>VLOOKUP(P39,Ertragsdokumentation!$AI$10:$AO$60,2,0)</f>
        <v/>
      </c>
      <c r="R39" s="2320" t="str">
        <f>VLOOKUP(P39,Ertragsdokumentation!$AI$10:$AO$60,3,0)</f>
        <v/>
      </c>
      <c r="S39" s="2320" t="str">
        <f>VLOOKUP(P39,Ertragsdokumentation!$AI$10:$AO$60,4,0)</f>
        <v/>
      </c>
      <c r="T39" s="2320" t="str">
        <f>VLOOKUP(P39,Ertragsdokumentation!$AI$10:$AO$60,5,0)</f>
        <v/>
      </c>
      <c r="U39" s="2320" t="str">
        <f>VLOOKUP(P39,Ertragsdokumentation!$AI$10:$AO$60,6,0)</f>
        <v/>
      </c>
      <c r="V39" s="2332" t="str">
        <f>IF(W39&gt;0,"JA",IF(AND(W39&lt;1,Ertragsdokumentation!D18="",Ertragsdokumentation!A18&lt;&gt;"",Ertragsdokumentation!B18&lt;&gt;""),"NEIN",IF(AND(W39&lt;1,Ertragsdokumentation!D18&gt;0,Ertragsdokumentation!A18&lt;&gt;"",Ertragsdokumentation!B18&lt;&gt;"",Ertragsdokumentation!C18&lt;&gt;""),"JA","")))</f>
        <v/>
      </c>
      <c r="W39" s="2333">
        <f>IF(OR(N_Bedarf!$F13=N_Bedarf!$AV$70,N_Bedarf!$F13=N_Bedarf!$AV$71,N_Bedarf!$F13=N_Bedarf!$AV$72,N_Bedarf!$F13=N_Bedarf!$AV$73,N_Bedarf!$F13=N_Bedarf!$AV$74,N_Bedarf!$F13=N_Bedarf!$AV$75),1,0)</f>
        <v>0</v>
      </c>
      <c r="X39" s="2335" t="str">
        <f>IF(AND(VLOOKUP(P39,Ertragsdokumentation!$AI$10:$AO$60,7,0)=1,Ertragsdokumentation!D18=""),CONCATENATE("Ertragsdokumentation für ",B39," ","Ertragslage ",D39," fehlt"),"")</f>
        <v/>
      </c>
      <c r="Y39" s="2336">
        <f>IF(AND(VLOOKUP(P39,Ertragsdokumentation!$AI$10:$AO$60,7,0)=1,Ertragsdokumentation!D18=""),1,0)</f>
        <v>0</v>
      </c>
    </row>
    <row r="40" spans="1:25" ht="26.1" customHeight="1" thickBot="1">
      <c r="A40" s="405"/>
      <c r="B40" s="255">
        <f>N_Bedarf!C14</f>
        <v>0</v>
      </c>
      <c r="C40" s="256">
        <f>N_Bedarf!E14</f>
        <v>0</v>
      </c>
      <c r="D40" s="257">
        <f>N_Bedarf!F14</f>
        <v>0</v>
      </c>
      <c r="E40" s="257">
        <f>N_Bedarf!I14</f>
        <v>0</v>
      </c>
      <c r="F40" s="258">
        <f>N_Bedarf!J14</f>
        <v>0</v>
      </c>
      <c r="G40" s="2039" t="str">
        <f t="shared" si="0"/>
        <v/>
      </c>
      <c r="H40" s="2829" t="str">
        <f t="shared" si="1"/>
        <v/>
      </c>
      <c r="I40" s="2830"/>
      <c r="J40" s="2830"/>
      <c r="K40" s="2830"/>
      <c r="L40" s="2830"/>
      <c r="M40" s="2830"/>
      <c r="N40" s="2830"/>
      <c r="O40" s="2830"/>
      <c r="P40" s="2338" t="str">
        <f>IF(B40&gt;0,CONCATENATE(B40,Ertragsdokumentation!B19,Ertragsdokumentation!E19),"")</f>
        <v/>
      </c>
      <c r="Q40" s="2320" t="str">
        <f>VLOOKUP(P40,Ertragsdokumentation!$AI$10:$AO$60,2,0)</f>
        <v/>
      </c>
      <c r="R40" s="2320" t="str">
        <f>VLOOKUP(P40,Ertragsdokumentation!$AI$10:$AO$60,3,0)</f>
        <v/>
      </c>
      <c r="S40" s="2320" t="str">
        <f>VLOOKUP(P40,Ertragsdokumentation!$AI$10:$AO$60,4,0)</f>
        <v/>
      </c>
      <c r="T40" s="2320" t="str">
        <f>VLOOKUP(P40,Ertragsdokumentation!$AI$10:$AO$60,5,0)</f>
        <v/>
      </c>
      <c r="U40" s="2320" t="str">
        <f>VLOOKUP(P40,Ertragsdokumentation!$AI$10:$AO$60,6,0)</f>
        <v/>
      </c>
      <c r="V40" s="2332" t="str">
        <f>IF(W40&gt;0,"JA",IF(AND(W40&lt;1,Ertragsdokumentation!D19="",Ertragsdokumentation!A19&lt;&gt;"",Ertragsdokumentation!B19&lt;&gt;""),"NEIN",IF(AND(W40&lt;1,Ertragsdokumentation!D19&gt;0,Ertragsdokumentation!A19&lt;&gt;"",Ertragsdokumentation!B19&lt;&gt;"",Ertragsdokumentation!C19&lt;&gt;""),"JA","")))</f>
        <v/>
      </c>
      <c r="W40" s="2333">
        <f>IF(OR(N_Bedarf!$F14=N_Bedarf!$AV$70,N_Bedarf!$F14=N_Bedarf!$AV$71,N_Bedarf!$F14=N_Bedarf!$AV$72,N_Bedarf!$F14=N_Bedarf!$AV$73,N_Bedarf!$F14=N_Bedarf!$AV$74,N_Bedarf!$F14=N_Bedarf!$AV$75),1,0)</f>
        <v>0</v>
      </c>
      <c r="X40" s="2335" t="str">
        <f>IF(AND(VLOOKUP(P40,Ertragsdokumentation!$AI$10:$AO$60,7,0)=1,Ertragsdokumentation!D19=""),CONCATENATE("Ertragsdokumentation für ",B40," ","Ertragslage ",D40," fehlt"),"")</f>
        <v/>
      </c>
      <c r="Y40" s="2336">
        <f>IF(AND(VLOOKUP(P40,Ertragsdokumentation!$AI$10:$AO$60,7,0)=1,Ertragsdokumentation!D19=""),1,0)</f>
        <v>0</v>
      </c>
    </row>
    <row r="41" spans="1:25" ht="26.1" customHeight="1" thickBot="1">
      <c r="A41" s="405"/>
      <c r="B41" s="255">
        <f>N_Bedarf!C15</f>
        <v>0</v>
      </c>
      <c r="C41" s="256">
        <f>N_Bedarf!E15</f>
        <v>0</v>
      </c>
      <c r="D41" s="257">
        <f>N_Bedarf!F15</f>
        <v>0</v>
      </c>
      <c r="E41" s="257">
        <f>N_Bedarf!I15</f>
        <v>0</v>
      </c>
      <c r="F41" s="258">
        <f>N_Bedarf!J15</f>
        <v>0</v>
      </c>
      <c r="G41" s="2039" t="str">
        <f t="shared" si="0"/>
        <v/>
      </c>
      <c r="H41" s="2829" t="str">
        <f t="shared" si="1"/>
        <v/>
      </c>
      <c r="I41" s="2830"/>
      <c r="J41" s="2830"/>
      <c r="K41" s="2830"/>
      <c r="L41" s="2830"/>
      <c r="M41" s="2830"/>
      <c r="N41" s="2830"/>
      <c r="O41" s="2830"/>
      <c r="P41" s="2338" t="str">
        <f>IF(B41&gt;0,CONCATENATE(B41,Ertragsdokumentation!B20,Ertragsdokumentation!E20),"")</f>
        <v/>
      </c>
      <c r="Q41" s="2320" t="str">
        <f>VLOOKUP(P41,Ertragsdokumentation!$AI$10:$AO$60,2,0)</f>
        <v/>
      </c>
      <c r="R41" s="2320" t="str">
        <f>VLOOKUP(P41,Ertragsdokumentation!$AI$10:$AO$60,3,0)</f>
        <v/>
      </c>
      <c r="S41" s="2320" t="str">
        <f>VLOOKUP(P41,Ertragsdokumentation!$AI$10:$AO$60,4,0)</f>
        <v/>
      </c>
      <c r="T41" s="2320" t="str">
        <f>VLOOKUP(P41,Ertragsdokumentation!$AI$10:$AO$60,5,0)</f>
        <v/>
      </c>
      <c r="U41" s="2320" t="str">
        <f>VLOOKUP(P41,Ertragsdokumentation!$AI$10:$AO$60,6,0)</f>
        <v/>
      </c>
      <c r="V41" s="2332" t="str">
        <f>IF(W41&gt;0,"JA",IF(AND(W41&lt;1,Ertragsdokumentation!D20="",Ertragsdokumentation!A20&lt;&gt;"",Ertragsdokumentation!B20&lt;&gt;""),"NEIN",IF(AND(W41&lt;1,Ertragsdokumentation!D20&gt;0,Ertragsdokumentation!A20&lt;&gt;"",Ertragsdokumentation!B20&lt;&gt;"",Ertragsdokumentation!C20&lt;&gt;""),"JA","")))</f>
        <v/>
      </c>
      <c r="W41" s="2333">
        <f>IF(OR(N_Bedarf!$F15=N_Bedarf!$AV$70,N_Bedarf!$F15=N_Bedarf!$AV$71,N_Bedarf!$F15=N_Bedarf!$AV$72,N_Bedarf!$F15=N_Bedarf!$AV$73,N_Bedarf!$F15=N_Bedarf!$AV$74,N_Bedarf!$F15=N_Bedarf!$AV$75),1,0)</f>
        <v>0</v>
      </c>
      <c r="X41" s="2335" t="str">
        <f>IF(AND(VLOOKUP(P41,Ertragsdokumentation!$AI$10:$AO$60,7,0)=1,Ertragsdokumentation!D20=""),CONCATENATE("Ertragsdokumentation für ",B41," ","Ertragslage ",D41," fehlt"),"")</f>
        <v/>
      </c>
      <c r="Y41" s="2336">
        <f>IF(AND(VLOOKUP(P41,Ertragsdokumentation!$AI$10:$AO$60,7,0)=1,Ertragsdokumentation!D20=""),1,0)</f>
        <v>0</v>
      </c>
    </row>
    <row r="42" spans="1:25" ht="26.1" customHeight="1" thickBot="1">
      <c r="A42" s="405"/>
      <c r="B42" s="255">
        <f>N_Bedarf!C16</f>
        <v>0</v>
      </c>
      <c r="C42" s="256">
        <f>N_Bedarf!E16</f>
        <v>0</v>
      </c>
      <c r="D42" s="257">
        <f>N_Bedarf!F16</f>
        <v>0</v>
      </c>
      <c r="E42" s="257">
        <f>N_Bedarf!I16</f>
        <v>0</v>
      </c>
      <c r="F42" s="258">
        <f>N_Bedarf!J16</f>
        <v>0</v>
      </c>
      <c r="G42" s="2039" t="str">
        <f t="shared" si="0"/>
        <v/>
      </c>
      <c r="H42" s="2829" t="str">
        <f t="shared" si="1"/>
        <v/>
      </c>
      <c r="I42" s="2830"/>
      <c r="J42" s="2830"/>
      <c r="K42" s="2830"/>
      <c r="L42" s="2830"/>
      <c r="M42" s="2830"/>
      <c r="N42" s="2830"/>
      <c r="O42" s="2830"/>
      <c r="P42" s="2338" t="str">
        <f>IF(B42&gt;0,CONCATENATE(B42,Ertragsdokumentation!B21,Ertragsdokumentation!E21),"")</f>
        <v/>
      </c>
      <c r="Q42" s="2320" t="str">
        <f>VLOOKUP(P42,Ertragsdokumentation!$AI$10:$AO$60,2,0)</f>
        <v/>
      </c>
      <c r="R42" s="2320" t="str">
        <f>VLOOKUP(P42,Ertragsdokumentation!$AI$10:$AO$60,3,0)</f>
        <v/>
      </c>
      <c r="S42" s="2320" t="str">
        <f>VLOOKUP(P42,Ertragsdokumentation!$AI$10:$AO$60,4,0)</f>
        <v/>
      </c>
      <c r="T42" s="2320" t="str">
        <f>VLOOKUP(P42,Ertragsdokumentation!$AI$10:$AO$60,5,0)</f>
        <v/>
      </c>
      <c r="U42" s="2320" t="str">
        <f>VLOOKUP(P42,Ertragsdokumentation!$AI$10:$AO$60,6,0)</f>
        <v/>
      </c>
      <c r="V42" s="2332" t="str">
        <f>IF(W42&gt;0,"JA",IF(AND(W42&lt;1,Ertragsdokumentation!D21="",Ertragsdokumentation!A21&lt;&gt;"",Ertragsdokumentation!B21&lt;&gt;""),"NEIN",IF(AND(W42&lt;1,Ertragsdokumentation!D21&gt;0,Ertragsdokumentation!A21&lt;&gt;"",Ertragsdokumentation!B21&lt;&gt;"",Ertragsdokumentation!C21&lt;&gt;""),"JA","")))</f>
        <v/>
      </c>
      <c r="W42" s="2333">
        <f>IF(OR(N_Bedarf!$F16=N_Bedarf!$AV$70,N_Bedarf!$F16=N_Bedarf!$AV$71,N_Bedarf!$F16=N_Bedarf!$AV$72,N_Bedarf!$F16=N_Bedarf!$AV$73,N_Bedarf!$F16=N_Bedarf!$AV$74,N_Bedarf!$F16=N_Bedarf!$AV$75),1,0)</f>
        <v>0</v>
      </c>
      <c r="X42" s="2335" t="str">
        <f>IF(AND(VLOOKUP(P42,Ertragsdokumentation!$AI$10:$AO$60,7,0)=1,Ertragsdokumentation!D21=""),CONCATENATE("Ertragsdokumentation für ",B42," ","Ertragslage ",D42," fehlt"),"")</f>
        <v/>
      </c>
      <c r="Y42" s="2336">
        <f>IF(AND(VLOOKUP(P42,Ertragsdokumentation!$AI$10:$AO$60,7,0)=1,Ertragsdokumentation!D21=""),1,0)</f>
        <v>0</v>
      </c>
    </row>
    <row r="43" spans="1:25" ht="26.1" customHeight="1" thickBot="1">
      <c r="A43" s="405"/>
      <c r="B43" s="255">
        <f>N_Bedarf!C17</f>
        <v>0</v>
      </c>
      <c r="C43" s="256">
        <f>N_Bedarf!E17</f>
        <v>0</v>
      </c>
      <c r="D43" s="257">
        <f>N_Bedarf!F17</f>
        <v>0</v>
      </c>
      <c r="E43" s="257">
        <f>N_Bedarf!I17</f>
        <v>0</v>
      </c>
      <c r="F43" s="258">
        <f>N_Bedarf!J17</f>
        <v>0</v>
      </c>
      <c r="G43" s="2039" t="str">
        <f t="shared" si="0"/>
        <v/>
      </c>
      <c r="H43" s="2829" t="str">
        <f t="shared" si="1"/>
        <v/>
      </c>
      <c r="I43" s="2830"/>
      <c r="J43" s="2830"/>
      <c r="K43" s="2830"/>
      <c r="L43" s="2830"/>
      <c r="M43" s="2830"/>
      <c r="N43" s="2830"/>
      <c r="O43" s="2830"/>
      <c r="P43" s="2338" t="str">
        <f>IF(B43&gt;0,CONCATENATE(B43,Ertragsdokumentation!B22,Ertragsdokumentation!E22),"")</f>
        <v/>
      </c>
      <c r="Q43" s="2320" t="str">
        <f>VLOOKUP(P43,Ertragsdokumentation!$AI$10:$AO$60,2,0)</f>
        <v/>
      </c>
      <c r="R43" s="2320" t="str">
        <f>VLOOKUP(P43,Ertragsdokumentation!$AI$10:$AO$60,3,0)</f>
        <v/>
      </c>
      <c r="S43" s="2320" t="str">
        <f>VLOOKUP(P43,Ertragsdokumentation!$AI$10:$AO$60,4,0)</f>
        <v/>
      </c>
      <c r="T43" s="2320" t="str">
        <f>VLOOKUP(P43,Ertragsdokumentation!$AI$10:$AO$60,5,0)</f>
        <v/>
      </c>
      <c r="U43" s="2320" t="str">
        <f>VLOOKUP(P43,Ertragsdokumentation!$AI$10:$AO$60,6,0)</f>
        <v/>
      </c>
      <c r="V43" s="2332" t="str">
        <f>IF(W43&gt;0,"JA",IF(AND(W43&lt;1,Ertragsdokumentation!D22="",Ertragsdokumentation!A22&lt;&gt;"",Ertragsdokumentation!B22&lt;&gt;""),"NEIN",IF(AND(W43&lt;1,Ertragsdokumentation!D22&gt;0,Ertragsdokumentation!A22&lt;&gt;"",Ertragsdokumentation!B22&lt;&gt;"",Ertragsdokumentation!C22&lt;&gt;""),"JA","")))</f>
        <v/>
      </c>
      <c r="W43" s="2333">
        <f>IF(OR(N_Bedarf!$F17=N_Bedarf!$AV$70,N_Bedarf!$F17=N_Bedarf!$AV$71,N_Bedarf!$F17=N_Bedarf!$AV$72,N_Bedarf!$F17=N_Bedarf!$AV$73,N_Bedarf!$F17=N_Bedarf!$AV$74,N_Bedarf!$F17=N_Bedarf!$AV$75),1,0)</f>
        <v>0</v>
      </c>
      <c r="X43" s="2335" t="str">
        <f>IF(AND(VLOOKUP(P43,Ertragsdokumentation!$AI$10:$AO$60,7,0)=1,Ertragsdokumentation!D22=""),CONCATENATE("Ertragsdokumentation für ",B43," ","Ertragslage ",D43," fehlt"),"")</f>
        <v/>
      </c>
      <c r="Y43" s="2336">
        <f>IF(AND(VLOOKUP(P43,Ertragsdokumentation!$AI$10:$AO$60,7,0)=1,Ertragsdokumentation!D22=""),1,0)</f>
        <v>0</v>
      </c>
    </row>
    <row r="44" spans="1:25" ht="26.1" customHeight="1" thickBot="1">
      <c r="A44" s="405"/>
      <c r="B44" s="255">
        <f>N_Bedarf!C18</f>
        <v>0</v>
      </c>
      <c r="C44" s="256">
        <f>N_Bedarf!E18</f>
        <v>0</v>
      </c>
      <c r="D44" s="257">
        <f>N_Bedarf!F18</f>
        <v>0</v>
      </c>
      <c r="E44" s="257">
        <f>N_Bedarf!I18</f>
        <v>0</v>
      </c>
      <c r="F44" s="258">
        <f>N_Bedarf!J18</f>
        <v>0</v>
      </c>
      <c r="G44" s="2039" t="str">
        <f t="shared" si="0"/>
        <v/>
      </c>
      <c r="H44" s="2829" t="str">
        <f>IFERROR(X44,"")</f>
        <v/>
      </c>
      <c r="I44" s="2830"/>
      <c r="J44" s="2830"/>
      <c r="K44" s="2830"/>
      <c r="L44" s="2830"/>
      <c r="M44" s="2830"/>
      <c r="N44" s="2830"/>
      <c r="O44" s="2830"/>
      <c r="P44" s="2338" t="str">
        <f>IF(B44&gt;0,CONCATENATE(B44,Ertragsdokumentation!B23,Ertragsdokumentation!E23),"")</f>
        <v/>
      </c>
      <c r="Q44" s="2320" t="str">
        <f>VLOOKUP(P44,Ertragsdokumentation!$AI$10:$AO$60,2,0)</f>
        <v/>
      </c>
      <c r="R44" s="2320" t="str">
        <f>VLOOKUP(P44,Ertragsdokumentation!$AI$10:$AO$60,3,0)</f>
        <v/>
      </c>
      <c r="S44" s="2320" t="str">
        <f>VLOOKUP(P44,Ertragsdokumentation!$AI$10:$AO$60,4,0)</f>
        <v/>
      </c>
      <c r="T44" s="2320" t="str">
        <f>VLOOKUP(P44,Ertragsdokumentation!$AI$10:$AO$60,5,0)</f>
        <v/>
      </c>
      <c r="U44" s="2320" t="str">
        <f>VLOOKUP(P44,Ertragsdokumentation!$AI$10:$AO$60,6,0)</f>
        <v/>
      </c>
      <c r="V44" s="2332" t="str">
        <f>IF(W44&gt;0,"JA",IF(AND(W44&lt;1,Ertragsdokumentation!D23="",Ertragsdokumentation!A23&lt;&gt;"",Ertragsdokumentation!B23&lt;&gt;""),"NEIN",IF(AND(W44&lt;1,Ertragsdokumentation!D23&gt;0,Ertragsdokumentation!A23&lt;&gt;"",Ertragsdokumentation!B23&lt;&gt;"",Ertragsdokumentation!C23&lt;&gt;""),"JA","")))</f>
        <v/>
      </c>
      <c r="W44" s="2333">
        <f>IF(OR(N_Bedarf!$F18=N_Bedarf!$AV$70,N_Bedarf!$F18=N_Bedarf!$AV$71,N_Bedarf!$F18=N_Bedarf!$AV$72,N_Bedarf!$F18=N_Bedarf!$AV$73,N_Bedarf!$F18=N_Bedarf!$AV$74,N_Bedarf!$F18=N_Bedarf!$AV$75),1,0)</f>
        <v>0</v>
      </c>
      <c r="X44" s="2335" t="str">
        <f>IF(AND(VLOOKUP(P44,Ertragsdokumentation!$AI$10:$AO$60,7,0)=1,Ertragsdokumentation!D23=""),CONCATENATE("Ertragsdokumentation für ",B44," ","Ertragslage ",D44," fehlt"),"")</f>
        <v/>
      </c>
      <c r="Y44" s="2336">
        <f>IF(AND(VLOOKUP(P44,Ertragsdokumentation!$AI$10:$AO$60,7,0)=1,Ertragsdokumentation!D23=""),1,0)</f>
        <v>0</v>
      </c>
    </row>
    <row r="45" spans="1:25" ht="26.1" customHeight="1" thickBot="1">
      <c r="A45" s="405"/>
      <c r="B45" s="255">
        <f>N_Bedarf!C19</f>
        <v>0</v>
      </c>
      <c r="C45" s="256">
        <f>N_Bedarf!E19</f>
        <v>0</v>
      </c>
      <c r="D45" s="257">
        <f>N_Bedarf!F19</f>
        <v>0</v>
      </c>
      <c r="E45" s="257">
        <f>N_Bedarf!I19</f>
        <v>0</v>
      </c>
      <c r="F45" s="258">
        <f>N_Bedarf!J19</f>
        <v>0</v>
      </c>
      <c r="G45" s="2039" t="str">
        <f t="shared" si="0"/>
        <v/>
      </c>
      <c r="H45" s="2829" t="str">
        <f>IFERROR(X45,"")</f>
        <v/>
      </c>
      <c r="I45" s="2830"/>
      <c r="J45" s="2830"/>
      <c r="K45" s="2830"/>
      <c r="L45" s="2830"/>
      <c r="M45" s="2830"/>
      <c r="N45" s="2830"/>
      <c r="O45" s="2830"/>
      <c r="P45" s="2338" t="str">
        <f>IF(B45&gt;0,CONCATENATE(B45,Ertragsdokumentation!B24,Ertragsdokumentation!E24),"")</f>
        <v/>
      </c>
      <c r="Q45" s="2320" t="str">
        <f>VLOOKUP(P45,Ertragsdokumentation!$AI$10:$AO$60,2,0)</f>
        <v/>
      </c>
      <c r="R45" s="2320" t="str">
        <f>VLOOKUP(P45,Ertragsdokumentation!$AI$10:$AO$60,3,0)</f>
        <v/>
      </c>
      <c r="S45" s="2320" t="str">
        <f>VLOOKUP(P45,Ertragsdokumentation!$AI$10:$AO$60,4,0)</f>
        <v/>
      </c>
      <c r="T45" s="2320" t="str">
        <f>VLOOKUP(P45,Ertragsdokumentation!$AI$10:$AO$60,5,0)</f>
        <v/>
      </c>
      <c r="U45" s="2320" t="str">
        <f>VLOOKUP(P45,Ertragsdokumentation!$AI$10:$AO$60,6,0)</f>
        <v/>
      </c>
      <c r="V45" s="2332" t="str">
        <f>IF(W45&gt;0,"JA",IF(AND(W45&lt;1,Ertragsdokumentation!D24="",Ertragsdokumentation!A24&lt;&gt;"",Ertragsdokumentation!B24&lt;&gt;""),"NEIN",IF(AND(W45&lt;1,Ertragsdokumentation!D24&gt;0,Ertragsdokumentation!A24&lt;&gt;"",Ertragsdokumentation!B24&lt;&gt;"",Ertragsdokumentation!C24&lt;&gt;""),"JA","")))</f>
        <v/>
      </c>
      <c r="W45" s="2333">
        <f>IF(OR(N_Bedarf!$F19=N_Bedarf!$AV$70,N_Bedarf!$F19=N_Bedarf!$AV$71,N_Bedarf!$F19=N_Bedarf!$AV$72,N_Bedarf!$F19=N_Bedarf!$AV$73,N_Bedarf!$F19=N_Bedarf!$AV$74,N_Bedarf!$F19=N_Bedarf!$AV$75),1,0)</f>
        <v>0</v>
      </c>
      <c r="X45" s="2335" t="str">
        <f>IF(AND(VLOOKUP(P45,Ertragsdokumentation!$AI$10:$AO$60,7,0)=1,Ertragsdokumentation!D24=""),CONCATENATE("Ertragsdokumentation für ",B45," ","Ertragslage ",D45," fehlt"),"")</f>
        <v/>
      </c>
      <c r="Y45" s="2336">
        <f>IF(AND(VLOOKUP(P45,Ertragsdokumentation!$AI$10:$AO$60,7,0)=1,Ertragsdokumentation!D24=""),1,0)</f>
        <v>0</v>
      </c>
    </row>
    <row r="46" spans="1:25" ht="26.1" customHeight="1" thickBot="1">
      <c r="A46" s="405"/>
      <c r="B46" s="255">
        <f>N_Bedarf!C20</f>
        <v>0</v>
      </c>
      <c r="C46" s="256">
        <f>N_Bedarf!E20</f>
        <v>0</v>
      </c>
      <c r="D46" s="257">
        <f>N_Bedarf!F20</f>
        <v>0</v>
      </c>
      <c r="E46" s="257">
        <f>N_Bedarf!I20</f>
        <v>0</v>
      </c>
      <c r="F46" s="258">
        <f>N_Bedarf!J20</f>
        <v>0</v>
      </c>
      <c r="G46" s="2039" t="str">
        <f t="shared" si="0"/>
        <v/>
      </c>
      <c r="H46" s="2829" t="str">
        <f>IFERROR(X46,"")</f>
        <v/>
      </c>
      <c r="I46" s="2830"/>
      <c r="J46" s="2830"/>
      <c r="K46" s="2830"/>
      <c r="L46" s="2830"/>
      <c r="M46" s="2830"/>
      <c r="N46" s="2830"/>
      <c r="O46" s="2830"/>
      <c r="P46" s="2338" t="str">
        <f>IF(B46&gt;0,CONCATENATE(B46,Ertragsdokumentation!B25,Ertragsdokumentation!E25),"")</f>
        <v/>
      </c>
      <c r="Q46" s="2320" t="str">
        <f>VLOOKUP(P46,Ertragsdokumentation!$AI$10:$AO$60,2,0)</f>
        <v/>
      </c>
      <c r="R46" s="2320" t="str">
        <f>VLOOKUP(P46,Ertragsdokumentation!$AI$10:$AO$60,3,0)</f>
        <v/>
      </c>
      <c r="S46" s="2320" t="str">
        <f>VLOOKUP(P46,Ertragsdokumentation!$AI$10:$AO$60,4,0)</f>
        <v/>
      </c>
      <c r="T46" s="2320" t="str">
        <f>VLOOKUP(P46,Ertragsdokumentation!$AI$10:$AO$60,5,0)</f>
        <v/>
      </c>
      <c r="U46" s="2320" t="str">
        <f>VLOOKUP(P46,Ertragsdokumentation!$AI$10:$AO$60,6,0)</f>
        <v/>
      </c>
      <c r="V46" s="2332" t="str">
        <f>IF(W46&gt;0,"JA",IF(AND(W46&lt;1,Ertragsdokumentation!D25="",Ertragsdokumentation!A25&lt;&gt;"",Ertragsdokumentation!B25&lt;&gt;""),"NEIN",IF(AND(W46&lt;1,Ertragsdokumentation!D25&gt;0,Ertragsdokumentation!A25&lt;&gt;"",Ertragsdokumentation!B25&lt;&gt;"",Ertragsdokumentation!C25&lt;&gt;""),"JA","")))</f>
        <v/>
      </c>
      <c r="W46" s="2333">
        <f>IF(OR(N_Bedarf!$F20=N_Bedarf!$AV$70,N_Bedarf!$F20=N_Bedarf!$AV$71,N_Bedarf!$F20=N_Bedarf!$AV$72,N_Bedarf!$F20=N_Bedarf!$AV$73,N_Bedarf!$F20=N_Bedarf!$AV$74,N_Bedarf!$F20=N_Bedarf!$AV$75),1,0)</f>
        <v>0</v>
      </c>
      <c r="X46" s="2335" t="str">
        <f>IF(AND(VLOOKUP(P46,Ertragsdokumentation!$AI$10:$AO$60,7,0)=1,Ertragsdokumentation!D25=""),CONCATENATE("Ertragsdokumentation für ",B46," ","Ertragslage ",D46," fehlt"),"")</f>
        <v/>
      </c>
      <c r="Y46" s="2336">
        <f>IF(AND(VLOOKUP(P46,Ertragsdokumentation!$AI$10:$AO$60,7,0)=1,Ertragsdokumentation!D25=""),1,0)</f>
        <v>0</v>
      </c>
    </row>
    <row r="47" spans="1:25" ht="26.1" customHeight="1" thickBot="1">
      <c r="A47" s="405"/>
      <c r="B47" s="255">
        <f>N_Bedarf!C21</f>
        <v>0</v>
      </c>
      <c r="C47" s="256">
        <f>N_Bedarf!E21</f>
        <v>0</v>
      </c>
      <c r="D47" s="257">
        <f>N_Bedarf!F21</f>
        <v>0</v>
      </c>
      <c r="E47" s="257">
        <f>N_Bedarf!I21</f>
        <v>0</v>
      </c>
      <c r="F47" s="258">
        <f>N_Bedarf!J21</f>
        <v>0</v>
      </c>
      <c r="G47" s="2039" t="str">
        <f t="shared" si="0"/>
        <v/>
      </c>
      <c r="H47" s="2829" t="str">
        <f>IFERROR(X47,"")</f>
        <v/>
      </c>
      <c r="I47" s="2830"/>
      <c r="J47" s="2830"/>
      <c r="K47" s="2830"/>
      <c r="L47" s="2830"/>
      <c r="M47" s="2830"/>
      <c r="N47" s="2830"/>
      <c r="O47" s="2830"/>
      <c r="P47" s="2338" t="str">
        <f>IF(B47&gt;0,CONCATENATE(B47,Ertragsdokumentation!B26,Ertragsdokumentation!E26),"")</f>
        <v/>
      </c>
      <c r="Q47" s="2320" t="str">
        <f>VLOOKUP(P47,Ertragsdokumentation!$AI$10:$AO$60,2,0)</f>
        <v/>
      </c>
      <c r="R47" s="2320" t="str">
        <f>VLOOKUP(P47,Ertragsdokumentation!$AI$10:$AO$60,3,0)</f>
        <v/>
      </c>
      <c r="S47" s="2320" t="str">
        <f>VLOOKUP(P47,Ertragsdokumentation!$AI$10:$AO$60,4,0)</f>
        <v/>
      </c>
      <c r="T47" s="2320" t="str">
        <f>VLOOKUP(P47,Ertragsdokumentation!$AI$10:$AO$60,5,0)</f>
        <v/>
      </c>
      <c r="U47" s="2320" t="str">
        <f>VLOOKUP(P47,Ertragsdokumentation!$AI$10:$AO$60,6,0)</f>
        <v/>
      </c>
      <c r="V47" s="2332" t="str">
        <f>IF(W47&gt;0,"JA",IF(AND(W47&lt;1,Ertragsdokumentation!D26="",Ertragsdokumentation!A26&lt;&gt;"",Ertragsdokumentation!B26&lt;&gt;""),"NEIN",IF(AND(W47&lt;1,Ertragsdokumentation!D26&gt;0,Ertragsdokumentation!A26&lt;&gt;"",Ertragsdokumentation!B26&lt;&gt;"",Ertragsdokumentation!C26&lt;&gt;""),"JA","")))</f>
        <v/>
      </c>
      <c r="W47" s="2333">
        <f>IF(OR(N_Bedarf!$F21=N_Bedarf!$AV$70,N_Bedarf!$F21=N_Bedarf!$AV$71,N_Bedarf!$F21=N_Bedarf!$AV$72,N_Bedarf!$F21=N_Bedarf!$AV$73,N_Bedarf!$F21=N_Bedarf!$AV$74,N_Bedarf!$F21=N_Bedarf!$AV$75),1,0)</f>
        <v>0</v>
      </c>
      <c r="X47" s="2335" t="str">
        <f>IF(AND(VLOOKUP(P47,Ertragsdokumentation!$AI$10:$AO$60,7,0)=1,Ertragsdokumentation!D26=""),CONCATENATE("Ertragsdokumentation für ",B47," ","Ertragslage ",D47," fehlt"),"")</f>
        <v/>
      </c>
      <c r="Y47" s="2336">
        <f>IF(AND(VLOOKUP(P47,Ertragsdokumentation!$AI$10:$AO$60,7,0)=1,Ertragsdokumentation!D26=""),1,0)</f>
        <v>0</v>
      </c>
    </row>
    <row r="48" spans="1:25" ht="26.1" customHeight="1" thickBot="1">
      <c r="A48" s="405"/>
      <c r="B48" s="255">
        <f>N_Bedarf!C22</f>
        <v>0</v>
      </c>
      <c r="C48" s="256">
        <f>N_Bedarf!E22</f>
        <v>0</v>
      </c>
      <c r="D48" s="257">
        <f>N_Bedarf!F22</f>
        <v>0</v>
      </c>
      <c r="E48" s="257">
        <f>N_Bedarf!I22</f>
        <v>0</v>
      </c>
      <c r="F48" s="258">
        <f>N_Bedarf!J22</f>
        <v>0</v>
      </c>
      <c r="G48" s="2039" t="str">
        <f t="shared" si="0"/>
        <v/>
      </c>
      <c r="H48" s="2829" t="str">
        <f>IFERROR(X48,"")</f>
        <v/>
      </c>
      <c r="I48" s="2830"/>
      <c r="J48" s="2830"/>
      <c r="K48" s="2830"/>
      <c r="L48" s="2830"/>
      <c r="M48" s="2830"/>
      <c r="N48" s="2830"/>
      <c r="O48" s="2830"/>
      <c r="P48" s="2338" t="str">
        <f>IF(B48&gt;0,CONCATENATE(B48,Ertragsdokumentation!B27,Ertragsdokumentation!E27),"")</f>
        <v/>
      </c>
      <c r="Q48" s="2320" t="str">
        <f>VLOOKUP(P48,Ertragsdokumentation!$AI$10:$AO$60,2,0)</f>
        <v/>
      </c>
      <c r="R48" s="2320" t="str">
        <f>VLOOKUP(P48,Ertragsdokumentation!$AI$10:$AO$60,3,0)</f>
        <v/>
      </c>
      <c r="S48" s="2320" t="str">
        <f>VLOOKUP(P48,Ertragsdokumentation!$AI$10:$AO$60,4,0)</f>
        <v/>
      </c>
      <c r="T48" s="2320" t="str">
        <f>VLOOKUP(P48,Ertragsdokumentation!$AI$10:$AO$60,5,0)</f>
        <v/>
      </c>
      <c r="U48" s="2320" t="str">
        <f>VLOOKUP(P48,Ertragsdokumentation!$AI$10:$AO$60,6,0)</f>
        <v/>
      </c>
      <c r="V48" s="2332" t="str">
        <f>IF(W48&gt;0,"JA",IF(AND(W48&lt;1,Ertragsdokumentation!D27="",Ertragsdokumentation!A27&lt;&gt;"",Ertragsdokumentation!B27&lt;&gt;""),"NEIN",IF(AND(W48&lt;1,Ertragsdokumentation!D27&gt;0,Ertragsdokumentation!A27&lt;&gt;"",Ertragsdokumentation!B27&lt;&gt;"",Ertragsdokumentation!C27&lt;&gt;""),"JA","")))</f>
        <v/>
      </c>
      <c r="W48" s="2333">
        <f>IF(OR(N_Bedarf!$F22=N_Bedarf!$AV$70,N_Bedarf!$F22=N_Bedarf!$AV$71,N_Bedarf!$F22=N_Bedarf!$AV$72,N_Bedarf!$F22=N_Bedarf!$AV$73,N_Bedarf!$F22=N_Bedarf!$AV$74,N_Bedarf!$F22=N_Bedarf!$AV$75),1,0)</f>
        <v>0</v>
      </c>
      <c r="X48" s="2335" t="str">
        <f>IF(AND(VLOOKUP(P48,Ertragsdokumentation!$AI$10:$AO$60,7,0)=1,Ertragsdokumentation!D27=""),CONCATENATE("Ertragsdokumentation für ",B48," ","Ertragslage ",D48," fehlt"),"")</f>
        <v/>
      </c>
      <c r="Y48" s="2336">
        <f>IF(AND(VLOOKUP(P48,Ertragsdokumentation!$AI$10:$AO$60,7,0)=1,Ertragsdokumentation!D27=""),1,0)</f>
        <v>0</v>
      </c>
    </row>
    <row r="49" spans="1:25" ht="26.1" customHeight="1" thickBot="1">
      <c r="A49" s="405"/>
      <c r="B49" s="255">
        <f>N_Bedarf!C23</f>
        <v>0</v>
      </c>
      <c r="C49" s="256">
        <f>N_Bedarf!E23</f>
        <v>0</v>
      </c>
      <c r="D49" s="257">
        <f>N_Bedarf!F23</f>
        <v>0</v>
      </c>
      <c r="E49" s="257">
        <f>N_Bedarf!I23</f>
        <v>0</v>
      </c>
      <c r="F49" s="258">
        <f>N_Bedarf!J23</f>
        <v>0</v>
      </c>
      <c r="G49" s="2039" t="str">
        <f t="shared" si="0"/>
        <v/>
      </c>
      <c r="H49" s="2829" t="str">
        <f t="shared" ref="H49:H61" si="2">IFERROR(X49,"")</f>
        <v/>
      </c>
      <c r="I49" s="2830"/>
      <c r="J49" s="2830"/>
      <c r="K49" s="2830"/>
      <c r="L49" s="2830"/>
      <c r="M49" s="2830"/>
      <c r="N49" s="2830"/>
      <c r="O49" s="2830"/>
      <c r="P49" s="2338" t="str">
        <f>IF(B49&gt;0,CONCATENATE(B49,Ertragsdokumentation!B28,Ertragsdokumentation!E28),"")</f>
        <v/>
      </c>
      <c r="Q49" s="2320" t="str">
        <f>VLOOKUP(P49,Ertragsdokumentation!$AI$10:$AO$60,2,0)</f>
        <v/>
      </c>
      <c r="R49" s="2320" t="str">
        <f>VLOOKUP(P49,Ertragsdokumentation!$AI$10:$AO$60,3,0)</f>
        <v/>
      </c>
      <c r="S49" s="2320" t="str">
        <f>VLOOKUP(P49,Ertragsdokumentation!$AI$10:$AO$60,4,0)</f>
        <v/>
      </c>
      <c r="T49" s="2320" t="str">
        <f>VLOOKUP(P49,Ertragsdokumentation!$AI$10:$AO$60,5,0)</f>
        <v/>
      </c>
      <c r="U49" s="2320" t="str">
        <f>VLOOKUP(P49,Ertragsdokumentation!$AI$10:$AO$60,6,0)</f>
        <v/>
      </c>
      <c r="V49" s="2332" t="str">
        <f>IF(W49&gt;0,"JA",IF(AND(W49&lt;1,Ertragsdokumentation!D28="",Ertragsdokumentation!A28&lt;&gt;"",Ertragsdokumentation!B28&lt;&gt;""),"NEIN",IF(AND(W49&lt;1,Ertragsdokumentation!D28&gt;0,Ertragsdokumentation!A28&lt;&gt;"",Ertragsdokumentation!B28&lt;&gt;"",Ertragsdokumentation!C28&lt;&gt;""),"JA","")))</f>
        <v/>
      </c>
      <c r="W49" s="2333">
        <f>IF(OR(N_Bedarf!$F23=N_Bedarf!$AV$70,N_Bedarf!$F23=N_Bedarf!$AV$71,N_Bedarf!$F23=N_Bedarf!$AV$72,N_Bedarf!$F23=N_Bedarf!$AV$73,N_Bedarf!$F23=N_Bedarf!$AV$74,N_Bedarf!$F23=N_Bedarf!$AV$75),1,0)</f>
        <v>0</v>
      </c>
      <c r="X49" s="2335" t="str">
        <f>IF(AND(VLOOKUP(P49,Ertragsdokumentation!$AI$10:$AO$60,7,0)=1,Ertragsdokumentation!D28=""),CONCATENATE("Ertragsdokumentation für ",B49," ","Ertragslage ",D49," fehlt"),"")</f>
        <v/>
      </c>
      <c r="Y49" s="2336">
        <f>IF(AND(VLOOKUP(P49,Ertragsdokumentation!$AI$10:$AO$60,7,0)=1,Ertragsdokumentation!D28=""),1,0)</f>
        <v>0</v>
      </c>
    </row>
    <row r="50" spans="1:25" ht="26.1" customHeight="1" thickBot="1">
      <c r="A50" s="405"/>
      <c r="B50" s="255">
        <f>N_Bedarf!C24</f>
        <v>0</v>
      </c>
      <c r="C50" s="256">
        <f>N_Bedarf!E24</f>
        <v>0</v>
      </c>
      <c r="D50" s="257">
        <f>N_Bedarf!F24</f>
        <v>0</v>
      </c>
      <c r="E50" s="257">
        <f>N_Bedarf!I24</f>
        <v>0</v>
      </c>
      <c r="F50" s="258">
        <f>N_Bedarf!J24</f>
        <v>0</v>
      </c>
      <c r="G50" s="2039" t="str">
        <f t="shared" si="0"/>
        <v/>
      </c>
      <c r="H50" s="2829" t="str">
        <f t="shared" si="2"/>
        <v/>
      </c>
      <c r="I50" s="2830"/>
      <c r="J50" s="2830"/>
      <c r="K50" s="2830"/>
      <c r="L50" s="2830"/>
      <c r="M50" s="2830"/>
      <c r="N50" s="2830"/>
      <c r="O50" s="2830"/>
      <c r="P50" s="2338" t="str">
        <f>IF(B50&gt;0,CONCATENATE(B50,Ertragsdokumentation!B29,Ertragsdokumentation!E29),"")</f>
        <v/>
      </c>
      <c r="Q50" s="2320" t="str">
        <f>VLOOKUP(P50,Ertragsdokumentation!$AI$10:$AO$60,2,0)</f>
        <v/>
      </c>
      <c r="R50" s="2320" t="str">
        <f>VLOOKUP(P50,Ertragsdokumentation!$AI$10:$AO$60,3,0)</f>
        <v/>
      </c>
      <c r="S50" s="2320" t="str">
        <f>VLOOKUP(P50,Ertragsdokumentation!$AI$10:$AO$60,4,0)</f>
        <v/>
      </c>
      <c r="T50" s="2320" t="str">
        <f>VLOOKUP(P50,Ertragsdokumentation!$AI$10:$AO$60,5,0)</f>
        <v/>
      </c>
      <c r="U50" s="2320" t="str">
        <f>VLOOKUP(P50,Ertragsdokumentation!$AI$10:$AO$60,6,0)</f>
        <v/>
      </c>
      <c r="V50" s="2332" t="str">
        <f>IF(W50&gt;0,"JA",IF(AND(W50&lt;1,Ertragsdokumentation!D29="",Ertragsdokumentation!A29&lt;&gt;"",Ertragsdokumentation!B29&lt;&gt;""),"NEIN",IF(AND(W50&lt;1,Ertragsdokumentation!D29&gt;0,Ertragsdokumentation!A29&lt;&gt;"",Ertragsdokumentation!B29&lt;&gt;"",Ertragsdokumentation!C29&lt;&gt;""),"JA","")))</f>
        <v/>
      </c>
      <c r="W50" s="2333">
        <f>IF(OR(N_Bedarf!$F24=N_Bedarf!$AV$70,N_Bedarf!$F24=N_Bedarf!$AV$71,N_Bedarf!$F24=N_Bedarf!$AV$72,N_Bedarf!$F24=N_Bedarf!$AV$73,N_Bedarf!$F24=N_Bedarf!$AV$74,N_Bedarf!$F24=N_Bedarf!$AV$75),1,0)</f>
        <v>0</v>
      </c>
      <c r="X50" s="2335" t="str">
        <f>IF(AND(VLOOKUP(P50,Ertragsdokumentation!$AI$10:$AO$60,7,0)=1,Ertragsdokumentation!D29=""),CONCATENATE("Ertragsdokumentation für ",B50," ","Ertragslage ",D50," fehlt"),"")</f>
        <v/>
      </c>
      <c r="Y50" s="2336">
        <f>IF(AND(VLOOKUP(P50,Ertragsdokumentation!$AI$10:$AO$60,7,0)=1,Ertragsdokumentation!D29=""),1,0)</f>
        <v>0</v>
      </c>
    </row>
    <row r="51" spans="1:25" ht="26.1" customHeight="1" thickBot="1">
      <c r="B51" s="255">
        <f>N_Bedarf!C25</f>
        <v>0</v>
      </c>
      <c r="C51" s="256">
        <f>N_Bedarf!E25</f>
        <v>0</v>
      </c>
      <c r="D51" s="257">
        <f>N_Bedarf!F25</f>
        <v>0</v>
      </c>
      <c r="E51" s="257">
        <f>N_Bedarf!I25</f>
        <v>0</v>
      </c>
      <c r="F51" s="258">
        <f>N_Bedarf!J25</f>
        <v>0</v>
      </c>
      <c r="G51" s="2039" t="str">
        <f t="shared" si="0"/>
        <v/>
      </c>
      <c r="H51" s="2829" t="str">
        <f t="shared" si="2"/>
        <v/>
      </c>
      <c r="I51" s="2830"/>
      <c r="J51" s="2830"/>
      <c r="K51" s="2830"/>
      <c r="L51" s="2830"/>
      <c r="M51" s="2830"/>
      <c r="N51" s="2830"/>
      <c r="O51" s="2830"/>
      <c r="P51" s="2338" t="str">
        <f>IF(B51&gt;0,CONCATENATE(B51,Ertragsdokumentation!B30,Ertragsdokumentation!E30),"")</f>
        <v/>
      </c>
      <c r="Q51" s="2320" t="str">
        <f>VLOOKUP(P51,Ertragsdokumentation!$AI$10:$AO$60,2,0)</f>
        <v/>
      </c>
      <c r="R51" s="2320" t="str">
        <f>VLOOKUP(P51,Ertragsdokumentation!$AI$10:$AO$60,3,0)</f>
        <v/>
      </c>
      <c r="S51" s="2320" t="str">
        <f>VLOOKUP(P51,Ertragsdokumentation!$AI$10:$AO$60,4,0)</f>
        <v/>
      </c>
      <c r="T51" s="2320" t="str">
        <f>VLOOKUP(P51,Ertragsdokumentation!$AI$10:$AO$60,5,0)</f>
        <v/>
      </c>
      <c r="U51" s="2320" t="str">
        <f>VLOOKUP(P51,Ertragsdokumentation!$AI$10:$AO$60,6,0)</f>
        <v/>
      </c>
      <c r="V51" s="2332" t="str">
        <f>IF(W51&gt;0,"JA",IF(AND(W51&lt;1,Ertragsdokumentation!D30="",Ertragsdokumentation!A30&lt;&gt;"",Ertragsdokumentation!B30&lt;&gt;""),"NEIN",IF(AND(W51&lt;1,Ertragsdokumentation!D30&gt;0,Ertragsdokumentation!A30&lt;&gt;"",Ertragsdokumentation!B30&lt;&gt;"",Ertragsdokumentation!C30&lt;&gt;""),"JA","")))</f>
        <v/>
      </c>
      <c r="W51" s="2333">
        <f>IF(OR(N_Bedarf!$F25=N_Bedarf!$AV$70,N_Bedarf!$F25=N_Bedarf!$AV$71,N_Bedarf!$F25=N_Bedarf!$AV$72,N_Bedarf!$F25=N_Bedarf!$AV$73,N_Bedarf!$F25=N_Bedarf!$AV$74,N_Bedarf!$F25=N_Bedarf!$AV$75),1,0)</f>
        <v>0</v>
      </c>
      <c r="X51" s="2335" t="str">
        <f>IF(AND(VLOOKUP(P51,Ertragsdokumentation!$AI$10:$AO$60,7,0)=1,Ertragsdokumentation!D30=""),CONCATENATE("Ertragsdokumentation für ",B51," ","Ertragslage ",D51," fehlt"),"")</f>
        <v/>
      </c>
      <c r="Y51" s="2336">
        <f>IF(AND(VLOOKUP(P51,Ertragsdokumentation!$AI$10:$AO$60,7,0)=1,Ertragsdokumentation!D30=""),1,0)</f>
        <v>0</v>
      </c>
    </row>
    <row r="52" spans="1:25" ht="26.1" customHeight="1" thickBot="1">
      <c r="B52" s="255">
        <f>N_Bedarf!C26</f>
        <v>0</v>
      </c>
      <c r="C52" s="256">
        <f>N_Bedarf!E26</f>
        <v>0</v>
      </c>
      <c r="D52" s="257">
        <f>N_Bedarf!F26</f>
        <v>0</v>
      </c>
      <c r="E52" s="257">
        <f>N_Bedarf!I26</f>
        <v>0</v>
      </c>
      <c r="F52" s="258">
        <f>N_Bedarf!J26</f>
        <v>0</v>
      </c>
      <c r="G52" s="2039" t="str">
        <f t="shared" si="0"/>
        <v/>
      </c>
      <c r="H52" s="2829" t="str">
        <f t="shared" si="2"/>
        <v/>
      </c>
      <c r="I52" s="2830"/>
      <c r="J52" s="2830"/>
      <c r="K52" s="2830"/>
      <c r="L52" s="2830"/>
      <c r="M52" s="2830"/>
      <c r="N52" s="2830"/>
      <c r="O52" s="2830"/>
      <c r="P52" s="2338" t="str">
        <f>IF(B52&gt;0,CONCATENATE(B52,Ertragsdokumentation!B31,Ertragsdokumentation!E31),"")</f>
        <v/>
      </c>
      <c r="Q52" s="2320" t="str">
        <f>VLOOKUP(P52,Ertragsdokumentation!$AI$10:$AO$60,2,0)</f>
        <v/>
      </c>
      <c r="R52" s="2320" t="str">
        <f>VLOOKUP(P52,Ertragsdokumentation!$AI$10:$AO$60,3,0)</f>
        <v/>
      </c>
      <c r="S52" s="2320" t="str">
        <f>VLOOKUP(P52,Ertragsdokumentation!$AI$10:$AO$60,4,0)</f>
        <v/>
      </c>
      <c r="T52" s="2320" t="str">
        <f>VLOOKUP(P52,Ertragsdokumentation!$AI$10:$AO$60,5,0)</f>
        <v/>
      </c>
      <c r="U52" s="2320" t="str">
        <f>VLOOKUP(P52,Ertragsdokumentation!$AI$10:$AO$60,6,0)</f>
        <v/>
      </c>
      <c r="V52" s="2332" t="str">
        <f>IF(W52&gt;0,"JA",IF(AND(W52&lt;1,Ertragsdokumentation!D31="",Ertragsdokumentation!A31&lt;&gt;"",Ertragsdokumentation!B31&lt;&gt;""),"NEIN",IF(AND(W52&lt;1,Ertragsdokumentation!D31&gt;0,Ertragsdokumentation!A31&lt;&gt;"",Ertragsdokumentation!B31&lt;&gt;"",Ertragsdokumentation!C31&lt;&gt;""),"JA","")))</f>
        <v/>
      </c>
      <c r="W52" s="2333">
        <f>IF(OR(N_Bedarf!$F26=N_Bedarf!$AV$70,N_Bedarf!$F26=N_Bedarf!$AV$71,N_Bedarf!$F26=N_Bedarf!$AV$72,N_Bedarf!$F26=N_Bedarf!$AV$73,N_Bedarf!$F26=N_Bedarf!$AV$74,N_Bedarf!$F26=N_Bedarf!$AV$75),1,0)</f>
        <v>0</v>
      </c>
      <c r="X52" s="2335" t="str">
        <f>IF(AND(VLOOKUP(P52,Ertragsdokumentation!$AI$10:$AO$60,7,0)=1,Ertragsdokumentation!D31=""),CONCATENATE("Ertragsdokumentation für ",B52," ","Ertragslage ",D52," fehlt"),"")</f>
        <v/>
      </c>
      <c r="Y52" s="2336">
        <f>IF(AND(VLOOKUP(P52,Ertragsdokumentation!$AI$10:$AO$60,7,0)=1,Ertragsdokumentation!D31=""),1,0)</f>
        <v>0</v>
      </c>
    </row>
    <row r="53" spans="1:25" ht="26.1" customHeight="1" thickBot="1">
      <c r="B53" s="255">
        <f>N_Bedarf!C27</f>
        <v>0</v>
      </c>
      <c r="C53" s="256">
        <f>N_Bedarf!E27</f>
        <v>0</v>
      </c>
      <c r="D53" s="257">
        <f>N_Bedarf!F27</f>
        <v>0</v>
      </c>
      <c r="E53" s="257">
        <f>N_Bedarf!I27</f>
        <v>0</v>
      </c>
      <c r="F53" s="258">
        <f>N_Bedarf!J27</f>
        <v>0</v>
      </c>
      <c r="G53" s="2039" t="str">
        <f t="shared" si="0"/>
        <v/>
      </c>
      <c r="H53" s="2829" t="str">
        <f t="shared" si="2"/>
        <v/>
      </c>
      <c r="I53" s="2830"/>
      <c r="J53" s="2830"/>
      <c r="K53" s="2830"/>
      <c r="L53" s="2830"/>
      <c r="M53" s="2830"/>
      <c r="N53" s="2830"/>
      <c r="O53" s="2830"/>
      <c r="P53" s="2338" t="str">
        <f>IF(B53&gt;0,CONCATENATE(B53,Ertragsdokumentation!B32,Ertragsdokumentation!E32),"")</f>
        <v/>
      </c>
      <c r="Q53" s="2320" t="str">
        <f>VLOOKUP(P53,Ertragsdokumentation!$AI$10:$AO$60,2,0)</f>
        <v/>
      </c>
      <c r="R53" s="2320" t="str">
        <f>VLOOKUP(P53,Ertragsdokumentation!$AI$10:$AO$60,3,0)</f>
        <v/>
      </c>
      <c r="S53" s="2320" t="str">
        <f>VLOOKUP(P53,Ertragsdokumentation!$AI$10:$AO$60,4,0)</f>
        <v/>
      </c>
      <c r="T53" s="2320" t="str">
        <f>VLOOKUP(P53,Ertragsdokumentation!$AI$10:$AO$60,5,0)</f>
        <v/>
      </c>
      <c r="U53" s="2320" t="str">
        <f>VLOOKUP(P53,Ertragsdokumentation!$AI$10:$AO$60,6,0)</f>
        <v/>
      </c>
      <c r="V53" s="2332" t="str">
        <f>IF(W53&gt;0,"JA",IF(AND(W53&lt;1,Ertragsdokumentation!D32="",Ertragsdokumentation!A32&lt;&gt;"",Ertragsdokumentation!B32&lt;&gt;""),"NEIN",IF(AND(W53&lt;1,Ertragsdokumentation!D32&gt;0,Ertragsdokumentation!A32&lt;&gt;"",Ertragsdokumentation!B32&lt;&gt;"",Ertragsdokumentation!C32&lt;&gt;""),"JA","")))</f>
        <v/>
      </c>
      <c r="W53" s="2333">
        <f>IF(OR(N_Bedarf!$F27=N_Bedarf!$AV$70,N_Bedarf!$F27=N_Bedarf!$AV$71,N_Bedarf!$F27=N_Bedarf!$AV$72,N_Bedarf!$F27=N_Bedarf!$AV$73,N_Bedarf!$F27=N_Bedarf!$AV$74,N_Bedarf!$F27=N_Bedarf!$AV$75),1,0)</f>
        <v>0</v>
      </c>
      <c r="X53" s="2335" t="str">
        <f>IF(AND(VLOOKUP(P53,Ertragsdokumentation!$AI$10:$AO$60,7,0)=1,Ertragsdokumentation!D32=""),CONCATENATE("Ertragsdokumentation für ",B53," ","Ertragslage ",D53," fehlt"),"")</f>
        <v/>
      </c>
      <c r="Y53" s="2336">
        <f>IF(AND(VLOOKUP(P53,Ertragsdokumentation!$AI$10:$AO$60,7,0)=1,Ertragsdokumentation!D32=""),1,0)</f>
        <v>0</v>
      </c>
    </row>
    <row r="54" spans="1:25" ht="26.1" customHeight="1" thickBot="1">
      <c r="B54" s="255">
        <f>N_Bedarf!C28</f>
        <v>0</v>
      </c>
      <c r="C54" s="256">
        <f>N_Bedarf!E28</f>
        <v>0</v>
      </c>
      <c r="D54" s="257">
        <f>N_Bedarf!F28</f>
        <v>0</v>
      </c>
      <c r="E54" s="257">
        <f>N_Bedarf!I28</f>
        <v>0</v>
      </c>
      <c r="F54" s="258">
        <f>N_Bedarf!J28</f>
        <v>0</v>
      </c>
      <c r="G54" s="2039" t="str">
        <f t="shared" si="0"/>
        <v/>
      </c>
      <c r="H54" s="2829" t="str">
        <f t="shared" si="2"/>
        <v/>
      </c>
      <c r="I54" s="2830"/>
      <c r="J54" s="2830"/>
      <c r="K54" s="2830"/>
      <c r="L54" s="2830"/>
      <c r="M54" s="2830"/>
      <c r="N54" s="2830"/>
      <c r="O54" s="2830"/>
      <c r="P54" s="2338" t="str">
        <f>IF(B54&gt;0,CONCATENATE(B54,Ertragsdokumentation!B33,Ertragsdokumentation!E33),"")</f>
        <v/>
      </c>
      <c r="Q54" s="2320" t="str">
        <f>VLOOKUP(P54,Ertragsdokumentation!$AI$10:$AO$60,2,0)</f>
        <v/>
      </c>
      <c r="R54" s="2320" t="str">
        <f>VLOOKUP(P54,Ertragsdokumentation!$AI$10:$AO$60,3,0)</f>
        <v/>
      </c>
      <c r="S54" s="2320" t="str">
        <f>VLOOKUP(P54,Ertragsdokumentation!$AI$10:$AO$60,4,0)</f>
        <v/>
      </c>
      <c r="T54" s="2320" t="str">
        <f>VLOOKUP(P54,Ertragsdokumentation!$AI$10:$AO$60,5,0)</f>
        <v/>
      </c>
      <c r="U54" s="2320" t="str">
        <f>VLOOKUP(P54,Ertragsdokumentation!$AI$10:$AO$60,6,0)</f>
        <v/>
      </c>
      <c r="V54" s="2332" t="str">
        <f>IF(W54&gt;0,"JA",IF(AND(W54&lt;1,Ertragsdokumentation!D33="",Ertragsdokumentation!A33&lt;&gt;"",Ertragsdokumentation!B33&lt;&gt;""),"NEIN",IF(AND(W54&lt;1,Ertragsdokumentation!D33&gt;0,Ertragsdokumentation!A33&lt;&gt;"",Ertragsdokumentation!B33&lt;&gt;"",Ertragsdokumentation!C33&lt;&gt;""),"JA","")))</f>
        <v/>
      </c>
      <c r="W54" s="2333">
        <f>IF(OR(N_Bedarf!$F28=N_Bedarf!$AV$70,N_Bedarf!$F28=N_Bedarf!$AV$71,N_Bedarf!$F28=N_Bedarf!$AV$72,N_Bedarf!$F28=N_Bedarf!$AV$73,N_Bedarf!$F28=N_Bedarf!$AV$74,N_Bedarf!$F28=N_Bedarf!$AV$75),1,0)</f>
        <v>0</v>
      </c>
      <c r="X54" s="2335" t="str">
        <f>IF(AND(VLOOKUP(P54,Ertragsdokumentation!$AI$10:$AO$60,7,0)=1,Ertragsdokumentation!D33=""),CONCATENATE("Ertragsdokumentation für ",B54," ","Ertragslage ",D54," fehlt"),"")</f>
        <v/>
      </c>
      <c r="Y54" s="2336">
        <f>IF(AND(VLOOKUP(P54,Ertragsdokumentation!$AI$10:$AO$60,7,0)=1,Ertragsdokumentation!D33=""),1,0)</f>
        <v>0</v>
      </c>
    </row>
    <row r="55" spans="1:25" ht="26.1" customHeight="1" thickBot="1">
      <c r="B55" s="255">
        <f>N_Bedarf!C29</f>
        <v>0</v>
      </c>
      <c r="C55" s="256">
        <f>N_Bedarf!E29</f>
        <v>0</v>
      </c>
      <c r="D55" s="257">
        <f>N_Bedarf!F29</f>
        <v>0</v>
      </c>
      <c r="E55" s="257">
        <f>N_Bedarf!I29</f>
        <v>0</v>
      </c>
      <c r="F55" s="258">
        <f>N_Bedarf!J29</f>
        <v>0</v>
      </c>
      <c r="G55" s="2039" t="str">
        <f t="shared" si="0"/>
        <v/>
      </c>
      <c r="H55" s="2829" t="str">
        <f t="shared" si="2"/>
        <v/>
      </c>
      <c r="I55" s="2830"/>
      <c r="J55" s="2830"/>
      <c r="K55" s="2830"/>
      <c r="L55" s="2830"/>
      <c r="M55" s="2830"/>
      <c r="N55" s="2830"/>
      <c r="O55" s="2830"/>
      <c r="P55" s="2338" t="str">
        <f>IF(B55&gt;0,CONCATENATE(B55,Ertragsdokumentation!B34,Ertragsdokumentation!E34),"")</f>
        <v/>
      </c>
      <c r="Q55" s="2320" t="str">
        <f>VLOOKUP(P55,Ertragsdokumentation!$AI$10:$AO$60,2,0)</f>
        <v/>
      </c>
      <c r="R55" s="2320" t="str">
        <f>VLOOKUP(P55,Ertragsdokumentation!$AI$10:$AO$60,3,0)</f>
        <v/>
      </c>
      <c r="S55" s="2320" t="str">
        <f>VLOOKUP(P55,Ertragsdokumentation!$AI$10:$AO$60,4,0)</f>
        <v/>
      </c>
      <c r="T55" s="2320" t="str">
        <f>VLOOKUP(P55,Ertragsdokumentation!$AI$10:$AO$60,5,0)</f>
        <v/>
      </c>
      <c r="U55" s="2320" t="str">
        <f>VLOOKUP(P55,Ertragsdokumentation!$AI$10:$AO$60,6,0)</f>
        <v/>
      </c>
      <c r="V55" s="2332" t="str">
        <f>IF(W55&gt;0,"JA",IF(AND(W55&lt;1,Ertragsdokumentation!D34="",Ertragsdokumentation!A34&lt;&gt;"",Ertragsdokumentation!B34&lt;&gt;""),"NEIN",IF(AND(W55&lt;1,Ertragsdokumentation!D34&gt;0,Ertragsdokumentation!A34&lt;&gt;"",Ertragsdokumentation!B34&lt;&gt;"",Ertragsdokumentation!C34&lt;&gt;""),"JA","")))</f>
        <v/>
      </c>
      <c r="W55" s="2333">
        <f>IF(OR(N_Bedarf!$F29=N_Bedarf!$AV$70,N_Bedarf!$F29=N_Bedarf!$AV$71,N_Bedarf!$F29=N_Bedarf!$AV$72,N_Bedarf!$F29=N_Bedarf!$AV$73,N_Bedarf!$F29=N_Bedarf!$AV$74,N_Bedarf!$F29=N_Bedarf!$AV$75),1,0)</f>
        <v>0</v>
      </c>
      <c r="X55" s="2335" t="str">
        <f>IF(AND(VLOOKUP(P55,Ertragsdokumentation!$AI$10:$AO$60,7,0)=1,Ertragsdokumentation!D34=""),CONCATENATE("Ertragsdokumentation für ",B55," ","Ertragslage ",D55," fehlt"),"")</f>
        <v/>
      </c>
      <c r="Y55" s="2336">
        <f>IF(AND(VLOOKUP(P55,Ertragsdokumentation!$AI$10:$AO$60,7,0)=1,Ertragsdokumentation!D34=""),1,0)</f>
        <v>0</v>
      </c>
    </row>
    <row r="56" spans="1:25" ht="26.1" customHeight="1" thickBot="1">
      <c r="B56" s="255">
        <f>N_Bedarf!C30</f>
        <v>0</v>
      </c>
      <c r="C56" s="256">
        <f>N_Bedarf!E30</f>
        <v>0</v>
      </c>
      <c r="D56" s="257">
        <f>N_Bedarf!F30</f>
        <v>0</v>
      </c>
      <c r="E56" s="257">
        <f>N_Bedarf!I30</f>
        <v>0</v>
      </c>
      <c r="F56" s="258">
        <f>N_Bedarf!J30</f>
        <v>0</v>
      </c>
      <c r="G56" s="2039" t="str">
        <f t="shared" si="0"/>
        <v/>
      </c>
      <c r="H56" s="2829" t="str">
        <f t="shared" si="2"/>
        <v/>
      </c>
      <c r="I56" s="2830"/>
      <c r="J56" s="2830"/>
      <c r="K56" s="2830"/>
      <c r="L56" s="2830"/>
      <c r="M56" s="2830"/>
      <c r="N56" s="2830"/>
      <c r="O56" s="2830"/>
      <c r="P56" s="2338" t="str">
        <f>IF(B56&gt;0,CONCATENATE(B56,Ertragsdokumentation!B35,Ertragsdokumentation!E35),"")</f>
        <v/>
      </c>
      <c r="Q56" s="2320" t="str">
        <f>VLOOKUP(P56,Ertragsdokumentation!$AI$10:$AO$60,2,0)</f>
        <v/>
      </c>
      <c r="R56" s="2320" t="str">
        <f>VLOOKUP(P56,Ertragsdokumentation!$AI$10:$AO$60,3,0)</f>
        <v/>
      </c>
      <c r="S56" s="2320" t="str">
        <f>VLOOKUP(P56,Ertragsdokumentation!$AI$10:$AO$60,4,0)</f>
        <v/>
      </c>
      <c r="T56" s="2320" t="str">
        <f>VLOOKUP(P56,Ertragsdokumentation!$AI$10:$AO$60,5,0)</f>
        <v/>
      </c>
      <c r="U56" s="2320" t="str">
        <f>VLOOKUP(P56,Ertragsdokumentation!$AI$10:$AO$60,6,0)</f>
        <v/>
      </c>
      <c r="V56" s="2332" t="str">
        <f>IF(W56&gt;0,"JA",IF(AND(W56&lt;1,Ertragsdokumentation!D35="",Ertragsdokumentation!A35&lt;&gt;"",Ertragsdokumentation!B35&lt;&gt;""),"NEIN",IF(AND(W56&lt;1,Ertragsdokumentation!D35&gt;0,Ertragsdokumentation!A35&lt;&gt;"",Ertragsdokumentation!B35&lt;&gt;"",Ertragsdokumentation!C35&lt;&gt;""),"JA","")))</f>
        <v/>
      </c>
      <c r="W56" s="2333">
        <f>IF(OR(N_Bedarf!$F30=N_Bedarf!$AV$70,N_Bedarf!$F30=N_Bedarf!$AV$71,N_Bedarf!$F30=N_Bedarf!$AV$72,N_Bedarf!$F30=N_Bedarf!$AV$73,N_Bedarf!$F30=N_Bedarf!$AV$74,N_Bedarf!$F30=N_Bedarf!$AV$75),1,0)</f>
        <v>0</v>
      </c>
      <c r="X56" s="2335" t="str">
        <f>IF(AND(VLOOKUP(P56,Ertragsdokumentation!$AI$10:$AO$60,7,0)=1,Ertragsdokumentation!D35=""),CONCATENATE("Ertragsdokumentation für ",B56," ","Ertragslage ",D56," fehlt"),"")</f>
        <v/>
      </c>
      <c r="Y56" s="2336">
        <f>IF(AND(VLOOKUP(P56,Ertragsdokumentation!$AI$10:$AO$60,7,0)=1,Ertragsdokumentation!D35=""),1,0)</f>
        <v>0</v>
      </c>
    </row>
    <row r="57" spans="1:25" ht="26.1" customHeight="1" thickBot="1">
      <c r="B57" s="255">
        <f>N_Bedarf!C31</f>
        <v>0</v>
      </c>
      <c r="C57" s="256">
        <f>N_Bedarf!E31</f>
        <v>0</v>
      </c>
      <c r="D57" s="257">
        <f>N_Bedarf!F31</f>
        <v>0</v>
      </c>
      <c r="E57" s="257">
        <f>N_Bedarf!I31</f>
        <v>0</v>
      </c>
      <c r="F57" s="258">
        <f>N_Bedarf!J31</f>
        <v>0</v>
      </c>
      <c r="G57" s="2039" t="str">
        <f t="shared" si="0"/>
        <v/>
      </c>
      <c r="H57" s="2829" t="str">
        <f t="shared" si="2"/>
        <v/>
      </c>
      <c r="I57" s="2830"/>
      <c r="J57" s="2830"/>
      <c r="K57" s="2830"/>
      <c r="L57" s="2830"/>
      <c r="M57" s="2830"/>
      <c r="N57" s="2830"/>
      <c r="O57" s="2830"/>
      <c r="P57" s="2338" t="str">
        <f>IF(B57&gt;0,CONCATENATE(B57,Ertragsdokumentation!B36,Ertragsdokumentation!E36),"")</f>
        <v/>
      </c>
      <c r="Q57" s="2320" t="str">
        <f>VLOOKUP(P57,Ertragsdokumentation!$AI$10:$AO$60,2,0)</f>
        <v/>
      </c>
      <c r="R57" s="2320" t="str">
        <f>VLOOKUP(P57,Ertragsdokumentation!$AI$10:$AO$60,3,0)</f>
        <v/>
      </c>
      <c r="S57" s="2320" t="str">
        <f>VLOOKUP(P57,Ertragsdokumentation!$AI$10:$AO$60,4,0)</f>
        <v/>
      </c>
      <c r="T57" s="2320" t="str">
        <f>VLOOKUP(P57,Ertragsdokumentation!$AI$10:$AO$60,5,0)</f>
        <v/>
      </c>
      <c r="U57" s="2320" t="str">
        <f>VLOOKUP(P57,Ertragsdokumentation!$AI$10:$AO$60,6,0)</f>
        <v/>
      </c>
      <c r="V57" s="2332" t="str">
        <f>IF(W57&gt;0,"JA",IF(AND(W57&lt;1,Ertragsdokumentation!D36="",Ertragsdokumentation!A36&lt;&gt;"",Ertragsdokumentation!B36&lt;&gt;""),"NEIN",IF(AND(W57&lt;1,Ertragsdokumentation!D36&gt;0,Ertragsdokumentation!A36&lt;&gt;"",Ertragsdokumentation!B36&lt;&gt;"",Ertragsdokumentation!C36&lt;&gt;""),"JA","")))</f>
        <v/>
      </c>
      <c r="W57" s="2333">
        <f>IF(OR(N_Bedarf!$F31=N_Bedarf!$AV$70,N_Bedarf!$F31=N_Bedarf!$AV$71,N_Bedarf!$F31=N_Bedarf!$AV$72,N_Bedarf!$F31=N_Bedarf!$AV$73,N_Bedarf!$F31=N_Bedarf!$AV$74,N_Bedarf!$F31=N_Bedarf!$AV$75),1,0)</f>
        <v>0</v>
      </c>
      <c r="X57" s="2335" t="str">
        <f>IF(AND(VLOOKUP(P57,Ertragsdokumentation!$AI$10:$AO$60,7,0)=1,Ertragsdokumentation!D36=""),CONCATENATE("Ertragsdokumentation für ",B57," ","Ertragslage ",D57," fehlt"),"")</f>
        <v/>
      </c>
      <c r="Y57" s="2336">
        <f>IF(AND(VLOOKUP(P57,Ertragsdokumentation!$AI$10:$AO$60,7,0)=1,Ertragsdokumentation!D36=""),1,0)</f>
        <v>0</v>
      </c>
    </row>
    <row r="58" spans="1:25" ht="26.1" customHeight="1" thickBot="1">
      <c r="B58" s="255">
        <f>N_Bedarf!C32</f>
        <v>0</v>
      </c>
      <c r="C58" s="256">
        <f>N_Bedarf!E32</f>
        <v>0</v>
      </c>
      <c r="D58" s="257">
        <f>N_Bedarf!F32</f>
        <v>0</v>
      </c>
      <c r="E58" s="257">
        <f>N_Bedarf!I32</f>
        <v>0</v>
      </c>
      <c r="F58" s="258">
        <f>N_Bedarf!J32</f>
        <v>0</v>
      </c>
      <c r="G58" s="2039" t="str">
        <f t="shared" si="0"/>
        <v/>
      </c>
      <c r="H58" s="2829" t="str">
        <f t="shared" si="2"/>
        <v/>
      </c>
      <c r="I58" s="2830"/>
      <c r="J58" s="2830"/>
      <c r="K58" s="2830"/>
      <c r="L58" s="2830"/>
      <c r="M58" s="2830"/>
      <c r="N58" s="2830"/>
      <c r="O58" s="2830"/>
      <c r="P58" s="2338" t="str">
        <f>IF(B58&gt;0,CONCATENATE(B58,Ertragsdokumentation!B37,Ertragsdokumentation!E37),"")</f>
        <v/>
      </c>
      <c r="Q58" s="2320" t="str">
        <f>VLOOKUP(P58,Ertragsdokumentation!$AI$10:$AO$60,2,0)</f>
        <v/>
      </c>
      <c r="R58" s="2320" t="str">
        <f>VLOOKUP(P58,Ertragsdokumentation!$AI$10:$AO$60,3,0)</f>
        <v/>
      </c>
      <c r="S58" s="2320" t="str">
        <f>VLOOKUP(P58,Ertragsdokumentation!$AI$10:$AO$60,4,0)</f>
        <v/>
      </c>
      <c r="T58" s="2320" t="str">
        <f>VLOOKUP(P58,Ertragsdokumentation!$AI$10:$AO$60,5,0)</f>
        <v/>
      </c>
      <c r="U58" s="2320" t="str">
        <f>VLOOKUP(P58,Ertragsdokumentation!$AI$10:$AO$60,6,0)</f>
        <v/>
      </c>
      <c r="V58" s="2332" t="str">
        <f>IF(W58&gt;0,"JA",IF(AND(W58&lt;1,Ertragsdokumentation!D37="",Ertragsdokumentation!A37&lt;&gt;"",Ertragsdokumentation!B37&lt;&gt;""),"NEIN",IF(AND(W58&lt;1,Ertragsdokumentation!D37&gt;0,Ertragsdokumentation!A37&lt;&gt;"",Ertragsdokumentation!B37&lt;&gt;"",Ertragsdokumentation!C37&lt;&gt;""),"JA","")))</f>
        <v/>
      </c>
      <c r="W58" s="2333">
        <f>IF(OR(N_Bedarf!$F32=N_Bedarf!$AV$70,N_Bedarf!$F32=N_Bedarf!$AV$71,N_Bedarf!$F32=N_Bedarf!$AV$72,N_Bedarf!$F32=N_Bedarf!$AV$73,N_Bedarf!$F32=N_Bedarf!$AV$74,N_Bedarf!$F32=N_Bedarf!$AV$75),1,0)</f>
        <v>0</v>
      </c>
      <c r="X58" s="2335" t="str">
        <f>IF(AND(VLOOKUP(P58,Ertragsdokumentation!$AI$10:$AO$60,7,0)=1,Ertragsdokumentation!D37=""),CONCATENATE("Ertragsdokumentation für ",B58," ","Ertragslage ",D58," fehlt"),"")</f>
        <v/>
      </c>
      <c r="Y58" s="2336">
        <f>IF(AND(VLOOKUP(P58,Ertragsdokumentation!$AI$10:$AO$60,7,0)=1,Ertragsdokumentation!D37=""),1,0)</f>
        <v>0</v>
      </c>
    </row>
    <row r="59" spans="1:25" ht="26.1" customHeight="1" thickBot="1">
      <c r="B59" s="255">
        <f>N_Bedarf!C33</f>
        <v>0</v>
      </c>
      <c r="C59" s="256">
        <f>N_Bedarf!E33</f>
        <v>0</v>
      </c>
      <c r="D59" s="257">
        <f>N_Bedarf!F33</f>
        <v>0</v>
      </c>
      <c r="E59" s="257">
        <f>N_Bedarf!I33</f>
        <v>0</v>
      </c>
      <c r="F59" s="258">
        <f>N_Bedarf!J33</f>
        <v>0</v>
      </c>
      <c r="G59" s="2039" t="str">
        <f t="shared" si="0"/>
        <v/>
      </c>
      <c r="H59" s="2829" t="str">
        <f t="shared" si="2"/>
        <v/>
      </c>
      <c r="I59" s="2830"/>
      <c r="J59" s="2830"/>
      <c r="K59" s="2830"/>
      <c r="L59" s="2830"/>
      <c r="M59" s="2830"/>
      <c r="N59" s="2830"/>
      <c r="O59" s="2830"/>
      <c r="P59" s="2338" t="str">
        <f>IF(B59&gt;0,CONCATENATE(B59,Ertragsdokumentation!B38,Ertragsdokumentation!E38),"")</f>
        <v/>
      </c>
      <c r="Q59" s="2320" t="str">
        <f>VLOOKUP(P59,Ertragsdokumentation!$AI$10:$AO$60,2,0)</f>
        <v/>
      </c>
      <c r="R59" s="2320" t="str">
        <f>VLOOKUP(P59,Ertragsdokumentation!$AI$10:$AO$60,3,0)</f>
        <v/>
      </c>
      <c r="S59" s="2320" t="str">
        <f>VLOOKUP(P59,Ertragsdokumentation!$AI$10:$AO$60,4,0)</f>
        <v/>
      </c>
      <c r="T59" s="2320" t="str">
        <f>VLOOKUP(P59,Ertragsdokumentation!$AI$10:$AO$60,5,0)</f>
        <v/>
      </c>
      <c r="U59" s="2320" t="str">
        <f>VLOOKUP(P59,Ertragsdokumentation!$AI$10:$AO$60,6,0)</f>
        <v/>
      </c>
      <c r="V59" s="2332" t="str">
        <f>IF(W59&gt;0,"JA",IF(AND(W59&lt;1,Ertragsdokumentation!D38="",Ertragsdokumentation!A38&lt;&gt;"",Ertragsdokumentation!B38&lt;&gt;""),"NEIN",IF(AND(W59&lt;1,Ertragsdokumentation!D38&gt;0,Ertragsdokumentation!A38&lt;&gt;"",Ertragsdokumentation!B38&lt;&gt;"",Ertragsdokumentation!C38&lt;&gt;""),"JA","")))</f>
        <v/>
      </c>
      <c r="W59" s="2333">
        <f>IF(OR(N_Bedarf!$F33=N_Bedarf!$AV$70,N_Bedarf!$F33=N_Bedarf!$AV$71,N_Bedarf!$F33=N_Bedarf!$AV$72,N_Bedarf!$F33=N_Bedarf!$AV$73,N_Bedarf!$F33=N_Bedarf!$AV$74,N_Bedarf!$F33=N_Bedarf!$AV$75),1,0)</f>
        <v>0</v>
      </c>
      <c r="X59" s="2335" t="str">
        <f>IF(AND(VLOOKUP(P59,Ertragsdokumentation!$AI$10:$AO$60,7,0)=1,Ertragsdokumentation!D38=""),CONCATENATE("Ertragsdokumentation für ",B59," ","Ertragslage ",D59," fehlt"),"")</f>
        <v/>
      </c>
      <c r="Y59" s="2336">
        <f>IF(AND(VLOOKUP(P59,Ertragsdokumentation!$AI$10:$AO$60,7,0)=1,Ertragsdokumentation!D38=""),1,0)</f>
        <v>0</v>
      </c>
    </row>
    <row r="60" spans="1:25" ht="26.1" customHeight="1" thickBot="1">
      <c r="B60" s="255">
        <f>N_Bedarf!C34</f>
        <v>0</v>
      </c>
      <c r="C60" s="256">
        <f>N_Bedarf!E34</f>
        <v>0</v>
      </c>
      <c r="D60" s="257">
        <f>N_Bedarf!F34</f>
        <v>0</v>
      </c>
      <c r="E60" s="257">
        <f>N_Bedarf!I34</f>
        <v>0</v>
      </c>
      <c r="F60" s="258">
        <f>N_Bedarf!J34</f>
        <v>0</v>
      </c>
      <c r="G60" s="2039" t="str">
        <f t="shared" si="0"/>
        <v/>
      </c>
      <c r="H60" s="2829" t="str">
        <f t="shared" si="2"/>
        <v/>
      </c>
      <c r="I60" s="2830"/>
      <c r="J60" s="2830"/>
      <c r="K60" s="2830"/>
      <c r="L60" s="2830"/>
      <c r="M60" s="2830"/>
      <c r="N60" s="2830"/>
      <c r="O60" s="2830"/>
      <c r="P60" s="2338" t="str">
        <f>IF(B60&gt;0,CONCATENATE(B60,Ertragsdokumentation!B39,Ertragsdokumentation!E39),"")</f>
        <v/>
      </c>
      <c r="Q60" s="2320" t="str">
        <f>VLOOKUP(P60,Ertragsdokumentation!$AI$10:$AO$60,2,0)</f>
        <v/>
      </c>
      <c r="R60" s="2320" t="str">
        <f>VLOOKUP(P60,Ertragsdokumentation!$AI$10:$AO$60,3,0)</f>
        <v/>
      </c>
      <c r="S60" s="2320" t="str">
        <f>VLOOKUP(P60,Ertragsdokumentation!$AI$10:$AO$60,4,0)</f>
        <v/>
      </c>
      <c r="T60" s="2320" t="str">
        <f>VLOOKUP(P60,Ertragsdokumentation!$AI$10:$AO$60,5,0)</f>
        <v/>
      </c>
      <c r="U60" s="2320" t="str">
        <f>VLOOKUP(P60,Ertragsdokumentation!$AI$10:$AO$60,6,0)</f>
        <v/>
      </c>
      <c r="V60" s="2332" t="str">
        <f>IF(W60&gt;0,"JA",IF(AND(W60&lt;1,Ertragsdokumentation!D39="",Ertragsdokumentation!A39&lt;&gt;"",Ertragsdokumentation!B39&lt;&gt;""),"NEIN",IF(AND(W60&lt;1,Ertragsdokumentation!D39&gt;0,Ertragsdokumentation!A39&lt;&gt;"",Ertragsdokumentation!B39&lt;&gt;"",Ertragsdokumentation!C39&lt;&gt;""),"JA","")))</f>
        <v/>
      </c>
      <c r="W60" s="2333">
        <f>IF(OR(N_Bedarf!$F34=N_Bedarf!$AV$70,N_Bedarf!$F34=N_Bedarf!$AV$71,N_Bedarf!$F34=N_Bedarf!$AV$72,N_Bedarf!$F34=N_Bedarf!$AV$73,N_Bedarf!$F34=N_Bedarf!$AV$74,N_Bedarf!$F34=N_Bedarf!$AV$75),1,0)</f>
        <v>0</v>
      </c>
      <c r="X60" s="2335" t="str">
        <f>IF(AND(VLOOKUP(P60,Ertragsdokumentation!$AI$10:$AO$60,7,0)=1,Ertragsdokumentation!D39=""),CONCATENATE("Ertragsdokumentation für ",B60," ","Ertragslage ",D60," fehlt"),"")</f>
        <v/>
      </c>
      <c r="Y60" s="2336">
        <f>IF(AND(VLOOKUP(P60,Ertragsdokumentation!$AI$10:$AO$60,7,0)=1,Ertragsdokumentation!D39=""),1,0)</f>
        <v>0</v>
      </c>
    </row>
    <row r="61" spans="1:25" ht="26.1" customHeight="1" thickBot="1">
      <c r="B61" s="255">
        <f>N_Bedarf!C35</f>
        <v>0</v>
      </c>
      <c r="C61" s="256">
        <f>N_Bedarf!E35</f>
        <v>0</v>
      </c>
      <c r="D61" s="257">
        <f>N_Bedarf!F35</f>
        <v>0</v>
      </c>
      <c r="E61" s="257">
        <f>N_Bedarf!I35</f>
        <v>0</v>
      </c>
      <c r="F61" s="258">
        <f>N_Bedarf!J35</f>
        <v>0</v>
      </c>
      <c r="G61" s="2039" t="str">
        <f t="shared" si="0"/>
        <v/>
      </c>
      <c r="H61" s="2829" t="str">
        <f t="shared" si="2"/>
        <v/>
      </c>
      <c r="I61" s="2830"/>
      <c r="J61" s="2830"/>
      <c r="K61" s="2830"/>
      <c r="L61" s="2830"/>
      <c r="M61" s="2830"/>
      <c r="N61" s="2830"/>
      <c r="O61" s="2830"/>
      <c r="P61" s="2338" t="str">
        <f>IF(B61&gt;0,CONCATENATE(B61,Ertragsdokumentation!B40,Ertragsdokumentation!E40),"")</f>
        <v/>
      </c>
      <c r="Q61" s="2320" t="str">
        <f>VLOOKUP(P61,Ertragsdokumentation!$AI$10:$AO$60,2,0)</f>
        <v/>
      </c>
      <c r="R61" s="2320" t="str">
        <f>VLOOKUP(P61,Ertragsdokumentation!$AI$10:$AO$60,3,0)</f>
        <v/>
      </c>
      <c r="S61" s="2320" t="str">
        <f>VLOOKUP(P61,Ertragsdokumentation!$AI$10:$AO$60,4,0)</f>
        <v/>
      </c>
      <c r="T61" s="2320" t="str">
        <f>VLOOKUP(P61,Ertragsdokumentation!$AI$10:$AO$60,5,0)</f>
        <v/>
      </c>
      <c r="U61" s="2320" t="str">
        <f>VLOOKUP(P61,Ertragsdokumentation!$AI$10:$AO$60,6,0)</f>
        <v/>
      </c>
      <c r="V61" s="2332" t="str">
        <f>IF(W61&gt;0,"JA",IF(AND(W61&lt;1,Ertragsdokumentation!D40="",Ertragsdokumentation!A40&lt;&gt;"",Ertragsdokumentation!B40&lt;&gt;""),"NEIN",IF(AND(W61&lt;1,Ertragsdokumentation!D40&gt;0,Ertragsdokumentation!A40&lt;&gt;"",Ertragsdokumentation!B40&lt;&gt;"",Ertragsdokumentation!C40&lt;&gt;""),"JA","")))</f>
        <v/>
      </c>
      <c r="W61" s="2333">
        <f>IF(OR(N_Bedarf!$F35=N_Bedarf!$AV$70,N_Bedarf!$F35=N_Bedarf!$AV$71,N_Bedarf!$F35=N_Bedarf!$AV$72,N_Bedarf!$F35=N_Bedarf!$AV$73,N_Bedarf!$F35=N_Bedarf!$AV$74,N_Bedarf!$F35=N_Bedarf!$AV$75),1,0)</f>
        <v>0</v>
      </c>
      <c r="X61" s="2335" t="str">
        <f>IF(AND(VLOOKUP(P61,Ertragsdokumentation!$AI$10:$AO$60,7,0)=1,Ertragsdokumentation!D40=""),CONCATENATE("Ertragsdokumentation für ",B61," ","Ertragslage ",D61," fehlt"),"")</f>
        <v/>
      </c>
      <c r="Y61" s="2336">
        <f>IF(AND(VLOOKUP(P61,Ertragsdokumentation!$AI$10:$AO$60,7,0)=1,Ertragsdokumentation!D40=""),1,0)</f>
        <v>0</v>
      </c>
    </row>
    <row r="62" spans="1:25" ht="26.1" customHeight="1" thickBot="1">
      <c r="B62" s="255">
        <f>N_Bedarf!C36</f>
        <v>0</v>
      </c>
      <c r="C62" s="256">
        <f>N_Bedarf!E36</f>
        <v>0</v>
      </c>
      <c r="D62" s="257">
        <f>N_Bedarf!F36</f>
        <v>0</v>
      </c>
      <c r="E62" s="257">
        <f>N_Bedarf!I36</f>
        <v>0</v>
      </c>
      <c r="F62" s="258">
        <f>N_Bedarf!J36</f>
        <v>0</v>
      </c>
      <c r="G62" s="2039" t="str">
        <f t="shared" si="0"/>
        <v/>
      </c>
      <c r="H62" s="2829" t="str">
        <f t="shared" ref="H62:H80" si="3">IFERROR(X62,"")</f>
        <v/>
      </c>
      <c r="I62" s="2830"/>
      <c r="J62" s="2830"/>
      <c r="K62" s="2830"/>
      <c r="L62" s="2830"/>
      <c r="M62" s="2830"/>
      <c r="N62" s="2830"/>
      <c r="O62" s="2830"/>
      <c r="P62" s="2338" t="str">
        <f>IF(B62&gt;0,CONCATENATE(B62,Ertragsdokumentation!B41,Ertragsdokumentation!E41),"")</f>
        <v/>
      </c>
      <c r="Q62" s="2320" t="str">
        <f>VLOOKUP(P62,Ertragsdokumentation!$AI$10:$AO$60,2,0)</f>
        <v/>
      </c>
      <c r="R62" s="2320" t="str">
        <f>VLOOKUP(P62,Ertragsdokumentation!$AI$10:$AO$60,3,0)</f>
        <v/>
      </c>
      <c r="S62" s="2320" t="str">
        <f>VLOOKUP(P62,Ertragsdokumentation!$AI$10:$AO$60,4,0)</f>
        <v/>
      </c>
      <c r="T62" s="2320" t="str">
        <f>VLOOKUP(P62,Ertragsdokumentation!$AI$10:$AO$60,5,0)</f>
        <v/>
      </c>
      <c r="U62" s="2320" t="str">
        <f>VLOOKUP(P62,Ertragsdokumentation!$AI$10:$AO$60,6,0)</f>
        <v/>
      </c>
      <c r="V62" s="2332" t="str">
        <f>IF(W62&gt;0,"JA",IF(AND(W62&lt;1,Ertragsdokumentation!D41="",Ertragsdokumentation!A41&lt;&gt;"",Ertragsdokumentation!B41&lt;&gt;""),"NEIN",IF(AND(W62&lt;1,Ertragsdokumentation!D41&gt;0,Ertragsdokumentation!A41&lt;&gt;"",Ertragsdokumentation!B41&lt;&gt;"",Ertragsdokumentation!C41&lt;&gt;""),"JA","")))</f>
        <v/>
      </c>
      <c r="W62" s="2333">
        <f>IF(OR(N_Bedarf!$F36=N_Bedarf!$AV$70,N_Bedarf!$F36=N_Bedarf!$AV$71,N_Bedarf!$F36=N_Bedarf!$AV$72,N_Bedarf!$F36=N_Bedarf!$AV$73,N_Bedarf!$F36=N_Bedarf!$AV$74,N_Bedarf!$F36=N_Bedarf!$AV$75),1,0)</f>
        <v>0</v>
      </c>
      <c r="X62" s="2335" t="str">
        <f>IF(AND(VLOOKUP(P62,Ertragsdokumentation!$AI$10:$AO$60,7,0)=1,Ertragsdokumentation!D41=""),CONCATENATE("Ertragsdokumentation für ",B62," ","Ertragslage ",D62," fehlt"),"")</f>
        <v/>
      </c>
      <c r="Y62" s="2336">
        <f>IF(AND(VLOOKUP(P62,Ertragsdokumentation!$AI$10:$AO$60,7,0)=1,Ertragsdokumentation!D41=""),1,0)</f>
        <v>0</v>
      </c>
    </row>
    <row r="63" spans="1:25" ht="26.1" customHeight="1" thickBot="1">
      <c r="B63" s="255">
        <f>N_Bedarf!C37</f>
        <v>0</v>
      </c>
      <c r="C63" s="256">
        <f>N_Bedarf!E37</f>
        <v>0</v>
      </c>
      <c r="D63" s="257">
        <f>N_Bedarf!F37</f>
        <v>0</v>
      </c>
      <c r="E63" s="257">
        <f>N_Bedarf!I37</f>
        <v>0</v>
      </c>
      <c r="F63" s="258">
        <f>N_Bedarf!J37</f>
        <v>0</v>
      </c>
      <c r="G63" s="2039" t="str">
        <f t="shared" si="0"/>
        <v/>
      </c>
      <c r="H63" s="2829" t="str">
        <f t="shared" si="3"/>
        <v/>
      </c>
      <c r="I63" s="2830"/>
      <c r="J63" s="2830"/>
      <c r="K63" s="2830"/>
      <c r="L63" s="2830"/>
      <c r="M63" s="2830"/>
      <c r="N63" s="2830"/>
      <c r="O63" s="2830"/>
      <c r="P63" s="2338" t="str">
        <f>IF(B63&gt;0,CONCATENATE(B63,Ertragsdokumentation!B42,Ertragsdokumentation!E42),"")</f>
        <v/>
      </c>
      <c r="Q63" s="2320" t="str">
        <f>VLOOKUP(P63,Ertragsdokumentation!$AI$10:$AO$60,2,0)</f>
        <v/>
      </c>
      <c r="R63" s="2320" t="str">
        <f>VLOOKUP(P63,Ertragsdokumentation!$AI$10:$AO$60,3,0)</f>
        <v/>
      </c>
      <c r="S63" s="2320" t="str">
        <f>VLOOKUP(P63,Ertragsdokumentation!$AI$10:$AO$60,4,0)</f>
        <v/>
      </c>
      <c r="T63" s="2320" t="str">
        <f>VLOOKUP(P63,Ertragsdokumentation!$AI$10:$AO$60,5,0)</f>
        <v/>
      </c>
      <c r="U63" s="2320" t="str">
        <f>VLOOKUP(P63,Ertragsdokumentation!$AI$10:$AO$60,6,0)</f>
        <v/>
      </c>
      <c r="V63" s="2332" t="str">
        <f>IF(W63&gt;0,"JA",IF(AND(W63&lt;1,Ertragsdokumentation!D42="",Ertragsdokumentation!A42&lt;&gt;"",Ertragsdokumentation!B42&lt;&gt;""),"NEIN",IF(AND(W63&lt;1,Ertragsdokumentation!D42&gt;0,Ertragsdokumentation!A42&lt;&gt;"",Ertragsdokumentation!B42&lt;&gt;"",Ertragsdokumentation!C42&lt;&gt;""),"JA","")))</f>
        <v/>
      </c>
      <c r="W63" s="2333">
        <f>IF(OR(N_Bedarf!$F37=N_Bedarf!$AV$70,N_Bedarf!$F37=N_Bedarf!$AV$71,N_Bedarf!$F37=N_Bedarf!$AV$72,N_Bedarf!$F37=N_Bedarf!$AV$73,N_Bedarf!$F37=N_Bedarf!$AV$74,N_Bedarf!$F37=N_Bedarf!$AV$75),1,0)</f>
        <v>0</v>
      </c>
      <c r="X63" s="2335" t="str">
        <f>IF(AND(VLOOKUP(P63,Ertragsdokumentation!$AI$10:$AO$60,7,0)=1,Ertragsdokumentation!D42=""),CONCATENATE("Ertragsdokumentation für ",B63," ","Ertragslage ",D63," fehlt"),"")</f>
        <v/>
      </c>
      <c r="Y63" s="2336">
        <f>IF(AND(VLOOKUP(P63,Ertragsdokumentation!$AI$10:$AO$60,7,0)=1,Ertragsdokumentation!D42=""),1,0)</f>
        <v>0</v>
      </c>
    </row>
    <row r="64" spans="1:25" ht="26.1" customHeight="1" thickBot="1">
      <c r="B64" s="255">
        <f>N_Bedarf!C38</f>
        <v>0</v>
      </c>
      <c r="C64" s="256">
        <f>N_Bedarf!E38</f>
        <v>0</v>
      </c>
      <c r="D64" s="257">
        <f>N_Bedarf!F38</f>
        <v>0</v>
      </c>
      <c r="E64" s="257">
        <f>N_Bedarf!I38</f>
        <v>0</v>
      </c>
      <c r="F64" s="258">
        <f>N_Bedarf!J38</f>
        <v>0</v>
      </c>
      <c r="G64" s="2039" t="str">
        <f t="shared" si="0"/>
        <v/>
      </c>
      <c r="H64" s="2829" t="str">
        <f t="shared" si="3"/>
        <v/>
      </c>
      <c r="I64" s="2830"/>
      <c r="J64" s="2830"/>
      <c r="K64" s="2830"/>
      <c r="L64" s="2830"/>
      <c r="M64" s="2830"/>
      <c r="N64" s="2830"/>
      <c r="O64" s="2830"/>
      <c r="P64" s="2338" t="str">
        <f>IF(B64&gt;0,CONCATENATE(B64,Ertragsdokumentation!B43,Ertragsdokumentation!E43),"")</f>
        <v/>
      </c>
      <c r="Q64" s="2320" t="str">
        <f>VLOOKUP(P64,Ertragsdokumentation!$AI$10:$AO$60,2,0)</f>
        <v/>
      </c>
      <c r="R64" s="2320" t="str">
        <f>VLOOKUP(P64,Ertragsdokumentation!$AI$10:$AO$60,3,0)</f>
        <v/>
      </c>
      <c r="S64" s="2320" t="str">
        <f>VLOOKUP(P64,Ertragsdokumentation!$AI$10:$AO$60,4,0)</f>
        <v/>
      </c>
      <c r="T64" s="2320" t="str">
        <f>VLOOKUP(P64,Ertragsdokumentation!$AI$10:$AO$60,5,0)</f>
        <v/>
      </c>
      <c r="U64" s="2320" t="str">
        <f>VLOOKUP(P64,Ertragsdokumentation!$AI$10:$AO$60,6,0)</f>
        <v/>
      </c>
      <c r="V64" s="2332" t="str">
        <f>IF(W64&gt;0,"JA",IF(AND(W64&lt;1,Ertragsdokumentation!D43="",Ertragsdokumentation!A43&lt;&gt;"",Ertragsdokumentation!B43&lt;&gt;""),"NEIN",IF(AND(W64&lt;1,Ertragsdokumentation!D43&gt;0,Ertragsdokumentation!A43&lt;&gt;"",Ertragsdokumentation!B43&lt;&gt;"",Ertragsdokumentation!C43&lt;&gt;""),"JA","")))</f>
        <v/>
      </c>
      <c r="W64" s="2333">
        <f>IF(OR(N_Bedarf!$F38=N_Bedarf!$AV$70,N_Bedarf!$F38=N_Bedarf!$AV$71,N_Bedarf!$F38=N_Bedarf!$AV$72,N_Bedarf!$F38=N_Bedarf!$AV$73,N_Bedarf!$F38=N_Bedarf!$AV$74,N_Bedarf!$F38=N_Bedarf!$AV$75),1,0)</f>
        <v>0</v>
      </c>
      <c r="X64" s="2335" t="str">
        <f>IF(AND(VLOOKUP(P64,Ertragsdokumentation!$AI$10:$AO$60,7,0)=1,Ertragsdokumentation!D43=""),CONCATENATE("Ertragsdokumentation für ",B64," ","Ertragslage ",D64," fehlt"),"")</f>
        <v/>
      </c>
      <c r="Y64" s="2336">
        <f>IF(AND(VLOOKUP(P64,Ertragsdokumentation!$AI$10:$AO$60,7,0)=1,Ertragsdokumentation!D43=""),1,0)</f>
        <v>0</v>
      </c>
    </row>
    <row r="65" spans="2:25" ht="26.1" customHeight="1" thickBot="1">
      <c r="B65" s="255">
        <f>N_Bedarf!C39</f>
        <v>0</v>
      </c>
      <c r="C65" s="256">
        <f>N_Bedarf!E39</f>
        <v>0</v>
      </c>
      <c r="D65" s="257">
        <f>N_Bedarf!F39</f>
        <v>0</v>
      </c>
      <c r="E65" s="257">
        <f>N_Bedarf!I39</f>
        <v>0</v>
      </c>
      <c r="F65" s="258">
        <f>N_Bedarf!J39</f>
        <v>0</v>
      </c>
      <c r="G65" s="2039" t="str">
        <f t="shared" si="0"/>
        <v/>
      </c>
      <c r="H65" s="2829" t="str">
        <f t="shared" si="3"/>
        <v/>
      </c>
      <c r="I65" s="2830"/>
      <c r="J65" s="2830"/>
      <c r="K65" s="2830"/>
      <c r="L65" s="2830"/>
      <c r="M65" s="2830"/>
      <c r="N65" s="2830"/>
      <c r="O65" s="2830"/>
      <c r="P65" s="2338" t="str">
        <f>IF(B65&gt;0,CONCATENATE(B65,Ertragsdokumentation!B44,Ertragsdokumentation!E44),"")</f>
        <v/>
      </c>
      <c r="Q65" s="2320" t="str">
        <f>VLOOKUP(P65,Ertragsdokumentation!$AI$10:$AO$60,2,0)</f>
        <v/>
      </c>
      <c r="R65" s="2320" t="str">
        <f>VLOOKUP(P65,Ertragsdokumentation!$AI$10:$AO$60,3,0)</f>
        <v/>
      </c>
      <c r="S65" s="2320" t="str">
        <f>VLOOKUP(P65,Ertragsdokumentation!$AI$10:$AO$60,4,0)</f>
        <v/>
      </c>
      <c r="T65" s="2320" t="str">
        <f>VLOOKUP(P65,Ertragsdokumentation!$AI$10:$AO$60,5,0)</f>
        <v/>
      </c>
      <c r="U65" s="2320" t="str">
        <f>VLOOKUP(P65,Ertragsdokumentation!$AI$10:$AO$60,6,0)</f>
        <v/>
      </c>
      <c r="V65" s="2332" t="str">
        <f>IF(W65&gt;0,"JA",IF(AND(W65&lt;1,Ertragsdokumentation!D44="",Ertragsdokumentation!A44&lt;&gt;"",Ertragsdokumentation!B44&lt;&gt;""),"NEIN",IF(AND(W65&lt;1,Ertragsdokumentation!D44&gt;0,Ertragsdokumentation!A44&lt;&gt;"",Ertragsdokumentation!B44&lt;&gt;"",Ertragsdokumentation!C44&lt;&gt;""),"JA","")))</f>
        <v/>
      </c>
      <c r="W65" s="2333">
        <f>IF(OR(N_Bedarf!$F39=N_Bedarf!$AV$70,N_Bedarf!$F39=N_Bedarf!$AV$71,N_Bedarf!$F39=N_Bedarf!$AV$72,N_Bedarf!$F39=N_Bedarf!$AV$73,N_Bedarf!$F39=N_Bedarf!$AV$74,N_Bedarf!$F39=N_Bedarf!$AV$75),1,0)</f>
        <v>0</v>
      </c>
      <c r="X65" s="2335" t="str">
        <f>IF(AND(VLOOKUP(P65,Ertragsdokumentation!$AI$10:$AO$60,7,0)=1,Ertragsdokumentation!D44=""),CONCATENATE("Ertragsdokumentation für ",B65," ","Ertragslage ",D65," fehlt"),"")</f>
        <v/>
      </c>
      <c r="Y65" s="2336">
        <f>IF(AND(VLOOKUP(P65,Ertragsdokumentation!$AI$10:$AO$60,7,0)=1,Ertragsdokumentation!D44=""),1,0)</f>
        <v>0</v>
      </c>
    </row>
    <row r="66" spans="2:25" ht="26.1" customHeight="1" thickBot="1">
      <c r="B66" s="255">
        <f>N_Bedarf!C40</f>
        <v>0</v>
      </c>
      <c r="C66" s="256">
        <f>N_Bedarf!E40</f>
        <v>0</v>
      </c>
      <c r="D66" s="257">
        <f>N_Bedarf!F40</f>
        <v>0</v>
      </c>
      <c r="E66" s="257">
        <f>N_Bedarf!I40</f>
        <v>0</v>
      </c>
      <c r="F66" s="258">
        <f>N_Bedarf!J40</f>
        <v>0</v>
      </c>
      <c r="G66" s="2039" t="str">
        <f t="shared" si="0"/>
        <v/>
      </c>
      <c r="H66" s="2829" t="str">
        <f t="shared" si="3"/>
        <v/>
      </c>
      <c r="I66" s="2830"/>
      <c r="J66" s="2830"/>
      <c r="K66" s="2830"/>
      <c r="L66" s="2830"/>
      <c r="M66" s="2830"/>
      <c r="N66" s="2830"/>
      <c r="O66" s="2830"/>
      <c r="P66" s="2338" t="str">
        <f>IF(B66&gt;0,CONCATENATE(B66,Ertragsdokumentation!B45,Ertragsdokumentation!E45),"")</f>
        <v/>
      </c>
      <c r="Q66" s="2320" t="str">
        <f>VLOOKUP(P66,Ertragsdokumentation!$AI$10:$AO$60,2,0)</f>
        <v/>
      </c>
      <c r="R66" s="2320" t="str">
        <f>VLOOKUP(P66,Ertragsdokumentation!$AI$10:$AO$60,3,0)</f>
        <v/>
      </c>
      <c r="S66" s="2320" t="str">
        <f>VLOOKUP(P66,Ertragsdokumentation!$AI$10:$AO$60,4,0)</f>
        <v/>
      </c>
      <c r="T66" s="2320" t="str">
        <f>VLOOKUP(P66,Ertragsdokumentation!$AI$10:$AO$60,5,0)</f>
        <v/>
      </c>
      <c r="U66" s="2320" t="str">
        <f>VLOOKUP(P66,Ertragsdokumentation!$AI$10:$AO$60,6,0)</f>
        <v/>
      </c>
      <c r="V66" s="2332" t="str">
        <f>IF(W66&gt;0,"JA",IF(AND(W66&lt;1,Ertragsdokumentation!D45="",Ertragsdokumentation!A45&lt;&gt;"",Ertragsdokumentation!B45&lt;&gt;""),"NEIN",IF(AND(W66&lt;1,Ertragsdokumentation!D45&gt;0,Ertragsdokumentation!A45&lt;&gt;"",Ertragsdokumentation!B45&lt;&gt;"",Ertragsdokumentation!C45&lt;&gt;""),"JA","")))</f>
        <v/>
      </c>
      <c r="W66" s="2333">
        <f>IF(OR(N_Bedarf!$F40=N_Bedarf!$AV$70,N_Bedarf!$F40=N_Bedarf!$AV$71,N_Bedarf!$F40=N_Bedarf!$AV$72,N_Bedarf!$F40=N_Bedarf!$AV$73,N_Bedarf!$F40=N_Bedarf!$AV$74,N_Bedarf!$F40=N_Bedarf!$AV$75),1,0)</f>
        <v>0</v>
      </c>
      <c r="X66" s="2335" t="str">
        <f>IF(AND(VLOOKUP(P66,Ertragsdokumentation!$AI$10:$AO$60,7,0)=1,Ertragsdokumentation!D45=""),CONCATENATE("Ertragsdokumentation für ",B66," ","Ertragslage ",D66," fehlt"),"")</f>
        <v/>
      </c>
      <c r="Y66" s="2336">
        <f>IF(AND(VLOOKUP(P66,Ertragsdokumentation!$AI$10:$AO$60,7,0)=1,Ertragsdokumentation!D45=""),1,0)</f>
        <v>0</v>
      </c>
    </row>
    <row r="67" spans="2:25" ht="26.1" customHeight="1" thickBot="1">
      <c r="B67" s="255">
        <f>N_Bedarf!C41</f>
        <v>0</v>
      </c>
      <c r="C67" s="256">
        <f>N_Bedarf!E41</f>
        <v>0</v>
      </c>
      <c r="D67" s="257">
        <f>N_Bedarf!F41</f>
        <v>0</v>
      </c>
      <c r="E67" s="257">
        <f>N_Bedarf!I41</f>
        <v>0</v>
      </c>
      <c r="F67" s="258">
        <f>N_Bedarf!J41</f>
        <v>0</v>
      </c>
      <c r="G67" s="2039" t="str">
        <f t="shared" si="0"/>
        <v/>
      </c>
      <c r="H67" s="2829" t="str">
        <f t="shared" si="3"/>
        <v/>
      </c>
      <c r="I67" s="2830"/>
      <c r="J67" s="2830"/>
      <c r="K67" s="2830"/>
      <c r="L67" s="2830"/>
      <c r="M67" s="2830"/>
      <c r="N67" s="2830"/>
      <c r="O67" s="2830"/>
      <c r="P67" s="2338" t="str">
        <f>IF(B67&gt;0,CONCATENATE(B67,Ertragsdokumentation!B46,Ertragsdokumentation!E46),"")</f>
        <v/>
      </c>
      <c r="Q67" s="2320" t="str">
        <f>VLOOKUP(P67,Ertragsdokumentation!$AI$10:$AO$60,2,0)</f>
        <v/>
      </c>
      <c r="R67" s="2320" t="str">
        <f>VLOOKUP(P67,Ertragsdokumentation!$AI$10:$AO$60,3,0)</f>
        <v/>
      </c>
      <c r="S67" s="2320" t="str">
        <f>VLOOKUP(P67,Ertragsdokumentation!$AI$10:$AO$60,4,0)</f>
        <v/>
      </c>
      <c r="T67" s="2320" t="str">
        <f>VLOOKUP(P67,Ertragsdokumentation!$AI$10:$AO$60,5,0)</f>
        <v/>
      </c>
      <c r="U67" s="2320" t="str">
        <f>VLOOKUP(P67,Ertragsdokumentation!$AI$10:$AO$60,6,0)</f>
        <v/>
      </c>
      <c r="V67" s="2332" t="str">
        <f>IF(W67&gt;0,"JA",IF(AND(W67&lt;1,Ertragsdokumentation!D46="",Ertragsdokumentation!A46&lt;&gt;"",Ertragsdokumentation!B46&lt;&gt;""),"NEIN",IF(AND(W67&lt;1,Ertragsdokumentation!D46&gt;0,Ertragsdokumentation!A46&lt;&gt;"",Ertragsdokumentation!B46&lt;&gt;"",Ertragsdokumentation!C46&lt;&gt;""),"JA","")))</f>
        <v/>
      </c>
      <c r="W67" s="2333">
        <f>IF(OR(N_Bedarf!$F41=N_Bedarf!$AV$70,N_Bedarf!$F41=N_Bedarf!$AV$71,N_Bedarf!$F41=N_Bedarf!$AV$72,N_Bedarf!$F41=N_Bedarf!$AV$73,N_Bedarf!$F41=N_Bedarf!$AV$74,N_Bedarf!$F41=N_Bedarf!$AV$75),1,0)</f>
        <v>0</v>
      </c>
      <c r="X67" s="2335" t="str">
        <f>IF(AND(VLOOKUP(P67,Ertragsdokumentation!$AI$10:$AO$60,7,0)=1,Ertragsdokumentation!D46=""),CONCATENATE("Ertragsdokumentation für ",B67," ","Ertragslage ",D67," fehlt"),"")</f>
        <v/>
      </c>
      <c r="Y67" s="2336">
        <f>IF(AND(VLOOKUP(P67,Ertragsdokumentation!$AI$10:$AO$60,7,0)=1,Ertragsdokumentation!D46=""),1,0)</f>
        <v>0</v>
      </c>
    </row>
    <row r="68" spans="2:25" ht="26.1" customHeight="1" thickBot="1">
      <c r="B68" s="255">
        <f>N_Bedarf!C42</f>
        <v>0</v>
      </c>
      <c r="C68" s="256">
        <f>N_Bedarf!E42</f>
        <v>0</v>
      </c>
      <c r="D68" s="257">
        <f>N_Bedarf!F42</f>
        <v>0</v>
      </c>
      <c r="E68" s="257">
        <f>N_Bedarf!I42</f>
        <v>0</v>
      </c>
      <c r="F68" s="258">
        <f>N_Bedarf!J42</f>
        <v>0</v>
      </c>
      <c r="G68" s="2039" t="str">
        <f t="shared" si="0"/>
        <v/>
      </c>
      <c r="H68" s="2829" t="str">
        <f t="shared" si="3"/>
        <v/>
      </c>
      <c r="I68" s="2830"/>
      <c r="J68" s="2830"/>
      <c r="K68" s="2830"/>
      <c r="L68" s="2830"/>
      <c r="M68" s="2830"/>
      <c r="N68" s="2830"/>
      <c r="O68" s="2830"/>
      <c r="P68" s="2338" t="str">
        <f>IF(B68&gt;0,CONCATENATE(B68,Ertragsdokumentation!B47,Ertragsdokumentation!E47),"")</f>
        <v/>
      </c>
      <c r="Q68" s="2320" t="str">
        <f>VLOOKUP(P68,Ertragsdokumentation!$AI$10:$AO$60,2,0)</f>
        <v/>
      </c>
      <c r="R68" s="2320" t="str">
        <f>VLOOKUP(P68,Ertragsdokumentation!$AI$10:$AO$60,3,0)</f>
        <v/>
      </c>
      <c r="S68" s="2320" t="str">
        <f>VLOOKUP(P68,Ertragsdokumentation!$AI$10:$AO$60,4,0)</f>
        <v/>
      </c>
      <c r="T68" s="2320" t="str">
        <f>VLOOKUP(P68,Ertragsdokumentation!$AI$10:$AO$60,5,0)</f>
        <v/>
      </c>
      <c r="U68" s="2320" t="str">
        <f>VLOOKUP(P68,Ertragsdokumentation!$AI$10:$AO$60,6,0)</f>
        <v/>
      </c>
      <c r="V68" s="2332" t="str">
        <f>IF(W68&gt;0,"JA",IF(AND(W68&lt;1,Ertragsdokumentation!D47="",Ertragsdokumentation!A47&lt;&gt;"",Ertragsdokumentation!B47&lt;&gt;""),"NEIN",IF(AND(W68&lt;1,Ertragsdokumentation!D47&gt;0,Ertragsdokumentation!A47&lt;&gt;"",Ertragsdokumentation!B47&lt;&gt;"",Ertragsdokumentation!C47&lt;&gt;""),"JA","")))</f>
        <v/>
      </c>
      <c r="W68" s="2333">
        <f>IF(OR(N_Bedarf!$F42=N_Bedarf!$AV$70,N_Bedarf!$F42=N_Bedarf!$AV$71,N_Bedarf!$F42=N_Bedarf!$AV$72,N_Bedarf!$F42=N_Bedarf!$AV$73,N_Bedarf!$F42=N_Bedarf!$AV$74,N_Bedarf!$F42=N_Bedarf!$AV$75),1,0)</f>
        <v>0</v>
      </c>
      <c r="X68" s="2335" t="str">
        <f>IF(AND(VLOOKUP(P68,Ertragsdokumentation!$AI$10:$AO$60,7,0)=1,Ertragsdokumentation!D47=""),CONCATENATE("Ertragsdokumentation für ",B68," ","Ertragslage ",D68," fehlt"),"")</f>
        <v/>
      </c>
      <c r="Y68" s="2336">
        <f>IF(AND(VLOOKUP(P68,Ertragsdokumentation!$AI$10:$AO$60,7,0)=1,Ertragsdokumentation!D47=""),1,0)</f>
        <v>0</v>
      </c>
    </row>
    <row r="69" spans="2:25" ht="26.1" customHeight="1" thickBot="1">
      <c r="B69" s="255">
        <f>N_Bedarf!C43</f>
        <v>0</v>
      </c>
      <c r="C69" s="256">
        <f>N_Bedarf!E43</f>
        <v>0</v>
      </c>
      <c r="D69" s="257">
        <f>N_Bedarf!F43</f>
        <v>0</v>
      </c>
      <c r="E69" s="257">
        <f>N_Bedarf!I43</f>
        <v>0</v>
      </c>
      <c r="F69" s="258">
        <f>N_Bedarf!J43</f>
        <v>0</v>
      </c>
      <c r="G69" s="2039" t="str">
        <f t="shared" ref="G69:G80" si="4">IFERROR(IF(B69="diverse Grünbrachen zB Biodiv.","",IF(V69="JA",CONCATENATE(VLOOKUP($P69,$P$31:$U$81,4,0)," ",VLOOKUP($P69,$P$31:$U$81,5,0)),IF(V69="NEIN","Ertragslage &lt; hoch1",""))),"")</f>
        <v/>
      </c>
      <c r="H69" s="2829" t="str">
        <f t="shared" si="3"/>
        <v/>
      </c>
      <c r="I69" s="2830"/>
      <c r="J69" s="2830"/>
      <c r="K69" s="2830"/>
      <c r="L69" s="2830"/>
      <c r="M69" s="2830"/>
      <c r="N69" s="2830"/>
      <c r="O69" s="2830"/>
      <c r="P69" s="2338" t="str">
        <f>IF(B69&gt;0,CONCATENATE(B69,Ertragsdokumentation!B48,Ertragsdokumentation!E48),"")</f>
        <v/>
      </c>
      <c r="Q69" s="2320" t="str">
        <f>VLOOKUP(P69,Ertragsdokumentation!$AI$10:$AO$60,2,0)</f>
        <v/>
      </c>
      <c r="R69" s="2320" t="str">
        <f>VLOOKUP(P69,Ertragsdokumentation!$AI$10:$AO$60,3,0)</f>
        <v/>
      </c>
      <c r="S69" s="2320" t="str">
        <f>VLOOKUP(P69,Ertragsdokumentation!$AI$10:$AO$60,4,0)</f>
        <v/>
      </c>
      <c r="T69" s="2320" t="str">
        <f>VLOOKUP(P69,Ertragsdokumentation!$AI$10:$AO$60,5,0)</f>
        <v/>
      </c>
      <c r="U69" s="2320" t="str">
        <f>VLOOKUP(P69,Ertragsdokumentation!$AI$10:$AO$60,6,0)</f>
        <v/>
      </c>
      <c r="V69" s="2332" t="str">
        <f>IF(W69&gt;0,"JA",IF(AND(W69&lt;1,Ertragsdokumentation!D48="",Ertragsdokumentation!A48&lt;&gt;"",Ertragsdokumentation!B48&lt;&gt;""),"NEIN",IF(AND(W69&lt;1,Ertragsdokumentation!D48&gt;0,Ertragsdokumentation!A48&lt;&gt;"",Ertragsdokumentation!B48&lt;&gt;"",Ertragsdokumentation!C48&lt;&gt;""),"JA","")))</f>
        <v/>
      </c>
      <c r="W69" s="2333">
        <f>IF(OR(N_Bedarf!$F43=N_Bedarf!$AV$70,N_Bedarf!$F43=N_Bedarf!$AV$71,N_Bedarf!$F43=N_Bedarf!$AV$72,N_Bedarf!$F43=N_Bedarf!$AV$73,N_Bedarf!$F43=N_Bedarf!$AV$74,N_Bedarf!$F43=N_Bedarf!$AV$75),1,0)</f>
        <v>0</v>
      </c>
      <c r="X69" s="2335" t="str">
        <f>IF(AND(VLOOKUP(P69,Ertragsdokumentation!$AI$10:$AO$60,7,0)=1,Ertragsdokumentation!D48=""),CONCATENATE("Ertragsdokumentation für ",B69," ","Ertragslage ",D69," fehlt"),"")</f>
        <v/>
      </c>
      <c r="Y69" s="2336">
        <f>IF(AND(VLOOKUP(P69,Ertragsdokumentation!$AI$10:$AO$60,7,0)=1,Ertragsdokumentation!D48=""),1,0)</f>
        <v>0</v>
      </c>
    </row>
    <row r="70" spans="2:25" ht="26.1" customHeight="1" thickBot="1">
      <c r="B70" s="255">
        <f>N_Bedarf!C44</f>
        <v>0</v>
      </c>
      <c r="C70" s="256">
        <f>N_Bedarf!E44</f>
        <v>0</v>
      </c>
      <c r="D70" s="257">
        <f>N_Bedarf!F44</f>
        <v>0</v>
      </c>
      <c r="E70" s="257">
        <f>N_Bedarf!I44</f>
        <v>0</v>
      </c>
      <c r="F70" s="258">
        <f>N_Bedarf!J44</f>
        <v>0</v>
      </c>
      <c r="G70" s="2039" t="str">
        <f t="shared" si="4"/>
        <v/>
      </c>
      <c r="H70" s="2829" t="str">
        <f t="shared" si="3"/>
        <v/>
      </c>
      <c r="I70" s="2830"/>
      <c r="J70" s="2830"/>
      <c r="K70" s="2830"/>
      <c r="L70" s="2830"/>
      <c r="M70" s="2830"/>
      <c r="N70" s="2830"/>
      <c r="O70" s="2830"/>
      <c r="P70" s="2338" t="str">
        <f>IF(B70&gt;0,CONCATENATE(B70,Ertragsdokumentation!B49,Ertragsdokumentation!E49),"")</f>
        <v/>
      </c>
      <c r="Q70" s="2320" t="str">
        <f>VLOOKUP(P70,Ertragsdokumentation!$AI$10:$AO$60,2,0)</f>
        <v/>
      </c>
      <c r="R70" s="2320" t="str">
        <f>VLOOKUP(P70,Ertragsdokumentation!$AI$10:$AO$60,3,0)</f>
        <v/>
      </c>
      <c r="S70" s="2320" t="str">
        <f>VLOOKUP(P70,Ertragsdokumentation!$AI$10:$AO$60,4,0)</f>
        <v/>
      </c>
      <c r="T70" s="2320" t="str">
        <f>VLOOKUP(P70,Ertragsdokumentation!$AI$10:$AO$60,5,0)</f>
        <v/>
      </c>
      <c r="U70" s="2320" t="str">
        <f>VLOOKUP(P70,Ertragsdokumentation!$AI$10:$AO$60,6,0)</f>
        <v/>
      </c>
      <c r="V70" s="2332" t="str">
        <f>IF(W70&gt;0,"JA",IF(AND(W70&lt;1,Ertragsdokumentation!D49="",Ertragsdokumentation!A49&lt;&gt;"",Ertragsdokumentation!B49&lt;&gt;""),"NEIN",IF(AND(W70&lt;1,Ertragsdokumentation!D49&gt;0,Ertragsdokumentation!A49&lt;&gt;"",Ertragsdokumentation!B49&lt;&gt;"",Ertragsdokumentation!C49&lt;&gt;""),"JA","")))</f>
        <v/>
      </c>
      <c r="W70" s="2333">
        <f>IF(OR(N_Bedarf!$F44=N_Bedarf!$AV$70,N_Bedarf!$F44=N_Bedarf!$AV$71,N_Bedarf!$F44=N_Bedarf!$AV$72,N_Bedarf!$F44=N_Bedarf!$AV$73,N_Bedarf!$F44=N_Bedarf!$AV$74,N_Bedarf!$F44=N_Bedarf!$AV$75),1,0)</f>
        <v>0</v>
      </c>
      <c r="X70" s="2335" t="str">
        <f>IF(AND(VLOOKUP(P70,Ertragsdokumentation!$AI$10:$AO$60,7,0)=1,Ertragsdokumentation!D49=""),CONCATENATE("Ertragsdokumentation für ",B70," ","Ertragslage ",D70," fehlt"),"")</f>
        <v/>
      </c>
      <c r="Y70" s="2336">
        <f>IF(AND(VLOOKUP(P70,Ertragsdokumentation!$AI$10:$AO$60,7,0)=1,Ertragsdokumentation!D49=""),1,0)</f>
        <v>0</v>
      </c>
    </row>
    <row r="71" spans="2:25" ht="26.1" customHeight="1" thickBot="1">
      <c r="B71" s="255">
        <f>N_Bedarf!C45</f>
        <v>0</v>
      </c>
      <c r="C71" s="256">
        <f>N_Bedarf!E45</f>
        <v>0</v>
      </c>
      <c r="D71" s="257">
        <f>N_Bedarf!F45</f>
        <v>0</v>
      </c>
      <c r="E71" s="257">
        <f>N_Bedarf!I45</f>
        <v>0</v>
      </c>
      <c r="F71" s="258">
        <f>N_Bedarf!J45</f>
        <v>0</v>
      </c>
      <c r="G71" s="2039" t="str">
        <f t="shared" si="4"/>
        <v/>
      </c>
      <c r="H71" s="2829" t="str">
        <f t="shared" si="3"/>
        <v/>
      </c>
      <c r="I71" s="2830"/>
      <c r="J71" s="2830"/>
      <c r="K71" s="2830"/>
      <c r="L71" s="2830"/>
      <c r="M71" s="2830"/>
      <c r="N71" s="2830"/>
      <c r="O71" s="2830"/>
      <c r="P71" s="2338" t="str">
        <f>IF(B71&gt;0,CONCATENATE(B71,Ertragsdokumentation!B50,Ertragsdokumentation!E50),"")</f>
        <v/>
      </c>
      <c r="Q71" s="2320" t="str">
        <f>VLOOKUP(P71,Ertragsdokumentation!$AI$10:$AO$60,2,0)</f>
        <v/>
      </c>
      <c r="R71" s="2320" t="str">
        <f>VLOOKUP(P71,Ertragsdokumentation!$AI$10:$AO$60,3,0)</f>
        <v/>
      </c>
      <c r="S71" s="2320" t="str">
        <f>VLOOKUP(P71,Ertragsdokumentation!$AI$10:$AO$60,4,0)</f>
        <v/>
      </c>
      <c r="T71" s="2320" t="str">
        <f>VLOOKUP(P71,Ertragsdokumentation!$AI$10:$AO$60,5,0)</f>
        <v/>
      </c>
      <c r="U71" s="2320" t="str">
        <f>VLOOKUP(P71,Ertragsdokumentation!$AI$10:$AO$60,6,0)</f>
        <v/>
      </c>
      <c r="V71" s="2332" t="str">
        <f>IF(W71&gt;0,"JA",IF(AND(W71&lt;1,Ertragsdokumentation!D50="",Ertragsdokumentation!A50&lt;&gt;"",Ertragsdokumentation!B50&lt;&gt;""),"NEIN",IF(AND(W71&lt;1,Ertragsdokumentation!D50&gt;0,Ertragsdokumentation!A50&lt;&gt;"",Ertragsdokumentation!B50&lt;&gt;"",Ertragsdokumentation!C50&lt;&gt;""),"JA","")))</f>
        <v/>
      </c>
      <c r="W71" s="2333">
        <f>IF(OR(N_Bedarf!$F45=N_Bedarf!$AV$70,N_Bedarf!$F45=N_Bedarf!$AV$71,N_Bedarf!$F45=N_Bedarf!$AV$72,N_Bedarf!$F45=N_Bedarf!$AV$73,N_Bedarf!$F45=N_Bedarf!$AV$74,N_Bedarf!$F45=N_Bedarf!$AV$75),1,0)</f>
        <v>0</v>
      </c>
      <c r="X71" s="2335" t="str">
        <f>IF(AND(VLOOKUP(P71,Ertragsdokumentation!$AI$10:$AO$60,7,0)=1,Ertragsdokumentation!D50=""),CONCATENATE("Ertragsdokumentation für ",B71," ","Ertragslage ",D71," fehlt"),"")</f>
        <v/>
      </c>
      <c r="Y71" s="2336">
        <f>IF(AND(VLOOKUP(P71,Ertragsdokumentation!$AI$10:$AO$60,7,0)=1,Ertragsdokumentation!D50=""),1,0)</f>
        <v>0</v>
      </c>
    </row>
    <row r="72" spans="2:25" ht="26.1" customHeight="1" thickBot="1">
      <c r="B72" s="255">
        <f>N_Bedarf!C46</f>
        <v>0</v>
      </c>
      <c r="C72" s="256">
        <f>N_Bedarf!E46</f>
        <v>0</v>
      </c>
      <c r="D72" s="257">
        <f>N_Bedarf!F46</f>
        <v>0</v>
      </c>
      <c r="E72" s="257">
        <f>N_Bedarf!I46</f>
        <v>0</v>
      </c>
      <c r="F72" s="258">
        <f>N_Bedarf!J46</f>
        <v>0</v>
      </c>
      <c r="G72" s="2039" t="str">
        <f t="shared" si="4"/>
        <v/>
      </c>
      <c r="H72" s="2829" t="str">
        <f t="shared" si="3"/>
        <v/>
      </c>
      <c r="I72" s="2830"/>
      <c r="J72" s="2830"/>
      <c r="K72" s="2830"/>
      <c r="L72" s="2830"/>
      <c r="M72" s="2830"/>
      <c r="N72" s="2830"/>
      <c r="O72" s="2830"/>
      <c r="P72" s="2338" t="str">
        <f>IF(B72&gt;0,CONCATENATE(B72,Ertragsdokumentation!B51,Ertragsdokumentation!E51),"")</f>
        <v/>
      </c>
      <c r="Q72" s="2320" t="str">
        <f>VLOOKUP(P72,Ertragsdokumentation!$AI$10:$AO$60,2,0)</f>
        <v/>
      </c>
      <c r="R72" s="2320" t="str">
        <f>VLOOKUP(P72,Ertragsdokumentation!$AI$10:$AO$60,3,0)</f>
        <v/>
      </c>
      <c r="S72" s="2320" t="str">
        <f>VLOOKUP(P72,Ertragsdokumentation!$AI$10:$AO$60,4,0)</f>
        <v/>
      </c>
      <c r="T72" s="2320" t="str">
        <f>VLOOKUP(P72,Ertragsdokumentation!$AI$10:$AO$60,5,0)</f>
        <v/>
      </c>
      <c r="U72" s="2320" t="str">
        <f>VLOOKUP(P72,Ertragsdokumentation!$AI$10:$AO$60,6,0)</f>
        <v/>
      </c>
      <c r="V72" s="2332" t="str">
        <f>IF(W72&gt;0,"JA",IF(AND(W72&lt;1,Ertragsdokumentation!D51="",Ertragsdokumentation!A51&lt;&gt;"",Ertragsdokumentation!B51&lt;&gt;""),"NEIN",IF(AND(W72&lt;1,Ertragsdokumentation!D51&gt;0,Ertragsdokumentation!A51&lt;&gt;"",Ertragsdokumentation!B51&lt;&gt;"",Ertragsdokumentation!C51&lt;&gt;""),"JA","")))</f>
        <v/>
      </c>
      <c r="W72" s="2333">
        <f>IF(OR(N_Bedarf!$F46=N_Bedarf!$AV$70,N_Bedarf!$F46=N_Bedarf!$AV$71,N_Bedarf!$F46=N_Bedarf!$AV$72,N_Bedarf!$F46=N_Bedarf!$AV$73,N_Bedarf!$F46=N_Bedarf!$AV$74,N_Bedarf!$F46=N_Bedarf!$AV$75),1,0)</f>
        <v>0</v>
      </c>
      <c r="X72" s="2335" t="str">
        <f>IF(AND(VLOOKUP(P72,Ertragsdokumentation!$AI$10:$AO$60,7,0)=1,Ertragsdokumentation!D51=""),CONCATENATE("Ertragsdokumentation für ",B72," ","Ertragslage ",D72," fehlt"),"")</f>
        <v/>
      </c>
      <c r="Y72" s="2336">
        <f>IF(AND(VLOOKUP(P72,Ertragsdokumentation!$AI$10:$AO$60,7,0)=1,Ertragsdokumentation!D51=""),1,0)</f>
        <v>0</v>
      </c>
    </row>
    <row r="73" spans="2:25" ht="26.1" customHeight="1" thickBot="1">
      <c r="B73" s="255">
        <f>N_Bedarf!C47</f>
        <v>0</v>
      </c>
      <c r="C73" s="256">
        <f>N_Bedarf!E47</f>
        <v>0</v>
      </c>
      <c r="D73" s="257">
        <f>N_Bedarf!F47</f>
        <v>0</v>
      </c>
      <c r="E73" s="257">
        <f>N_Bedarf!I47</f>
        <v>0</v>
      </c>
      <c r="F73" s="258">
        <f>N_Bedarf!J47</f>
        <v>0</v>
      </c>
      <c r="G73" s="2039" t="str">
        <f t="shared" si="4"/>
        <v/>
      </c>
      <c r="H73" s="2829" t="str">
        <f t="shared" si="3"/>
        <v/>
      </c>
      <c r="I73" s="2830"/>
      <c r="J73" s="2830"/>
      <c r="K73" s="2830"/>
      <c r="L73" s="2830"/>
      <c r="M73" s="2830"/>
      <c r="N73" s="2830"/>
      <c r="O73" s="2830"/>
      <c r="P73" s="2338" t="str">
        <f>IF(B73&gt;0,CONCATENATE(B73,Ertragsdokumentation!B52,Ertragsdokumentation!E52),"")</f>
        <v/>
      </c>
      <c r="Q73" s="2320" t="str">
        <f>VLOOKUP(P73,Ertragsdokumentation!$AI$10:$AO$60,2,0)</f>
        <v/>
      </c>
      <c r="R73" s="2320" t="str">
        <f>VLOOKUP(P73,Ertragsdokumentation!$AI$10:$AO$60,3,0)</f>
        <v/>
      </c>
      <c r="S73" s="2320" t="str">
        <f>VLOOKUP(P73,Ertragsdokumentation!$AI$10:$AO$60,4,0)</f>
        <v/>
      </c>
      <c r="T73" s="2320" t="str">
        <f>VLOOKUP(P73,Ertragsdokumentation!$AI$10:$AO$60,5,0)</f>
        <v/>
      </c>
      <c r="U73" s="2320" t="str">
        <f>VLOOKUP(P73,Ertragsdokumentation!$AI$10:$AO$60,6,0)</f>
        <v/>
      </c>
      <c r="V73" s="2332" t="str">
        <f>IF(W73&gt;0,"JA",IF(AND(W73&lt;1,Ertragsdokumentation!D52="",Ertragsdokumentation!A52&lt;&gt;"",Ertragsdokumentation!B52&lt;&gt;""),"NEIN",IF(AND(W73&lt;1,Ertragsdokumentation!D52&gt;0,Ertragsdokumentation!A52&lt;&gt;"",Ertragsdokumentation!B52&lt;&gt;"",Ertragsdokumentation!C52&lt;&gt;""),"JA","")))</f>
        <v/>
      </c>
      <c r="W73" s="2333">
        <f>IF(OR(N_Bedarf!$F47=N_Bedarf!$AV$70,N_Bedarf!$F47=N_Bedarf!$AV$71,N_Bedarf!$F47=N_Bedarf!$AV$72,N_Bedarf!$F47=N_Bedarf!$AV$73,N_Bedarf!$F47=N_Bedarf!$AV$74,N_Bedarf!$F47=N_Bedarf!$AV$75),1,0)</f>
        <v>0</v>
      </c>
      <c r="X73" s="2335" t="str">
        <f>IF(AND(VLOOKUP(P73,Ertragsdokumentation!$AI$10:$AO$60,7,0)=1,Ertragsdokumentation!D52=""),CONCATENATE("Ertragsdokumentation für ",B73," ","Ertragslage ",D73," fehlt"),"")</f>
        <v/>
      </c>
      <c r="Y73" s="2336">
        <f>IF(AND(VLOOKUP(P73,Ertragsdokumentation!$AI$10:$AO$60,7,0)=1,Ertragsdokumentation!D52=""),1,0)</f>
        <v>0</v>
      </c>
    </row>
    <row r="74" spans="2:25" ht="26.1" customHeight="1" thickBot="1">
      <c r="B74" s="255">
        <f>N_Bedarf!C48</f>
        <v>0</v>
      </c>
      <c r="C74" s="256">
        <f>N_Bedarf!E48</f>
        <v>0</v>
      </c>
      <c r="D74" s="257">
        <f>N_Bedarf!F48</f>
        <v>0</v>
      </c>
      <c r="E74" s="257">
        <f>N_Bedarf!I48</f>
        <v>0</v>
      </c>
      <c r="F74" s="258">
        <f>N_Bedarf!J48</f>
        <v>0</v>
      </c>
      <c r="G74" s="2039" t="str">
        <f t="shared" si="4"/>
        <v/>
      </c>
      <c r="H74" s="2829" t="str">
        <f t="shared" si="3"/>
        <v/>
      </c>
      <c r="I74" s="2830"/>
      <c r="J74" s="2830"/>
      <c r="K74" s="2830"/>
      <c r="L74" s="2830"/>
      <c r="M74" s="2830"/>
      <c r="N74" s="2830"/>
      <c r="O74" s="2830"/>
      <c r="P74" s="2338" t="str">
        <f>IF(B74&gt;0,CONCATENATE(B74,Ertragsdokumentation!B53,Ertragsdokumentation!E53),"")</f>
        <v/>
      </c>
      <c r="Q74" s="2320" t="str">
        <f>VLOOKUP(P74,Ertragsdokumentation!$AI$10:$AO$60,2,0)</f>
        <v/>
      </c>
      <c r="R74" s="2320" t="str">
        <f>VLOOKUP(P74,Ertragsdokumentation!$AI$10:$AO$60,3,0)</f>
        <v/>
      </c>
      <c r="S74" s="2320" t="str">
        <f>VLOOKUP(P74,Ertragsdokumentation!$AI$10:$AO$60,4,0)</f>
        <v/>
      </c>
      <c r="T74" s="2320" t="str">
        <f>VLOOKUP(P74,Ertragsdokumentation!$AI$10:$AO$60,5,0)</f>
        <v/>
      </c>
      <c r="U74" s="2320" t="str">
        <f>VLOOKUP(P74,Ertragsdokumentation!$AI$10:$AO$60,6,0)</f>
        <v/>
      </c>
      <c r="V74" s="2332" t="str">
        <f>IF(W74&gt;0,"JA",IF(AND(W74&lt;1,Ertragsdokumentation!D53="",Ertragsdokumentation!A53&lt;&gt;"",Ertragsdokumentation!B53&lt;&gt;""),"NEIN",IF(AND(W74&lt;1,Ertragsdokumentation!D53&gt;0,Ertragsdokumentation!A53&lt;&gt;"",Ertragsdokumentation!B53&lt;&gt;"",Ertragsdokumentation!C53&lt;&gt;""),"JA","")))</f>
        <v/>
      </c>
      <c r="W74" s="2333">
        <f>IF(OR(N_Bedarf!$F48=N_Bedarf!$AV$70,N_Bedarf!$F48=N_Bedarf!$AV$71,N_Bedarf!$F48=N_Bedarf!$AV$72,N_Bedarf!$F48=N_Bedarf!$AV$73,N_Bedarf!$F48=N_Bedarf!$AV$74,N_Bedarf!$F48=N_Bedarf!$AV$75),1,0)</f>
        <v>0</v>
      </c>
      <c r="X74" s="2335" t="str">
        <f>IF(AND(VLOOKUP(P74,Ertragsdokumentation!$AI$10:$AO$60,7,0)=1,Ertragsdokumentation!D53=""),CONCATENATE("Ertragsdokumentation für ",B74," ","Ertragslage ",D74," fehlt"),"")</f>
        <v/>
      </c>
      <c r="Y74" s="2336">
        <f>IF(AND(VLOOKUP(P74,Ertragsdokumentation!$AI$10:$AO$60,7,0)=1,Ertragsdokumentation!D53=""),1,0)</f>
        <v>0</v>
      </c>
    </row>
    <row r="75" spans="2:25" ht="26.1" customHeight="1" thickBot="1">
      <c r="B75" s="255">
        <f>N_Bedarf!C49</f>
        <v>0</v>
      </c>
      <c r="C75" s="256">
        <f>N_Bedarf!E49</f>
        <v>0</v>
      </c>
      <c r="D75" s="257">
        <f>N_Bedarf!F49</f>
        <v>0</v>
      </c>
      <c r="E75" s="257">
        <f>N_Bedarf!I49</f>
        <v>0</v>
      </c>
      <c r="F75" s="258">
        <f>N_Bedarf!J49</f>
        <v>0</v>
      </c>
      <c r="G75" s="2039" t="str">
        <f t="shared" si="4"/>
        <v/>
      </c>
      <c r="H75" s="2829" t="str">
        <f t="shared" si="3"/>
        <v/>
      </c>
      <c r="I75" s="2830"/>
      <c r="J75" s="2830"/>
      <c r="K75" s="2830"/>
      <c r="L75" s="2830"/>
      <c r="M75" s="2830"/>
      <c r="N75" s="2830"/>
      <c r="O75" s="2830"/>
      <c r="P75" s="2338" t="str">
        <f>IF(B75&gt;0,CONCATENATE(B75,Ertragsdokumentation!B54,Ertragsdokumentation!E54),"")</f>
        <v/>
      </c>
      <c r="Q75" s="2320" t="str">
        <f>VLOOKUP(P75,Ertragsdokumentation!$AI$10:$AO$60,2,0)</f>
        <v/>
      </c>
      <c r="R75" s="2320" t="str">
        <f>VLOOKUP(P75,Ertragsdokumentation!$AI$10:$AO$60,3,0)</f>
        <v/>
      </c>
      <c r="S75" s="2320" t="str">
        <f>VLOOKUP(P75,Ertragsdokumentation!$AI$10:$AO$60,4,0)</f>
        <v/>
      </c>
      <c r="T75" s="2320" t="str">
        <f>VLOOKUP(P75,Ertragsdokumentation!$AI$10:$AO$60,5,0)</f>
        <v/>
      </c>
      <c r="U75" s="2320" t="str">
        <f>VLOOKUP(P75,Ertragsdokumentation!$AI$10:$AO$60,6,0)</f>
        <v/>
      </c>
      <c r="V75" s="2332" t="str">
        <f>IF(W75&gt;0,"JA",IF(AND(W75&lt;1,Ertragsdokumentation!D54="",Ertragsdokumentation!A54&lt;&gt;"",Ertragsdokumentation!B54&lt;&gt;""),"NEIN",IF(AND(W75&lt;1,Ertragsdokumentation!D54&gt;0,Ertragsdokumentation!A54&lt;&gt;"",Ertragsdokumentation!B54&lt;&gt;"",Ertragsdokumentation!C54&lt;&gt;""),"JA","")))</f>
        <v/>
      </c>
      <c r="W75" s="2333">
        <f>IF(OR(N_Bedarf!$F49=N_Bedarf!$AV$70,N_Bedarf!$F49=N_Bedarf!$AV$71,N_Bedarf!$F49=N_Bedarf!$AV$72,N_Bedarf!$F49=N_Bedarf!$AV$73,N_Bedarf!$F49=N_Bedarf!$AV$74,N_Bedarf!$F49=N_Bedarf!$AV$75),1,0)</f>
        <v>0</v>
      </c>
      <c r="X75" s="2335" t="str">
        <f>IF(AND(VLOOKUP(P75,Ertragsdokumentation!$AI$10:$AO$60,7,0)=1,Ertragsdokumentation!D54=""),CONCATENATE("Ertragsdokumentation für ",B75," ","Ertragslage ",D75," fehlt"),"")</f>
        <v/>
      </c>
      <c r="Y75" s="2336">
        <f>IF(AND(VLOOKUP(P75,Ertragsdokumentation!$AI$10:$AO$60,7,0)=1,Ertragsdokumentation!D54=""),1,0)</f>
        <v>0</v>
      </c>
    </row>
    <row r="76" spans="2:25" ht="26.1" customHeight="1" thickBot="1">
      <c r="B76" s="255">
        <f>N_Bedarf!C50</f>
        <v>0</v>
      </c>
      <c r="C76" s="256">
        <f>N_Bedarf!E50</f>
        <v>0</v>
      </c>
      <c r="D76" s="257">
        <f>N_Bedarf!F50</f>
        <v>0</v>
      </c>
      <c r="E76" s="257">
        <f>N_Bedarf!I50</f>
        <v>0</v>
      </c>
      <c r="F76" s="258">
        <f>N_Bedarf!J50</f>
        <v>0</v>
      </c>
      <c r="G76" s="2039" t="str">
        <f t="shared" si="4"/>
        <v/>
      </c>
      <c r="H76" s="2829" t="str">
        <f t="shared" si="3"/>
        <v/>
      </c>
      <c r="I76" s="2830"/>
      <c r="J76" s="2830"/>
      <c r="K76" s="2830"/>
      <c r="L76" s="2830"/>
      <c r="M76" s="2830"/>
      <c r="N76" s="2830"/>
      <c r="O76" s="2830"/>
      <c r="P76" s="2338" t="str">
        <f>IF(B76&gt;0,CONCATENATE(B76,Ertragsdokumentation!B55,Ertragsdokumentation!E55),"")</f>
        <v/>
      </c>
      <c r="Q76" s="2320" t="str">
        <f>VLOOKUP(P76,Ertragsdokumentation!$AI$10:$AO$60,2,0)</f>
        <v/>
      </c>
      <c r="R76" s="2320" t="str">
        <f>VLOOKUP(P76,Ertragsdokumentation!$AI$10:$AO$60,3,0)</f>
        <v/>
      </c>
      <c r="S76" s="2320" t="str">
        <f>VLOOKUP(P76,Ertragsdokumentation!$AI$10:$AO$60,4,0)</f>
        <v/>
      </c>
      <c r="T76" s="2320" t="str">
        <f>VLOOKUP(P76,Ertragsdokumentation!$AI$10:$AO$60,5,0)</f>
        <v/>
      </c>
      <c r="U76" s="2320" t="str">
        <f>VLOOKUP(P76,Ertragsdokumentation!$AI$10:$AO$60,6,0)</f>
        <v/>
      </c>
      <c r="V76" s="2332" t="str">
        <f>IF(W76&gt;0,"JA",IF(AND(W76&lt;1,Ertragsdokumentation!D55="",Ertragsdokumentation!A55&lt;&gt;"",Ertragsdokumentation!B55&lt;&gt;""),"NEIN",IF(AND(W76&lt;1,Ertragsdokumentation!D55&gt;0,Ertragsdokumentation!A55&lt;&gt;"",Ertragsdokumentation!B55&lt;&gt;"",Ertragsdokumentation!C55&lt;&gt;""),"JA","")))</f>
        <v/>
      </c>
      <c r="W76" s="2333">
        <f>IF(OR(N_Bedarf!$F50=N_Bedarf!$AV$70,N_Bedarf!$F50=N_Bedarf!$AV$71,N_Bedarf!$F50=N_Bedarf!$AV$72,N_Bedarf!$F50=N_Bedarf!$AV$73,N_Bedarf!$F50=N_Bedarf!$AV$74,N_Bedarf!$F50=N_Bedarf!$AV$75),1,0)</f>
        <v>0</v>
      </c>
      <c r="X76" s="2335" t="str">
        <f>IF(AND(VLOOKUP(P76,Ertragsdokumentation!$AI$10:$AO$60,7,0)=1,Ertragsdokumentation!D55=""),CONCATENATE("Ertragsdokumentation für ",B76," ","Ertragslage ",D76," fehlt"),"")</f>
        <v/>
      </c>
      <c r="Y76" s="2336">
        <f>IF(AND(VLOOKUP(P76,Ertragsdokumentation!$AI$10:$AO$60,7,0)=1,Ertragsdokumentation!D55=""),1,0)</f>
        <v>0</v>
      </c>
    </row>
    <row r="77" spans="2:25" ht="26.1" customHeight="1" thickBot="1">
      <c r="B77" s="255">
        <f>N_Bedarf!C51</f>
        <v>0</v>
      </c>
      <c r="C77" s="256">
        <f>N_Bedarf!E51</f>
        <v>0</v>
      </c>
      <c r="D77" s="257">
        <f>N_Bedarf!F51</f>
        <v>0</v>
      </c>
      <c r="E77" s="257">
        <f>N_Bedarf!I51</f>
        <v>0</v>
      </c>
      <c r="F77" s="258">
        <f>N_Bedarf!J51</f>
        <v>0</v>
      </c>
      <c r="G77" s="2039" t="str">
        <f t="shared" si="4"/>
        <v/>
      </c>
      <c r="H77" s="2829" t="str">
        <f t="shared" si="3"/>
        <v/>
      </c>
      <c r="I77" s="2830"/>
      <c r="J77" s="2830"/>
      <c r="K77" s="2830"/>
      <c r="L77" s="2830"/>
      <c r="M77" s="2830"/>
      <c r="N77" s="2830"/>
      <c r="O77" s="2830"/>
      <c r="P77" s="2338" t="str">
        <f>IF(B77&gt;0,CONCATENATE(B77,Ertragsdokumentation!B56,Ertragsdokumentation!E56),"")</f>
        <v/>
      </c>
      <c r="Q77" s="2320" t="str">
        <f>VLOOKUP(P77,Ertragsdokumentation!$AI$10:$AO$60,2,0)</f>
        <v/>
      </c>
      <c r="R77" s="2320" t="str">
        <f>VLOOKUP(P77,Ertragsdokumentation!$AI$10:$AO$60,3,0)</f>
        <v/>
      </c>
      <c r="S77" s="2320" t="str">
        <f>VLOOKUP(P77,Ertragsdokumentation!$AI$10:$AO$60,4,0)</f>
        <v/>
      </c>
      <c r="T77" s="2320" t="str">
        <f>VLOOKUP(P77,Ertragsdokumentation!$AI$10:$AO$60,5,0)</f>
        <v/>
      </c>
      <c r="U77" s="2320" t="str">
        <f>VLOOKUP(P77,Ertragsdokumentation!$AI$10:$AO$60,6,0)</f>
        <v/>
      </c>
      <c r="V77" s="2332" t="str">
        <f>IF(W77&gt;0,"JA",IF(AND(W77&lt;1,Ertragsdokumentation!D56="",Ertragsdokumentation!A56&lt;&gt;"",Ertragsdokumentation!B56&lt;&gt;""),"NEIN",IF(AND(W77&lt;1,Ertragsdokumentation!D56&gt;0,Ertragsdokumentation!A56&lt;&gt;"",Ertragsdokumentation!B56&lt;&gt;"",Ertragsdokumentation!C56&lt;&gt;""),"JA","")))</f>
        <v/>
      </c>
      <c r="W77" s="2333">
        <f>IF(OR(N_Bedarf!$F51=N_Bedarf!$AV$70,N_Bedarf!$F51=N_Bedarf!$AV$71,N_Bedarf!$F51=N_Bedarf!$AV$72,N_Bedarf!$F51=N_Bedarf!$AV$73,N_Bedarf!$F51=N_Bedarf!$AV$74,N_Bedarf!$F51=N_Bedarf!$AV$75),1,0)</f>
        <v>0</v>
      </c>
      <c r="X77" s="2335" t="str">
        <f>IF(AND(VLOOKUP(P77,Ertragsdokumentation!$AI$10:$AO$60,7,0)=1,Ertragsdokumentation!D56=""),CONCATENATE("Ertragsdokumentation für ",B77," ","Ertragslage ",D77," fehlt"),"")</f>
        <v/>
      </c>
      <c r="Y77" s="2336">
        <f>IF(AND(VLOOKUP(P77,Ertragsdokumentation!$AI$10:$AO$60,7,0)=1,Ertragsdokumentation!D56=""),1,0)</f>
        <v>0</v>
      </c>
    </row>
    <row r="78" spans="2:25" ht="26.1" customHeight="1" thickBot="1">
      <c r="B78" s="255">
        <f>N_Bedarf!C52</f>
        <v>0</v>
      </c>
      <c r="C78" s="256">
        <f>N_Bedarf!E52</f>
        <v>0</v>
      </c>
      <c r="D78" s="257">
        <f>N_Bedarf!F52</f>
        <v>0</v>
      </c>
      <c r="E78" s="257">
        <f>N_Bedarf!I52</f>
        <v>0</v>
      </c>
      <c r="F78" s="258">
        <f>N_Bedarf!J52</f>
        <v>0</v>
      </c>
      <c r="G78" s="2039" t="str">
        <f t="shared" si="4"/>
        <v/>
      </c>
      <c r="H78" s="2829" t="str">
        <f t="shared" si="3"/>
        <v/>
      </c>
      <c r="I78" s="2830"/>
      <c r="J78" s="2830"/>
      <c r="K78" s="2830"/>
      <c r="L78" s="2830"/>
      <c r="M78" s="2830"/>
      <c r="N78" s="2830"/>
      <c r="O78" s="2830"/>
      <c r="P78" s="2338" t="str">
        <f>IF(B78&gt;0,CONCATENATE(B78,Ertragsdokumentation!B57,Ertragsdokumentation!E57),"")</f>
        <v/>
      </c>
      <c r="Q78" s="2320" t="str">
        <f>VLOOKUP(P78,Ertragsdokumentation!$AI$10:$AO$60,2,0)</f>
        <v/>
      </c>
      <c r="R78" s="2320" t="str">
        <f>VLOOKUP(P78,Ertragsdokumentation!$AI$10:$AO$60,3,0)</f>
        <v/>
      </c>
      <c r="S78" s="2320" t="str">
        <f>VLOOKUP(P78,Ertragsdokumentation!$AI$10:$AO$60,4,0)</f>
        <v/>
      </c>
      <c r="T78" s="2320" t="str">
        <f>VLOOKUP(P78,Ertragsdokumentation!$AI$10:$AO$60,5,0)</f>
        <v/>
      </c>
      <c r="U78" s="2320" t="str">
        <f>VLOOKUP(P78,Ertragsdokumentation!$AI$10:$AO$60,6,0)</f>
        <v/>
      </c>
      <c r="V78" s="2332" t="str">
        <f>IF(W78&gt;0,"JA",IF(AND(W78&lt;1,Ertragsdokumentation!D57="",Ertragsdokumentation!A57&lt;&gt;"",Ertragsdokumentation!B57&lt;&gt;""),"NEIN",IF(AND(W78&lt;1,Ertragsdokumentation!D57&gt;0,Ertragsdokumentation!A57&lt;&gt;"",Ertragsdokumentation!B57&lt;&gt;"",Ertragsdokumentation!C57&lt;&gt;""),"JA","")))</f>
        <v/>
      </c>
      <c r="W78" s="2333">
        <f>IF(OR(N_Bedarf!$F52=N_Bedarf!$AV$70,N_Bedarf!$F52=N_Bedarf!$AV$71,N_Bedarf!$F52=N_Bedarf!$AV$72,N_Bedarf!$F52=N_Bedarf!$AV$73,N_Bedarf!$F52=N_Bedarf!$AV$74,N_Bedarf!$F52=N_Bedarf!$AV$75),1,0)</f>
        <v>0</v>
      </c>
      <c r="X78" s="2335" t="str">
        <f>IF(AND(VLOOKUP(P78,Ertragsdokumentation!$AI$10:$AO$60,7,0)=1,Ertragsdokumentation!D57=""),CONCATENATE("Ertragsdokumentation für ",B78," ","Ertragslage ",D78," fehlt"),"")</f>
        <v/>
      </c>
      <c r="Y78" s="2336">
        <f>IF(AND(VLOOKUP(P78,Ertragsdokumentation!$AI$10:$AO$60,7,0)=1,Ertragsdokumentation!D57=""),1,0)</f>
        <v>0</v>
      </c>
    </row>
    <row r="79" spans="2:25" ht="26.1" customHeight="1" thickBot="1">
      <c r="B79" s="255">
        <f>N_Bedarf!C53</f>
        <v>0</v>
      </c>
      <c r="C79" s="256">
        <f>N_Bedarf!E53</f>
        <v>0</v>
      </c>
      <c r="D79" s="257">
        <f>N_Bedarf!F53</f>
        <v>0</v>
      </c>
      <c r="E79" s="257">
        <f>N_Bedarf!I53</f>
        <v>0</v>
      </c>
      <c r="F79" s="258">
        <f>N_Bedarf!J53</f>
        <v>0</v>
      </c>
      <c r="G79" s="2039" t="str">
        <f t="shared" si="4"/>
        <v/>
      </c>
      <c r="H79" s="2829" t="str">
        <f t="shared" si="3"/>
        <v/>
      </c>
      <c r="I79" s="2830"/>
      <c r="J79" s="2830"/>
      <c r="K79" s="2830"/>
      <c r="L79" s="2830"/>
      <c r="M79" s="2830"/>
      <c r="N79" s="2830"/>
      <c r="O79" s="2830"/>
      <c r="P79" s="2338" t="str">
        <f>IF(B79&gt;0,CONCATENATE(B79,Ertragsdokumentation!B58,Ertragsdokumentation!E58),"")</f>
        <v/>
      </c>
      <c r="Q79" s="2320" t="str">
        <f>VLOOKUP(P79,Ertragsdokumentation!$AI$10:$AO$60,2,0)</f>
        <v/>
      </c>
      <c r="R79" s="2320" t="str">
        <f>VLOOKUP(P79,Ertragsdokumentation!$AI$10:$AO$60,3,0)</f>
        <v/>
      </c>
      <c r="S79" s="2320" t="str">
        <f>VLOOKUP(P79,Ertragsdokumentation!$AI$10:$AO$60,4,0)</f>
        <v/>
      </c>
      <c r="T79" s="2320" t="str">
        <f>VLOOKUP(P79,Ertragsdokumentation!$AI$10:$AO$60,5,0)</f>
        <v/>
      </c>
      <c r="U79" s="2320" t="str">
        <f>VLOOKUP(P79,Ertragsdokumentation!$AI$10:$AO$60,6,0)</f>
        <v/>
      </c>
      <c r="V79" s="2332" t="str">
        <f>IF(W79&gt;0,"JA",IF(AND(W79&lt;1,Ertragsdokumentation!D58="",Ertragsdokumentation!A58&lt;&gt;"",Ertragsdokumentation!B58&lt;&gt;""),"NEIN",IF(AND(W79&lt;1,Ertragsdokumentation!D58&gt;0,Ertragsdokumentation!A58&lt;&gt;"",Ertragsdokumentation!B58&lt;&gt;"",Ertragsdokumentation!C58&lt;&gt;""),"JA","")))</f>
        <v/>
      </c>
      <c r="W79" s="2333">
        <f>IF(OR(N_Bedarf!$F53=N_Bedarf!$AV$70,N_Bedarf!$F53=N_Bedarf!$AV$71,N_Bedarf!$F53=N_Bedarf!$AV$72,N_Bedarf!$F53=N_Bedarf!$AV$73,N_Bedarf!$F53=N_Bedarf!$AV$74,N_Bedarf!$F53=N_Bedarf!$AV$75),1,0)</f>
        <v>0</v>
      </c>
      <c r="X79" s="2335" t="str">
        <f>IF(AND(VLOOKUP(P79,Ertragsdokumentation!$AI$10:$AO$60,7,0)=1,Ertragsdokumentation!D58=""),CONCATENATE("Ertragsdokumentation für ",B79," ","Ertragslage ",D79," fehlt"),"")</f>
        <v/>
      </c>
      <c r="Y79" s="2336">
        <f>IF(AND(VLOOKUP(P79,Ertragsdokumentation!$AI$10:$AO$60,7,0)=1,Ertragsdokumentation!D58=""),1,0)</f>
        <v>0</v>
      </c>
    </row>
    <row r="80" spans="2:25" ht="26.1" customHeight="1" thickBot="1">
      <c r="B80" s="255">
        <f>N_Bedarf!C54</f>
        <v>0</v>
      </c>
      <c r="C80" s="256">
        <f>N_Bedarf!E54</f>
        <v>0</v>
      </c>
      <c r="D80" s="257">
        <f>N_Bedarf!F54</f>
        <v>0</v>
      </c>
      <c r="E80" s="257">
        <f>N_Bedarf!I54</f>
        <v>0</v>
      </c>
      <c r="F80" s="258">
        <f>N_Bedarf!J54</f>
        <v>0</v>
      </c>
      <c r="G80" s="2039" t="str">
        <f t="shared" si="4"/>
        <v/>
      </c>
      <c r="H80" s="2829" t="str">
        <f t="shared" si="3"/>
        <v/>
      </c>
      <c r="I80" s="2830"/>
      <c r="J80" s="2830"/>
      <c r="K80" s="2830"/>
      <c r="L80" s="2830"/>
      <c r="M80" s="2830"/>
      <c r="N80" s="2830"/>
      <c r="O80" s="2830"/>
      <c r="P80" s="2338" t="str">
        <f>IF(B80&gt;0,CONCATENATE(B80,Ertragsdokumentation!B59,Ertragsdokumentation!E59),"")</f>
        <v/>
      </c>
      <c r="Q80" s="2320" t="str">
        <f>VLOOKUP(P80,Ertragsdokumentation!$AI$10:$AO$60,2,0)</f>
        <v/>
      </c>
      <c r="R80" s="2320" t="str">
        <f>VLOOKUP(P80,Ertragsdokumentation!$AI$10:$AO$60,3,0)</f>
        <v/>
      </c>
      <c r="S80" s="2320" t="str">
        <f>VLOOKUP(P80,Ertragsdokumentation!$AI$10:$AO$60,4,0)</f>
        <v/>
      </c>
      <c r="T80" s="2320" t="str">
        <f>VLOOKUP(P80,Ertragsdokumentation!$AI$10:$AO$60,5,0)</f>
        <v/>
      </c>
      <c r="U80" s="2320" t="str">
        <f>VLOOKUP(P80,Ertragsdokumentation!$AI$10:$AO$60,6,0)</f>
        <v/>
      </c>
      <c r="V80" s="2332" t="str">
        <f>IF(W80&gt;0,"JA",IF(AND(W80&lt;1,Ertragsdokumentation!D59="",Ertragsdokumentation!A59&lt;&gt;"",Ertragsdokumentation!B59&lt;&gt;""),"NEIN",IF(AND(W80&lt;1,Ertragsdokumentation!D59&gt;0,Ertragsdokumentation!A59&lt;&gt;"",Ertragsdokumentation!B59&lt;&gt;"",Ertragsdokumentation!C59&lt;&gt;""),"JA","")))</f>
        <v/>
      </c>
      <c r="W80" s="2333">
        <f>IF(OR(N_Bedarf!$F54=N_Bedarf!$AV$70,N_Bedarf!$F54=N_Bedarf!$AV$71,N_Bedarf!$F54=N_Bedarf!$AV$72,N_Bedarf!$F54=N_Bedarf!$AV$73,N_Bedarf!$F54=N_Bedarf!$AV$74,N_Bedarf!$F54=N_Bedarf!$AV$75),1,0)</f>
        <v>0</v>
      </c>
      <c r="X80" s="2335" t="str">
        <f>IF(AND(VLOOKUP(P80,Ertragsdokumentation!$AI$10:$AO$60,7,0)=1,Ertragsdokumentation!D59=""),CONCATENATE("Ertragsdokumentation für ",B80," ","Ertragslage ",D80," fehlt"),"")</f>
        <v/>
      </c>
      <c r="Y80" s="2336">
        <f>IF(AND(VLOOKUP(P80,Ertragsdokumentation!$AI$10:$AO$60,7,0)=1,Ertragsdokumentation!D59=""),1,0)</f>
        <v>0</v>
      </c>
    </row>
    <row r="81" spans="1:25" ht="26.1" customHeight="1">
      <c r="B81" s="259" t="str">
        <f>N_Bedarf!C55</f>
        <v>diverse Grünbrachen zB Biodiv.</v>
      </c>
      <c r="C81" s="260">
        <f>N_Bedarf!E55</f>
        <v>0</v>
      </c>
      <c r="D81" s="261">
        <f>N_Bedarf!F55</f>
        <v>0</v>
      </c>
      <c r="E81" s="261">
        <f>N_Bedarf!I55</f>
        <v>0</v>
      </c>
      <c r="F81" s="262">
        <f>N_Bedarf!J55</f>
        <v>0</v>
      </c>
      <c r="G81" s="2039" t="str">
        <f>IFERROR(IF(B81="diverse Grünbrachen zB Biodiv.","",IF(V81="JA",CONCATENATE(VLOOKUP($P81,$P$31:$U$81,4,0)," ",VLOOKUP($P81,$P$31:$U$81,5,0)),IF(V81="NEIN","Ertragslage &lt; hoch1",""))),"")</f>
        <v/>
      </c>
      <c r="H81" s="2829"/>
      <c r="I81" s="2830"/>
      <c r="J81" s="2830"/>
      <c r="K81" s="2830"/>
      <c r="L81" s="2830"/>
      <c r="M81" s="2830"/>
      <c r="N81" s="2830"/>
      <c r="O81" s="2830"/>
      <c r="P81" s="2338"/>
      <c r="Q81" s="2320"/>
      <c r="R81" s="2320"/>
      <c r="S81" s="2320"/>
      <c r="T81" s="2320"/>
      <c r="U81" s="2320"/>
      <c r="V81" s="2332"/>
      <c r="W81" s="2333"/>
      <c r="X81" s="2335"/>
      <c r="Y81" s="2336"/>
    </row>
    <row r="82" spans="1:25" ht="27" customHeight="1">
      <c r="B82" s="1378" t="str">
        <f>N_Bedarf!C56</f>
        <v>Grünland</v>
      </c>
      <c r="C82" s="1375" t="str">
        <f>N_Bedarf!E56</f>
        <v>ha</v>
      </c>
      <c r="D82" s="1376" t="s">
        <v>1310</v>
      </c>
      <c r="E82" s="1377" t="s">
        <v>362</v>
      </c>
      <c r="F82" s="1376" t="s">
        <v>363</v>
      </c>
    </row>
    <row r="83" spans="1:25" ht="27" customHeight="1">
      <c r="A83" s="405"/>
      <c r="B83" s="255">
        <f>N_Bedarf!C57</f>
        <v>0</v>
      </c>
      <c r="C83" s="257">
        <f>N_Bedarf!E57</f>
        <v>0</v>
      </c>
      <c r="D83" s="257">
        <f>N_Bedarf!F57</f>
        <v>0</v>
      </c>
      <c r="E83" s="257">
        <f>N_Bedarf!I57</f>
        <v>0</v>
      </c>
      <c r="F83" s="258">
        <f>N_Bedarf!J57</f>
        <v>0</v>
      </c>
    </row>
    <row r="84" spans="1:25" ht="27" customHeight="1">
      <c r="B84" s="255">
        <f>N_Bedarf!C58</f>
        <v>0</v>
      </c>
      <c r="C84" s="257">
        <f>N_Bedarf!E58</f>
        <v>0</v>
      </c>
      <c r="D84" s="257">
        <f>N_Bedarf!F58</f>
        <v>0</v>
      </c>
      <c r="E84" s="257">
        <f>N_Bedarf!I58</f>
        <v>0</v>
      </c>
      <c r="F84" s="258">
        <f>N_Bedarf!J58</f>
        <v>0</v>
      </c>
    </row>
    <row r="85" spans="1:25" ht="27" customHeight="1">
      <c r="B85" s="255">
        <f>N_Bedarf!C59</f>
        <v>0</v>
      </c>
      <c r="C85" s="257">
        <f>N_Bedarf!E59</f>
        <v>0</v>
      </c>
      <c r="D85" s="257">
        <f>N_Bedarf!F59</f>
        <v>0</v>
      </c>
      <c r="E85" s="257">
        <f>N_Bedarf!I59</f>
        <v>0</v>
      </c>
      <c r="F85" s="258">
        <f>N_Bedarf!J59</f>
        <v>0</v>
      </c>
    </row>
    <row r="86" spans="1:25" ht="27" customHeight="1">
      <c r="B86" s="255">
        <f>N_Bedarf!C60</f>
        <v>0</v>
      </c>
      <c r="C86" s="257">
        <f>N_Bedarf!E60</f>
        <v>0</v>
      </c>
      <c r="D86" s="257">
        <f>N_Bedarf!F60</f>
        <v>0</v>
      </c>
      <c r="E86" s="257">
        <f>N_Bedarf!I60</f>
        <v>0</v>
      </c>
      <c r="F86" s="258">
        <f>N_Bedarf!J60</f>
        <v>0</v>
      </c>
    </row>
    <row r="87" spans="1:25" ht="27" customHeight="1">
      <c r="B87" s="255">
        <f>N_Bedarf!C61</f>
        <v>0</v>
      </c>
      <c r="C87" s="257">
        <f>N_Bedarf!E61</f>
        <v>0</v>
      </c>
      <c r="D87" s="257">
        <f>N_Bedarf!F61</f>
        <v>0</v>
      </c>
      <c r="E87" s="257">
        <f>N_Bedarf!I61</f>
        <v>0</v>
      </c>
      <c r="F87" s="258">
        <f>N_Bedarf!J61</f>
        <v>0</v>
      </c>
    </row>
    <row r="88" spans="1:25" ht="27" customHeight="1">
      <c r="B88" s="255">
        <f>N_Bedarf!C62</f>
        <v>0</v>
      </c>
      <c r="C88" s="257">
        <f>N_Bedarf!E62</f>
        <v>0</v>
      </c>
      <c r="D88" s="257">
        <f>N_Bedarf!F62</f>
        <v>0</v>
      </c>
      <c r="E88" s="257">
        <f>N_Bedarf!I62</f>
        <v>0</v>
      </c>
      <c r="F88" s="258">
        <f>N_Bedarf!J62</f>
        <v>0</v>
      </c>
    </row>
    <row r="89" spans="1:25" ht="27" customHeight="1">
      <c r="B89" s="2852" t="s">
        <v>1311</v>
      </c>
      <c r="C89" s="2852"/>
      <c r="D89" s="2852"/>
      <c r="E89" s="2852"/>
      <c r="F89" s="258">
        <f>N_Bedarf!J63</f>
        <v>0</v>
      </c>
    </row>
    <row r="90" spans="1:25" ht="27" customHeight="1">
      <c r="B90" s="2872" t="s">
        <v>2896</v>
      </c>
      <c r="C90" s="2873"/>
      <c r="D90" s="2873"/>
      <c r="E90" s="2874"/>
      <c r="F90" s="2218">
        <f>N_Bedarf!J64</f>
        <v>0</v>
      </c>
    </row>
    <row r="91" spans="1:25" ht="27" customHeight="1">
      <c r="B91" s="2852" t="s">
        <v>1283</v>
      </c>
      <c r="C91" s="2852">
        <v>0</v>
      </c>
      <c r="D91" s="2852">
        <v>0</v>
      </c>
      <c r="E91" s="2852">
        <v>0</v>
      </c>
      <c r="F91" s="258">
        <f>N_Bedarf!J65</f>
        <v>0</v>
      </c>
    </row>
    <row r="92" spans="1:25" ht="27" customHeight="1">
      <c r="B92" s="2852" t="s">
        <v>1286</v>
      </c>
      <c r="C92" s="2852">
        <v>0</v>
      </c>
      <c r="D92" s="2852">
        <v>0</v>
      </c>
      <c r="E92" s="2852">
        <v>0</v>
      </c>
      <c r="F92" s="258">
        <f>N_Bedarf!J66</f>
        <v>0</v>
      </c>
    </row>
    <row r="93" spans="1:25" ht="27" customHeight="1">
      <c r="B93" s="1379" t="str">
        <f>N_Bedarf!C67</f>
        <v>Der N-Saldo ist ok!</v>
      </c>
      <c r="C93" s="1380"/>
      <c r="D93" s="1380"/>
      <c r="E93" s="1381" t="s">
        <v>1291</v>
      </c>
      <c r="F93" s="1382">
        <f>N_Bedarf!J67</f>
        <v>0</v>
      </c>
    </row>
  </sheetData>
  <sheetProtection algorithmName="SHA-512" hashValue="6ss7VBZ8XVMmGvFiNTL4rZp7hd+ESzSxG6Ehe9aUHB68hjG5f/8ITTyIZMx6KgYFIIiWvmRxwIO1cU65yzzCUA==" saltValue="6fVPNNmLHnsufvUHiOi5Fg==" spinCount="100000" sheet="1" formatColumns="0" formatRows="0"/>
  <mergeCells count="92">
    <mergeCell ref="F13:G13"/>
    <mergeCell ref="F14:G14"/>
    <mergeCell ref="F15:G15"/>
    <mergeCell ref="F16:G16"/>
    <mergeCell ref="F17:G17"/>
    <mergeCell ref="B14:D15"/>
    <mergeCell ref="B22:E22"/>
    <mergeCell ref="S30:T30"/>
    <mergeCell ref="F18:G18"/>
    <mergeCell ref="F19:G19"/>
    <mergeCell ref="F21:G21"/>
    <mergeCell ref="F22:G22"/>
    <mergeCell ref="B92:E92"/>
    <mergeCell ref="B91:E91"/>
    <mergeCell ref="B25:E25"/>
    <mergeCell ref="B23:E23"/>
    <mergeCell ref="B27:E27"/>
    <mergeCell ref="B89:E89"/>
    <mergeCell ref="B24:E24"/>
    <mergeCell ref="B29:G29"/>
    <mergeCell ref="F23:G23"/>
    <mergeCell ref="F24:G24"/>
    <mergeCell ref="F25:G25"/>
    <mergeCell ref="B26:G26"/>
    <mergeCell ref="F27:G27"/>
    <mergeCell ref="B90:E90"/>
    <mergeCell ref="H32:O32"/>
    <mergeCell ref="H31:O31"/>
    <mergeCell ref="I1:J1"/>
    <mergeCell ref="B9:E9"/>
    <mergeCell ref="B10:C11"/>
    <mergeCell ref="B12:E12"/>
    <mergeCell ref="B5:G5"/>
    <mergeCell ref="F6:G6"/>
    <mergeCell ref="F7:G7"/>
    <mergeCell ref="F8:G8"/>
    <mergeCell ref="F9:G9"/>
    <mergeCell ref="F10:G10"/>
    <mergeCell ref="F11:G11"/>
    <mergeCell ref="F12:G12"/>
    <mergeCell ref="B3:D3"/>
    <mergeCell ref="B13:E13"/>
    <mergeCell ref="H33:O33"/>
    <mergeCell ref="H34:O34"/>
    <mergeCell ref="H35:O35"/>
    <mergeCell ref="H36:O36"/>
    <mergeCell ref="H37:O37"/>
    <mergeCell ref="H43:O43"/>
    <mergeCell ref="H81:O81"/>
    <mergeCell ref="H38:O38"/>
    <mergeCell ref="H39:O39"/>
    <mergeCell ref="H40:O40"/>
    <mergeCell ref="H41:O41"/>
    <mergeCell ref="H42:O42"/>
    <mergeCell ref="H44:O44"/>
    <mergeCell ref="H45:O45"/>
    <mergeCell ref="H46:O46"/>
    <mergeCell ref="H47:O47"/>
    <mergeCell ref="H48:O48"/>
    <mergeCell ref="H49:O49"/>
    <mergeCell ref="H50:O50"/>
    <mergeCell ref="H51:O51"/>
    <mergeCell ref="H52:O52"/>
    <mergeCell ref="H53:O53"/>
    <mergeCell ref="H54:O54"/>
    <mergeCell ref="H55:O55"/>
    <mergeCell ref="H56:O56"/>
    <mergeCell ref="H57:O57"/>
    <mergeCell ref="H65:O65"/>
    <mergeCell ref="H66:O66"/>
    <mergeCell ref="H67:O67"/>
    <mergeCell ref="H58:O58"/>
    <mergeCell ref="H59:O59"/>
    <mergeCell ref="H60:O60"/>
    <mergeCell ref="H61:O61"/>
    <mergeCell ref="H62:O62"/>
    <mergeCell ref="H78:O78"/>
    <mergeCell ref="H79:O79"/>
    <mergeCell ref="H80:O80"/>
    <mergeCell ref="H14:O15"/>
    <mergeCell ref="H73:O73"/>
    <mergeCell ref="H74:O74"/>
    <mergeCell ref="H75:O75"/>
    <mergeCell ref="H76:O76"/>
    <mergeCell ref="H77:O77"/>
    <mergeCell ref="H68:O68"/>
    <mergeCell ref="H69:O69"/>
    <mergeCell ref="H70:O70"/>
    <mergeCell ref="H71:O71"/>
    <mergeCell ref="H72:O72"/>
    <mergeCell ref="H63:O63"/>
    <mergeCell ref="H64:O64"/>
  </mergeCells>
  <phoneticPr fontId="41" type="noConversion"/>
  <conditionalFormatting sqref="F22:F25">
    <cfRule type="cellIs" dxfId="108" priority="4" stopIfTrue="1" operator="equal">
      <formula>"nein"</formula>
    </cfRule>
  </conditionalFormatting>
  <conditionalFormatting sqref="F23">
    <cfRule type="cellIs" dxfId="107" priority="6" stopIfTrue="1" operator="equal">
      <formula>"Fruchtf. definieren!"</formula>
    </cfRule>
  </conditionalFormatting>
  <conditionalFormatting sqref="F27">
    <cfRule type="cellIs" dxfId="106" priority="3" stopIfTrue="1" operator="equal">
      <formula>"Achtung!"</formula>
    </cfRule>
  </conditionalFormatting>
  <conditionalFormatting sqref="H31:H80">
    <cfRule type="expression" dxfId="105" priority="1">
      <formula>$Y31=1</formula>
    </cfRule>
  </conditionalFormatting>
  <hyperlinks>
    <hyperlink ref="H1" location="Mineral!B3" display="◄" xr:uid="{00000000-0004-0000-0B00-000000000000}"/>
    <hyperlink ref="H1" location="Ertragsdokumentation!C3" display="◄" xr:uid="{00000000-0004-0000-0B00-000001000000}"/>
  </hyperlinks>
  <pageMargins left="0.43307086614173229" right="0.35433070866141736" top="0.70866141732283472" bottom="0.59055118110236227" header="0.51181102362204722" footer="0.31496062992125984"/>
  <pageSetup paperSize="9" scale="57" firstPageNumber="0" fitToHeight="2" orientation="portrait" blackAndWhite="1" horizontalDpi="300" verticalDpi="300" r:id="rId1"/>
  <headerFooter alignWithMargins="0">
    <oddFooter>&amp;L&amp;F&amp;C&amp;A&amp;R&amp;P von &amp;N</oddFooter>
  </headerFooter>
  <rowBreaks count="2" manualBreakCount="2">
    <brk id="26" max="16383" man="1"/>
    <brk id="28" max="16383" man="1"/>
  </rowBreaks>
  <colBreaks count="1" manualBreakCount="1">
    <brk id="6" max="1048575"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92D050"/>
    <pageSetUpPr fitToPage="1"/>
  </sheetPr>
  <dimension ref="A1:AA46"/>
  <sheetViews>
    <sheetView showZeros="0" zoomScaleNormal="100" zoomScalePageLayoutView="75" workbookViewId="0">
      <selection activeCell="C19" sqref="C19"/>
    </sheetView>
  </sheetViews>
  <sheetFormatPr baseColWidth="10" defaultColWidth="7.140625" defaultRowHeight="12.75"/>
  <cols>
    <col min="1" max="1" width="16.28515625" customWidth="1"/>
    <col min="2" max="2" width="10.28515625" customWidth="1"/>
    <col min="3" max="3" width="7.7109375" customWidth="1"/>
    <col min="4" max="4" width="7.85546875" customWidth="1"/>
    <col min="5" max="7" width="7.7109375" customWidth="1"/>
    <col min="8" max="12" width="9" customWidth="1"/>
  </cols>
  <sheetData>
    <row r="1" spans="1:27" ht="27" customHeight="1">
      <c r="A1" s="2889" t="s">
        <v>1437</v>
      </c>
      <c r="B1" s="2889"/>
      <c r="C1" s="2889"/>
      <c r="D1" s="2889"/>
      <c r="E1" s="2889"/>
      <c r="F1" s="2889"/>
      <c r="G1" s="2889"/>
      <c r="H1" s="2889"/>
      <c r="I1" s="2889"/>
      <c r="J1" s="2889"/>
      <c r="K1" s="2889"/>
      <c r="L1" s="2889"/>
      <c r="M1" s="2906" t="s">
        <v>1678</v>
      </c>
      <c r="N1" s="2907"/>
      <c r="O1" s="2908"/>
      <c r="P1" s="2826" t="s">
        <v>891</v>
      </c>
      <c r="Q1" s="2826"/>
      <c r="R1" s="2826" t="s">
        <v>867</v>
      </c>
      <c r="S1" s="2826"/>
    </row>
    <row r="2" spans="1:27" ht="31.5" customHeight="1" thickBot="1">
      <c r="A2" s="1440" t="s">
        <v>1438</v>
      </c>
      <c r="B2" s="1554"/>
      <c r="C2" s="1440"/>
      <c r="D2" s="1441"/>
      <c r="E2" s="1442"/>
      <c r="F2" s="1442"/>
      <c r="G2" s="1442"/>
      <c r="H2" s="1442"/>
      <c r="I2" s="1442"/>
      <c r="J2" s="1442"/>
      <c r="K2" s="1442"/>
      <c r="L2" s="1443"/>
      <c r="M2" s="2909"/>
      <c r="N2" s="2910"/>
      <c r="O2" s="2911"/>
    </row>
    <row r="3" spans="1:27" ht="20.25" customHeight="1">
      <c r="A3" s="2890" t="s">
        <v>1439</v>
      </c>
      <c r="B3" s="2891"/>
      <c r="C3" s="2892">
        <f>Betrieb!B4</f>
        <v>0</v>
      </c>
      <c r="D3" s="2893"/>
      <c r="E3" s="2893"/>
      <c r="F3" s="2893"/>
      <c r="G3" s="2893"/>
      <c r="H3" s="2893"/>
      <c r="I3" s="2893"/>
      <c r="J3" s="2893"/>
      <c r="K3" s="2893"/>
      <c r="L3" s="2894"/>
    </row>
    <row r="4" spans="1:27" ht="20.25" customHeight="1">
      <c r="A4" s="2890" t="s">
        <v>1317</v>
      </c>
      <c r="B4" s="2891"/>
      <c r="C4" s="2892">
        <f>Betrieb!B3</f>
        <v>0</v>
      </c>
      <c r="D4" s="2893"/>
      <c r="E4" s="2893"/>
      <c r="F4" s="2893"/>
      <c r="G4" s="2893"/>
      <c r="H4" s="2893"/>
      <c r="I4" s="2893"/>
      <c r="J4" s="2893"/>
      <c r="K4" s="2893"/>
      <c r="L4" s="2894"/>
    </row>
    <row r="5" spans="1:27" ht="20.25" customHeight="1">
      <c r="A5" s="2890" t="s">
        <v>1440</v>
      </c>
      <c r="B5" s="2891"/>
      <c r="C5" s="2892" t="str">
        <f>IF(AND(Betrieb!B6="",Betrieb!B5=""),"",Betrieb!B6&amp;", "&amp;Betrieb!B5)</f>
        <v/>
      </c>
      <c r="D5" s="2893"/>
      <c r="E5" s="2893"/>
      <c r="F5" s="2893"/>
      <c r="G5" s="2893"/>
      <c r="H5" s="2893"/>
      <c r="I5" s="2893"/>
      <c r="J5" s="2893"/>
      <c r="K5" s="2893"/>
      <c r="L5" s="2894"/>
    </row>
    <row r="6" spans="1:27" ht="26.25" customHeight="1">
      <c r="A6" s="1440" t="s">
        <v>1441</v>
      </c>
      <c r="B6" s="1554"/>
      <c r="C6" s="1440"/>
      <c r="D6" s="1441"/>
      <c r="E6" s="1442"/>
      <c r="F6" s="1442"/>
      <c r="G6" s="1442"/>
      <c r="H6" s="1442"/>
      <c r="I6" s="1442"/>
      <c r="J6" s="1442"/>
      <c r="K6" s="1442"/>
      <c r="L6" s="1443"/>
    </row>
    <row r="7" spans="1:27" ht="20.25" customHeight="1">
      <c r="A7" s="2895" t="s">
        <v>1439</v>
      </c>
      <c r="B7" s="2896"/>
      <c r="C7" s="2897"/>
      <c r="D7" s="2898"/>
      <c r="E7" s="2898"/>
      <c r="F7" s="2898"/>
      <c r="G7" s="2898"/>
      <c r="H7" s="2898"/>
      <c r="I7" s="2898"/>
      <c r="J7" s="2898"/>
      <c r="K7" s="2898"/>
      <c r="L7" s="2899"/>
    </row>
    <row r="8" spans="1:27" ht="20.25" customHeight="1">
      <c r="A8" s="2895" t="s">
        <v>1317</v>
      </c>
      <c r="B8" s="2896"/>
      <c r="C8" s="2900"/>
      <c r="D8" s="2901"/>
      <c r="E8" s="2901"/>
      <c r="F8" s="2901"/>
      <c r="G8" s="2901"/>
      <c r="H8" s="2901"/>
      <c r="I8" s="2901"/>
      <c r="J8" s="2901"/>
      <c r="K8" s="2901"/>
      <c r="L8" s="2902"/>
    </row>
    <row r="9" spans="1:27" ht="20.25" customHeight="1">
      <c r="A9" s="2895" t="s">
        <v>1440</v>
      </c>
      <c r="B9" s="2896"/>
      <c r="C9" s="2900"/>
      <c r="D9" s="2901"/>
      <c r="E9" s="2901"/>
      <c r="F9" s="2901"/>
      <c r="G9" s="2901"/>
      <c r="H9" s="2901"/>
      <c r="I9" s="2901"/>
      <c r="J9" s="2901"/>
      <c r="K9" s="2901"/>
      <c r="L9" s="2902"/>
    </row>
    <row r="10" spans="1:27">
      <c r="A10" s="1443"/>
      <c r="B10" s="1443"/>
      <c r="C10" s="1443"/>
      <c r="D10" s="1443"/>
      <c r="E10" s="1444"/>
      <c r="F10" s="1444"/>
      <c r="G10" s="1444"/>
      <c r="H10" s="1444"/>
      <c r="I10" s="1444"/>
      <c r="J10" s="1443"/>
      <c r="K10" s="1443"/>
      <c r="L10" s="1443"/>
    </row>
    <row r="11" spans="1:27" s="235" customFormat="1" ht="22.5" customHeight="1">
      <c r="A11" s="2905" t="s">
        <v>1426</v>
      </c>
      <c r="B11" s="2905"/>
      <c r="C11" s="2905"/>
      <c r="D11" s="2905"/>
      <c r="E11" s="2905"/>
      <c r="F11" s="2905"/>
      <c r="G11" s="2905"/>
      <c r="H11" s="2905"/>
      <c r="I11" s="2905"/>
      <c r="J11" s="2905"/>
      <c r="K11" s="2905"/>
      <c r="L11" s="2905"/>
      <c r="O11"/>
      <c r="P11"/>
      <c r="Q11"/>
      <c r="R11"/>
      <c r="S11"/>
      <c r="T11"/>
      <c r="U11"/>
      <c r="V11"/>
      <c r="W11"/>
      <c r="X11"/>
      <c r="Y11"/>
      <c r="Z11"/>
      <c r="AA11"/>
    </row>
    <row r="12" spans="1:27" s="395" customFormat="1" ht="48" customHeight="1">
      <c r="A12" s="2885" t="s">
        <v>1442</v>
      </c>
      <c r="B12" s="2885"/>
      <c r="C12" s="2885"/>
      <c r="D12" s="2885"/>
      <c r="E12" s="2885"/>
      <c r="F12" s="2885"/>
      <c r="G12" s="2885"/>
      <c r="H12" s="2885"/>
      <c r="I12" s="2885"/>
      <c r="J12" s="2885"/>
      <c r="K12" s="2885"/>
      <c r="L12" s="2885"/>
      <c r="O12"/>
      <c r="P12"/>
      <c r="Q12"/>
      <c r="R12"/>
      <c r="S12"/>
      <c r="T12"/>
      <c r="U12"/>
      <c r="V12"/>
      <c r="W12"/>
      <c r="X12"/>
      <c r="Y12"/>
      <c r="Z12"/>
      <c r="AA12"/>
    </row>
    <row r="13" spans="1:27">
      <c r="A13" s="1443"/>
      <c r="B13" s="1443"/>
      <c r="C13" s="1443"/>
      <c r="D13" s="1443"/>
      <c r="E13" s="1443"/>
      <c r="F13" s="1443"/>
      <c r="G13" s="1443"/>
      <c r="H13" s="1443"/>
      <c r="I13" s="1443"/>
      <c r="J13" s="1443"/>
      <c r="K13" s="1443"/>
      <c r="L13" s="1443"/>
    </row>
    <row r="14" spans="1:27" s="235" customFormat="1" ht="22.5" customHeight="1">
      <c r="A14" s="2905" t="s">
        <v>1427</v>
      </c>
      <c r="B14" s="2905"/>
      <c r="C14" s="2905"/>
      <c r="D14" s="2905"/>
      <c r="E14" s="2905"/>
      <c r="F14" s="2905"/>
      <c r="G14" s="2905"/>
      <c r="H14" s="2905"/>
      <c r="I14" s="2905"/>
      <c r="J14" s="2905"/>
      <c r="K14" s="2905"/>
      <c r="L14" s="2905"/>
    </row>
    <row r="15" spans="1:27" ht="45.75" customHeight="1">
      <c r="A15" s="2885" t="s">
        <v>1443</v>
      </c>
      <c r="B15" s="2885"/>
      <c r="C15" s="2885"/>
      <c r="D15" s="2885"/>
      <c r="E15" s="2885"/>
      <c r="F15" s="2885"/>
      <c r="G15" s="2885"/>
      <c r="H15" s="2885"/>
      <c r="I15" s="2885"/>
      <c r="J15" s="2885"/>
      <c r="K15" s="2885"/>
      <c r="L15" s="2885"/>
    </row>
    <row r="16" spans="1:27" ht="14.25">
      <c r="A16" s="1445"/>
      <c r="B16" s="1445"/>
      <c r="C16" s="1445"/>
      <c r="D16" s="1445"/>
      <c r="E16" s="1445"/>
      <c r="F16" s="1445"/>
      <c r="G16" s="1445"/>
      <c r="H16" s="1445"/>
      <c r="I16" s="1445"/>
      <c r="J16" s="1445"/>
      <c r="K16" s="1443"/>
      <c r="L16" s="1443"/>
    </row>
    <row r="17" spans="1:12" ht="16.5" customHeight="1">
      <c r="A17" s="2912" t="s">
        <v>1444</v>
      </c>
      <c r="B17" s="2913"/>
      <c r="C17" s="2914" t="s">
        <v>1677</v>
      </c>
      <c r="D17" s="2887"/>
      <c r="E17" s="2887"/>
      <c r="F17" s="2887"/>
      <c r="G17" s="2888"/>
      <c r="H17" s="2886" t="s">
        <v>1436</v>
      </c>
      <c r="I17" s="2887"/>
      <c r="J17" s="2887"/>
      <c r="K17" s="2887"/>
      <c r="L17" s="2888"/>
    </row>
    <row r="18" spans="1:12" ht="36" customHeight="1">
      <c r="A18" s="1433" t="s">
        <v>404</v>
      </c>
      <c r="B18" s="1433" t="s">
        <v>1445</v>
      </c>
      <c r="C18" s="1434" t="s">
        <v>541</v>
      </c>
      <c r="D18" s="1549" t="s">
        <v>542</v>
      </c>
      <c r="E18" s="1434" t="s">
        <v>543</v>
      </c>
      <c r="F18" s="1435" t="s">
        <v>544</v>
      </c>
      <c r="G18" s="1434" t="s">
        <v>545</v>
      </c>
      <c r="H18" s="1436" t="s">
        <v>1446</v>
      </c>
      <c r="I18" s="1548" t="s">
        <v>1447</v>
      </c>
      <c r="J18" s="1436" t="s">
        <v>1448</v>
      </c>
      <c r="K18" s="1436" t="s">
        <v>1449</v>
      </c>
      <c r="L18" s="1287" t="s">
        <v>1450</v>
      </c>
    </row>
    <row r="19" spans="1:12" ht="14.25">
      <c r="A19" s="1562" t="s">
        <v>1008</v>
      </c>
      <c r="B19" s="1559">
        <f>Tiere!B23</f>
        <v>0</v>
      </c>
      <c r="C19" s="1560">
        <f>Tiere!C23</f>
        <v>0</v>
      </c>
      <c r="D19" s="1561">
        <f>Tiere!D23</f>
        <v>0</v>
      </c>
      <c r="E19" s="1560">
        <f>Tiere!E23</f>
        <v>0</v>
      </c>
      <c r="F19" s="1560">
        <f>Tiere!F23</f>
        <v>0</v>
      </c>
      <c r="G19" s="1560">
        <f>Tiere!G23</f>
        <v>0</v>
      </c>
      <c r="H19" s="1563">
        <f>Tiere!H23</f>
        <v>0</v>
      </c>
      <c r="I19" s="1564">
        <f>Tiere!I23</f>
        <v>0</v>
      </c>
      <c r="J19" s="1563">
        <f>Tiere!J23</f>
        <v>0</v>
      </c>
      <c r="K19" s="1563">
        <f>Tiere!K23</f>
        <v>0</v>
      </c>
      <c r="L19" s="1563">
        <f>Tiere!L23</f>
        <v>0</v>
      </c>
    </row>
    <row r="20" spans="1:12" ht="14.25">
      <c r="A20" s="1562" t="s">
        <v>1012</v>
      </c>
      <c r="B20" s="1559">
        <f>Tiere!B24</f>
        <v>0</v>
      </c>
      <c r="C20" s="1560">
        <f>Tiere!C24</f>
        <v>0</v>
      </c>
      <c r="D20" s="1561">
        <f>Tiere!D24</f>
        <v>0</v>
      </c>
      <c r="E20" s="1560">
        <f>Tiere!E24</f>
        <v>0</v>
      </c>
      <c r="F20" s="1560">
        <f>Tiere!F24</f>
        <v>0</v>
      </c>
      <c r="G20" s="1560">
        <f>Tiere!G24</f>
        <v>0</v>
      </c>
      <c r="H20" s="1563">
        <f>Tiere!H24</f>
        <v>0</v>
      </c>
      <c r="I20" s="1564">
        <f>Tiere!I24</f>
        <v>0</v>
      </c>
      <c r="J20" s="1563">
        <f>Tiere!J24</f>
        <v>0</v>
      </c>
      <c r="K20" s="1563">
        <f>Tiere!K24</f>
        <v>0</v>
      </c>
      <c r="L20" s="1563">
        <f>Tiere!L24</f>
        <v>0</v>
      </c>
    </row>
    <row r="21" spans="1:12" ht="14.25">
      <c r="A21" s="1562" t="s">
        <v>1100</v>
      </c>
      <c r="B21" s="1559">
        <f>Tiere!B25</f>
        <v>0</v>
      </c>
      <c r="C21" s="1560">
        <f>Tiere!C25</f>
        <v>0</v>
      </c>
      <c r="D21" s="1561">
        <f>Tiere!D25</f>
        <v>0</v>
      </c>
      <c r="E21" s="1560">
        <f>Tiere!E25</f>
        <v>0</v>
      </c>
      <c r="F21" s="1560">
        <f>Tiere!F25</f>
        <v>0</v>
      </c>
      <c r="G21" s="1560">
        <f>Tiere!G25</f>
        <v>0</v>
      </c>
      <c r="H21" s="1563">
        <f>Tiere!H25</f>
        <v>0</v>
      </c>
      <c r="I21" s="1564">
        <f>Tiere!I25</f>
        <v>0</v>
      </c>
      <c r="J21" s="1563">
        <f>Tiere!J25</f>
        <v>0</v>
      </c>
      <c r="K21" s="1563">
        <f>Tiere!K25</f>
        <v>0</v>
      </c>
      <c r="L21" s="1563">
        <f>Tiere!L25</f>
        <v>0</v>
      </c>
    </row>
    <row r="22" spans="1:12" ht="14.25">
      <c r="A22" s="1562" t="s">
        <v>459</v>
      </c>
      <c r="B22" s="1559">
        <f>Tiere!B26</f>
        <v>0</v>
      </c>
      <c r="C22" s="1560">
        <f>Tiere!C26</f>
        <v>0</v>
      </c>
      <c r="D22" s="1561">
        <f>Tiere!D26</f>
        <v>0</v>
      </c>
      <c r="E22" s="1560">
        <f>Tiere!E26</f>
        <v>0</v>
      </c>
      <c r="F22" s="1560">
        <f>Tiere!F26</f>
        <v>0</v>
      </c>
      <c r="G22" s="1560">
        <f>Tiere!G26</f>
        <v>0</v>
      </c>
      <c r="H22" s="1563">
        <f>Tiere!H26</f>
        <v>0</v>
      </c>
      <c r="I22" s="1564">
        <f>Tiere!I26</f>
        <v>0</v>
      </c>
      <c r="J22" s="1563">
        <f>Tiere!J26</f>
        <v>0</v>
      </c>
      <c r="K22" s="1563">
        <f>Tiere!K26</f>
        <v>0</v>
      </c>
      <c r="L22" s="1563">
        <f>Tiere!L26</f>
        <v>0</v>
      </c>
    </row>
    <row r="23" spans="1:12" ht="14.25">
      <c r="A23" s="1562" t="s">
        <v>317</v>
      </c>
      <c r="B23" s="1559">
        <f>Tiere!B27</f>
        <v>0</v>
      </c>
      <c r="C23" s="1560">
        <f>Tiere!C27</f>
        <v>0</v>
      </c>
      <c r="D23" s="1561">
        <f>Tiere!D27</f>
        <v>0</v>
      </c>
      <c r="E23" s="1560">
        <f>Tiere!E27</f>
        <v>0</v>
      </c>
      <c r="F23" s="1560">
        <f>Tiere!F27</f>
        <v>0</v>
      </c>
      <c r="G23" s="1560">
        <f>Tiere!G27</f>
        <v>0</v>
      </c>
      <c r="H23" s="1563">
        <f>Tiere!H27</f>
        <v>0</v>
      </c>
      <c r="I23" s="1564">
        <f>Tiere!I27</f>
        <v>0</v>
      </c>
      <c r="J23" s="1563">
        <f>Tiere!J27</f>
        <v>0</v>
      </c>
      <c r="K23" s="1563">
        <f>Tiere!K27</f>
        <v>0</v>
      </c>
      <c r="L23" s="1563">
        <f>Tiere!L27</f>
        <v>0</v>
      </c>
    </row>
    <row r="24" spans="1:12" ht="14.25">
      <c r="A24" s="1562" t="s">
        <v>694</v>
      </c>
      <c r="B24" s="1559">
        <f>Tiere!B28</f>
        <v>0</v>
      </c>
      <c r="C24" s="1560">
        <f>Tiere!C28</f>
        <v>0</v>
      </c>
      <c r="D24" s="1561">
        <f>Tiere!D28</f>
        <v>0</v>
      </c>
      <c r="E24" s="1560">
        <f>Tiere!E28</f>
        <v>0</v>
      </c>
      <c r="F24" s="1560">
        <f>Tiere!F28</f>
        <v>0</v>
      </c>
      <c r="G24" s="1560">
        <f>Tiere!G28</f>
        <v>0</v>
      </c>
      <c r="H24" s="1563">
        <f>Tiere!H28</f>
        <v>0</v>
      </c>
      <c r="I24" s="1564">
        <f>Tiere!I28</f>
        <v>0</v>
      </c>
      <c r="J24" s="1563">
        <f>Tiere!J28</f>
        <v>0</v>
      </c>
      <c r="K24" s="1563">
        <f>Tiere!K28</f>
        <v>0</v>
      </c>
      <c r="L24" s="1563">
        <f>Tiere!L28</f>
        <v>0</v>
      </c>
    </row>
    <row r="25" spans="1:12" ht="14.25">
      <c r="A25" s="1446" t="s">
        <v>1451</v>
      </c>
      <c r="B25" s="1442"/>
      <c r="C25" s="1442"/>
      <c r="D25" s="1442"/>
      <c r="E25" s="1442"/>
      <c r="F25" s="1442"/>
      <c r="G25" s="1442"/>
      <c r="H25" s="1442"/>
      <c r="I25" s="1442"/>
      <c r="J25" s="1442"/>
      <c r="K25" s="1443"/>
      <c r="L25" s="1443"/>
    </row>
    <row r="26" spans="1:12" ht="14.25">
      <c r="A26" s="1442"/>
      <c r="B26" s="1442"/>
      <c r="C26" s="1442"/>
      <c r="D26" s="1442"/>
      <c r="E26" s="1442"/>
      <c r="F26" s="1442"/>
      <c r="G26" s="1442"/>
      <c r="H26" s="1442"/>
      <c r="I26" s="1442"/>
      <c r="J26" s="1442"/>
      <c r="K26" s="1443"/>
      <c r="L26" s="1443"/>
    </row>
    <row r="27" spans="1:12" s="235" customFormat="1" ht="22.5" customHeight="1">
      <c r="A27" s="1447" t="s">
        <v>1428</v>
      </c>
      <c r="B27" s="1448"/>
      <c r="C27" s="1448"/>
      <c r="D27" s="1448"/>
      <c r="E27" s="1448"/>
      <c r="F27" s="1448"/>
      <c r="G27" s="1448"/>
      <c r="H27" s="1448"/>
      <c r="I27" s="1448"/>
      <c r="J27" s="1448"/>
      <c r="K27" s="1448"/>
      <c r="L27" s="1448"/>
    </row>
    <row r="28" spans="1:12" ht="17.100000000000001" customHeight="1">
      <c r="A28" s="1551" t="s">
        <v>1562</v>
      </c>
      <c r="B28" s="1552"/>
      <c r="C28" s="1552"/>
      <c r="D28" s="1552"/>
      <c r="E28" s="1552"/>
      <c r="F28" s="1552"/>
      <c r="G28" s="1552"/>
      <c r="H28" s="1552"/>
      <c r="I28" s="1552"/>
      <c r="J28" s="1552"/>
      <c r="K28" s="1552"/>
      <c r="L28" s="1552"/>
    </row>
    <row r="29" spans="1:12" ht="17.100000000000001" customHeight="1">
      <c r="A29" s="890" t="s">
        <v>1563</v>
      </c>
      <c r="B29" s="2904"/>
      <c r="C29" s="2904"/>
      <c r="D29" s="2904"/>
      <c r="E29" s="235"/>
      <c r="F29" s="1553" t="s">
        <v>1561</v>
      </c>
      <c r="G29" s="235"/>
      <c r="H29" s="2904"/>
      <c r="I29" s="2904"/>
      <c r="J29" s="2904"/>
      <c r="K29" s="1552" t="s">
        <v>1560</v>
      </c>
      <c r="L29" s="1552"/>
    </row>
    <row r="30" spans="1:12" ht="17.100000000000001" customHeight="1">
      <c r="A30" s="1551" t="s">
        <v>1559</v>
      </c>
      <c r="B30" s="1550"/>
      <c r="C30" s="1550"/>
      <c r="D30" s="1550"/>
      <c r="E30" s="1550"/>
      <c r="F30" s="1550"/>
      <c r="G30" s="1550"/>
      <c r="H30" s="1550"/>
      <c r="I30" s="1550"/>
      <c r="J30" s="1550"/>
      <c r="K30" s="1550"/>
      <c r="L30" s="1550"/>
    </row>
    <row r="31" spans="1:12" ht="21" customHeight="1">
      <c r="A31" s="1449" t="s">
        <v>1429</v>
      </c>
      <c r="B31" s="1450"/>
      <c r="C31" s="1450"/>
      <c r="D31" s="1450"/>
      <c r="E31" s="1450"/>
      <c r="F31" s="1450"/>
      <c r="G31" s="1450"/>
      <c r="H31" s="1450"/>
      <c r="I31" s="1450"/>
      <c r="J31" s="1450"/>
      <c r="K31" s="1450"/>
      <c r="L31" s="1450"/>
    </row>
    <row r="32" spans="1:12" ht="33" customHeight="1">
      <c r="A32" s="2884" t="s">
        <v>1452</v>
      </c>
      <c r="B32" s="2884"/>
      <c r="C32" s="2884"/>
      <c r="D32" s="2884"/>
      <c r="E32" s="2884"/>
      <c r="F32" s="2884"/>
      <c r="G32" s="2884"/>
      <c r="H32" s="2884"/>
      <c r="I32" s="2884"/>
      <c r="J32" s="2884"/>
      <c r="K32" s="2884"/>
      <c r="L32" s="2884"/>
    </row>
    <row r="33" spans="1:13" ht="11.25" customHeight="1">
      <c r="A33" s="1442"/>
      <c r="B33" s="1442"/>
      <c r="C33" s="1442"/>
      <c r="D33" s="1442"/>
      <c r="E33" s="1442"/>
      <c r="F33" s="1442"/>
      <c r="G33" s="1442"/>
      <c r="H33" s="1442"/>
      <c r="I33" s="1442"/>
      <c r="J33" s="1442"/>
      <c r="K33" s="1443"/>
      <c r="L33" s="1443"/>
    </row>
    <row r="34" spans="1:13" ht="18.75" customHeight="1">
      <c r="A34" s="1449" t="s">
        <v>1430</v>
      </c>
      <c r="B34" s="1557" t="s">
        <v>1564</v>
      </c>
      <c r="C34" s="1442"/>
      <c r="D34" s="1451"/>
      <c r="G34" s="2903"/>
      <c r="H34" s="2903"/>
      <c r="I34" s="1558" t="s">
        <v>1455</v>
      </c>
      <c r="J34" s="1443"/>
      <c r="K34" s="1443"/>
      <c r="L34" s="1443"/>
    </row>
    <row r="35" spans="1:13" ht="9.75" customHeight="1">
      <c r="A35" s="1442"/>
      <c r="B35" s="1442"/>
      <c r="C35" s="1442"/>
      <c r="D35" s="1442"/>
      <c r="E35" s="1442"/>
      <c r="F35" s="1442"/>
      <c r="G35" s="1442"/>
      <c r="H35" s="1443"/>
      <c r="I35" s="1443"/>
      <c r="J35" s="1443"/>
      <c r="K35" s="1443"/>
      <c r="L35" s="1443"/>
    </row>
    <row r="36" spans="1:13" s="235" customFormat="1" ht="15.75">
      <c r="A36" s="1447" t="s">
        <v>1431</v>
      </c>
      <c r="B36" s="1448"/>
      <c r="C36" s="1448"/>
      <c r="D36" s="1448"/>
      <c r="E36" s="1448"/>
      <c r="F36" s="1448"/>
      <c r="G36" s="1448"/>
      <c r="H36" s="1448"/>
      <c r="I36" s="1448"/>
      <c r="J36" s="1448"/>
      <c r="K36" s="1448"/>
      <c r="L36" s="1448"/>
    </row>
    <row r="37" spans="1:13" ht="64.5" customHeight="1">
      <c r="A37" s="2885" t="s">
        <v>1453</v>
      </c>
      <c r="B37" s="2885"/>
      <c r="C37" s="2885"/>
      <c r="D37" s="2885"/>
      <c r="E37" s="2885"/>
      <c r="F37" s="2885"/>
      <c r="G37" s="2885"/>
      <c r="H37" s="2885"/>
      <c r="I37" s="2885"/>
      <c r="J37" s="2885"/>
      <c r="K37" s="2885"/>
      <c r="L37" s="2885"/>
    </row>
    <row r="38" spans="1:13">
      <c r="A38" s="1443"/>
      <c r="B38" s="1443"/>
      <c r="C38" s="1443"/>
      <c r="D38" s="1443"/>
      <c r="E38" s="1443"/>
      <c r="F38" s="1443"/>
      <c r="G38" s="1443"/>
      <c r="H38" s="1443"/>
      <c r="I38" s="1443"/>
      <c r="J38" s="1443"/>
      <c r="K38" s="1443"/>
      <c r="L38" s="1443"/>
    </row>
    <row r="39" spans="1:13" s="235" customFormat="1" ht="22.5" customHeight="1">
      <c r="A39" s="1447" t="s">
        <v>1432</v>
      </c>
      <c r="B39" s="1452"/>
      <c r="C39" s="1438" t="s">
        <v>1454</v>
      </c>
      <c r="D39" s="1437"/>
      <c r="E39" s="1437"/>
      <c r="F39" s="1437"/>
      <c r="G39" s="1437"/>
      <c r="H39" s="1437"/>
      <c r="I39" s="1437"/>
      <c r="J39" s="1437"/>
      <c r="K39" s="1437"/>
      <c r="L39" s="1437"/>
    </row>
    <row r="40" spans="1:13" s="235" customFormat="1" ht="13.5" customHeight="1">
      <c r="A40" s="1452"/>
      <c r="B40" s="1452"/>
      <c r="C40" s="1452"/>
      <c r="D40" s="1452"/>
      <c r="E40" s="1452"/>
      <c r="F40" s="1452"/>
      <c r="G40" s="1452"/>
      <c r="H40" s="1452"/>
      <c r="I40" s="1452"/>
      <c r="J40" s="1452"/>
      <c r="K40" s="1452"/>
      <c r="L40" s="1452"/>
    </row>
    <row r="41" spans="1:13" ht="32.25" customHeight="1">
      <c r="A41" s="1439" t="s">
        <v>1435</v>
      </c>
      <c r="B41" s="1439"/>
      <c r="C41" s="1439"/>
      <c r="D41" s="1443"/>
      <c r="E41" s="1439" t="s">
        <v>1435</v>
      </c>
      <c r="F41" s="1439"/>
      <c r="G41" s="1439"/>
      <c r="H41" s="1439"/>
      <c r="I41" s="1443"/>
      <c r="J41" s="1439" t="s">
        <v>1676</v>
      </c>
      <c r="K41" s="1439"/>
      <c r="L41" s="1439"/>
    </row>
    <row r="42" spans="1:13">
      <c r="A42" s="1555" t="s">
        <v>1433</v>
      </c>
      <c r="B42" s="1443"/>
      <c r="C42" s="1443"/>
      <c r="D42" s="1443"/>
      <c r="E42" s="2883" t="s">
        <v>1434</v>
      </c>
      <c r="F42" s="2883"/>
      <c r="G42" s="2883"/>
      <c r="H42" s="2883"/>
      <c r="I42" s="1453"/>
      <c r="K42" s="1556" t="s">
        <v>1565</v>
      </c>
      <c r="L42" s="1454"/>
      <c r="M42" s="437"/>
    </row>
    <row r="43" spans="1:13" ht="9.75" customHeight="1">
      <c r="A43" s="1443"/>
      <c r="B43" s="1443"/>
      <c r="C43" s="1443"/>
      <c r="D43" s="1443"/>
      <c r="E43" s="1443"/>
      <c r="F43" s="1443"/>
      <c r="G43" s="1443"/>
      <c r="H43" s="1443"/>
      <c r="I43" s="1443"/>
      <c r="J43" s="1443"/>
      <c r="K43" s="1443"/>
      <c r="L43" s="1443"/>
    </row>
    <row r="44" spans="1:13">
      <c r="A44" s="1454"/>
      <c r="B44" s="1443"/>
      <c r="C44" s="1443"/>
      <c r="D44" s="1443"/>
      <c r="E44" s="1443"/>
      <c r="F44" s="1443"/>
      <c r="G44" s="1443"/>
      <c r="H44" s="1443"/>
      <c r="I44" s="1443"/>
      <c r="J44" s="1443"/>
      <c r="K44" s="1443"/>
      <c r="L44" s="1443"/>
    </row>
    <row r="45" spans="1:13">
      <c r="A45" s="1443"/>
      <c r="B45" s="1443"/>
      <c r="C45" s="1443"/>
      <c r="D45" s="1443"/>
      <c r="E45" s="1443"/>
      <c r="F45" s="1443"/>
      <c r="G45" s="1443"/>
      <c r="H45" s="1443"/>
      <c r="I45" s="1443"/>
      <c r="J45" s="1443"/>
      <c r="K45" s="1443"/>
      <c r="L45" s="1443"/>
    </row>
    <row r="46" spans="1:13">
      <c r="A46" s="1443"/>
      <c r="B46" s="1443"/>
      <c r="C46" s="1443"/>
      <c r="D46" s="1443"/>
      <c r="E46" s="1443"/>
      <c r="F46" s="1443"/>
      <c r="G46" s="1443"/>
      <c r="H46" s="1443"/>
      <c r="I46" s="1443"/>
      <c r="J46" s="1443"/>
      <c r="K46" s="1443"/>
      <c r="L46" s="1443"/>
    </row>
  </sheetData>
  <sheetProtection password="CAEF" sheet="1" formatCells="0" formatColumns="0" formatRows="0"/>
  <mergeCells count="29">
    <mergeCell ref="M1:O2"/>
    <mergeCell ref="P1:Q1"/>
    <mergeCell ref="R1:S1"/>
    <mergeCell ref="A17:B17"/>
    <mergeCell ref="C17:G17"/>
    <mergeCell ref="G34:H34"/>
    <mergeCell ref="B29:D29"/>
    <mergeCell ref="H29:J29"/>
    <mergeCell ref="C9:L9"/>
    <mergeCell ref="A11:L11"/>
    <mergeCell ref="A12:L12"/>
    <mergeCell ref="A14:L14"/>
    <mergeCell ref="A15:L15"/>
    <mergeCell ref="E42:H42"/>
    <mergeCell ref="A32:L32"/>
    <mergeCell ref="A37:L37"/>
    <mergeCell ref="H17:L17"/>
    <mergeCell ref="A1:L1"/>
    <mergeCell ref="A3:B3"/>
    <mergeCell ref="C3:L3"/>
    <mergeCell ref="A4:B4"/>
    <mergeCell ref="C4:L4"/>
    <mergeCell ref="A5:B5"/>
    <mergeCell ref="C5:L5"/>
    <mergeCell ref="A7:B7"/>
    <mergeCell ref="C7:L7"/>
    <mergeCell ref="A8:B8"/>
    <mergeCell ref="C8:L8"/>
    <mergeCell ref="A9:B9"/>
  </mergeCells>
  <hyperlinks>
    <hyperlink ref="M1:O2" location="Hofdung!A1" display="◄ zurück zu Tabellenblatt Hofdung" xr:uid="{00000000-0004-0000-0C00-000000000000}"/>
    <hyperlink ref="P1" location="Mineral!B3" display="◄" xr:uid="{00000000-0004-0000-0C00-000001000000}"/>
    <hyperlink ref="P1:Q1" location="Ergebnis!A1" display="◄" xr:uid="{00000000-0004-0000-0C00-000002000000}"/>
    <hyperlink ref="R1:S1" location="'System Immergrün'!A1" display="  ►" xr:uid="{00000000-0004-0000-0C00-000003000000}"/>
  </hyperlinks>
  <pageMargins left="0.51181102362204722" right="0.4" top="0.67" bottom="0.54" header="0.31496062992125984" footer="0.31496062992125984"/>
  <pageSetup paperSize="9" scale="86" orientation="portrait" blackAndWhite="1" r:id="rId1"/>
  <legacyDrawing r:id="rId2"/>
  <extLst>
    <ext xmlns:x14="http://schemas.microsoft.com/office/spreadsheetml/2009/9/main" uri="{78C0D931-6437-407d-A8EE-F0AAD7539E65}">
      <x14:conditionalFormattings>
        <x14:conditionalFormatting xmlns:xm="http://schemas.microsoft.com/office/excel/2006/main">
          <x14:cfRule type="expression" priority="3" id="{E7009F6C-2A95-4F18-80CA-6191D2337BFE}">
            <xm:f>AND($C$7="",SUM(Hofdung!$F$13:$F$18)&gt;0,SUM(Hofdung!$G$13:$G$18)&gt;0,SUM(Hofdung!$C$13:$C$18)&gt;0)</xm:f>
            <x14:dxf>
              <fill>
                <patternFill>
                  <bgColor rgb="FFFFC000"/>
                </patternFill>
              </fill>
            </x14:dxf>
          </x14:cfRule>
          <xm:sqref>C7:L7</xm:sqref>
        </x14:conditionalFormatting>
        <x14:conditionalFormatting xmlns:xm="http://schemas.microsoft.com/office/excel/2006/main">
          <x14:cfRule type="expression" priority="2" id="{9A5EA26E-74C8-4C71-82AE-AA8EFC39BAAA}">
            <xm:f>AND($C$8="",$C$7&lt;&gt;"",SUM(Hofdung!$F$13:$F$18)&gt;0,SUM(Hofdung!$G$13:$G$18)&gt;0,SUM(Hofdung!$C$13:$C$18)&gt;0)</xm:f>
            <x14:dxf>
              <fill>
                <patternFill>
                  <bgColor rgb="FFFFC000"/>
                </patternFill>
              </fill>
            </x14:dxf>
          </x14:cfRule>
          <xm:sqref>C8:L8</xm:sqref>
        </x14:conditionalFormatting>
        <x14:conditionalFormatting xmlns:xm="http://schemas.microsoft.com/office/excel/2006/main">
          <x14:cfRule type="expression" priority="1" id="{5FA8E538-54D6-4FFC-B0CE-9A8154FDEBB1}">
            <xm:f>AND($C$7&lt;&gt;"",$C$8&lt;&gt;"",$C$9="",SUM(Hofdung!$F$13:$F$18)&gt;0,SUM(Hofdung!$G$13:$G$18)&gt;0,SUM(Hofdung!$C$13:$C$18)&gt;0)</xm:f>
            <x14:dxf>
              <fill>
                <patternFill>
                  <bgColor rgb="FFFFC000"/>
                </patternFill>
              </fill>
            </x14:dxf>
          </x14:cfRule>
          <xm:sqref>C9:L9</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Tiere!#REF!</xm:f>
          </x14:formula1>
          <xm:sqref>A20:A25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92D050"/>
    <pageSetUpPr fitToPage="1"/>
  </sheetPr>
  <dimension ref="A1:CF220"/>
  <sheetViews>
    <sheetView showZeros="0" zoomScale="73" zoomScaleNormal="73" workbookViewId="0">
      <pane ySplit="8" topLeftCell="A9" activePane="bottomLeft" state="frozen"/>
      <selection pane="bottomLeft" activeCell="A9" sqref="A9"/>
    </sheetView>
  </sheetViews>
  <sheetFormatPr baseColWidth="10" defaultRowHeight="12.75"/>
  <cols>
    <col min="1" max="1" width="5" customWidth="1"/>
    <col min="2" max="2" width="5.42578125" customWidth="1"/>
    <col min="3" max="3" width="6.7109375" customWidth="1"/>
    <col min="4" max="4" width="18.28515625" customWidth="1"/>
    <col min="5" max="5" width="8.5703125" customWidth="1"/>
    <col min="6" max="6" width="9" customWidth="1"/>
    <col min="7" max="7" width="8.140625" customWidth="1"/>
    <col min="8" max="8" width="7.5703125" customWidth="1"/>
    <col min="9" max="9" width="12.42578125" customWidth="1"/>
    <col min="10" max="10" width="7.5703125" customWidth="1"/>
    <col min="11" max="11" width="5.28515625" customWidth="1"/>
    <col min="12" max="12" width="7.5703125" customWidth="1"/>
    <col min="13" max="13" width="13" customWidth="1"/>
    <col min="14" max="14" width="4.42578125" customWidth="1"/>
    <col min="15" max="15" width="7.5703125" customWidth="1"/>
    <col min="16" max="16" width="5.28515625" customWidth="1"/>
    <col min="17" max="17" width="7.5703125" customWidth="1"/>
    <col min="18" max="18" width="13.85546875" customWidth="1"/>
    <col min="19" max="19" width="4.42578125" customWidth="1"/>
    <col min="20" max="20" width="7.5703125" customWidth="1"/>
    <col min="21" max="21" width="5.28515625" customWidth="1"/>
    <col min="22" max="22" width="7.5703125" customWidth="1"/>
    <col min="23" max="23" width="15.28515625" customWidth="1"/>
    <col min="24" max="24" width="4.42578125" customWidth="1"/>
    <col min="25" max="25" width="7.5703125" customWidth="1"/>
    <col min="26" max="26" width="5.140625" customWidth="1"/>
    <col min="27" max="27" width="13.85546875" customWidth="1"/>
    <col min="28" max="28" width="36.85546875" customWidth="1"/>
    <col min="29" max="29" width="11.42578125" hidden="1" customWidth="1"/>
    <col min="30" max="30" width="28" hidden="1" customWidth="1"/>
    <col min="31" max="31" width="10.42578125" hidden="1" customWidth="1"/>
    <col min="32" max="32" width="10" hidden="1" customWidth="1"/>
    <col min="33" max="33" width="10.140625" hidden="1" customWidth="1"/>
    <col min="34" max="35" width="8" hidden="1" customWidth="1"/>
    <col min="36" max="36" width="10.5703125" hidden="1" customWidth="1"/>
    <col min="37" max="38" width="7.5703125" hidden="1" customWidth="1"/>
    <col min="39" max="39" width="3.7109375" hidden="1" customWidth="1"/>
    <col min="40" max="40" width="6.42578125" hidden="1" customWidth="1"/>
    <col min="41" max="41" width="6.5703125" hidden="1" customWidth="1"/>
    <col min="42" max="44" width="5.42578125" hidden="1" customWidth="1"/>
    <col min="45" max="45" width="1.42578125" hidden="1" customWidth="1"/>
    <col min="46" max="51" width="5.85546875" hidden="1" customWidth="1"/>
    <col min="52" max="52" width="2.5703125" hidden="1" customWidth="1"/>
    <col min="53" max="57" width="5.85546875" hidden="1" customWidth="1"/>
    <col min="58" max="58" width="2.85546875" hidden="1" customWidth="1"/>
    <col min="59" max="62" width="9" hidden="1" customWidth="1"/>
    <col min="63" max="63" width="3" hidden="1" customWidth="1"/>
    <col min="64" max="66" width="6.42578125" hidden="1" customWidth="1"/>
    <col min="67" max="67" width="8.5703125" hidden="1" customWidth="1"/>
    <col min="68" max="68" width="11.5703125" hidden="1" customWidth="1"/>
    <col min="69" max="69" width="33.7109375" hidden="1" customWidth="1"/>
    <col min="70" max="71" width="11.42578125" hidden="1" customWidth="1"/>
    <col min="72" max="72" width="16.7109375" hidden="1" customWidth="1"/>
    <col min="73" max="73" width="68.5703125" customWidth="1"/>
    <col min="74" max="74" width="34.7109375" customWidth="1"/>
    <col min="75" max="75" width="20" customWidth="1"/>
    <col min="76" max="76" width="20.7109375" customWidth="1"/>
    <col min="77" max="77" width="20" customWidth="1"/>
    <col min="78" max="79" width="20.7109375" customWidth="1"/>
    <col min="80" max="83" width="11.42578125" customWidth="1"/>
    <col min="84" max="84" width="4.7109375" customWidth="1"/>
  </cols>
  <sheetData>
    <row r="1" spans="1:84" ht="32.25" customHeight="1">
      <c r="A1" s="2072" t="s">
        <v>1312</v>
      </c>
      <c r="B1" s="2073"/>
      <c r="C1" s="2073"/>
      <c r="D1" s="2073"/>
      <c r="E1" s="2073"/>
      <c r="F1" s="2073"/>
      <c r="G1" s="2073"/>
      <c r="H1" s="2073"/>
      <c r="I1" s="2073"/>
      <c r="J1" s="2073"/>
      <c r="K1" s="2073"/>
      <c r="L1" s="2073"/>
      <c r="M1" s="2073"/>
      <c r="N1" s="2073"/>
      <c r="O1" s="2073"/>
      <c r="P1" s="2074"/>
      <c r="Q1" s="2074"/>
      <c r="R1" s="2074"/>
      <c r="S1" s="2074"/>
      <c r="T1" s="2074"/>
      <c r="U1" s="2074"/>
      <c r="V1" s="2074"/>
      <c r="W1" s="2169" t="s">
        <v>891</v>
      </c>
      <c r="X1" s="2970" t="s">
        <v>867</v>
      </c>
      <c r="Y1" s="2971"/>
      <c r="Z1" s="2075"/>
      <c r="AA1" s="2076"/>
      <c r="AB1" s="2077"/>
      <c r="AC1" s="2078" t="s">
        <v>1313</v>
      </c>
      <c r="AD1" t="s">
        <v>1314</v>
      </c>
      <c r="AE1" s="2079"/>
      <c r="AG1" s="2080"/>
      <c r="AH1" s="2080"/>
      <c r="AI1" s="2080" t="s">
        <v>1315</v>
      </c>
      <c r="AJ1" s="2081" t="e">
        <f>AJ4/AJ2</f>
        <v>#DIV/0!</v>
      </c>
      <c r="BT1" s="2054"/>
      <c r="BU1" s="2923" t="s">
        <v>1316</v>
      </c>
      <c r="BV1" s="2924"/>
      <c r="CF1" s="2054"/>
    </row>
    <row r="2" spans="1:84" ht="26.25" customHeight="1">
      <c r="A2" s="2972" t="s">
        <v>2829</v>
      </c>
      <c r="B2" s="2973"/>
      <c r="C2" s="2974">
        <f>Betrieb!$D$4</f>
        <v>2025</v>
      </c>
      <c r="D2" s="2975"/>
      <c r="E2" s="2082"/>
      <c r="F2" s="2083" t="s">
        <v>2830</v>
      </c>
      <c r="G2" s="2976">
        <f>Betrieb!$B$4</f>
        <v>0</v>
      </c>
      <c r="H2" s="2977"/>
      <c r="I2" s="2977"/>
      <c r="J2" s="2977"/>
      <c r="K2" s="2977"/>
      <c r="L2" s="2977"/>
      <c r="M2" s="2978"/>
      <c r="N2" s="2084"/>
      <c r="O2" s="2085"/>
      <c r="P2" s="2086"/>
      <c r="Q2" s="2087" t="s">
        <v>1317</v>
      </c>
      <c r="R2" s="2979">
        <f>Betrieb!$B$3</f>
        <v>0</v>
      </c>
      <c r="S2" s="2980"/>
      <c r="T2" s="2981"/>
      <c r="U2" s="2088" t="str">
        <f>"der Aufzeichnungszeitraum reicht von 1.1 bis 31.12."&amp;C2</f>
        <v>der Aufzeichnungszeitraum reicht von 1.1 bis 31.12.2025</v>
      </c>
      <c r="V2" s="2089"/>
      <c r="W2" s="2089"/>
      <c r="X2" s="2090"/>
      <c r="Y2" s="2090"/>
      <c r="Z2" s="2090"/>
      <c r="AA2" s="2090"/>
      <c r="AB2" s="2090"/>
      <c r="AC2" s="2091" t="s">
        <v>1318</v>
      </c>
      <c r="AD2" t="s">
        <v>1319</v>
      </c>
      <c r="AI2" s="81" t="s">
        <v>1320</v>
      </c>
      <c r="AJ2" s="2092">
        <f>$I$3</f>
        <v>0</v>
      </c>
      <c r="BQ2" s="341"/>
      <c r="BT2" s="2054"/>
      <c r="BU2" s="2925" t="s">
        <v>1321</v>
      </c>
      <c r="BV2" s="2926"/>
      <c r="CF2" s="2054"/>
    </row>
    <row r="3" spans="1:84" ht="24" customHeight="1">
      <c r="A3" s="2093"/>
      <c r="B3" s="2093"/>
      <c r="C3" s="2093"/>
      <c r="D3" s="2093"/>
      <c r="E3" s="2093"/>
      <c r="F3" s="2093"/>
      <c r="G3" s="2094"/>
      <c r="H3" s="2083" t="s">
        <v>2831</v>
      </c>
      <c r="I3" s="2170">
        <f>Betrieb!$D$14</f>
        <v>0</v>
      </c>
      <c r="J3" s="2095"/>
      <c r="K3" s="2096" t="s">
        <v>1322</v>
      </c>
      <c r="L3" s="2054"/>
      <c r="M3" s="2054"/>
      <c r="N3" s="2054"/>
      <c r="O3" s="2054"/>
      <c r="P3" s="2097"/>
      <c r="Q3" s="2097"/>
      <c r="R3" s="2097"/>
      <c r="S3" s="2097"/>
      <c r="T3" s="2097"/>
      <c r="U3" s="2097"/>
      <c r="V3" s="2097"/>
      <c r="W3" s="2097"/>
      <c r="X3" s="2097"/>
      <c r="Y3" s="2097"/>
      <c r="Z3" s="2098"/>
      <c r="AA3" s="2098"/>
      <c r="AB3" s="2098"/>
      <c r="AD3" t="s">
        <v>1293</v>
      </c>
      <c r="AI3" s="81" t="s">
        <v>1323</v>
      </c>
      <c r="AJ3" s="2099">
        <f>SUM($C$9:$C$2019)</f>
        <v>0</v>
      </c>
      <c r="BQ3" s="341"/>
      <c r="BT3" s="2054"/>
      <c r="BU3" s="2925"/>
      <c r="BV3" s="2926"/>
      <c r="CF3" s="2054"/>
    </row>
    <row r="4" spans="1:84" ht="24" customHeight="1" thickBot="1">
      <c r="A4" s="2084"/>
      <c r="B4" s="2085"/>
      <c r="C4" s="2085"/>
      <c r="D4" s="2085"/>
      <c r="E4" s="2100"/>
      <c r="F4" s="2101"/>
      <c r="G4" s="2093"/>
      <c r="H4" s="2102" t="s">
        <v>2832</v>
      </c>
      <c r="I4" s="2103">
        <f>SUM($C$9:$C$219)</f>
        <v>0</v>
      </c>
      <c r="J4" s="2104"/>
      <c r="K4" s="2105" t="s">
        <v>1324</v>
      </c>
      <c r="L4" s="2101"/>
      <c r="M4" s="2101"/>
      <c r="N4" s="2101"/>
      <c r="O4" s="2101"/>
      <c r="P4" s="2101"/>
      <c r="Q4" s="2101"/>
      <c r="R4" s="2101"/>
      <c r="S4" s="2101"/>
      <c r="T4" s="2101"/>
      <c r="U4" s="2101"/>
      <c r="V4" s="2101"/>
      <c r="W4" s="2101"/>
      <c r="X4" s="2101"/>
      <c r="Y4" s="2101"/>
      <c r="Z4" s="2106"/>
      <c r="AA4" s="2106"/>
      <c r="AB4" s="2106"/>
      <c r="AG4" s="2107"/>
      <c r="AH4" s="2107"/>
      <c r="AI4" s="2108" t="s">
        <v>1325</v>
      </c>
      <c r="AJ4" s="2109">
        <f>SUM(AK9:AK219)</f>
        <v>0</v>
      </c>
      <c r="AK4" t="s">
        <v>895</v>
      </c>
      <c r="BQ4" s="341"/>
      <c r="BT4" s="2054"/>
      <c r="BU4" s="2925"/>
      <c r="BV4" s="2926"/>
      <c r="CF4" s="2054"/>
    </row>
    <row r="5" spans="1:84" ht="38.25" customHeight="1" thickBot="1">
      <c r="A5" s="2982" t="s">
        <v>1326</v>
      </c>
      <c r="B5" s="2986" t="s">
        <v>1327</v>
      </c>
      <c r="C5" s="2982" t="s">
        <v>1328</v>
      </c>
      <c r="D5" s="2990" t="s">
        <v>2833</v>
      </c>
      <c r="E5" s="2993" t="s">
        <v>1329</v>
      </c>
      <c r="F5" s="2996" t="s">
        <v>1330</v>
      </c>
      <c r="G5" s="2962" t="s">
        <v>1331</v>
      </c>
      <c r="H5" s="2959" t="s">
        <v>1332</v>
      </c>
      <c r="I5" s="2960"/>
      <c r="J5" s="2961"/>
      <c r="K5" s="2962" t="s">
        <v>1331</v>
      </c>
      <c r="L5" s="2959" t="s">
        <v>1333</v>
      </c>
      <c r="M5" s="2960"/>
      <c r="N5" s="2960"/>
      <c r="O5" s="2961"/>
      <c r="P5" s="2962" t="s">
        <v>1331</v>
      </c>
      <c r="Q5" s="2959" t="s">
        <v>1334</v>
      </c>
      <c r="R5" s="2960"/>
      <c r="S5" s="2960"/>
      <c r="T5" s="2961"/>
      <c r="U5" s="2962" t="s">
        <v>1331</v>
      </c>
      <c r="V5" s="2959" t="s">
        <v>1335</v>
      </c>
      <c r="W5" s="2960"/>
      <c r="X5" s="2960"/>
      <c r="Y5" s="2961"/>
      <c r="Z5" s="2962" t="s">
        <v>1331</v>
      </c>
      <c r="AA5" s="2964"/>
      <c r="AB5" s="2967" t="s">
        <v>1336</v>
      </c>
      <c r="AC5" s="2942" t="s">
        <v>1337</v>
      </c>
      <c r="AD5" s="2110" t="s">
        <v>1338</v>
      </c>
      <c r="AE5" s="2110" t="s">
        <v>1331</v>
      </c>
      <c r="AF5" s="2110" t="s">
        <v>1339</v>
      </c>
      <c r="AG5" s="2111" t="s">
        <v>1340</v>
      </c>
      <c r="AH5" s="2111" t="s">
        <v>1341</v>
      </c>
      <c r="AI5" s="2112" t="s">
        <v>1138</v>
      </c>
      <c r="AJ5" s="2113" t="s">
        <v>1342</v>
      </c>
      <c r="AK5" s="2945" t="s">
        <v>1237</v>
      </c>
      <c r="AL5" s="2946"/>
      <c r="AM5" s="2114"/>
      <c r="AN5" s="2947" t="s">
        <v>1343</v>
      </c>
      <c r="AO5" s="2948"/>
      <c r="AP5" s="2948"/>
      <c r="AQ5" s="2948"/>
      <c r="AR5" s="2949"/>
      <c r="AT5" s="2947" t="s">
        <v>1344</v>
      </c>
      <c r="AU5" s="2948"/>
      <c r="AV5" s="2948"/>
      <c r="AW5" s="2948"/>
      <c r="AX5" s="2956"/>
      <c r="AY5" s="2931" t="s">
        <v>1345</v>
      </c>
      <c r="AZ5" s="2057"/>
      <c r="BA5" s="2947" t="s">
        <v>1346</v>
      </c>
      <c r="BB5" s="2948"/>
      <c r="BC5" s="2948"/>
      <c r="BD5" s="2956"/>
      <c r="BE5" s="2931" t="s">
        <v>1292</v>
      </c>
      <c r="BG5" s="2934" t="s">
        <v>1347</v>
      </c>
      <c r="BH5" s="2935"/>
      <c r="BI5" s="2935"/>
      <c r="BJ5" s="2938" t="s">
        <v>1348</v>
      </c>
      <c r="BL5" s="2934" t="s">
        <v>2834</v>
      </c>
      <c r="BM5" s="2935"/>
      <c r="BN5" s="2935"/>
      <c r="BO5" s="2938" t="s">
        <v>1349</v>
      </c>
      <c r="BT5" s="2054"/>
      <c r="BU5" s="2927" t="s">
        <v>2837</v>
      </c>
      <c r="BV5" s="2928"/>
      <c r="CF5" s="2054"/>
    </row>
    <row r="6" spans="1:84" ht="19.7" customHeight="1">
      <c r="A6" s="2983"/>
      <c r="B6" s="2987"/>
      <c r="C6" s="2983"/>
      <c r="D6" s="2991"/>
      <c r="E6" s="2994"/>
      <c r="F6" s="2997"/>
      <c r="G6" s="2963"/>
      <c r="H6" s="2115" t="s">
        <v>1350</v>
      </c>
      <c r="I6" s="2116"/>
      <c r="J6" s="2117" t="s">
        <v>1351</v>
      </c>
      <c r="K6" s="2963"/>
      <c r="L6" s="2118"/>
      <c r="M6" s="2116" t="str">
        <f>"("&amp;$C2&amp;")"</f>
        <v>(2025)</v>
      </c>
      <c r="N6" s="2119"/>
      <c r="O6" s="2117" t="s">
        <v>1351</v>
      </c>
      <c r="P6" s="2963"/>
      <c r="Q6" s="2118"/>
      <c r="R6" s="2116" t="str">
        <f>"("&amp;$C2&amp;")"</f>
        <v>(2025)</v>
      </c>
      <c r="S6" s="2119"/>
      <c r="T6" s="2117" t="s">
        <v>1351</v>
      </c>
      <c r="U6" s="2963"/>
      <c r="V6" s="2118"/>
      <c r="W6" s="2116" t="str">
        <f>"("&amp;$C2&amp;")"</f>
        <v>(2025)</v>
      </c>
      <c r="X6" s="2119"/>
      <c r="Y6" s="2117" t="s">
        <v>1351</v>
      </c>
      <c r="Z6" s="2963"/>
      <c r="AA6" s="2965"/>
      <c r="AB6" s="2968"/>
      <c r="AC6" s="2943"/>
      <c r="AD6" s="2071"/>
      <c r="AE6" s="2110"/>
      <c r="AF6" s="2110"/>
      <c r="AG6" s="2111"/>
      <c r="AH6" s="2111"/>
      <c r="AI6" s="2120"/>
      <c r="AJ6" s="2113"/>
      <c r="AK6" s="2113"/>
      <c r="AL6" s="2071"/>
      <c r="AM6" s="263"/>
      <c r="AN6" s="2950"/>
      <c r="AO6" s="2951"/>
      <c r="AP6" s="2951"/>
      <c r="AQ6" s="2951"/>
      <c r="AR6" s="2952"/>
      <c r="AT6" s="2950"/>
      <c r="AU6" s="2951"/>
      <c r="AV6" s="2951"/>
      <c r="AW6" s="2951"/>
      <c r="AX6" s="2957"/>
      <c r="AY6" s="2932"/>
      <c r="AZ6" s="2057"/>
      <c r="BA6" s="2950"/>
      <c r="BB6" s="2951"/>
      <c r="BC6" s="2951"/>
      <c r="BD6" s="2957"/>
      <c r="BE6" s="2932"/>
      <c r="BG6" s="2936"/>
      <c r="BH6" s="2937"/>
      <c r="BI6" s="2937"/>
      <c r="BJ6" s="2939"/>
      <c r="BL6" s="2936"/>
      <c r="BM6" s="2937"/>
      <c r="BN6" s="2937"/>
      <c r="BO6" s="2939"/>
      <c r="BT6" s="2054"/>
      <c r="BU6" s="2925" t="s">
        <v>2838</v>
      </c>
      <c r="BV6" s="2926"/>
      <c r="CF6" s="2054"/>
    </row>
    <row r="7" spans="1:84" ht="19.7" customHeight="1" thickBot="1">
      <c r="A7" s="2984"/>
      <c r="B7" s="2988"/>
      <c r="C7" s="2985"/>
      <c r="D7" s="2991"/>
      <c r="E7" s="2994"/>
      <c r="F7" s="2997"/>
      <c r="G7" s="2963"/>
      <c r="H7" s="2121" t="s">
        <v>1352</v>
      </c>
      <c r="I7" s="2122"/>
      <c r="J7" s="2123" t="s">
        <v>1353</v>
      </c>
      <c r="K7" s="2963"/>
      <c r="L7" s="2124" t="s">
        <v>1352</v>
      </c>
      <c r="M7" s="2122"/>
      <c r="N7" s="2122"/>
      <c r="O7" s="2123" t="s">
        <v>1353</v>
      </c>
      <c r="P7" s="2963"/>
      <c r="Q7" s="2124" t="s">
        <v>1352</v>
      </c>
      <c r="R7" s="2122"/>
      <c r="S7" s="2122"/>
      <c r="T7" s="2123" t="s">
        <v>1353</v>
      </c>
      <c r="U7" s="2963"/>
      <c r="V7" s="2124" t="s">
        <v>1352</v>
      </c>
      <c r="W7" s="2122"/>
      <c r="X7" s="2122"/>
      <c r="Y7" s="2123" t="s">
        <v>1353</v>
      </c>
      <c r="Z7" s="2963"/>
      <c r="AA7" s="2966"/>
      <c r="AB7" s="2969"/>
      <c r="AC7" s="2944"/>
      <c r="AD7" s="2071"/>
      <c r="AE7" s="2110"/>
      <c r="AF7" s="2110"/>
      <c r="AG7" s="2111"/>
      <c r="AH7" s="2111"/>
      <c r="AI7" s="2120"/>
      <c r="AJ7" s="2113"/>
      <c r="AK7" s="2113"/>
      <c r="AL7" s="2071"/>
      <c r="AM7" s="263"/>
      <c r="AN7" s="2953"/>
      <c r="AO7" s="2954"/>
      <c r="AP7" s="2954"/>
      <c r="AQ7" s="2954"/>
      <c r="AR7" s="2955"/>
      <c r="AT7" s="2953"/>
      <c r="AU7" s="2954"/>
      <c r="AV7" s="2954"/>
      <c r="AW7" s="2954"/>
      <c r="AX7" s="2958"/>
      <c r="AY7" s="2933"/>
      <c r="AZ7" s="2057"/>
      <c r="BA7" s="2953"/>
      <c r="BB7" s="2954"/>
      <c r="BC7" s="2954"/>
      <c r="BD7" s="2958"/>
      <c r="BE7" s="2933"/>
      <c r="BG7" s="2936"/>
      <c r="BH7" s="2937"/>
      <c r="BI7" s="2937"/>
      <c r="BJ7" s="2939"/>
      <c r="BL7" s="2936"/>
      <c r="BM7" s="2937"/>
      <c r="BN7" s="2937"/>
      <c r="BO7" s="2939"/>
      <c r="BT7" s="2054"/>
      <c r="BU7" s="2925"/>
      <c r="BV7" s="2926"/>
      <c r="CF7" s="2054"/>
    </row>
    <row r="8" spans="1:84" ht="19.7" customHeight="1" thickBot="1">
      <c r="A8" s="2985"/>
      <c r="B8" s="2989"/>
      <c r="C8" s="2125" t="s">
        <v>895</v>
      </c>
      <c r="D8" s="2992"/>
      <c r="E8" s="2995"/>
      <c r="F8" s="2998"/>
      <c r="G8" s="2126" t="s">
        <v>1354</v>
      </c>
      <c r="H8" s="2127" t="s">
        <v>1300</v>
      </c>
      <c r="I8" s="2128" t="s">
        <v>1355</v>
      </c>
      <c r="J8" s="2129" t="s">
        <v>1300</v>
      </c>
      <c r="K8" s="2126" t="s">
        <v>1354</v>
      </c>
      <c r="L8" s="2130" t="s">
        <v>1300</v>
      </c>
      <c r="M8" s="2131" t="s">
        <v>1355</v>
      </c>
      <c r="N8" s="2132" t="s">
        <v>1356</v>
      </c>
      <c r="O8" s="2133" t="s">
        <v>1300</v>
      </c>
      <c r="P8" s="2126" t="s">
        <v>1354</v>
      </c>
      <c r="Q8" s="2134" t="s">
        <v>1300</v>
      </c>
      <c r="R8" s="2131" t="s">
        <v>1355</v>
      </c>
      <c r="S8" s="2132" t="s">
        <v>1356</v>
      </c>
      <c r="T8" s="2133" t="s">
        <v>1300</v>
      </c>
      <c r="U8" s="2126" t="s">
        <v>1354</v>
      </c>
      <c r="V8" s="2134" t="s">
        <v>1300</v>
      </c>
      <c r="W8" s="2131" t="s">
        <v>1355</v>
      </c>
      <c r="X8" s="2132" t="s">
        <v>1356</v>
      </c>
      <c r="Y8" s="2133" t="s">
        <v>1300</v>
      </c>
      <c r="Z8" s="2126" t="s">
        <v>1354</v>
      </c>
      <c r="AA8" s="2134" t="s">
        <v>1357</v>
      </c>
      <c r="AB8" s="2135" t="s">
        <v>2835</v>
      </c>
      <c r="AC8" s="2136">
        <f>IF($C2=2023,AC9,IF($C2=2024,(AC10+1),IF($C2=2025,AC11,IF($C2=2026,AC12,IF($C2=2027,AC13,IF($C2=2028,(AC14+1),0))))))</f>
        <v>45658</v>
      </c>
      <c r="AD8" s="2137"/>
      <c r="AE8" s="2110" t="s">
        <v>1358</v>
      </c>
      <c r="AF8" s="2110" t="s">
        <v>1359</v>
      </c>
      <c r="AG8" s="2069" t="s">
        <v>1360</v>
      </c>
      <c r="AH8" s="2069" t="s">
        <v>1361</v>
      </c>
      <c r="AI8" s="2138"/>
      <c r="AJ8" s="2110" t="s">
        <v>1362</v>
      </c>
      <c r="AK8" s="2940" t="s">
        <v>895</v>
      </c>
      <c r="AL8" s="2941"/>
      <c r="AM8" s="264"/>
      <c r="AN8" s="2139" t="s">
        <v>1363</v>
      </c>
      <c r="AO8" s="2140" t="s">
        <v>1364</v>
      </c>
      <c r="AP8" s="2140" t="s">
        <v>1365</v>
      </c>
      <c r="AQ8" s="2140" t="s">
        <v>1366</v>
      </c>
      <c r="AR8" s="2141" t="s">
        <v>1367</v>
      </c>
      <c r="AT8" s="2139" t="s">
        <v>1363</v>
      </c>
      <c r="AU8" s="2140" t="s">
        <v>1364</v>
      </c>
      <c r="AV8" s="2140" t="s">
        <v>1365</v>
      </c>
      <c r="AW8" s="2140" t="s">
        <v>1366</v>
      </c>
      <c r="AX8" s="2141" t="s">
        <v>1367</v>
      </c>
      <c r="AY8" s="2142" t="s">
        <v>1368</v>
      </c>
      <c r="AZ8" s="2056"/>
      <c r="BA8" s="2139" t="s">
        <v>1364</v>
      </c>
      <c r="BB8" s="2140" t="s">
        <v>1365</v>
      </c>
      <c r="BC8" s="2140" t="s">
        <v>1366</v>
      </c>
      <c r="BD8" s="2141" t="s">
        <v>1367</v>
      </c>
      <c r="BE8" s="2142" t="s">
        <v>1369</v>
      </c>
      <c r="BG8" s="2069" t="s">
        <v>1370</v>
      </c>
      <c r="BH8" s="2069" t="s">
        <v>1371</v>
      </c>
      <c r="BI8" s="2069" t="s">
        <v>1372</v>
      </c>
      <c r="BJ8" s="2069" t="s">
        <v>1368</v>
      </c>
      <c r="BL8" s="2143" t="s">
        <v>1373</v>
      </c>
      <c r="BM8" s="2143" t="s">
        <v>1374</v>
      </c>
      <c r="BN8" s="2143" t="s">
        <v>1375</v>
      </c>
      <c r="BO8" s="2144" t="s">
        <v>1138</v>
      </c>
      <c r="BQ8" s="2145" t="s">
        <v>887</v>
      </c>
      <c r="BT8" s="2054"/>
      <c r="BU8" s="2925"/>
      <c r="BV8" s="2926"/>
      <c r="CF8" s="2054"/>
    </row>
    <row r="9" spans="1:84" ht="45.75" customHeight="1" thickBot="1">
      <c r="A9" s="2146"/>
      <c r="B9" s="2146"/>
      <c r="C9" s="2146"/>
      <c r="D9" s="2147"/>
      <c r="E9" s="1573"/>
      <c r="F9" s="2148"/>
      <c r="G9" s="2149" t="str">
        <f>IF(AND(AN9&gt;0,E9="ja ZWF",F9=""),"",IF(AN9&gt;0,AN9,""))</f>
        <v/>
      </c>
      <c r="H9" s="2148"/>
      <c r="I9" s="2150"/>
      <c r="J9" s="2148"/>
      <c r="K9" s="2151">
        <f>AO9</f>
        <v>0</v>
      </c>
      <c r="L9" s="2148"/>
      <c r="M9" s="2150"/>
      <c r="N9" s="2152"/>
      <c r="O9" s="2148"/>
      <c r="P9" s="2151">
        <f>AP9</f>
        <v>0</v>
      </c>
      <c r="Q9" s="2148"/>
      <c r="R9" s="2150"/>
      <c r="S9" s="2152"/>
      <c r="T9" s="2153"/>
      <c r="U9" s="2154">
        <f t="shared" ref="U9:U118" si="0">AQ9</f>
        <v>0</v>
      </c>
      <c r="V9" s="2155"/>
      <c r="W9" s="2150"/>
      <c r="X9" s="2152"/>
      <c r="Y9" s="2153"/>
      <c r="Z9" s="1572">
        <f t="shared" ref="Z9:Z118" si="1">AR9</f>
        <v>0</v>
      </c>
      <c r="AA9" s="2168">
        <f>IF(AND($I$3=0,C9&lt;&gt;""),"Ackerfläche noch nicht angeführt",IF(ISBLANK(C9),0,IF(AJ9=0,"ja",IF(AI9&gt;0,CONCATENATE("nein - ",ROUND(AL9*100,1)," % ","nicht begrünt"),""))))</f>
        <v>0</v>
      </c>
      <c r="AB9" s="2156" t="str">
        <f t="shared" ref="AB9:AB118" si="2">AD9</f>
        <v/>
      </c>
      <c r="AC9" s="2157">
        <v>44927</v>
      </c>
      <c r="AD9" s="2158" t="str">
        <f>IF(AND($AE9=1,$N9="",$L9&gt;0,$AO9&lt;=50,$AT9&lt;&gt;1,$AV9&lt;&gt;1,$AW9&lt;&gt;1),$BQ$9,IF(AND($AE9=1,$S9="",$Q9&gt;0,$AP9&lt;=50,$N9="HF",$AT9&lt;&gt;1,$AU9&lt;&gt;1,$AW9&lt;&gt;1),$BQ$10,IF(AND($AE9=1,$X9="",$V9&gt;0,$AQ9&lt;=50,$S9="HF",$AT9&lt;&gt;1,$AU9&lt;&gt;1,$AV9&lt;&gt;1),$BQ$11,IF(AND($AF9=1,$AI9=1),$BQ$15,IF(AND($AE9=1,$AI9=1),$BQ$13,IF(AND($AG9=1,$AI9=1),$BQ$14,IF(AND($AH9=1,$AI9=1),$BQ$12,IF(AND($AE9=1,$AF9=1,$AI9=2),CONCATENATE($BQ$13," &amp; ",$BQ$15),IF(AND($AE9=1,$AG9=1,$AI9=2),CONCATENATE($BQ$13," &amp; ",$BQ$14),IF(AND($AE9=1,$AH9=1,$AI9=2),CONCATENATE($BQ$13," &amp; ",$BQ$12),IF(AND($AF9=1,$AG9=1,$AI9=2),CONCATENATE($BQ$15," &amp; ",$BQ$14),IF(AND($AF9=1,$AH9=1,$AI9=2),CONCATENATE($BQ$15," &amp; ",$BQ$12),IF(AND($AG9=1,$AH9=1,$AI9=2),CONCATENATE($BQ$14," &amp; ",$BQ$12),IF(AND($AE9=1,$AF9=1,$AG9=1,$AI9=3),CONCATENATE($BQ$13," &amp; ",$BQ$15," &amp; ",$BQ$14),IF(AND($AE9=1,$AG9=1,$AH9=1,$AI9=3),CONCATENATE($BQ$13," &amp; ",$BQ$14," &amp; ",$BQ$12),IF(AND($AF9=1,$AG9=1,$AH9=1,$AI9=3),CONCATENATE($BQ$15," &amp; ",$BQ$14," &amp; ",$BQ$12),IF(AND($AE9=1,$AF9=1,$AH9=1,$AI9=3),CONCATENATE($BQ$13," &amp; ",$BQ$15," &amp; ",$BQ$12),IF($AI9=4,"Fehler in Eingabe",""))))))))))))))))))</f>
        <v/>
      </c>
      <c r="AE9" s="2159">
        <f>IF($AY9&gt;0,1,0)</f>
        <v>0</v>
      </c>
      <c r="AF9" s="2159">
        <f>IF($BJ9&gt;0,1,0)</f>
        <v>0</v>
      </c>
      <c r="AG9" s="2159">
        <f>IF($BO9&gt;0,1,0)</f>
        <v>0</v>
      </c>
      <c r="AH9" s="2159">
        <f>IF($BE9=1,1,0)</f>
        <v>0</v>
      </c>
      <c r="AI9" s="2160">
        <f t="shared" ref="AI9:AI118" si="3">SUM(AE9:AH9)</f>
        <v>0</v>
      </c>
      <c r="AJ9" s="1966">
        <f>IF(OR(ISBLANK($I9),$AI9&gt;0),1,0)</f>
        <v>1</v>
      </c>
      <c r="AK9" s="2159">
        <f>IF($AJ9=1,$C9,0)</f>
        <v>0</v>
      </c>
      <c r="AL9" s="368" t="e">
        <f>$AK9/$AJ$2</f>
        <v>#DIV/0!</v>
      </c>
      <c r="AM9" s="264"/>
      <c r="AN9" s="369">
        <f>IF(AND(OR($C$2=2023,$C$2=2025,$C$2=2026,$C$2=2027),$E9="nein"),$H9-$AC$8,IF(AND(OR($C$2=2024,$C$2=2028),$E9="nein"),$H9+1-$AC$8,IF(AND($F9&gt;0,$E9="ja HF"),$H9-$F9,IF(AND($F9&gt;0,$E9="ja ZWF"),$H9-$F9,0))))</f>
        <v>0</v>
      </c>
      <c r="AO9" s="1966">
        <f>IF(ISBLANK($J9),0,IF(ISBLANK($L9),($AC$8+365)-$J9,$L9-$J9))</f>
        <v>0</v>
      </c>
      <c r="AP9" s="1966">
        <f>IF(ISBLANK($O9),0,IF(ISBLANK($Q9),($AC$8+365)-$O9,$Q9-$O9))</f>
        <v>0</v>
      </c>
      <c r="AQ9" s="1966">
        <f>IF(ISBLANK($T9),0,IF(ISBLANK($V9),($AC$8+365)-$T9,$V9-$T9))</f>
        <v>0</v>
      </c>
      <c r="AR9" s="370">
        <f>IF(ISBLANK($Y9),0,($AC$8+365)-$Y9)</f>
        <v>0</v>
      </c>
      <c r="AT9" s="371">
        <f t="shared" ref="AT9:AT118" si="4">IF(AND(E9="nein",AN9&gt;30),1,IF(AND(E9="ja ZWF",AN9&gt;30),1,IF(AND(E9="ja HF",AN9&gt;50),1,0)))</f>
        <v>0</v>
      </c>
      <c r="AU9" s="1966">
        <f>IF(AND(N9="",L9&gt;0,AO9&gt;30),1,IF(AND(N9="ZWF",AO9&gt;30,L9&gt;0),1,IF(AND(N9="HF",AO9&gt;50,L9&gt;0),1,0)))</f>
        <v>0</v>
      </c>
      <c r="AV9" s="2161">
        <f>IF(AND(S9="",Q9&gt;0,AP9&gt;30),1,IF(AND(S9="ZWF",AP9&gt;30,Q9&gt;0),1,IF(AND(N9="ZWF",AP9&gt;30,Q9&gt;0),1,IF(AND(S9="HF",N9="HF",AP9&gt;50,Q9&gt;0),1,0))))</f>
        <v>0</v>
      </c>
      <c r="AW9" s="2161">
        <f>IF(AND(X9="",V9&gt;0,AQ9&gt;30),1,IF(AND(X9="ZWF",AQ9&gt;30,V9&gt;0),1,IF(AND(S9="ZWF",AQ9&gt;30,V9&gt;0),1,IF(AND(X9="HF",S9="HF",AQ9&gt;50,V9&gt;0),1,0))))</f>
        <v>0</v>
      </c>
      <c r="AX9" s="1966">
        <f t="shared" ref="AX9:AX118" si="5">IF(AR9&lt;31,0,IF(AND(X9="ZWF",AR9&lt;31),0,IF(AND(X9="HF",AR9&lt;51),0,1)))</f>
        <v>0</v>
      </c>
      <c r="AY9" s="372">
        <f t="shared" ref="AY9:AY118" si="6">SUM(AT9:AX9)</f>
        <v>0</v>
      </c>
      <c r="AZ9" s="265"/>
      <c r="BA9" s="371">
        <f>IF(AND($J9&gt;0,$L9=0),1,0)</f>
        <v>0</v>
      </c>
      <c r="BB9" s="1966">
        <f>IF(AND($O9&gt;0,$Q9=0),1,0)</f>
        <v>0</v>
      </c>
      <c r="BC9" s="1966">
        <f>IF(AND($T9&gt;0,$V9=0),1,0)</f>
        <v>0</v>
      </c>
      <c r="BD9" s="1966">
        <f>IF($Y9&gt;0,1,0)</f>
        <v>0</v>
      </c>
      <c r="BE9" s="372">
        <f>SUM($BA9:$BD9)</f>
        <v>0</v>
      </c>
      <c r="BG9" s="2159">
        <f>IF(ISBLANK($O9),($AC$8+365)-$L9,$O9-$L9)</f>
        <v>46023</v>
      </c>
      <c r="BH9" s="2159">
        <f>IF(ISBLANK($T9),($AC$8+365)-$Q9,$T9-$Q9)</f>
        <v>46023</v>
      </c>
      <c r="BI9" s="2159">
        <f>IF(ISBLANK($Y9),($AC$8+365)-$V9,$Y9-$V9)</f>
        <v>46023</v>
      </c>
      <c r="BJ9" s="2159">
        <f>IF(AND($BG9&lt;43,$N9="ZWF"),1,IF(AND($BH9&lt;43,$S9="ZWF"),1,IF(AND($BI9&lt;43,$X9="ZWF"),1,0)))</f>
        <v>0</v>
      </c>
      <c r="BK9" s="266"/>
      <c r="BL9" s="369">
        <f>IF(AND($N9="ZWF",$L9&gt;($AC$8+287)),1,0)</f>
        <v>0</v>
      </c>
      <c r="BM9" s="2159">
        <f>IF(AND($S9="ZWF",$Q9&gt;($AC$8+287)),1,0)</f>
        <v>0</v>
      </c>
      <c r="BN9" s="2159">
        <f>IF(AND($X9="ZWF",$V9&gt;($AC$8+287)),1,0)</f>
        <v>0</v>
      </c>
      <c r="BO9" s="373">
        <f>SUM($BL9:$BN9)</f>
        <v>0</v>
      </c>
      <c r="BQ9" s="2162" t="s">
        <v>1585</v>
      </c>
      <c r="BR9">
        <v>9</v>
      </c>
      <c r="BT9" s="2167">
        <f>$AC$8</f>
        <v>45658</v>
      </c>
      <c r="BU9" s="2917" t="s">
        <v>2839</v>
      </c>
      <c r="BV9" s="2918"/>
      <c r="CF9" s="2054"/>
    </row>
    <row r="10" spans="1:84" ht="45.75" customHeight="1" thickBot="1">
      <c r="A10" s="2163"/>
      <c r="B10" s="2146"/>
      <c r="C10" s="2146"/>
      <c r="D10" s="2164"/>
      <c r="E10" s="1573"/>
      <c r="F10" s="2148"/>
      <c r="G10" s="2149" t="str">
        <f t="shared" ref="G10:G73" si="7">IF(AND(AN10&gt;0,E10="ja ZWF",F10=""),"",IF(AN10&gt;0,AN10,""))</f>
        <v/>
      </c>
      <c r="H10" s="2148"/>
      <c r="I10" s="2150"/>
      <c r="J10" s="2148"/>
      <c r="K10" s="2151">
        <f t="shared" ref="K10:K73" si="8">AO10</f>
        <v>0</v>
      </c>
      <c r="L10" s="2148"/>
      <c r="M10" s="2150"/>
      <c r="N10" s="2152"/>
      <c r="O10" s="2148"/>
      <c r="P10" s="2151">
        <f>AP10</f>
        <v>0</v>
      </c>
      <c r="Q10" s="2148"/>
      <c r="R10" s="2150"/>
      <c r="S10" s="2152"/>
      <c r="T10" s="2153"/>
      <c r="U10" s="2154">
        <f t="shared" si="0"/>
        <v>0</v>
      </c>
      <c r="V10" s="2155"/>
      <c r="W10" s="2150"/>
      <c r="X10" s="2152"/>
      <c r="Y10" s="2153"/>
      <c r="Z10" s="1572">
        <f t="shared" si="1"/>
        <v>0</v>
      </c>
      <c r="AA10" s="2168">
        <f t="shared" ref="AA10:AA73" si="9">IF(AND($I$3=0,C10&lt;&gt;""),"Ackerfläche noch nicht angeführt",IF(ISBLANK(C10),0,IF(AJ10=0,"ja",IF(AI10&gt;0,CONCATENATE("nein - ",ROUND(AL10*100,1)," % ","nicht begrünt"),""))))</f>
        <v>0</v>
      </c>
      <c r="AB10" s="2156" t="str">
        <f t="shared" si="2"/>
        <v/>
      </c>
      <c r="AC10" s="2157">
        <v>45292</v>
      </c>
      <c r="AD10" s="2158" t="str">
        <f t="shared" ref="AD10:AD73" si="10">IF(AND($AE10=1,$N10="",$L10&gt;0,$AO10&lt;=50,$AT10&lt;&gt;1,$AV10&lt;&gt;1,$AW10&lt;&gt;1),$BQ$9,IF(AND($AE10=1,$S10="",$Q10&gt;0,$AP10&lt;=50,$N10="HF",$AT10&lt;&gt;1,$AU10&lt;&gt;1,$AW10&lt;&gt;1),$BQ$10,IF(AND($AE10=1,$X10="",$V10&gt;0,$AQ10&lt;=50,$S10="HF",$AT10&lt;&gt;1,$AU10&lt;&gt;1,$AV10&lt;&gt;1),$BQ$11,IF(AND($AF10=1,$AI10=1),$BQ$15,IF(AND($AE10=1,$AI10=1),$BQ$13,IF(AND($AG10=1,$AI10=1),$BQ$14,IF(AND($AH10=1,$AI10=1),$BQ$12,IF(AND($AE10=1,$AF10=1,$AI10=2),CONCATENATE($BQ$13," &amp; ",$BQ$15),IF(AND($AE10=1,$AG10=1,$AI10=2),CONCATENATE($BQ$13," &amp; ",$BQ$14),IF(AND($AE10=1,$AH10=1,$AI10=2),CONCATENATE($BQ$13," &amp; ",$BQ$12),IF(AND($AF10=1,$AG10=1,$AI10=2),CONCATENATE($BQ$15," &amp; ",$BQ$14),IF(AND($AF10=1,$AH10=1,$AI10=2),CONCATENATE($BQ$15," &amp; ",$BQ$12),IF(AND($AG10=1,$AH10=1,$AI10=2),CONCATENATE($BQ$14," &amp; ",$BQ$12),IF(AND($AE10=1,$AF10=1,$AG10=1,$AI10=3),CONCATENATE($BQ$13," &amp; ",$BQ$15," &amp; ",$BQ$14),IF(AND($AE10=1,$AG10=1,$AH10=1,$AI10=3),CONCATENATE($BQ$13," &amp; ",$BQ$14," &amp; ",$BQ$12),IF(AND($AF10=1,$AG10=1,$AH10=1,$AI10=3),CONCATENATE($BQ$15," &amp; ",$BQ$14," &amp; ",$BQ$12),IF(AND($AE10=1,$AF10=1,$AH10=1,$AI10=3),CONCATENATE($BQ$13," &amp; ",$BQ$15," &amp; ",$BQ$12),IF($AI10=4,"Fehler in Eingabe",""))))))))))))))))))</f>
        <v/>
      </c>
      <c r="AE10" s="2159">
        <f t="shared" ref="AE10:AE73" si="11">IF($AY10&gt;0,1,0)</f>
        <v>0</v>
      </c>
      <c r="AF10" s="2159">
        <f t="shared" ref="AF10:AF73" si="12">IF($BJ10&gt;0,1,0)</f>
        <v>0</v>
      </c>
      <c r="AG10" s="2159">
        <f t="shared" ref="AG10:AG73" si="13">IF($BO10&gt;0,1,0)</f>
        <v>0</v>
      </c>
      <c r="AH10" s="2159">
        <f t="shared" ref="AH10:AH73" si="14">IF($BE10=1,1,0)</f>
        <v>0</v>
      </c>
      <c r="AI10" s="2160">
        <f t="shared" si="3"/>
        <v>0</v>
      </c>
      <c r="AJ10" s="1966">
        <f t="shared" ref="AJ10:AJ73" si="15">IF(OR(ISBLANK($I10),$AI10&gt;0),1,0)</f>
        <v>1</v>
      </c>
      <c r="AK10" s="2159">
        <f t="shared" ref="AK10:AK73" si="16">IF($AJ10=1,$C10,0)</f>
        <v>0</v>
      </c>
      <c r="AL10" s="368" t="e">
        <f t="shared" ref="AL10:AL73" si="17">$AK10/$AJ$2</f>
        <v>#DIV/0!</v>
      </c>
      <c r="AM10" s="264"/>
      <c r="AN10" s="369">
        <f t="shared" ref="AN10:AN73" si="18">IF(AND(OR($C$2=2023,$C$2=2025,$C$2=2026,$C$2=2027),$E10="nein"),$H10-$AC$8,IF(AND(OR($C$2=2024,$C$2=2028),$E10="nein"),$H10+1-$AC$8,IF(AND($F10&gt;0,$E10="ja HF"),$H10-$F10,IF(AND($F10&gt;0,$E10="ja ZWF"),$H10-$F10,0))))</f>
        <v>0</v>
      </c>
      <c r="AO10" s="1966">
        <f t="shared" ref="AO10:AO118" si="19">IF(ISBLANK(J10),0,IF(ISBLANK(L10),($AC$8+365)-J10,L10-J10))</f>
        <v>0</v>
      </c>
      <c r="AP10" s="1966">
        <f t="shared" ref="AP10:AP118" si="20">IF(ISBLANK(O10),0,IF(ISBLANK(Q10),($AC$8+365)-O10,Q10-O10))</f>
        <v>0</v>
      </c>
      <c r="AQ10" s="1966">
        <f t="shared" ref="AQ10:AQ118" si="21">IF(ISBLANK(T10),0,IF(ISBLANK(V10),($AC$8+365)-T10,V10-T10))</f>
        <v>0</v>
      </c>
      <c r="AR10" s="370">
        <f t="shared" ref="AR10:AR73" si="22">IF(ISBLANK(Y10),0,($AC$8+365)-Y10)</f>
        <v>0</v>
      </c>
      <c r="AT10" s="371">
        <f t="shared" si="4"/>
        <v>0</v>
      </c>
      <c r="AU10" s="1966">
        <f t="shared" ref="AU10:AU73" si="23">IF(AND(N10="",L10&gt;0,AO10&gt;30),1,IF(AND(N10="ZWF",AO10&gt;30,L10&gt;0),1,IF(AND(N10="HF",AO10&gt;50,L10&gt;0),1,0)))</f>
        <v>0</v>
      </c>
      <c r="AV10" s="2161">
        <f t="shared" ref="AV10:AV73" si="24">IF(AND(S10="",Q10&gt;0,AP10&gt;30),1,IF(AND(S10="ZWF",AP10&gt;30,Q10&gt;0),1,IF(AND(N10="ZWF",AP10&gt;30,Q10&gt;0),1,IF(AND(S10="HF",N10="HF",AP10&gt;50,Q10&gt;0),1,0))))</f>
        <v>0</v>
      </c>
      <c r="AW10" s="2161">
        <f t="shared" ref="AW10:AW73" si="25">IF(AND(X10="",V10&gt;0,AQ10&gt;30),1,IF(AND(X10="ZWF",AQ10&gt;30,V10&gt;0),1,IF(AND(S10="ZWF",AQ10&gt;30,V10&gt;0),1,IF(AND(X10="HF",S10="HF",AQ10&gt;50,V10&gt;0),1,0))))</f>
        <v>0</v>
      </c>
      <c r="AX10" s="1966">
        <f t="shared" si="5"/>
        <v>0</v>
      </c>
      <c r="AY10" s="372">
        <f t="shared" si="6"/>
        <v>0</v>
      </c>
      <c r="AZ10" s="265"/>
      <c r="BA10" s="371">
        <f t="shared" ref="BA10:BA73" si="26">IF(AND($J10&gt;0,$L10=0),1,0)</f>
        <v>0</v>
      </c>
      <c r="BB10" s="1966">
        <f t="shared" ref="BB10:BB73" si="27">IF(AND($O10&gt;0,$Q10=0),1,0)</f>
        <v>0</v>
      </c>
      <c r="BC10" s="1966">
        <f t="shared" ref="BC10:BC73" si="28">IF(AND($T10&gt;0,$V10=0),1,0)</f>
        <v>0</v>
      </c>
      <c r="BD10" s="1966">
        <f t="shared" ref="BD10:BD73" si="29">IF($Y10&gt;0,1,0)</f>
        <v>0</v>
      </c>
      <c r="BE10" s="372">
        <f t="shared" ref="BE10:BE73" si="30">SUM($BA10:$BD10)</f>
        <v>0</v>
      </c>
      <c r="BG10" s="2159">
        <f t="shared" ref="BG10:BG73" si="31">IF(ISBLANK($O10),($AC$8+365)-$L10,$O10-$L10)</f>
        <v>46023</v>
      </c>
      <c r="BH10" s="2159">
        <f t="shared" ref="BH10:BH73" si="32">IF(ISBLANK($T10),($AC$8+365)-$Q10,$T10-$Q10)</f>
        <v>46023</v>
      </c>
      <c r="BI10" s="2159">
        <f t="shared" ref="BI10:BI73" si="33">IF(ISBLANK($Y10),($AC$8+365)-$V10,$Y10-$V10)</f>
        <v>46023</v>
      </c>
      <c r="BJ10" s="2159">
        <f t="shared" ref="BJ10:BJ73" si="34">IF(AND($BG10&lt;43,$N10="ZWF"),1,IF(AND($BH10&lt;43,$S10="ZWF"),1,IF(AND($BI10&lt;43,$X10="ZWF"),1,0)))</f>
        <v>0</v>
      </c>
      <c r="BL10" s="369">
        <f t="shared" ref="BL10:BL73" si="35">IF(AND($N10="ZWF",$L10&gt;($AC$8+287)),1,0)</f>
        <v>0</v>
      </c>
      <c r="BM10" s="2159">
        <f t="shared" ref="BM10:BM73" si="36">IF(AND($S10="ZWF",$Q10&gt;($AC$8+287)),1,0)</f>
        <v>0</v>
      </c>
      <c r="BN10" s="2159">
        <f t="shared" ref="BN10:BN73" si="37">IF(AND($X10="ZWF",$V10&gt;($AC$8+287)),1,0)</f>
        <v>0</v>
      </c>
      <c r="BO10" s="373">
        <f t="shared" ref="BO10:BO73" si="38">SUM($BL10:$BN10)</f>
        <v>0</v>
      </c>
      <c r="BQ10" s="2162" t="s">
        <v>1586</v>
      </c>
      <c r="BR10">
        <v>10</v>
      </c>
      <c r="BT10" s="2054"/>
      <c r="BU10" s="2929"/>
      <c r="BV10" s="2930"/>
      <c r="CF10" s="2054"/>
    </row>
    <row r="11" spans="1:84" ht="45.75" customHeight="1" thickBot="1">
      <c r="A11" s="2163"/>
      <c r="B11" s="2146"/>
      <c r="C11" s="2146"/>
      <c r="D11" s="2164"/>
      <c r="E11" s="1573"/>
      <c r="F11" s="2148"/>
      <c r="G11" s="2149" t="str">
        <f t="shared" si="7"/>
        <v/>
      </c>
      <c r="H11" s="2148"/>
      <c r="I11" s="2150"/>
      <c r="J11" s="2148"/>
      <c r="K11" s="2151">
        <f t="shared" si="8"/>
        <v>0</v>
      </c>
      <c r="L11" s="2148"/>
      <c r="M11" s="2150"/>
      <c r="N11" s="2152"/>
      <c r="O11" s="2148"/>
      <c r="P11" s="2151">
        <f t="shared" ref="P11:P74" si="39">AP11</f>
        <v>0</v>
      </c>
      <c r="Q11" s="2148"/>
      <c r="R11" s="2150"/>
      <c r="S11" s="2152"/>
      <c r="T11" s="2153"/>
      <c r="U11" s="2154">
        <f t="shared" si="0"/>
        <v>0</v>
      </c>
      <c r="V11" s="2155"/>
      <c r="W11" s="2150"/>
      <c r="X11" s="2152"/>
      <c r="Y11" s="2153"/>
      <c r="Z11" s="1572">
        <f t="shared" si="1"/>
        <v>0</v>
      </c>
      <c r="AA11" s="2168">
        <f t="shared" si="9"/>
        <v>0</v>
      </c>
      <c r="AB11" s="2156" t="str">
        <f t="shared" si="2"/>
        <v/>
      </c>
      <c r="AC11" s="2157">
        <v>45658</v>
      </c>
      <c r="AD11" s="2158" t="str">
        <f t="shared" si="10"/>
        <v/>
      </c>
      <c r="AE11" s="2159">
        <f t="shared" si="11"/>
        <v>0</v>
      </c>
      <c r="AF11" s="2159">
        <f t="shared" si="12"/>
        <v>0</v>
      </c>
      <c r="AG11" s="2159">
        <f t="shared" si="13"/>
        <v>0</v>
      </c>
      <c r="AH11" s="2159">
        <f t="shared" si="14"/>
        <v>0</v>
      </c>
      <c r="AI11" s="2160">
        <f t="shared" si="3"/>
        <v>0</v>
      </c>
      <c r="AJ11" s="1966">
        <f t="shared" si="15"/>
        <v>1</v>
      </c>
      <c r="AK11" s="2159">
        <f t="shared" si="16"/>
        <v>0</v>
      </c>
      <c r="AL11" s="368" t="e">
        <f t="shared" si="17"/>
        <v>#DIV/0!</v>
      </c>
      <c r="AM11" s="264"/>
      <c r="AN11" s="369">
        <f t="shared" si="18"/>
        <v>0</v>
      </c>
      <c r="AO11" s="1966">
        <f t="shared" si="19"/>
        <v>0</v>
      </c>
      <c r="AP11" s="1966">
        <f t="shared" si="20"/>
        <v>0</v>
      </c>
      <c r="AQ11" s="1966">
        <f t="shared" si="21"/>
        <v>0</v>
      </c>
      <c r="AR11" s="370">
        <f t="shared" si="22"/>
        <v>0</v>
      </c>
      <c r="AT11" s="371">
        <f t="shared" si="4"/>
        <v>0</v>
      </c>
      <c r="AU11" s="1966">
        <f t="shared" si="23"/>
        <v>0</v>
      </c>
      <c r="AV11" s="2161">
        <f t="shared" si="24"/>
        <v>0</v>
      </c>
      <c r="AW11" s="2161">
        <f t="shared" si="25"/>
        <v>0</v>
      </c>
      <c r="AX11" s="1966">
        <f t="shared" si="5"/>
        <v>0</v>
      </c>
      <c r="AY11" s="372">
        <f t="shared" si="6"/>
        <v>0</v>
      </c>
      <c r="AZ11" s="265"/>
      <c r="BA11" s="371">
        <f t="shared" si="26"/>
        <v>0</v>
      </c>
      <c r="BB11" s="1966">
        <f t="shared" si="27"/>
        <v>0</v>
      </c>
      <c r="BC11" s="1966">
        <f t="shared" si="28"/>
        <v>0</v>
      </c>
      <c r="BD11" s="1966">
        <f t="shared" si="29"/>
        <v>0</v>
      </c>
      <c r="BE11" s="372">
        <f t="shared" si="30"/>
        <v>0</v>
      </c>
      <c r="BG11" s="2159">
        <f t="shared" si="31"/>
        <v>46023</v>
      </c>
      <c r="BH11" s="2159">
        <f t="shared" si="32"/>
        <v>46023</v>
      </c>
      <c r="BI11" s="2159">
        <f t="shared" si="33"/>
        <v>46023</v>
      </c>
      <c r="BJ11" s="2159">
        <f t="shared" si="34"/>
        <v>0</v>
      </c>
      <c r="BL11" s="369">
        <f t="shared" si="35"/>
        <v>0</v>
      </c>
      <c r="BM11" s="2159">
        <f t="shared" si="36"/>
        <v>0</v>
      </c>
      <c r="BN11" s="2159">
        <f t="shared" si="37"/>
        <v>0</v>
      </c>
      <c r="BO11" s="373">
        <f t="shared" si="38"/>
        <v>0</v>
      </c>
      <c r="BQ11" s="2162" t="s">
        <v>1587</v>
      </c>
      <c r="BR11">
        <v>11</v>
      </c>
      <c r="BT11" s="2054"/>
      <c r="BU11" s="2925" t="s">
        <v>2840</v>
      </c>
      <c r="BV11" s="2926"/>
      <c r="CF11" s="2054"/>
    </row>
    <row r="12" spans="1:84" ht="45.75" customHeight="1" thickBot="1">
      <c r="A12" s="2163"/>
      <c r="B12" s="2146"/>
      <c r="C12" s="2146"/>
      <c r="D12" s="2164"/>
      <c r="E12" s="1573"/>
      <c r="F12" s="2148"/>
      <c r="G12" s="2149" t="str">
        <f t="shared" si="7"/>
        <v/>
      </c>
      <c r="H12" s="2148"/>
      <c r="I12" s="2150"/>
      <c r="J12" s="2148"/>
      <c r="K12" s="2151">
        <f t="shared" si="8"/>
        <v>0</v>
      </c>
      <c r="L12" s="2148"/>
      <c r="M12" s="2150"/>
      <c r="N12" s="2152"/>
      <c r="O12" s="2148"/>
      <c r="P12" s="2151">
        <f t="shared" si="39"/>
        <v>0</v>
      </c>
      <c r="Q12" s="2148"/>
      <c r="R12" s="2150"/>
      <c r="S12" s="2152"/>
      <c r="T12" s="2153"/>
      <c r="U12" s="2154">
        <f t="shared" si="0"/>
        <v>0</v>
      </c>
      <c r="V12" s="2155"/>
      <c r="W12" s="2150"/>
      <c r="X12" s="2152"/>
      <c r="Y12" s="2153"/>
      <c r="Z12" s="1572">
        <f t="shared" si="1"/>
        <v>0</v>
      </c>
      <c r="AA12" s="2168">
        <f t="shared" si="9"/>
        <v>0</v>
      </c>
      <c r="AB12" s="2156" t="str">
        <f t="shared" si="2"/>
        <v/>
      </c>
      <c r="AC12" s="2157">
        <v>46023</v>
      </c>
      <c r="AD12" s="2158" t="str">
        <f t="shared" si="10"/>
        <v/>
      </c>
      <c r="AE12" s="2159">
        <f t="shared" si="11"/>
        <v>0</v>
      </c>
      <c r="AF12" s="2159">
        <f t="shared" si="12"/>
        <v>0</v>
      </c>
      <c r="AG12" s="2159">
        <f t="shared" si="13"/>
        <v>0</v>
      </c>
      <c r="AH12" s="2159">
        <f t="shared" si="14"/>
        <v>0</v>
      </c>
      <c r="AI12" s="2160">
        <f t="shared" si="3"/>
        <v>0</v>
      </c>
      <c r="AJ12" s="1966">
        <f t="shared" si="15"/>
        <v>1</v>
      </c>
      <c r="AK12" s="2159">
        <f t="shared" si="16"/>
        <v>0</v>
      </c>
      <c r="AL12" s="368" t="e">
        <f t="shared" si="17"/>
        <v>#DIV/0!</v>
      </c>
      <c r="AM12" s="264"/>
      <c r="AN12" s="369">
        <f t="shared" si="18"/>
        <v>0</v>
      </c>
      <c r="AO12" s="1966">
        <f t="shared" si="19"/>
        <v>0</v>
      </c>
      <c r="AP12" s="1966">
        <f t="shared" si="20"/>
        <v>0</v>
      </c>
      <c r="AQ12" s="1966">
        <f t="shared" si="21"/>
        <v>0</v>
      </c>
      <c r="AR12" s="370">
        <f t="shared" si="22"/>
        <v>0</v>
      </c>
      <c r="AT12" s="371">
        <f t="shared" si="4"/>
        <v>0</v>
      </c>
      <c r="AU12" s="1966">
        <f t="shared" si="23"/>
        <v>0</v>
      </c>
      <c r="AV12" s="2161">
        <f t="shared" si="24"/>
        <v>0</v>
      </c>
      <c r="AW12" s="2161">
        <f t="shared" si="25"/>
        <v>0</v>
      </c>
      <c r="AX12" s="1966">
        <f t="shared" si="5"/>
        <v>0</v>
      </c>
      <c r="AY12" s="372">
        <f t="shared" si="6"/>
        <v>0</v>
      </c>
      <c r="AZ12" s="265"/>
      <c r="BA12" s="371">
        <f t="shared" si="26"/>
        <v>0</v>
      </c>
      <c r="BB12" s="1966">
        <f t="shared" si="27"/>
        <v>0</v>
      </c>
      <c r="BC12" s="1966">
        <f t="shared" si="28"/>
        <v>0</v>
      </c>
      <c r="BD12" s="1966">
        <f t="shared" si="29"/>
        <v>0</v>
      </c>
      <c r="BE12" s="372">
        <f t="shared" si="30"/>
        <v>0</v>
      </c>
      <c r="BG12" s="2159">
        <f t="shared" si="31"/>
        <v>46023</v>
      </c>
      <c r="BH12" s="2159">
        <f t="shared" si="32"/>
        <v>46023</v>
      </c>
      <c r="BI12" s="2159">
        <f t="shared" si="33"/>
        <v>46023</v>
      </c>
      <c r="BJ12" s="2159">
        <f t="shared" si="34"/>
        <v>0</v>
      </c>
      <c r="BL12" s="369">
        <f t="shared" si="35"/>
        <v>0</v>
      </c>
      <c r="BM12" s="2159">
        <f t="shared" si="36"/>
        <v>0</v>
      </c>
      <c r="BN12" s="2159">
        <f t="shared" si="37"/>
        <v>0</v>
      </c>
      <c r="BO12" s="373">
        <f t="shared" si="38"/>
        <v>0</v>
      </c>
      <c r="BQ12" s="2165" t="s">
        <v>1588</v>
      </c>
      <c r="BR12">
        <v>12</v>
      </c>
      <c r="BT12" s="2054"/>
      <c r="BU12" s="2925"/>
      <c r="BV12" s="2926"/>
      <c r="CF12" s="2054"/>
    </row>
    <row r="13" spans="1:84" ht="45.75" customHeight="1" thickBot="1">
      <c r="A13" s="2163"/>
      <c r="B13" s="2146"/>
      <c r="C13" s="2146"/>
      <c r="D13" s="2164"/>
      <c r="E13" s="1573"/>
      <c r="F13" s="2148"/>
      <c r="G13" s="2149" t="str">
        <f t="shared" si="7"/>
        <v/>
      </c>
      <c r="H13" s="2148"/>
      <c r="I13" s="2150"/>
      <c r="J13" s="2148"/>
      <c r="K13" s="2151">
        <f t="shared" si="8"/>
        <v>0</v>
      </c>
      <c r="L13" s="2148"/>
      <c r="M13" s="2150"/>
      <c r="N13" s="2152"/>
      <c r="O13" s="2148"/>
      <c r="P13" s="2151">
        <f t="shared" si="39"/>
        <v>0</v>
      </c>
      <c r="Q13" s="2148"/>
      <c r="R13" s="2150"/>
      <c r="S13" s="2152"/>
      <c r="T13" s="2153"/>
      <c r="U13" s="2154">
        <f t="shared" si="0"/>
        <v>0</v>
      </c>
      <c r="V13" s="2155"/>
      <c r="W13" s="2150"/>
      <c r="X13" s="2152"/>
      <c r="Y13" s="2153"/>
      <c r="Z13" s="1572">
        <f t="shared" si="1"/>
        <v>0</v>
      </c>
      <c r="AA13" s="2168">
        <f t="shared" si="9"/>
        <v>0</v>
      </c>
      <c r="AB13" s="2156" t="str">
        <f t="shared" si="2"/>
        <v/>
      </c>
      <c r="AC13" s="2157">
        <v>46388</v>
      </c>
      <c r="AD13" s="2158" t="str">
        <f t="shared" si="10"/>
        <v/>
      </c>
      <c r="AE13" s="2159">
        <f t="shared" si="11"/>
        <v>0</v>
      </c>
      <c r="AF13" s="2159">
        <f t="shared" si="12"/>
        <v>0</v>
      </c>
      <c r="AG13" s="2159">
        <f t="shared" si="13"/>
        <v>0</v>
      </c>
      <c r="AH13" s="2159">
        <f t="shared" si="14"/>
        <v>0</v>
      </c>
      <c r="AI13" s="2160">
        <f t="shared" si="3"/>
        <v>0</v>
      </c>
      <c r="AJ13" s="1966">
        <f t="shared" si="15"/>
        <v>1</v>
      </c>
      <c r="AK13" s="2159">
        <f t="shared" si="16"/>
        <v>0</v>
      </c>
      <c r="AL13" s="368" t="e">
        <f t="shared" si="17"/>
        <v>#DIV/0!</v>
      </c>
      <c r="AM13" s="264"/>
      <c r="AN13" s="369">
        <f t="shared" si="18"/>
        <v>0</v>
      </c>
      <c r="AO13" s="1966">
        <f t="shared" si="19"/>
        <v>0</v>
      </c>
      <c r="AP13" s="1966">
        <f t="shared" si="20"/>
        <v>0</v>
      </c>
      <c r="AQ13" s="1966">
        <f t="shared" si="21"/>
        <v>0</v>
      </c>
      <c r="AR13" s="370">
        <f t="shared" si="22"/>
        <v>0</v>
      </c>
      <c r="AT13" s="371">
        <f t="shared" si="4"/>
        <v>0</v>
      </c>
      <c r="AU13" s="1966">
        <f t="shared" si="23"/>
        <v>0</v>
      </c>
      <c r="AV13" s="2161">
        <f t="shared" si="24"/>
        <v>0</v>
      </c>
      <c r="AW13" s="2161">
        <f t="shared" si="25"/>
        <v>0</v>
      </c>
      <c r="AX13" s="1966">
        <f t="shared" si="5"/>
        <v>0</v>
      </c>
      <c r="AY13" s="372">
        <f t="shared" si="6"/>
        <v>0</v>
      </c>
      <c r="AZ13" s="265"/>
      <c r="BA13" s="371">
        <f t="shared" si="26"/>
        <v>0</v>
      </c>
      <c r="BB13" s="1966">
        <f t="shared" si="27"/>
        <v>0</v>
      </c>
      <c r="BC13" s="1966">
        <f t="shared" si="28"/>
        <v>0</v>
      </c>
      <c r="BD13" s="1966">
        <f t="shared" si="29"/>
        <v>0</v>
      </c>
      <c r="BE13" s="372">
        <f t="shared" si="30"/>
        <v>0</v>
      </c>
      <c r="BG13" s="2159">
        <f t="shared" si="31"/>
        <v>46023</v>
      </c>
      <c r="BH13" s="2159">
        <f t="shared" si="32"/>
        <v>46023</v>
      </c>
      <c r="BI13" s="2159">
        <f t="shared" si="33"/>
        <v>46023</v>
      </c>
      <c r="BJ13" s="2159">
        <f t="shared" si="34"/>
        <v>0</v>
      </c>
      <c r="BL13" s="369">
        <f t="shared" si="35"/>
        <v>0</v>
      </c>
      <c r="BM13" s="2159">
        <f t="shared" si="36"/>
        <v>0</v>
      </c>
      <c r="BN13" s="2159">
        <f t="shared" si="37"/>
        <v>0</v>
      </c>
      <c r="BO13" s="373">
        <f t="shared" si="38"/>
        <v>0</v>
      </c>
      <c r="BQ13" s="2165" t="s">
        <v>1589</v>
      </c>
      <c r="BR13">
        <v>13</v>
      </c>
      <c r="BT13" s="2054"/>
      <c r="BU13" s="2917" t="s">
        <v>2842</v>
      </c>
      <c r="BV13" s="2918"/>
      <c r="CF13" s="2054"/>
    </row>
    <row r="14" spans="1:84" ht="45.75" customHeight="1" thickBot="1">
      <c r="A14" s="2163"/>
      <c r="B14" s="2146"/>
      <c r="C14" s="2146"/>
      <c r="D14" s="2164"/>
      <c r="E14" s="1573"/>
      <c r="F14" s="2148"/>
      <c r="G14" s="2149" t="str">
        <f t="shared" si="7"/>
        <v/>
      </c>
      <c r="H14" s="2148"/>
      <c r="I14" s="2150"/>
      <c r="J14" s="2148"/>
      <c r="K14" s="2151">
        <f t="shared" si="8"/>
        <v>0</v>
      </c>
      <c r="L14" s="2148"/>
      <c r="M14" s="2150"/>
      <c r="N14" s="2152"/>
      <c r="O14" s="2148"/>
      <c r="P14" s="2151">
        <f t="shared" si="39"/>
        <v>0</v>
      </c>
      <c r="Q14" s="2148"/>
      <c r="R14" s="2150"/>
      <c r="S14" s="2152"/>
      <c r="T14" s="2153"/>
      <c r="U14" s="2154">
        <f t="shared" si="0"/>
        <v>0</v>
      </c>
      <c r="V14" s="2155"/>
      <c r="W14" s="2150"/>
      <c r="X14" s="2152"/>
      <c r="Y14" s="2153"/>
      <c r="Z14" s="1572">
        <f t="shared" si="1"/>
        <v>0</v>
      </c>
      <c r="AA14" s="2168">
        <f t="shared" si="9"/>
        <v>0</v>
      </c>
      <c r="AB14" s="2156" t="str">
        <f t="shared" si="2"/>
        <v/>
      </c>
      <c r="AC14" s="2157">
        <v>46753</v>
      </c>
      <c r="AD14" s="2158" t="str">
        <f t="shared" si="10"/>
        <v/>
      </c>
      <c r="AE14" s="2159">
        <f t="shared" si="11"/>
        <v>0</v>
      </c>
      <c r="AF14" s="2159">
        <f t="shared" si="12"/>
        <v>0</v>
      </c>
      <c r="AG14" s="2159">
        <f t="shared" si="13"/>
        <v>0</v>
      </c>
      <c r="AH14" s="2159">
        <f t="shared" si="14"/>
        <v>0</v>
      </c>
      <c r="AI14" s="2160">
        <f t="shared" si="3"/>
        <v>0</v>
      </c>
      <c r="AJ14" s="1966">
        <f t="shared" si="15"/>
        <v>1</v>
      </c>
      <c r="AK14" s="2159">
        <f t="shared" si="16"/>
        <v>0</v>
      </c>
      <c r="AL14" s="368" t="e">
        <f t="shared" si="17"/>
        <v>#DIV/0!</v>
      </c>
      <c r="AM14" s="264"/>
      <c r="AN14" s="369">
        <f t="shared" si="18"/>
        <v>0</v>
      </c>
      <c r="AO14" s="1966">
        <f t="shared" si="19"/>
        <v>0</v>
      </c>
      <c r="AP14" s="1966">
        <f t="shared" si="20"/>
        <v>0</v>
      </c>
      <c r="AQ14" s="1966">
        <f t="shared" si="21"/>
        <v>0</v>
      </c>
      <c r="AR14" s="370">
        <f t="shared" si="22"/>
        <v>0</v>
      </c>
      <c r="AT14" s="371">
        <f t="shared" si="4"/>
        <v>0</v>
      </c>
      <c r="AU14" s="1966">
        <f t="shared" si="23"/>
        <v>0</v>
      </c>
      <c r="AV14" s="2161">
        <f t="shared" si="24"/>
        <v>0</v>
      </c>
      <c r="AW14" s="2161">
        <f t="shared" si="25"/>
        <v>0</v>
      </c>
      <c r="AX14" s="1966">
        <f t="shared" si="5"/>
        <v>0</v>
      </c>
      <c r="AY14" s="372">
        <f t="shared" si="6"/>
        <v>0</v>
      </c>
      <c r="AZ14" s="265"/>
      <c r="BA14" s="371">
        <f t="shared" si="26"/>
        <v>0</v>
      </c>
      <c r="BB14" s="1966">
        <f t="shared" si="27"/>
        <v>0</v>
      </c>
      <c r="BC14" s="1966">
        <f t="shared" si="28"/>
        <v>0</v>
      </c>
      <c r="BD14" s="1966">
        <f t="shared" si="29"/>
        <v>0</v>
      </c>
      <c r="BE14" s="372">
        <f t="shared" si="30"/>
        <v>0</v>
      </c>
      <c r="BG14" s="2159">
        <f t="shared" si="31"/>
        <v>46023</v>
      </c>
      <c r="BH14" s="2159">
        <f t="shared" si="32"/>
        <v>46023</v>
      </c>
      <c r="BI14" s="2159">
        <f t="shared" si="33"/>
        <v>46023</v>
      </c>
      <c r="BJ14" s="2159">
        <f t="shared" si="34"/>
        <v>0</v>
      </c>
      <c r="BL14" s="369">
        <f t="shared" si="35"/>
        <v>0</v>
      </c>
      <c r="BM14" s="2159">
        <f t="shared" si="36"/>
        <v>0</v>
      </c>
      <c r="BN14" s="2159">
        <f t="shared" si="37"/>
        <v>0</v>
      </c>
      <c r="BO14" s="373">
        <f t="shared" si="38"/>
        <v>0</v>
      </c>
      <c r="BQ14" s="2165" t="s">
        <v>1590</v>
      </c>
      <c r="BR14">
        <v>14</v>
      </c>
      <c r="BT14" s="2054"/>
      <c r="BU14" s="2915"/>
      <c r="BV14" s="2916"/>
      <c r="BW14" s="1913"/>
      <c r="CF14" s="2054"/>
    </row>
    <row r="15" spans="1:84" ht="45.75" customHeight="1" thickBot="1">
      <c r="A15" s="2163"/>
      <c r="B15" s="2146"/>
      <c r="C15" s="2146"/>
      <c r="D15" s="2164"/>
      <c r="E15" s="1573"/>
      <c r="F15" s="2148"/>
      <c r="G15" s="2149" t="str">
        <f t="shared" si="7"/>
        <v/>
      </c>
      <c r="H15" s="2148"/>
      <c r="I15" s="2150"/>
      <c r="J15" s="2148"/>
      <c r="K15" s="2151">
        <f t="shared" si="8"/>
        <v>0</v>
      </c>
      <c r="L15" s="2148"/>
      <c r="M15" s="2150"/>
      <c r="N15" s="2152"/>
      <c r="O15" s="2148"/>
      <c r="P15" s="2151">
        <f t="shared" si="39"/>
        <v>0</v>
      </c>
      <c r="Q15" s="2148"/>
      <c r="R15" s="2150"/>
      <c r="S15" s="2152"/>
      <c r="T15" s="2153"/>
      <c r="U15" s="2154">
        <f t="shared" si="0"/>
        <v>0</v>
      </c>
      <c r="V15" s="2155"/>
      <c r="W15" s="2150"/>
      <c r="X15" s="2152"/>
      <c r="Y15" s="2153"/>
      <c r="Z15" s="1572">
        <f t="shared" si="1"/>
        <v>0</v>
      </c>
      <c r="AA15" s="2168">
        <f t="shared" si="9"/>
        <v>0</v>
      </c>
      <c r="AB15" s="2156" t="str">
        <f t="shared" si="2"/>
        <v/>
      </c>
      <c r="AD15" s="2158" t="str">
        <f t="shared" si="10"/>
        <v/>
      </c>
      <c r="AE15" s="2159">
        <f t="shared" si="11"/>
        <v>0</v>
      </c>
      <c r="AF15" s="2159">
        <f t="shared" si="12"/>
        <v>0</v>
      </c>
      <c r="AG15" s="2159">
        <f t="shared" si="13"/>
        <v>0</v>
      </c>
      <c r="AH15" s="2159">
        <f t="shared" si="14"/>
        <v>0</v>
      </c>
      <c r="AI15" s="2160">
        <f t="shared" si="3"/>
        <v>0</v>
      </c>
      <c r="AJ15" s="1966">
        <f t="shared" si="15"/>
        <v>1</v>
      </c>
      <c r="AK15" s="2159">
        <f t="shared" si="16"/>
        <v>0</v>
      </c>
      <c r="AL15" s="368" t="e">
        <f t="shared" si="17"/>
        <v>#DIV/0!</v>
      </c>
      <c r="AM15" s="264"/>
      <c r="AN15" s="369">
        <f t="shared" si="18"/>
        <v>0</v>
      </c>
      <c r="AO15" s="1966">
        <f t="shared" si="19"/>
        <v>0</v>
      </c>
      <c r="AP15" s="1966">
        <f t="shared" si="20"/>
        <v>0</v>
      </c>
      <c r="AQ15" s="1966">
        <f t="shared" si="21"/>
        <v>0</v>
      </c>
      <c r="AR15" s="370">
        <f t="shared" si="22"/>
        <v>0</v>
      </c>
      <c r="AT15" s="371">
        <f t="shared" si="4"/>
        <v>0</v>
      </c>
      <c r="AU15" s="1966">
        <f t="shared" si="23"/>
        <v>0</v>
      </c>
      <c r="AV15" s="2161">
        <f t="shared" si="24"/>
        <v>0</v>
      </c>
      <c r="AW15" s="2161">
        <f t="shared" si="25"/>
        <v>0</v>
      </c>
      <c r="AX15" s="1966">
        <f t="shared" si="5"/>
        <v>0</v>
      </c>
      <c r="AY15" s="372">
        <f t="shared" si="6"/>
        <v>0</v>
      </c>
      <c r="AZ15" s="265"/>
      <c r="BA15" s="371">
        <f t="shared" si="26"/>
        <v>0</v>
      </c>
      <c r="BB15" s="1966">
        <f t="shared" si="27"/>
        <v>0</v>
      </c>
      <c r="BC15" s="1966">
        <f t="shared" si="28"/>
        <v>0</v>
      </c>
      <c r="BD15" s="1966">
        <f t="shared" si="29"/>
        <v>0</v>
      </c>
      <c r="BE15" s="372">
        <f t="shared" si="30"/>
        <v>0</v>
      </c>
      <c r="BG15" s="2159">
        <f t="shared" si="31"/>
        <v>46023</v>
      </c>
      <c r="BH15" s="2159">
        <f t="shared" si="32"/>
        <v>46023</v>
      </c>
      <c r="BI15" s="2159">
        <f t="shared" si="33"/>
        <v>46023</v>
      </c>
      <c r="BJ15" s="2159">
        <f t="shared" si="34"/>
        <v>0</v>
      </c>
      <c r="BL15" s="369">
        <f t="shared" si="35"/>
        <v>0</v>
      </c>
      <c r="BM15" s="2159">
        <f t="shared" si="36"/>
        <v>0</v>
      </c>
      <c r="BN15" s="2159">
        <f t="shared" si="37"/>
        <v>0</v>
      </c>
      <c r="BO15" s="373">
        <f t="shared" si="38"/>
        <v>0</v>
      </c>
      <c r="BQ15" s="2165" t="s">
        <v>1591</v>
      </c>
      <c r="BR15">
        <v>15</v>
      </c>
      <c r="BT15" s="2054"/>
      <c r="BU15" s="2915" t="s">
        <v>2907</v>
      </c>
      <c r="BV15" s="2916"/>
      <c r="CF15" s="2054"/>
    </row>
    <row r="16" spans="1:84" ht="45.75" customHeight="1" thickBot="1">
      <c r="A16" s="2163"/>
      <c r="B16" s="2146"/>
      <c r="C16" s="2146"/>
      <c r="D16" s="2164"/>
      <c r="E16" s="1573"/>
      <c r="F16" s="2148"/>
      <c r="G16" s="2149" t="str">
        <f t="shared" si="7"/>
        <v/>
      </c>
      <c r="H16" s="2148"/>
      <c r="I16" s="2150"/>
      <c r="J16" s="2148"/>
      <c r="K16" s="2151">
        <f t="shared" si="8"/>
        <v>0</v>
      </c>
      <c r="L16" s="2148"/>
      <c r="M16" s="2150"/>
      <c r="N16" s="2152"/>
      <c r="O16" s="2148"/>
      <c r="P16" s="2151">
        <f t="shared" si="39"/>
        <v>0</v>
      </c>
      <c r="Q16" s="2148"/>
      <c r="R16" s="2150"/>
      <c r="S16" s="2152"/>
      <c r="T16" s="2153"/>
      <c r="U16" s="2154">
        <f t="shared" si="0"/>
        <v>0</v>
      </c>
      <c r="V16" s="2155"/>
      <c r="W16" s="2150"/>
      <c r="X16" s="2152"/>
      <c r="Y16" s="2153"/>
      <c r="Z16" s="1572">
        <f t="shared" si="1"/>
        <v>0</v>
      </c>
      <c r="AA16" s="2168">
        <f t="shared" si="9"/>
        <v>0</v>
      </c>
      <c r="AB16" s="2156" t="str">
        <f t="shared" si="2"/>
        <v/>
      </c>
      <c r="AD16" s="2158" t="str">
        <f t="shared" si="10"/>
        <v/>
      </c>
      <c r="AE16" s="2159">
        <f t="shared" si="11"/>
        <v>0</v>
      </c>
      <c r="AF16" s="2159">
        <f t="shared" si="12"/>
        <v>0</v>
      </c>
      <c r="AG16" s="2159">
        <f t="shared" si="13"/>
        <v>0</v>
      </c>
      <c r="AH16" s="2159">
        <f t="shared" si="14"/>
        <v>0</v>
      </c>
      <c r="AI16" s="2160">
        <f t="shared" si="3"/>
        <v>0</v>
      </c>
      <c r="AJ16" s="1966">
        <f t="shared" si="15"/>
        <v>1</v>
      </c>
      <c r="AK16" s="2159">
        <f t="shared" si="16"/>
        <v>0</v>
      </c>
      <c r="AL16" s="368" t="e">
        <f t="shared" si="17"/>
        <v>#DIV/0!</v>
      </c>
      <c r="AM16" s="264"/>
      <c r="AN16" s="369">
        <f t="shared" si="18"/>
        <v>0</v>
      </c>
      <c r="AO16" s="1966">
        <f t="shared" si="19"/>
        <v>0</v>
      </c>
      <c r="AP16" s="1966">
        <f t="shared" si="20"/>
        <v>0</v>
      </c>
      <c r="AQ16" s="1966">
        <f t="shared" si="21"/>
        <v>0</v>
      </c>
      <c r="AR16" s="370">
        <f t="shared" si="22"/>
        <v>0</v>
      </c>
      <c r="AT16" s="371">
        <f t="shared" si="4"/>
        <v>0</v>
      </c>
      <c r="AU16" s="1966">
        <f t="shared" si="23"/>
        <v>0</v>
      </c>
      <c r="AV16" s="2161">
        <f t="shared" si="24"/>
        <v>0</v>
      </c>
      <c r="AW16" s="2161">
        <f t="shared" si="25"/>
        <v>0</v>
      </c>
      <c r="AX16" s="1966">
        <f t="shared" si="5"/>
        <v>0</v>
      </c>
      <c r="AY16" s="372">
        <f t="shared" si="6"/>
        <v>0</v>
      </c>
      <c r="AZ16" s="265"/>
      <c r="BA16" s="371">
        <f t="shared" si="26"/>
        <v>0</v>
      </c>
      <c r="BB16" s="1966">
        <f t="shared" si="27"/>
        <v>0</v>
      </c>
      <c r="BC16" s="1966">
        <f t="shared" si="28"/>
        <v>0</v>
      </c>
      <c r="BD16" s="1966">
        <f t="shared" si="29"/>
        <v>0</v>
      </c>
      <c r="BE16" s="372">
        <f t="shared" si="30"/>
        <v>0</v>
      </c>
      <c r="BG16" s="2159">
        <f t="shared" si="31"/>
        <v>46023</v>
      </c>
      <c r="BH16" s="2159">
        <f t="shared" si="32"/>
        <v>46023</v>
      </c>
      <c r="BI16" s="2159">
        <f t="shared" si="33"/>
        <v>46023</v>
      </c>
      <c r="BJ16" s="2159">
        <f t="shared" si="34"/>
        <v>0</v>
      </c>
      <c r="BL16" s="369">
        <f t="shared" si="35"/>
        <v>0</v>
      </c>
      <c r="BM16" s="2159">
        <f t="shared" si="36"/>
        <v>0</v>
      </c>
      <c r="BN16" s="2159">
        <f t="shared" si="37"/>
        <v>0</v>
      </c>
      <c r="BO16" s="373">
        <f t="shared" si="38"/>
        <v>0</v>
      </c>
      <c r="BQ16" s="2162"/>
      <c r="BT16" s="2054"/>
      <c r="BU16" s="2915"/>
      <c r="BV16" s="2916"/>
      <c r="CF16" s="2054"/>
    </row>
    <row r="17" spans="1:84" ht="45.75" customHeight="1">
      <c r="A17" s="2163"/>
      <c r="B17" s="2146"/>
      <c r="C17" s="2146"/>
      <c r="D17" s="2164"/>
      <c r="E17" s="1573"/>
      <c r="F17" s="2148"/>
      <c r="G17" s="2149" t="str">
        <f t="shared" si="7"/>
        <v/>
      </c>
      <c r="H17" s="2148"/>
      <c r="I17" s="2150"/>
      <c r="J17" s="2148"/>
      <c r="K17" s="2151">
        <f t="shared" si="8"/>
        <v>0</v>
      </c>
      <c r="L17" s="2148"/>
      <c r="M17" s="2150"/>
      <c r="N17" s="2152"/>
      <c r="O17" s="2148"/>
      <c r="P17" s="2151">
        <f t="shared" si="39"/>
        <v>0</v>
      </c>
      <c r="Q17" s="2148"/>
      <c r="R17" s="2150"/>
      <c r="S17" s="2152"/>
      <c r="T17" s="2153"/>
      <c r="U17" s="2154">
        <f t="shared" si="0"/>
        <v>0</v>
      </c>
      <c r="V17" s="2155"/>
      <c r="W17" s="2150"/>
      <c r="X17" s="2152"/>
      <c r="Y17" s="2153"/>
      <c r="Z17" s="1572">
        <f t="shared" si="1"/>
        <v>0</v>
      </c>
      <c r="AA17" s="2168">
        <f t="shared" si="9"/>
        <v>0</v>
      </c>
      <c r="AB17" s="2156" t="str">
        <f t="shared" si="2"/>
        <v/>
      </c>
      <c r="AC17" s="1663"/>
      <c r="AD17" s="2158" t="str">
        <f t="shared" si="10"/>
        <v/>
      </c>
      <c r="AE17" s="2159">
        <f t="shared" si="11"/>
        <v>0</v>
      </c>
      <c r="AF17" s="2159">
        <f t="shared" si="12"/>
        <v>0</v>
      </c>
      <c r="AG17" s="2159">
        <f t="shared" si="13"/>
        <v>0</v>
      </c>
      <c r="AH17" s="2159">
        <f t="shared" si="14"/>
        <v>0</v>
      </c>
      <c r="AI17" s="2160">
        <f t="shared" si="3"/>
        <v>0</v>
      </c>
      <c r="AJ17" s="1966">
        <f t="shared" si="15"/>
        <v>1</v>
      </c>
      <c r="AK17" s="2159">
        <f t="shared" si="16"/>
        <v>0</v>
      </c>
      <c r="AL17" s="368" t="e">
        <f t="shared" si="17"/>
        <v>#DIV/0!</v>
      </c>
      <c r="AM17" s="264"/>
      <c r="AN17" s="369">
        <f t="shared" si="18"/>
        <v>0</v>
      </c>
      <c r="AO17" s="1966">
        <f t="shared" si="19"/>
        <v>0</v>
      </c>
      <c r="AP17" s="1966">
        <f t="shared" si="20"/>
        <v>0</v>
      </c>
      <c r="AQ17" s="1966">
        <f t="shared" si="21"/>
        <v>0</v>
      </c>
      <c r="AR17" s="370">
        <f t="shared" si="22"/>
        <v>0</v>
      </c>
      <c r="AT17" s="371">
        <f t="shared" si="4"/>
        <v>0</v>
      </c>
      <c r="AU17" s="1966">
        <f t="shared" si="23"/>
        <v>0</v>
      </c>
      <c r="AV17" s="2161">
        <f t="shared" si="24"/>
        <v>0</v>
      </c>
      <c r="AW17" s="2161">
        <f t="shared" si="25"/>
        <v>0</v>
      </c>
      <c r="AX17" s="1966">
        <f t="shared" si="5"/>
        <v>0</v>
      </c>
      <c r="AY17" s="372">
        <f t="shared" si="6"/>
        <v>0</v>
      </c>
      <c r="AZ17" s="265"/>
      <c r="BA17" s="371">
        <f t="shared" si="26"/>
        <v>0</v>
      </c>
      <c r="BB17" s="1966">
        <f t="shared" si="27"/>
        <v>0</v>
      </c>
      <c r="BC17" s="1966">
        <f t="shared" si="28"/>
        <v>0</v>
      </c>
      <c r="BD17" s="1966">
        <f t="shared" si="29"/>
        <v>0</v>
      </c>
      <c r="BE17" s="372">
        <f t="shared" si="30"/>
        <v>0</v>
      </c>
      <c r="BG17" s="2159">
        <f t="shared" si="31"/>
        <v>46023</v>
      </c>
      <c r="BH17" s="2159">
        <f t="shared" si="32"/>
        <v>46023</v>
      </c>
      <c r="BI17" s="2159">
        <f t="shared" si="33"/>
        <v>46023</v>
      </c>
      <c r="BJ17" s="2159">
        <f t="shared" si="34"/>
        <v>0</v>
      </c>
      <c r="BL17" s="369">
        <f t="shared" si="35"/>
        <v>0</v>
      </c>
      <c r="BM17" s="2159">
        <f t="shared" si="36"/>
        <v>0</v>
      </c>
      <c r="BN17" s="2159">
        <f t="shared" si="37"/>
        <v>0</v>
      </c>
      <c r="BO17" s="373">
        <f t="shared" si="38"/>
        <v>0</v>
      </c>
      <c r="BT17" s="2054"/>
      <c r="BU17" s="2915" t="s">
        <v>2841</v>
      </c>
      <c r="BV17" s="2916"/>
      <c r="CF17" s="2054"/>
    </row>
    <row r="18" spans="1:84" ht="45.75" customHeight="1">
      <c r="A18" s="2163"/>
      <c r="B18" s="2146"/>
      <c r="C18" s="2146"/>
      <c r="D18" s="2164"/>
      <c r="E18" s="1573"/>
      <c r="F18" s="2148"/>
      <c r="G18" s="2149" t="str">
        <f t="shared" si="7"/>
        <v/>
      </c>
      <c r="H18" s="2148"/>
      <c r="I18" s="2150"/>
      <c r="J18" s="2148"/>
      <c r="K18" s="2151">
        <f t="shared" si="8"/>
        <v>0</v>
      </c>
      <c r="L18" s="2148"/>
      <c r="M18" s="2150"/>
      <c r="N18" s="2152"/>
      <c r="O18" s="2148"/>
      <c r="P18" s="2151">
        <f t="shared" si="39"/>
        <v>0</v>
      </c>
      <c r="Q18" s="2148"/>
      <c r="R18" s="2150"/>
      <c r="S18" s="2152"/>
      <c r="T18" s="2153"/>
      <c r="U18" s="2154">
        <f t="shared" si="0"/>
        <v>0</v>
      </c>
      <c r="V18" s="2155"/>
      <c r="W18" s="2150"/>
      <c r="X18" s="2152"/>
      <c r="Y18" s="2153"/>
      <c r="Z18" s="1572">
        <f t="shared" si="1"/>
        <v>0</v>
      </c>
      <c r="AA18" s="2168">
        <f t="shared" si="9"/>
        <v>0</v>
      </c>
      <c r="AB18" s="2156" t="str">
        <f t="shared" si="2"/>
        <v/>
      </c>
      <c r="AC18" s="1663"/>
      <c r="AD18" s="2158" t="str">
        <f t="shared" si="10"/>
        <v/>
      </c>
      <c r="AE18" s="2159">
        <f t="shared" si="11"/>
        <v>0</v>
      </c>
      <c r="AF18" s="2159">
        <f t="shared" si="12"/>
        <v>0</v>
      </c>
      <c r="AG18" s="2159">
        <f t="shared" si="13"/>
        <v>0</v>
      </c>
      <c r="AH18" s="2159">
        <f t="shared" si="14"/>
        <v>0</v>
      </c>
      <c r="AI18" s="2160">
        <f t="shared" si="3"/>
        <v>0</v>
      </c>
      <c r="AJ18" s="1966">
        <f t="shared" si="15"/>
        <v>1</v>
      </c>
      <c r="AK18" s="2159">
        <f t="shared" si="16"/>
        <v>0</v>
      </c>
      <c r="AL18" s="368" t="e">
        <f t="shared" si="17"/>
        <v>#DIV/0!</v>
      </c>
      <c r="AM18" s="264"/>
      <c r="AN18" s="369">
        <f t="shared" si="18"/>
        <v>0</v>
      </c>
      <c r="AO18" s="1966">
        <f t="shared" si="19"/>
        <v>0</v>
      </c>
      <c r="AP18" s="1966">
        <f t="shared" si="20"/>
        <v>0</v>
      </c>
      <c r="AQ18" s="1966">
        <f t="shared" si="21"/>
        <v>0</v>
      </c>
      <c r="AR18" s="370">
        <f t="shared" si="22"/>
        <v>0</v>
      </c>
      <c r="AT18" s="371">
        <f t="shared" si="4"/>
        <v>0</v>
      </c>
      <c r="AU18" s="1966">
        <f t="shared" si="23"/>
        <v>0</v>
      </c>
      <c r="AV18" s="2161">
        <f t="shared" si="24"/>
        <v>0</v>
      </c>
      <c r="AW18" s="2161">
        <f t="shared" si="25"/>
        <v>0</v>
      </c>
      <c r="AX18" s="1966">
        <f t="shared" si="5"/>
        <v>0</v>
      </c>
      <c r="AY18" s="372">
        <f t="shared" si="6"/>
        <v>0</v>
      </c>
      <c r="AZ18" s="265"/>
      <c r="BA18" s="371">
        <f t="shared" si="26"/>
        <v>0</v>
      </c>
      <c r="BB18" s="1966">
        <f t="shared" si="27"/>
        <v>0</v>
      </c>
      <c r="BC18" s="1966">
        <f t="shared" si="28"/>
        <v>0</v>
      </c>
      <c r="BD18" s="1966">
        <f t="shared" si="29"/>
        <v>0</v>
      </c>
      <c r="BE18" s="372">
        <f t="shared" si="30"/>
        <v>0</v>
      </c>
      <c r="BG18" s="2159">
        <f t="shared" si="31"/>
        <v>46023</v>
      </c>
      <c r="BH18" s="2159">
        <f t="shared" si="32"/>
        <v>46023</v>
      </c>
      <c r="BI18" s="2159">
        <f t="shared" si="33"/>
        <v>46023</v>
      </c>
      <c r="BJ18" s="2159">
        <f t="shared" si="34"/>
        <v>0</v>
      </c>
      <c r="BL18" s="369">
        <f t="shared" si="35"/>
        <v>0</v>
      </c>
      <c r="BM18" s="2159">
        <f t="shared" si="36"/>
        <v>0</v>
      </c>
      <c r="BN18" s="2159">
        <f t="shared" si="37"/>
        <v>0</v>
      </c>
      <c r="BO18" s="373">
        <f t="shared" si="38"/>
        <v>0</v>
      </c>
      <c r="BT18" s="2054"/>
      <c r="BU18" s="2915"/>
      <c r="BV18" s="2916"/>
      <c r="CF18" s="2054"/>
    </row>
    <row r="19" spans="1:84" ht="45.75" customHeight="1" thickBot="1">
      <c r="A19" s="2163"/>
      <c r="B19" s="2146"/>
      <c r="C19" s="2146"/>
      <c r="D19" s="2164"/>
      <c r="E19" s="1573"/>
      <c r="F19" s="2148"/>
      <c r="G19" s="2149" t="str">
        <f t="shared" si="7"/>
        <v/>
      </c>
      <c r="H19" s="2148"/>
      <c r="I19" s="2150"/>
      <c r="J19" s="2148"/>
      <c r="K19" s="2151">
        <f t="shared" si="8"/>
        <v>0</v>
      </c>
      <c r="L19" s="2148"/>
      <c r="M19" s="2150"/>
      <c r="N19" s="2152"/>
      <c r="O19" s="2148"/>
      <c r="P19" s="2151">
        <f t="shared" si="39"/>
        <v>0</v>
      </c>
      <c r="Q19" s="2148"/>
      <c r="R19" s="2150"/>
      <c r="S19" s="2152"/>
      <c r="T19" s="2153"/>
      <c r="U19" s="2154">
        <f t="shared" si="0"/>
        <v>0</v>
      </c>
      <c r="V19" s="2155"/>
      <c r="W19" s="2150"/>
      <c r="X19" s="2152"/>
      <c r="Y19" s="2153"/>
      <c r="Z19" s="1572">
        <f t="shared" si="1"/>
        <v>0</v>
      </c>
      <c r="AA19" s="2168">
        <f t="shared" si="9"/>
        <v>0</v>
      </c>
      <c r="AB19" s="2156" t="str">
        <f t="shared" si="2"/>
        <v/>
      </c>
      <c r="AC19" s="1663"/>
      <c r="AD19" s="2158" t="str">
        <f t="shared" si="10"/>
        <v/>
      </c>
      <c r="AE19" s="2159">
        <f t="shared" si="11"/>
        <v>0</v>
      </c>
      <c r="AF19" s="2159">
        <f t="shared" si="12"/>
        <v>0</v>
      </c>
      <c r="AG19" s="2159">
        <f t="shared" si="13"/>
        <v>0</v>
      </c>
      <c r="AH19" s="2159">
        <f t="shared" si="14"/>
        <v>0</v>
      </c>
      <c r="AI19" s="2160">
        <f t="shared" si="3"/>
        <v>0</v>
      </c>
      <c r="AJ19" s="1966">
        <f t="shared" si="15"/>
        <v>1</v>
      </c>
      <c r="AK19" s="2159">
        <f t="shared" si="16"/>
        <v>0</v>
      </c>
      <c r="AL19" s="368" t="e">
        <f t="shared" si="17"/>
        <v>#DIV/0!</v>
      </c>
      <c r="AM19" s="264"/>
      <c r="AN19" s="369">
        <f t="shared" si="18"/>
        <v>0</v>
      </c>
      <c r="AO19" s="1966">
        <f t="shared" si="19"/>
        <v>0</v>
      </c>
      <c r="AP19" s="1966">
        <f t="shared" si="20"/>
        <v>0</v>
      </c>
      <c r="AQ19" s="1966">
        <f t="shared" si="21"/>
        <v>0</v>
      </c>
      <c r="AR19" s="370">
        <f t="shared" si="22"/>
        <v>0</v>
      </c>
      <c r="AT19" s="371">
        <f t="shared" si="4"/>
        <v>0</v>
      </c>
      <c r="AU19" s="1966">
        <f t="shared" si="23"/>
        <v>0</v>
      </c>
      <c r="AV19" s="2161">
        <f t="shared" si="24"/>
        <v>0</v>
      </c>
      <c r="AW19" s="2161">
        <f t="shared" si="25"/>
        <v>0</v>
      </c>
      <c r="AX19" s="1966">
        <f t="shared" si="5"/>
        <v>0</v>
      </c>
      <c r="AY19" s="372">
        <f t="shared" si="6"/>
        <v>0</v>
      </c>
      <c r="AZ19" s="265"/>
      <c r="BA19" s="371">
        <f t="shared" si="26"/>
        <v>0</v>
      </c>
      <c r="BB19" s="1966">
        <f t="shared" si="27"/>
        <v>0</v>
      </c>
      <c r="BC19" s="1966">
        <f t="shared" si="28"/>
        <v>0</v>
      </c>
      <c r="BD19" s="1966">
        <f t="shared" si="29"/>
        <v>0</v>
      </c>
      <c r="BE19" s="372">
        <f t="shared" si="30"/>
        <v>0</v>
      </c>
      <c r="BG19" s="2159">
        <f t="shared" si="31"/>
        <v>46023</v>
      </c>
      <c r="BH19" s="2159">
        <f t="shared" si="32"/>
        <v>46023</v>
      </c>
      <c r="BI19" s="2159">
        <f t="shared" si="33"/>
        <v>46023</v>
      </c>
      <c r="BJ19" s="2159">
        <f t="shared" si="34"/>
        <v>0</v>
      </c>
      <c r="BL19" s="369">
        <f t="shared" si="35"/>
        <v>0</v>
      </c>
      <c r="BM19" s="2159">
        <f t="shared" si="36"/>
        <v>0</v>
      </c>
      <c r="BN19" s="2159">
        <f t="shared" si="37"/>
        <v>0</v>
      </c>
      <c r="BO19" s="373">
        <f t="shared" si="38"/>
        <v>0</v>
      </c>
      <c r="BT19" s="2054"/>
      <c r="BU19" s="2915" t="s">
        <v>131</v>
      </c>
      <c r="BV19" s="2916"/>
      <c r="CF19" s="2054"/>
    </row>
    <row r="20" spans="1:84" ht="45.75" customHeight="1">
      <c r="A20" s="2163"/>
      <c r="B20" s="2146"/>
      <c r="C20" s="2146"/>
      <c r="D20" s="2164"/>
      <c r="E20" s="1573"/>
      <c r="F20" s="2148"/>
      <c r="G20" s="2149" t="str">
        <f t="shared" si="7"/>
        <v/>
      </c>
      <c r="H20" s="2148"/>
      <c r="I20" s="2150"/>
      <c r="J20" s="2148"/>
      <c r="K20" s="2151">
        <f t="shared" si="8"/>
        <v>0</v>
      </c>
      <c r="L20" s="2148"/>
      <c r="M20" s="2150"/>
      <c r="N20" s="2152"/>
      <c r="O20" s="2148"/>
      <c r="P20" s="2151">
        <f t="shared" si="39"/>
        <v>0</v>
      </c>
      <c r="Q20" s="2148"/>
      <c r="R20" s="2150"/>
      <c r="S20" s="2152"/>
      <c r="T20" s="2153"/>
      <c r="U20" s="2154">
        <f t="shared" si="0"/>
        <v>0</v>
      </c>
      <c r="V20" s="2155"/>
      <c r="W20" s="2150"/>
      <c r="X20" s="2152"/>
      <c r="Y20" s="2153"/>
      <c r="Z20" s="1572">
        <f t="shared" si="1"/>
        <v>0</v>
      </c>
      <c r="AA20" s="2168">
        <f t="shared" si="9"/>
        <v>0</v>
      </c>
      <c r="AB20" s="2156" t="str">
        <f t="shared" si="2"/>
        <v/>
      </c>
      <c r="AC20" s="1663"/>
      <c r="AD20" s="2158" t="str">
        <f t="shared" si="10"/>
        <v/>
      </c>
      <c r="AE20" s="2159">
        <f t="shared" si="11"/>
        <v>0</v>
      </c>
      <c r="AF20" s="2159">
        <f t="shared" si="12"/>
        <v>0</v>
      </c>
      <c r="AG20" s="2159">
        <f t="shared" si="13"/>
        <v>0</v>
      </c>
      <c r="AH20" s="2159">
        <f t="shared" si="14"/>
        <v>0</v>
      </c>
      <c r="AI20" s="2160">
        <f t="shared" si="3"/>
        <v>0</v>
      </c>
      <c r="AJ20" s="1966">
        <f t="shared" si="15"/>
        <v>1</v>
      </c>
      <c r="AK20" s="2159">
        <f t="shared" si="16"/>
        <v>0</v>
      </c>
      <c r="AL20" s="368" t="e">
        <f t="shared" si="17"/>
        <v>#DIV/0!</v>
      </c>
      <c r="AM20" s="264"/>
      <c r="AN20" s="369">
        <f t="shared" si="18"/>
        <v>0</v>
      </c>
      <c r="AO20" s="1966">
        <f t="shared" si="19"/>
        <v>0</v>
      </c>
      <c r="AP20" s="1966">
        <f t="shared" si="20"/>
        <v>0</v>
      </c>
      <c r="AQ20" s="1966">
        <f t="shared" si="21"/>
        <v>0</v>
      </c>
      <c r="AR20" s="370">
        <f t="shared" si="22"/>
        <v>0</v>
      </c>
      <c r="AT20" s="371">
        <f t="shared" si="4"/>
        <v>0</v>
      </c>
      <c r="AU20" s="1966">
        <f t="shared" si="23"/>
        <v>0</v>
      </c>
      <c r="AV20" s="2161">
        <f t="shared" si="24"/>
        <v>0</v>
      </c>
      <c r="AW20" s="2161">
        <f t="shared" si="25"/>
        <v>0</v>
      </c>
      <c r="AX20" s="1966">
        <f t="shared" si="5"/>
        <v>0</v>
      </c>
      <c r="AY20" s="372">
        <f t="shared" si="6"/>
        <v>0</v>
      </c>
      <c r="AZ20" s="265"/>
      <c r="BA20" s="371">
        <f t="shared" si="26"/>
        <v>0</v>
      </c>
      <c r="BB20" s="1966">
        <f t="shared" si="27"/>
        <v>0</v>
      </c>
      <c r="BC20" s="1966">
        <f t="shared" si="28"/>
        <v>0</v>
      </c>
      <c r="BD20" s="1966">
        <f t="shared" si="29"/>
        <v>0</v>
      </c>
      <c r="BE20" s="372">
        <f t="shared" si="30"/>
        <v>0</v>
      </c>
      <c r="BG20" s="2159">
        <f t="shared" si="31"/>
        <v>46023</v>
      </c>
      <c r="BH20" s="2159">
        <f t="shared" si="32"/>
        <v>46023</v>
      </c>
      <c r="BI20" s="2159">
        <f t="shared" si="33"/>
        <v>46023</v>
      </c>
      <c r="BJ20" s="2159">
        <f t="shared" si="34"/>
        <v>0</v>
      </c>
      <c r="BL20" s="369">
        <f t="shared" si="35"/>
        <v>0</v>
      </c>
      <c r="BM20" s="2159">
        <f t="shared" si="36"/>
        <v>0</v>
      </c>
      <c r="BN20" s="2159">
        <f t="shared" si="37"/>
        <v>0</v>
      </c>
      <c r="BO20" s="373">
        <f t="shared" si="38"/>
        <v>0</v>
      </c>
      <c r="BQ20" s="2166" t="s">
        <v>2836</v>
      </c>
      <c r="BT20" s="2054"/>
      <c r="BU20" s="2915" t="s">
        <v>1592</v>
      </c>
      <c r="BV20" s="2916"/>
      <c r="CF20" s="2054"/>
    </row>
    <row r="21" spans="1:84" ht="45.75" customHeight="1">
      <c r="A21" s="2163"/>
      <c r="B21" s="2146"/>
      <c r="C21" s="2146"/>
      <c r="D21" s="2164"/>
      <c r="E21" s="1573"/>
      <c r="F21" s="2148"/>
      <c r="G21" s="2149" t="str">
        <f t="shared" si="7"/>
        <v/>
      </c>
      <c r="H21" s="2148"/>
      <c r="I21" s="2150"/>
      <c r="J21" s="2148"/>
      <c r="K21" s="2151">
        <f t="shared" si="8"/>
        <v>0</v>
      </c>
      <c r="L21" s="2148"/>
      <c r="M21" s="2150"/>
      <c r="N21" s="2152"/>
      <c r="O21" s="2148"/>
      <c r="P21" s="2151">
        <f t="shared" si="39"/>
        <v>0</v>
      </c>
      <c r="Q21" s="2148"/>
      <c r="R21" s="2150"/>
      <c r="S21" s="2152"/>
      <c r="T21" s="2153"/>
      <c r="U21" s="2154">
        <f t="shared" si="0"/>
        <v>0</v>
      </c>
      <c r="V21" s="2155"/>
      <c r="W21" s="2150"/>
      <c r="X21" s="2152"/>
      <c r="Y21" s="2153"/>
      <c r="Z21" s="1572">
        <f t="shared" si="1"/>
        <v>0</v>
      </c>
      <c r="AA21" s="2168">
        <f t="shared" si="9"/>
        <v>0</v>
      </c>
      <c r="AB21" s="2156" t="str">
        <f t="shared" si="2"/>
        <v/>
      </c>
      <c r="AC21" s="1663"/>
      <c r="AD21" s="2158" t="str">
        <f t="shared" si="10"/>
        <v/>
      </c>
      <c r="AE21" s="2159">
        <f t="shared" si="11"/>
        <v>0</v>
      </c>
      <c r="AF21" s="2159">
        <f t="shared" si="12"/>
        <v>0</v>
      </c>
      <c r="AG21" s="2159">
        <f t="shared" si="13"/>
        <v>0</v>
      </c>
      <c r="AH21" s="2159">
        <f t="shared" si="14"/>
        <v>0</v>
      </c>
      <c r="AI21" s="2160">
        <f t="shared" si="3"/>
        <v>0</v>
      </c>
      <c r="AJ21" s="1966">
        <f t="shared" si="15"/>
        <v>1</v>
      </c>
      <c r="AK21" s="2159">
        <f t="shared" si="16"/>
        <v>0</v>
      </c>
      <c r="AL21" s="368" t="e">
        <f t="shared" si="17"/>
        <v>#DIV/0!</v>
      </c>
      <c r="AM21" s="264"/>
      <c r="AN21" s="369">
        <f t="shared" si="18"/>
        <v>0</v>
      </c>
      <c r="AO21" s="1966">
        <f t="shared" si="19"/>
        <v>0</v>
      </c>
      <c r="AP21" s="1966">
        <f t="shared" si="20"/>
        <v>0</v>
      </c>
      <c r="AQ21" s="1966">
        <f t="shared" si="21"/>
        <v>0</v>
      </c>
      <c r="AR21" s="370">
        <f t="shared" si="22"/>
        <v>0</v>
      </c>
      <c r="AT21" s="371">
        <f t="shared" si="4"/>
        <v>0</v>
      </c>
      <c r="AU21" s="1966">
        <f t="shared" si="23"/>
        <v>0</v>
      </c>
      <c r="AV21" s="2161">
        <f t="shared" si="24"/>
        <v>0</v>
      </c>
      <c r="AW21" s="2161">
        <f t="shared" si="25"/>
        <v>0</v>
      </c>
      <c r="AX21" s="1966">
        <f t="shared" si="5"/>
        <v>0</v>
      </c>
      <c r="AY21" s="372">
        <f t="shared" si="6"/>
        <v>0</v>
      </c>
      <c r="AZ21" s="265"/>
      <c r="BA21" s="371">
        <f t="shared" si="26"/>
        <v>0</v>
      </c>
      <c r="BB21" s="1966">
        <f t="shared" si="27"/>
        <v>0</v>
      </c>
      <c r="BC21" s="1966">
        <f t="shared" si="28"/>
        <v>0</v>
      </c>
      <c r="BD21" s="1966">
        <f t="shared" si="29"/>
        <v>0</v>
      </c>
      <c r="BE21" s="372">
        <f t="shared" si="30"/>
        <v>0</v>
      </c>
      <c r="BG21" s="2159">
        <f t="shared" si="31"/>
        <v>46023</v>
      </c>
      <c r="BH21" s="2159">
        <f t="shared" si="32"/>
        <v>46023</v>
      </c>
      <c r="BI21" s="2159">
        <f t="shared" si="33"/>
        <v>46023</v>
      </c>
      <c r="BJ21" s="2159">
        <f t="shared" si="34"/>
        <v>0</v>
      </c>
      <c r="BL21" s="369">
        <f t="shared" si="35"/>
        <v>0</v>
      </c>
      <c r="BM21" s="2159">
        <f t="shared" si="36"/>
        <v>0</v>
      </c>
      <c r="BN21" s="2159">
        <f t="shared" si="37"/>
        <v>0</v>
      </c>
      <c r="BO21" s="373">
        <f t="shared" si="38"/>
        <v>0</v>
      </c>
      <c r="BQ21" s="1871">
        <v>2023</v>
      </c>
      <c r="BT21" s="2054"/>
      <c r="BU21" s="2915" t="s">
        <v>1593</v>
      </c>
      <c r="BV21" s="2916"/>
      <c r="CF21" s="2054"/>
    </row>
    <row r="22" spans="1:84" ht="45.75" customHeight="1">
      <c r="A22" s="2163"/>
      <c r="B22" s="2146"/>
      <c r="C22" s="2146"/>
      <c r="D22" s="2164"/>
      <c r="E22" s="1573"/>
      <c r="F22" s="2148"/>
      <c r="G22" s="2149" t="str">
        <f t="shared" si="7"/>
        <v/>
      </c>
      <c r="H22" s="2148"/>
      <c r="I22" s="2150"/>
      <c r="J22" s="2148"/>
      <c r="K22" s="2151">
        <f t="shared" si="8"/>
        <v>0</v>
      </c>
      <c r="L22" s="2148"/>
      <c r="M22" s="2150"/>
      <c r="N22" s="2152"/>
      <c r="O22" s="2148"/>
      <c r="P22" s="2151">
        <f t="shared" si="39"/>
        <v>0</v>
      </c>
      <c r="Q22" s="2148"/>
      <c r="R22" s="2150"/>
      <c r="S22" s="2152"/>
      <c r="T22" s="2153"/>
      <c r="U22" s="2154">
        <f t="shared" si="0"/>
        <v>0</v>
      </c>
      <c r="V22" s="2155"/>
      <c r="W22" s="2150"/>
      <c r="X22" s="2152"/>
      <c r="Y22" s="2153"/>
      <c r="Z22" s="1572">
        <f t="shared" si="1"/>
        <v>0</v>
      </c>
      <c r="AA22" s="2168">
        <f t="shared" si="9"/>
        <v>0</v>
      </c>
      <c r="AB22" s="2156" t="str">
        <f t="shared" si="2"/>
        <v/>
      </c>
      <c r="AC22" s="1663"/>
      <c r="AD22" s="2158" t="str">
        <f t="shared" si="10"/>
        <v/>
      </c>
      <c r="AE22" s="2159">
        <f t="shared" si="11"/>
        <v>0</v>
      </c>
      <c r="AF22" s="2159">
        <f t="shared" si="12"/>
        <v>0</v>
      </c>
      <c r="AG22" s="2159">
        <f t="shared" si="13"/>
        <v>0</v>
      </c>
      <c r="AH22" s="2159">
        <f t="shared" si="14"/>
        <v>0</v>
      </c>
      <c r="AI22" s="2160">
        <f t="shared" si="3"/>
        <v>0</v>
      </c>
      <c r="AJ22" s="1966">
        <f t="shared" si="15"/>
        <v>1</v>
      </c>
      <c r="AK22" s="2159">
        <f t="shared" si="16"/>
        <v>0</v>
      </c>
      <c r="AL22" s="368" t="e">
        <f t="shared" si="17"/>
        <v>#DIV/0!</v>
      </c>
      <c r="AM22" s="264"/>
      <c r="AN22" s="369">
        <f t="shared" si="18"/>
        <v>0</v>
      </c>
      <c r="AO22" s="1966">
        <f t="shared" si="19"/>
        <v>0</v>
      </c>
      <c r="AP22" s="1966">
        <f t="shared" si="20"/>
        <v>0</v>
      </c>
      <c r="AQ22" s="1966">
        <f t="shared" si="21"/>
        <v>0</v>
      </c>
      <c r="AR22" s="370">
        <f t="shared" si="22"/>
        <v>0</v>
      </c>
      <c r="AT22" s="371">
        <f t="shared" si="4"/>
        <v>0</v>
      </c>
      <c r="AU22" s="1966">
        <f t="shared" si="23"/>
        <v>0</v>
      </c>
      <c r="AV22" s="2161">
        <f t="shared" si="24"/>
        <v>0</v>
      </c>
      <c r="AW22" s="2161">
        <f t="shared" si="25"/>
        <v>0</v>
      </c>
      <c r="AX22" s="1966">
        <f t="shared" si="5"/>
        <v>0</v>
      </c>
      <c r="AY22" s="372">
        <f t="shared" si="6"/>
        <v>0</v>
      </c>
      <c r="AZ22" s="265"/>
      <c r="BA22" s="371">
        <f t="shared" si="26"/>
        <v>0</v>
      </c>
      <c r="BB22" s="1966">
        <f t="shared" si="27"/>
        <v>0</v>
      </c>
      <c r="BC22" s="1966">
        <f t="shared" si="28"/>
        <v>0</v>
      </c>
      <c r="BD22" s="1966">
        <f t="shared" si="29"/>
        <v>0</v>
      </c>
      <c r="BE22" s="372">
        <f t="shared" si="30"/>
        <v>0</v>
      </c>
      <c r="BG22" s="2159">
        <f t="shared" si="31"/>
        <v>46023</v>
      </c>
      <c r="BH22" s="2159">
        <f t="shared" si="32"/>
        <v>46023</v>
      </c>
      <c r="BI22" s="2159">
        <f t="shared" si="33"/>
        <v>46023</v>
      </c>
      <c r="BJ22" s="2159">
        <f t="shared" si="34"/>
        <v>0</v>
      </c>
      <c r="BL22" s="369">
        <f t="shared" si="35"/>
        <v>0</v>
      </c>
      <c r="BM22" s="2159">
        <f t="shared" si="36"/>
        <v>0</v>
      </c>
      <c r="BN22" s="2159">
        <f t="shared" si="37"/>
        <v>0</v>
      </c>
      <c r="BO22" s="373">
        <f t="shared" si="38"/>
        <v>0</v>
      </c>
      <c r="BQ22" s="1871">
        <v>2024</v>
      </c>
      <c r="BT22" s="2054"/>
      <c r="BU22" s="2915" t="s">
        <v>1594</v>
      </c>
      <c r="BV22" s="2916"/>
      <c r="CF22" s="2054"/>
    </row>
    <row r="23" spans="1:84" ht="45.75" customHeight="1">
      <c r="A23" s="2163"/>
      <c r="B23" s="2146"/>
      <c r="C23" s="2146"/>
      <c r="D23" s="2164"/>
      <c r="E23" s="1573"/>
      <c r="F23" s="2148"/>
      <c r="G23" s="2149" t="str">
        <f t="shared" si="7"/>
        <v/>
      </c>
      <c r="H23" s="2148"/>
      <c r="I23" s="2150"/>
      <c r="J23" s="2148"/>
      <c r="K23" s="2151">
        <f t="shared" si="8"/>
        <v>0</v>
      </c>
      <c r="L23" s="2148"/>
      <c r="M23" s="2150"/>
      <c r="N23" s="2152"/>
      <c r="O23" s="2148"/>
      <c r="P23" s="2151">
        <f t="shared" si="39"/>
        <v>0</v>
      </c>
      <c r="Q23" s="2148"/>
      <c r="R23" s="2150"/>
      <c r="S23" s="2152"/>
      <c r="T23" s="2153"/>
      <c r="U23" s="2154">
        <f t="shared" si="0"/>
        <v>0</v>
      </c>
      <c r="V23" s="2155"/>
      <c r="W23" s="2150"/>
      <c r="X23" s="2152"/>
      <c r="Y23" s="2153"/>
      <c r="Z23" s="1572">
        <f t="shared" si="1"/>
        <v>0</v>
      </c>
      <c r="AA23" s="2168">
        <f t="shared" si="9"/>
        <v>0</v>
      </c>
      <c r="AB23" s="2156" t="str">
        <f t="shared" si="2"/>
        <v/>
      </c>
      <c r="AC23" s="1663"/>
      <c r="AD23" s="2158" t="str">
        <f t="shared" si="10"/>
        <v/>
      </c>
      <c r="AE23" s="2159">
        <f t="shared" si="11"/>
        <v>0</v>
      </c>
      <c r="AF23" s="2159">
        <f t="shared" si="12"/>
        <v>0</v>
      </c>
      <c r="AG23" s="2159">
        <f t="shared" si="13"/>
        <v>0</v>
      </c>
      <c r="AH23" s="2159">
        <f t="shared" si="14"/>
        <v>0</v>
      </c>
      <c r="AI23" s="2160">
        <f t="shared" si="3"/>
        <v>0</v>
      </c>
      <c r="AJ23" s="1966">
        <f t="shared" si="15"/>
        <v>1</v>
      </c>
      <c r="AK23" s="2159">
        <f t="shared" si="16"/>
        <v>0</v>
      </c>
      <c r="AL23" s="368" t="e">
        <f t="shared" si="17"/>
        <v>#DIV/0!</v>
      </c>
      <c r="AM23" s="264"/>
      <c r="AN23" s="369">
        <f t="shared" si="18"/>
        <v>0</v>
      </c>
      <c r="AO23" s="1966">
        <f t="shared" si="19"/>
        <v>0</v>
      </c>
      <c r="AP23" s="1966">
        <f t="shared" si="20"/>
        <v>0</v>
      </c>
      <c r="AQ23" s="1966">
        <f t="shared" si="21"/>
        <v>0</v>
      </c>
      <c r="AR23" s="370">
        <f t="shared" si="22"/>
        <v>0</v>
      </c>
      <c r="AT23" s="371">
        <f t="shared" si="4"/>
        <v>0</v>
      </c>
      <c r="AU23" s="1966">
        <f t="shared" si="23"/>
        <v>0</v>
      </c>
      <c r="AV23" s="2161">
        <f t="shared" si="24"/>
        <v>0</v>
      </c>
      <c r="AW23" s="2161">
        <f t="shared" si="25"/>
        <v>0</v>
      </c>
      <c r="AX23" s="1966">
        <f t="shared" si="5"/>
        <v>0</v>
      </c>
      <c r="AY23" s="372">
        <f t="shared" si="6"/>
        <v>0</v>
      </c>
      <c r="AZ23" s="265"/>
      <c r="BA23" s="371">
        <f t="shared" si="26"/>
        <v>0</v>
      </c>
      <c r="BB23" s="1966">
        <f t="shared" si="27"/>
        <v>0</v>
      </c>
      <c r="BC23" s="1966">
        <f t="shared" si="28"/>
        <v>0</v>
      </c>
      <c r="BD23" s="1966">
        <f t="shared" si="29"/>
        <v>0</v>
      </c>
      <c r="BE23" s="372">
        <f t="shared" si="30"/>
        <v>0</v>
      </c>
      <c r="BG23" s="2159">
        <f t="shared" si="31"/>
        <v>46023</v>
      </c>
      <c r="BH23" s="2159">
        <f t="shared" si="32"/>
        <v>46023</v>
      </c>
      <c r="BI23" s="2159">
        <f t="shared" si="33"/>
        <v>46023</v>
      </c>
      <c r="BJ23" s="2159">
        <f t="shared" si="34"/>
        <v>0</v>
      </c>
      <c r="BL23" s="369">
        <f t="shared" si="35"/>
        <v>0</v>
      </c>
      <c r="BM23" s="2159">
        <f t="shared" si="36"/>
        <v>0</v>
      </c>
      <c r="BN23" s="2159">
        <f t="shared" si="37"/>
        <v>0</v>
      </c>
      <c r="BO23" s="373">
        <f t="shared" si="38"/>
        <v>0</v>
      </c>
      <c r="BQ23" s="1871">
        <v>2025</v>
      </c>
      <c r="BT23" s="2054"/>
      <c r="BU23" s="2915"/>
      <c r="BV23" s="2916"/>
      <c r="CF23" s="2054"/>
    </row>
    <row r="24" spans="1:84" ht="45.75" customHeight="1">
      <c r="A24" s="2163"/>
      <c r="B24" s="2146"/>
      <c r="C24" s="2146"/>
      <c r="D24" s="2164"/>
      <c r="E24" s="1573"/>
      <c r="F24" s="2148"/>
      <c r="G24" s="2149" t="str">
        <f t="shared" si="7"/>
        <v/>
      </c>
      <c r="H24" s="2148"/>
      <c r="I24" s="2150"/>
      <c r="J24" s="2148"/>
      <c r="K24" s="2151">
        <f t="shared" si="8"/>
        <v>0</v>
      </c>
      <c r="L24" s="2148"/>
      <c r="M24" s="2150"/>
      <c r="N24" s="2152"/>
      <c r="O24" s="2148"/>
      <c r="P24" s="2151">
        <f t="shared" si="39"/>
        <v>0</v>
      </c>
      <c r="Q24" s="2148"/>
      <c r="R24" s="2150"/>
      <c r="S24" s="2152"/>
      <c r="T24" s="2153"/>
      <c r="U24" s="2154">
        <f t="shared" si="0"/>
        <v>0</v>
      </c>
      <c r="V24" s="2155"/>
      <c r="W24" s="2150"/>
      <c r="X24" s="2152"/>
      <c r="Y24" s="2153"/>
      <c r="Z24" s="1572">
        <f t="shared" si="1"/>
        <v>0</v>
      </c>
      <c r="AA24" s="2168">
        <f t="shared" si="9"/>
        <v>0</v>
      </c>
      <c r="AB24" s="2156" t="str">
        <f t="shared" si="2"/>
        <v/>
      </c>
      <c r="AC24" s="1663"/>
      <c r="AD24" s="2158" t="str">
        <f t="shared" si="10"/>
        <v/>
      </c>
      <c r="AE24" s="2159">
        <f t="shared" si="11"/>
        <v>0</v>
      </c>
      <c r="AF24" s="2159">
        <f t="shared" si="12"/>
        <v>0</v>
      </c>
      <c r="AG24" s="2159">
        <f t="shared" si="13"/>
        <v>0</v>
      </c>
      <c r="AH24" s="2159">
        <f t="shared" si="14"/>
        <v>0</v>
      </c>
      <c r="AI24" s="2160">
        <f t="shared" si="3"/>
        <v>0</v>
      </c>
      <c r="AJ24" s="1966">
        <f t="shared" si="15"/>
        <v>1</v>
      </c>
      <c r="AK24" s="2159">
        <f t="shared" si="16"/>
        <v>0</v>
      </c>
      <c r="AL24" s="368" t="e">
        <f t="shared" si="17"/>
        <v>#DIV/0!</v>
      </c>
      <c r="AM24" s="264"/>
      <c r="AN24" s="369">
        <f t="shared" si="18"/>
        <v>0</v>
      </c>
      <c r="AO24" s="1966">
        <f t="shared" si="19"/>
        <v>0</v>
      </c>
      <c r="AP24" s="1966">
        <f t="shared" si="20"/>
        <v>0</v>
      </c>
      <c r="AQ24" s="1966">
        <f t="shared" si="21"/>
        <v>0</v>
      </c>
      <c r="AR24" s="370">
        <f t="shared" si="22"/>
        <v>0</v>
      </c>
      <c r="AT24" s="371">
        <f t="shared" si="4"/>
        <v>0</v>
      </c>
      <c r="AU24" s="1966">
        <f t="shared" si="23"/>
        <v>0</v>
      </c>
      <c r="AV24" s="2161">
        <f t="shared" si="24"/>
        <v>0</v>
      </c>
      <c r="AW24" s="2161">
        <f t="shared" si="25"/>
        <v>0</v>
      </c>
      <c r="AX24" s="1966">
        <f t="shared" si="5"/>
        <v>0</v>
      </c>
      <c r="AY24" s="372">
        <f t="shared" si="6"/>
        <v>0</v>
      </c>
      <c r="AZ24" s="265"/>
      <c r="BA24" s="371">
        <f t="shared" si="26"/>
        <v>0</v>
      </c>
      <c r="BB24" s="1966">
        <f t="shared" si="27"/>
        <v>0</v>
      </c>
      <c r="BC24" s="1966">
        <f t="shared" si="28"/>
        <v>0</v>
      </c>
      <c r="BD24" s="1966">
        <f t="shared" si="29"/>
        <v>0</v>
      </c>
      <c r="BE24" s="372">
        <f t="shared" si="30"/>
        <v>0</v>
      </c>
      <c r="BG24" s="2159">
        <f t="shared" si="31"/>
        <v>46023</v>
      </c>
      <c r="BH24" s="2159">
        <f t="shared" si="32"/>
        <v>46023</v>
      </c>
      <c r="BI24" s="2159">
        <f t="shared" si="33"/>
        <v>46023</v>
      </c>
      <c r="BJ24" s="2159">
        <f t="shared" si="34"/>
        <v>0</v>
      </c>
      <c r="BL24" s="369">
        <f t="shared" si="35"/>
        <v>0</v>
      </c>
      <c r="BM24" s="2159">
        <f t="shared" si="36"/>
        <v>0</v>
      </c>
      <c r="BN24" s="2159">
        <f t="shared" si="37"/>
        <v>0</v>
      </c>
      <c r="BO24" s="373">
        <f t="shared" si="38"/>
        <v>0</v>
      </c>
      <c r="BQ24" s="1871">
        <v>2026</v>
      </c>
      <c r="BT24" s="2054"/>
      <c r="BU24" s="2919" t="s">
        <v>2845</v>
      </c>
      <c r="BV24" s="2920"/>
      <c r="CF24" s="2054"/>
    </row>
    <row r="25" spans="1:84" ht="45.75" customHeight="1" thickBot="1">
      <c r="A25" s="2163"/>
      <c r="B25" s="2146"/>
      <c r="C25" s="2146"/>
      <c r="D25" s="2164"/>
      <c r="E25" s="1573"/>
      <c r="F25" s="2148"/>
      <c r="G25" s="2149" t="str">
        <f t="shared" si="7"/>
        <v/>
      </c>
      <c r="H25" s="2148"/>
      <c r="I25" s="2150"/>
      <c r="J25" s="2148"/>
      <c r="K25" s="2151">
        <f t="shared" si="8"/>
        <v>0</v>
      </c>
      <c r="L25" s="2148"/>
      <c r="M25" s="2150"/>
      <c r="N25" s="2152"/>
      <c r="O25" s="2148"/>
      <c r="P25" s="2151">
        <f t="shared" si="39"/>
        <v>0</v>
      </c>
      <c r="Q25" s="2148"/>
      <c r="R25" s="2150"/>
      <c r="S25" s="2152"/>
      <c r="T25" s="2153"/>
      <c r="U25" s="2154">
        <f t="shared" si="0"/>
        <v>0</v>
      </c>
      <c r="V25" s="2155"/>
      <c r="W25" s="2150"/>
      <c r="X25" s="2152"/>
      <c r="Y25" s="2153"/>
      <c r="Z25" s="1572">
        <f t="shared" si="1"/>
        <v>0</v>
      </c>
      <c r="AA25" s="2168">
        <f t="shared" si="9"/>
        <v>0</v>
      </c>
      <c r="AB25" s="2156" t="str">
        <f t="shared" si="2"/>
        <v/>
      </c>
      <c r="AC25" s="1663"/>
      <c r="AD25" s="2158" t="str">
        <f t="shared" si="10"/>
        <v/>
      </c>
      <c r="AE25" s="2159">
        <f t="shared" si="11"/>
        <v>0</v>
      </c>
      <c r="AF25" s="2159">
        <f t="shared" si="12"/>
        <v>0</v>
      </c>
      <c r="AG25" s="2159">
        <f t="shared" si="13"/>
        <v>0</v>
      </c>
      <c r="AH25" s="2159">
        <f t="shared" si="14"/>
        <v>0</v>
      </c>
      <c r="AI25" s="2160">
        <f t="shared" si="3"/>
        <v>0</v>
      </c>
      <c r="AJ25" s="1966">
        <f t="shared" si="15"/>
        <v>1</v>
      </c>
      <c r="AK25" s="2159">
        <f t="shared" si="16"/>
        <v>0</v>
      </c>
      <c r="AL25" s="368" t="e">
        <f t="shared" si="17"/>
        <v>#DIV/0!</v>
      </c>
      <c r="AM25" s="264"/>
      <c r="AN25" s="369">
        <f t="shared" si="18"/>
        <v>0</v>
      </c>
      <c r="AO25" s="1966">
        <f t="shared" si="19"/>
        <v>0</v>
      </c>
      <c r="AP25" s="1966">
        <f t="shared" si="20"/>
        <v>0</v>
      </c>
      <c r="AQ25" s="1966">
        <f t="shared" si="21"/>
        <v>0</v>
      </c>
      <c r="AR25" s="370">
        <f t="shared" si="22"/>
        <v>0</v>
      </c>
      <c r="AT25" s="371">
        <f t="shared" si="4"/>
        <v>0</v>
      </c>
      <c r="AU25" s="1966">
        <f t="shared" si="23"/>
        <v>0</v>
      </c>
      <c r="AV25" s="2161">
        <f t="shared" si="24"/>
        <v>0</v>
      </c>
      <c r="AW25" s="2161">
        <f t="shared" si="25"/>
        <v>0</v>
      </c>
      <c r="AX25" s="1966">
        <f t="shared" si="5"/>
        <v>0</v>
      </c>
      <c r="AY25" s="372">
        <f t="shared" si="6"/>
        <v>0</v>
      </c>
      <c r="AZ25" s="265"/>
      <c r="BA25" s="371">
        <f t="shared" si="26"/>
        <v>0</v>
      </c>
      <c r="BB25" s="1966">
        <f t="shared" si="27"/>
        <v>0</v>
      </c>
      <c r="BC25" s="1966">
        <f t="shared" si="28"/>
        <v>0</v>
      </c>
      <c r="BD25" s="1966">
        <f t="shared" si="29"/>
        <v>0</v>
      </c>
      <c r="BE25" s="372">
        <f t="shared" si="30"/>
        <v>0</v>
      </c>
      <c r="BG25" s="2159">
        <f t="shared" si="31"/>
        <v>46023</v>
      </c>
      <c r="BH25" s="2159">
        <f t="shared" si="32"/>
        <v>46023</v>
      </c>
      <c r="BI25" s="2159">
        <f t="shared" si="33"/>
        <v>46023</v>
      </c>
      <c r="BJ25" s="2159">
        <f t="shared" si="34"/>
        <v>0</v>
      </c>
      <c r="BL25" s="369">
        <f t="shared" si="35"/>
        <v>0</v>
      </c>
      <c r="BM25" s="2159">
        <f t="shared" si="36"/>
        <v>0</v>
      </c>
      <c r="BN25" s="2159">
        <f t="shared" si="37"/>
        <v>0</v>
      </c>
      <c r="BO25" s="373">
        <f t="shared" si="38"/>
        <v>0</v>
      </c>
      <c r="BQ25" s="1871">
        <v>2027</v>
      </c>
      <c r="BT25" s="2054"/>
      <c r="BU25" s="2921"/>
      <c r="BV25" s="2922"/>
      <c r="CF25" s="2054"/>
    </row>
    <row r="26" spans="1:84" ht="45.75" customHeight="1" thickBot="1">
      <c r="A26" s="2163"/>
      <c r="B26" s="2146"/>
      <c r="C26" s="2146"/>
      <c r="D26" s="2164"/>
      <c r="E26" s="1573"/>
      <c r="F26" s="2148"/>
      <c r="G26" s="2149" t="str">
        <f t="shared" si="7"/>
        <v/>
      </c>
      <c r="H26" s="2148"/>
      <c r="I26" s="2150"/>
      <c r="J26" s="2148"/>
      <c r="K26" s="2151">
        <f t="shared" si="8"/>
        <v>0</v>
      </c>
      <c r="L26" s="2148"/>
      <c r="M26" s="2150"/>
      <c r="N26" s="2152"/>
      <c r="O26" s="2148"/>
      <c r="P26" s="2151">
        <f t="shared" si="39"/>
        <v>0</v>
      </c>
      <c r="Q26" s="2148"/>
      <c r="R26" s="2150"/>
      <c r="S26" s="2152"/>
      <c r="T26" s="2153"/>
      <c r="U26" s="2154">
        <f t="shared" si="0"/>
        <v>0</v>
      </c>
      <c r="V26" s="2155"/>
      <c r="W26" s="2150"/>
      <c r="X26" s="2152"/>
      <c r="Y26" s="2153"/>
      <c r="Z26" s="1572">
        <f t="shared" si="1"/>
        <v>0</v>
      </c>
      <c r="AA26" s="2168">
        <f t="shared" si="9"/>
        <v>0</v>
      </c>
      <c r="AB26" s="2156" t="str">
        <f t="shared" si="2"/>
        <v/>
      </c>
      <c r="AC26" s="1663"/>
      <c r="AD26" s="2158" t="str">
        <f t="shared" si="10"/>
        <v/>
      </c>
      <c r="AE26" s="2159">
        <f t="shared" si="11"/>
        <v>0</v>
      </c>
      <c r="AF26" s="2159">
        <f t="shared" si="12"/>
        <v>0</v>
      </c>
      <c r="AG26" s="2159">
        <f t="shared" si="13"/>
        <v>0</v>
      </c>
      <c r="AH26" s="2159">
        <f t="shared" si="14"/>
        <v>0</v>
      </c>
      <c r="AI26" s="2160">
        <f t="shared" si="3"/>
        <v>0</v>
      </c>
      <c r="AJ26" s="1966">
        <f t="shared" si="15"/>
        <v>1</v>
      </c>
      <c r="AK26" s="2159">
        <f t="shared" si="16"/>
        <v>0</v>
      </c>
      <c r="AL26" s="368" t="e">
        <f t="shared" si="17"/>
        <v>#DIV/0!</v>
      </c>
      <c r="AM26" s="264"/>
      <c r="AN26" s="369">
        <f t="shared" si="18"/>
        <v>0</v>
      </c>
      <c r="AO26" s="1966">
        <f t="shared" si="19"/>
        <v>0</v>
      </c>
      <c r="AP26" s="1966">
        <f t="shared" si="20"/>
        <v>0</v>
      </c>
      <c r="AQ26" s="1966">
        <f t="shared" si="21"/>
        <v>0</v>
      </c>
      <c r="AR26" s="370">
        <f t="shared" si="22"/>
        <v>0</v>
      </c>
      <c r="AT26" s="371">
        <f t="shared" si="4"/>
        <v>0</v>
      </c>
      <c r="AU26" s="1966">
        <f t="shared" si="23"/>
        <v>0</v>
      </c>
      <c r="AV26" s="2161">
        <f t="shared" si="24"/>
        <v>0</v>
      </c>
      <c r="AW26" s="2161">
        <f t="shared" si="25"/>
        <v>0</v>
      </c>
      <c r="AX26" s="1966">
        <f t="shared" si="5"/>
        <v>0</v>
      </c>
      <c r="AY26" s="372">
        <f t="shared" si="6"/>
        <v>0</v>
      </c>
      <c r="AZ26" s="265"/>
      <c r="BA26" s="371">
        <f t="shared" si="26"/>
        <v>0</v>
      </c>
      <c r="BB26" s="1966">
        <f t="shared" si="27"/>
        <v>0</v>
      </c>
      <c r="BC26" s="1966">
        <f t="shared" si="28"/>
        <v>0</v>
      </c>
      <c r="BD26" s="1966">
        <f t="shared" si="29"/>
        <v>0</v>
      </c>
      <c r="BE26" s="372">
        <f t="shared" si="30"/>
        <v>0</v>
      </c>
      <c r="BG26" s="2159">
        <f t="shared" si="31"/>
        <v>46023</v>
      </c>
      <c r="BH26" s="2159">
        <f t="shared" si="32"/>
        <v>46023</v>
      </c>
      <c r="BI26" s="2159">
        <f t="shared" si="33"/>
        <v>46023</v>
      </c>
      <c r="BJ26" s="2159">
        <f t="shared" si="34"/>
        <v>0</v>
      </c>
      <c r="BL26" s="369">
        <f t="shared" si="35"/>
        <v>0</v>
      </c>
      <c r="BM26" s="2159">
        <f t="shared" si="36"/>
        <v>0</v>
      </c>
      <c r="BN26" s="2159">
        <f t="shared" si="37"/>
        <v>0</v>
      </c>
      <c r="BO26" s="373">
        <f t="shared" si="38"/>
        <v>0</v>
      </c>
      <c r="BQ26" s="1774">
        <v>2028</v>
      </c>
      <c r="BT26" s="2054"/>
      <c r="CF26" s="2054"/>
    </row>
    <row r="27" spans="1:84" ht="45.75" customHeight="1">
      <c r="A27" s="2163"/>
      <c r="B27" s="2146"/>
      <c r="C27" s="2146"/>
      <c r="D27" s="2164"/>
      <c r="E27" s="1573"/>
      <c r="F27" s="2148"/>
      <c r="G27" s="2149" t="str">
        <f t="shared" si="7"/>
        <v/>
      </c>
      <c r="H27" s="2148"/>
      <c r="I27" s="2150"/>
      <c r="J27" s="2148"/>
      <c r="K27" s="2151">
        <f t="shared" si="8"/>
        <v>0</v>
      </c>
      <c r="L27" s="2148"/>
      <c r="M27" s="2150"/>
      <c r="N27" s="2152"/>
      <c r="O27" s="2148"/>
      <c r="P27" s="2151">
        <f t="shared" si="39"/>
        <v>0</v>
      </c>
      <c r="Q27" s="2148"/>
      <c r="R27" s="2150"/>
      <c r="S27" s="2152"/>
      <c r="T27" s="2153"/>
      <c r="U27" s="2154">
        <f t="shared" si="0"/>
        <v>0</v>
      </c>
      <c r="V27" s="2155"/>
      <c r="W27" s="2150"/>
      <c r="X27" s="2152"/>
      <c r="Y27" s="2153"/>
      <c r="Z27" s="1572">
        <f t="shared" si="1"/>
        <v>0</v>
      </c>
      <c r="AA27" s="2168">
        <f t="shared" si="9"/>
        <v>0</v>
      </c>
      <c r="AB27" s="2156" t="str">
        <f t="shared" si="2"/>
        <v/>
      </c>
      <c r="AC27" s="1663"/>
      <c r="AD27" s="2158" t="str">
        <f t="shared" si="10"/>
        <v/>
      </c>
      <c r="AE27" s="2159">
        <f t="shared" si="11"/>
        <v>0</v>
      </c>
      <c r="AF27" s="2159">
        <f t="shared" si="12"/>
        <v>0</v>
      </c>
      <c r="AG27" s="2159">
        <f t="shared" si="13"/>
        <v>0</v>
      </c>
      <c r="AH27" s="2159">
        <f t="shared" si="14"/>
        <v>0</v>
      </c>
      <c r="AI27" s="2160">
        <f t="shared" si="3"/>
        <v>0</v>
      </c>
      <c r="AJ27" s="1966">
        <f t="shared" si="15"/>
        <v>1</v>
      </c>
      <c r="AK27" s="2159">
        <f t="shared" si="16"/>
        <v>0</v>
      </c>
      <c r="AL27" s="368" t="e">
        <f t="shared" si="17"/>
        <v>#DIV/0!</v>
      </c>
      <c r="AM27" s="264"/>
      <c r="AN27" s="369">
        <f t="shared" si="18"/>
        <v>0</v>
      </c>
      <c r="AO27" s="1966">
        <f t="shared" si="19"/>
        <v>0</v>
      </c>
      <c r="AP27" s="1966">
        <f t="shared" si="20"/>
        <v>0</v>
      </c>
      <c r="AQ27" s="1966">
        <f t="shared" si="21"/>
        <v>0</v>
      </c>
      <c r="AR27" s="370">
        <f t="shared" si="22"/>
        <v>0</v>
      </c>
      <c r="AT27" s="371">
        <f t="shared" si="4"/>
        <v>0</v>
      </c>
      <c r="AU27" s="1966">
        <f t="shared" si="23"/>
        <v>0</v>
      </c>
      <c r="AV27" s="2161">
        <f t="shared" si="24"/>
        <v>0</v>
      </c>
      <c r="AW27" s="2161">
        <f t="shared" si="25"/>
        <v>0</v>
      </c>
      <c r="AX27" s="1966">
        <f t="shared" si="5"/>
        <v>0</v>
      </c>
      <c r="AY27" s="372">
        <f t="shared" si="6"/>
        <v>0</v>
      </c>
      <c r="AZ27" s="265"/>
      <c r="BA27" s="371">
        <f t="shared" si="26"/>
        <v>0</v>
      </c>
      <c r="BB27" s="1966">
        <f t="shared" si="27"/>
        <v>0</v>
      </c>
      <c r="BC27" s="1966">
        <f t="shared" si="28"/>
        <v>0</v>
      </c>
      <c r="BD27" s="1966">
        <f t="shared" si="29"/>
        <v>0</v>
      </c>
      <c r="BE27" s="372">
        <f t="shared" si="30"/>
        <v>0</v>
      </c>
      <c r="BG27" s="2159">
        <f t="shared" si="31"/>
        <v>46023</v>
      </c>
      <c r="BH27" s="2159">
        <f t="shared" si="32"/>
        <v>46023</v>
      </c>
      <c r="BI27" s="2159">
        <f t="shared" si="33"/>
        <v>46023</v>
      </c>
      <c r="BJ27" s="2159">
        <f t="shared" si="34"/>
        <v>0</v>
      </c>
      <c r="BL27" s="369">
        <f t="shared" si="35"/>
        <v>0</v>
      </c>
      <c r="BM27" s="2159">
        <f t="shared" si="36"/>
        <v>0</v>
      </c>
      <c r="BN27" s="2159">
        <f t="shared" si="37"/>
        <v>0</v>
      </c>
      <c r="BO27" s="373">
        <f t="shared" si="38"/>
        <v>0</v>
      </c>
      <c r="BT27" s="2054"/>
      <c r="CF27" s="2054"/>
    </row>
    <row r="28" spans="1:84" ht="45.75" customHeight="1">
      <c r="A28" s="2163"/>
      <c r="B28" s="2146"/>
      <c r="C28" s="2146"/>
      <c r="D28" s="2164"/>
      <c r="E28" s="1573"/>
      <c r="F28" s="2148"/>
      <c r="G28" s="2149" t="str">
        <f t="shared" si="7"/>
        <v/>
      </c>
      <c r="H28" s="2148"/>
      <c r="I28" s="2150"/>
      <c r="J28" s="2148"/>
      <c r="K28" s="2151">
        <f t="shared" si="8"/>
        <v>0</v>
      </c>
      <c r="L28" s="2148"/>
      <c r="M28" s="2150"/>
      <c r="N28" s="2152"/>
      <c r="O28" s="2148"/>
      <c r="P28" s="2151">
        <f t="shared" si="39"/>
        <v>0</v>
      </c>
      <c r="Q28" s="2148"/>
      <c r="R28" s="2150"/>
      <c r="S28" s="2152"/>
      <c r="T28" s="2153"/>
      <c r="U28" s="2154">
        <f t="shared" si="0"/>
        <v>0</v>
      </c>
      <c r="V28" s="2155"/>
      <c r="W28" s="2150"/>
      <c r="X28" s="2152"/>
      <c r="Y28" s="2153"/>
      <c r="Z28" s="1572">
        <f t="shared" si="1"/>
        <v>0</v>
      </c>
      <c r="AA28" s="2168">
        <f t="shared" si="9"/>
        <v>0</v>
      </c>
      <c r="AB28" s="2156" t="str">
        <f t="shared" si="2"/>
        <v/>
      </c>
      <c r="AC28" s="1663"/>
      <c r="AD28" s="2158" t="str">
        <f t="shared" si="10"/>
        <v/>
      </c>
      <c r="AE28" s="2159">
        <f t="shared" si="11"/>
        <v>0</v>
      </c>
      <c r="AF28" s="2159">
        <f t="shared" si="12"/>
        <v>0</v>
      </c>
      <c r="AG28" s="2159">
        <f t="shared" si="13"/>
        <v>0</v>
      </c>
      <c r="AH28" s="2159">
        <f t="shared" si="14"/>
        <v>0</v>
      </c>
      <c r="AI28" s="2160">
        <f t="shared" si="3"/>
        <v>0</v>
      </c>
      <c r="AJ28" s="1966">
        <f t="shared" si="15"/>
        <v>1</v>
      </c>
      <c r="AK28" s="2159">
        <f t="shared" si="16"/>
        <v>0</v>
      </c>
      <c r="AL28" s="368" t="e">
        <f t="shared" si="17"/>
        <v>#DIV/0!</v>
      </c>
      <c r="AM28" s="264"/>
      <c r="AN28" s="369">
        <f t="shared" si="18"/>
        <v>0</v>
      </c>
      <c r="AO28" s="1966">
        <f t="shared" si="19"/>
        <v>0</v>
      </c>
      <c r="AP28" s="1966">
        <f t="shared" si="20"/>
        <v>0</v>
      </c>
      <c r="AQ28" s="1966">
        <f t="shared" si="21"/>
        <v>0</v>
      </c>
      <c r="AR28" s="370">
        <f t="shared" si="22"/>
        <v>0</v>
      </c>
      <c r="AT28" s="371">
        <f t="shared" si="4"/>
        <v>0</v>
      </c>
      <c r="AU28" s="1966">
        <f t="shared" si="23"/>
        <v>0</v>
      </c>
      <c r="AV28" s="2161">
        <f t="shared" si="24"/>
        <v>0</v>
      </c>
      <c r="AW28" s="2161">
        <f t="shared" si="25"/>
        <v>0</v>
      </c>
      <c r="AX28" s="1966">
        <f t="shared" si="5"/>
        <v>0</v>
      </c>
      <c r="AY28" s="372">
        <f t="shared" si="6"/>
        <v>0</v>
      </c>
      <c r="AZ28" s="265"/>
      <c r="BA28" s="371">
        <f t="shared" si="26"/>
        <v>0</v>
      </c>
      <c r="BB28" s="1966">
        <f t="shared" si="27"/>
        <v>0</v>
      </c>
      <c r="BC28" s="1966">
        <f t="shared" si="28"/>
        <v>0</v>
      </c>
      <c r="BD28" s="1966">
        <f t="shared" si="29"/>
        <v>0</v>
      </c>
      <c r="BE28" s="372">
        <f t="shared" si="30"/>
        <v>0</v>
      </c>
      <c r="BG28" s="2159">
        <f t="shared" si="31"/>
        <v>46023</v>
      </c>
      <c r="BH28" s="2159">
        <f t="shared" si="32"/>
        <v>46023</v>
      </c>
      <c r="BI28" s="2159">
        <f t="shared" si="33"/>
        <v>46023</v>
      </c>
      <c r="BJ28" s="2159">
        <f t="shared" si="34"/>
        <v>0</v>
      </c>
      <c r="BL28" s="369">
        <f t="shared" si="35"/>
        <v>0</v>
      </c>
      <c r="BM28" s="2159">
        <f t="shared" si="36"/>
        <v>0</v>
      </c>
      <c r="BN28" s="2159">
        <f t="shared" si="37"/>
        <v>0</v>
      </c>
      <c r="BO28" s="373">
        <f t="shared" si="38"/>
        <v>0</v>
      </c>
      <c r="BT28" s="2054"/>
      <c r="CF28" s="2054"/>
    </row>
    <row r="29" spans="1:84" ht="45.75" customHeight="1">
      <c r="A29" s="2163"/>
      <c r="B29" s="2146"/>
      <c r="C29" s="2146"/>
      <c r="D29" s="2164"/>
      <c r="E29" s="1573"/>
      <c r="F29" s="2148"/>
      <c r="G29" s="2149" t="str">
        <f t="shared" si="7"/>
        <v/>
      </c>
      <c r="H29" s="2148"/>
      <c r="I29" s="2150"/>
      <c r="J29" s="2148"/>
      <c r="K29" s="2151">
        <f t="shared" si="8"/>
        <v>0</v>
      </c>
      <c r="L29" s="2148"/>
      <c r="M29" s="2150"/>
      <c r="N29" s="2152"/>
      <c r="O29" s="2148"/>
      <c r="P29" s="2151">
        <f t="shared" si="39"/>
        <v>0</v>
      </c>
      <c r="Q29" s="2148"/>
      <c r="R29" s="2150"/>
      <c r="S29" s="2152"/>
      <c r="T29" s="2153"/>
      <c r="U29" s="2154">
        <f t="shared" si="0"/>
        <v>0</v>
      </c>
      <c r="V29" s="2155"/>
      <c r="W29" s="2150"/>
      <c r="X29" s="2152"/>
      <c r="Y29" s="2153"/>
      <c r="Z29" s="1572">
        <f t="shared" si="1"/>
        <v>0</v>
      </c>
      <c r="AA29" s="2168">
        <f t="shared" si="9"/>
        <v>0</v>
      </c>
      <c r="AB29" s="2156" t="str">
        <f t="shared" si="2"/>
        <v/>
      </c>
      <c r="AC29" s="1663"/>
      <c r="AD29" s="2158" t="str">
        <f t="shared" si="10"/>
        <v/>
      </c>
      <c r="AE29" s="2159">
        <f t="shared" si="11"/>
        <v>0</v>
      </c>
      <c r="AF29" s="2159">
        <f t="shared" si="12"/>
        <v>0</v>
      </c>
      <c r="AG29" s="2159">
        <f t="shared" si="13"/>
        <v>0</v>
      </c>
      <c r="AH29" s="2159">
        <f t="shared" si="14"/>
        <v>0</v>
      </c>
      <c r="AI29" s="2160">
        <f t="shared" si="3"/>
        <v>0</v>
      </c>
      <c r="AJ29" s="1966">
        <f t="shared" si="15"/>
        <v>1</v>
      </c>
      <c r="AK29" s="2159">
        <f t="shared" si="16"/>
        <v>0</v>
      </c>
      <c r="AL29" s="368" t="e">
        <f t="shared" si="17"/>
        <v>#DIV/0!</v>
      </c>
      <c r="AM29" s="264"/>
      <c r="AN29" s="369">
        <f t="shared" si="18"/>
        <v>0</v>
      </c>
      <c r="AO29" s="1966">
        <f t="shared" si="19"/>
        <v>0</v>
      </c>
      <c r="AP29" s="1966">
        <f t="shared" si="20"/>
        <v>0</v>
      </c>
      <c r="AQ29" s="1966">
        <f t="shared" si="21"/>
        <v>0</v>
      </c>
      <c r="AR29" s="370">
        <f t="shared" si="22"/>
        <v>0</v>
      </c>
      <c r="AT29" s="371">
        <f t="shared" si="4"/>
        <v>0</v>
      </c>
      <c r="AU29" s="1966">
        <f t="shared" si="23"/>
        <v>0</v>
      </c>
      <c r="AV29" s="2161">
        <f t="shared" si="24"/>
        <v>0</v>
      </c>
      <c r="AW29" s="2161">
        <f t="shared" si="25"/>
        <v>0</v>
      </c>
      <c r="AX29" s="1966">
        <f t="shared" si="5"/>
        <v>0</v>
      </c>
      <c r="AY29" s="372">
        <f t="shared" si="6"/>
        <v>0</v>
      </c>
      <c r="AZ29" s="265"/>
      <c r="BA29" s="371">
        <f t="shared" si="26"/>
        <v>0</v>
      </c>
      <c r="BB29" s="1966">
        <f t="shared" si="27"/>
        <v>0</v>
      </c>
      <c r="BC29" s="1966">
        <f t="shared" si="28"/>
        <v>0</v>
      </c>
      <c r="BD29" s="1966">
        <f t="shared" si="29"/>
        <v>0</v>
      </c>
      <c r="BE29" s="372">
        <f t="shared" si="30"/>
        <v>0</v>
      </c>
      <c r="BG29" s="2159">
        <f t="shared" si="31"/>
        <v>46023</v>
      </c>
      <c r="BH29" s="2159">
        <f t="shared" si="32"/>
        <v>46023</v>
      </c>
      <c r="BI29" s="2159">
        <f t="shared" si="33"/>
        <v>46023</v>
      </c>
      <c r="BJ29" s="2159">
        <f t="shared" si="34"/>
        <v>0</v>
      </c>
      <c r="BL29" s="369">
        <f t="shared" si="35"/>
        <v>0</v>
      </c>
      <c r="BM29" s="2159">
        <f t="shared" si="36"/>
        <v>0</v>
      </c>
      <c r="BN29" s="2159">
        <f t="shared" si="37"/>
        <v>0</v>
      </c>
      <c r="BO29" s="373">
        <f t="shared" si="38"/>
        <v>0</v>
      </c>
      <c r="BT29" s="2054"/>
      <c r="CF29" s="2054"/>
    </row>
    <row r="30" spans="1:84" ht="45.75" customHeight="1">
      <c r="A30" s="2163"/>
      <c r="B30" s="2146"/>
      <c r="C30" s="2146"/>
      <c r="D30" s="2164"/>
      <c r="E30" s="1573"/>
      <c r="F30" s="2148"/>
      <c r="G30" s="2149" t="str">
        <f t="shared" si="7"/>
        <v/>
      </c>
      <c r="H30" s="2148"/>
      <c r="I30" s="2150"/>
      <c r="J30" s="2148"/>
      <c r="K30" s="2151">
        <f t="shared" si="8"/>
        <v>0</v>
      </c>
      <c r="L30" s="2148"/>
      <c r="M30" s="2150"/>
      <c r="N30" s="2152"/>
      <c r="O30" s="2148"/>
      <c r="P30" s="2151">
        <f t="shared" si="39"/>
        <v>0</v>
      </c>
      <c r="Q30" s="2148"/>
      <c r="R30" s="2150"/>
      <c r="S30" s="2152"/>
      <c r="T30" s="2153"/>
      <c r="U30" s="2154">
        <f t="shared" si="0"/>
        <v>0</v>
      </c>
      <c r="V30" s="2155"/>
      <c r="W30" s="2150"/>
      <c r="X30" s="2152"/>
      <c r="Y30" s="2153"/>
      <c r="Z30" s="1572">
        <f t="shared" si="1"/>
        <v>0</v>
      </c>
      <c r="AA30" s="2168">
        <f t="shared" si="9"/>
        <v>0</v>
      </c>
      <c r="AB30" s="2156" t="str">
        <f t="shared" si="2"/>
        <v/>
      </c>
      <c r="AC30" s="1663"/>
      <c r="AD30" s="2158" t="str">
        <f t="shared" si="10"/>
        <v/>
      </c>
      <c r="AE30" s="2159">
        <f t="shared" si="11"/>
        <v>0</v>
      </c>
      <c r="AF30" s="2159">
        <f t="shared" si="12"/>
        <v>0</v>
      </c>
      <c r="AG30" s="2159">
        <f t="shared" si="13"/>
        <v>0</v>
      </c>
      <c r="AH30" s="2159">
        <f t="shared" si="14"/>
        <v>0</v>
      </c>
      <c r="AI30" s="2160">
        <f t="shared" si="3"/>
        <v>0</v>
      </c>
      <c r="AJ30" s="1966">
        <f t="shared" si="15"/>
        <v>1</v>
      </c>
      <c r="AK30" s="2159">
        <f t="shared" si="16"/>
        <v>0</v>
      </c>
      <c r="AL30" s="368" t="e">
        <f t="shared" si="17"/>
        <v>#DIV/0!</v>
      </c>
      <c r="AM30" s="264"/>
      <c r="AN30" s="369">
        <f t="shared" si="18"/>
        <v>0</v>
      </c>
      <c r="AO30" s="1966">
        <f t="shared" si="19"/>
        <v>0</v>
      </c>
      <c r="AP30" s="1966">
        <f t="shared" si="20"/>
        <v>0</v>
      </c>
      <c r="AQ30" s="1966">
        <f t="shared" si="21"/>
        <v>0</v>
      </c>
      <c r="AR30" s="370">
        <f t="shared" si="22"/>
        <v>0</v>
      </c>
      <c r="AT30" s="371">
        <f t="shared" si="4"/>
        <v>0</v>
      </c>
      <c r="AU30" s="1966">
        <f t="shared" si="23"/>
        <v>0</v>
      </c>
      <c r="AV30" s="2161">
        <f t="shared" si="24"/>
        <v>0</v>
      </c>
      <c r="AW30" s="2161">
        <f t="shared" si="25"/>
        <v>0</v>
      </c>
      <c r="AX30" s="1966">
        <f t="shared" si="5"/>
        <v>0</v>
      </c>
      <c r="AY30" s="372">
        <f t="shared" si="6"/>
        <v>0</v>
      </c>
      <c r="AZ30" s="265"/>
      <c r="BA30" s="371">
        <f t="shared" si="26"/>
        <v>0</v>
      </c>
      <c r="BB30" s="1966">
        <f t="shared" si="27"/>
        <v>0</v>
      </c>
      <c r="BC30" s="1966">
        <f t="shared" si="28"/>
        <v>0</v>
      </c>
      <c r="BD30" s="1966">
        <f t="shared" si="29"/>
        <v>0</v>
      </c>
      <c r="BE30" s="372">
        <f t="shared" si="30"/>
        <v>0</v>
      </c>
      <c r="BG30" s="2159">
        <f t="shared" si="31"/>
        <v>46023</v>
      </c>
      <c r="BH30" s="2159">
        <f t="shared" si="32"/>
        <v>46023</v>
      </c>
      <c r="BI30" s="2159">
        <f t="shared" si="33"/>
        <v>46023</v>
      </c>
      <c r="BJ30" s="2159">
        <f t="shared" si="34"/>
        <v>0</v>
      </c>
      <c r="BL30" s="369">
        <f t="shared" si="35"/>
        <v>0</v>
      </c>
      <c r="BM30" s="2159">
        <f t="shared" si="36"/>
        <v>0</v>
      </c>
      <c r="BN30" s="2159">
        <f t="shared" si="37"/>
        <v>0</v>
      </c>
      <c r="BO30" s="373">
        <f t="shared" si="38"/>
        <v>0</v>
      </c>
      <c r="BT30" s="2054"/>
      <c r="CF30" s="2054"/>
    </row>
    <row r="31" spans="1:84" ht="45.75" customHeight="1">
      <c r="A31" s="2163"/>
      <c r="B31" s="2146"/>
      <c r="C31" s="2146"/>
      <c r="D31" s="2164"/>
      <c r="E31" s="1573"/>
      <c r="F31" s="2148"/>
      <c r="G31" s="2149" t="str">
        <f t="shared" si="7"/>
        <v/>
      </c>
      <c r="H31" s="2148"/>
      <c r="I31" s="2150"/>
      <c r="J31" s="2148"/>
      <c r="K31" s="2151">
        <f t="shared" si="8"/>
        <v>0</v>
      </c>
      <c r="L31" s="2148"/>
      <c r="M31" s="2150"/>
      <c r="N31" s="2152"/>
      <c r="O31" s="2148"/>
      <c r="P31" s="2151">
        <f t="shared" si="39"/>
        <v>0</v>
      </c>
      <c r="Q31" s="2148"/>
      <c r="R31" s="2150"/>
      <c r="S31" s="2152"/>
      <c r="T31" s="2153"/>
      <c r="U31" s="2154">
        <f t="shared" si="0"/>
        <v>0</v>
      </c>
      <c r="V31" s="2155"/>
      <c r="W31" s="2150"/>
      <c r="X31" s="2152"/>
      <c r="Y31" s="2153"/>
      <c r="Z31" s="1572">
        <f t="shared" si="1"/>
        <v>0</v>
      </c>
      <c r="AA31" s="2168">
        <f t="shared" si="9"/>
        <v>0</v>
      </c>
      <c r="AB31" s="2156" t="str">
        <f t="shared" si="2"/>
        <v/>
      </c>
      <c r="AC31" s="1663"/>
      <c r="AD31" s="2158" t="str">
        <f t="shared" si="10"/>
        <v/>
      </c>
      <c r="AE31" s="2159">
        <f t="shared" si="11"/>
        <v>0</v>
      </c>
      <c r="AF31" s="2159">
        <f t="shared" si="12"/>
        <v>0</v>
      </c>
      <c r="AG31" s="2159">
        <f t="shared" si="13"/>
        <v>0</v>
      </c>
      <c r="AH31" s="2159">
        <f t="shared" si="14"/>
        <v>0</v>
      </c>
      <c r="AI31" s="2160">
        <f t="shared" si="3"/>
        <v>0</v>
      </c>
      <c r="AJ31" s="1966">
        <f t="shared" si="15"/>
        <v>1</v>
      </c>
      <c r="AK31" s="2159">
        <f t="shared" si="16"/>
        <v>0</v>
      </c>
      <c r="AL31" s="368" t="e">
        <f t="shared" si="17"/>
        <v>#DIV/0!</v>
      </c>
      <c r="AM31" s="264"/>
      <c r="AN31" s="369">
        <f t="shared" si="18"/>
        <v>0</v>
      </c>
      <c r="AO31" s="1966">
        <f t="shared" si="19"/>
        <v>0</v>
      </c>
      <c r="AP31" s="1966">
        <f t="shared" si="20"/>
        <v>0</v>
      </c>
      <c r="AQ31" s="1966">
        <f t="shared" si="21"/>
        <v>0</v>
      </c>
      <c r="AR31" s="370">
        <f t="shared" si="22"/>
        <v>0</v>
      </c>
      <c r="AT31" s="371">
        <f t="shared" si="4"/>
        <v>0</v>
      </c>
      <c r="AU31" s="1966">
        <f t="shared" si="23"/>
        <v>0</v>
      </c>
      <c r="AV31" s="2161">
        <f t="shared" si="24"/>
        <v>0</v>
      </c>
      <c r="AW31" s="2161">
        <f t="shared" si="25"/>
        <v>0</v>
      </c>
      <c r="AX31" s="1966">
        <f t="shared" si="5"/>
        <v>0</v>
      </c>
      <c r="AY31" s="372">
        <f t="shared" si="6"/>
        <v>0</v>
      </c>
      <c r="AZ31" s="265"/>
      <c r="BA31" s="371">
        <f t="shared" si="26"/>
        <v>0</v>
      </c>
      <c r="BB31" s="1966">
        <f t="shared" si="27"/>
        <v>0</v>
      </c>
      <c r="BC31" s="1966">
        <f t="shared" si="28"/>
        <v>0</v>
      </c>
      <c r="BD31" s="1966">
        <f t="shared" si="29"/>
        <v>0</v>
      </c>
      <c r="BE31" s="372">
        <f t="shared" si="30"/>
        <v>0</v>
      </c>
      <c r="BG31" s="2159">
        <f t="shared" si="31"/>
        <v>46023</v>
      </c>
      <c r="BH31" s="2159">
        <f t="shared" si="32"/>
        <v>46023</v>
      </c>
      <c r="BI31" s="2159">
        <f t="shared" si="33"/>
        <v>46023</v>
      </c>
      <c r="BJ31" s="2159">
        <f t="shared" si="34"/>
        <v>0</v>
      </c>
      <c r="BL31" s="369">
        <f t="shared" si="35"/>
        <v>0</v>
      </c>
      <c r="BM31" s="2159">
        <f t="shared" si="36"/>
        <v>0</v>
      </c>
      <c r="BN31" s="2159">
        <f t="shared" si="37"/>
        <v>0</v>
      </c>
      <c r="BO31" s="373">
        <f t="shared" si="38"/>
        <v>0</v>
      </c>
      <c r="BT31" s="2054"/>
      <c r="CF31" s="2054"/>
    </row>
    <row r="32" spans="1:84" ht="45.75" customHeight="1">
      <c r="A32" s="2163"/>
      <c r="B32" s="2146"/>
      <c r="C32" s="2146"/>
      <c r="D32" s="2164"/>
      <c r="E32" s="1573"/>
      <c r="F32" s="2148"/>
      <c r="G32" s="2149" t="str">
        <f t="shared" si="7"/>
        <v/>
      </c>
      <c r="H32" s="2148"/>
      <c r="I32" s="2150"/>
      <c r="J32" s="2148"/>
      <c r="K32" s="2151">
        <f t="shared" si="8"/>
        <v>0</v>
      </c>
      <c r="L32" s="2148"/>
      <c r="M32" s="2150"/>
      <c r="N32" s="2152"/>
      <c r="O32" s="2148"/>
      <c r="P32" s="2151">
        <f t="shared" si="39"/>
        <v>0</v>
      </c>
      <c r="Q32" s="2148"/>
      <c r="R32" s="2150"/>
      <c r="S32" s="2152"/>
      <c r="T32" s="2153"/>
      <c r="U32" s="2154">
        <f t="shared" si="0"/>
        <v>0</v>
      </c>
      <c r="V32" s="2155"/>
      <c r="W32" s="2150"/>
      <c r="X32" s="2152"/>
      <c r="Y32" s="2153"/>
      <c r="Z32" s="1572">
        <f t="shared" si="1"/>
        <v>0</v>
      </c>
      <c r="AA32" s="2168">
        <f t="shared" si="9"/>
        <v>0</v>
      </c>
      <c r="AB32" s="2156" t="str">
        <f t="shared" si="2"/>
        <v/>
      </c>
      <c r="AC32" s="1663"/>
      <c r="AD32" s="2158" t="str">
        <f t="shared" si="10"/>
        <v/>
      </c>
      <c r="AE32" s="2159">
        <f t="shared" si="11"/>
        <v>0</v>
      </c>
      <c r="AF32" s="2159">
        <f t="shared" si="12"/>
        <v>0</v>
      </c>
      <c r="AG32" s="2159">
        <f t="shared" si="13"/>
        <v>0</v>
      </c>
      <c r="AH32" s="2159">
        <f t="shared" si="14"/>
        <v>0</v>
      </c>
      <c r="AI32" s="2160">
        <f t="shared" si="3"/>
        <v>0</v>
      </c>
      <c r="AJ32" s="1966">
        <f t="shared" si="15"/>
        <v>1</v>
      </c>
      <c r="AK32" s="2159">
        <f t="shared" si="16"/>
        <v>0</v>
      </c>
      <c r="AL32" s="368" t="e">
        <f t="shared" si="17"/>
        <v>#DIV/0!</v>
      </c>
      <c r="AM32" s="264"/>
      <c r="AN32" s="369">
        <f t="shared" si="18"/>
        <v>0</v>
      </c>
      <c r="AO32" s="1966">
        <f t="shared" si="19"/>
        <v>0</v>
      </c>
      <c r="AP32" s="1966">
        <f t="shared" si="20"/>
        <v>0</v>
      </c>
      <c r="AQ32" s="1966">
        <f t="shared" si="21"/>
        <v>0</v>
      </c>
      <c r="AR32" s="370">
        <f t="shared" si="22"/>
        <v>0</v>
      </c>
      <c r="AT32" s="371">
        <f t="shared" si="4"/>
        <v>0</v>
      </c>
      <c r="AU32" s="1966">
        <f t="shared" si="23"/>
        <v>0</v>
      </c>
      <c r="AV32" s="2161">
        <f t="shared" si="24"/>
        <v>0</v>
      </c>
      <c r="AW32" s="2161">
        <f t="shared" si="25"/>
        <v>0</v>
      </c>
      <c r="AX32" s="1966">
        <f t="shared" si="5"/>
        <v>0</v>
      </c>
      <c r="AY32" s="372">
        <f t="shared" si="6"/>
        <v>0</v>
      </c>
      <c r="AZ32" s="265"/>
      <c r="BA32" s="371">
        <f t="shared" si="26"/>
        <v>0</v>
      </c>
      <c r="BB32" s="1966">
        <f t="shared" si="27"/>
        <v>0</v>
      </c>
      <c r="BC32" s="1966">
        <f t="shared" si="28"/>
        <v>0</v>
      </c>
      <c r="BD32" s="1966">
        <f t="shared" si="29"/>
        <v>0</v>
      </c>
      <c r="BE32" s="372">
        <f t="shared" si="30"/>
        <v>0</v>
      </c>
      <c r="BG32" s="2159">
        <f t="shared" si="31"/>
        <v>46023</v>
      </c>
      <c r="BH32" s="2159">
        <f t="shared" si="32"/>
        <v>46023</v>
      </c>
      <c r="BI32" s="2159">
        <f t="shared" si="33"/>
        <v>46023</v>
      </c>
      <c r="BJ32" s="2159">
        <f t="shared" si="34"/>
        <v>0</v>
      </c>
      <c r="BL32" s="369">
        <f t="shared" si="35"/>
        <v>0</v>
      </c>
      <c r="BM32" s="2159">
        <f t="shared" si="36"/>
        <v>0</v>
      </c>
      <c r="BN32" s="2159">
        <f t="shared" si="37"/>
        <v>0</v>
      </c>
      <c r="BO32" s="373">
        <f t="shared" si="38"/>
        <v>0</v>
      </c>
      <c r="BT32" s="2054"/>
      <c r="CF32" s="2054"/>
    </row>
    <row r="33" spans="1:84" ht="45.75" customHeight="1">
      <c r="A33" s="2163"/>
      <c r="B33" s="2146"/>
      <c r="C33" s="2146"/>
      <c r="D33" s="2164"/>
      <c r="E33" s="1573"/>
      <c r="F33" s="2148"/>
      <c r="G33" s="2149" t="str">
        <f t="shared" si="7"/>
        <v/>
      </c>
      <c r="H33" s="2148"/>
      <c r="I33" s="2150"/>
      <c r="J33" s="2148"/>
      <c r="K33" s="2151">
        <f t="shared" si="8"/>
        <v>0</v>
      </c>
      <c r="L33" s="2148"/>
      <c r="M33" s="2150"/>
      <c r="N33" s="2152"/>
      <c r="O33" s="2148"/>
      <c r="P33" s="2151">
        <f t="shared" si="39"/>
        <v>0</v>
      </c>
      <c r="Q33" s="2148"/>
      <c r="R33" s="2150"/>
      <c r="S33" s="2152"/>
      <c r="T33" s="2153"/>
      <c r="U33" s="2154">
        <f t="shared" si="0"/>
        <v>0</v>
      </c>
      <c r="V33" s="2155"/>
      <c r="W33" s="2150"/>
      <c r="X33" s="2152"/>
      <c r="Y33" s="2153"/>
      <c r="Z33" s="1572">
        <f t="shared" si="1"/>
        <v>0</v>
      </c>
      <c r="AA33" s="2168">
        <f t="shared" si="9"/>
        <v>0</v>
      </c>
      <c r="AB33" s="2156" t="str">
        <f t="shared" si="2"/>
        <v/>
      </c>
      <c r="AC33" s="1663"/>
      <c r="AD33" s="2158" t="str">
        <f t="shared" si="10"/>
        <v/>
      </c>
      <c r="AE33" s="2159">
        <f t="shared" si="11"/>
        <v>0</v>
      </c>
      <c r="AF33" s="2159">
        <f t="shared" si="12"/>
        <v>0</v>
      </c>
      <c r="AG33" s="2159">
        <f t="shared" si="13"/>
        <v>0</v>
      </c>
      <c r="AH33" s="2159">
        <f t="shared" si="14"/>
        <v>0</v>
      </c>
      <c r="AI33" s="2160">
        <f t="shared" si="3"/>
        <v>0</v>
      </c>
      <c r="AJ33" s="1966">
        <f t="shared" si="15"/>
        <v>1</v>
      </c>
      <c r="AK33" s="2159">
        <f t="shared" si="16"/>
        <v>0</v>
      </c>
      <c r="AL33" s="368" t="e">
        <f t="shared" si="17"/>
        <v>#DIV/0!</v>
      </c>
      <c r="AM33" s="264"/>
      <c r="AN33" s="369">
        <f t="shared" si="18"/>
        <v>0</v>
      </c>
      <c r="AO33" s="1966">
        <f t="shared" si="19"/>
        <v>0</v>
      </c>
      <c r="AP33" s="1966">
        <f t="shared" si="20"/>
        <v>0</v>
      </c>
      <c r="AQ33" s="1966">
        <f t="shared" si="21"/>
        <v>0</v>
      </c>
      <c r="AR33" s="370">
        <f t="shared" si="22"/>
        <v>0</v>
      </c>
      <c r="AT33" s="371">
        <f t="shared" si="4"/>
        <v>0</v>
      </c>
      <c r="AU33" s="1966">
        <f t="shared" si="23"/>
        <v>0</v>
      </c>
      <c r="AV33" s="2161">
        <f t="shared" si="24"/>
        <v>0</v>
      </c>
      <c r="AW33" s="2161">
        <f t="shared" si="25"/>
        <v>0</v>
      </c>
      <c r="AX33" s="1966">
        <f t="shared" si="5"/>
        <v>0</v>
      </c>
      <c r="AY33" s="372">
        <f t="shared" si="6"/>
        <v>0</v>
      </c>
      <c r="AZ33" s="265"/>
      <c r="BA33" s="371">
        <f t="shared" si="26"/>
        <v>0</v>
      </c>
      <c r="BB33" s="1966">
        <f t="shared" si="27"/>
        <v>0</v>
      </c>
      <c r="BC33" s="1966">
        <f t="shared" si="28"/>
        <v>0</v>
      </c>
      <c r="BD33" s="1966">
        <f t="shared" si="29"/>
        <v>0</v>
      </c>
      <c r="BE33" s="372">
        <f t="shared" si="30"/>
        <v>0</v>
      </c>
      <c r="BG33" s="2159">
        <f t="shared" si="31"/>
        <v>46023</v>
      </c>
      <c r="BH33" s="2159">
        <f t="shared" si="32"/>
        <v>46023</v>
      </c>
      <c r="BI33" s="2159">
        <f t="shared" si="33"/>
        <v>46023</v>
      </c>
      <c r="BJ33" s="2159">
        <f t="shared" si="34"/>
        <v>0</v>
      </c>
      <c r="BL33" s="369">
        <f t="shared" si="35"/>
        <v>0</v>
      </c>
      <c r="BM33" s="2159">
        <f t="shared" si="36"/>
        <v>0</v>
      </c>
      <c r="BN33" s="2159">
        <f t="shared" si="37"/>
        <v>0</v>
      </c>
      <c r="BO33" s="373">
        <f t="shared" si="38"/>
        <v>0</v>
      </c>
      <c r="BT33" s="2054"/>
      <c r="CF33" s="2054"/>
    </row>
    <row r="34" spans="1:84" ht="45.75" customHeight="1">
      <c r="A34" s="2163"/>
      <c r="B34" s="2146"/>
      <c r="C34" s="2146"/>
      <c r="D34" s="2164"/>
      <c r="E34" s="1573"/>
      <c r="F34" s="2148"/>
      <c r="G34" s="2149" t="str">
        <f t="shared" si="7"/>
        <v/>
      </c>
      <c r="H34" s="2148"/>
      <c r="I34" s="2150"/>
      <c r="J34" s="2148"/>
      <c r="K34" s="2151">
        <f t="shared" si="8"/>
        <v>0</v>
      </c>
      <c r="L34" s="2148"/>
      <c r="M34" s="2150"/>
      <c r="N34" s="2152"/>
      <c r="O34" s="2148"/>
      <c r="P34" s="2151">
        <f t="shared" si="39"/>
        <v>0</v>
      </c>
      <c r="Q34" s="2148"/>
      <c r="R34" s="2150"/>
      <c r="S34" s="2152"/>
      <c r="T34" s="2153"/>
      <c r="U34" s="2154">
        <f t="shared" si="0"/>
        <v>0</v>
      </c>
      <c r="V34" s="2155"/>
      <c r="W34" s="2150"/>
      <c r="X34" s="2152"/>
      <c r="Y34" s="2153"/>
      <c r="Z34" s="1572">
        <f t="shared" si="1"/>
        <v>0</v>
      </c>
      <c r="AA34" s="2168">
        <f t="shared" si="9"/>
        <v>0</v>
      </c>
      <c r="AB34" s="2156" t="str">
        <f t="shared" si="2"/>
        <v/>
      </c>
      <c r="AC34" s="1663"/>
      <c r="AD34" s="2158" t="str">
        <f t="shared" si="10"/>
        <v/>
      </c>
      <c r="AE34" s="2159">
        <f t="shared" si="11"/>
        <v>0</v>
      </c>
      <c r="AF34" s="2159">
        <f t="shared" si="12"/>
        <v>0</v>
      </c>
      <c r="AG34" s="2159">
        <f t="shared" si="13"/>
        <v>0</v>
      </c>
      <c r="AH34" s="2159">
        <f t="shared" si="14"/>
        <v>0</v>
      </c>
      <c r="AI34" s="2160">
        <f t="shared" si="3"/>
        <v>0</v>
      </c>
      <c r="AJ34" s="1966">
        <f t="shared" si="15"/>
        <v>1</v>
      </c>
      <c r="AK34" s="2159">
        <f t="shared" si="16"/>
        <v>0</v>
      </c>
      <c r="AL34" s="368" t="e">
        <f t="shared" si="17"/>
        <v>#DIV/0!</v>
      </c>
      <c r="AM34" s="264"/>
      <c r="AN34" s="369">
        <f t="shared" si="18"/>
        <v>0</v>
      </c>
      <c r="AO34" s="1966">
        <f t="shared" si="19"/>
        <v>0</v>
      </c>
      <c r="AP34" s="1966">
        <f t="shared" si="20"/>
        <v>0</v>
      </c>
      <c r="AQ34" s="1966">
        <f t="shared" si="21"/>
        <v>0</v>
      </c>
      <c r="AR34" s="370">
        <f t="shared" si="22"/>
        <v>0</v>
      </c>
      <c r="AT34" s="371">
        <f t="shared" si="4"/>
        <v>0</v>
      </c>
      <c r="AU34" s="1966">
        <f t="shared" si="23"/>
        <v>0</v>
      </c>
      <c r="AV34" s="2161">
        <f t="shared" si="24"/>
        <v>0</v>
      </c>
      <c r="AW34" s="2161">
        <f t="shared" si="25"/>
        <v>0</v>
      </c>
      <c r="AX34" s="1966">
        <f t="shared" si="5"/>
        <v>0</v>
      </c>
      <c r="AY34" s="372">
        <f t="shared" si="6"/>
        <v>0</v>
      </c>
      <c r="AZ34" s="265"/>
      <c r="BA34" s="371">
        <f t="shared" si="26"/>
        <v>0</v>
      </c>
      <c r="BB34" s="1966">
        <f t="shared" si="27"/>
        <v>0</v>
      </c>
      <c r="BC34" s="1966">
        <f t="shared" si="28"/>
        <v>0</v>
      </c>
      <c r="BD34" s="1966">
        <f t="shared" si="29"/>
        <v>0</v>
      </c>
      <c r="BE34" s="372">
        <f t="shared" si="30"/>
        <v>0</v>
      </c>
      <c r="BG34" s="2159">
        <f t="shared" si="31"/>
        <v>46023</v>
      </c>
      <c r="BH34" s="2159">
        <f t="shared" si="32"/>
        <v>46023</v>
      </c>
      <c r="BI34" s="2159">
        <f t="shared" si="33"/>
        <v>46023</v>
      </c>
      <c r="BJ34" s="2159">
        <f t="shared" si="34"/>
        <v>0</v>
      </c>
      <c r="BL34" s="369">
        <f t="shared" si="35"/>
        <v>0</v>
      </c>
      <c r="BM34" s="2159">
        <f t="shared" si="36"/>
        <v>0</v>
      </c>
      <c r="BN34" s="2159">
        <f t="shared" si="37"/>
        <v>0</v>
      </c>
      <c r="BO34" s="373">
        <f t="shared" si="38"/>
        <v>0</v>
      </c>
      <c r="BT34" s="2054"/>
      <c r="CF34" s="2054"/>
    </row>
    <row r="35" spans="1:84" ht="45.75" customHeight="1">
      <c r="A35" s="2163"/>
      <c r="B35" s="2146"/>
      <c r="C35" s="2146"/>
      <c r="D35" s="2164"/>
      <c r="E35" s="1573"/>
      <c r="F35" s="2148"/>
      <c r="G35" s="2149" t="str">
        <f t="shared" si="7"/>
        <v/>
      </c>
      <c r="H35" s="2148"/>
      <c r="I35" s="2150"/>
      <c r="J35" s="2148"/>
      <c r="K35" s="2151">
        <f t="shared" si="8"/>
        <v>0</v>
      </c>
      <c r="L35" s="2148"/>
      <c r="M35" s="2150"/>
      <c r="N35" s="2152"/>
      <c r="O35" s="2148"/>
      <c r="P35" s="2151">
        <f t="shared" si="39"/>
        <v>0</v>
      </c>
      <c r="Q35" s="2148"/>
      <c r="R35" s="2150"/>
      <c r="S35" s="2152"/>
      <c r="T35" s="2153"/>
      <c r="U35" s="2154">
        <f t="shared" si="0"/>
        <v>0</v>
      </c>
      <c r="V35" s="2155"/>
      <c r="W35" s="2150"/>
      <c r="X35" s="2152"/>
      <c r="Y35" s="2153"/>
      <c r="Z35" s="1572">
        <f t="shared" si="1"/>
        <v>0</v>
      </c>
      <c r="AA35" s="2168">
        <f t="shared" si="9"/>
        <v>0</v>
      </c>
      <c r="AB35" s="2156" t="str">
        <f t="shared" si="2"/>
        <v/>
      </c>
      <c r="AC35" s="1663"/>
      <c r="AD35" s="2158" t="str">
        <f t="shared" si="10"/>
        <v/>
      </c>
      <c r="AE35" s="2159">
        <f t="shared" si="11"/>
        <v>0</v>
      </c>
      <c r="AF35" s="2159">
        <f t="shared" si="12"/>
        <v>0</v>
      </c>
      <c r="AG35" s="2159">
        <f t="shared" si="13"/>
        <v>0</v>
      </c>
      <c r="AH35" s="2159">
        <f t="shared" si="14"/>
        <v>0</v>
      </c>
      <c r="AI35" s="2160">
        <f t="shared" si="3"/>
        <v>0</v>
      </c>
      <c r="AJ35" s="1966">
        <f t="shared" si="15"/>
        <v>1</v>
      </c>
      <c r="AK35" s="2159">
        <f t="shared" si="16"/>
        <v>0</v>
      </c>
      <c r="AL35" s="368" t="e">
        <f t="shared" si="17"/>
        <v>#DIV/0!</v>
      </c>
      <c r="AM35" s="264"/>
      <c r="AN35" s="369">
        <f t="shared" si="18"/>
        <v>0</v>
      </c>
      <c r="AO35" s="1966">
        <f t="shared" si="19"/>
        <v>0</v>
      </c>
      <c r="AP35" s="1966">
        <f t="shared" si="20"/>
        <v>0</v>
      </c>
      <c r="AQ35" s="1966">
        <f t="shared" si="21"/>
        <v>0</v>
      </c>
      <c r="AR35" s="370">
        <f t="shared" si="22"/>
        <v>0</v>
      </c>
      <c r="AT35" s="371">
        <f t="shared" si="4"/>
        <v>0</v>
      </c>
      <c r="AU35" s="1966">
        <f t="shared" si="23"/>
        <v>0</v>
      </c>
      <c r="AV35" s="2161">
        <f t="shared" si="24"/>
        <v>0</v>
      </c>
      <c r="AW35" s="2161">
        <f t="shared" si="25"/>
        <v>0</v>
      </c>
      <c r="AX35" s="1966">
        <f t="shared" si="5"/>
        <v>0</v>
      </c>
      <c r="AY35" s="372">
        <f t="shared" si="6"/>
        <v>0</v>
      </c>
      <c r="AZ35" s="265"/>
      <c r="BA35" s="371">
        <f t="shared" si="26"/>
        <v>0</v>
      </c>
      <c r="BB35" s="1966">
        <f t="shared" si="27"/>
        <v>0</v>
      </c>
      <c r="BC35" s="1966">
        <f t="shared" si="28"/>
        <v>0</v>
      </c>
      <c r="BD35" s="1966">
        <f t="shared" si="29"/>
        <v>0</v>
      </c>
      <c r="BE35" s="372">
        <f t="shared" si="30"/>
        <v>0</v>
      </c>
      <c r="BG35" s="2159">
        <f t="shared" si="31"/>
        <v>46023</v>
      </c>
      <c r="BH35" s="2159">
        <f t="shared" si="32"/>
        <v>46023</v>
      </c>
      <c r="BI35" s="2159">
        <f t="shared" si="33"/>
        <v>46023</v>
      </c>
      <c r="BJ35" s="2159">
        <f t="shared" si="34"/>
        <v>0</v>
      </c>
      <c r="BL35" s="369">
        <f t="shared" si="35"/>
        <v>0</v>
      </c>
      <c r="BM35" s="2159">
        <f t="shared" si="36"/>
        <v>0</v>
      </c>
      <c r="BN35" s="2159">
        <f t="shared" si="37"/>
        <v>0</v>
      </c>
      <c r="BO35" s="373">
        <f t="shared" si="38"/>
        <v>0</v>
      </c>
      <c r="BT35" s="2054"/>
      <c r="CF35" s="2054"/>
    </row>
    <row r="36" spans="1:84" ht="45.75" customHeight="1">
      <c r="A36" s="2163"/>
      <c r="B36" s="2146"/>
      <c r="C36" s="2146"/>
      <c r="D36" s="2164"/>
      <c r="E36" s="1573"/>
      <c r="F36" s="2148"/>
      <c r="G36" s="2149" t="str">
        <f t="shared" si="7"/>
        <v/>
      </c>
      <c r="H36" s="2148"/>
      <c r="I36" s="2150"/>
      <c r="J36" s="2148"/>
      <c r="K36" s="2151">
        <f t="shared" si="8"/>
        <v>0</v>
      </c>
      <c r="L36" s="2148"/>
      <c r="M36" s="2150"/>
      <c r="N36" s="2152"/>
      <c r="O36" s="2148"/>
      <c r="P36" s="2151">
        <f t="shared" si="39"/>
        <v>0</v>
      </c>
      <c r="Q36" s="2148"/>
      <c r="R36" s="2150"/>
      <c r="S36" s="2152"/>
      <c r="T36" s="2153"/>
      <c r="U36" s="2154">
        <f t="shared" si="0"/>
        <v>0</v>
      </c>
      <c r="V36" s="2155"/>
      <c r="W36" s="2150"/>
      <c r="X36" s="2152"/>
      <c r="Y36" s="2153"/>
      <c r="Z36" s="1572">
        <f t="shared" si="1"/>
        <v>0</v>
      </c>
      <c r="AA36" s="2168">
        <f t="shared" si="9"/>
        <v>0</v>
      </c>
      <c r="AB36" s="2156" t="str">
        <f t="shared" si="2"/>
        <v/>
      </c>
      <c r="AC36" s="1663"/>
      <c r="AD36" s="2158" t="str">
        <f t="shared" si="10"/>
        <v/>
      </c>
      <c r="AE36" s="2159">
        <f t="shared" si="11"/>
        <v>0</v>
      </c>
      <c r="AF36" s="2159">
        <f t="shared" si="12"/>
        <v>0</v>
      </c>
      <c r="AG36" s="2159">
        <f t="shared" si="13"/>
        <v>0</v>
      </c>
      <c r="AH36" s="2159">
        <f t="shared" si="14"/>
        <v>0</v>
      </c>
      <c r="AI36" s="2160">
        <f t="shared" si="3"/>
        <v>0</v>
      </c>
      <c r="AJ36" s="1966">
        <f t="shared" si="15"/>
        <v>1</v>
      </c>
      <c r="AK36" s="2159">
        <f t="shared" si="16"/>
        <v>0</v>
      </c>
      <c r="AL36" s="368" t="e">
        <f t="shared" si="17"/>
        <v>#DIV/0!</v>
      </c>
      <c r="AM36" s="264"/>
      <c r="AN36" s="369">
        <f t="shared" si="18"/>
        <v>0</v>
      </c>
      <c r="AO36" s="1966">
        <f t="shared" si="19"/>
        <v>0</v>
      </c>
      <c r="AP36" s="1966">
        <f t="shared" si="20"/>
        <v>0</v>
      </c>
      <c r="AQ36" s="1966">
        <f t="shared" si="21"/>
        <v>0</v>
      </c>
      <c r="AR36" s="370">
        <f t="shared" si="22"/>
        <v>0</v>
      </c>
      <c r="AT36" s="371">
        <f t="shared" si="4"/>
        <v>0</v>
      </c>
      <c r="AU36" s="1966">
        <f t="shared" si="23"/>
        <v>0</v>
      </c>
      <c r="AV36" s="2161">
        <f t="shared" si="24"/>
        <v>0</v>
      </c>
      <c r="AW36" s="2161">
        <f t="shared" si="25"/>
        <v>0</v>
      </c>
      <c r="AX36" s="1966">
        <f t="shared" si="5"/>
        <v>0</v>
      </c>
      <c r="AY36" s="372">
        <f t="shared" si="6"/>
        <v>0</v>
      </c>
      <c r="AZ36" s="265"/>
      <c r="BA36" s="371">
        <f t="shared" si="26"/>
        <v>0</v>
      </c>
      <c r="BB36" s="1966">
        <f t="shared" si="27"/>
        <v>0</v>
      </c>
      <c r="BC36" s="1966">
        <f t="shared" si="28"/>
        <v>0</v>
      </c>
      <c r="BD36" s="1966">
        <f t="shared" si="29"/>
        <v>0</v>
      </c>
      <c r="BE36" s="372">
        <f t="shared" si="30"/>
        <v>0</v>
      </c>
      <c r="BG36" s="2159">
        <f t="shared" si="31"/>
        <v>46023</v>
      </c>
      <c r="BH36" s="2159">
        <f t="shared" si="32"/>
        <v>46023</v>
      </c>
      <c r="BI36" s="2159">
        <f t="shared" si="33"/>
        <v>46023</v>
      </c>
      <c r="BJ36" s="2159">
        <f t="shared" si="34"/>
        <v>0</v>
      </c>
      <c r="BL36" s="369">
        <f t="shared" si="35"/>
        <v>0</v>
      </c>
      <c r="BM36" s="2159">
        <f t="shared" si="36"/>
        <v>0</v>
      </c>
      <c r="BN36" s="2159">
        <f t="shared" si="37"/>
        <v>0</v>
      </c>
      <c r="BO36" s="373">
        <f t="shared" si="38"/>
        <v>0</v>
      </c>
      <c r="BT36" s="2054"/>
      <c r="CF36" s="2054"/>
    </row>
    <row r="37" spans="1:84" ht="45.75" customHeight="1">
      <c r="A37" s="2163"/>
      <c r="B37" s="2146"/>
      <c r="C37" s="2146"/>
      <c r="D37" s="2164"/>
      <c r="E37" s="1573"/>
      <c r="F37" s="2148"/>
      <c r="G37" s="2149" t="str">
        <f t="shared" si="7"/>
        <v/>
      </c>
      <c r="H37" s="2148"/>
      <c r="I37" s="2150"/>
      <c r="J37" s="2148"/>
      <c r="K37" s="2151">
        <f t="shared" si="8"/>
        <v>0</v>
      </c>
      <c r="L37" s="2148"/>
      <c r="M37" s="2150"/>
      <c r="N37" s="2152"/>
      <c r="O37" s="2148"/>
      <c r="P37" s="2151">
        <f t="shared" si="39"/>
        <v>0</v>
      </c>
      <c r="Q37" s="2148"/>
      <c r="R37" s="2150"/>
      <c r="S37" s="2152"/>
      <c r="T37" s="2153"/>
      <c r="U37" s="2154">
        <f t="shared" si="0"/>
        <v>0</v>
      </c>
      <c r="V37" s="2155"/>
      <c r="W37" s="2150"/>
      <c r="X37" s="2152"/>
      <c r="Y37" s="2153"/>
      <c r="Z37" s="1572">
        <f t="shared" si="1"/>
        <v>0</v>
      </c>
      <c r="AA37" s="2168">
        <f t="shared" si="9"/>
        <v>0</v>
      </c>
      <c r="AB37" s="2156" t="str">
        <f t="shared" si="2"/>
        <v/>
      </c>
      <c r="AC37" s="1663"/>
      <c r="AD37" s="2158" t="str">
        <f t="shared" si="10"/>
        <v/>
      </c>
      <c r="AE37" s="2159">
        <f t="shared" si="11"/>
        <v>0</v>
      </c>
      <c r="AF37" s="2159">
        <f t="shared" si="12"/>
        <v>0</v>
      </c>
      <c r="AG37" s="2159">
        <f t="shared" si="13"/>
        <v>0</v>
      </c>
      <c r="AH37" s="2159">
        <f t="shared" si="14"/>
        <v>0</v>
      </c>
      <c r="AI37" s="2160">
        <f t="shared" si="3"/>
        <v>0</v>
      </c>
      <c r="AJ37" s="1966">
        <f t="shared" si="15"/>
        <v>1</v>
      </c>
      <c r="AK37" s="2159">
        <f t="shared" si="16"/>
        <v>0</v>
      </c>
      <c r="AL37" s="368" t="e">
        <f t="shared" si="17"/>
        <v>#DIV/0!</v>
      </c>
      <c r="AM37" s="264"/>
      <c r="AN37" s="369">
        <f t="shared" si="18"/>
        <v>0</v>
      </c>
      <c r="AO37" s="1966">
        <f t="shared" si="19"/>
        <v>0</v>
      </c>
      <c r="AP37" s="1966">
        <f t="shared" si="20"/>
        <v>0</v>
      </c>
      <c r="AQ37" s="1966">
        <f t="shared" si="21"/>
        <v>0</v>
      </c>
      <c r="AR37" s="370">
        <f t="shared" si="22"/>
        <v>0</v>
      </c>
      <c r="AT37" s="371">
        <f t="shared" si="4"/>
        <v>0</v>
      </c>
      <c r="AU37" s="1966">
        <f t="shared" si="23"/>
        <v>0</v>
      </c>
      <c r="AV37" s="2161">
        <f t="shared" si="24"/>
        <v>0</v>
      </c>
      <c r="AW37" s="2161">
        <f t="shared" si="25"/>
        <v>0</v>
      </c>
      <c r="AX37" s="1966">
        <f t="shared" si="5"/>
        <v>0</v>
      </c>
      <c r="AY37" s="372">
        <f t="shared" si="6"/>
        <v>0</v>
      </c>
      <c r="AZ37" s="265"/>
      <c r="BA37" s="371">
        <f t="shared" si="26"/>
        <v>0</v>
      </c>
      <c r="BB37" s="1966">
        <f t="shared" si="27"/>
        <v>0</v>
      </c>
      <c r="BC37" s="1966">
        <f t="shared" si="28"/>
        <v>0</v>
      </c>
      <c r="BD37" s="1966">
        <f t="shared" si="29"/>
        <v>0</v>
      </c>
      <c r="BE37" s="372">
        <f t="shared" si="30"/>
        <v>0</v>
      </c>
      <c r="BG37" s="2159">
        <f t="shared" si="31"/>
        <v>46023</v>
      </c>
      <c r="BH37" s="2159">
        <f t="shared" si="32"/>
        <v>46023</v>
      </c>
      <c r="BI37" s="2159">
        <f t="shared" si="33"/>
        <v>46023</v>
      </c>
      <c r="BJ37" s="2159">
        <f t="shared" si="34"/>
        <v>0</v>
      </c>
      <c r="BL37" s="369">
        <f t="shared" si="35"/>
        <v>0</v>
      </c>
      <c r="BM37" s="2159">
        <f t="shared" si="36"/>
        <v>0</v>
      </c>
      <c r="BN37" s="2159">
        <f t="shared" si="37"/>
        <v>0</v>
      </c>
      <c r="BO37" s="373">
        <f t="shared" si="38"/>
        <v>0</v>
      </c>
      <c r="BT37" s="2054"/>
      <c r="CF37" s="2054"/>
    </row>
    <row r="38" spans="1:84" ht="45.75" customHeight="1">
      <c r="A38" s="2163"/>
      <c r="B38" s="2146"/>
      <c r="C38" s="2146"/>
      <c r="D38" s="2164"/>
      <c r="E38" s="1573"/>
      <c r="F38" s="2148"/>
      <c r="G38" s="2149" t="str">
        <f t="shared" si="7"/>
        <v/>
      </c>
      <c r="H38" s="2148"/>
      <c r="I38" s="2150"/>
      <c r="J38" s="2148"/>
      <c r="K38" s="2151">
        <f t="shared" si="8"/>
        <v>0</v>
      </c>
      <c r="L38" s="2148"/>
      <c r="M38" s="2150"/>
      <c r="N38" s="2152"/>
      <c r="O38" s="2148"/>
      <c r="P38" s="2151">
        <f t="shared" si="39"/>
        <v>0</v>
      </c>
      <c r="Q38" s="2148"/>
      <c r="R38" s="2150"/>
      <c r="S38" s="2152"/>
      <c r="T38" s="2153"/>
      <c r="U38" s="2154">
        <f t="shared" si="0"/>
        <v>0</v>
      </c>
      <c r="V38" s="2155"/>
      <c r="W38" s="2150"/>
      <c r="X38" s="2152"/>
      <c r="Y38" s="2153"/>
      <c r="Z38" s="1572">
        <f t="shared" si="1"/>
        <v>0</v>
      </c>
      <c r="AA38" s="2168">
        <f t="shared" si="9"/>
        <v>0</v>
      </c>
      <c r="AB38" s="2156" t="str">
        <f t="shared" si="2"/>
        <v/>
      </c>
      <c r="AC38" s="1663"/>
      <c r="AD38" s="2158" t="str">
        <f t="shared" si="10"/>
        <v/>
      </c>
      <c r="AE38" s="2159">
        <f t="shared" si="11"/>
        <v>0</v>
      </c>
      <c r="AF38" s="2159">
        <f t="shared" si="12"/>
        <v>0</v>
      </c>
      <c r="AG38" s="2159">
        <f t="shared" si="13"/>
        <v>0</v>
      </c>
      <c r="AH38" s="2159">
        <f t="shared" si="14"/>
        <v>0</v>
      </c>
      <c r="AI38" s="2160">
        <f t="shared" si="3"/>
        <v>0</v>
      </c>
      <c r="AJ38" s="1966">
        <f t="shared" si="15"/>
        <v>1</v>
      </c>
      <c r="AK38" s="2159">
        <f t="shared" si="16"/>
        <v>0</v>
      </c>
      <c r="AL38" s="368" t="e">
        <f t="shared" si="17"/>
        <v>#DIV/0!</v>
      </c>
      <c r="AM38" s="264"/>
      <c r="AN38" s="369">
        <f t="shared" si="18"/>
        <v>0</v>
      </c>
      <c r="AO38" s="1966">
        <f t="shared" si="19"/>
        <v>0</v>
      </c>
      <c r="AP38" s="1966">
        <f t="shared" si="20"/>
        <v>0</v>
      </c>
      <c r="AQ38" s="1966">
        <f t="shared" si="21"/>
        <v>0</v>
      </c>
      <c r="AR38" s="370">
        <f t="shared" si="22"/>
        <v>0</v>
      </c>
      <c r="AT38" s="371">
        <f t="shared" si="4"/>
        <v>0</v>
      </c>
      <c r="AU38" s="1966">
        <f t="shared" si="23"/>
        <v>0</v>
      </c>
      <c r="AV38" s="2161">
        <f t="shared" si="24"/>
        <v>0</v>
      </c>
      <c r="AW38" s="2161">
        <f t="shared" si="25"/>
        <v>0</v>
      </c>
      <c r="AX38" s="1966">
        <f t="shared" si="5"/>
        <v>0</v>
      </c>
      <c r="AY38" s="372">
        <f t="shared" si="6"/>
        <v>0</v>
      </c>
      <c r="AZ38" s="265"/>
      <c r="BA38" s="371">
        <f t="shared" si="26"/>
        <v>0</v>
      </c>
      <c r="BB38" s="1966">
        <f t="shared" si="27"/>
        <v>0</v>
      </c>
      <c r="BC38" s="1966">
        <f t="shared" si="28"/>
        <v>0</v>
      </c>
      <c r="BD38" s="1966">
        <f t="shared" si="29"/>
        <v>0</v>
      </c>
      <c r="BE38" s="372">
        <f t="shared" si="30"/>
        <v>0</v>
      </c>
      <c r="BG38" s="2159">
        <f t="shared" si="31"/>
        <v>46023</v>
      </c>
      <c r="BH38" s="2159">
        <f t="shared" si="32"/>
        <v>46023</v>
      </c>
      <c r="BI38" s="2159">
        <f t="shared" si="33"/>
        <v>46023</v>
      </c>
      <c r="BJ38" s="2159">
        <f t="shared" si="34"/>
        <v>0</v>
      </c>
      <c r="BL38" s="369">
        <f t="shared" si="35"/>
        <v>0</v>
      </c>
      <c r="BM38" s="2159">
        <f t="shared" si="36"/>
        <v>0</v>
      </c>
      <c r="BN38" s="2159">
        <f t="shared" si="37"/>
        <v>0</v>
      </c>
      <c r="BO38" s="373">
        <f t="shared" si="38"/>
        <v>0</v>
      </c>
      <c r="BT38" s="2054"/>
      <c r="CF38" s="2054"/>
    </row>
    <row r="39" spans="1:84" ht="45.75" customHeight="1">
      <c r="A39" s="2163"/>
      <c r="B39" s="2146"/>
      <c r="C39" s="2146"/>
      <c r="D39" s="2164"/>
      <c r="E39" s="1573"/>
      <c r="F39" s="2148"/>
      <c r="G39" s="2149" t="str">
        <f t="shared" si="7"/>
        <v/>
      </c>
      <c r="H39" s="2148"/>
      <c r="I39" s="2150"/>
      <c r="J39" s="2148"/>
      <c r="K39" s="2151">
        <f t="shared" si="8"/>
        <v>0</v>
      </c>
      <c r="L39" s="2148"/>
      <c r="M39" s="2150"/>
      <c r="N39" s="2152"/>
      <c r="O39" s="2148"/>
      <c r="P39" s="2151">
        <f t="shared" si="39"/>
        <v>0</v>
      </c>
      <c r="Q39" s="2148"/>
      <c r="R39" s="2150"/>
      <c r="S39" s="2152"/>
      <c r="T39" s="2153"/>
      <c r="U39" s="2154">
        <f t="shared" si="0"/>
        <v>0</v>
      </c>
      <c r="V39" s="2155"/>
      <c r="W39" s="2150"/>
      <c r="X39" s="2152"/>
      <c r="Y39" s="2153"/>
      <c r="Z39" s="1572">
        <f t="shared" si="1"/>
        <v>0</v>
      </c>
      <c r="AA39" s="2168">
        <f t="shared" si="9"/>
        <v>0</v>
      </c>
      <c r="AB39" s="2156" t="str">
        <f t="shared" si="2"/>
        <v/>
      </c>
      <c r="AC39" s="1663"/>
      <c r="AD39" s="2158" t="str">
        <f t="shared" si="10"/>
        <v/>
      </c>
      <c r="AE39" s="2159">
        <f t="shared" si="11"/>
        <v>0</v>
      </c>
      <c r="AF39" s="2159">
        <f t="shared" si="12"/>
        <v>0</v>
      </c>
      <c r="AG39" s="2159">
        <f t="shared" si="13"/>
        <v>0</v>
      </c>
      <c r="AH39" s="2159">
        <f t="shared" si="14"/>
        <v>0</v>
      </c>
      <c r="AI39" s="2160">
        <f t="shared" si="3"/>
        <v>0</v>
      </c>
      <c r="AJ39" s="1966">
        <f t="shared" si="15"/>
        <v>1</v>
      </c>
      <c r="AK39" s="2159">
        <f t="shared" si="16"/>
        <v>0</v>
      </c>
      <c r="AL39" s="368" t="e">
        <f t="shared" si="17"/>
        <v>#DIV/0!</v>
      </c>
      <c r="AM39" s="264"/>
      <c r="AN39" s="369">
        <f t="shared" si="18"/>
        <v>0</v>
      </c>
      <c r="AO39" s="1966">
        <f t="shared" si="19"/>
        <v>0</v>
      </c>
      <c r="AP39" s="1966">
        <f t="shared" si="20"/>
        <v>0</v>
      </c>
      <c r="AQ39" s="1966">
        <f t="shared" si="21"/>
        <v>0</v>
      </c>
      <c r="AR39" s="370">
        <f t="shared" si="22"/>
        <v>0</v>
      </c>
      <c r="AT39" s="371">
        <f t="shared" si="4"/>
        <v>0</v>
      </c>
      <c r="AU39" s="1966">
        <f t="shared" si="23"/>
        <v>0</v>
      </c>
      <c r="AV39" s="2161">
        <f t="shared" si="24"/>
        <v>0</v>
      </c>
      <c r="AW39" s="2161">
        <f t="shared" si="25"/>
        <v>0</v>
      </c>
      <c r="AX39" s="1966">
        <f t="shared" si="5"/>
        <v>0</v>
      </c>
      <c r="AY39" s="372">
        <f t="shared" si="6"/>
        <v>0</v>
      </c>
      <c r="AZ39" s="265"/>
      <c r="BA39" s="371">
        <f t="shared" si="26"/>
        <v>0</v>
      </c>
      <c r="BB39" s="1966">
        <f t="shared" si="27"/>
        <v>0</v>
      </c>
      <c r="BC39" s="1966">
        <f t="shared" si="28"/>
        <v>0</v>
      </c>
      <c r="BD39" s="1966">
        <f t="shared" si="29"/>
        <v>0</v>
      </c>
      <c r="BE39" s="372">
        <f t="shared" si="30"/>
        <v>0</v>
      </c>
      <c r="BG39" s="2159">
        <f t="shared" si="31"/>
        <v>46023</v>
      </c>
      <c r="BH39" s="2159">
        <f t="shared" si="32"/>
        <v>46023</v>
      </c>
      <c r="BI39" s="2159">
        <f t="shared" si="33"/>
        <v>46023</v>
      </c>
      <c r="BJ39" s="2159">
        <f t="shared" si="34"/>
        <v>0</v>
      </c>
      <c r="BL39" s="369">
        <f t="shared" si="35"/>
        <v>0</v>
      </c>
      <c r="BM39" s="2159">
        <f t="shared" si="36"/>
        <v>0</v>
      </c>
      <c r="BN39" s="2159">
        <f t="shared" si="37"/>
        <v>0</v>
      </c>
      <c r="BO39" s="373">
        <f t="shared" si="38"/>
        <v>0</v>
      </c>
      <c r="BT39" s="2054"/>
      <c r="CF39" s="2054"/>
    </row>
    <row r="40" spans="1:84" ht="45.75" customHeight="1">
      <c r="A40" s="2163"/>
      <c r="B40" s="2146"/>
      <c r="C40" s="2146"/>
      <c r="D40" s="2164"/>
      <c r="E40" s="1573"/>
      <c r="F40" s="2148"/>
      <c r="G40" s="2149" t="str">
        <f t="shared" si="7"/>
        <v/>
      </c>
      <c r="H40" s="2148"/>
      <c r="I40" s="2150"/>
      <c r="J40" s="2148"/>
      <c r="K40" s="2151">
        <f t="shared" si="8"/>
        <v>0</v>
      </c>
      <c r="L40" s="2148"/>
      <c r="M40" s="2150"/>
      <c r="N40" s="2152"/>
      <c r="O40" s="2148"/>
      <c r="P40" s="2151">
        <f t="shared" si="39"/>
        <v>0</v>
      </c>
      <c r="Q40" s="2148"/>
      <c r="R40" s="2150"/>
      <c r="S40" s="2152"/>
      <c r="T40" s="2153"/>
      <c r="U40" s="2154">
        <f t="shared" si="0"/>
        <v>0</v>
      </c>
      <c r="V40" s="2155"/>
      <c r="W40" s="2150"/>
      <c r="X40" s="2152"/>
      <c r="Y40" s="2153"/>
      <c r="Z40" s="1572">
        <f t="shared" si="1"/>
        <v>0</v>
      </c>
      <c r="AA40" s="2168">
        <f t="shared" si="9"/>
        <v>0</v>
      </c>
      <c r="AB40" s="2156" t="str">
        <f t="shared" si="2"/>
        <v/>
      </c>
      <c r="AC40" s="1663"/>
      <c r="AD40" s="2158" t="str">
        <f t="shared" si="10"/>
        <v/>
      </c>
      <c r="AE40" s="2159">
        <f t="shared" si="11"/>
        <v>0</v>
      </c>
      <c r="AF40" s="2159">
        <f t="shared" si="12"/>
        <v>0</v>
      </c>
      <c r="AG40" s="2159">
        <f t="shared" si="13"/>
        <v>0</v>
      </c>
      <c r="AH40" s="2159">
        <f t="shared" si="14"/>
        <v>0</v>
      </c>
      <c r="AI40" s="2160">
        <f t="shared" si="3"/>
        <v>0</v>
      </c>
      <c r="AJ40" s="1966">
        <f t="shared" si="15"/>
        <v>1</v>
      </c>
      <c r="AK40" s="2159">
        <f t="shared" si="16"/>
        <v>0</v>
      </c>
      <c r="AL40" s="368" t="e">
        <f t="shared" si="17"/>
        <v>#DIV/0!</v>
      </c>
      <c r="AM40" s="264"/>
      <c r="AN40" s="369">
        <f t="shared" si="18"/>
        <v>0</v>
      </c>
      <c r="AO40" s="1966">
        <f t="shared" si="19"/>
        <v>0</v>
      </c>
      <c r="AP40" s="1966">
        <f t="shared" si="20"/>
        <v>0</v>
      </c>
      <c r="AQ40" s="1966">
        <f t="shared" si="21"/>
        <v>0</v>
      </c>
      <c r="AR40" s="370">
        <f t="shared" si="22"/>
        <v>0</v>
      </c>
      <c r="AT40" s="371">
        <f t="shared" si="4"/>
        <v>0</v>
      </c>
      <c r="AU40" s="1966">
        <f t="shared" si="23"/>
        <v>0</v>
      </c>
      <c r="AV40" s="2161">
        <f t="shared" si="24"/>
        <v>0</v>
      </c>
      <c r="AW40" s="2161">
        <f t="shared" si="25"/>
        <v>0</v>
      </c>
      <c r="AX40" s="1966">
        <f t="shared" si="5"/>
        <v>0</v>
      </c>
      <c r="AY40" s="372">
        <f t="shared" si="6"/>
        <v>0</v>
      </c>
      <c r="AZ40" s="265"/>
      <c r="BA40" s="371">
        <f t="shared" si="26"/>
        <v>0</v>
      </c>
      <c r="BB40" s="1966">
        <f t="shared" si="27"/>
        <v>0</v>
      </c>
      <c r="BC40" s="1966">
        <f t="shared" si="28"/>
        <v>0</v>
      </c>
      <c r="BD40" s="1966">
        <f t="shared" si="29"/>
        <v>0</v>
      </c>
      <c r="BE40" s="372">
        <f t="shared" si="30"/>
        <v>0</v>
      </c>
      <c r="BG40" s="2159">
        <f t="shared" si="31"/>
        <v>46023</v>
      </c>
      <c r="BH40" s="2159">
        <f t="shared" si="32"/>
        <v>46023</v>
      </c>
      <c r="BI40" s="2159">
        <f t="shared" si="33"/>
        <v>46023</v>
      </c>
      <c r="BJ40" s="2159">
        <f t="shared" si="34"/>
        <v>0</v>
      </c>
      <c r="BL40" s="369">
        <f t="shared" si="35"/>
        <v>0</v>
      </c>
      <c r="BM40" s="2159">
        <f t="shared" si="36"/>
        <v>0</v>
      </c>
      <c r="BN40" s="2159">
        <f t="shared" si="37"/>
        <v>0</v>
      </c>
      <c r="BO40" s="373">
        <f t="shared" si="38"/>
        <v>0</v>
      </c>
      <c r="BT40" s="2054"/>
      <c r="CF40" s="2054"/>
    </row>
    <row r="41" spans="1:84" ht="45.75" customHeight="1">
      <c r="A41" s="2163"/>
      <c r="B41" s="2146"/>
      <c r="C41" s="2146"/>
      <c r="D41" s="2164"/>
      <c r="E41" s="1573"/>
      <c r="F41" s="2148"/>
      <c r="G41" s="2149" t="str">
        <f t="shared" si="7"/>
        <v/>
      </c>
      <c r="H41" s="2148"/>
      <c r="I41" s="2150"/>
      <c r="J41" s="2148"/>
      <c r="K41" s="2151">
        <f t="shared" si="8"/>
        <v>0</v>
      </c>
      <c r="L41" s="2148"/>
      <c r="M41" s="2150"/>
      <c r="N41" s="2152"/>
      <c r="O41" s="2148"/>
      <c r="P41" s="2151">
        <f t="shared" si="39"/>
        <v>0</v>
      </c>
      <c r="Q41" s="2148"/>
      <c r="R41" s="2150"/>
      <c r="S41" s="2152"/>
      <c r="T41" s="2153"/>
      <c r="U41" s="2154">
        <f t="shared" si="0"/>
        <v>0</v>
      </c>
      <c r="V41" s="2155"/>
      <c r="W41" s="2150"/>
      <c r="X41" s="2152"/>
      <c r="Y41" s="2153"/>
      <c r="Z41" s="1572">
        <f t="shared" si="1"/>
        <v>0</v>
      </c>
      <c r="AA41" s="2168">
        <f t="shared" si="9"/>
        <v>0</v>
      </c>
      <c r="AB41" s="2156" t="str">
        <f t="shared" si="2"/>
        <v/>
      </c>
      <c r="AC41" s="1663"/>
      <c r="AD41" s="2158" t="str">
        <f t="shared" si="10"/>
        <v/>
      </c>
      <c r="AE41" s="2159">
        <f t="shared" si="11"/>
        <v>0</v>
      </c>
      <c r="AF41" s="2159">
        <f t="shared" si="12"/>
        <v>0</v>
      </c>
      <c r="AG41" s="2159">
        <f t="shared" si="13"/>
        <v>0</v>
      </c>
      <c r="AH41" s="2159">
        <f t="shared" si="14"/>
        <v>0</v>
      </c>
      <c r="AI41" s="2160">
        <f t="shared" si="3"/>
        <v>0</v>
      </c>
      <c r="AJ41" s="1966">
        <f t="shared" si="15"/>
        <v>1</v>
      </c>
      <c r="AK41" s="2159">
        <f t="shared" si="16"/>
        <v>0</v>
      </c>
      <c r="AL41" s="368" t="e">
        <f t="shared" si="17"/>
        <v>#DIV/0!</v>
      </c>
      <c r="AM41" s="264"/>
      <c r="AN41" s="369">
        <f t="shared" si="18"/>
        <v>0</v>
      </c>
      <c r="AO41" s="1966">
        <f t="shared" si="19"/>
        <v>0</v>
      </c>
      <c r="AP41" s="1966">
        <f t="shared" si="20"/>
        <v>0</v>
      </c>
      <c r="AQ41" s="1966">
        <f t="shared" si="21"/>
        <v>0</v>
      </c>
      <c r="AR41" s="370">
        <f t="shared" si="22"/>
        <v>0</v>
      </c>
      <c r="AT41" s="371">
        <f t="shared" si="4"/>
        <v>0</v>
      </c>
      <c r="AU41" s="1966">
        <f t="shared" si="23"/>
        <v>0</v>
      </c>
      <c r="AV41" s="2161">
        <f t="shared" si="24"/>
        <v>0</v>
      </c>
      <c r="AW41" s="2161">
        <f t="shared" si="25"/>
        <v>0</v>
      </c>
      <c r="AX41" s="1966">
        <f t="shared" si="5"/>
        <v>0</v>
      </c>
      <c r="AY41" s="372">
        <f t="shared" si="6"/>
        <v>0</v>
      </c>
      <c r="AZ41" s="265"/>
      <c r="BA41" s="371">
        <f t="shared" si="26"/>
        <v>0</v>
      </c>
      <c r="BB41" s="1966">
        <f t="shared" si="27"/>
        <v>0</v>
      </c>
      <c r="BC41" s="1966">
        <f t="shared" si="28"/>
        <v>0</v>
      </c>
      <c r="BD41" s="1966">
        <f t="shared" si="29"/>
        <v>0</v>
      </c>
      <c r="BE41" s="372">
        <f t="shared" si="30"/>
        <v>0</v>
      </c>
      <c r="BG41" s="2159">
        <f t="shared" si="31"/>
        <v>46023</v>
      </c>
      <c r="BH41" s="2159">
        <f t="shared" si="32"/>
        <v>46023</v>
      </c>
      <c r="BI41" s="2159">
        <f t="shared" si="33"/>
        <v>46023</v>
      </c>
      <c r="BJ41" s="2159">
        <f t="shared" si="34"/>
        <v>0</v>
      </c>
      <c r="BL41" s="369">
        <f t="shared" si="35"/>
        <v>0</v>
      </c>
      <c r="BM41" s="2159">
        <f t="shared" si="36"/>
        <v>0</v>
      </c>
      <c r="BN41" s="2159">
        <f t="shared" si="37"/>
        <v>0</v>
      </c>
      <c r="BO41" s="373">
        <f t="shared" si="38"/>
        <v>0</v>
      </c>
      <c r="BT41" s="2054"/>
      <c r="CF41" s="2054"/>
    </row>
    <row r="42" spans="1:84" ht="45.75" customHeight="1">
      <c r="A42" s="2163"/>
      <c r="B42" s="2146"/>
      <c r="C42" s="2146"/>
      <c r="D42" s="2164"/>
      <c r="E42" s="1573"/>
      <c r="F42" s="2148"/>
      <c r="G42" s="2149" t="str">
        <f t="shared" si="7"/>
        <v/>
      </c>
      <c r="H42" s="2148"/>
      <c r="I42" s="2150"/>
      <c r="J42" s="2148"/>
      <c r="K42" s="2151">
        <f t="shared" si="8"/>
        <v>0</v>
      </c>
      <c r="L42" s="2148"/>
      <c r="M42" s="2150"/>
      <c r="N42" s="2152"/>
      <c r="O42" s="2148"/>
      <c r="P42" s="2151">
        <f t="shared" si="39"/>
        <v>0</v>
      </c>
      <c r="Q42" s="2148"/>
      <c r="R42" s="2150"/>
      <c r="S42" s="2152"/>
      <c r="T42" s="2153"/>
      <c r="U42" s="2154">
        <f t="shared" si="0"/>
        <v>0</v>
      </c>
      <c r="V42" s="2155"/>
      <c r="W42" s="2150"/>
      <c r="X42" s="2152"/>
      <c r="Y42" s="2153"/>
      <c r="Z42" s="1572">
        <f t="shared" si="1"/>
        <v>0</v>
      </c>
      <c r="AA42" s="2168">
        <f t="shared" si="9"/>
        <v>0</v>
      </c>
      <c r="AB42" s="2156" t="str">
        <f t="shared" si="2"/>
        <v/>
      </c>
      <c r="AC42" s="1663"/>
      <c r="AD42" s="2158" t="str">
        <f t="shared" si="10"/>
        <v/>
      </c>
      <c r="AE42" s="2159">
        <f t="shared" si="11"/>
        <v>0</v>
      </c>
      <c r="AF42" s="2159">
        <f t="shared" si="12"/>
        <v>0</v>
      </c>
      <c r="AG42" s="2159">
        <f t="shared" si="13"/>
        <v>0</v>
      </c>
      <c r="AH42" s="2159">
        <f t="shared" si="14"/>
        <v>0</v>
      </c>
      <c r="AI42" s="2160">
        <f t="shared" si="3"/>
        <v>0</v>
      </c>
      <c r="AJ42" s="1966">
        <f t="shared" si="15"/>
        <v>1</v>
      </c>
      <c r="AK42" s="2159">
        <f t="shared" si="16"/>
        <v>0</v>
      </c>
      <c r="AL42" s="368" t="e">
        <f t="shared" si="17"/>
        <v>#DIV/0!</v>
      </c>
      <c r="AM42" s="264"/>
      <c r="AN42" s="369">
        <f t="shared" si="18"/>
        <v>0</v>
      </c>
      <c r="AO42" s="1966">
        <f t="shared" si="19"/>
        <v>0</v>
      </c>
      <c r="AP42" s="1966">
        <f t="shared" si="20"/>
        <v>0</v>
      </c>
      <c r="AQ42" s="1966">
        <f t="shared" si="21"/>
        <v>0</v>
      </c>
      <c r="AR42" s="370">
        <f t="shared" si="22"/>
        <v>0</v>
      </c>
      <c r="AT42" s="371">
        <f t="shared" si="4"/>
        <v>0</v>
      </c>
      <c r="AU42" s="1966">
        <f t="shared" si="23"/>
        <v>0</v>
      </c>
      <c r="AV42" s="2161">
        <f t="shared" si="24"/>
        <v>0</v>
      </c>
      <c r="AW42" s="2161">
        <f t="shared" si="25"/>
        <v>0</v>
      </c>
      <c r="AX42" s="1966">
        <f t="shared" si="5"/>
        <v>0</v>
      </c>
      <c r="AY42" s="372">
        <f t="shared" si="6"/>
        <v>0</v>
      </c>
      <c r="AZ42" s="265"/>
      <c r="BA42" s="371">
        <f t="shared" si="26"/>
        <v>0</v>
      </c>
      <c r="BB42" s="1966">
        <f t="shared" si="27"/>
        <v>0</v>
      </c>
      <c r="BC42" s="1966">
        <f t="shared" si="28"/>
        <v>0</v>
      </c>
      <c r="BD42" s="1966">
        <f t="shared" si="29"/>
        <v>0</v>
      </c>
      <c r="BE42" s="372">
        <f t="shared" si="30"/>
        <v>0</v>
      </c>
      <c r="BG42" s="2159">
        <f t="shared" si="31"/>
        <v>46023</v>
      </c>
      <c r="BH42" s="2159">
        <f t="shared" si="32"/>
        <v>46023</v>
      </c>
      <c r="BI42" s="2159">
        <f t="shared" si="33"/>
        <v>46023</v>
      </c>
      <c r="BJ42" s="2159">
        <f t="shared" si="34"/>
        <v>0</v>
      </c>
      <c r="BL42" s="369">
        <f t="shared" si="35"/>
        <v>0</v>
      </c>
      <c r="BM42" s="2159">
        <f t="shared" si="36"/>
        <v>0</v>
      </c>
      <c r="BN42" s="2159">
        <f t="shared" si="37"/>
        <v>0</v>
      </c>
      <c r="BO42" s="373">
        <f t="shared" si="38"/>
        <v>0</v>
      </c>
      <c r="BT42" s="2054"/>
      <c r="CF42" s="2054"/>
    </row>
    <row r="43" spans="1:84" ht="45.75" customHeight="1">
      <c r="A43" s="2163"/>
      <c r="B43" s="2146"/>
      <c r="C43" s="2146"/>
      <c r="D43" s="2164"/>
      <c r="E43" s="1573"/>
      <c r="F43" s="2148"/>
      <c r="G43" s="2149" t="str">
        <f t="shared" si="7"/>
        <v/>
      </c>
      <c r="H43" s="2148"/>
      <c r="I43" s="2150"/>
      <c r="J43" s="2148"/>
      <c r="K43" s="2151">
        <f t="shared" si="8"/>
        <v>0</v>
      </c>
      <c r="L43" s="2148"/>
      <c r="M43" s="2150"/>
      <c r="N43" s="2152"/>
      <c r="O43" s="2148"/>
      <c r="P43" s="2151">
        <f t="shared" si="39"/>
        <v>0</v>
      </c>
      <c r="Q43" s="2148"/>
      <c r="R43" s="2150"/>
      <c r="S43" s="2152"/>
      <c r="T43" s="2153"/>
      <c r="U43" s="2154">
        <f t="shared" si="0"/>
        <v>0</v>
      </c>
      <c r="V43" s="2155"/>
      <c r="W43" s="2150"/>
      <c r="X43" s="2152"/>
      <c r="Y43" s="2153"/>
      <c r="Z43" s="1572">
        <f t="shared" si="1"/>
        <v>0</v>
      </c>
      <c r="AA43" s="2168">
        <f t="shared" si="9"/>
        <v>0</v>
      </c>
      <c r="AB43" s="2156" t="str">
        <f t="shared" si="2"/>
        <v/>
      </c>
      <c r="AC43" s="1663"/>
      <c r="AD43" s="2158" t="str">
        <f t="shared" si="10"/>
        <v/>
      </c>
      <c r="AE43" s="2159">
        <f t="shared" si="11"/>
        <v>0</v>
      </c>
      <c r="AF43" s="2159">
        <f t="shared" si="12"/>
        <v>0</v>
      </c>
      <c r="AG43" s="2159">
        <f t="shared" si="13"/>
        <v>0</v>
      </c>
      <c r="AH43" s="2159">
        <f t="shared" si="14"/>
        <v>0</v>
      </c>
      <c r="AI43" s="2160">
        <f t="shared" si="3"/>
        <v>0</v>
      </c>
      <c r="AJ43" s="1966">
        <f t="shared" si="15"/>
        <v>1</v>
      </c>
      <c r="AK43" s="2159">
        <f t="shared" si="16"/>
        <v>0</v>
      </c>
      <c r="AL43" s="368" t="e">
        <f t="shared" si="17"/>
        <v>#DIV/0!</v>
      </c>
      <c r="AM43" s="264"/>
      <c r="AN43" s="369">
        <f t="shared" si="18"/>
        <v>0</v>
      </c>
      <c r="AO43" s="1966">
        <f t="shared" si="19"/>
        <v>0</v>
      </c>
      <c r="AP43" s="1966">
        <f t="shared" si="20"/>
        <v>0</v>
      </c>
      <c r="AQ43" s="1966">
        <f t="shared" si="21"/>
        <v>0</v>
      </c>
      <c r="AR43" s="370">
        <f t="shared" si="22"/>
        <v>0</v>
      </c>
      <c r="AT43" s="371">
        <f t="shared" si="4"/>
        <v>0</v>
      </c>
      <c r="AU43" s="1966">
        <f t="shared" si="23"/>
        <v>0</v>
      </c>
      <c r="AV43" s="2161">
        <f t="shared" si="24"/>
        <v>0</v>
      </c>
      <c r="AW43" s="2161">
        <f t="shared" si="25"/>
        <v>0</v>
      </c>
      <c r="AX43" s="1966">
        <f t="shared" si="5"/>
        <v>0</v>
      </c>
      <c r="AY43" s="372">
        <f t="shared" si="6"/>
        <v>0</v>
      </c>
      <c r="AZ43" s="265"/>
      <c r="BA43" s="371">
        <f t="shared" si="26"/>
        <v>0</v>
      </c>
      <c r="BB43" s="1966">
        <f t="shared" si="27"/>
        <v>0</v>
      </c>
      <c r="BC43" s="1966">
        <f t="shared" si="28"/>
        <v>0</v>
      </c>
      <c r="BD43" s="1966">
        <f t="shared" si="29"/>
        <v>0</v>
      </c>
      <c r="BE43" s="372">
        <f t="shared" si="30"/>
        <v>0</v>
      </c>
      <c r="BG43" s="2159">
        <f t="shared" si="31"/>
        <v>46023</v>
      </c>
      <c r="BH43" s="2159">
        <f t="shared" si="32"/>
        <v>46023</v>
      </c>
      <c r="BI43" s="2159">
        <f t="shared" si="33"/>
        <v>46023</v>
      </c>
      <c r="BJ43" s="2159">
        <f t="shared" si="34"/>
        <v>0</v>
      </c>
      <c r="BL43" s="369">
        <f t="shared" si="35"/>
        <v>0</v>
      </c>
      <c r="BM43" s="2159">
        <f t="shared" si="36"/>
        <v>0</v>
      </c>
      <c r="BN43" s="2159">
        <f t="shared" si="37"/>
        <v>0</v>
      </c>
      <c r="BO43" s="373">
        <f t="shared" si="38"/>
        <v>0</v>
      </c>
      <c r="BT43" s="2054"/>
      <c r="CF43" s="2054"/>
    </row>
    <row r="44" spans="1:84" ht="45.75" customHeight="1">
      <c r="A44" s="2163"/>
      <c r="B44" s="2146"/>
      <c r="C44" s="2146"/>
      <c r="D44" s="2164"/>
      <c r="E44" s="1573"/>
      <c r="F44" s="2148"/>
      <c r="G44" s="2149" t="str">
        <f t="shared" si="7"/>
        <v/>
      </c>
      <c r="H44" s="2148"/>
      <c r="I44" s="2150"/>
      <c r="J44" s="2148"/>
      <c r="K44" s="2151">
        <f t="shared" si="8"/>
        <v>0</v>
      </c>
      <c r="L44" s="2148"/>
      <c r="M44" s="2150"/>
      <c r="N44" s="2152"/>
      <c r="O44" s="2148"/>
      <c r="P44" s="2151">
        <f t="shared" si="39"/>
        <v>0</v>
      </c>
      <c r="Q44" s="2148"/>
      <c r="R44" s="2150"/>
      <c r="S44" s="2152"/>
      <c r="T44" s="2153"/>
      <c r="U44" s="2154">
        <f t="shared" si="0"/>
        <v>0</v>
      </c>
      <c r="V44" s="2155"/>
      <c r="W44" s="2150"/>
      <c r="X44" s="2152"/>
      <c r="Y44" s="2153"/>
      <c r="Z44" s="1572">
        <f t="shared" si="1"/>
        <v>0</v>
      </c>
      <c r="AA44" s="2168">
        <f t="shared" si="9"/>
        <v>0</v>
      </c>
      <c r="AB44" s="2156" t="str">
        <f t="shared" si="2"/>
        <v/>
      </c>
      <c r="AC44" s="1663"/>
      <c r="AD44" s="2158" t="str">
        <f t="shared" si="10"/>
        <v/>
      </c>
      <c r="AE44" s="2159">
        <f t="shared" si="11"/>
        <v>0</v>
      </c>
      <c r="AF44" s="2159">
        <f t="shared" si="12"/>
        <v>0</v>
      </c>
      <c r="AG44" s="2159">
        <f t="shared" si="13"/>
        <v>0</v>
      </c>
      <c r="AH44" s="2159">
        <f t="shared" si="14"/>
        <v>0</v>
      </c>
      <c r="AI44" s="2160">
        <f t="shared" si="3"/>
        <v>0</v>
      </c>
      <c r="AJ44" s="1966">
        <f t="shared" si="15"/>
        <v>1</v>
      </c>
      <c r="AK44" s="2159">
        <f t="shared" si="16"/>
        <v>0</v>
      </c>
      <c r="AL44" s="368" t="e">
        <f t="shared" si="17"/>
        <v>#DIV/0!</v>
      </c>
      <c r="AM44" s="264"/>
      <c r="AN44" s="369">
        <f t="shared" si="18"/>
        <v>0</v>
      </c>
      <c r="AO44" s="1966">
        <f t="shared" si="19"/>
        <v>0</v>
      </c>
      <c r="AP44" s="1966">
        <f t="shared" si="20"/>
        <v>0</v>
      </c>
      <c r="AQ44" s="1966">
        <f t="shared" si="21"/>
        <v>0</v>
      </c>
      <c r="AR44" s="370">
        <f t="shared" si="22"/>
        <v>0</v>
      </c>
      <c r="AT44" s="371">
        <f t="shared" si="4"/>
        <v>0</v>
      </c>
      <c r="AU44" s="1966">
        <f t="shared" si="23"/>
        <v>0</v>
      </c>
      <c r="AV44" s="2161">
        <f t="shared" si="24"/>
        <v>0</v>
      </c>
      <c r="AW44" s="2161">
        <f t="shared" si="25"/>
        <v>0</v>
      </c>
      <c r="AX44" s="1966">
        <f t="shared" si="5"/>
        <v>0</v>
      </c>
      <c r="AY44" s="372">
        <f t="shared" si="6"/>
        <v>0</v>
      </c>
      <c r="AZ44" s="265"/>
      <c r="BA44" s="371">
        <f t="shared" si="26"/>
        <v>0</v>
      </c>
      <c r="BB44" s="1966">
        <f t="shared" si="27"/>
        <v>0</v>
      </c>
      <c r="BC44" s="1966">
        <f t="shared" si="28"/>
        <v>0</v>
      </c>
      <c r="BD44" s="1966">
        <f t="shared" si="29"/>
        <v>0</v>
      </c>
      <c r="BE44" s="372">
        <f t="shared" si="30"/>
        <v>0</v>
      </c>
      <c r="BG44" s="2159">
        <f t="shared" si="31"/>
        <v>46023</v>
      </c>
      <c r="BH44" s="2159">
        <f t="shared" si="32"/>
        <v>46023</v>
      </c>
      <c r="BI44" s="2159">
        <f t="shared" si="33"/>
        <v>46023</v>
      </c>
      <c r="BJ44" s="2159">
        <f t="shared" si="34"/>
        <v>0</v>
      </c>
      <c r="BL44" s="369">
        <f t="shared" si="35"/>
        <v>0</v>
      </c>
      <c r="BM44" s="2159">
        <f t="shared" si="36"/>
        <v>0</v>
      </c>
      <c r="BN44" s="2159">
        <f t="shared" si="37"/>
        <v>0</v>
      </c>
      <c r="BO44" s="373">
        <f t="shared" si="38"/>
        <v>0</v>
      </c>
      <c r="BT44" s="2054"/>
      <c r="CF44" s="2054"/>
    </row>
    <row r="45" spans="1:84" ht="45.75" customHeight="1">
      <c r="A45" s="2163"/>
      <c r="B45" s="2146"/>
      <c r="C45" s="2146"/>
      <c r="D45" s="2164"/>
      <c r="E45" s="1573"/>
      <c r="F45" s="2148"/>
      <c r="G45" s="2149" t="str">
        <f t="shared" si="7"/>
        <v/>
      </c>
      <c r="H45" s="2148"/>
      <c r="I45" s="2150"/>
      <c r="J45" s="2148"/>
      <c r="K45" s="2151">
        <f t="shared" si="8"/>
        <v>0</v>
      </c>
      <c r="L45" s="2148"/>
      <c r="M45" s="2150"/>
      <c r="N45" s="2152"/>
      <c r="O45" s="2148"/>
      <c r="P45" s="2151">
        <f t="shared" si="39"/>
        <v>0</v>
      </c>
      <c r="Q45" s="2148"/>
      <c r="R45" s="2150"/>
      <c r="S45" s="2152"/>
      <c r="T45" s="2153"/>
      <c r="U45" s="2154">
        <f t="shared" si="0"/>
        <v>0</v>
      </c>
      <c r="V45" s="2155"/>
      <c r="W45" s="2150"/>
      <c r="X45" s="2152"/>
      <c r="Y45" s="2153"/>
      <c r="Z45" s="1572">
        <f t="shared" si="1"/>
        <v>0</v>
      </c>
      <c r="AA45" s="2168">
        <f t="shared" si="9"/>
        <v>0</v>
      </c>
      <c r="AB45" s="2156" t="str">
        <f t="shared" si="2"/>
        <v/>
      </c>
      <c r="AC45" s="1663"/>
      <c r="AD45" s="2158" t="str">
        <f t="shared" si="10"/>
        <v/>
      </c>
      <c r="AE45" s="2159">
        <f t="shared" si="11"/>
        <v>0</v>
      </c>
      <c r="AF45" s="2159">
        <f t="shared" si="12"/>
        <v>0</v>
      </c>
      <c r="AG45" s="2159">
        <f t="shared" si="13"/>
        <v>0</v>
      </c>
      <c r="AH45" s="2159">
        <f t="shared" si="14"/>
        <v>0</v>
      </c>
      <c r="AI45" s="2160">
        <f t="shared" si="3"/>
        <v>0</v>
      </c>
      <c r="AJ45" s="1966">
        <f t="shared" si="15"/>
        <v>1</v>
      </c>
      <c r="AK45" s="2159">
        <f t="shared" si="16"/>
        <v>0</v>
      </c>
      <c r="AL45" s="368" t="e">
        <f t="shared" si="17"/>
        <v>#DIV/0!</v>
      </c>
      <c r="AM45" s="264"/>
      <c r="AN45" s="369">
        <f t="shared" si="18"/>
        <v>0</v>
      </c>
      <c r="AO45" s="1966">
        <f t="shared" si="19"/>
        <v>0</v>
      </c>
      <c r="AP45" s="1966">
        <f t="shared" si="20"/>
        <v>0</v>
      </c>
      <c r="AQ45" s="1966">
        <f t="shared" si="21"/>
        <v>0</v>
      </c>
      <c r="AR45" s="370">
        <f t="shared" si="22"/>
        <v>0</v>
      </c>
      <c r="AT45" s="371">
        <f t="shared" si="4"/>
        <v>0</v>
      </c>
      <c r="AU45" s="1966">
        <f t="shared" si="23"/>
        <v>0</v>
      </c>
      <c r="AV45" s="2161">
        <f t="shared" si="24"/>
        <v>0</v>
      </c>
      <c r="AW45" s="2161">
        <f t="shared" si="25"/>
        <v>0</v>
      </c>
      <c r="AX45" s="1966">
        <f t="shared" si="5"/>
        <v>0</v>
      </c>
      <c r="AY45" s="372">
        <f t="shared" si="6"/>
        <v>0</v>
      </c>
      <c r="AZ45" s="265"/>
      <c r="BA45" s="371">
        <f t="shared" si="26"/>
        <v>0</v>
      </c>
      <c r="BB45" s="1966">
        <f t="shared" si="27"/>
        <v>0</v>
      </c>
      <c r="BC45" s="1966">
        <f t="shared" si="28"/>
        <v>0</v>
      </c>
      <c r="BD45" s="1966">
        <f t="shared" si="29"/>
        <v>0</v>
      </c>
      <c r="BE45" s="372">
        <f t="shared" si="30"/>
        <v>0</v>
      </c>
      <c r="BG45" s="2159">
        <f t="shared" si="31"/>
        <v>46023</v>
      </c>
      <c r="BH45" s="2159">
        <f t="shared" si="32"/>
        <v>46023</v>
      </c>
      <c r="BI45" s="2159">
        <f t="shared" si="33"/>
        <v>46023</v>
      </c>
      <c r="BJ45" s="2159">
        <f t="shared" si="34"/>
        <v>0</v>
      </c>
      <c r="BL45" s="369">
        <f t="shared" si="35"/>
        <v>0</v>
      </c>
      <c r="BM45" s="2159">
        <f t="shared" si="36"/>
        <v>0</v>
      </c>
      <c r="BN45" s="2159">
        <f t="shared" si="37"/>
        <v>0</v>
      </c>
      <c r="BO45" s="373">
        <f t="shared" si="38"/>
        <v>0</v>
      </c>
      <c r="BT45" s="2054"/>
      <c r="CF45" s="2054"/>
    </row>
    <row r="46" spans="1:84" ht="45.75" customHeight="1">
      <c r="A46" s="2163"/>
      <c r="B46" s="2146"/>
      <c r="C46" s="2146"/>
      <c r="D46" s="2164"/>
      <c r="E46" s="1573"/>
      <c r="F46" s="2148"/>
      <c r="G46" s="2149" t="str">
        <f t="shared" si="7"/>
        <v/>
      </c>
      <c r="H46" s="2148"/>
      <c r="I46" s="2150"/>
      <c r="J46" s="2148"/>
      <c r="K46" s="2151">
        <f t="shared" si="8"/>
        <v>0</v>
      </c>
      <c r="L46" s="2148"/>
      <c r="M46" s="2150"/>
      <c r="N46" s="2152"/>
      <c r="O46" s="2148"/>
      <c r="P46" s="2151">
        <f t="shared" si="39"/>
        <v>0</v>
      </c>
      <c r="Q46" s="2148"/>
      <c r="R46" s="2150"/>
      <c r="S46" s="2152"/>
      <c r="T46" s="2153"/>
      <c r="U46" s="2154">
        <f t="shared" si="0"/>
        <v>0</v>
      </c>
      <c r="V46" s="2155"/>
      <c r="W46" s="2150"/>
      <c r="X46" s="2152"/>
      <c r="Y46" s="2153"/>
      <c r="Z46" s="1572">
        <f t="shared" si="1"/>
        <v>0</v>
      </c>
      <c r="AA46" s="2168">
        <f t="shared" si="9"/>
        <v>0</v>
      </c>
      <c r="AB46" s="2156" t="str">
        <f t="shared" si="2"/>
        <v/>
      </c>
      <c r="AC46" s="1663"/>
      <c r="AD46" s="2158" t="str">
        <f t="shared" si="10"/>
        <v/>
      </c>
      <c r="AE46" s="2159">
        <f t="shared" si="11"/>
        <v>0</v>
      </c>
      <c r="AF46" s="2159">
        <f t="shared" si="12"/>
        <v>0</v>
      </c>
      <c r="AG46" s="2159">
        <f t="shared" si="13"/>
        <v>0</v>
      </c>
      <c r="AH46" s="2159">
        <f t="shared" si="14"/>
        <v>0</v>
      </c>
      <c r="AI46" s="2160">
        <f t="shared" si="3"/>
        <v>0</v>
      </c>
      <c r="AJ46" s="1966">
        <f t="shared" si="15"/>
        <v>1</v>
      </c>
      <c r="AK46" s="2159">
        <f t="shared" si="16"/>
        <v>0</v>
      </c>
      <c r="AL46" s="368" t="e">
        <f t="shared" si="17"/>
        <v>#DIV/0!</v>
      </c>
      <c r="AM46" s="264"/>
      <c r="AN46" s="369">
        <f t="shared" si="18"/>
        <v>0</v>
      </c>
      <c r="AO46" s="1966">
        <f t="shared" si="19"/>
        <v>0</v>
      </c>
      <c r="AP46" s="1966">
        <f t="shared" si="20"/>
        <v>0</v>
      </c>
      <c r="AQ46" s="1966">
        <f t="shared" si="21"/>
        <v>0</v>
      </c>
      <c r="AR46" s="370">
        <f t="shared" si="22"/>
        <v>0</v>
      </c>
      <c r="AT46" s="371">
        <f t="shared" si="4"/>
        <v>0</v>
      </c>
      <c r="AU46" s="1966">
        <f t="shared" si="23"/>
        <v>0</v>
      </c>
      <c r="AV46" s="2161">
        <f t="shared" si="24"/>
        <v>0</v>
      </c>
      <c r="AW46" s="2161">
        <f t="shared" si="25"/>
        <v>0</v>
      </c>
      <c r="AX46" s="1966">
        <f t="shared" si="5"/>
        <v>0</v>
      </c>
      <c r="AY46" s="372">
        <f t="shared" si="6"/>
        <v>0</v>
      </c>
      <c r="AZ46" s="265"/>
      <c r="BA46" s="371">
        <f t="shared" si="26"/>
        <v>0</v>
      </c>
      <c r="BB46" s="1966">
        <f t="shared" si="27"/>
        <v>0</v>
      </c>
      <c r="BC46" s="1966">
        <f t="shared" si="28"/>
        <v>0</v>
      </c>
      <c r="BD46" s="1966">
        <f t="shared" si="29"/>
        <v>0</v>
      </c>
      <c r="BE46" s="372">
        <f t="shared" si="30"/>
        <v>0</v>
      </c>
      <c r="BG46" s="2159">
        <f t="shared" si="31"/>
        <v>46023</v>
      </c>
      <c r="BH46" s="2159">
        <f t="shared" si="32"/>
        <v>46023</v>
      </c>
      <c r="BI46" s="2159">
        <f t="shared" si="33"/>
        <v>46023</v>
      </c>
      <c r="BJ46" s="2159">
        <f t="shared" si="34"/>
        <v>0</v>
      </c>
      <c r="BL46" s="369">
        <f t="shared" si="35"/>
        <v>0</v>
      </c>
      <c r="BM46" s="2159">
        <f t="shared" si="36"/>
        <v>0</v>
      </c>
      <c r="BN46" s="2159">
        <f t="shared" si="37"/>
        <v>0</v>
      </c>
      <c r="BO46" s="373">
        <f t="shared" si="38"/>
        <v>0</v>
      </c>
      <c r="BT46" s="2054"/>
      <c r="CF46" s="2054"/>
    </row>
    <row r="47" spans="1:84" ht="45.75" customHeight="1">
      <c r="A47" s="2163"/>
      <c r="B47" s="2146"/>
      <c r="C47" s="2146"/>
      <c r="D47" s="2164"/>
      <c r="E47" s="1573"/>
      <c r="F47" s="2148"/>
      <c r="G47" s="2149" t="str">
        <f t="shared" si="7"/>
        <v/>
      </c>
      <c r="H47" s="2148"/>
      <c r="I47" s="2150"/>
      <c r="J47" s="2148"/>
      <c r="K47" s="2151">
        <f t="shared" si="8"/>
        <v>0</v>
      </c>
      <c r="L47" s="2148"/>
      <c r="M47" s="2150"/>
      <c r="N47" s="2152"/>
      <c r="O47" s="2148"/>
      <c r="P47" s="2151">
        <f t="shared" si="39"/>
        <v>0</v>
      </c>
      <c r="Q47" s="2148"/>
      <c r="R47" s="2150"/>
      <c r="S47" s="2152"/>
      <c r="T47" s="2153"/>
      <c r="U47" s="2154">
        <f t="shared" si="0"/>
        <v>0</v>
      </c>
      <c r="V47" s="2155"/>
      <c r="W47" s="2150"/>
      <c r="X47" s="2152"/>
      <c r="Y47" s="2153"/>
      <c r="Z47" s="1572">
        <f t="shared" si="1"/>
        <v>0</v>
      </c>
      <c r="AA47" s="2168">
        <f t="shared" si="9"/>
        <v>0</v>
      </c>
      <c r="AB47" s="2156" t="str">
        <f t="shared" si="2"/>
        <v/>
      </c>
      <c r="AC47" s="1663"/>
      <c r="AD47" s="2158" t="str">
        <f t="shared" si="10"/>
        <v/>
      </c>
      <c r="AE47" s="2159">
        <f t="shared" si="11"/>
        <v>0</v>
      </c>
      <c r="AF47" s="2159">
        <f t="shared" si="12"/>
        <v>0</v>
      </c>
      <c r="AG47" s="2159">
        <f t="shared" si="13"/>
        <v>0</v>
      </c>
      <c r="AH47" s="2159">
        <f t="shared" si="14"/>
        <v>0</v>
      </c>
      <c r="AI47" s="2160">
        <f t="shared" si="3"/>
        <v>0</v>
      </c>
      <c r="AJ47" s="1966">
        <f t="shared" si="15"/>
        <v>1</v>
      </c>
      <c r="AK47" s="2159">
        <f t="shared" si="16"/>
        <v>0</v>
      </c>
      <c r="AL47" s="368" t="e">
        <f t="shared" si="17"/>
        <v>#DIV/0!</v>
      </c>
      <c r="AM47" s="264"/>
      <c r="AN47" s="369">
        <f t="shared" si="18"/>
        <v>0</v>
      </c>
      <c r="AO47" s="1966">
        <f t="shared" si="19"/>
        <v>0</v>
      </c>
      <c r="AP47" s="1966">
        <f t="shared" si="20"/>
        <v>0</v>
      </c>
      <c r="AQ47" s="1966">
        <f t="shared" si="21"/>
        <v>0</v>
      </c>
      <c r="AR47" s="370">
        <f t="shared" si="22"/>
        <v>0</v>
      </c>
      <c r="AT47" s="371">
        <f t="shared" si="4"/>
        <v>0</v>
      </c>
      <c r="AU47" s="1966">
        <f t="shared" si="23"/>
        <v>0</v>
      </c>
      <c r="AV47" s="2161">
        <f t="shared" si="24"/>
        <v>0</v>
      </c>
      <c r="AW47" s="2161">
        <f t="shared" si="25"/>
        <v>0</v>
      </c>
      <c r="AX47" s="1966">
        <f t="shared" si="5"/>
        <v>0</v>
      </c>
      <c r="AY47" s="372">
        <f t="shared" si="6"/>
        <v>0</v>
      </c>
      <c r="AZ47" s="265"/>
      <c r="BA47" s="371">
        <f t="shared" si="26"/>
        <v>0</v>
      </c>
      <c r="BB47" s="1966">
        <f t="shared" si="27"/>
        <v>0</v>
      </c>
      <c r="BC47" s="1966">
        <f t="shared" si="28"/>
        <v>0</v>
      </c>
      <c r="BD47" s="1966">
        <f t="shared" si="29"/>
        <v>0</v>
      </c>
      <c r="BE47" s="372">
        <f t="shared" si="30"/>
        <v>0</v>
      </c>
      <c r="BG47" s="2159">
        <f t="shared" si="31"/>
        <v>46023</v>
      </c>
      <c r="BH47" s="2159">
        <f t="shared" si="32"/>
        <v>46023</v>
      </c>
      <c r="BI47" s="2159">
        <f t="shared" si="33"/>
        <v>46023</v>
      </c>
      <c r="BJ47" s="2159">
        <f t="shared" si="34"/>
        <v>0</v>
      </c>
      <c r="BL47" s="369">
        <f t="shared" si="35"/>
        <v>0</v>
      </c>
      <c r="BM47" s="2159">
        <f t="shared" si="36"/>
        <v>0</v>
      </c>
      <c r="BN47" s="2159">
        <f t="shared" si="37"/>
        <v>0</v>
      </c>
      <c r="BO47" s="373">
        <f t="shared" si="38"/>
        <v>0</v>
      </c>
      <c r="BT47" s="2054"/>
      <c r="CF47" s="2054"/>
    </row>
    <row r="48" spans="1:84" ht="45.75" customHeight="1">
      <c r="A48" s="2163"/>
      <c r="B48" s="2146"/>
      <c r="C48" s="2146"/>
      <c r="D48" s="2164"/>
      <c r="E48" s="1573"/>
      <c r="F48" s="2148"/>
      <c r="G48" s="2149" t="str">
        <f t="shared" si="7"/>
        <v/>
      </c>
      <c r="H48" s="2148"/>
      <c r="I48" s="2150"/>
      <c r="J48" s="2148"/>
      <c r="K48" s="2151">
        <f t="shared" si="8"/>
        <v>0</v>
      </c>
      <c r="L48" s="2148"/>
      <c r="M48" s="2150"/>
      <c r="N48" s="2152"/>
      <c r="O48" s="2148"/>
      <c r="P48" s="2151">
        <f t="shared" si="39"/>
        <v>0</v>
      </c>
      <c r="Q48" s="2148"/>
      <c r="R48" s="2150"/>
      <c r="S48" s="2152"/>
      <c r="T48" s="2153"/>
      <c r="U48" s="2154">
        <f t="shared" si="0"/>
        <v>0</v>
      </c>
      <c r="V48" s="2155"/>
      <c r="W48" s="2150"/>
      <c r="X48" s="2152"/>
      <c r="Y48" s="2153"/>
      <c r="Z48" s="1572">
        <f t="shared" si="1"/>
        <v>0</v>
      </c>
      <c r="AA48" s="2168">
        <f t="shared" si="9"/>
        <v>0</v>
      </c>
      <c r="AB48" s="2156" t="str">
        <f t="shared" si="2"/>
        <v/>
      </c>
      <c r="AC48" s="1663"/>
      <c r="AD48" s="2158" t="str">
        <f t="shared" si="10"/>
        <v/>
      </c>
      <c r="AE48" s="2159">
        <f t="shared" si="11"/>
        <v>0</v>
      </c>
      <c r="AF48" s="2159">
        <f t="shared" si="12"/>
        <v>0</v>
      </c>
      <c r="AG48" s="2159">
        <f t="shared" si="13"/>
        <v>0</v>
      </c>
      <c r="AH48" s="2159">
        <f t="shared" si="14"/>
        <v>0</v>
      </c>
      <c r="AI48" s="2160">
        <f t="shared" si="3"/>
        <v>0</v>
      </c>
      <c r="AJ48" s="1966">
        <f t="shared" si="15"/>
        <v>1</v>
      </c>
      <c r="AK48" s="2159">
        <f t="shared" si="16"/>
        <v>0</v>
      </c>
      <c r="AL48" s="368" t="e">
        <f t="shared" si="17"/>
        <v>#DIV/0!</v>
      </c>
      <c r="AM48" s="264"/>
      <c r="AN48" s="369">
        <f t="shared" si="18"/>
        <v>0</v>
      </c>
      <c r="AO48" s="1966">
        <f t="shared" si="19"/>
        <v>0</v>
      </c>
      <c r="AP48" s="1966">
        <f t="shared" si="20"/>
        <v>0</v>
      </c>
      <c r="AQ48" s="1966">
        <f t="shared" si="21"/>
        <v>0</v>
      </c>
      <c r="AR48" s="370">
        <f t="shared" si="22"/>
        <v>0</v>
      </c>
      <c r="AT48" s="371">
        <f t="shared" si="4"/>
        <v>0</v>
      </c>
      <c r="AU48" s="1966">
        <f t="shared" si="23"/>
        <v>0</v>
      </c>
      <c r="AV48" s="2161">
        <f t="shared" si="24"/>
        <v>0</v>
      </c>
      <c r="AW48" s="2161">
        <f t="shared" si="25"/>
        <v>0</v>
      </c>
      <c r="AX48" s="1966">
        <f t="shared" si="5"/>
        <v>0</v>
      </c>
      <c r="AY48" s="372">
        <f t="shared" si="6"/>
        <v>0</v>
      </c>
      <c r="AZ48" s="265"/>
      <c r="BA48" s="371">
        <f t="shared" si="26"/>
        <v>0</v>
      </c>
      <c r="BB48" s="1966">
        <f t="shared" si="27"/>
        <v>0</v>
      </c>
      <c r="BC48" s="1966">
        <f t="shared" si="28"/>
        <v>0</v>
      </c>
      <c r="BD48" s="1966">
        <f t="shared" si="29"/>
        <v>0</v>
      </c>
      <c r="BE48" s="372">
        <f t="shared" si="30"/>
        <v>0</v>
      </c>
      <c r="BG48" s="2159">
        <f t="shared" si="31"/>
        <v>46023</v>
      </c>
      <c r="BH48" s="2159">
        <f t="shared" si="32"/>
        <v>46023</v>
      </c>
      <c r="BI48" s="2159">
        <f t="shared" si="33"/>
        <v>46023</v>
      </c>
      <c r="BJ48" s="2159">
        <f t="shared" si="34"/>
        <v>0</v>
      </c>
      <c r="BL48" s="369">
        <f t="shared" si="35"/>
        <v>0</v>
      </c>
      <c r="BM48" s="2159">
        <f t="shared" si="36"/>
        <v>0</v>
      </c>
      <c r="BN48" s="2159">
        <f t="shared" si="37"/>
        <v>0</v>
      </c>
      <c r="BO48" s="373">
        <f t="shared" si="38"/>
        <v>0</v>
      </c>
      <c r="BT48" s="2054"/>
      <c r="CF48" s="2054"/>
    </row>
    <row r="49" spans="1:84" ht="45.75" customHeight="1">
      <c r="A49" s="2163"/>
      <c r="B49" s="2146"/>
      <c r="C49" s="2146"/>
      <c r="D49" s="2164"/>
      <c r="E49" s="1573"/>
      <c r="F49" s="2148"/>
      <c r="G49" s="2149" t="str">
        <f t="shared" si="7"/>
        <v/>
      </c>
      <c r="H49" s="2148"/>
      <c r="I49" s="2150"/>
      <c r="J49" s="2148"/>
      <c r="K49" s="2151">
        <f t="shared" si="8"/>
        <v>0</v>
      </c>
      <c r="L49" s="2148"/>
      <c r="M49" s="2150"/>
      <c r="N49" s="2152"/>
      <c r="O49" s="2148"/>
      <c r="P49" s="2151">
        <f t="shared" si="39"/>
        <v>0</v>
      </c>
      <c r="Q49" s="2148"/>
      <c r="R49" s="2150"/>
      <c r="S49" s="2152"/>
      <c r="T49" s="2153"/>
      <c r="U49" s="2154">
        <f t="shared" si="0"/>
        <v>0</v>
      </c>
      <c r="V49" s="2155"/>
      <c r="W49" s="2150"/>
      <c r="X49" s="2152"/>
      <c r="Y49" s="2153"/>
      <c r="Z49" s="1572">
        <f t="shared" si="1"/>
        <v>0</v>
      </c>
      <c r="AA49" s="2168">
        <f t="shared" si="9"/>
        <v>0</v>
      </c>
      <c r="AB49" s="2156" t="str">
        <f t="shared" si="2"/>
        <v/>
      </c>
      <c r="AC49" s="1663"/>
      <c r="AD49" s="2158" t="str">
        <f t="shared" si="10"/>
        <v/>
      </c>
      <c r="AE49" s="2159">
        <f t="shared" si="11"/>
        <v>0</v>
      </c>
      <c r="AF49" s="2159">
        <f t="shared" si="12"/>
        <v>0</v>
      </c>
      <c r="AG49" s="2159">
        <f t="shared" si="13"/>
        <v>0</v>
      </c>
      <c r="AH49" s="2159">
        <f t="shared" si="14"/>
        <v>0</v>
      </c>
      <c r="AI49" s="2160">
        <f t="shared" si="3"/>
        <v>0</v>
      </c>
      <c r="AJ49" s="1966">
        <f t="shared" si="15"/>
        <v>1</v>
      </c>
      <c r="AK49" s="2159">
        <f t="shared" si="16"/>
        <v>0</v>
      </c>
      <c r="AL49" s="368" t="e">
        <f t="shared" si="17"/>
        <v>#DIV/0!</v>
      </c>
      <c r="AM49" s="264"/>
      <c r="AN49" s="369">
        <f t="shared" si="18"/>
        <v>0</v>
      </c>
      <c r="AO49" s="1966">
        <f t="shared" si="19"/>
        <v>0</v>
      </c>
      <c r="AP49" s="1966">
        <f t="shared" si="20"/>
        <v>0</v>
      </c>
      <c r="AQ49" s="1966">
        <f t="shared" si="21"/>
        <v>0</v>
      </c>
      <c r="AR49" s="370">
        <f t="shared" si="22"/>
        <v>0</v>
      </c>
      <c r="AT49" s="371">
        <f t="shared" si="4"/>
        <v>0</v>
      </c>
      <c r="AU49" s="1966">
        <f t="shared" si="23"/>
        <v>0</v>
      </c>
      <c r="AV49" s="2161">
        <f t="shared" si="24"/>
        <v>0</v>
      </c>
      <c r="AW49" s="2161">
        <f t="shared" si="25"/>
        <v>0</v>
      </c>
      <c r="AX49" s="1966">
        <f t="shared" si="5"/>
        <v>0</v>
      </c>
      <c r="AY49" s="372">
        <f t="shared" si="6"/>
        <v>0</v>
      </c>
      <c r="AZ49" s="265"/>
      <c r="BA49" s="371">
        <f t="shared" si="26"/>
        <v>0</v>
      </c>
      <c r="BB49" s="1966">
        <f t="shared" si="27"/>
        <v>0</v>
      </c>
      <c r="BC49" s="1966">
        <f t="shared" si="28"/>
        <v>0</v>
      </c>
      <c r="BD49" s="1966">
        <f t="shared" si="29"/>
        <v>0</v>
      </c>
      <c r="BE49" s="372">
        <f t="shared" si="30"/>
        <v>0</v>
      </c>
      <c r="BG49" s="2159">
        <f t="shared" si="31"/>
        <v>46023</v>
      </c>
      <c r="BH49" s="2159">
        <f t="shared" si="32"/>
        <v>46023</v>
      </c>
      <c r="BI49" s="2159">
        <f t="shared" si="33"/>
        <v>46023</v>
      </c>
      <c r="BJ49" s="2159">
        <f t="shared" si="34"/>
        <v>0</v>
      </c>
      <c r="BL49" s="369">
        <f t="shared" si="35"/>
        <v>0</v>
      </c>
      <c r="BM49" s="2159">
        <f t="shared" si="36"/>
        <v>0</v>
      </c>
      <c r="BN49" s="2159">
        <f t="shared" si="37"/>
        <v>0</v>
      </c>
      <c r="BO49" s="373">
        <f t="shared" si="38"/>
        <v>0</v>
      </c>
      <c r="BT49" s="2054"/>
      <c r="CF49" s="2054"/>
    </row>
    <row r="50" spans="1:84" ht="45.75" customHeight="1">
      <c r="A50" s="2163"/>
      <c r="B50" s="2146"/>
      <c r="C50" s="2146"/>
      <c r="D50" s="2164"/>
      <c r="E50" s="1573"/>
      <c r="F50" s="2148"/>
      <c r="G50" s="2149" t="str">
        <f t="shared" si="7"/>
        <v/>
      </c>
      <c r="H50" s="2148"/>
      <c r="I50" s="2150"/>
      <c r="J50" s="2148"/>
      <c r="K50" s="2151">
        <f t="shared" si="8"/>
        <v>0</v>
      </c>
      <c r="L50" s="2148"/>
      <c r="M50" s="2150"/>
      <c r="N50" s="2152"/>
      <c r="O50" s="2148"/>
      <c r="P50" s="2151">
        <f t="shared" si="39"/>
        <v>0</v>
      </c>
      <c r="Q50" s="2148"/>
      <c r="R50" s="2150"/>
      <c r="S50" s="2152"/>
      <c r="T50" s="2153"/>
      <c r="U50" s="2154">
        <f t="shared" si="0"/>
        <v>0</v>
      </c>
      <c r="V50" s="2155"/>
      <c r="W50" s="2150"/>
      <c r="X50" s="2152"/>
      <c r="Y50" s="2153"/>
      <c r="Z50" s="1572">
        <f t="shared" si="1"/>
        <v>0</v>
      </c>
      <c r="AA50" s="2168">
        <f t="shared" si="9"/>
        <v>0</v>
      </c>
      <c r="AB50" s="2156" t="str">
        <f t="shared" si="2"/>
        <v/>
      </c>
      <c r="AC50" s="1663"/>
      <c r="AD50" s="2158" t="str">
        <f t="shared" si="10"/>
        <v/>
      </c>
      <c r="AE50" s="2159">
        <f t="shared" si="11"/>
        <v>0</v>
      </c>
      <c r="AF50" s="2159">
        <f t="shared" si="12"/>
        <v>0</v>
      </c>
      <c r="AG50" s="2159">
        <f t="shared" si="13"/>
        <v>0</v>
      </c>
      <c r="AH50" s="2159">
        <f t="shared" si="14"/>
        <v>0</v>
      </c>
      <c r="AI50" s="2160">
        <f t="shared" si="3"/>
        <v>0</v>
      </c>
      <c r="AJ50" s="1966">
        <f t="shared" si="15"/>
        <v>1</v>
      </c>
      <c r="AK50" s="2159">
        <f t="shared" si="16"/>
        <v>0</v>
      </c>
      <c r="AL50" s="368" t="e">
        <f t="shared" si="17"/>
        <v>#DIV/0!</v>
      </c>
      <c r="AM50" s="264"/>
      <c r="AN50" s="369">
        <f t="shared" si="18"/>
        <v>0</v>
      </c>
      <c r="AO50" s="1966">
        <f t="shared" si="19"/>
        <v>0</v>
      </c>
      <c r="AP50" s="1966">
        <f t="shared" si="20"/>
        <v>0</v>
      </c>
      <c r="AQ50" s="1966">
        <f t="shared" si="21"/>
        <v>0</v>
      </c>
      <c r="AR50" s="370">
        <f t="shared" si="22"/>
        <v>0</v>
      </c>
      <c r="AT50" s="371">
        <f t="shared" si="4"/>
        <v>0</v>
      </c>
      <c r="AU50" s="1966">
        <f t="shared" si="23"/>
        <v>0</v>
      </c>
      <c r="AV50" s="2161">
        <f t="shared" si="24"/>
        <v>0</v>
      </c>
      <c r="AW50" s="2161">
        <f t="shared" si="25"/>
        <v>0</v>
      </c>
      <c r="AX50" s="1966">
        <f t="shared" si="5"/>
        <v>0</v>
      </c>
      <c r="AY50" s="372">
        <f t="shared" si="6"/>
        <v>0</v>
      </c>
      <c r="AZ50" s="265"/>
      <c r="BA50" s="371">
        <f t="shared" si="26"/>
        <v>0</v>
      </c>
      <c r="BB50" s="1966">
        <f t="shared" si="27"/>
        <v>0</v>
      </c>
      <c r="BC50" s="1966">
        <f t="shared" si="28"/>
        <v>0</v>
      </c>
      <c r="BD50" s="1966">
        <f t="shared" si="29"/>
        <v>0</v>
      </c>
      <c r="BE50" s="372">
        <f t="shared" si="30"/>
        <v>0</v>
      </c>
      <c r="BG50" s="2159">
        <f t="shared" si="31"/>
        <v>46023</v>
      </c>
      <c r="BH50" s="2159">
        <f t="shared" si="32"/>
        <v>46023</v>
      </c>
      <c r="BI50" s="2159">
        <f t="shared" si="33"/>
        <v>46023</v>
      </c>
      <c r="BJ50" s="2159">
        <f t="shared" si="34"/>
        <v>0</v>
      </c>
      <c r="BL50" s="369">
        <f t="shared" si="35"/>
        <v>0</v>
      </c>
      <c r="BM50" s="2159">
        <f t="shared" si="36"/>
        <v>0</v>
      </c>
      <c r="BN50" s="2159">
        <f t="shared" si="37"/>
        <v>0</v>
      </c>
      <c r="BO50" s="373">
        <f t="shared" si="38"/>
        <v>0</v>
      </c>
      <c r="BT50" s="2054"/>
      <c r="CF50" s="2054"/>
    </row>
    <row r="51" spans="1:84" ht="45.75" customHeight="1">
      <c r="A51" s="2163"/>
      <c r="B51" s="2146"/>
      <c r="C51" s="2146"/>
      <c r="D51" s="2164"/>
      <c r="E51" s="1573"/>
      <c r="F51" s="2148"/>
      <c r="G51" s="2149" t="str">
        <f t="shared" si="7"/>
        <v/>
      </c>
      <c r="H51" s="2148"/>
      <c r="I51" s="2150"/>
      <c r="J51" s="2148"/>
      <c r="K51" s="2151">
        <f t="shared" si="8"/>
        <v>0</v>
      </c>
      <c r="L51" s="2148"/>
      <c r="M51" s="2150"/>
      <c r="N51" s="2152"/>
      <c r="O51" s="2148"/>
      <c r="P51" s="2151">
        <f t="shared" si="39"/>
        <v>0</v>
      </c>
      <c r="Q51" s="2148"/>
      <c r="R51" s="2150"/>
      <c r="S51" s="2152"/>
      <c r="T51" s="2153"/>
      <c r="U51" s="2154">
        <f t="shared" si="0"/>
        <v>0</v>
      </c>
      <c r="V51" s="2155"/>
      <c r="W51" s="2150"/>
      <c r="X51" s="2152"/>
      <c r="Y51" s="2153"/>
      <c r="Z51" s="1572">
        <f t="shared" si="1"/>
        <v>0</v>
      </c>
      <c r="AA51" s="2168">
        <f t="shared" si="9"/>
        <v>0</v>
      </c>
      <c r="AB51" s="2156" t="str">
        <f t="shared" si="2"/>
        <v/>
      </c>
      <c r="AC51" s="1663"/>
      <c r="AD51" s="2158" t="str">
        <f t="shared" si="10"/>
        <v/>
      </c>
      <c r="AE51" s="2159">
        <f t="shared" si="11"/>
        <v>0</v>
      </c>
      <c r="AF51" s="2159">
        <f t="shared" si="12"/>
        <v>0</v>
      </c>
      <c r="AG51" s="2159">
        <f t="shared" si="13"/>
        <v>0</v>
      </c>
      <c r="AH51" s="2159">
        <f t="shared" si="14"/>
        <v>0</v>
      </c>
      <c r="AI51" s="2160">
        <f t="shared" si="3"/>
        <v>0</v>
      </c>
      <c r="AJ51" s="1966">
        <f t="shared" si="15"/>
        <v>1</v>
      </c>
      <c r="AK51" s="2159">
        <f t="shared" si="16"/>
        <v>0</v>
      </c>
      <c r="AL51" s="368" t="e">
        <f t="shared" si="17"/>
        <v>#DIV/0!</v>
      </c>
      <c r="AM51" s="264"/>
      <c r="AN51" s="369">
        <f t="shared" si="18"/>
        <v>0</v>
      </c>
      <c r="AO51" s="1966">
        <f t="shared" si="19"/>
        <v>0</v>
      </c>
      <c r="AP51" s="1966">
        <f t="shared" si="20"/>
        <v>0</v>
      </c>
      <c r="AQ51" s="1966">
        <f t="shared" si="21"/>
        <v>0</v>
      </c>
      <c r="AR51" s="370">
        <f t="shared" si="22"/>
        <v>0</v>
      </c>
      <c r="AT51" s="371">
        <f t="shared" si="4"/>
        <v>0</v>
      </c>
      <c r="AU51" s="1966">
        <f t="shared" si="23"/>
        <v>0</v>
      </c>
      <c r="AV51" s="2161">
        <f t="shared" si="24"/>
        <v>0</v>
      </c>
      <c r="AW51" s="2161">
        <f t="shared" si="25"/>
        <v>0</v>
      </c>
      <c r="AX51" s="1966">
        <f t="shared" si="5"/>
        <v>0</v>
      </c>
      <c r="AY51" s="372">
        <f t="shared" si="6"/>
        <v>0</v>
      </c>
      <c r="AZ51" s="265"/>
      <c r="BA51" s="371">
        <f t="shared" si="26"/>
        <v>0</v>
      </c>
      <c r="BB51" s="1966">
        <f t="shared" si="27"/>
        <v>0</v>
      </c>
      <c r="BC51" s="1966">
        <f t="shared" si="28"/>
        <v>0</v>
      </c>
      <c r="BD51" s="1966">
        <f t="shared" si="29"/>
        <v>0</v>
      </c>
      <c r="BE51" s="372">
        <f t="shared" si="30"/>
        <v>0</v>
      </c>
      <c r="BG51" s="2159">
        <f t="shared" si="31"/>
        <v>46023</v>
      </c>
      <c r="BH51" s="2159">
        <f t="shared" si="32"/>
        <v>46023</v>
      </c>
      <c r="BI51" s="2159">
        <f t="shared" si="33"/>
        <v>46023</v>
      </c>
      <c r="BJ51" s="2159">
        <f t="shared" si="34"/>
        <v>0</v>
      </c>
      <c r="BL51" s="369">
        <f t="shared" si="35"/>
        <v>0</v>
      </c>
      <c r="BM51" s="2159">
        <f t="shared" si="36"/>
        <v>0</v>
      </c>
      <c r="BN51" s="2159">
        <f t="shared" si="37"/>
        <v>0</v>
      </c>
      <c r="BO51" s="373">
        <f t="shared" si="38"/>
        <v>0</v>
      </c>
      <c r="BT51" s="2054"/>
      <c r="CF51" s="2054"/>
    </row>
    <row r="52" spans="1:84" ht="45.75" customHeight="1">
      <c r="A52" s="2163"/>
      <c r="B52" s="2146"/>
      <c r="C52" s="2146"/>
      <c r="D52" s="2164"/>
      <c r="E52" s="1573"/>
      <c r="F52" s="2148"/>
      <c r="G52" s="2149" t="str">
        <f t="shared" si="7"/>
        <v/>
      </c>
      <c r="H52" s="2148"/>
      <c r="I52" s="2150"/>
      <c r="J52" s="2148"/>
      <c r="K52" s="2151">
        <f t="shared" si="8"/>
        <v>0</v>
      </c>
      <c r="L52" s="2148"/>
      <c r="M52" s="2150"/>
      <c r="N52" s="2152"/>
      <c r="O52" s="2148"/>
      <c r="P52" s="2151">
        <f t="shared" si="39"/>
        <v>0</v>
      </c>
      <c r="Q52" s="2148"/>
      <c r="R52" s="2150"/>
      <c r="S52" s="2152"/>
      <c r="T52" s="2153"/>
      <c r="U52" s="2154">
        <f t="shared" si="0"/>
        <v>0</v>
      </c>
      <c r="V52" s="2155"/>
      <c r="W52" s="2150"/>
      <c r="X52" s="2152"/>
      <c r="Y52" s="2153"/>
      <c r="Z52" s="1572">
        <f t="shared" si="1"/>
        <v>0</v>
      </c>
      <c r="AA52" s="2168">
        <f t="shared" si="9"/>
        <v>0</v>
      </c>
      <c r="AB52" s="2156" t="str">
        <f t="shared" si="2"/>
        <v/>
      </c>
      <c r="AC52" s="1663"/>
      <c r="AD52" s="2158" t="str">
        <f t="shared" si="10"/>
        <v/>
      </c>
      <c r="AE52" s="2159">
        <f t="shared" si="11"/>
        <v>0</v>
      </c>
      <c r="AF52" s="2159">
        <f t="shared" si="12"/>
        <v>0</v>
      </c>
      <c r="AG52" s="2159">
        <f t="shared" si="13"/>
        <v>0</v>
      </c>
      <c r="AH52" s="2159">
        <f t="shared" si="14"/>
        <v>0</v>
      </c>
      <c r="AI52" s="2160">
        <f t="shared" si="3"/>
        <v>0</v>
      </c>
      <c r="AJ52" s="1966">
        <f t="shared" si="15"/>
        <v>1</v>
      </c>
      <c r="AK52" s="2159">
        <f t="shared" si="16"/>
        <v>0</v>
      </c>
      <c r="AL52" s="368" t="e">
        <f t="shared" si="17"/>
        <v>#DIV/0!</v>
      </c>
      <c r="AM52" s="264"/>
      <c r="AN52" s="369">
        <f t="shared" si="18"/>
        <v>0</v>
      </c>
      <c r="AO52" s="1966">
        <f t="shared" si="19"/>
        <v>0</v>
      </c>
      <c r="AP52" s="1966">
        <f t="shared" si="20"/>
        <v>0</v>
      </c>
      <c r="AQ52" s="1966">
        <f t="shared" si="21"/>
        <v>0</v>
      </c>
      <c r="AR52" s="370">
        <f t="shared" si="22"/>
        <v>0</v>
      </c>
      <c r="AT52" s="371">
        <f t="shared" si="4"/>
        <v>0</v>
      </c>
      <c r="AU52" s="1966">
        <f t="shared" si="23"/>
        <v>0</v>
      </c>
      <c r="AV52" s="2161">
        <f t="shared" si="24"/>
        <v>0</v>
      </c>
      <c r="AW52" s="2161">
        <f t="shared" si="25"/>
        <v>0</v>
      </c>
      <c r="AX52" s="1966">
        <f t="shared" si="5"/>
        <v>0</v>
      </c>
      <c r="AY52" s="372">
        <f t="shared" si="6"/>
        <v>0</v>
      </c>
      <c r="AZ52" s="265"/>
      <c r="BA52" s="371">
        <f t="shared" si="26"/>
        <v>0</v>
      </c>
      <c r="BB52" s="1966">
        <f t="shared" si="27"/>
        <v>0</v>
      </c>
      <c r="BC52" s="1966">
        <f t="shared" si="28"/>
        <v>0</v>
      </c>
      <c r="BD52" s="1966">
        <f t="shared" si="29"/>
        <v>0</v>
      </c>
      <c r="BE52" s="372">
        <f t="shared" si="30"/>
        <v>0</v>
      </c>
      <c r="BG52" s="2159">
        <f t="shared" si="31"/>
        <v>46023</v>
      </c>
      <c r="BH52" s="2159">
        <f t="shared" si="32"/>
        <v>46023</v>
      </c>
      <c r="BI52" s="2159">
        <f t="shared" si="33"/>
        <v>46023</v>
      </c>
      <c r="BJ52" s="2159">
        <f t="shared" si="34"/>
        <v>0</v>
      </c>
      <c r="BL52" s="369">
        <f t="shared" si="35"/>
        <v>0</v>
      </c>
      <c r="BM52" s="2159">
        <f t="shared" si="36"/>
        <v>0</v>
      </c>
      <c r="BN52" s="2159">
        <f t="shared" si="37"/>
        <v>0</v>
      </c>
      <c r="BO52" s="373">
        <f t="shared" si="38"/>
        <v>0</v>
      </c>
      <c r="BT52" s="2054"/>
      <c r="CF52" s="2054"/>
    </row>
    <row r="53" spans="1:84" ht="45.75" customHeight="1">
      <c r="A53" s="2163"/>
      <c r="B53" s="2146"/>
      <c r="C53" s="2146"/>
      <c r="D53" s="2164"/>
      <c r="E53" s="1573"/>
      <c r="F53" s="2148"/>
      <c r="G53" s="2149" t="str">
        <f t="shared" si="7"/>
        <v/>
      </c>
      <c r="H53" s="2148"/>
      <c r="I53" s="2150"/>
      <c r="J53" s="2148"/>
      <c r="K53" s="2151">
        <f t="shared" si="8"/>
        <v>0</v>
      </c>
      <c r="L53" s="2148"/>
      <c r="M53" s="2150"/>
      <c r="N53" s="2152"/>
      <c r="O53" s="2148"/>
      <c r="P53" s="2151">
        <f t="shared" si="39"/>
        <v>0</v>
      </c>
      <c r="Q53" s="2148"/>
      <c r="R53" s="2150"/>
      <c r="S53" s="2152"/>
      <c r="T53" s="2153"/>
      <c r="U53" s="2154">
        <f t="shared" si="0"/>
        <v>0</v>
      </c>
      <c r="V53" s="2155"/>
      <c r="W53" s="2150"/>
      <c r="X53" s="2152"/>
      <c r="Y53" s="2153"/>
      <c r="Z53" s="1572">
        <f t="shared" si="1"/>
        <v>0</v>
      </c>
      <c r="AA53" s="2168">
        <f t="shared" si="9"/>
        <v>0</v>
      </c>
      <c r="AB53" s="2156" t="str">
        <f t="shared" si="2"/>
        <v/>
      </c>
      <c r="AC53" s="1663"/>
      <c r="AD53" s="2158" t="str">
        <f t="shared" si="10"/>
        <v/>
      </c>
      <c r="AE53" s="2159">
        <f t="shared" si="11"/>
        <v>0</v>
      </c>
      <c r="AF53" s="2159">
        <f t="shared" si="12"/>
        <v>0</v>
      </c>
      <c r="AG53" s="2159">
        <f t="shared" si="13"/>
        <v>0</v>
      </c>
      <c r="AH53" s="2159">
        <f t="shared" si="14"/>
        <v>0</v>
      </c>
      <c r="AI53" s="2160">
        <f t="shared" si="3"/>
        <v>0</v>
      </c>
      <c r="AJ53" s="1966">
        <f t="shared" si="15"/>
        <v>1</v>
      </c>
      <c r="AK53" s="2159">
        <f t="shared" si="16"/>
        <v>0</v>
      </c>
      <c r="AL53" s="368" t="e">
        <f t="shared" si="17"/>
        <v>#DIV/0!</v>
      </c>
      <c r="AM53" s="264"/>
      <c r="AN53" s="369">
        <f t="shared" si="18"/>
        <v>0</v>
      </c>
      <c r="AO53" s="1966">
        <f t="shared" si="19"/>
        <v>0</v>
      </c>
      <c r="AP53" s="1966">
        <f t="shared" si="20"/>
        <v>0</v>
      </c>
      <c r="AQ53" s="1966">
        <f t="shared" si="21"/>
        <v>0</v>
      </c>
      <c r="AR53" s="370">
        <f t="shared" si="22"/>
        <v>0</v>
      </c>
      <c r="AT53" s="371">
        <f t="shared" si="4"/>
        <v>0</v>
      </c>
      <c r="AU53" s="1966">
        <f t="shared" si="23"/>
        <v>0</v>
      </c>
      <c r="AV53" s="2161">
        <f t="shared" si="24"/>
        <v>0</v>
      </c>
      <c r="AW53" s="2161">
        <f t="shared" si="25"/>
        <v>0</v>
      </c>
      <c r="AX53" s="1966">
        <f t="shared" si="5"/>
        <v>0</v>
      </c>
      <c r="AY53" s="372">
        <f t="shared" si="6"/>
        <v>0</v>
      </c>
      <c r="AZ53" s="265"/>
      <c r="BA53" s="371">
        <f t="shared" si="26"/>
        <v>0</v>
      </c>
      <c r="BB53" s="1966">
        <f t="shared" si="27"/>
        <v>0</v>
      </c>
      <c r="BC53" s="1966">
        <f t="shared" si="28"/>
        <v>0</v>
      </c>
      <c r="BD53" s="1966">
        <f t="shared" si="29"/>
        <v>0</v>
      </c>
      <c r="BE53" s="372">
        <f t="shared" si="30"/>
        <v>0</v>
      </c>
      <c r="BG53" s="2159">
        <f t="shared" si="31"/>
        <v>46023</v>
      </c>
      <c r="BH53" s="2159">
        <f t="shared" si="32"/>
        <v>46023</v>
      </c>
      <c r="BI53" s="2159">
        <f t="shared" si="33"/>
        <v>46023</v>
      </c>
      <c r="BJ53" s="2159">
        <f t="shared" si="34"/>
        <v>0</v>
      </c>
      <c r="BL53" s="369">
        <f t="shared" si="35"/>
        <v>0</v>
      </c>
      <c r="BM53" s="2159">
        <f t="shared" si="36"/>
        <v>0</v>
      </c>
      <c r="BN53" s="2159">
        <f t="shared" si="37"/>
        <v>0</v>
      </c>
      <c r="BO53" s="373">
        <f t="shared" si="38"/>
        <v>0</v>
      </c>
      <c r="BT53" s="2054"/>
      <c r="CF53" s="2054"/>
    </row>
    <row r="54" spans="1:84" ht="45.75" customHeight="1">
      <c r="A54" s="2163"/>
      <c r="B54" s="2146"/>
      <c r="C54" s="2146"/>
      <c r="D54" s="2164"/>
      <c r="E54" s="1573"/>
      <c r="F54" s="2148"/>
      <c r="G54" s="2149" t="str">
        <f t="shared" si="7"/>
        <v/>
      </c>
      <c r="H54" s="2148"/>
      <c r="I54" s="2150"/>
      <c r="J54" s="2148"/>
      <c r="K54" s="2151">
        <f t="shared" si="8"/>
        <v>0</v>
      </c>
      <c r="L54" s="2148"/>
      <c r="M54" s="2150"/>
      <c r="N54" s="2152"/>
      <c r="O54" s="2148"/>
      <c r="P54" s="2151">
        <f t="shared" si="39"/>
        <v>0</v>
      </c>
      <c r="Q54" s="2148"/>
      <c r="R54" s="2150"/>
      <c r="S54" s="2152"/>
      <c r="T54" s="2153"/>
      <c r="U54" s="2154">
        <f t="shared" si="0"/>
        <v>0</v>
      </c>
      <c r="V54" s="2155"/>
      <c r="W54" s="2150"/>
      <c r="X54" s="2152"/>
      <c r="Y54" s="2153"/>
      <c r="Z54" s="1572">
        <f t="shared" si="1"/>
        <v>0</v>
      </c>
      <c r="AA54" s="2168">
        <f t="shared" si="9"/>
        <v>0</v>
      </c>
      <c r="AB54" s="2156" t="str">
        <f t="shared" si="2"/>
        <v/>
      </c>
      <c r="AC54" s="1663"/>
      <c r="AD54" s="2158" t="str">
        <f t="shared" si="10"/>
        <v/>
      </c>
      <c r="AE54" s="2159">
        <f t="shared" si="11"/>
        <v>0</v>
      </c>
      <c r="AF54" s="2159">
        <f t="shared" si="12"/>
        <v>0</v>
      </c>
      <c r="AG54" s="2159">
        <f t="shared" si="13"/>
        <v>0</v>
      </c>
      <c r="AH54" s="2159">
        <f t="shared" si="14"/>
        <v>0</v>
      </c>
      <c r="AI54" s="2160">
        <f t="shared" si="3"/>
        <v>0</v>
      </c>
      <c r="AJ54" s="1966">
        <f t="shared" si="15"/>
        <v>1</v>
      </c>
      <c r="AK54" s="2159">
        <f t="shared" si="16"/>
        <v>0</v>
      </c>
      <c r="AL54" s="368" t="e">
        <f t="shared" si="17"/>
        <v>#DIV/0!</v>
      </c>
      <c r="AM54" s="264"/>
      <c r="AN54" s="369">
        <f t="shared" si="18"/>
        <v>0</v>
      </c>
      <c r="AO54" s="1966">
        <f t="shared" si="19"/>
        <v>0</v>
      </c>
      <c r="AP54" s="1966">
        <f t="shared" si="20"/>
        <v>0</v>
      </c>
      <c r="AQ54" s="1966">
        <f t="shared" si="21"/>
        <v>0</v>
      </c>
      <c r="AR54" s="370">
        <f t="shared" si="22"/>
        <v>0</v>
      </c>
      <c r="AT54" s="371">
        <f t="shared" si="4"/>
        <v>0</v>
      </c>
      <c r="AU54" s="1966">
        <f t="shared" si="23"/>
        <v>0</v>
      </c>
      <c r="AV54" s="2161">
        <f t="shared" si="24"/>
        <v>0</v>
      </c>
      <c r="AW54" s="2161">
        <f t="shared" si="25"/>
        <v>0</v>
      </c>
      <c r="AX54" s="1966">
        <f t="shared" si="5"/>
        <v>0</v>
      </c>
      <c r="AY54" s="372">
        <f t="shared" si="6"/>
        <v>0</v>
      </c>
      <c r="AZ54" s="265"/>
      <c r="BA54" s="371">
        <f t="shared" si="26"/>
        <v>0</v>
      </c>
      <c r="BB54" s="1966">
        <f t="shared" si="27"/>
        <v>0</v>
      </c>
      <c r="BC54" s="1966">
        <f t="shared" si="28"/>
        <v>0</v>
      </c>
      <c r="BD54" s="1966">
        <f t="shared" si="29"/>
        <v>0</v>
      </c>
      <c r="BE54" s="372">
        <f t="shared" si="30"/>
        <v>0</v>
      </c>
      <c r="BG54" s="2159">
        <f t="shared" si="31"/>
        <v>46023</v>
      </c>
      <c r="BH54" s="2159">
        <f t="shared" si="32"/>
        <v>46023</v>
      </c>
      <c r="BI54" s="2159">
        <f t="shared" si="33"/>
        <v>46023</v>
      </c>
      <c r="BJ54" s="2159">
        <f t="shared" si="34"/>
        <v>0</v>
      </c>
      <c r="BL54" s="369">
        <f t="shared" si="35"/>
        <v>0</v>
      </c>
      <c r="BM54" s="2159">
        <f t="shared" si="36"/>
        <v>0</v>
      </c>
      <c r="BN54" s="2159">
        <f t="shared" si="37"/>
        <v>0</v>
      </c>
      <c r="BO54" s="373">
        <f t="shared" si="38"/>
        <v>0</v>
      </c>
      <c r="BT54" s="2054"/>
      <c r="CF54" s="2054"/>
    </row>
    <row r="55" spans="1:84" ht="45.75" customHeight="1">
      <c r="A55" s="2163"/>
      <c r="B55" s="2146"/>
      <c r="C55" s="2146"/>
      <c r="D55" s="2164"/>
      <c r="E55" s="1573"/>
      <c r="F55" s="2148"/>
      <c r="G55" s="2149" t="str">
        <f t="shared" si="7"/>
        <v/>
      </c>
      <c r="H55" s="2148"/>
      <c r="I55" s="2150"/>
      <c r="J55" s="2148"/>
      <c r="K55" s="2151">
        <f t="shared" si="8"/>
        <v>0</v>
      </c>
      <c r="L55" s="2148"/>
      <c r="M55" s="2150"/>
      <c r="N55" s="2152"/>
      <c r="O55" s="2148"/>
      <c r="P55" s="2151">
        <f t="shared" si="39"/>
        <v>0</v>
      </c>
      <c r="Q55" s="2148"/>
      <c r="R55" s="2150"/>
      <c r="S55" s="2152"/>
      <c r="T55" s="2153"/>
      <c r="U55" s="2154">
        <f t="shared" si="0"/>
        <v>0</v>
      </c>
      <c r="V55" s="2155"/>
      <c r="W55" s="2150"/>
      <c r="X55" s="2152"/>
      <c r="Y55" s="2153"/>
      <c r="Z55" s="1572">
        <f t="shared" si="1"/>
        <v>0</v>
      </c>
      <c r="AA55" s="2168">
        <f t="shared" si="9"/>
        <v>0</v>
      </c>
      <c r="AB55" s="2156" t="str">
        <f t="shared" si="2"/>
        <v/>
      </c>
      <c r="AC55" s="1663"/>
      <c r="AD55" s="2158" t="str">
        <f t="shared" si="10"/>
        <v/>
      </c>
      <c r="AE55" s="2159">
        <f t="shared" si="11"/>
        <v>0</v>
      </c>
      <c r="AF55" s="2159">
        <f t="shared" si="12"/>
        <v>0</v>
      </c>
      <c r="AG55" s="2159">
        <f t="shared" si="13"/>
        <v>0</v>
      </c>
      <c r="AH55" s="2159">
        <f t="shared" si="14"/>
        <v>0</v>
      </c>
      <c r="AI55" s="2160">
        <f t="shared" si="3"/>
        <v>0</v>
      </c>
      <c r="AJ55" s="1966">
        <f t="shared" si="15"/>
        <v>1</v>
      </c>
      <c r="AK55" s="2159">
        <f t="shared" si="16"/>
        <v>0</v>
      </c>
      <c r="AL55" s="368" t="e">
        <f t="shared" si="17"/>
        <v>#DIV/0!</v>
      </c>
      <c r="AM55" s="264"/>
      <c r="AN55" s="369">
        <f t="shared" si="18"/>
        <v>0</v>
      </c>
      <c r="AO55" s="1966">
        <f t="shared" si="19"/>
        <v>0</v>
      </c>
      <c r="AP55" s="1966">
        <f t="shared" si="20"/>
        <v>0</v>
      </c>
      <c r="AQ55" s="1966">
        <f t="shared" si="21"/>
        <v>0</v>
      </c>
      <c r="AR55" s="370">
        <f t="shared" si="22"/>
        <v>0</v>
      </c>
      <c r="AT55" s="371">
        <f t="shared" si="4"/>
        <v>0</v>
      </c>
      <c r="AU55" s="1966">
        <f t="shared" si="23"/>
        <v>0</v>
      </c>
      <c r="AV55" s="2161">
        <f t="shared" si="24"/>
        <v>0</v>
      </c>
      <c r="AW55" s="2161">
        <f t="shared" si="25"/>
        <v>0</v>
      </c>
      <c r="AX55" s="1966">
        <f t="shared" si="5"/>
        <v>0</v>
      </c>
      <c r="AY55" s="372">
        <f t="shared" si="6"/>
        <v>0</v>
      </c>
      <c r="AZ55" s="265"/>
      <c r="BA55" s="371">
        <f t="shared" si="26"/>
        <v>0</v>
      </c>
      <c r="BB55" s="1966">
        <f t="shared" si="27"/>
        <v>0</v>
      </c>
      <c r="BC55" s="1966">
        <f t="shared" si="28"/>
        <v>0</v>
      </c>
      <c r="BD55" s="1966">
        <f t="shared" si="29"/>
        <v>0</v>
      </c>
      <c r="BE55" s="372">
        <f t="shared" si="30"/>
        <v>0</v>
      </c>
      <c r="BG55" s="2159">
        <f t="shared" si="31"/>
        <v>46023</v>
      </c>
      <c r="BH55" s="2159">
        <f t="shared" si="32"/>
        <v>46023</v>
      </c>
      <c r="BI55" s="2159">
        <f t="shared" si="33"/>
        <v>46023</v>
      </c>
      <c r="BJ55" s="2159">
        <f t="shared" si="34"/>
        <v>0</v>
      </c>
      <c r="BL55" s="369">
        <f t="shared" si="35"/>
        <v>0</v>
      </c>
      <c r="BM55" s="2159">
        <f t="shared" si="36"/>
        <v>0</v>
      </c>
      <c r="BN55" s="2159">
        <f t="shared" si="37"/>
        <v>0</v>
      </c>
      <c r="BO55" s="373">
        <f t="shared" si="38"/>
        <v>0</v>
      </c>
      <c r="BT55" s="2054"/>
      <c r="CF55" s="2054"/>
    </row>
    <row r="56" spans="1:84" ht="45.75" customHeight="1">
      <c r="A56" s="2163"/>
      <c r="B56" s="2146"/>
      <c r="C56" s="2146"/>
      <c r="D56" s="2164"/>
      <c r="E56" s="1573"/>
      <c r="F56" s="2148"/>
      <c r="G56" s="2149" t="str">
        <f t="shared" si="7"/>
        <v/>
      </c>
      <c r="H56" s="2148"/>
      <c r="I56" s="2150"/>
      <c r="J56" s="2148"/>
      <c r="K56" s="2151">
        <f t="shared" si="8"/>
        <v>0</v>
      </c>
      <c r="L56" s="2148"/>
      <c r="M56" s="2150"/>
      <c r="N56" s="2152"/>
      <c r="O56" s="2148"/>
      <c r="P56" s="2151">
        <f t="shared" si="39"/>
        <v>0</v>
      </c>
      <c r="Q56" s="2148"/>
      <c r="R56" s="2150"/>
      <c r="S56" s="2152"/>
      <c r="T56" s="2153"/>
      <c r="U56" s="2154">
        <f t="shared" si="0"/>
        <v>0</v>
      </c>
      <c r="V56" s="2155"/>
      <c r="W56" s="2150"/>
      <c r="X56" s="2152"/>
      <c r="Y56" s="2153"/>
      <c r="Z56" s="1572">
        <f t="shared" si="1"/>
        <v>0</v>
      </c>
      <c r="AA56" s="2168">
        <f t="shared" si="9"/>
        <v>0</v>
      </c>
      <c r="AB56" s="2156" t="str">
        <f t="shared" si="2"/>
        <v/>
      </c>
      <c r="AC56" s="1663"/>
      <c r="AD56" s="2158" t="str">
        <f t="shared" si="10"/>
        <v/>
      </c>
      <c r="AE56" s="2159">
        <f t="shared" si="11"/>
        <v>0</v>
      </c>
      <c r="AF56" s="2159">
        <f t="shared" si="12"/>
        <v>0</v>
      </c>
      <c r="AG56" s="2159">
        <f t="shared" si="13"/>
        <v>0</v>
      </c>
      <c r="AH56" s="2159">
        <f t="shared" si="14"/>
        <v>0</v>
      </c>
      <c r="AI56" s="2160">
        <f t="shared" si="3"/>
        <v>0</v>
      </c>
      <c r="AJ56" s="1966">
        <f t="shared" si="15"/>
        <v>1</v>
      </c>
      <c r="AK56" s="2159">
        <f t="shared" si="16"/>
        <v>0</v>
      </c>
      <c r="AL56" s="368" t="e">
        <f t="shared" si="17"/>
        <v>#DIV/0!</v>
      </c>
      <c r="AM56" s="264"/>
      <c r="AN56" s="369">
        <f t="shared" si="18"/>
        <v>0</v>
      </c>
      <c r="AO56" s="1966">
        <f t="shared" si="19"/>
        <v>0</v>
      </c>
      <c r="AP56" s="1966">
        <f t="shared" si="20"/>
        <v>0</v>
      </c>
      <c r="AQ56" s="1966">
        <f t="shared" si="21"/>
        <v>0</v>
      </c>
      <c r="AR56" s="370">
        <f t="shared" si="22"/>
        <v>0</v>
      </c>
      <c r="AT56" s="371">
        <f t="shared" si="4"/>
        <v>0</v>
      </c>
      <c r="AU56" s="1966">
        <f t="shared" si="23"/>
        <v>0</v>
      </c>
      <c r="AV56" s="2161">
        <f t="shared" si="24"/>
        <v>0</v>
      </c>
      <c r="AW56" s="2161">
        <f t="shared" si="25"/>
        <v>0</v>
      </c>
      <c r="AX56" s="1966">
        <f t="shared" si="5"/>
        <v>0</v>
      </c>
      <c r="AY56" s="372">
        <f t="shared" si="6"/>
        <v>0</v>
      </c>
      <c r="AZ56" s="265"/>
      <c r="BA56" s="371">
        <f t="shared" si="26"/>
        <v>0</v>
      </c>
      <c r="BB56" s="1966">
        <f t="shared" si="27"/>
        <v>0</v>
      </c>
      <c r="BC56" s="1966">
        <f t="shared" si="28"/>
        <v>0</v>
      </c>
      <c r="BD56" s="1966">
        <f t="shared" si="29"/>
        <v>0</v>
      </c>
      <c r="BE56" s="372">
        <f t="shared" si="30"/>
        <v>0</v>
      </c>
      <c r="BG56" s="2159">
        <f t="shared" si="31"/>
        <v>46023</v>
      </c>
      <c r="BH56" s="2159">
        <f t="shared" si="32"/>
        <v>46023</v>
      </c>
      <c r="BI56" s="2159">
        <f t="shared" si="33"/>
        <v>46023</v>
      </c>
      <c r="BJ56" s="2159">
        <f t="shared" si="34"/>
        <v>0</v>
      </c>
      <c r="BL56" s="369">
        <f t="shared" si="35"/>
        <v>0</v>
      </c>
      <c r="BM56" s="2159">
        <f t="shared" si="36"/>
        <v>0</v>
      </c>
      <c r="BN56" s="2159">
        <f t="shared" si="37"/>
        <v>0</v>
      </c>
      <c r="BO56" s="373">
        <f t="shared" si="38"/>
        <v>0</v>
      </c>
      <c r="BT56" s="2054"/>
      <c r="CF56" s="2054"/>
    </row>
    <row r="57" spans="1:84" ht="45.75" customHeight="1">
      <c r="A57" s="2163"/>
      <c r="B57" s="2146"/>
      <c r="C57" s="2146"/>
      <c r="D57" s="2164"/>
      <c r="E57" s="1573"/>
      <c r="F57" s="2148"/>
      <c r="G57" s="2149" t="str">
        <f t="shared" si="7"/>
        <v/>
      </c>
      <c r="H57" s="2148"/>
      <c r="I57" s="2150"/>
      <c r="J57" s="2148"/>
      <c r="K57" s="2151">
        <f t="shared" si="8"/>
        <v>0</v>
      </c>
      <c r="L57" s="2148"/>
      <c r="M57" s="2150"/>
      <c r="N57" s="2152"/>
      <c r="O57" s="2148"/>
      <c r="P57" s="2151">
        <f t="shared" si="39"/>
        <v>0</v>
      </c>
      <c r="Q57" s="2148"/>
      <c r="R57" s="2150"/>
      <c r="S57" s="2152"/>
      <c r="T57" s="2153"/>
      <c r="U57" s="2154">
        <f t="shared" si="0"/>
        <v>0</v>
      </c>
      <c r="V57" s="2155"/>
      <c r="W57" s="2150"/>
      <c r="X57" s="2152"/>
      <c r="Y57" s="2153"/>
      <c r="Z57" s="1572">
        <f t="shared" si="1"/>
        <v>0</v>
      </c>
      <c r="AA57" s="2168">
        <f t="shared" si="9"/>
        <v>0</v>
      </c>
      <c r="AB57" s="2156" t="str">
        <f t="shared" si="2"/>
        <v/>
      </c>
      <c r="AC57" s="1663"/>
      <c r="AD57" s="2158" t="str">
        <f t="shared" si="10"/>
        <v/>
      </c>
      <c r="AE57" s="2159">
        <f t="shared" si="11"/>
        <v>0</v>
      </c>
      <c r="AF57" s="2159">
        <f t="shared" si="12"/>
        <v>0</v>
      </c>
      <c r="AG57" s="2159">
        <f t="shared" si="13"/>
        <v>0</v>
      </c>
      <c r="AH57" s="2159">
        <f t="shared" si="14"/>
        <v>0</v>
      </c>
      <c r="AI57" s="2160">
        <f t="shared" si="3"/>
        <v>0</v>
      </c>
      <c r="AJ57" s="1966">
        <f t="shared" si="15"/>
        <v>1</v>
      </c>
      <c r="AK57" s="2159">
        <f t="shared" si="16"/>
        <v>0</v>
      </c>
      <c r="AL57" s="368" t="e">
        <f t="shared" si="17"/>
        <v>#DIV/0!</v>
      </c>
      <c r="AM57" s="264"/>
      <c r="AN57" s="369">
        <f t="shared" si="18"/>
        <v>0</v>
      </c>
      <c r="AO57" s="1966">
        <f t="shared" si="19"/>
        <v>0</v>
      </c>
      <c r="AP57" s="1966">
        <f t="shared" si="20"/>
        <v>0</v>
      </c>
      <c r="AQ57" s="1966">
        <f t="shared" si="21"/>
        <v>0</v>
      </c>
      <c r="AR57" s="370">
        <f t="shared" si="22"/>
        <v>0</v>
      </c>
      <c r="AT57" s="371">
        <f t="shared" si="4"/>
        <v>0</v>
      </c>
      <c r="AU57" s="1966">
        <f t="shared" si="23"/>
        <v>0</v>
      </c>
      <c r="AV57" s="2161">
        <f t="shared" si="24"/>
        <v>0</v>
      </c>
      <c r="AW57" s="2161">
        <f t="shared" si="25"/>
        <v>0</v>
      </c>
      <c r="AX57" s="1966">
        <f t="shared" si="5"/>
        <v>0</v>
      </c>
      <c r="AY57" s="372">
        <f t="shared" si="6"/>
        <v>0</v>
      </c>
      <c r="AZ57" s="265"/>
      <c r="BA57" s="371">
        <f t="shared" si="26"/>
        <v>0</v>
      </c>
      <c r="BB57" s="1966">
        <f t="shared" si="27"/>
        <v>0</v>
      </c>
      <c r="BC57" s="1966">
        <f t="shared" si="28"/>
        <v>0</v>
      </c>
      <c r="BD57" s="1966">
        <f t="shared" si="29"/>
        <v>0</v>
      </c>
      <c r="BE57" s="372">
        <f t="shared" si="30"/>
        <v>0</v>
      </c>
      <c r="BG57" s="2159">
        <f t="shared" si="31"/>
        <v>46023</v>
      </c>
      <c r="BH57" s="2159">
        <f t="shared" si="32"/>
        <v>46023</v>
      </c>
      <c r="BI57" s="2159">
        <f t="shared" si="33"/>
        <v>46023</v>
      </c>
      <c r="BJ57" s="2159">
        <f t="shared" si="34"/>
        <v>0</v>
      </c>
      <c r="BL57" s="369">
        <f t="shared" si="35"/>
        <v>0</v>
      </c>
      <c r="BM57" s="2159">
        <f t="shared" si="36"/>
        <v>0</v>
      </c>
      <c r="BN57" s="2159">
        <f t="shared" si="37"/>
        <v>0</v>
      </c>
      <c r="BO57" s="373">
        <f t="shared" si="38"/>
        <v>0</v>
      </c>
      <c r="BT57" s="2054"/>
      <c r="CF57" s="2054"/>
    </row>
    <row r="58" spans="1:84" ht="45.75" customHeight="1">
      <c r="A58" s="2163"/>
      <c r="B58" s="2146"/>
      <c r="C58" s="2146"/>
      <c r="D58" s="2164"/>
      <c r="E58" s="1573"/>
      <c r="F58" s="2148"/>
      <c r="G58" s="2149" t="str">
        <f t="shared" si="7"/>
        <v/>
      </c>
      <c r="H58" s="2148"/>
      <c r="I58" s="2150"/>
      <c r="J58" s="2148"/>
      <c r="K58" s="2151">
        <f t="shared" si="8"/>
        <v>0</v>
      </c>
      <c r="L58" s="2148"/>
      <c r="M58" s="2150"/>
      <c r="N58" s="2152"/>
      <c r="O58" s="2148"/>
      <c r="P58" s="2151">
        <f t="shared" si="39"/>
        <v>0</v>
      </c>
      <c r="Q58" s="2148"/>
      <c r="R58" s="2150"/>
      <c r="S58" s="2152"/>
      <c r="T58" s="2153"/>
      <c r="U58" s="2154">
        <f t="shared" si="0"/>
        <v>0</v>
      </c>
      <c r="V58" s="2155"/>
      <c r="W58" s="2150"/>
      <c r="X58" s="2152"/>
      <c r="Y58" s="2153"/>
      <c r="Z58" s="1572">
        <f t="shared" si="1"/>
        <v>0</v>
      </c>
      <c r="AA58" s="2168">
        <f t="shared" si="9"/>
        <v>0</v>
      </c>
      <c r="AB58" s="2156" t="str">
        <f t="shared" si="2"/>
        <v/>
      </c>
      <c r="AC58" s="1663"/>
      <c r="AD58" s="2158" t="str">
        <f t="shared" si="10"/>
        <v/>
      </c>
      <c r="AE58" s="2159">
        <f t="shared" si="11"/>
        <v>0</v>
      </c>
      <c r="AF58" s="2159">
        <f t="shared" si="12"/>
        <v>0</v>
      </c>
      <c r="AG58" s="2159">
        <f t="shared" si="13"/>
        <v>0</v>
      </c>
      <c r="AH58" s="2159">
        <f t="shared" si="14"/>
        <v>0</v>
      </c>
      <c r="AI58" s="2160">
        <f t="shared" si="3"/>
        <v>0</v>
      </c>
      <c r="AJ58" s="1966">
        <f t="shared" si="15"/>
        <v>1</v>
      </c>
      <c r="AK58" s="2159">
        <f t="shared" si="16"/>
        <v>0</v>
      </c>
      <c r="AL58" s="368" t="e">
        <f t="shared" si="17"/>
        <v>#DIV/0!</v>
      </c>
      <c r="AM58" s="264"/>
      <c r="AN58" s="369">
        <f t="shared" si="18"/>
        <v>0</v>
      </c>
      <c r="AO58" s="1966">
        <f t="shared" si="19"/>
        <v>0</v>
      </c>
      <c r="AP58" s="1966">
        <f t="shared" si="20"/>
        <v>0</v>
      </c>
      <c r="AQ58" s="1966">
        <f t="shared" si="21"/>
        <v>0</v>
      </c>
      <c r="AR58" s="370">
        <f t="shared" si="22"/>
        <v>0</v>
      </c>
      <c r="AT58" s="371">
        <f t="shared" si="4"/>
        <v>0</v>
      </c>
      <c r="AU58" s="1966">
        <f t="shared" si="23"/>
        <v>0</v>
      </c>
      <c r="AV58" s="2161">
        <f t="shared" si="24"/>
        <v>0</v>
      </c>
      <c r="AW58" s="2161">
        <f t="shared" si="25"/>
        <v>0</v>
      </c>
      <c r="AX58" s="1966">
        <f t="shared" si="5"/>
        <v>0</v>
      </c>
      <c r="AY58" s="372">
        <f t="shared" si="6"/>
        <v>0</v>
      </c>
      <c r="AZ58" s="265"/>
      <c r="BA58" s="371">
        <f t="shared" si="26"/>
        <v>0</v>
      </c>
      <c r="BB58" s="1966">
        <f t="shared" si="27"/>
        <v>0</v>
      </c>
      <c r="BC58" s="1966">
        <f t="shared" si="28"/>
        <v>0</v>
      </c>
      <c r="BD58" s="1966">
        <f t="shared" si="29"/>
        <v>0</v>
      </c>
      <c r="BE58" s="372">
        <f t="shared" si="30"/>
        <v>0</v>
      </c>
      <c r="BG58" s="2159">
        <f t="shared" si="31"/>
        <v>46023</v>
      </c>
      <c r="BH58" s="2159">
        <f t="shared" si="32"/>
        <v>46023</v>
      </c>
      <c r="BI58" s="2159">
        <f t="shared" si="33"/>
        <v>46023</v>
      </c>
      <c r="BJ58" s="2159">
        <f t="shared" si="34"/>
        <v>0</v>
      </c>
      <c r="BL58" s="369">
        <f t="shared" si="35"/>
        <v>0</v>
      </c>
      <c r="BM58" s="2159">
        <f t="shared" si="36"/>
        <v>0</v>
      </c>
      <c r="BN58" s="2159">
        <f t="shared" si="37"/>
        <v>0</v>
      </c>
      <c r="BO58" s="373">
        <f t="shared" si="38"/>
        <v>0</v>
      </c>
      <c r="BT58" s="2054"/>
      <c r="CF58" s="2054"/>
    </row>
    <row r="59" spans="1:84" ht="45.75" customHeight="1">
      <c r="A59" s="2163"/>
      <c r="B59" s="2146"/>
      <c r="C59" s="2146"/>
      <c r="D59" s="2164"/>
      <c r="E59" s="1573"/>
      <c r="F59" s="2148"/>
      <c r="G59" s="2149" t="str">
        <f t="shared" si="7"/>
        <v/>
      </c>
      <c r="H59" s="2148"/>
      <c r="I59" s="2150"/>
      <c r="J59" s="2148"/>
      <c r="K59" s="2151">
        <f t="shared" si="8"/>
        <v>0</v>
      </c>
      <c r="L59" s="2148"/>
      <c r="M59" s="2150"/>
      <c r="N59" s="2152"/>
      <c r="O59" s="2148"/>
      <c r="P59" s="2151">
        <f t="shared" si="39"/>
        <v>0</v>
      </c>
      <c r="Q59" s="2148"/>
      <c r="R59" s="2150"/>
      <c r="S59" s="2152"/>
      <c r="T59" s="2153"/>
      <c r="U59" s="2154">
        <f t="shared" si="0"/>
        <v>0</v>
      </c>
      <c r="V59" s="2155"/>
      <c r="W59" s="2150"/>
      <c r="X59" s="2152"/>
      <c r="Y59" s="2153"/>
      <c r="Z59" s="1572">
        <f t="shared" si="1"/>
        <v>0</v>
      </c>
      <c r="AA59" s="2168">
        <f t="shared" si="9"/>
        <v>0</v>
      </c>
      <c r="AB59" s="2156" t="str">
        <f t="shared" si="2"/>
        <v/>
      </c>
      <c r="AC59" s="1663"/>
      <c r="AD59" s="2158" t="str">
        <f t="shared" si="10"/>
        <v/>
      </c>
      <c r="AE59" s="2159">
        <f t="shared" si="11"/>
        <v>0</v>
      </c>
      <c r="AF59" s="2159">
        <f t="shared" si="12"/>
        <v>0</v>
      </c>
      <c r="AG59" s="2159">
        <f t="shared" si="13"/>
        <v>0</v>
      </c>
      <c r="AH59" s="2159">
        <f t="shared" si="14"/>
        <v>0</v>
      </c>
      <c r="AI59" s="2160">
        <f t="shared" si="3"/>
        <v>0</v>
      </c>
      <c r="AJ59" s="1966">
        <f t="shared" si="15"/>
        <v>1</v>
      </c>
      <c r="AK59" s="2159">
        <f t="shared" si="16"/>
        <v>0</v>
      </c>
      <c r="AL59" s="368" t="e">
        <f t="shared" si="17"/>
        <v>#DIV/0!</v>
      </c>
      <c r="AM59" s="264"/>
      <c r="AN59" s="369">
        <f t="shared" si="18"/>
        <v>0</v>
      </c>
      <c r="AO59" s="1966">
        <f t="shared" si="19"/>
        <v>0</v>
      </c>
      <c r="AP59" s="1966">
        <f t="shared" si="20"/>
        <v>0</v>
      </c>
      <c r="AQ59" s="1966">
        <f t="shared" si="21"/>
        <v>0</v>
      </c>
      <c r="AR59" s="370">
        <f t="shared" si="22"/>
        <v>0</v>
      </c>
      <c r="AT59" s="371">
        <f t="shared" si="4"/>
        <v>0</v>
      </c>
      <c r="AU59" s="1966">
        <f t="shared" si="23"/>
        <v>0</v>
      </c>
      <c r="AV59" s="2161">
        <f t="shared" si="24"/>
        <v>0</v>
      </c>
      <c r="AW59" s="2161">
        <f t="shared" si="25"/>
        <v>0</v>
      </c>
      <c r="AX59" s="1966">
        <f t="shared" si="5"/>
        <v>0</v>
      </c>
      <c r="AY59" s="372">
        <f t="shared" si="6"/>
        <v>0</v>
      </c>
      <c r="AZ59" s="265"/>
      <c r="BA59" s="371">
        <f t="shared" si="26"/>
        <v>0</v>
      </c>
      <c r="BB59" s="1966">
        <f t="shared" si="27"/>
        <v>0</v>
      </c>
      <c r="BC59" s="1966">
        <f t="shared" si="28"/>
        <v>0</v>
      </c>
      <c r="BD59" s="1966">
        <f t="shared" si="29"/>
        <v>0</v>
      </c>
      <c r="BE59" s="372">
        <f t="shared" si="30"/>
        <v>0</v>
      </c>
      <c r="BG59" s="2159">
        <f t="shared" si="31"/>
        <v>46023</v>
      </c>
      <c r="BH59" s="2159">
        <f t="shared" si="32"/>
        <v>46023</v>
      </c>
      <c r="BI59" s="2159">
        <f t="shared" si="33"/>
        <v>46023</v>
      </c>
      <c r="BJ59" s="2159">
        <f t="shared" si="34"/>
        <v>0</v>
      </c>
      <c r="BL59" s="369">
        <f t="shared" si="35"/>
        <v>0</v>
      </c>
      <c r="BM59" s="2159">
        <f t="shared" si="36"/>
        <v>0</v>
      </c>
      <c r="BN59" s="2159">
        <f t="shared" si="37"/>
        <v>0</v>
      </c>
      <c r="BO59" s="373">
        <f t="shared" si="38"/>
        <v>0</v>
      </c>
      <c r="BT59" s="2054"/>
      <c r="CF59" s="2054"/>
    </row>
    <row r="60" spans="1:84" ht="45.75" customHeight="1">
      <c r="A60" s="2163"/>
      <c r="B60" s="2146"/>
      <c r="C60" s="2146"/>
      <c r="D60" s="2164"/>
      <c r="E60" s="1573"/>
      <c r="F60" s="2148"/>
      <c r="G60" s="2149" t="str">
        <f t="shared" si="7"/>
        <v/>
      </c>
      <c r="H60" s="2148"/>
      <c r="I60" s="2150"/>
      <c r="J60" s="2148"/>
      <c r="K60" s="2151">
        <f t="shared" si="8"/>
        <v>0</v>
      </c>
      <c r="L60" s="2148"/>
      <c r="M60" s="2150"/>
      <c r="N60" s="2152"/>
      <c r="O60" s="2148"/>
      <c r="P60" s="2151">
        <f t="shared" si="39"/>
        <v>0</v>
      </c>
      <c r="Q60" s="2148"/>
      <c r="R60" s="2150"/>
      <c r="S60" s="2152"/>
      <c r="T60" s="2153"/>
      <c r="U60" s="2154">
        <f t="shared" si="0"/>
        <v>0</v>
      </c>
      <c r="V60" s="2155"/>
      <c r="W60" s="2150"/>
      <c r="X60" s="2152"/>
      <c r="Y60" s="2153"/>
      <c r="Z60" s="1572">
        <f t="shared" si="1"/>
        <v>0</v>
      </c>
      <c r="AA60" s="2168">
        <f t="shared" si="9"/>
        <v>0</v>
      </c>
      <c r="AB60" s="2156" t="str">
        <f t="shared" si="2"/>
        <v/>
      </c>
      <c r="AC60" s="1663"/>
      <c r="AD60" s="2158" t="str">
        <f t="shared" si="10"/>
        <v/>
      </c>
      <c r="AE60" s="2159">
        <f t="shared" si="11"/>
        <v>0</v>
      </c>
      <c r="AF60" s="2159">
        <f t="shared" si="12"/>
        <v>0</v>
      </c>
      <c r="AG60" s="2159">
        <f t="shared" si="13"/>
        <v>0</v>
      </c>
      <c r="AH60" s="2159">
        <f t="shared" si="14"/>
        <v>0</v>
      </c>
      <c r="AI60" s="2160">
        <f t="shared" si="3"/>
        <v>0</v>
      </c>
      <c r="AJ60" s="1966">
        <f t="shared" si="15"/>
        <v>1</v>
      </c>
      <c r="AK60" s="2159">
        <f t="shared" si="16"/>
        <v>0</v>
      </c>
      <c r="AL60" s="368" t="e">
        <f t="shared" si="17"/>
        <v>#DIV/0!</v>
      </c>
      <c r="AM60" s="264"/>
      <c r="AN60" s="369">
        <f t="shared" si="18"/>
        <v>0</v>
      </c>
      <c r="AO60" s="1966">
        <f t="shared" si="19"/>
        <v>0</v>
      </c>
      <c r="AP60" s="1966">
        <f t="shared" si="20"/>
        <v>0</v>
      </c>
      <c r="AQ60" s="1966">
        <f t="shared" si="21"/>
        <v>0</v>
      </c>
      <c r="AR60" s="370">
        <f t="shared" si="22"/>
        <v>0</v>
      </c>
      <c r="AT60" s="371">
        <f t="shared" si="4"/>
        <v>0</v>
      </c>
      <c r="AU60" s="1966">
        <f t="shared" si="23"/>
        <v>0</v>
      </c>
      <c r="AV60" s="2161">
        <f t="shared" si="24"/>
        <v>0</v>
      </c>
      <c r="AW60" s="2161">
        <f t="shared" si="25"/>
        <v>0</v>
      </c>
      <c r="AX60" s="1966">
        <f t="shared" si="5"/>
        <v>0</v>
      </c>
      <c r="AY60" s="372">
        <f t="shared" si="6"/>
        <v>0</v>
      </c>
      <c r="AZ60" s="265"/>
      <c r="BA60" s="371">
        <f t="shared" si="26"/>
        <v>0</v>
      </c>
      <c r="BB60" s="1966">
        <f t="shared" si="27"/>
        <v>0</v>
      </c>
      <c r="BC60" s="1966">
        <f t="shared" si="28"/>
        <v>0</v>
      </c>
      <c r="BD60" s="1966">
        <f t="shared" si="29"/>
        <v>0</v>
      </c>
      <c r="BE60" s="372">
        <f t="shared" si="30"/>
        <v>0</v>
      </c>
      <c r="BG60" s="2159">
        <f t="shared" si="31"/>
        <v>46023</v>
      </c>
      <c r="BH60" s="2159">
        <f t="shared" si="32"/>
        <v>46023</v>
      </c>
      <c r="BI60" s="2159">
        <f t="shared" si="33"/>
        <v>46023</v>
      </c>
      <c r="BJ60" s="2159">
        <f t="shared" si="34"/>
        <v>0</v>
      </c>
      <c r="BL60" s="369">
        <f t="shared" si="35"/>
        <v>0</v>
      </c>
      <c r="BM60" s="2159">
        <f t="shared" si="36"/>
        <v>0</v>
      </c>
      <c r="BN60" s="2159">
        <f t="shared" si="37"/>
        <v>0</v>
      </c>
      <c r="BO60" s="373">
        <f t="shared" si="38"/>
        <v>0</v>
      </c>
      <c r="BT60" s="2054"/>
      <c r="CF60" s="2054"/>
    </row>
    <row r="61" spans="1:84" ht="45.75" customHeight="1">
      <c r="A61" s="2163"/>
      <c r="B61" s="2146"/>
      <c r="C61" s="2146"/>
      <c r="D61" s="2164"/>
      <c r="E61" s="1573"/>
      <c r="F61" s="2148"/>
      <c r="G61" s="2149" t="str">
        <f t="shared" si="7"/>
        <v/>
      </c>
      <c r="H61" s="2148"/>
      <c r="I61" s="2150"/>
      <c r="J61" s="2148"/>
      <c r="K61" s="2151">
        <f t="shared" si="8"/>
        <v>0</v>
      </c>
      <c r="L61" s="2148"/>
      <c r="M61" s="2150"/>
      <c r="N61" s="2152"/>
      <c r="O61" s="2148"/>
      <c r="P61" s="2151">
        <f t="shared" si="39"/>
        <v>0</v>
      </c>
      <c r="Q61" s="2148"/>
      <c r="R61" s="2150"/>
      <c r="S61" s="2152"/>
      <c r="T61" s="2153"/>
      <c r="U61" s="2154">
        <f t="shared" si="0"/>
        <v>0</v>
      </c>
      <c r="V61" s="2155"/>
      <c r="W61" s="2150"/>
      <c r="X61" s="2152"/>
      <c r="Y61" s="2153"/>
      <c r="Z61" s="1572">
        <f t="shared" si="1"/>
        <v>0</v>
      </c>
      <c r="AA61" s="2168">
        <f t="shared" si="9"/>
        <v>0</v>
      </c>
      <c r="AB61" s="2156" t="str">
        <f t="shared" si="2"/>
        <v/>
      </c>
      <c r="AC61" s="1663"/>
      <c r="AD61" s="2158" t="str">
        <f t="shared" si="10"/>
        <v/>
      </c>
      <c r="AE61" s="2159">
        <f t="shared" si="11"/>
        <v>0</v>
      </c>
      <c r="AF61" s="2159">
        <f t="shared" si="12"/>
        <v>0</v>
      </c>
      <c r="AG61" s="2159">
        <f t="shared" si="13"/>
        <v>0</v>
      </c>
      <c r="AH61" s="2159">
        <f t="shared" si="14"/>
        <v>0</v>
      </c>
      <c r="AI61" s="2160">
        <f t="shared" si="3"/>
        <v>0</v>
      </c>
      <c r="AJ61" s="1966">
        <f t="shared" si="15"/>
        <v>1</v>
      </c>
      <c r="AK61" s="2159">
        <f t="shared" si="16"/>
        <v>0</v>
      </c>
      <c r="AL61" s="368" t="e">
        <f t="shared" si="17"/>
        <v>#DIV/0!</v>
      </c>
      <c r="AM61" s="264"/>
      <c r="AN61" s="369">
        <f t="shared" si="18"/>
        <v>0</v>
      </c>
      <c r="AO61" s="1966">
        <f t="shared" si="19"/>
        <v>0</v>
      </c>
      <c r="AP61" s="1966">
        <f t="shared" si="20"/>
        <v>0</v>
      </c>
      <c r="AQ61" s="1966">
        <f t="shared" si="21"/>
        <v>0</v>
      </c>
      <c r="AR61" s="370">
        <f t="shared" si="22"/>
        <v>0</v>
      </c>
      <c r="AT61" s="371">
        <f t="shared" si="4"/>
        <v>0</v>
      </c>
      <c r="AU61" s="1966">
        <f t="shared" si="23"/>
        <v>0</v>
      </c>
      <c r="AV61" s="2161">
        <f t="shared" si="24"/>
        <v>0</v>
      </c>
      <c r="AW61" s="2161">
        <f t="shared" si="25"/>
        <v>0</v>
      </c>
      <c r="AX61" s="1966">
        <f t="shared" si="5"/>
        <v>0</v>
      </c>
      <c r="AY61" s="372">
        <f t="shared" si="6"/>
        <v>0</v>
      </c>
      <c r="AZ61" s="265"/>
      <c r="BA61" s="371">
        <f t="shared" si="26"/>
        <v>0</v>
      </c>
      <c r="BB61" s="1966">
        <f t="shared" si="27"/>
        <v>0</v>
      </c>
      <c r="BC61" s="1966">
        <f t="shared" si="28"/>
        <v>0</v>
      </c>
      <c r="BD61" s="1966">
        <f t="shared" si="29"/>
        <v>0</v>
      </c>
      <c r="BE61" s="372">
        <f t="shared" si="30"/>
        <v>0</v>
      </c>
      <c r="BG61" s="2159">
        <f t="shared" si="31"/>
        <v>46023</v>
      </c>
      <c r="BH61" s="2159">
        <f t="shared" si="32"/>
        <v>46023</v>
      </c>
      <c r="BI61" s="2159">
        <f t="shared" si="33"/>
        <v>46023</v>
      </c>
      <c r="BJ61" s="2159">
        <f t="shared" si="34"/>
        <v>0</v>
      </c>
      <c r="BL61" s="369">
        <f t="shared" si="35"/>
        <v>0</v>
      </c>
      <c r="BM61" s="2159">
        <f t="shared" si="36"/>
        <v>0</v>
      </c>
      <c r="BN61" s="2159">
        <f t="shared" si="37"/>
        <v>0</v>
      </c>
      <c r="BO61" s="373">
        <f t="shared" si="38"/>
        <v>0</v>
      </c>
      <c r="BT61" s="2054"/>
      <c r="CF61" s="2054"/>
    </row>
    <row r="62" spans="1:84" ht="45.75" customHeight="1">
      <c r="A62" s="2163"/>
      <c r="B62" s="2146"/>
      <c r="C62" s="2146"/>
      <c r="D62" s="2164"/>
      <c r="E62" s="1573"/>
      <c r="F62" s="2148"/>
      <c r="G62" s="2149" t="str">
        <f t="shared" si="7"/>
        <v/>
      </c>
      <c r="H62" s="2148"/>
      <c r="I62" s="2150"/>
      <c r="J62" s="2148"/>
      <c r="K62" s="2151">
        <f t="shared" si="8"/>
        <v>0</v>
      </c>
      <c r="L62" s="2148"/>
      <c r="M62" s="2150"/>
      <c r="N62" s="2152"/>
      <c r="O62" s="2148"/>
      <c r="P62" s="2151">
        <f t="shared" si="39"/>
        <v>0</v>
      </c>
      <c r="Q62" s="2148"/>
      <c r="R62" s="2150"/>
      <c r="S62" s="2152"/>
      <c r="T62" s="2153"/>
      <c r="U62" s="2154">
        <f t="shared" si="0"/>
        <v>0</v>
      </c>
      <c r="V62" s="2155"/>
      <c r="W62" s="2150"/>
      <c r="X62" s="2152"/>
      <c r="Y62" s="2153"/>
      <c r="Z62" s="1572">
        <f t="shared" si="1"/>
        <v>0</v>
      </c>
      <c r="AA62" s="2168">
        <f t="shared" si="9"/>
        <v>0</v>
      </c>
      <c r="AB62" s="2156" t="str">
        <f t="shared" si="2"/>
        <v/>
      </c>
      <c r="AC62" s="1663"/>
      <c r="AD62" s="2158" t="str">
        <f t="shared" si="10"/>
        <v/>
      </c>
      <c r="AE62" s="2159">
        <f t="shared" si="11"/>
        <v>0</v>
      </c>
      <c r="AF62" s="2159">
        <f t="shared" si="12"/>
        <v>0</v>
      </c>
      <c r="AG62" s="2159">
        <f t="shared" si="13"/>
        <v>0</v>
      </c>
      <c r="AH62" s="2159">
        <f t="shared" si="14"/>
        <v>0</v>
      </c>
      <c r="AI62" s="2160">
        <f t="shared" si="3"/>
        <v>0</v>
      </c>
      <c r="AJ62" s="1966">
        <f t="shared" si="15"/>
        <v>1</v>
      </c>
      <c r="AK62" s="2159">
        <f t="shared" si="16"/>
        <v>0</v>
      </c>
      <c r="AL62" s="368" t="e">
        <f t="shared" si="17"/>
        <v>#DIV/0!</v>
      </c>
      <c r="AM62" s="264"/>
      <c r="AN62" s="369">
        <f t="shared" si="18"/>
        <v>0</v>
      </c>
      <c r="AO62" s="1966">
        <f t="shared" si="19"/>
        <v>0</v>
      </c>
      <c r="AP62" s="1966">
        <f t="shared" si="20"/>
        <v>0</v>
      </c>
      <c r="AQ62" s="1966">
        <f t="shared" si="21"/>
        <v>0</v>
      </c>
      <c r="AR62" s="370">
        <f t="shared" si="22"/>
        <v>0</v>
      </c>
      <c r="AT62" s="371">
        <f t="shared" si="4"/>
        <v>0</v>
      </c>
      <c r="AU62" s="1966">
        <f t="shared" si="23"/>
        <v>0</v>
      </c>
      <c r="AV62" s="2161">
        <f t="shared" si="24"/>
        <v>0</v>
      </c>
      <c r="AW62" s="2161">
        <f t="shared" si="25"/>
        <v>0</v>
      </c>
      <c r="AX62" s="1966">
        <f t="shared" si="5"/>
        <v>0</v>
      </c>
      <c r="AY62" s="372">
        <f t="shared" si="6"/>
        <v>0</v>
      </c>
      <c r="AZ62" s="265"/>
      <c r="BA62" s="371">
        <f t="shared" si="26"/>
        <v>0</v>
      </c>
      <c r="BB62" s="1966">
        <f t="shared" si="27"/>
        <v>0</v>
      </c>
      <c r="BC62" s="1966">
        <f t="shared" si="28"/>
        <v>0</v>
      </c>
      <c r="BD62" s="1966">
        <f t="shared" si="29"/>
        <v>0</v>
      </c>
      <c r="BE62" s="372">
        <f t="shared" si="30"/>
        <v>0</v>
      </c>
      <c r="BG62" s="2159">
        <f t="shared" si="31"/>
        <v>46023</v>
      </c>
      <c r="BH62" s="2159">
        <f t="shared" si="32"/>
        <v>46023</v>
      </c>
      <c r="BI62" s="2159">
        <f t="shared" si="33"/>
        <v>46023</v>
      </c>
      <c r="BJ62" s="2159">
        <f t="shared" si="34"/>
        <v>0</v>
      </c>
      <c r="BL62" s="369">
        <f t="shared" si="35"/>
        <v>0</v>
      </c>
      <c r="BM62" s="2159">
        <f t="shared" si="36"/>
        <v>0</v>
      </c>
      <c r="BN62" s="2159">
        <f t="shared" si="37"/>
        <v>0</v>
      </c>
      <c r="BO62" s="373">
        <f t="shared" si="38"/>
        <v>0</v>
      </c>
      <c r="BT62" s="2054"/>
      <c r="CF62" s="2054"/>
    </row>
    <row r="63" spans="1:84" ht="45.75" customHeight="1">
      <c r="A63" s="2163"/>
      <c r="B63" s="2146"/>
      <c r="C63" s="2146"/>
      <c r="D63" s="2164"/>
      <c r="E63" s="1573"/>
      <c r="F63" s="2148"/>
      <c r="G63" s="2149" t="str">
        <f t="shared" si="7"/>
        <v/>
      </c>
      <c r="H63" s="2148"/>
      <c r="I63" s="2150"/>
      <c r="J63" s="2148"/>
      <c r="K63" s="2151">
        <f t="shared" si="8"/>
        <v>0</v>
      </c>
      <c r="L63" s="2148"/>
      <c r="M63" s="2150"/>
      <c r="N63" s="2152"/>
      <c r="O63" s="2148"/>
      <c r="P63" s="2151">
        <f t="shared" si="39"/>
        <v>0</v>
      </c>
      <c r="Q63" s="2148"/>
      <c r="R63" s="2150"/>
      <c r="S63" s="2152"/>
      <c r="T63" s="2153"/>
      <c r="U63" s="2154">
        <f t="shared" si="0"/>
        <v>0</v>
      </c>
      <c r="V63" s="2155"/>
      <c r="W63" s="2150"/>
      <c r="X63" s="2152"/>
      <c r="Y63" s="2153"/>
      <c r="Z63" s="1572">
        <f t="shared" si="1"/>
        <v>0</v>
      </c>
      <c r="AA63" s="2168">
        <f t="shared" si="9"/>
        <v>0</v>
      </c>
      <c r="AB63" s="2156" t="str">
        <f t="shared" si="2"/>
        <v/>
      </c>
      <c r="AC63" s="1663"/>
      <c r="AD63" s="2158" t="str">
        <f t="shared" si="10"/>
        <v/>
      </c>
      <c r="AE63" s="2159">
        <f t="shared" si="11"/>
        <v>0</v>
      </c>
      <c r="AF63" s="2159">
        <f t="shared" si="12"/>
        <v>0</v>
      </c>
      <c r="AG63" s="2159">
        <f t="shared" si="13"/>
        <v>0</v>
      </c>
      <c r="AH63" s="2159">
        <f t="shared" si="14"/>
        <v>0</v>
      </c>
      <c r="AI63" s="2160">
        <f t="shared" si="3"/>
        <v>0</v>
      </c>
      <c r="AJ63" s="1966">
        <f t="shared" si="15"/>
        <v>1</v>
      </c>
      <c r="AK63" s="2159">
        <f t="shared" si="16"/>
        <v>0</v>
      </c>
      <c r="AL63" s="368" t="e">
        <f t="shared" si="17"/>
        <v>#DIV/0!</v>
      </c>
      <c r="AM63" s="264"/>
      <c r="AN63" s="369">
        <f t="shared" si="18"/>
        <v>0</v>
      </c>
      <c r="AO63" s="1966">
        <f t="shared" si="19"/>
        <v>0</v>
      </c>
      <c r="AP63" s="1966">
        <f t="shared" si="20"/>
        <v>0</v>
      </c>
      <c r="AQ63" s="1966">
        <f t="shared" si="21"/>
        <v>0</v>
      </c>
      <c r="AR63" s="370">
        <f t="shared" si="22"/>
        <v>0</v>
      </c>
      <c r="AT63" s="371">
        <f t="shared" si="4"/>
        <v>0</v>
      </c>
      <c r="AU63" s="1966">
        <f t="shared" si="23"/>
        <v>0</v>
      </c>
      <c r="AV63" s="2161">
        <f t="shared" si="24"/>
        <v>0</v>
      </c>
      <c r="AW63" s="2161">
        <f t="shared" si="25"/>
        <v>0</v>
      </c>
      <c r="AX63" s="1966">
        <f t="shared" si="5"/>
        <v>0</v>
      </c>
      <c r="AY63" s="372">
        <f t="shared" si="6"/>
        <v>0</v>
      </c>
      <c r="AZ63" s="265"/>
      <c r="BA63" s="371">
        <f t="shared" si="26"/>
        <v>0</v>
      </c>
      <c r="BB63" s="1966">
        <f t="shared" si="27"/>
        <v>0</v>
      </c>
      <c r="BC63" s="1966">
        <f t="shared" si="28"/>
        <v>0</v>
      </c>
      <c r="BD63" s="1966">
        <f t="shared" si="29"/>
        <v>0</v>
      </c>
      <c r="BE63" s="372">
        <f t="shared" si="30"/>
        <v>0</v>
      </c>
      <c r="BG63" s="2159">
        <f t="shared" si="31"/>
        <v>46023</v>
      </c>
      <c r="BH63" s="2159">
        <f t="shared" si="32"/>
        <v>46023</v>
      </c>
      <c r="BI63" s="2159">
        <f t="shared" si="33"/>
        <v>46023</v>
      </c>
      <c r="BJ63" s="2159">
        <f t="shared" si="34"/>
        <v>0</v>
      </c>
      <c r="BL63" s="369">
        <f t="shared" si="35"/>
        <v>0</v>
      </c>
      <c r="BM63" s="2159">
        <f t="shared" si="36"/>
        <v>0</v>
      </c>
      <c r="BN63" s="2159">
        <f t="shared" si="37"/>
        <v>0</v>
      </c>
      <c r="BO63" s="373">
        <f t="shared" si="38"/>
        <v>0</v>
      </c>
      <c r="BT63" s="2054"/>
      <c r="CF63" s="2054"/>
    </row>
    <row r="64" spans="1:84" ht="45.75" customHeight="1">
      <c r="A64" s="2163"/>
      <c r="B64" s="2146"/>
      <c r="C64" s="2146"/>
      <c r="D64" s="2164"/>
      <c r="E64" s="1573"/>
      <c r="F64" s="2148"/>
      <c r="G64" s="2149" t="str">
        <f t="shared" si="7"/>
        <v/>
      </c>
      <c r="H64" s="2148"/>
      <c r="I64" s="2150"/>
      <c r="J64" s="2148"/>
      <c r="K64" s="2151">
        <f t="shared" si="8"/>
        <v>0</v>
      </c>
      <c r="L64" s="2148"/>
      <c r="M64" s="2150"/>
      <c r="N64" s="2152"/>
      <c r="O64" s="2148"/>
      <c r="P64" s="2151">
        <f t="shared" si="39"/>
        <v>0</v>
      </c>
      <c r="Q64" s="2148"/>
      <c r="R64" s="2150"/>
      <c r="S64" s="2152"/>
      <c r="T64" s="2153"/>
      <c r="U64" s="2154">
        <f t="shared" si="0"/>
        <v>0</v>
      </c>
      <c r="V64" s="2155"/>
      <c r="W64" s="2150"/>
      <c r="X64" s="2152"/>
      <c r="Y64" s="2153"/>
      <c r="Z64" s="1572">
        <f t="shared" si="1"/>
        <v>0</v>
      </c>
      <c r="AA64" s="2168">
        <f t="shared" si="9"/>
        <v>0</v>
      </c>
      <c r="AB64" s="2156" t="str">
        <f t="shared" si="2"/>
        <v/>
      </c>
      <c r="AC64" s="1663"/>
      <c r="AD64" s="2158" t="str">
        <f t="shared" si="10"/>
        <v/>
      </c>
      <c r="AE64" s="2159">
        <f t="shared" si="11"/>
        <v>0</v>
      </c>
      <c r="AF64" s="2159">
        <f t="shared" si="12"/>
        <v>0</v>
      </c>
      <c r="AG64" s="2159">
        <f t="shared" si="13"/>
        <v>0</v>
      </c>
      <c r="AH64" s="2159">
        <f t="shared" si="14"/>
        <v>0</v>
      </c>
      <c r="AI64" s="2160">
        <f t="shared" si="3"/>
        <v>0</v>
      </c>
      <c r="AJ64" s="1966">
        <f t="shared" si="15"/>
        <v>1</v>
      </c>
      <c r="AK64" s="2159">
        <f t="shared" si="16"/>
        <v>0</v>
      </c>
      <c r="AL64" s="368" t="e">
        <f t="shared" si="17"/>
        <v>#DIV/0!</v>
      </c>
      <c r="AM64" s="264"/>
      <c r="AN64" s="369">
        <f t="shared" si="18"/>
        <v>0</v>
      </c>
      <c r="AO64" s="1966">
        <f t="shared" si="19"/>
        <v>0</v>
      </c>
      <c r="AP64" s="1966">
        <f t="shared" si="20"/>
        <v>0</v>
      </c>
      <c r="AQ64" s="1966">
        <f t="shared" si="21"/>
        <v>0</v>
      </c>
      <c r="AR64" s="370">
        <f t="shared" si="22"/>
        <v>0</v>
      </c>
      <c r="AT64" s="371">
        <f t="shared" si="4"/>
        <v>0</v>
      </c>
      <c r="AU64" s="1966">
        <f t="shared" si="23"/>
        <v>0</v>
      </c>
      <c r="AV64" s="2161">
        <f t="shared" si="24"/>
        <v>0</v>
      </c>
      <c r="AW64" s="2161">
        <f t="shared" si="25"/>
        <v>0</v>
      </c>
      <c r="AX64" s="1966">
        <f t="shared" si="5"/>
        <v>0</v>
      </c>
      <c r="AY64" s="372">
        <f t="shared" si="6"/>
        <v>0</v>
      </c>
      <c r="AZ64" s="265"/>
      <c r="BA64" s="371">
        <f t="shared" si="26"/>
        <v>0</v>
      </c>
      <c r="BB64" s="1966">
        <f t="shared" si="27"/>
        <v>0</v>
      </c>
      <c r="BC64" s="1966">
        <f t="shared" si="28"/>
        <v>0</v>
      </c>
      <c r="BD64" s="1966">
        <f t="shared" si="29"/>
        <v>0</v>
      </c>
      <c r="BE64" s="372">
        <f t="shared" si="30"/>
        <v>0</v>
      </c>
      <c r="BG64" s="2159">
        <f t="shared" si="31"/>
        <v>46023</v>
      </c>
      <c r="BH64" s="2159">
        <f t="shared" si="32"/>
        <v>46023</v>
      </c>
      <c r="BI64" s="2159">
        <f t="shared" si="33"/>
        <v>46023</v>
      </c>
      <c r="BJ64" s="2159">
        <f t="shared" si="34"/>
        <v>0</v>
      </c>
      <c r="BL64" s="369">
        <f t="shared" si="35"/>
        <v>0</v>
      </c>
      <c r="BM64" s="2159">
        <f t="shared" si="36"/>
        <v>0</v>
      </c>
      <c r="BN64" s="2159">
        <f t="shared" si="37"/>
        <v>0</v>
      </c>
      <c r="BO64" s="373">
        <f t="shared" si="38"/>
        <v>0</v>
      </c>
      <c r="BT64" s="2054"/>
      <c r="CF64" s="2054"/>
    </row>
    <row r="65" spans="1:84" ht="45.75" customHeight="1">
      <c r="A65" s="2163"/>
      <c r="B65" s="2146"/>
      <c r="C65" s="2146"/>
      <c r="D65" s="2164"/>
      <c r="E65" s="1573"/>
      <c r="F65" s="2148"/>
      <c r="G65" s="2149" t="str">
        <f t="shared" si="7"/>
        <v/>
      </c>
      <c r="H65" s="2148"/>
      <c r="I65" s="2150"/>
      <c r="J65" s="2148"/>
      <c r="K65" s="2151">
        <f t="shared" si="8"/>
        <v>0</v>
      </c>
      <c r="L65" s="2148"/>
      <c r="M65" s="2150"/>
      <c r="N65" s="2152"/>
      <c r="O65" s="2148"/>
      <c r="P65" s="2151">
        <f t="shared" si="39"/>
        <v>0</v>
      </c>
      <c r="Q65" s="2148"/>
      <c r="R65" s="2150"/>
      <c r="S65" s="2152"/>
      <c r="T65" s="2153"/>
      <c r="U65" s="2154">
        <f t="shared" si="0"/>
        <v>0</v>
      </c>
      <c r="V65" s="2155"/>
      <c r="W65" s="2150"/>
      <c r="X65" s="2152"/>
      <c r="Y65" s="2153"/>
      <c r="Z65" s="1572">
        <f t="shared" si="1"/>
        <v>0</v>
      </c>
      <c r="AA65" s="2168">
        <f t="shared" si="9"/>
        <v>0</v>
      </c>
      <c r="AB65" s="2156" t="str">
        <f t="shared" si="2"/>
        <v/>
      </c>
      <c r="AC65" s="1663"/>
      <c r="AD65" s="2158" t="str">
        <f t="shared" si="10"/>
        <v/>
      </c>
      <c r="AE65" s="2159">
        <f t="shared" si="11"/>
        <v>0</v>
      </c>
      <c r="AF65" s="2159">
        <f t="shared" si="12"/>
        <v>0</v>
      </c>
      <c r="AG65" s="2159">
        <f t="shared" si="13"/>
        <v>0</v>
      </c>
      <c r="AH65" s="2159">
        <f t="shared" si="14"/>
        <v>0</v>
      </c>
      <c r="AI65" s="2160">
        <f t="shared" si="3"/>
        <v>0</v>
      </c>
      <c r="AJ65" s="1966">
        <f t="shared" si="15"/>
        <v>1</v>
      </c>
      <c r="AK65" s="2159">
        <f t="shared" si="16"/>
        <v>0</v>
      </c>
      <c r="AL65" s="368" t="e">
        <f t="shared" si="17"/>
        <v>#DIV/0!</v>
      </c>
      <c r="AM65" s="264"/>
      <c r="AN65" s="369">
        <f t="shared" si="18"/>
        <v>0</v>
      </c>
      <c r="AO65" s="1966">
        <f t="shared" si="19"/>
        <v>0</v>
      </c>
      <c r="AP65" s="1966">
        <f t="shared" si="20"/>
        <v>0</v>
      </c>
      <c r="AQ65" s="1966">
        <f t="shared" si="21"/>
        <v>0</v>
      </c>
      <c r="AR65" s="370">
        <f t="shared" si="22"/>
        <v>0</v>
      </c>
      <c r="AT65" s="371">
        <f t="shared" si="4"/>
        <v>0</v>
      </c>
      <c r="AU65" s="1966">
        <f t="shared" si="23"/>
        <v>0</v>
      </c>
      <c r="AV65" s="2161">
        <f t="shared" si="24"/>
        <v>0</v>
      </c>
      <c r="AW65" s="2161">
        <f t="shared" si="25"/>
        <v>0</v>
      </c>
      <c r="AX65" s="1966">
        <f t="shared" si="5"/>
        <v>0</v>
      </c>
      <c r="AY65" s="372">
        <f t="shared" si="6"/>
        <v>0</v>
      </c>
      <c r="AZ65" s="265"/>
      <c r="BA65" s="371">
        <f t="shared" si="26"/>
        <v>0</v>
      </c>
      <c r="BB65" s="1966">
        <f t="shared" si="27"/>
        <v>0</v>
      </c>
      <c r="BC65" s="1966">
        <f t="shared" si="28"/>
        <v>0</v>
      </c>
      <c r="BD65" s="1966">
        <f t="shared" si="29"/>
        <v>0</v>
      </c>
      <c r="BE65" s="372">
        <f t="shared" si="30"/>
        <v>0</v>
      </c>
      <c r="BG65" s="2159">
        <f t="shared" si="31"/>
        <v>46023</v>
      </c>
      <c r="BH65" s="2159">
        <f t="shared" si="32"/>
        <v>46023</v>
      </c>
      <c r="BI65" s="2159">
        <f t="shared" si="33"/>
        <v>46023</v>
      </c>
      <c r="BJ65" s="2159">
        <f t="shared" si="34"/>
        <v>0</v>
      </c>
      <c r="BL65" s="369">
        <f t="shared" si="35"/>
        <v>0</v>
      </c>
      <c r="BM65" s="2159">
        <f t="shared" si="36"/>
        <v>0</v>
      </c>
      <c r="BN65" s="2159">
        <f t="shared" si="37"/>
        <v>0</v>
      </c>
      <c r="BO65" s="373">
        <f t="shared" si="38"/>
        <v>0</v>
      </c>
      <c r="BT65" s="2054"/>
      <c r="CF65" s="2054"/>
    </row>
    <row r="66" spans="1:84" ht="45.75" customHeight="1">
      <c r="A66" s="2163"/>
      <c r="B66" s="2146"/>
      <c r="C66" s="2146"/>
      <c r="D66" s="2164"/>
      <c r="E66" s="1573"/>
      <c r="F66" s="2148"/>
      <c r="G66" s="2149" t="str">
        <f t="shared" si="7"/>
        <v/>
      </c>
      <c r="H66" s="2148"/>
      <c r="I66" s="2150"/>
      <c r="J66" s="2148"/>
      <c r="K66" s="2151">
        <f t="shared" si="8"/>
        <v>0</v>
      </c>
      <c r="L66" s="2148"/>
      <c r="M66" s="2150"/>
      <c r="N66" s="2152"/>
      <c r="O66" s="2148"/>
      <c r="P66" s="2151">
        <f t="shared" si="39"/>
        <v>0</v>
      </c>
      <c r="Q66" s="2148"/>
      <c r="R66" s="2150"/>
      <c r="S66" s="2152"/>
      <c r="T66" s="2153"/>
      <c r="U66" s="2154">
        <f t="shared" si="0"/>
        <v>0</v>
      </c>
      <c r="V66" s="2155"/>
      <c r="W66" s="2150"/>
      <c r="X66" s="2152"/>
      <c r="Y66" s="2153"/>
      <c r="Z66" s="1572">
        <f t="shared" si="1"/>
        <v>0</v>
      </c>
      <c r="AA66" s="2168">
        <f t="shared" si="9"/>
        <v>0</v>
      </c>
      <c r="AB66" s="2156" t="str">
        <f t="shared" si="2"/>
        <v/>
      </c>
      <c r="AC66" s="1663"/>
      <c r="AD66" s="2158" t="str">
        <f t="shared" si="10"/>
        <v/>
      </c>
      <c r="AE66" s="2159">
        <f t="shared" si="11"/>
        <v>0</v>
      </c>
      <c r="AF66" s="2159">
        <f t="shared" si="12"/>
        <v>0</v>
      </c>
      <c r="AG66" s="2159">
        <f t="shared" si="13"/>
        <v>0</v>
      </c>
      <c r="AH66" s="2159">
        <f t="shared" si="14"/>
        <v>0</v>
      </c>
      <c r="AI66" s="2160">
        <f t="shared" si="3"/>
        <v>0</v>
      </c>
      <c r="AJ66" s="1966">
        <f t="shared" si="15"/>
        <v>1</v>
      </c>
      <c r="AK66" s="2159">
        <f t="shared" si="16"/>
        <v>0</v>
      </c>
      <c r="AL66" s="368" t="e">
        <f t="shared" si="17"/>
        <v>#DIV/0!</v>
      </c>
      <c r="AM66" s="264"/>
      <c r="AN66" s="369">
        <f t="shared" si="18"/>
        <v>0</v>
      </c>
      <c r="AO66" s="1966">
        <f t="shared" si="19"/>
        <v>0</v>
      </c>
      <c r="AP66" s="1966">
        <f t="shared" si="20"/>
        <v>0</v>
      </c>
      <c r="AQ66" s="1966">
        <f t="shared" si="21"/>
        <v>0</v>
      </c>
      <c r="AR66" s="370">
        <f t="shared" si="22"/>
        <v>0</v>
      </c>
      <c r="AT66" s="371">
        <f t="shared" si="4"/>
        <v>0</v>
      </c>
      <c r="AU66" s="1966">
        <f t="shared" si="23"/>
        <v>0</v>
      </c>
      <c r="AV66" s="2161">
        <f t="shared" si="24"/>
        <v>0</v>
      </c>
      <c r="AW66" s="2161">
        <f t="shared" si="25"/>
        <v>0</v>
      </c>
      <c r="AX66" s="1966">
        <f t="shared" si="5"/>
        <v>0</v>
      </c>
      <c r="AY66" s="372">
        <f t="shared" si="6"/>
        <v>0</v>
      </c>
      <c r="AZ66" s="265"/>
      <c r="BA66" s="371">
        <f t="shared" si="26"/>
        <v>0</v>
      </c>
      <c r="BB66" s="1966">
        <f t="shared" si="27"/>
        <v>0</v>
      </c>
      <c r="BC66" s="1966">
        <f t="shared" si="28"/>
        <v>0</v>
      </c>
      <c r="BD66" s="1966">
        <f t="shared" si="29"/>
        <v>0</v>
      </c>
      <c r="BE66" s="372">
        <f t="shared" si="30"/>
        <v>0</v>
      </c>
      <c r="BG66" s="2159">
        <f t="shared" si="31"/>
        <v>46023</v>
      </c>
      <c r="BH66" s="2159">
        <f t="shared" si="32"/>
        <v>46023</v>
      </c>
      <c r="BI66" s="2159">
        <f t="shared" si="33"/>
        <v>46023</v>
      </c>
      <c r="BJ66" s="2159">
        <f t="shared" si="34"/>
        <v>0</v>
      </c>
      <c r="BL66" s="369">
        <f t="shared" si="35"/>
        <v>0</v>
      </c>
      <c r="BM66" s="2159">
        <f t="shared" si="36"/>
        <v>0</v>
      </c>
      <c r="BN66" s="2159">
        <f t="shared" si="37"/>
        <v>0</v>
      </c>
      <c r="BO66" s="373">
        <f t="shared" si="38"/>
        <v>0</v>
      </c>
      <c r="BT66" s="2054"/>
      <c r="CF66" s="2054"/>
    </row>
    <row r="67" spans="1:84" ht="45.75" customHeight="1">
      <c r="A67" s="2163"/>
      <c r="B67" s="2146"/>
      <c r="C67" s="2146"/>
      <c r="D67" s="2164"/>
      <c r="E67" s="1573"/>
      <c r="F67" s="2148"/>
      <c r="G67" s="2149" t="str">
        <f t="shared" si="7"/>
        <v/>
      </c>
      <c r="H67" s="2148"/>
      <c r="I67" s="2150"/>
      <c r="J67" s="2148"/>
      <c r="K67" s="2151">
        <f t="shared" si="8"/>
        <v>0</v>
      </c>
      <c r="L67" s="2148"/>
      <c r="M67" s="2150"/>
      <c r="N67" s="2152"/>
      <c r="O67" s="2148"/>
      <c r="P67" s="2151">
        <f t="shared" si="39"/>
        <v>0</v>
      </c>
      <c r="Q67" s="2148"/>
      <c r="R67" s="2150"/>
      <c r="S67" s="2152"/>
      <c r="T67" s="2153"/>
      <c r="U67" s="2154">
        <f t="shared" si="0"/>
        <v>0</v>
      </c>
      <c r="V67" s="2155"/>
      <c r="W67" s="2150"/>
      <c r="X67" s="2152"/>
      <c r="Y67" s="2153"/>
      <c r="Z67" s="1572">
        <f t="shared" si="1"/>
        <v>0</v>
      </c>
      <c r="AA67" s="2168">
        <f t="shared" si="9"/>
        <v>0</v>
      </c>
      <c r="AB67" s="2156" t="str">
        <f t="shared" si="2"/>
        <v/>
      </c>
      <c r="AC67" s="1663"/>
      <c r="AD67" s="2158" t="str">
        <f t="shared" si="10"/>
        <v/>
      </c>
      <c r="AE67" s="2159">
        <f t="shared" si="11"/>
        <v>0</v>
      </c>
      <c r="AF67" s="2159">
        <f t="shared" si="12"/>
        <v>0</v>
      </c>
      <c r="AG67" s="2159">
        <f t="shared" si="13"/>
        <v>0</v>
      </c>
      <c r="AH67" s="2159">
        <f t="shared" si="14"/>
        <v>0</v>
      </c>
      <c r="AI67" s="2160">
        <f t="shared" si="3"/>
        <v>0</v>
      </c>
      <c r="AJ67" s="1966">
        <f t="shared" si="15"/>
        <v>1</v>
      </c>
      <c r="AK67" s="2159">
        <f t="shared" si="16"/>
        <v>0</v>
      </c>
      <c r="AL67" s="368" t="e">
        <f t="shared" si="17"/>
        <v>#DIV/0!</v>
      </c>
      <c r="AM67" s="264"/>
      <c r="AN67" s="369">
        <f t="shared" si="18"/>
        <v>0</v>
      </c>
      <c r="AO67" s="1966">
        <f t="shared" si="19"/>
        <v>0</v>
      </c>
      <c r="AP67" s="1966">
        <f t="shared" si="20"/>
        <v>0</v>
      </c>
      <c r="AQ67" s="1966">
        <f t="shared" si="21"/>
        <v>0</v>
      </c>
      <c r="AR67" s="370">
        <f t="shared" si="22"/>
        <v>0</v>
      </c>
      <c r="AT67" s="371">
        <f t="shared" si="4"/>
        <v>0</v>
      </c>
      <c r="AU67" s="1966">
        <f t="shared" si="23"/>
        <v>0</v>
      </c>
      <c r="AV67" s="2161">
        <f t="shared" si="24"/>
        <v>0</v>
      </c>
      <c r="AW67" s="2161">
        <f t="shared" si="25"/>
        <v>0</v>
      </c>
      <c r="AX67" s="1966">
        <f t="shared" si="5"/>
        <v>0</v>
      </c>
      <c r="AY67" s="372">
        <f t="shared" si="6"/>
        <v>0</v>
      </c>
      <c r="AZ67" s="265"/>
      <c r="BA67" s="371">
        <f t="shared" si="26"/>
        <v>0</v>
      </c>
      <c r="BB67" s="1966">
        <f t="shared" si="27"/>
        <v>0</v>
      </c>
      <c r="BC67" s="1966">
        <f t="shared" si="28"/>
        <v>0</v>
      </c>
      <c r="BD67" s="1966">
        <f t="shared" si="29"/>
        <v>0</v>
      </c>
      <c r="BE67" s="372">
        <f t="shared" si="30"/>
        <v>0</v>
      </c>
      <c r="BG67" s="2159">
        <f t="shared" si="31"/>
        <v>46023</v>
      </c>
      <c r="BH67" s="2159">
        <f t="shared" si="32"/>
        <v>46023</v>
      </c>
      <c r="BI67" s="2159">
        <f t="shared" si="33"/>
        <v>46023</v>
      </c>
      <c r="BJ67" s="2159">
        <f t="shared" si="34"/>
        <v>0</v>
      </c>
      <c r="BL67" s="369">
        <f t="shared" si="35"/>
        <v>0</v>
      </c>
      <c r="BM67" s="2159">
        <f t="shared" si="36"/>
        <v>0</v>
      </c>
      <c r="BN67" s="2159">
        <f t="shared" si="37"/>
        <v>0</v>
      </c>
      <c r="BO67" s="373">
        <f t="shared" si="38"/>
        <v>0</v>
      </c>
      <c r="BT67" s="2054"/>
      <c r="CF67" s="2054"/>
    </row>
    <row r="68" spans="1:84" ht="45.75" customHeight="1">
      <c r="A68" s="2163"/>
      <c r="B68" s="2146"/>
      <c r="C68" s="2146"/>
      <c r="D68" s="2164"/>
      <c r="E68" s="1573"/>
      <c r="F68" s="2148"/>
      <c r="G68" s="2149" t="str">
        <f t="shared" si="7"/>
        <v/>
      </c>
      <c r="H68" s="2148"/>
      <c r="I68" s="2150"/>
      <c r="J68" s="2148"/>
      <c r="K68" s="2151">
        <f t="shared" si="8"/>
        <v>0</v>
      </c>
      <c r="L68" s="2148"/>
      <c r="M68" s="2150"/>
      <c r="N68" s="2152"/>
      <c r="O68" s="2148"/>
      <c r="P68" s="2151">
        <f t="shared" si="39"/>
        <v>0</v>
      </c>
      <c r="Q68" s="2148"/>
      <c r="R68" s="2150"/>
      <c r="S68" s="2152"/>
      <c r="T68" s="2153"/>
      <c r="U68" s="2154">
        <f t="shared" si="0"/>
        <v>0</v>
      </c>
      <c r="V68" s="2155"/>
      <c r="W68" s="2150"/>
      <c r="X68" s="2152"/>
      <c r="Y68" s="2153"/>
      <c r="Z68" s="1572">
        <f t="shared" si="1"/>
        <v>0</v>
      </c>
      <c r="AA68" s="2168">
        <f t="shared" si="9"/>
        <v>0</v>
      </c>
      <c r="AB68" s="2156" t="str">
        <f t="shared" si="2"/>
        <v/>
      </c>
      <c r="AC68" s="1663"/>
      <c r="AD68" s="2158" t="str">
        <f t="shared" si="10"/>
        <v/>
      </c>
      <c r="AE68" s="2159">
        <f t="shared" si="11"/>
        <v>0</v>
      </c>
      <c r="AF68" s="2159">
        <f t="shared" si="12"/>
        <v>0</v>
      </c>
      <c r="AG68" s="2159">
        <f t="shared" si="13"/>
        <v>0</v>
      </c>
      <c r="AH68" s="2159">
        <f t="shared" si="14"/>
        <v>0</v>
      </c>
      <c r="AI68" s="2160">
        <f t="shared" si="3"/>
        <v>0</v>
      </c>
      <c r="AJ68" s="1966">
        <f t="shared" si="15"/>
        <v>1</v>
      </c>
      <c r="AK68" s="2159">
        <f t="shared" si="16"/>
        <v>0</v>
      </c>
      <c r="AL68" s="368" t="e">
        <f t="shared" si="17"/>
        <v>#DIV/0!</v>
      </c>
      <c r="AM68" s="264"/>
      <c r="AN68" s="369">
        <f t="shared" si="18"/>
        <v>0</v>
      </c>
      <c r="AO68" s="1966">
        <f t="shared" si="19"/>
        <v>0</v>
      </c>
      <c r="AP68" s="1966">
        <f t="shared" si="20"/>
        <v>0</v>
      </c>
      <c r="AQ68" s="1966">
        <f t="shared" si="21"/>
        <v>0</v>
      </c>
      <c r="AR68" s="370">
        <f t="shared" si="22"/>
        <v>0</v>
      </c>
      <c r="AT68" s="371">
        <f t="shared" si="4"/>
        <v>0</v>
      </c>
      <c r="AU68" s="1966">
        <f t="shared" si="23"/>
        <v>0</v>
      </c>
      <c r="AV68" s="2161">
        <f t="shared" si="24"/>
        <v>0</v>
      </c>
      <c r="AW68" s="2161">
        <f t="shared" si="25"/>
        <v>0</v>
      </c>
      <c r="AX68" s="1966">
        <f t="shared" si="5"/>
        <v>0</v>
      </c>
      <c r="AY68" s="372">
        <f t="shared" si="6"/>
        <v>0</v>
      </c>
      <c r="AZ68" s="265"/>
      <c r="BA68" s="371">
        <f t="shared" si="26"/>
        <v>0</v>
      </c>
      <c r="BB68" s="1966">
        <f t="shared" si="27"/>
        <v>0</v>
      </c>
      <c r="BC68" s="1966">
        <f t="shared" si="28"/>
        <v>0</v>
      </c>
      <c r="BD68" s="1966">
        <f t="shared" si="29"/>
        <v>0</v>
      </c>
      <c r="BE68" s="372">
        <f t="shared" si="30"/>
        <v>0</v>
      </c>
      <c r="BG68" s="2159">
        <f t="shared" si="31"/>
        <v>46023</v>
      </c>
      <c r="BH68" s="2159">
        <f t="shared" si="32"/>
        <v>46023</v>
      </c>
      <c r="BI68" s="2159">
        <f t="shared" si="33"/>
        <v>46023</v>
      </c>
      <c r="BJ68" s="2159">
        <f t="shared" si="34"/>
        <v>0</v>
      </c>
      <c r="BL68" s="369">
        <f t="shared" si="35"/>
        <v>0</v>
      </c>
      <c r="BM68" s="2159">
        <f t="shared" si="36"/>
        <v>0</v>
      </c>
      <c r="BN68" s="2159">
        <f t="shared" si="37"/>
        <v>0</v>
      </c>
      <c r="BO68" s="373">
        <f t="shared" si="38"/>
        <v>0</v>
      </c>
      <c r="BT68" s="2054"/>
      <c r="CF68" s="2054"/>
    </row>
    <row r="69" spans="1:84" ht="45.75" customHeight="1">
      <c r="A69" s="2163"/>
      <c r="B69" s="2146"/>
      <c r="C69" s="2146"/>
      <c r="D69" s="2164"/>
      <c r="E69" s="1573"/>
      <c r="F69" s="2148"/>
      <c r="G69" s="2149" t="str">
        <f t="shared" si="7"/>
        <v/>
      </c>
      <c r="H69" s="2148"/>
      <c r="I69" s="2150"/>
      <c r="J69" s="2148"/>
      <c r="K69" s="2151">
        <f t="shared" si="8"/>
        <v>0</v>
      </c>
      <c r="L69" s="2148"/>
      <c r="M69" s="2150"/>
      <c r="N69" s="2152"/>
      <c r="O69" s="2148"/>
      <c r="P69" s="2151">
        <f t="shared" si="39"/>
        <v>0</v>
      </c>
      <c r="Q69" s="2148"/>
      <c r="R69" s="2150"/>
      <c r="S69" s="2152"/>
      <c r="T69" s="2153"/>
      <c r="U69" s="2154">
        <f t="shared" si="0"/>
        <v>0</v>
      </c>
      <c r="V69" s="2155"/>
      <c r="W69" s="2150"/>
      <c r="X69" s="2152"/>
      <c r="Y69" s="2153"/>
      <c r="Z69" s="1572">
        <f t="shared" si="1"/>
        <v>0</v>
      </c>
      <c r="AA69" s="2168">
        <f t="shared" si="9"/>
        <v>0</v>
      </c>
      <c r="AB69" s="2156" t="str">
        <f t="shared" si="2"/>
        <v/>
      </c>
      <c r="AC69" s="1663"/>
      <c r="AD69" s="2158" t="str">
        <f t="shared" si="10"/>
        <v/>
      </c>
      <c r="AE69" s="2159">
        <f t="shared" si="11"/>
        <v>0</v>
      </c>
      <c r="AF69" s="2159">
        <f t="shared" si="12"/>
        <v>0</v>
      </c>
      <c r="AG69" s="2159">
        <f t="shared" si="13"/>
        <v>0</v>
      </c>
      <c r="AH69" s="2159">
        <f t="shared" si="14"/>
        <v>0</v>
      </c>
      <c r="AI69" s="2160">
        <f t="shared" si="3"/>
        <v>0</v>
      </c>
      <c r="AJ69" s="1966">
        <f t="shared" si="15"/>
        <v>1</v>
      </c>
      <c r="AK69" s="2159">
        <f t="shared" si="16"/>
        <v>0</v>
      </c>
      <c r="AL69" s="368" t="e">
        <f t="shared" si="17"/>
        <v>#DIV/0!</v>
      </c>
      <c r="AM69" s="264"/>
      <c r="AN69" s="369">
        <f t="shared" si="18"/>
        <v>0</v>
      </c>
      <c r="AO69" s="1966">
        <f t="shared" si="19"/>
        <v>0</v>
      </c>
      <c r="AP69" s="1966">
        <f t="shared" si="20"/>
        <v>0</v>
      </c>
      <c r="AQ69" s="1966">
        <f t="shared" si="21"/>
        <v>0</v>
      </c>
      <c r="AR69" s="370">
        <f t="shared" si="22"/>
        <v>0</v>
      </c>
      <c r="AT69" s="371">
        <f t="shared" si="4"/>
        <v>0</v>
      </c>
      <c r="AU69" s="1966">
        <f t="shared" si="23"/>
        <v>0</v>
      </c>
      <c r="AV69" s="2161">
        <f t="shared" si="24"/>
        <v>0</v>
      </c>
      <c r="AW69" s="2161">
        <f t="shared" si="25"/>
        <v>0</v>
      </c>
      <c r="AX69" s="1966">
        <f t="shared" si="5"/>
        <v>0</v>
      </c>
      <c r="AY69" s="372">
        <f t="shared" si="6"/>
        <v>0</v>
      </c>
      <c r="AZ69" s="265"/>
      <c r="BA69" s="371">
        <f t="shared" si="26"/>
        <v>0</v>
      </c>
      <c r="BB69" s="1966">
        <f t="shared" si="27"/>
        <v>0</v>
      </c>
      <c r="BC69" s="1966">
        <f t="shared" si="28"/>
        <v>0</v>
      </c>
      <c r="BD69" s="1966">
        <f t="shared" si="29"/>
        <v>0</v>
      </c>
      <c r="BE69" s="372">
        <f t="shared" si="30"/>
        <v>0</v>
      </c>
      <c r="BG69" s="2159">
        <f t="shared" si="31"/>
        <v>46023</v>
      </c>
      <c r="BH69" s="2159">
        <f t="shared" si="32"/>
        <v>46023</v>
      </c>
      <c r="BI69" s="2159">
        <f t="shared" si="33"/>
        <v>46023</v>
      </c>
      <c r="BJ69" s="2159">
        <f t="shared" si="34"/>
        <v>0</v>
      </c>
      <c r="BL69" s="369">
        <f t="shared" si="35"/>
        <v>0</v>
      </c>
      <c r="BM69" s="2159">
        <f t="shared" si="36"/>
        <v>0</v>
      </c>
      <c r="BN69" s="2159">
        <f t="shared" si="37"/>
        <v>0</v>
      </c>
      <c r="BO69" s="373">
        <f t="shared" si="38"/>
        <v>0</v>
      </c>
      <c r="BT69" s="2054"/>
      <c r="CF69" s="2054"/>
    </row>
    <row r="70" spans="1:84" ht="45.75" customHeight="1">
      <c r="A70" s="2163"/>
      <c r="B70" s="2146"/>
      <c r="C70" s="2146"/>
      <c r="D70" s="2164"/>
      <c r="E70" s="1573"/>
      <c r="F70" s="2148"/>
      <c r="G70" s="2149" t="str">
        <f t="shared" si="7"/>
        <v/>
      </c>
      <c r="H70" s="2148"/>
      <c r="I70" s="2150"/>
      <c r="J70" s="2148"/>
      <c r="K70" s="2151">
        <f t="shared" si="8"/>
        <v>0</v>
      </c>
      <c r="L70" s="2148"/>
      <c r="M70" s="2150"/>
      <c r="N70" s="2152"/>
      <c r="O70" s="2148"/>
      <c r="P70" s="2151">
        <f t="shared" si="39"/>
        <v>0</v>
      </c>
      <c r="Q70" s="2148"/>
      <c r="R70" s="2150"/>
      <c r="S70" s="2152"/>
      <c r="T70" s="2153"/>
      <c r="U70" s="2154">
        <f t="shared" si="0"/>
        <v>0</v>
      </c>
      <c r="V70" s="2155"/>
      <c r="W70" s="2150"/>
      <c r="X70" s="2152"/>
      <c r="Y70" s="2153"/>
      <c r="Z70" s="1572">
        <f t="shared" si="1"/>
        <v>0</v>
      </c>
      <c r="AA70" s="2168">
        <f t="shared" si="9"/>
        <v>0</v>
      </c>
      <c r="AB70" s="2156" t="str">
        <f t="shared" si="2"/>
        <v/>
      </c>
      <c r="AC70" s="1663"/>
      <c r="AD70" s="2158" t="str">
        <f t="shared" si="10"/>
        <v/>
      </c>
      <c r="AE70" s="2159">
        <f t="shared" si="11"/>
        <v>0</v>
      </c>
      <c r="AF70" s="2159">
        <f t="shared" si="12"/>
        <v>0</v>
      </c>
      <c r="AG70" s="2159">
        <f t="shared" si="13"/>
        <v>0</v>
      </c>
      <c r="AH70" s="2159">
        <f t="shared" si="14"/>
        <v>0</v>
      </c>
      <c r="AI70" s="2160">
        <f t="shared" si="3"/>
        <v>0</v>
      </c>
      <c r="AJ70" s="1966">
        <f t="shared" si="15"/>
        <v>1</v>
      </c>
      <c r="AK70" s="2159">
        <f t="shared" si="16"/>
        <v>0</v>
      </c>
      <c r="AL70" s="368" t="e">
        <f t="shared" si="17"/>
        <v>#DIV/0!</v>
      </c>
      <c r="AM70" s="264"/>
      <c r="AN70" s="369">
        <f t="shared" si="18"/>
        <v>0</v>
      </c>
      <c r="AO70" s="1966">
        <f t="shared" si="19"/>
        <v>0</v>
      </c>
      <c r="AP70" s="1966">
        <f t="shared" si="20"/>
        <v>0</v>
      </c>
      <c r="AQ70" s="1966">
        <f t="shared" si="21"/>
        <v>0</v>
      </c>
      <c r="AR70" s="370">
        <f t="shared" si="22"/>
        <v>0</v>
      </c>
      <c r="AT70" s="371">
        <f t="shared" si="4"/>
        <v>0</v>
      </c>
      <c r="AU70" s="1966">
        <f t="shared" si="23"/>
        <v>0</v>
      </c>
      <c r="AV70" s="2161">
        <f t="shared" si="24"/>
        <v>0</v>
      </c>
      <c r="AW70" s="2161">
        <f t="shared" si="25"/>
        <v>0</v>
      </c>
      <c r="AX70" s="1966">
        <f t="shared" si="5"/>
        <v>0</v>
      </c>
      <c r="AY70" s="372">
        <f t="shared" si="6"/>
        <v>0</v>
      </c>
      <c r="AZ70" s="265"/>
      <c r="BA70" s="371">
        <f t="shared" si="26"/>
        <v>0</v>
      </c>
      <c r="BB70" s="1966">
        <f t="shared" si="27"/>
        <v>0</v>
      </c>
      <c r="BC70" s="1966">
        <f t="shared" si="28"/>
        <v>0</v>
      </c>
      <c r="BD70" s="1966">
        <f t="shared" si="29"/>
        <v>0</v>
      </c>
      <c r="BE70" s="372">
        <f t="shared" si="30"/>
        <v>0</v>
      </c>
      <c r="BG70" s="2159">
        <f t="shared" si="31"/>
        <v>46023</v>
      </c>
      <c r="BH70" s="2159">
        <f t="shared" si="32"/>
        <v>46023</v>
      </c>
      <c r="BI70" s="2159">
        <f t="shared" si="33"/>
        <v>46023</v>
      </c>
      <c r="BJ70" s="2159">
        <f t="shared" si="34"/>
        <v>0</v>
      </c>
      <c r="BL70" s="369">
        <f t="shared" si="35"/>
        <v>0</v>
      </c>
      <c r="BM70" s="2159">
        <f t="shared" si="36"/>
        <v>0</v>
      </c>
      <c r="BN70" s="2159">
        <f t="shared" si="37"/>
        <v>0</v>
      </c>
      <c r="BO70" s="373">
        <f t="shared" si="38"/>
        <v>0</v>
      </c>
      <c r="BT70" s="2054"/>
      <c r="CF70" s="2054"/>
    </row>
    <row r="71" spans="1:84" ht="45.75" customHeight="1">
      <c r="A71" s="2163"/>
      <c r="B71" s="2146"/>
      <c r="C71" s="2146"/>
      <c r="D71" s="2164"/>
      <c r="E71" s="1573"/>
      <c r="F71" s="2148"/>
      <c r="G71" s="2149" t="str">
        <f t="shared" si="7"/>
        <v/>
      </c>
      <c r="H71" s="2148"/>
      <c r="I71" s="2150"/>
      <c r="J71" s="2148"/>
      <c r="K71" s="2151">
        <f t="shared" si="8"/>
        <v>0</v>
      </c>
      <c r="L71" s="2148"/>
      <c r="M71" s="2150"/>
      <c r="N71" s="2152"/>
      <c r="O71" s="2148"/>
      <c r="P71" s="2151">
        <f t="shared" si="39"/>
        <v>0</v>
      </c>
      <c r="Q71" s="2148"/>
      <c r="R71" s="2150"/>
      <c r="S71" s="2152"/>
      <c r="T71" s="2153"/>
      <c r="U71" s="2154">
        <f t="shared" si="0"/>
        <v>0</v>
      </c>
      <c r="V71" s="2155"/>
      <c r="W71" s="2150"/>
      <c r="X71" s="2152"/>
      <c r="Y71" s="2153"/>
      <c r="Z71" s="1572">
        <f t="shared" si="1"/>
        <v>0</v>
      </c>
      <c r="AA71" s="2168">
        <f t="shared" si="9"/>
        <v>0</v>
      </c>
      <c r="AB71" s="2156" t="str">
        <f t="shared" si="2"/>
        <v/>
      </c>
      <c r="AC71" s="1663"/>
      <c r="AD71" s="2158" t="str">
        <f t="shared" si="10"/>
        <v/>
      </c>
      <c r="AE71" s="2159">
        <f t="shared" si="11"/>
        <v>0</v>
      </c>
      <c r="AF71" s="2159">
        <f t="shared" si="12"/>
        <v>0</v>
      </c>
      <c r="AG71" s="2159">
        <f t="shared" si="13"/>
        <v>0</v>
      </c>
      <c r="AH71" s="2159">
        <f t="shared" si="14"/>
        <v>0</v>
      </c>
      <c r="AI71" s="2160">
        <f t="shared" si="3"/>
        <v>0</v>
      </c>
      <c r="AJ71" s="1966">
        <f t="shared" si="15"/>
        <v>1</v>
      </c>
      <c r="AK71" s="2159">
        <f t="shared" si="16"/>
        <v>0</v>
      </c>
      <c r="AL71" s="368" t="e">
        <f t="shared" si="17"/>
        <v>#DIV/0!</v>
      </c>
      <c r="AM71" s="264"/>
      <c r="AN71" s="369">
        <f t="shared" si="18"/>
        <v>0</v>
      </c>
      <c r="AO71" s="1966">
        <f t="shared" si="19"/>
        <v>0</v>
      </c>
      <c r="AP71" s="1966">
        <f t="shared" si="20"/>
        <v>0</v>
      </c>
      <c r="AQ71" s="1966">
        <f t="shared" si="21"/>
        <v>0</v>
      </c>
      <c r="AR71" s="370">
        <f t="shared" si="22"/>
        <v>0</v>
      </c>
      <c r="AT71" s="371">
        <f t="shared" si="4"/>
        <v>0</v>
      </c>
      <c r="AU71" s="1966">
        <f t="shared" si="23"/>
        <v>0</v>
      </c>
      <c r="AV71" s="2161">
        <f t="shared" si="24"/>
        <v>0</v>
      </c>
      <c r="AW71" s="2161">
        <f t="shared" si="25"/>
        <v>0</v>
      </c>
      <c r="AX71" s="1966">
        <f t="shared" si="5"/>
        <v>0</v>
      </c>
      <c r="AY71" s="372">
        <f t="shared" si="6"/>
        <v>0</v>
      </c>
      <c r="AZ71" s="265"/>
      <c r="BA71" s="371">
        <f t="shared" si="26"/>
        <v>0</v>
      </c>
      <c r="BB71" s="1966">
        <f t="shared" si="27"/>
        <v>0</v>
      </c>
      <c r="BC71" s="1966">
        <f t="shared" si="28"/>
        <v>0</v>
      </c>
      <c r="BD71" s="1966">
        <f t="shared" si="29"/>
        <v>0</v>
      </c>
      <c r="BE71" s="372">
        <f t="shared" si="30"/>
        <v>0</v>
      </c>
      <c r="BG71" s="2159">
        <f t="shared" si="31"/>
        <v>46023</v>
      </c>
      <c r="BH71" s="2159">
        <f t="shared" si="32"/>
        <v>46023</v>
      </c>
      <c r="BI71" s="2159">
        <f t="shared" si="33"/>
        <v>46023</v>
      </c>
      <c r="BJ71" s="2159">
        <f t="shared" si="34"/>
        <v>0</v>
      </c>
      <c r="BL71" s="369">
        <f t="shared" si="35"/>
        <v>0</v>
      </c>
      <c r="BM71" s="2159">
        <f t="shared" si="36"/>
        <v>0</v>
      </c>
      <c r="BN71" s="2159">
        <f t="shared" si="37"/>
        <v>0</v>
      </c>
      <c r="BO71" s="373">
        <f t="shared" si="38"/>
        <v>0</v>
      </c>
      <c r="BT71" s="2054"/>
      <c r="CF71" s="2054"/>
    </row>
    <row r="72" spans="1:84" ht="45.75" customHeight="1">
      <c r="A72" s="2163"/>
      <c r="B72" s="2146"/>
      <c r="C72" s="2146"/>
      <c r="D72" s="2164"/>
      <c r="E72" s="1573"/>
      <c r="F72" s="2148"/>
      <c r="G72" s="2149" t="str">
        <f t="shared" si="7"/>
        <v/>
      </c>
      <c r="H72" s="2148"/>
      <c r="I72" s="2150"/>
      <c r="J72" s="2148"/>
      <c r="K72" s="2151">
        <f t="shared" si="8"/>
        <v>0</v>
      </c>
      <c r="L72" s="2148"/>
      <c r="M72" s="2150"/>
      <c r="N72" s="2152"/>
      <c r="O72" s="2148"/>
      <c r="P72" s="2151">
        <f t="shared" si="39"/>
        <v>0</v>
      </c>
      <c r="Q72" s="2148"/>
      <c r="R72" s="2150"/>
      <c r="S72" s="2152"/>
      <c r="T72" s="2153"/>
      <c r="U72" s="2154">
        <f t="shared" si="0"/>
        <v>0</v>
      </c>
      <c r="V72" s="2155"/>
      <c r="W72" s="2150"/>
      <c r="X72" s="2152"/>
      <c r="Y72" s="2153"/>
      <c r="Z72" s="1572">
        <f t="shared" si="1"/>
        <v>0</v>
      </c>
      <c r="AA72" s="2168">
        <f t="shared" si="9"/>
        <v>0</v>
      </c>
      <c r="AB72" s="2156" t="str">
        <f t="shared" si="2"/>
        <v/>
      </c>
      <c r="AC72" s="1663"/>
      <c r="AD72" s="2158" t="str">
        <f t="shared" si="10"/>
        <v/>
      </c>
      <c r="AE72" s="2159">
        <f t="shared" si="11"/>
        <v>0</v>
      </c>
      <c r="AF72" s="2159">
        <f t="shared" si="12"/>
        <v>0</v>
      </c>
      <c r="AG72" s="2159">
        <f t="shared" si="13"/>
        <v>0</v>
      </c>
      <c r="AH72" s="2159">
        <f t="shared" si="14"/>
        <v>0</v>
      </c>
      <c r="AI72" s="2160">
        <f t="shared" si="3"/>
        <v>0</v>
      </c>
      <c r="AJ72" s="1966">
        <f t="shared" si="15"/>
        <v>1</v>
      </c>
      <c r="AK72" s="2159">
        <f t="shared" si="16"/>
        <v>0</v>
      </c>
      <c r="AL72" s="368" t="e">
        <f t="shared" si="17"/>
        <v>#DIV/0!</v>
      </c>
      <c r="AM72" s="264"/>
      <c r="AN72" s="369">
        <f t="shared" si="18"/>
        <v>0</v>
      </c>
      <c r="AO72" s="1966">
        <f t="shared" si="19"/>
        <v>0</v>
      </c>
      <c r="AP72" s="1966">
        <f t="shared" si="20"/>
        <v>0</v>
      </c>
      <c r="AQ72" s="1966">
        <f t="shared" si="21"/>
        <v>0</v>
      </c>
      <c r="AR72" s="370">
        <f t="shared" si="22"/>
        <v>0</v>
      </c>
      <c r="AT72" s="371">
        <f t="shared" si="4"/>
        <v>0</v>
      </c>
      <c r="AU72" s="1966">
        <f t="shared" si="23"/>
        <v>0</v>
      </c>
      <c r="AV72" s="2161">
        <f t="shared" si="24"/>
        <v>0</v>
      </c>
      <c r="AW72" s="2161">
        <f t="shared" si="25"/>
        <v>0</v>
      </c>
      <c r="AX72" s="1966">
        <f t="shared" si="5"/>
        <v>0</v>
      </c>
      <c r="AY72" s="372">
        <f t="shared" si="6"/>
        <v>0</v>
      </c>
      <c r="AZ72" s="265"/>
      <c r="BA72" s="371">
        <f t="shared" si="26"/>
        <v>0</v>
      </c>
      <c r="BB72" s="1966">
        <f t="shared" si="27"/>
        <v>0</v>
      </c>
      <c r="BC72" s="1966">
        <f t="shared" si="28"/>
        <v>0</v>
      </c>
      <c r="BD72" s="1966">
        <f t="shared" si="29"/>
        <v>0</v>
      </c>
      <c r="BE72" s="372">
        <f t="shared" si="30"/>
        <v>0</v>
      </c>
      <c r="BG72" s="2159">
        <f t="shared" si="31"/>
        <v>46023</v>
      </c>
      <c r="BH72" s="2159">
        <f t="shared" si="32"/>
        <v>46023</v>
      </c>
      <c r="BI72" s="2159">
        <f t="shared" si="33"/>
        <v>46023</v>
      </c>
      <c r="BJ72" s="2159">
        <f t="shared" si="34"/>
        <v>0</v>
      </c>
      <c r="BL72" s="369">
        <f t="shared" si="35"/>
        <v>0</v>
      </c>
      <c r="BM72" s="2159">
        <f t="shared" si="36"/>
        <v>0</v>
      </c>
      <c r="BN72" s="2159">
        <f t="shared" si="37"/>
        <v>0</v>
      </c>
      <c r="BO72" s="373">
        <f t="shared" si="38"/>
        <v>0</v>
      </c>
      <c r="BT72" s="2054"/>
      <c r="CF72" s="2054"/>
    </row>
    <row r="73" spans="1:84" ht="45.75" customHeight="1">
      <c r="A73" s="2163"/>
      <c r="B73" s="2146"/>
      <c r="C73" s="2146"/>
      <c r="D73" s="2164"/>
      <c r="E73" s="1573"/>
      <c r="F73" s="2148"/>
      <c r="G73" s="2149" t="str">
        <f t="shared" si="7"/>
        <v/>
      </c>
      <c r="H73" s="2148"/>
      <c r="I73" s="2150"/>
      <c r="J73" s="2148"/>
      <c r="K73" s="2151">
        <f t="shared" si="8"/>
        <v>0</v>
      </c>
      <c r="L73" s="2148"/>
      <c r="M73" s="2150"/>
      <c r="N73" s="2152"/>
      <c r="O73" s="2148"/>
      <c r="P73" s="2151">
        <f t="shared" si="39"/>
        <v>0</v>
      </c>
      <c r="Q73" s="2148"/>
      <c r="R73" s="2150"/>
      <c r="S73" s="2152"/>
      <c r="T73" s="2153"/>
      <c r="U73" s="2154">
        <f t="shared" si="0"/>
        <v>0</v>
      </c>
      <c r="V73" s="2155"/>
      <c r="W73" s="2150"/>
      <c r="X73" s="2152"/>
      <c r="Y73" s="2153"/>
      <c r="Z73" s="1572">
        <f t="shared" si="1"/>
        <v>0</v>
      </c>
      <c r="AA73" s="2168">
        <f t="shared" si="9"/>
        <v>0</v>
      </c>
      <c r="AB73" s="2156" t="str">
        <f t="shared" si="2"/>
        <v/>
      </c>
      <c r="AC73" s="1663"/>
      <c r="AD73" s="2158" t="str">
        <f t="shared" si="10"/>
        <v/>
      </c>
      <c r="AE73" s="2159">
        <f t="shared" si="11"/>
        <v>0</v>
      </c>
      <c r="AF73" s="2159">
        <f t="shared" si="12"/>
        <v>0</v>
      </c>
      <c r="AG73" s="2159">
        <f t="shared" si="13"/>
        <v>0</v>
      </c>
      <c r="AH73" s="2159">
        <f t="shared" si="14"/>
        <v>0</v>
      </c>
      <c r="AI73" s="2160">
        <f t="shared" si="3"/>
        <v>0</v>
      </c>
      <c r="AJ73" s="1966">
        <f t="shared" si="15"/>
        <v>1</v>
      </c>
      <c r="AK73" s="2159">
        <f t="shared" si="16"/>
        <v>0</v>
      </c>
      <c r="AL73" s="368" t="e">
        <f t="shared" si="17"/>
        <v>#DIV/0!</v>
      </c>
      <c r="AM73" s="264"/>
      <c r="AN73" s="369">
        <f t="shared" si="18"/>
        <v>0</v>
      </c>
      <c r="AO73" s="1966">
        <f t="shared" si="19"/>
        <v>0</v>
      </c>
      <c r="AP73" s="1966">
        <f t="shared" si="20"/>
        <v>0</v>
      </c>
      <c r="AQ73" s="1966">
        <f t="shared" si="21"/>
        <v>0</v>
      </c>
      <c r="AR73" s="370">
        <f t="shared" si="22"/>
        <v>0</v>
      </c>
      <c r="AT73" s="371">
        <f t="shared" si="4"/>
        <v>0</v>
      </c>
      <c r="AU73" s="1966">
        <f t="shared" si="23"/>
        <v>0</v>
      </c>
      <c r="AV73" s="2161">
        <f t="shared" si="24"/>
        <v>0</v>
      </c>
      <c r="AW73" s="2161">
        <f t="shared" si="25"/>
        <v>0</v>
      </c>
      <c r="AX73" s="1966">
        <f t="shared" si="5"/>
        <v>0</v>
      </c>
      <c r="AY73" s="372">
        <f t="shared" si="6"/>
        <v>0</v>
      </c>
      <c r="AZ73" s="265"/>
      <c r="BA73" s="371">
        <f t="shared" si="26"/>
        <v>0</v>
      </c>
      <c r="BB73" s="1966">
        <f t="shared" si="27"/>
        <v>0</v>
      </c>
      <c r="BC73" s="1966">
        <f t="shared" si="28"/>
        <v>0</v>
      </c>
      <c r="BD73" s="1966">
        <f t="shared" si="29"/>
        <v>0</v>
      </c>
      <c r="BE73" s="372">
        <f t="shared" si="30"/>
        <v>0</v>
      </c>
      <c r="BG73" s="2159">
        <f t="shared" si="31"/>
        <v>46023</v>
      </c>
      <c r="BH73" s="2159">
        <f t="shared" si="32"/>
        <v>46023</v>
      </c>
      <c r="BI73" s="2159">
        <f t="shared" si="33"/>
        <v>46023</v>
      </c>
      <c r="BJ73" s="2159">
        <f t="shared" si="34"/>
        <v>0</v>
      </c>
      <c r="BL73" s="369">
        <f t="shared" si="35"/>
        <v>0</v>
      </c>
      <c r="BM73" s="2159">
        <f t="shared" si="36"/>
        <v>0</v>
      </c>
      <c r="BN73" s="2159">
        <f t="shared" si="37"/>
        <v>0</v>
      </c>
      <c r="BO73" s="373">
        <f t="shared" si="38"/>
        <v>0</v>
      </c>
      <c r="BT73" s="2054"/>
      <c r="CF73" s="2054"/>
    </row>
    <row r="74" spans="1:84" ht="45.75" customHeight="1">
      <c r="A74" s="2163"/>
      <c r="B74" s="2146"/>
      <c r="C74" s="2146"/>
      <c r="D74" s="2164"/>
      <c r="E74" s="1573"/>
      <c r="F74" s="2148"/>
      <c r="G74" s="2149" t="str">
        <f t="shared" ref="G74:G118" si="40">IF(AND(AN74&gt;0,E74="ja ZWF",F74=""),"",IF(AN74&gt;0,AN74,""))</f>
        <v/>
      </c>
      <c r="H74" s="2148"/>
      <c r="I74" s="2150"/>
      <c r="J74" s="2148"/>
      <c r="K74" s="2151">
        <f t="shared" ref="K74:K118" si="41">AO74</f>
        <v>0</v>
      </c>
      <c r="L74" s="2148"/>
      <c r="M74" s="2150"/>
      <c r="N74" s="2152"/>
      <c r="O74" s="2148"/>
      <c r="P74" s="2151">
        <f t="shared" si="39"/>
        <v>0</v>
      </c>
      <c r="Q74" s="2148"/>
      <c r="R74" s="2150"/>
      <c r="S74" s="2152"/>
      <c r="T74" s="2153"/>
      <c r="U74" s="2154">
        <f t="shared" si="0"/>
        <v>0</v>
      </c>
      <c r="V74" s="2155"/>
      <c r="W74" s="2150"/>
      <c r="X74" s="2152"/>
      <c r="Y74" s="2153"/>
      <c r="Z74" s="1572">
        <f t="shared" si="1"/>
        <v>0</v>
      </c>
      <c r="AA74" s="2168">
        <f t="shared" ref="AA74:AA137" si="42">IF(AND($I$3=0,C74&lt;&gt;""),"Ackerfläche noch nicht angeführt",IF(ISBLANK(C74),0,IF(AJ74=0,"ja",IF(AI74&gt;0,CONCATENATE("nein - ",ROUND(AL74*100,1)," % ","nicht begrünt"),""))))</f>
        <v>0</v>
      </c>
      <c r="AB74" s="2156" t="str">
        <f t="shared" si="2"/>
        <v/>
      </c>
      <c r="AC74" s="1663"/>
      <c r="AD74" s="2158" t="str">
        <f t="shared" ref="AD74:AD137" si="43">IF(AND($AE74=1,$N74="",$L74&gt;0,$AO74&lt;=50,$AT74&lt;&gt;1,$AV74&lt;&gt;1,$AW74&lt;&gt;1),$BQ$9,IF(AND($AE74=1,$S74="",$Q74&gt;0,$AP74&lt;=50,$N74="HF",$AT74&lt;&gt;1,$AU74&lt;&gt;1,$AW74&lt;&gt;1),$BQ$10,IF(AND($AE74=1,$X74="",$V74&gt;0,$AQ74&lt;=50,$S74="HF",$AT74&lt;&gt;1,$AU74&lt;&gt;1,$AV74&lt;&gt;1),$BQ$11,IF(AND($AF74=1,$AI74=1),$BQ$15,IF(AND($AE74=1,$AI74=1),$BQ$13,IF(AND($AG74=1,$AI74=1),$BQ$14,IF(AND($AH74=1,$AI74=1),$BQ$12,IF(AND($AE74=1,$AF74=1,$AI74=2),CONCATENATE($BQ$13," &amp; ",$BQ$15),IF(AND($AE74=1,$AG74=1,$AI74=2),CONCATENATE($BQ$13," &amp; ",$BQ$14),IF(AND($AE74=1,$AH74=1,$AI74=2),CONCATENATE($BQ$13," &amp; ",$BQ$12),IF(AND($AF74=1,$AG74=1,$AI74=2),CONCATENATE($BQ$15," &amp; ",$BQ$14),IF(AND($AF74=1,$AH74=1,$AI74=2),CONCATENATE($BQ$15," &amp; ",$BQ$12),IF(AND($AG74=1,$AH74=1,$AI74=2),CONCATENATE($BQ$14," &amp; ",$BQ$12),IF(AND($AE74=1,$AF74=1,$AG74=1,$AI74=3),CONCATENATE($BQ$13," &amp; ",$BQ$15," &amp; ",$BQ$14),IF(AND($AE74=1,$AG74=1,$AH74=1,$AI74=3),CONCATENATE($BQ$13," &amp; ",$BQ$14," &amp; ",$BQ$12),IF(AND($AF74=1,$AG74=1,$AH74=1,$AI74=3),CONCATENATE($BQ$15," &amp; ",$BQ$14," &amp; ",$BQ$12),IF(AND($AE74=1,$AF74=1,$AH74=1,$AI74=3),CONCATENATE($BQ$13," &amp; ",$BQ$15," &amp; ",$BQ$12),IF($AI74=4,"Fehler in Eingabe",""))))))))))))))))))</f>
        <v/>
      </c>
      <c r="AE74" s="2159">
        <f t="shared" ref="AE74:AE137" si="44">IF($AY74&gt;0,1,0)</f>
        <v>0</v>
      </c>
      <c r="AF74" s="2159">
        <f t="shared" ref="AF74:AF137" si="45">IF($BJ74&gt;0,1,0)</f>
        <v>0</v>
      </c>
      <c r="AG74" s="2159">
        <f t="shared" ref="AG74:AG137" si="46">IF($BO74&gt;0,1,0)</f>
        <v>0</v>
      </c>
      <c r="AH74" s="2159">
        <f t="shared" ref="AH74:AH137" si="47">IF($BE74=1,1,0)</f>
        <v>0</v>
      </c>
      <c r="AI74" s="2160">
        <f t="shared" si="3"/>
        <v>0</v>
      </c>
      <c r="AJ74" s="1966">
        <f t="shared" ref="AJ74:AJ137" si="48">IF(OR(ISBLANK($I74),$AI74&gt;0),1,0)</f>
        <v>1</v>
      </c>
      <c r="AK74" s="2159">
        <f t="shared" ref="AK74:AK137" si="49">IF($AJ74=1,$C74,0)</f>
        <v>0</v>
      </c>
      <c r="AL74" s="368" t="e">
        <f t="shared" ref="AL74:AL137" si="50">$AK74/$AJ$2</f>
        <v>#DIV/0!</v>
      </c>
      <c r="AM74" s="264"/>
      <c r="AN74" s="369">
        <f t="shared" ref="AN74:AN137" si="51">IF(AND(OR($C$2=2023,$C$2=2025,$C$2=2026,$C$2=2027),$E74="nein"),$H74-$AC$8,IF(AND(OR($C$2=2024,$C$2=2028),$E74="nein"),$H74+1-$AC$8,IF(AND($F74&gt;0,$E74="ja HF"),$H74-$F74,IF(AND($F74&gt;0,$E74="ja ZWF"),$H74-$F74,0))))</f>
        <v>0</v>
      </c>
      <c r="AO74" s="1966">
        <f t="shared" si="19"/>
        <v>0</v>
      </c>
      <c r="AP74" s="1966">
        <f t="shared" si="20"/>
        <v>0</v>
      </c>
      <c r="AQ74" s="1966">
        <f t="shared" si="21"/>
        <v>0</v>
      </c>
      <c r="AR74" s="370">
        <f t="shared" ref="AR74:AR118" si="52">IF(ISBLANK(Y74),0,($AC$8+365)-Y74)</f>
        <v>0</v>
      </c>
      <c r="AT74" s="371">
        <f t="shared" si="4"/>
        <v>0</v>
      </c>
      <c r="AU74" s="1966">
        <f t="shared" ref="AU74:AU118" si="53">IF(AND(N74="",L74&gt;0,AO74&gt;30),1,IF(AND(N74="ZWF",AO74&gt;30,L74&gt;0),1,IF(AND(N74="HF",AO74&gt;50,L74&gt;0),1,0)))</f>
        <v>0</v>
      </c>
      <c r="AV74" s="2161">
        <f t="shared" ref="AV74:AV118" si="54">IF(AND(S74="",Q74&gt;0,AP74&gt;30),1,IF(AND(S74="ZWF",AP74&gt;30,Q74&gt;0),1,IF(AND(N74="ZWF",AP74&gt;30,Q74&gt;0),1,IF(AND(S74="HF",N74="HF",AP74&gt;50,Q74&gt;0),1,0))))</f>
        <v>0</v>
      </c>
      <c r="AW74" s="2161">
        <f t="shared" ref="AW74:AW118" si="55">IF(AND(X74="",V74&gt;0,AQ74&gt;30),1,IF(AND(X74="ZWF",AQ74&gt;30,V74&gt;0),1,IF(AND(S74="ZWF",AQ74&gt;30,V74&gt;0),1,IF(AND(X74="HF",S74="HF",AQ74&gt;50,V74&gt;0),1,0))))</f>
        <v>0</v>
      </c>
      <c r="AX74" s="1966">
        <f t="shared" si="5"/>
        <v>0</v>
      </c>
      <c r="AY74" s="372">
        <f t="shared" si="6"/>
        <v>0</v>
      </c>
      <c r="AZ74" s="265"/>
      <c r="BA74" s="371">
        <f t="shared" ref="BA74:BA137" si="56">IF(AND($J74&gt;0,$L74=0),1,0)</f>
        <v>0</v>
      </c>
      <c r="BB74" s="1966">
        <f t="shared" ref="BB74:BB137" si="57">IF(AND($O74&gt;0,$Q74=0),1,0)</f>
        <v>0</v>
      </c>
      <c r="BC74" s="1966">
        <f t="shared" ref="BC74:BC137" si="58">IF(AND($T74&gt;0,$V74=0),1,0)</f>
        <v>0</v>
      </c>
      <c r="BD74" s="1966">
        <f t="shared" ref="BD74:BD137" si="59">IF($Y74&gt;0,1,0)</f>
        <v>0</v>
      </c>
      <c r="BE74" s="372">
        <f t="shared" ref="BE74:BE137" si="60">SUM($BA74:$BD74)</f>
        <v>0</v>
      </c>
      <c r="BG74" s="2159">
        <f t="shared" ref="BG74:BG137" si="61">IF(ISBLANK($O74),($AC$8+365)-$L74,$O74-$L74)</f>
        <v>46023</v>
      </c>
      <c r="BH74" s="2159">
        <f t="shared" ref="BH74:BH137" si="62">IF(ISBLANK($T74),($AC$8+365)-$Q74,$T74-$Q74)</f>
        <v>46023</v>
      </c>
      <c r="BI74" s="2159">
        <f t="shared" ref="BI74:BI137" si="63">IF(ISBLANK($Y74),($AC$8+365)-$V74,$Y74-$V74)</f>
        <v>46023</v>
      </c>
      <c r="BJ74" s="2159">
        <f t="shared" ref="BJ74:BJ137" si="64">IF(AND($BG74&lt;43,$N74="ZWF"),1,IF(AND($BH74&lt;43,$S74="ZWF"),1,IF(AND($BI74&lt;43,$X74="ZWF"),1,0)))</f>
        <v>0</v>
      </c>
      <c r="BL74" s="369">
        <f t="shared" ref="BL74:BL137" si="65">IF(AND($N74="ZWF",$L74&gt;($AC$8+287)),1,0)</f>
        <v>0</v>
      </c>
      <c r="BM74" s="2159">
        <f t="shared" ref="BM74:BM137" si="66">IF(AND($S74="ZWF",$Q74&gt;($AC$8+287)),1,0)</f>
        <v>0</v>
      </c>
      <c r="BN74" s="2159">
        <f t="shared" ref="BN74:BN137" si="67">IF(AND($X74="ZWF",$V74&gt;($AC$8+287)),1,0)</f>
        <v>0</v>
      </c>
      <c r="BO74" s="373">
        <f t="shared" ref="BO74:BO137" si="68">SUM($BL74:$BN74)</f>
        <v>0</v>
      </c>
      <c r="BT74" s="2054"/>
      <c r="CF74" s="2054"/>
    </row>
    <row r="75" spans="1:84" ht="45.75" customHeight="1">
      <c r="A75" s="2163"/>
      <c r="B75" s="2146"/>
      <c r="C75" s="2146"/>
      <c r="D75" s="2164"/>
      <c r="E75" s="1573"/>
      <c r="F75" s="2148"/>
      <c r="G75" s="2149" t="str">
        <f t="shared" si="40"/>
        <v/>
      </c>
      <c r="H75" s="2148"/>
      <c r="I75" s="2150"/>
      <c r="J75" s="2148"/>
      <c r="K75" s="2151">
        <f t="shared" si="41"/>
        <v>0</v>
      </c>
      <c r="L75" s="2148"/>
      <c r="M75" s="2150"/>
      <c r="N75" s="2152"/>
      <c r="O75" s="2148"/>
      <c r="P75" s="2151">
        <f t="shared" ref="P75:P118" si="69">AP75</f>
        <v>0</v>
      </c>
      <c r="Q75" s="2148"/>
      <c r="R75" s="2150"/>
      <c r="S75" s="2152"/>
      <c r="T75" s="2153"/>
      <c r="U75" s="2154">
        <f t="shared" si="0"/>
        <v>0</v>
      </c>
      <c r="V75" s="2155"/>
      <c r="W75" s="2150"/>
      <c r="X75" s="2152"/>
      <c r="Y75" s="2153"/>
      <c r="Z75" s="1572">
        <f t="shared" si="1"/>
        <v>0</v>
      </c>
      <c r="AA75" s="2168">
        <f t="shared" si="42"/>
        <v>0</v>
      </c>
      <c r="AB75" s="2156" t="str">
        <f t="shared" si="2"/>
        <v/>
      </c>
      <c r="AC75" s="1663"/>
      <c r="AD75" s="2158" t="str">
        <f t="shared" si="43"/>
        <v/>
      </c>
      <c r="AE75" s="2159">
        <f t="shared" si="44"/>
        <v>0</v>
      </c>
      <c r="AF75" s="2159">
        <f t="shared" si="45"/>
        <v>0</v>
      </c>
      <c r="AG75" s="2159">
        <f t="shared" si="46"/>
        <v>0</v>
      </c>
      <c r="AH75" s="2159">
        <f t="shared" si="47"/>
        <v>0</v>
      </c>
      <c r="AI75" s="2160">
        <f t="shared" si="3"/>
        <v>0</v>
      </c>
      <c r="AJ75" s="1966">
        <f t="shared" si="48"/>
        <v>1</v>
      </c>
      <c r="AK75" s="2159">
        <f t="shared" si="49"/>
        <v>0</v>
      </c>
      <c r="AL75" s="368" t="e">
        <f t="shared" si="50"/>
        <v>#DIV/0!</v>
      </c>
      <c r="AM75" s="264"/>
      <c r="AN75" s="369">
        <f t="shared" si="51"/>
        <v>0</v>
      </c>
      <c r="AO75" s="1966">
        <f t="shared" si="19"/>
        <v>0</v>
      </c>
      <c r="AP75" s="1966">
        <f t="shared" si="20"/>
        <v>0</v>
      </c>
      <c r="AQ75" s="1966">
        <f t="shared" si="21"/>
        <v>0</v>
      </c>
      <c r="AR75" s="370">
        <f t="shared" si="52"/>
        <v>0</v>
      </c>
      <c r="AT75" s="371">
        <f t="shared" si="4"/>
        <v>0</v>
      </c>
      <c r="AU75" s="1966">
        <f t="shared" si="53"/>
        <v>0</v>
      </c>
      <c r="AV75" s="2161">
        <f t="shared" si="54"/>
        <v>0</v>
      </c>
      <c r="AW75" s="2161">
        <f t="shared" si="55"/>
        <v>0</v>
      </c>
      <c r="AX75" s="1966">
        <f t="shared" si="5"/>
        <v>0</v>
      </c>
      <c r="AY75" s="372">
        <f t="shared" si="6"/>
        <v>0</v>
      </c>
      <c r="AZ75" s="265"/>
      <c r="BA75" s="371">
        <f t="shared" si="56"/>
        <v>0</v>
      </c>
      <c r="BB75" s="1966">
        <f t="shared" si="57"/>
        <v>0</v>
      </c>
      <c r="BC75" s="1966">
        <f t="shared" si="58"/>
        <v>0</v>
      </c>
      <c r="BD75" s="1966">
        <f t="shared" si="59"/>
        <v>0</v>
      </c>
      <c r="BE75" s="372">
        <f t="shared" si="60"/>
        <v>0</v>
      </c>
      <c r="BG75" s="2159">
        <f t="shared" si="61"/>
        <v>46023</v>
      </c>
      <c r="BH75" s="2159">
        <f t="shared" si="62"/>
        <v>46023</v>
      </c>
      <c r="BI75" s="2159">
        <f t="shared" si="63"/>
        <v>46023</v>
      </c>
      <c r="BJ75" s="2159">
        <f t="shared" si="64"/>
        <v>0</v>
      </c>
      <c r="BL75" s="369">
        <f t="shared" si="65"/>
        <v>0</v>
      </c>
      <c r="BM75" s="2159">
        <f t="shared" si="66"/>
        <v>0</v>
      </c>
      <c r="BN75" s="2159">
        <f t="shared" si="67"/>
        <v>0</v>
      </c>
      <c r="BO75" s="373">
        <f t="shared" si="68"/>
        <v>0</v>
      </c>
      <c r="BT75" s="2054"/>
      <c r="CF75" s="2054"/>
    </row>
    <row r="76" spans="1:84" ht="45.75" customHeight="1">
      <c r="A76" s="2163"/>
      <c r="B76" s="2146"/>
      <c r="C76" s="2146"/>
      <c r="D76" s="2164"/>
      <c r="E76" s="1573"/>
      <c r="F76" s="2148"/>
      <c r="G76" s="2149" t="str">
        <f t="shared" si="40"/>
        <v/>
      </c>
      <c r="H76" s="2148"/>
      <c r="I76" s="2150"/>
      <c r="J76" s="2148"/>
      <c r="K76" s="2151">
        <f t="shared" si="41"/>
        <v>0</v>
      </c>
      <c r="L76" s="2148"/>
      <c r="M76" s="2150"/>
      <c r="N76" s="2152"/>
      <c r="O76" s="2148"/>
      <c r="P76" s="2151">
        <f t="shared" si="69"/>
        <v>0</v>
      </c>
      <c r="Q76" s="2148"/>
      <c r="R76" s="2150"/>
      <c r="S76" s="2152"/>
      <c r="T76" s="2153"/>
      <c r="U76" s="2154">
        <f t="shared" si="0"/>
        <v>0</v>
      </c>
      <c r="V76" s="2155"/>
      <c r="W76" s="2150"/>
      <c r="X76" s="2152"/>
      <c r="Y76" s="2153"/>
      <c r="Z76" s="1572">
        <f t="shared" si="1"/>
        <v>0</v>
      </c>
      <c r="AA76" s="2168">
        <f t="shared" si="42"/>
        <v>0</v>
      </c>
      <c r="AB76" s="2156" t="str">
        <f t="shared" si="2"/>
        <v/>
      </c>
      <c r="AC76" s="1663"/>
      <c r="AD76" s="2158" t="str">
        <f t="shared" si="43"/>
        <v/>
      </c>
      <c r="AE76" s="2159">
        <f t="shared" si="44"/>
        <v>0</v>
      </c>
      <c r="AF76" s="2159">
        <f t="shared" si="45"/>
        <v>0</v>
      </c>
      <c r="AG76" s="2159">
        <f t="shared" si="46"/>
        <v>0</v>
      </c>
      <c r="AH76" s="2159">
        <f t="shared" si="47"/>
        <v>0</v>
      </c>
      <c r="AI76" s="2160">
        <f t="shared" si="3"/>
        <v>0</v>
      </c>
      <c r="AJ76" s="1966">
        <f t="shared" si="48"/>
        <v>1</v>
      </c>
      <c r="AK76" s="2159">
        <f t="shared" si="49"/>
        <v>0</v>
      </c>
      <c r="AL76" s="368" t="e">
        <f t="shared" si="50"/>
        <v>#DIV/0!</v>
      </c>
      <c r="AM76" s="264"/>
      <c r="AN76" s="369">
        <f t="shared" si="51"/>
        <v>0</v>
      </c>
      <c r="AO76" s="1966">
        <f t="shared" si="19"/>
        <v>0</v>
      </c>
      <c r="AP76" s="1966">
        <f t="shared" si="20"/>
        <v>0</v>
      </c>
      <c r="AQ76" s="1966">
        <f t="shared" si="21"/>
        <v>0</v>
      </c>
      <c r="AR76" s="370">
        <f t="shared" si="52"/>
        <v>0</v>
      </c>
      <c r="AT76" s="371">
        <f t="shared" si="4"/>
        <v>0</v>
      </c>
      <c r="AU76" s="1966">
        <f t="shared" si="53"/>
        <v>0</v>
      </c>
      <c r="AV76" s="2161">
        <f t="shared" si="54"/>
        <v>0</v>
      </c>
      <c r="AW76" s="2161">
        <f t="shared" si="55"/>
        <v>0</v>
      </c>
      <c r="AX76" s="1966">
        <f t="shared" si="5"/>
        <v>0</v>
      </c>
      <c r="AY76" s="372">
        <f t="shared" si="6"/>
        <v>0</v>
      </c>
      <c r="AZ76" s="265"/>
      <c r="BA76" s="371">
        <f t="shared" si="56"/>
        <v>0</v>
      </c>
      <c r="BB76" s="1966">
        <f t="shared" si="57"/>
        <v>0</v>
      </c>
      <c r="BC76" s="1966">
        <f t="shared" si="58"/>
        <v>0</v>
      </c>
      <c r="BD76" s="1966">
        <f t="shared" si="59"/>
        <v>0</v>
      </c>
      <c r="BE76" s="372">
        <f t="shared" si="60"/>
        <v>0</v>
      </c>
      <c r="BG76" s="2159">
        <f t="shared" si="61"/>
        <v>46023</v>
      </c>
      <c r="BH76" s="2159">
        <f t="shared" si="62"/>
        <v>46023</v>
      </c>
      <c r="BI76" s="2159">
        <f t="shared" si="63"/>
        <v>46023</v>
      </c>
      <c r="BJ76" s="2159">
        <f t="shared" si="64"/>
        <v>0</v>
      </c>
      <c r="BL76" s="369">
        <f t="shared" si="65"/>
        <v>0</v>
      </c>
      <c r="BM76" s="2159">
        <f t="shared" si="66"/>
        <v>0</v>
      </c>
      <c r="BN76" s="2159">
        <f t="shared" si="67"/>
        <v>0</v>
      </c>
      <c r="BO76" s="373">
        <f t="shared" si="68"/>
        <v>0</v>
      </c>
      <c r="BT76" s="2054"/>
      <c r="CF76" s="2054"/>
    </row>
    <row r="77" spans="1:84" ht="45.75" customHeight="1">
      <c r="A77" s="2163"/>
      <c r="B77" s="2146"/>
      <c r="C77" s="2146"/>
      <c r="D77" s="2164"/>
      <c r="E77" s="1573"/>
      <c r="F77" s="2148"/>
      <c r="G77" s="2149" t="str">
        <f t="shared" si="40"/>
        <v/>
      </c>
      <c r="H77" s="2148"/>
      <c r="I77" s="2150"/>
      <c r="J77" s="2148"/>
      <c r="K77" s="2151">
        <f t="shared" si="41"/>
        <v>0</v>
      </c>
      <c r="L77" s="2148"/>
      <c r="M77" s="2150"/>
      <c r="N77" s="2152"/>
      <c r="O77" s="2148"/>
      <c r="P77" s="2151">
        <f t="shared" si="69"/>
        <v>0</v>
      </c>
      <c r="Q77" s="2148"/>
      <c r="R77" s="2150"/>
      <c r="S77" s="2152"/>
      <c r="T77" s="2153"/>
      <c r="U77" s="2154">
        <f t="shared" si="0"/>
        <v>0</v>
      </c>
      <c r="V77" s="2155"/>
      <c r="W77" s="2150"/>
      <c r="X77" s="2152"/>
      <c r="Y77" s="2153"/>
      <c r="Z77" s="1572">
        <f t="shared" si="1"/>
        <v>0</v>
      </c>
      <c r="AA77" s="2168">
        <f t="shared" si="42"/>
        <v>0</v>
      </c>
      <c r="AB77" s="2156" t="str">
        <f t="shared" si="2"/>
        <v/>
      </c>
      <c r="AC77" s="1663"/>
      <c r="AD77" s="2158" t="str">
        <f t="shared" si="43"/>
        <v/>
      </c>
      <c r="AE77" s="2159">
        <f t="shared" si="44"/>
        <v>0</v>
      </c>
      <c r="AF77" s="2159">
        <f t="shared" si="45"/>
        <v>0</v>
      </c>
      <c r="AG77" s="2159">
        <f t="shared" si="46"/>
        <v>0</v>
      </c>
      <c r="AH77" s="2159">
        <f t="shared" si="47"/>
        <v>0</v>
      </c>
      <c r="AI77" s="2160">
        <f t="shared" si="3"/>
        <v>0</v>
      </c>
      <c r="AJ77" s="1966">
        <f t="shared" si="48"/>
        <v>1</v>
      </c>
      <c r="AK77" s="2159">
        <f t="shared" si="49"/>
        <v>0</v>
      </c>
      <c r="AL77" s="368" t="e">
        <f t="shared" si="50"/>
        <v>#DIV/0!</v>
      </c>
      <c r="AM77" s="264"/>
      <c r="AN77" s="369">
        <f t="shared" si="51"/>
        <v>0</v>
      </c>
      <c r="AO77" s="1966">
        <f t="shared" si="19"/>
        <v>0</v>
      </c>
      <c r="AP77" s="1966">
        <f t="shared" si="20"/>
        <v>0</v>
      </c>
      <c r="AQ77" s="1966">
        <f t="shared" si="21"/>
        <v>0</v>
      </c>
      <c r="AR77" s="370">
        <f t="shared" si="52"/>
        <v>0</v>
      </c>
      <c r="AT77" s="371">
        <f t="shared" si="4"/>
        <v>0</v>
      </c>
      <c r="AU77" s="1966">
        <f t="shared" si="53"/>
        <v>0</v>
      </c>
      <c r="AV77" s="2161">
        <f t="shared" si="54"/>
        <v>0</v>
      </c>
      <c r="AW77" s="2161">
        <f t="shared" si="55"/>
        <v>0</v>
      </c>
      <c r="AX77" s="1966">
        <f t="shared" si="5"/>
        <v>0</v>
      </c>
      <c r="AY77" s="372">
        <f t="shared" si="6"/>
        <v>0</v>
      </c>
      <c r="AZ77" s="265"/>
      <c r="BA77" s="371">
        <f t="shared" si="56"/>
        <v>0</v>
      </c>
      <c r="BB77" s="1966">
        <f t="shared" si="57"/>
        <v>0</v>
      </c>
      <c r="BC77" s="1966">
        <f t="shared" si="58"/>
        <v>0</v>
      </c>
      <c r="BD77" s="1966">
        <f t="shared" si="59"/>
        <v>0</v>
      </c>
      <c r="BE77" s="372">
        <f t="shared" si="60"/>
        <v>0</v>
      </c>
      <c r="BG77" s="2159">
        <f t="shared" si="61"/>
        <v>46023</v>
      </c>
      <c r="BH77" s="2159">
        <f t="shared" si="62"/>
        <v>46023</v>
      </c>
      <c r="BI77" s="2159">
        <f t="shared" si="63"/>
        <v>46023</v>
      </c>
      <c r="BJ77" s="2159">
        <f t="shared" si="64"/>
        <v>0</v>
      </c>
      <c r="BL77" s="369">
        <f t="shared" si="65"/>
        <v>0</v>
      </c>
      <c r="BM77" s="2159">
        <f t="shared" si="66"/>
        <v>0</v>
      </c>
      <c r="BN77" s="2159">
        <f t="shared" si="67"/>
        <v>0</v>
      </c>
      <c r="BO77" s="373">
        <f t="shared" si="68"/>
        <v>0</v>
      </c>
      <c r="BT77" s="2054"/>
      <c r="CF77" s="2054"/>
    </row>
    <row r="78" spans="1:84" ht="45.75" customHeight="1">
      <c r="A78" s="2163"/>
      <c r="B78" s="2146"/>
      <c r="C78" s="2146"/>
      <c r="D78" s="2164"/>
      <c r="E78" s="1573"/>
      <c r="F78" s="2148"/>
      <c r="G78" s="2149" t="str">
        <f t="shared" si="40"/>
        <v/>
      </c>
      <c r="H78" s="2148"/>
      <c r="I78" s="2150"/>
      <c r="J78" s="2148"/>
      <c r="K78" s="2151">
        <f t="shared" si="41"/>
        <v>0</v>
      </c>
      <c r="L78" s="2148"/>
      <c r="M78" s="2150"/>
      <c r="N78" s="2152"/>
      <c r="O78" s="2148"/>
      <c r="P78" s="2151">
        <f t="shared" si="69"/>
        <v>0</v>
      </c>
      <c r="Q78" s="2148"/>
      <c r="R78" s="2150"/>
      <c r="S78" s="2152"/>
      <c r="T78" s="2153"/>
      <c r="U78" s="2154">
        <f t="shared" si="0"/>
        <v>0</v>
      </c>
      <c r="V78" s="2155"/>
      <c r="W78" s="2150"/>
      <c r="X78" s="2152"/>
      <c r="Y78" s="2153"/>
      <c r="Z78" s="1572">
        <f t="shared" si="1"/>
        <v>0</v>
      </c>
      <c r="AA78" s="2168">
        <f t="shared" si="42"/>
        <v>0</v>
      </c>
      <c r="AB78" s="2156" t="str">
        <f t="shared" si="2"/>
        <v/>
      </c>
      <c r="AC78" s="1663"/>
      <c r="AD78" s="2158" t="str">
        <f t="shared" si="43"/>
        <v/>
      </c>
      <c r="AE78" s="2159">
        <f t="shared" si="44"/>
        <v>0</v>
      </c>
      <c r="AF78" s="2159">
        <f t="shared" si="45"/>
        <v>0</v>
      </c>
      <c r="AG78" s="2159">
        <f t="shared" si="46"/>
        <v>0</v>
      </c>
      <c r="AH78" s="2159">
        <f t="shared" si="47"/>
        <v>0</v>
      </c>
      <c r="AI78" s="2160">
        <f t="shared" si="3"/>
        <v>0</v>
      </c>
      <c r="AJ78" s="1966">
        <f t="shared" si="48"/>
        <v>1</v>
      </c>
      <c r="AK78" s="2159">
        <f t="shared" si="49"/>
        <v>0</v>
      </c>
      <c r="AL78" s="368" t="e">
        <f t="shared" si="50"/>
        <v>#DIV/0!</v>
      </c>
      <c r="AM78" s="264"/>
      <c r="AN78" s="369">
        <f t="shared" si="51"/>
        <v>0</v>
      </c>
      <c r="AO78" s="1966">
        <f t="shared" si="19"/>
        <v>0</v>
      </c>
      <c r="AP78" s="1966">
        <f t="shared" si="20"/>
        <v>0</v>
      </c>
      <c r="AQ78" s="1966">
        <f t="shared" si="21"/>
        <v>0</v>
      </c>
      <c r="AR78" s="370">
        <f t="shared" si="52"/>
        <v>0</v>
      </c>
      <c r="AT78" s="371">
        <f t="shared" si="4"/>
        <v>0</v>
      </c>
      <c r="AU78" s="1966">
        <f t="shared" si="53"/>
        <v>0</v>
      </c>
      <c r="AV78" s="2161">
        <f t="shared" si="54"/>
        <v>0</v>
      </c>
      <c r="AW78" s="2161">
        <f t="shared" si="55"/>
        <v>0</v>
      </c>
      <c r="AX78" s="1966">
        <f t="shared" si="5"/>
        <v>0</v>
      </c>
      <c r="AY78" s="372">
        <f t="shared" si="6"/>
        <v>0</v>
      </c>
      <c r="AZ78" s="265"/>
      <c r="BA78" s="371">
        <f t="shared" si="56"/>
        <v>0</v>
      </c>
      <c r="BB78" s="1966">
        <f t="shared" si="57"/>
        <v>0</v>
      </c>
      <c r="BC78" s="1966">
        <f t="shared" si="58"/>
        <v>0</v>
      </c>
      <c r="BD78" s="1966">
        <f t="shared" si="59"/>
        <v>0</v>
      </c>
      <c r="BE78" s="372">
        <f t="shared" si="60"/>
        <v>0</v>
      </c>
      <c r="BG78" s="2159">
        <f t="shared" si="61"/>
        <v>46023</v>
      </c>
      <c r="BH78" s="2159">
        <f t="shared" si="62"/>
        <v>46023</v>
      </c>
      <c r="BI78" s="2159">
        <f t="shared" si="63"/>
        <v>46023</v>
      </c>
      <c r="BJ78" s="2159">
        <f t="shared" si="64"/>
        <v>0</v>
      </c>
      <c r="BL78" s="369">
        <f t="shared" si="65"/>
        <v>0</v>
      </c>
      <c r="BM78" s="2159">
        <f t="shared" si="66"/>
        <v>0</v>
      </c>
      <c r="BN78" s="2159">
        <f t="shared" si="67"/>
        <v>0</v>
      </c>
      <c r="BO78" s="373">
        <f t="shared" si="68"/>
        <v>0</v>
      </c>
      <c r="BT78" s="2054"/>
      <c r="CF78" s="2054"/>
    </row>
    <row r="79" spans="1:84" ht="45.75" customHeight="1">
      <c r="A79" s="2163"/>
      <c r="B79" s="2146"/>
      <c r="C79" s="2146"/>
      <c r="D79" s="2164"/>
      <c r="E79" s="1573"/>
      <c r="F79" s="2148"/>
      <c r="G79" s="2149" t="str">
        <f t="shared" si="40"/>
        <v/>
      </c>
      <c r="H79" s="2148"/>
      <c r="I79" s="2150"/>
      <c r="J79" s="2148"/>
      <c r="K79" s="2151">
        <f t="shared" si="41"/>
        <v>0</v>
      </c>
      <c r="L79" s="2148"/>
      <c r="M79" s="2150"/>
      <c r="N79" s="2152"/>
      <c r="O79" s="2148"/>
      <c r="P79" s="2151">
        <f t="shared" si="69"/>
        <v>0</v>
      </c>
      <c r="Q79" s="2148"/>
      <c r="R79" s="2150"/>
      <c r="S79" s="2152"/>
      <c r="T79" s="2153"/>
      <c r="U79" s="2154">
        <f t="shared" si="0"/>
        <v>0</v>
      </c>
      <c r="V79" s="2155"/>
      <c r="W79" s="2150"/>
      <c r="X79" s="2152"/>
      <c r="Y79" s="2153"/>
      <c r="Z79" s="1572">
        <f t="shared" si="1"/>
        <v>0</v>
      </c>
      <c r="AA79" s="2168">
        <f t="shared" si="42"/>
        <v>0</v>
      </c>
      <c r="AB79" s="2156" t="str">
        <f t="shared" si="2"/>
        <v/>
      </c>
      <c r="AC79" s="1663"/>
      <c r="AD79" s="2158" t="str">
        <f t="shared" si="43"/>
        <v/>
      </c>
      <c r="AE79" s="2159">
        <f t="shared" si="44"/>
        <v>0</v>
      </c>
      <c r="AF79" s="2159">
        <f t="shared" si="45"/>
        <v>0</v>
      </c>
      <c r="AG79" s="2159">
        <f t="shared" si="46"/>
        <v>0</v>
      </c>
      <c r="AH79" s="2159">
        <f t="shared" si="47"/>
        <v>0</v>
      </c>
      <c r="AI79" s="2160">
        <f t="shared" si="3"/>
        <v>0</v>
      </c>
      <c r="AJ79" s="1966">
        <f t="shared" si="48"/>
        <v>1</v>
      </c>
      <c r="AK79" s="2159">
        <f t="shared" si="49"/>
        <v>0</v>
      </c>
      <c r="AL79" s="368" t="e">
        <f t="shared" si="50"/>
        <v>#DIV/0!</v>
      </c>
      <c r="AM79" s="264"/>
      <c r="AN79" s="369">
        <f t="shared" si="51"/>
        <v>0</v>
      </c>
      <c r="AO79" s="1966">
        <f t="shared" si="19"/>
        <v>0</v>
      </c>
      <c r="AP79" s="1966">
        <f t="shared" si="20"/>
        <v>0</v>
      </c>
      <c r="AQ79" s="1966">
        <f t="shared" si="21"/>
        <v>0</v>
      </c>
      <c r="AR79" s="370">
        <f t="shared" si="52"/>
        <v>0</v>
      </c>
      <c r="AT79" s="371">
        <f t="shared" si="4"/>
        <v>0</v>
      </c>
      <c r="AU79" s="1966">
        <f t="shared" si="53"/>
        <v>0</v>
      </c>
      <c r="AV79" s="2161">
        <f t="shared" si="54"/>
        <v>0</v>
      </c>
      <c r="AW79" s="2161">
        <f t="shared" si="55"/>
        <v>0</v>
      </c>
      <c r="AX79" s="1966">
        <f t="shared" si="5"/>
        <v>0</v>
      </c>
      <c r="AY79" s="372">
        <f t="shared" si="6"/>
        <v>0</v>
      </c>
      <c r="AZ79" s="265"/>
      <c r="BA79" s="371">
        <f t="shared" si="56"/>
        <v>0</v>
      </c>
      <c r="BB79" s="1966">
        <f t="shared" si="57"/>
        <v>0</v>
      </c>
      <c r="BC79" s="1966">
        <f t="shared" si="58"/>
        <v>0</v>
      </c>
      <c r="BD79" s="1966">
        <f t="shared" si="59"/>
        <v>0</v>
      </c>
      <c r="BE79" s="372">
        <f t="shared" si="60"/>
        <v>0</v>
      </c>
      <c r="BG79" s="2159">
        <f t="shared" si="61"/>
        <v>46023</v>
      </c>
      <c r="BH79" s="2159">
        <f t="shared" si="62"/>
        <v>46023</v>
      </c>
      <c r="BI79" s="2159">
        <f t="shared" si="63"/>
        <v>46023</v>
      </c>
      <c r="BJ79" s="2159">
        <f t="shared" si="64"/>
        <v>0</v>
      </c>
      <c r="BL79" s="369">
        <f t="shared" si="65"/>
        <v>0</v>
      </c>
      <c r="BM79" s="2159">
        <f t="shared" si="66"/>
        <v>0</v>
      </c>
      <c r="BN79" s="2159">
        <f t="shared" si="67"/>
        <v>0</v>
      </c>
      <c r="BO79" s="373">
        <f t="shared" si="68"/>
        <v>0</v>
      </c>
      <c r="BT79" s="2054"/>
      <c r="CF79" s="2054"/>
    </row>
    <row r="80" spans="1:84" ht="45.75" customHeight="1">
      <c r="A80" s="2163"/>
      <c r="B80" s="2146"/>
      <c r="C80" s="2146"/>
      <c r="D80" s="2164"/>
      <c r="E80" s="1573"/>
      <c r="F80" s="2148"/>
      <c r="G80" s="2149" t="str">
        <f t="shared" si="40"/>
        <v/>
      </c>
      <c r="H80" s="2148"/>
      <c r="I80" s="2150"/>
      <c r="J80" s="2148"/>
      <c r="K80" s="2151">
        <f t="shared" si="41"/>
        <v>0</v>
      </c>
      <c r="L80" s="2148"/>
      <c r="M80" s="2150"/>
      <c r="N80" s="2152"/>
      <c r="O80" s="2148"/>
      <c r="P80" s="2151">
        <f t="shared" si="69"/>
        <v>0</v>
      </c>
      <c r="Q80" s="2148"/>
      <c r="R80" s="2150"/>
      <c r="S80" s="2152"/>
      <c r="T80" s="2153"/>
      <c r="U80" s="2154">
        <f t="shared" si="0"/>
        <v>0</v>
      </c>
      <c r="V80" s="2155"/>
      <c r="W80" s="2150"/>
      <c r="X80" s="2152"/>
      <c r="Y80" s="2153"/>
      <c r="Z80" s="1572">
        <f t="shared" si="1"/>
        <v>0</v>
      </c>
      <c r="AA80" s="2168">
        <f t="shared" si="42"/>
        <v>0</v>
      </c>
      <c r="AB80" s="2156" t="str">
        <f t="shared" si="2"/>
        <v/>
      </c>
      <c r="AC80" s="1663"/>
      <c r="AD80" s="2158" t="str">
        <f t="shared" si="43"/>
        <v/>
      </c>
      <c r="AE80" s="2159">
        <f t="shared" si="44"/>
        <v>0</v>
      </c>
      <c r="AF80" s="2159">
        <f t="shared" si="45"/>
        <v>0</v>
      </c>
      <c r="AG80" s="2159">
        <f t="shared" si="46"/>
        <v>0</v>
      </c>
      <c r="AH80" s="2159">
        <f t="shared" si="47"/>
        <v>0</v>
      </c>
      <c r="AI80" s="2160">
        <f t="shared" si="3"/>
        <v>0</v>
      </c>
      <c r="AJ80" s="1966">
        <f t="shared" si="48"/>
        <v>1</v>
      </c>
      <c r="AK80" s="2159">
        <f t="shared" si="49"/>
        <v>0</v>
      </c>
      <c r="AL80" s="368" t="e">
        <f t="shared" si="50"/>
        <v>#DIV/0!</v>
      </c>
      <c r="AM80" s="264"/>
      <c r="AN80" s="369">
        <f t="shared" si="51"/>
        <v>0</v>
      </c>
      <c r="AO80" s="1966">
        <f t="shared" si="19"/>
        <v>0</v>
      </c>
      <c r="AP80" s="1966">
        <f t="shared" si="20"/>
        <v>0</v>
      </c>
      <c r="AQ80" s="1966">
        <f t="shared" si="21"/>
        <v>0</v>
      </c>
      <c r="AR80" s="370">
        <f t="shared" si="52"/>
        <v>0</v>
      </c>
      <c r="AT80" s="371">
        <f t="shared" si="4"/>
        <v>0</v>
      </c>
      <c r="AU80" s="1966">
        <f t="shared" si="53"/>
        <v>0</v>
      </c>
      <c r="AV80" s="2161">
        <f t="shared" si="54"/>
        <v>0</v>
      </c>
      <c r="AW80" s="2161">
        <f t="shared" si="55"/>
        <v>0</v>
      </c>
      <c r="AX80" s="1966">
        <f t="shared" si="5"/>
        <v>0</v>
      </c>
      <c r="AY80" s="372">
        <f t="shared" si="6"/>
        <v>0</v>
      </c>
      <c r="AZ80" s="265"/>
      <c r="BA80" s="371">
        <f t="shared" si="56"/>
        <v>0</v>
      </c>
      <c r="BB80" s="1966">
        <f t="shared" si="57"/>
        <v>0</v>
      </c>
      <c r="BC80" s="1966">
        <f t="shared" si="58"/>
        <v>0</v>
      </c>
      <c r="BD80" s="1966">
        <f t="shared" si="59"/>
        <v>0</v>
      </c>
      <c r="BE80" s="372">
        <f t="shared" si="60"/>
        <v>0</v>
      </c>
      <c r="BG80" s="2159">
        <f t="shared" si="61"/>
        <v>46023</v>
      </c>
      <c r="BH80" s="2159">
        <f t="shared" si="62"/>
        <v>46023</v>
      </c>
      <c r="BI80" s="2159">
        <f t="shared" si="63"/>
        <v>46023</v>
      </c>
      <c r="BJ80" s="2159">
        <f t="shared" si="64"/>
        <v>0</v>
      </c>
      <c r="BL80" s="369">
        <f t="shared" si="65"/>
        <v>0</v>
      </c>
      <c r="BM80" s="2159">
        <f t="shared" si="66"/>
        <v>0</v>
      </c>
      <c r="BN80" s="2159">
        <f t="shared" si="67"/>
        <v>0</v>
      </c>
      <c r="BO80" s="373">
        <f t="shared" si="68"/>
        <v>0</v>
      </c>
      <c r="BT80" s="2054"/>
      <c r="CF80" s="2054"/>
    </row>
    <row r="81" spans="1:84" ht="45.75" customHeight="1">
      <c r="A81" s="2163"/>
      <c r="B81" s="2146"/>
      <c r="C81" s="2146"/>
      <c r="D81" s="2164"/>
      <c r="E81" s="1573"/>
      <c r="F81" s="2148"/>
      <c r="G81" s="2149" t="str">
        <f t="shared" si="40"/>
        <v/>
      </c>
      <c r="H81" s="2148"/>
      <c r="I81" s="2150"/>
      <c r="J81" s="2148"/>
      <c r="K81" s="2151">
        <f t="shared" si="41"/>
        <v>0</v>
      </c>
      <c r="L81" s="2148"/>
      <c r="M81" s="2150"/>
      <c r="N81" s="2152"/>
      <c r="O81" s="2148"/>
      <c r="P81" s="2151">
        <f t="shared" si="69"/>
        <v>0</v>
      </c>
      <c r="Q81" s="2148"/>
      <c r="R81" s="2150"/>
      <c r="S81" s="2152"/>
      <c r="T81" s="2153"/>
      <c r="U81" s="2154">
        <f t="shared" si="0"/>
        <v>0</v>
      </c>
      <c r="V81" s="2155"/>
      <c r="W81" s="2150"/>
      <c r="X81" s="2152"/>
      <c r="Y81" s="2153"/>
      <c r="Z81" s="1572">
        <f t="shared" si="1"/>
        <v>0</v>
      </c>
      <c r="AA81" s="2168">
        <f t="shared" si="42"/>
        <v>0</v>
      </c>
      <c r="AB81" s="2156" t="str">
        <f t="shared" si="2"/>
        <v/>
      </c>
      <c r="AC81" s="1663"/>
      <c r="AD81" s="2158" t="str">
        <f t="shared" si="43"/>
        <v/>
      </c>
      <c r="AE81" s="2159">
        <f t="shared" si="44"/>
        <v>0</v>
      </c>
      <c r="AF81" s="2159">
        <f t="shared" si="45"/>
        <v>0</v>
      </c>
      <c r="AG81" s="2159">
        <f t="shared" si="46"/>
        <v>0</v>
      </c>
      <c r="AH81" s="2159">
        <f t="shared" si="47"/>
        <v>0</v>
      </c>
      <c r="AI81" s="2160">
        <f t="shared" si="3"/>
        <v>0</v>
      </c>
      <c r="AJ81" s="1966">
        <f t="shared" si="48"/>
        <v>1</v>
      </c>
      <c r="AK81" s="2159">
        <f t="shared" si="49"/>
        <v>0</v>
      </c>
      <c r="AL81" s="368" t="e">
        <f t="shared" si="50"/>
        <v>#DIV/0!</v>
      </c>
      <c r="AM81" s="264"/>
      <c r="AN81" s="369">
        <f t="shared" si="51"/>
        <v>0</v>
      </c>
      <c r="AO81" s="1966">
        <f t="shared" si="19"/>
        <v>0</v>
      </c>
      <c r="AP81" s="1966">
        <f t="shared" si="20"/>
        <v>0</v>
      </c>
      <c r="AQ81" s="1966">
        <f t="shared" si="21"/>
        <v>0</v>
      </c>
      <c r="AR81" s="370">
        <f t="shared" si="52"/>
        <v>0</v>
      </c>
      <c r="AT81" s="371">
        <f t="shared" si="4"/>
        <v>0</v>
      </c>
      <c r="AU81" s="1966">
        <f t="shared" si="53"/>
        <v>0</v>
      </c>
      <c r="AV81" s="2161">
        <f t="shared" si="54"/>
        <v>0</v>
      </c>
      <c r="AW81" s="2161">
        <f t="shared" si="55"/>
        <v>0</v>
      </c>
      <c r="AX81" s="1966">
        <f t="shared" si="5"/>
        <v>0</v>
      </c>
      <c r="AY81" s="372">
        <f t="shared" si="6"/>
        <v>0</v>
      </c>
      <c r="AZ81" s="265"/>
      <c r="BA81" s="371">
        <f t="shared" si="56"/>
        <v>0</v>
      </c>
      <c r="BB81" s="1966">
        <f t="shared" si="57"/>
        <v>0</v>
      </c>
      <c r="BC81" s="1966">
        <f t="shared" si="58"/>
        <v>0</v>
      </c>
      <c r="BD81" s="1966">
        <f t="shared" si="59"/>
        <v>0</v>
      </c>
      <c r="BE81" s="372">
        <f t="shared" si="60"/>
        <v>0</v>
      </c>
      <c r="BG81" s="2159">
        <f t="shared" si="61"/>
        <v>46023</v>
      </c>
      <c r="BH81" s="2159">
        <f t="shared" si="62"/>
        <v>46023</v>
      </c>
      <c r="BI81" s="2159">
        <f t="shared" si="63"/>
        <v>46023</v>
      </c>
      <c r="BJ81" s="2159">
        <f t="shared" si="64"/>
        <v>0</v>
      </c>
      <c r="BL81" s="369">
        <f t="shared" si="65"/>
        <v>0</v>
      </c>
      <c r="BM81" s="2159">
        <f t="shared" si="66"/>
        <v>0</v>
      </c>
      <c r="BN81" s="2159">
        <f t="shared" si="67"/>
        <v>0</v>
      </c>
      <c r="BO81" s="373">
        <f t="shared" si="68"/>
        <v>0</v>
      </c>
      <c r="BT81" s="2054"/>
      <c r="CF81" s="2054"/>
    </row>
    <row r="82" spans="1:84" ht="45.75" customHeight="1">
      <c r="A82" s="2163"/>
      <c r="B82" s="2146"/>
      <c r="C82" s="2146"/>
      <c r="D82" s="2164"/>
      <c r="E82" s="1573"/>
      <c r="F82" s="2148"/>
      <c r="G82" s="2149" t="str">
        <f t="shared" si="40"/>
        <v/>
      </c>
      <c r="H82" s="2148"/>
      <c r="I82" s="2150"/>
      <c r="J82" s="2148"/>
      <c r="K82" s="2151">
        <f t="shared" si="41"/>
        <v>0</v>
      </c>
      <c r="L82" s="2148"/>
      <c r="M82" s="2150"/>
      <c r="N82" s="2152"/>
      <c r="O82" s="2148"/>
      <c r="P82" s="2151">
        <f t="shared" si="69"/>
        <v>0</v>
      </c>
      <c r="Q82" s="2148"/>
      <c r="R82" s="2150"/>
      <c r="S82" s="2152"/>
      <c r="T82" s="2153"/>
      <c r="U82" s="2154">
        <f t="shared" si="0"/>
        <v>0</v>
      </c>
      <c r="V82" s="2155"/>
      <c r="W82" s="2150"/>
      <c r="X82" s="2152"/>
      <c r="Y82" s="2153"/>
      <c r="Z82" s="1572">
        <f t="shared" si="1"/>
        <v>0</v>
      </c>
      <c r="AA82" s="2168">
        <f t="shared" si="42"/>
        <v>0</v>
      </c>
      <c r="AB82" s="2156" t="str">
        <f t="shared" si="2"/>
        <v/>
      </c>
      <c r="AC82" s="1663"/>
      <c r="AD82" s="2158" t="str">
        <f t="shared" si="43"/>
        <v/>
      </c>
      <c r="AE82" s="2159">
        <f t="shared" si="44"/>
        <v>0</v>
      </c>
      <c r="AF82" s="2159">
        <f t="shared" si="45"/>
        <v>0</v>
      </c>
      <c r="AG82" s="2159">
        <f t="shared" si="46"/>
        <v>0</v>
      </c>
      <c r="AH82" s="2159">
        <f t="shared" si="47"/>
        <v>0</v>
      </c>
      <c r="AI82" s="2160">
        <f t="shared" si="3"/>
        <v>0</v>
      </c>
      <c r="AJ82" s="1966">
        <f t="shared" si="48"/>
        <v>1</v>
      </c>
      <c r="AK82" s="2159">
        <f t="shared" si="49"/>
        <v>0</v>
      </c>
      <c r="AL82" s="368" t="e">
        <f t="shared" si="50"/>
        <v>#DIV/0!</v>
      </c>
      <c r="AM82" s="264"/>
      <c r="AN82" s="369">
        <f t="shared" si="51"/>
        <v>0</v>
      </c>
      <c r="AO82" s="1966">
        <f t="shared" si="19"/>
        <v>0</v>
      </c>
      <c r="AP82" s="1966">
        <f t="shared" si="20"/>
        <v>0</v>
      </c>
      <c r="AQ82" s="1966">
        <f t="shared" si="21"/>
        <v>0</v>
      </c>
      <c r="AR82" s="370">
        <f t="shared" si="52"/>
        <v>0</v>
      </c>
      <c r="AT82" s="371">
        <f t="shared" si="4"/>
        <v>0</v>
      </c>
      <c r="AU82" s="1966">
        <f t="shared" si="53"/>
        <v>0</v>
      </c>
      <c r="AV82" s="2161">
        <f t="shared" si="54"/>
        <v>0</v>
      </c>
      <c r="AW82" s="2161">
        <f t="shared" si="55"/>
        <v>0</v>
      </c>
      <c r="AX82" s="1966">
        <f t="shared" si="5"/>
        <v>0</v>
      </c>
      <c r="AY82" s="372">
        <f t="shared" si="6"/>
        <v>0</v>
      </c>
      <c r="AZ82" s="265"/>
      <c r="BA82" s="371">
        <f t="shared" si="56"/>
        <v>0</v>
      </c>
      <c r="BB82" s="1966">
        <f t="shared" si="57"/>
        <v>0</v>
      </c>
      <c r="BC82" s="1966">
        <f t="shared" si="58"/>
        <v>0</v>
      </c>
      <c r="BD82" s="1966">
        <f t="shared" si="59"/>
        <v>0</v>
      </c>
      <c r="BE82" s="372">
        <f t="shared" si="60"/>
        <v>0</v>
      </c>
      <c r="BG82" s="2159">
        <f t="shared" si="61"/>
        <v>46023</v>
      </c>
      <c r="BH82" s="2159">
        <f t="shared" si="62"/>
        <v>46023</v>
      </c>
      <c r="BI82" s="2159">
        <f t="shared" si="63"/>
        <v>46023</v>
      </c>
      <c r="BJ82" s="2159">
        <f t="shared" si="64"/>
        <v>0</v>
      </c>
      <c r="BL82" s="369">
        <f t="shared" si="65"/>
        <v>0</v>
      </c>
      <c r="BM82" s="2159">
        <f t="shared" si="66"/>
        <v>0</v>
      </c>
      <c r="BN82" s="2159">
        <f t="shared" si="67"/>
        <v>0</v>
      </c>
      <c r="BO82" s="373">
        <f t="shared" si="68"/>
        <v>0</v>
      </c>
      <c r="BT82" s="2054"/>
      <c r="CF82" s="2054"/>
    </row>
    <row r="83" spans="1:84" ht="45.75" customHeight="1">
      <c r="A83" s="2163"/>
      <c r="B83" s="2146"/>
      <c r="C83" s="2146"/>
      <c r="D83" s="2164"/>
      <c r="E83" s="1573"/>
      <c r="F83" s="2148"/>
      <c r="G83" s="2149" t="str">
        <f t="shared" si="40"/>
        <v/>
      </c>
      <c r="H83" s="2148"/>
      <c r="I83" s="2150"/>
      <c r="J83" s="2148"/>
      <c r="K83" s="2151">
        <f t="shared" si="41"/>
        <v>0</v>
      </c>
      <c r="L83" s="2148"/>
      <c r="M83" s="2150"/>
      <c r="N83" s="2152"/>
      <c r="O83" s="2148"/>
      <c r="P83" s="2151">
        <f t="shared" si="69"/>
        <v>0</v>
      </c>
      <c r="Q83" s="2148"/>
      <c r="R83" s="2150"/>
      <c r="S83" s="2152"/>
      <c r="T83" s="2153"/>
      <c r="U83" s="2154">
        <f t="shared" si="0"/>
        <v>0</v>
      </c>
      <c r="V83" s="2155"/>
      <c r="W83" s="2150"/>
      <c r="X83" s="2152"/>
      <c r="Y83" s="2153"/>
      <c r="Z83" s="1572">
        <f t="shared" si="1"/>
        <v>0</v>
      </c>
      <c r="AA83" s="2168">
        <f t="shared" si="42"/>
        <v>0</v>
      </c>
      <c r="AB83" s="2156" t="str">
        <f t="shared" si="2"/>
        <v/>
      </c>
      <c r="AC83" s="1663"/>
      <c r="AD83" s="2158" t="str">
        <f t="shared" si="43"/>
        <v/>
      </c>
      <c r="AE83" s="2159">
        <f t="shared" si="44"/>
        <v>0</v>
      </c>
      <c r="AF83" s="2159">
        <f t="shared" si="45"/>
        <v>0</v>
      </c>
      <c r="AG83" s="2159">
        <f t="shared" si="46"/>
        <v>0</v>
      </c>
      <c r="AH83" s="2159">
        <f t="shared" si="47"/>
        <v>0</v>
      </c>
      <c r="AI83" s="2160">
        <f t="shared" si="3"/>
        <v>0</v>
      </c>
      <c r="AJ83" s="1966">
        <f t="shared" si="48"/>
        <v>1</v>
      </c>
      <c r="AK83" s="2159">
        <f t="shared" si="49"/>
        <v>0</v>
      </c>
      <c r="AL83" s="368" t="e">
        <f t="shared" si="50"/>
        <v>#DIV/0!</v>
      </c>
      <c r="AM83" s="264"/>
      <c r="AN83" s="369">
        <f t="shared" si="51"/>
        <v>0</v>
      </c>
      <c r="AO83" s="1966">
        <f t="shared" si="19"/>
        <v>0</v>
      </c>
      <c r="AP83" s="1966">
        <f t="shared" si="20"/>
        <v>0</v>
      </c>
      <c r="AQ83" s="1966">
        <f t="shared" si="21"/>
        <v>0</v>
      </c>
      <c r="AR83" s="370">
        <f t="shared" si="52"/>
        <v>0</v>
      </c>
      <c r="AT83" s="371">
        <f t="shared" si="4"/>
        <v>0</v>
      </c>
      <c r="AU83" s="1966">
        <f t="shared" si="53"/>
        <v>0</v>
      </c>
      <c r="AV83" s="2161">
        <f t="shared" si="54"/>
        <v>0</v>
      </c>
      <c r="AW83" s="2161">
        <f t="shared" si="55"/>
        <v>0</v>
      </c>
      <c r="AX83" s="1966">
        <f t="shared" si="5"/>
        <v>0</v>
      </c>
      <c r="AY83" s="372">
        <f t="shared" si="6"/>
        <v>0</v>
      </c>
      <c r="AZ83" s="265"/>
      <c r="BA83" s="371">
        <f t="shared" si="56"/>
        <v>0</v>
      </c>
      <c r="BB83" s="1966">
        <f t="shared" si="57"/>
        <v>0</v>
      </c>
      <c r="BC83" s="1966">
        <f t="shared" si="58"/>
        <v>0</v>
      </c>
      <c r="BD83" s="1966">
        <f t="shared" si="59"/>
        <v>0</v>
      </c>
      <c r="BE83" s="372">
        <f t="shared" si="60"/>
        <v>0</v>
      </c>
      <c r="BG83" s="2159">
        <f t="shared" si="61"/>
        <v>46023</v>
      </c>
      <c r="BH83" s="2159">
        <f t="shared" si="62"/>
        <v>46023</v>
      </c>
      <c r="BI83" s="2159">
        <f t="shared" si="63"/>
        <v>46023</v>
      </c>
      <c r="BJ83" s="2159">
        <f t="shared" si="64"/>
        <v>0</v>
      </c>
      <c r="BL83" s="369">
        <f t="shared" si="65"/>
        <v>0</v>
      </c>
      <c r="BM83" s="2159">
        <f t="shared" si="66"/>
        <v>0</v>
      </c>
      <c r="BN83" s="2159">
        <f t="shared" si="67"/>
        <v>0</v>
      </c>
      <c r="BO83" s="373">
        <f t="shared" si="68"/>
        <v>0</v>
      </c>
      <c r="BT83" s="2054"/>
      <c r="CF83" s="2054"/>
    </row>
    <row r="84" spans="1:84" ht="45.75" customHeight="1">
      <c r="A84" s="2163"/>
      <c r="B84" s="2146"/>
      <c r="C84" s="2146"/>
      <c r="D84" s="2164"/>
      <c r="E84" s="1573"/>
      <c r="F84" s="2148"/>
      <c r="G84" s="2149" t="str">
        <f t="shared" si="40"/>
        <v/>
      </c>
      <c r="H84" s="2148"/>
      <c r="I84" s="2150"/>
      <c r="J84" s="2148"/>
      <c r="K84" s="2151">
        <f t="shared" si="41"/>
        <v>0</v>
      </c>
      <c r="L84" s="2148"/>
      <c r="M84" s="2150"/>
      <c r="N84" s="2152"/>
      <c r="O84" s="2148"/>
      <c r="P84" s="2151">
        <f t="shared" si="69"/>
        <v>0</v>
      </c>
      <c r="Q84" s="2148"/>
      <c r="R84" s="2150"/>
      <c r="S84" s="2152"/>
      <c r="T84" s="2153"/>
      <c r="U84" s="2154">
        <f t="shared" si="0"/>
        <v>0</v>
      </c>
      <c r="V84" s="2155"/>
      <c r="W84" s="2150"/>
      <c r="X84" s="2152"/>
      <c r="Y84" s="2153"/>
      <c r="Z84" s="1572">
        <f t="shared" si="1"/>
        <v>0</v>
      </c>
      <c r="AA84" s="2168">
        <f t="shared" si="42"/>
        <v>0</v>
      </c>
      <c r="AB84" s="2156" t="str">
        <f t="shared" si="2"/>
        <v/>
      </c>
      <c r="AC84" s="1663"/>
      <c r="AD84" s="2158" t="str">
        <f t="shared" si="43"/>
        <v/>
      </c>
      <c r="AE84" s="2159">
        <f t="shared" si="44"/>
        <v>0</v>
      </c>
      <c r="AF84" s="2159">
        <f t="shared" si="45"/>
        <v>0</v>
      </c>
      <c r="AG84" s="2159">
        <f t="shared" si="46"/>
        <v>0</v>
      </c>
      <c r="AH84" s="2159">
        <f t="shared" si="47"/>
        <v>0</v>
      </c>
      <c r="AI84" s="2160">
        <f t="shared" si="3"/>
        <v>0</v>
      </c>
      <c r="AJ84" s="1966">
        <f t="shared" si="48"/>
        <v>1</v>
      </c>
      <c r="AK84" s="2159">
        <f t="shared" si="49"/>
        <v>0</v>
      </c>
      <c r="AL84" s="368" t="e">
        <f t="shared" si="50"/>
        <v>#DIV/0!</v>
      </c>
      <c r="AM84" s="264"/>
      <c r="AN84" s="369">
        <f t="shared" si="51"/>
        <v>0</v>
      </c>
      <c r="AO84" s="1966">
        <f t="shared" si="19"/>
        <v>0</v>
      </c>
      <c r="AP84" s="1966">
        <f t="shared" si="20"/>
        <v>0</v>
      </c>
      <c r="AQ84" s="1966">
        <f t="shared" si="21"/>
        <v>0</v>
      </c>
      <c r="AR84" s="370">
        <f t="shared" si="52"/>
        <v>0</v>
      </c>
      <c r="AT84" s="371">
        <f t="shared" si="4"/>
        <v>0</v>
      </c>
      <c r="AU84" s="1966">
        <f t="shared" si="53"/>
        <v>0</v>
      </c>
      <c r="AV84" s="2161">
        <f t="shared" si="54"/>
        <v>0</v>
      </c>
      <c r="AW84" s="2161">
        <f t="shared" si="55"/>
        <v>0</v>
      </c>
      <c r="AX84" s="1966">
        <f t="shared" si="5"/>
        <v>0</v>
      </c>
      <c r="AY84" s="372">
        <f t="shared" si="6"/>
        <v>0</v>
      </c>
      <c r="AZ84" s="265"/>
      <c r="BA84" s="371">
        <f t="shared" si="56"/>
        <v>0</v>
      </c>
      <c r="BB84" s="1966">
        <f t="shared" si="57"/>
        <v>0</v>
      </c>
      <c r="BC84" s="1966">
        <f t="shared" si="58"/>
        <v>0</v>
      </c>
      <c r="BD84" s="1966">
        <f t="shared" si="59"/>
        <v>0</v>
      </c>
      <c r="BE84" s="372">
        <f t="shared" si="60"/>
        <v>0</v>
      </c>
      <c r="BG84" s="2159">
        <f t="shared" si="61"/>
        <v>46023</v>
      </c>
      <c r="BH84" s="2159">
        <f t="shared" si="62"/>
        <v>46023</v>
      </c>
      <c r="BI84" s="2159">
        <f t="shared" si="63"/>
        <v>46023</v>
      </c>
      <c r="BJ84" s="2159">
        <f t="shared" si="64"/>
        <v>0</v>
      </c>
      <c r="BL84" s="369">
        <f t="shared" si="65"/>
        <v>0</v>
      </c>
      <c r="BM84" s="2159">
        <f t="shared" si="66"/>
        <v>0</v>
      </c>
      <c r="BN84" s="2159">
        <f t="shared" si="67"/>
        <v>0</v>
      </c>
      <c r="BO84" s="373">
        <f t="shared" si="68"/>
        <v>0</v>
      </c>
      <c r="BT84" s="2054"/>
      <c r="CF84" s="2054"/>
    </row>
    <row r="85" spans="1:84" ht="45.75" customHeight="1">
      <c r="A85" s="2163"/>
      <c r="B85" s="2146"/>
      <c r="C85" s="2146"/>
      <c r="D85" s="2164"/>
      <c r="E85" s="1573"/>
      <c r="F85" s="2148"/>
      <c r="G85" s="2149" t="str">
        <f t="shared" si="40"/>
        <v/>
      </c>
      <c r="H85" s="2148"/>
      <c r="I85" s="2150"/>
      <c r="J85" s="2148"/>
      <c r="K85" s="2151">
        <f t="shared" si="41"/>
        <v>0</v>
      </c>
      <c r="L85" s="2148"/>
      <c r="M85" s="2150"/>
      <c r="N85" s="2152"/>
      <c r="O85" s="2148"/>
      <c r="P85" s="2151">
        <f t="shared" si="69"/>
        <v>0</v>
      </c>
      <c r="Q85" s="2148"/>
      <c r="R85" s="2150"/>
      <c r="S85" s="2152"/>
      <c r="T85" s="2153"/>
      <c r="U85" s="2154">
        <f t="shared" si="0"/>
        <v>0</v>
      </c>
      <c r="V85" s="2155"/>
      <c r="W85" s="2150"/>
      <c r="X85" s="2152"/>
      <c r="Y85" s="2153"/>
      <c r="Z85" s="1572">
        <f t="shared" si="1"/>
        <v>0</v>
      </c>
      <c r="AA85" s="2168">
        <f t="shared" si="42"/>
        <v>0</v>
      </c>
      <c r="AB85" s="2156" t="str">
        <f t="shared" si="2"/>
        <v/>
      </c>
      <c r="AC85" s="1663"/>
      <c r="AD85" s="2158" t="str">
        <f t="shared" si="43"/>
        <v/>
      </c>
      <c r="AE85" s="2159">
        <f t="shared" si="44"/>
        <v>0</v>
      </c>
      <c r="AF85" s="2159">
        <f t="shared" si="45"/>
        <v>0</v>
      </c>
      <c r="AG85" s="2159">
        <f t="shared" si="46"/>
        <v>0</v>
      </c>
      <c r="AH85" s="2159">
        <f t="shared" si="47"/>
        <v>0</v>
      </c>
      <c r="AI85" s="2160">
        <f t="shared" si="3"/>
        <v>0</v>
      </c>
      <c r="AJ85" s="1966">
        <f t="shared" si="48"/>
        <v>1</v>
      </c>
      <c r="AK85" s="2159">
        <f t="shared" si="49"/>
        <v>0</v>
      </c>
      <c r="AL85" s="368" t="e">
        <f t="shared" si="50"/>
        <v>#DIV/0!</v>
      </c>
      <c r="AM85" s="264"/>
      <c r="AN85" s="369">
        <f t="shared" si="51"/>
        <v>0</v>
      </c>
      <c r="AO85" s="1966">
        <f t="shared" si="19"/>
        <v>0</v>
      </c>
      <c r="AP85" s="1966">
        <f t="shared" si="20"/>
        <v>0</v>
      </c>
      <c r="AQ85" s="1966">
        <f t="shared" si="21"/>
        <v>0</v>
      </c>
      <c r="AR85" s="370">
        <f t="shared" si="52"/>
        <v>0</v>
      </c>
      <c r="AT85" s="371">
        <f t="shared" si="4"/>
        <v>0</v>
      </c>
      <c r="AU85" s="1966">
        <f t="shared" si="53"/>
        <v>0</v>
      </c>
      <c r="AV85" s="2161">
        <f t="shared" si="54"/>
        <v>0</v>
      </c>
      <c r="AW85" s="2161">
        <f t="shared" si="55"/>
        <v>0</v>
      </c>
      <c r="AX85" s="1966">
        <f t="shared" si="5"/>
        <v>0</v>
      </c>
      <c r="AY85" s="372">
        <f t="shared" si="6"/>
        <v>0</v>
      </c>
      <c r="AZ85" s="265"/>
      <c r="BA85" s="371">
        <f t="shared" si="56"/>
        <v>0</v>
      </c>
      <c r="BB85" s="1966">
        <f t="shared" si="57"/>
        <v>0</v>
      </c>
      <c r="BC85" s="1966">
        <f t="shared" si="58"/>
        <v>0</v>
      </c>
      <c r="BD85" s="1966">
        <f t="shared" si="59"/>
        <v>0</v>
      </c>
      <c r="BE85" s="372">
        <f t="shared" si="60"/>
        <v>0</v>
      </c>
      <c r="BG85" s="2159">
        <f t="shared" si="61"/>
        <v>46023</v>
      </c>
      <c r="BH85" s="2159">
        <f t="shared" si="62"/>
        <v>46023</v>
      </c>
      <c r="BI85" s="2159">
        <f t="shared" si="63"/>
        <v>46023</v>
      </c>
      <c r="BJ85" s="2159">
        <f t="shared" si="64"/>
        <v>0</v>
      </c>
      <c r="BL85" s="369">
        <f t="shared" si="65"/>
        <v>0</v>
      </c>
      <c r="BM85" s="2159">
        <f t="shared" si="66"/>
        <v>0</v>
      </c>
      <c r="BN85" s="2159">
        <f t="shared" si="67"/>
        <v>0</v>
      </c>
      <c r="BO85" s="373">
        <f t="shared" si="68"/>
        <v>0</v>
      </c>
      <c r="BT85" s="2054"/>
      <c r="CF85" s="2054"/>
    </row>
    <row r="86" spans="1:84" ht="45.75" customHeight="1">
      <c r="A86" s="2163"/>
      <c r="B86" s="2146"/>
      <c r="C86" s="2146"/>
      <c r="D86" s="2164"/>
      <c r="E86" s="1573"/>
      <c r="F86" s="2148"/>
      <c r="G86" s="2149" t="str">
        <f t="shared" si="40"/>
        <v/>
      </c>
      <c r="H86" s="2148"/>
      <c r="I86" s="2150"/>
      <c r="J86" s="2148"/>
      <c r="K86" s="2151">
        <f t="shared" si="41"/>
        <v>0</v>
      </c>
      <c r="L86" s="2148"/>
      <c r="M86" s="2150"/>
      <c r="N86" s="2152"/>
      <c r="O86" s="2148"/>
      <c r="P86" s="2151">
        <f t="shared" si="69"/>
        <v>0</v>
      </c>
      <c r="Q86" s="2148"/>
      <c r="R86" s="2150"/>
      <c r="S86" s="2152"/>
      <c r="T86" s="2153"/>
      <c r="U86" s="2154">
        <f t="shared" si="0"/>
        <v>0</v>
      </c>
      <c r="V86" s="2155"/>
      <c r="W86" s="2150"/>
      <c r="X86" s="2152"/>
      <c r="Y86" s="2153"/>
      <c r="Z86" s="1572">
        <f t="shared" si="1"/>
        <v>0</v>
      </c>
      <c r="AA86" s="2168">
        <f t="shared" si="42"/>
        <v>0</v>
      </c>
      <c r="AB86" s="2156" t="str">
        <f t="shared" si="2"/>
        <v/>
      </c>
      <c r="AC86" s="1663"/>
      <c r="AD86" s="2158" t="str">
        <f t="shared" si="43"/>
        <v/>
      </c>
      <c r="AE86" s="2159">
        <f t="shared" si="44"/>
        <v>0</v>
      </c>
      <c r="AF86" s="2159">
        <f t="shared" si="45"/>
        <v>0</v>
      </c>
      <c r="AG86" s="2159">
        <f t="shared" si="46"/>
        <v>0</v>
      </c>
      <c r="AH86" s="2159">
        <f t="shared" si="47"/>
        <v>0</v>
      </c>
      <c r="AI86" s="2160">
        <f t="shared" si="3"/>
        <v>0</v>
      </c>
      <c r="AJ86" s="1966">
        <f t="shared" si="48"/>
        <v>1</v>
      </c>
      <c r="AK86" s="2159">
        <f t="shared" si="49"/>
        <v>0</v>
      </c>
      <c r="AL86" s="368" t="e">
        <f t="shared" si="50"/>
        <v>#DIV/0!</v>
      </c>
      <c r="AM86" s="264"/>
      <c r="AN86" s="369">
        <f t="shared" si="51"/>
        <v>0</v>
      </c>
      <c r="AO86" s="1966">
        <f t="shared" si="19"/>
        <v>0</v>
      </c>
      <c r="AP86" s="1966">
        <f t="shared" si="20"/>
        <v>0</v>
      </c>
      <c r="AQ86" s="1966">
        <f t="shared" si="21"/>
        <v>0</v>
      </c>
      <c r="AR86" s="370">
        <f t="shared" si="52"/>
        <v>0</v>
      </c>
      <c r="AT86" s="371">
        <f t="shared" si="4"/>
        <v>0</v>
      </c>
      <c r="AU86" s="1966">
        <f t="shared" si="53"/>
        <v>0</v>
      </c>
      <c r="AV86" s="2161">
        <f t="shared" si="54"/>
        <v>0</v>
      </c>
      <c r="AW86" s="2161">
        <f t="shared" si="55"/>
        <v>0</v>
      </c>
      <c r="AX86" s="1966">
        <f t="shared" si="5"/>
        <v>0</v>
      </c>
      <c r="AY86" s="372">
        <f t="shared" si="6"/>
        <v>0</v>
      </c>
      <c r="AZ86" s="265"/>
      <c r="BA86" s="371">
        <f t="shared" si="56"/>
        <v>0</v>
      </c>
      <c r="BB86" s="1966">
        <f t="shared" si="57"/>
        <v>0</v>
      </c>
      <c r="BC86" s="1966">
        <f t="shared" si="58"/>
        <v>0</v>
      </c>
      <c r="BD86" s="1966">
        <f t="shared" si="59"/>
        <v>0</v>
      </c>
      <c r="BE86" s="372">
        <f t="shared" si="60"/>
        <v>0</v>
      </c>
      <c r="BG86" s="2159">
        <f t="shared" si="61"/>
        <v>46023</v>
      </c>
      <c r="BH86" s="2159">
        <f t="shared" si="62"/>
        <v>46023</v>
      </c>
      <c r="BI86" s="2159">
        <f t="shared" si="63"/>
        <v>46023</v>
      </c>
      <c r="BJ86" s="2159">
        <f t="shared" si="64"/>
        <v>0</v>
      </c>
      <c r="BL86" s="369">
        <f t="shared" si="65"/>
        <v>0</v>
      </c>
      <c r="BM86" s="2159">
        <f t="shared" si="66"/>
        <v>0</v>
      </c>
      <c r="BN86" s="2159">
        <f t="shared" si="67"/>
        <v>0</v>
      </c>
      <c r="BO86" s="373">
        <f t="shared" si="68"/>
        <v>0</v>
      </c>
      <c r="BT86" s="2054"/>
      <c r="CF86" s="2054"/>
    </row>
    <row r="87" spans="1:84" ht="45.75" customHeight="1">
      <c r="A87" s="2163"/>
      <c r="B87" s="2146"/>
      <c r="C87" s="2146"/>
      <c r="D87" s="2164"/>
      <c r="E87" s="1573"/>
      <c r="F87" s="2148"/>
      <c r="G87" s="2149" t="str">
        <f t="shared" si="40"/>
        <v/>
      </c>
      <c r="H87" s="2148"/>
      <c r="I87" s="2150"/>
      <c r="J87" s="2148"/>
      <c r="K87" s="2151">
        <f t="shared" si="41"/>
        <v>0</v>
      </c>
      <c r="L87" s="2148"/>
      <c r="M87" s="2150"/>
      <c r="N87" s="2152"/>
      <c r="O87" s="2148"/>
      <c r="P87" s="2151">
        <f t="shared" si="69"/>
        <v>0</v>
      </c>
      <c r="Q87" s="2148"/>
      <c r="R87" s="2150"/>
      <c r="S87" s="2152"/>
      <c r="T87" s="2153"/>
      <c r="U87" s="2154">
        <f t="shared" si="0"/>
        <v>0</v>
      </c>
      <c r="V87" s="2155"/>
      <c r="W87" s="2150"/>
      <c r="X87" s="2152"/>
      <c r="Y87" s="2153"/>
      <c r="Z87" s="1572">
        <f t="shared" si="1"/>
        <v>0</v>
      </c>
      <c r="AA87" s="2168">
        <f t="shared" si="42"/>
        <v>0</v>
      </c>
      <c r="AB87" s="2156" t="str">
        <f t="shared" si="2"/>
        <v/>
      </c>
      <c r="AC87" s="1663"/>
      <c r="AD87" s="2158" t="str">
        <f t="shared" si="43"/>
        <v/>
      </c>
      <c r="AE87" s="2159">
        <f t="shared" si="44"/>
        <v>0</v>
      </c>
      <c r="AF87" s="2159">
        <f t="shared" si="45"/>
        <v>0</v>
      </c>
      <c r="AG87" s="2159">
        <f t="shared" si="46"/>
        <v>0</v>
      </c>
      <c r="AH87" s="2159">
        <f t="shared" si="47"/>
        <v>0</v>
      </c>
      <c r="AI87" s="2160">
        <f t="shared" si="3"/>
        <v>0</v>
      </c>
      <c r="AJ87" s="1966">
        <f t="shared" si="48"/>
        <v>1</v>
      </c>
      <c r="AK87" s="2159">
        <f t="shared" si="49"/>
        <v>0</v>
      </c>
      <c r="AL87" s="368" t="e">
        <f t="shared" si="50"/>
        <v>#DIV/0!</v>
      </c>
      <c r="AM87" s="264"/>
      <c r="AN87" s="369">
        <f t="shared" si="51"/>
        <v>0</v>
      </c>
      <c r="AO87" s="1966">
        <f t="shared" si="19"/>
        <v>0</v>
      </c>
      <c r="AP87" s="1966">
        <f t="shared" si="20"/>
        <v>0</v>
      </c>
      <c r="AQ87" s="1966">
        <f t="shared" si="21"/>
        <v>0</v>
      </c>
      <c r="AR87" s="370">
        <f t="shared" si="52"/>
        <v>0</v>
      </c>
      <c r="AT87" s="371">
        <f t="shared" si="4"/>
        <v>0</v>
      </c>
      <c r="AU87" s="1966">
        <f t="shared" si="53"/>
        <v>0</v>
      </c>
      <c r="AV87" s="2161">
        <f t="shared" si="54"/>
        <v>0</v>
      </c>
      <c r="AW87" s="2161">
        <f t="shared" si="55"/>
        <v>0</v>
      </c>
      <c r="AX87" s="1966">
        <f t="shared" si="5"/>
        <v>0</v>
      </c>
      <c r="AY87" s="372">
        <f t="shared" si="6"/>
        <v>0</v>
      </c>
      <c r="AZ87" s="265"/>
      <c r="BA87" s="371">
        <f t="shared" si="56"/>
        <v>0</v>
      </c>
      <c r="BB87" s="1966">
        <f t="shared" si="57"/>
        <v>0</v>
      </c>
      <c r="BC87" s="1966">
        <f t="shared" si="58"/>
        <v>0</v>
      </c>
      <c r="BD87" s="1966">
        <f t="shared" si="59"/>
        <v>0</v>
      </c>
      <c r="BE87" s="372">
        <f t="shared" si="60"/>
        <v>0</v>
      </c>
      <c r="BG87" s="2159">
        <f t="shared" si="61"/>
        <v>46023</v>
      </c>
      <c r="BH87" s="2159">
        <f t="shared" si="62"/>
        <v>46023</v>
      </c>
      <c r="BI87" s="2159">
        <f t="shared" si="63"/>
        <v>46023</v>
      </c>
      <c r="BJ87" s="2159">
        <f t="shared" si="64"/>
        <v>0</v>
      </c>
      <c r="BL87" s="369">
        <f t="shared" si="65"/>
        <v>0</v>
      </c>
      <c r="BM87" s="2159">
        <f t="shared" si="66"/>
        <v>0</v>
      </c>
      <c r="BN87" s="2159">
        <f t="shared" si="67"/>
        <v>0</v>
      </c>
      <c r="BO87" s="373">
        <f t="shared" si="68"/>
        <v>0</v>
      </c>
      <c r="BT87" s="2054"/>
      <c r="CF87" s="2054"/>
    </row>
    <row r="88" spans="1:84" ht="45.75" customHeight="1">
      <c r="A88" s="2163"/>
      <c r="B88" s="2146"/>
      <c r="C88" s="2146"/>
      <c r="D88" s="2164"/>
      <c r="E88" s="1573"/>
      <c r="F88" s="2148"/>
      <c r="G88" s="2149" t="str">
        <f t="shared" si="40"/>
        <v/>
      </c>
      <c r="H88" s="2148"/>
      <c r="I88" s="2150"/>
      <c r="J88" s="2148"/>
      <c r="K88" s="2151">
        <f t="shared" si="41"/>
        <v>0</v>
      </c>
      <c r="L88" s="2148"/>
      <c r="M88" s="2150"/>
      <c r="N88" s="2152"/>
      <c r="O88" s="2148"/>
      <c r="P88" s="2151">
        <f t="shared" si="69"/>
        <v>0</v>
      </c>
      <c r="Q88" s="2148"/>
      <c r="R88" s="2150"/>
      <c r="S88" s="2152"/>
      <c r="T88" s="2153"/>
      <c r="U88" s="2154">
        <f t="shared" si="0"/>
        <v>0</v>
      </c>
      <c r="V88" s="2155"/>
      <c r="W88" s="2150"/>
      <c r="X88" s="2152"/>
      <c r="Y88" s="2153"/>
      <c r="Z88" s="1572">
        <f t="shared" si="1"/>
        <v>0</v>
      </c>
      <c r="AA88" s="2168">
        <f t="shared" si="42"/>
        <v>0</v>
      </c>
      <c r="AB88" s="2156" t="str">
        <f t="shared" si="2"/>
        <v/>
      </c>
      <c r="AC88" s="1663"/>
      <c r="AD88" s="2158" t="str">
        <f t="shared" si="43"/>
        <v/>
      </c>
      <c r="AE88" s="2159">
        <f t="shared" si="44"/>
        <v>0</v>
      </c>
      <c r="AF88" s="2159">
        <f t="shared" si="45"/>
        <v>0</v>
      </c>
      <c r="AG88" s="2159">
        <f t="shared" si="46"/>
        <v>0</v>
      </c>
      <c r="AH88" s="2159">
        <f t="shared" si="47"/>
        <v>0</v>
      </c>
      <c r="AI88" s="2160">
        <f t="shared" si="3"/>
        <v>0</v>
      </c>
      <c r="AJ88" s="1966">
        <f t="shared" si="48"/>
        <v>1</v>
      </c>
      <c r="AK88" s="2159">
        <f t="shared" si="49"/>
        <v>0</v>
      </c>
      <c r="AL88" s="368" t="e">
        <f t="shared" si="50"/>
        <v>#DIV/0!</v>
      </c>
      <c r="AM88" s="264"/>
      <c r="AN88" s="369">
        <f t="shared" si="51"/>
        <v>0</v>
      </c>
      <c r="AO88" s="1966">
        <f t="shared" si="19"/>
        <v>0</v>
      </c>
      <c r="AP88" s="1966">
        <f t="shared" si="20"/>
        <v>0</v>
      </c>
      <c r="AQ88" s="1966">
        <f t="shared" si="21"/>
        <v>0</v>
      </c>
      <c r="AR88" s="370">
        <f t="shared" si="52"/>
        <v>0</v>
      </c>
      <c r="AT88" s="371">
        <f t="shared" si="4"/>
        <v>0</v>
      </c>
      <c r="AU88" s="1966">
        <f t="shared" si="53"/>
        <v>0</v>
      </c>
      <c r="AV88" s="2161">
        <f t="shared" si="54"/>
        <v>0</v>
      </c>
      <c r="AW88" s="2161">
        <f t="shared" si="55"/>
        <v>0</v>
      </c>
      <c r="AX88" s="1966">
        <f t="shared" si="5"/>
        <v>0</v>
      </c>
      <c r="AY88" s="372">
        <f t="shared" si="6"/>
        <v>0</v>
      </c>
      <c r="AZ88" s="265"/>
      <c r="BA88" s="371">
        <f t="shared" si="56"/>
        <v>0</v>
      </c>
      <c r="BB88" s="1966">
        <f t="shared" si="57"/>
        <v>0</v>
      </c>
      <c r="BC88" s="1966">
        <f t="shared" si="58"/>
        <v>0</v>
      </c>
      <c r="BD88" s="1966">
        <f t="shared" si="59"/>
        <v>0</v>
      </c>
      <c r="BE88" s="372">
        <f t="shared" si="60"/>
        <v>0</v>
      </c>
      <c r="BG88" s="2159">
        <f t="shared" si="61"/>
        <v>46023</v>
      </c>
      <c r="BH88" s="2159">
        <f t="shared" si="62"/>
        <v>46023</v>
      </c>
      <c r="BI88" s="2159">
        <f t="shared" si="63"/>
        <v>46023</v>
      </c>
      <c r="BJ88" s="2159">
        <f t="shared" si="64"/>
        <v>0</v>
      </c>
      <c r="BL88" s="369">
        <f t="shared" si="65"/>
        <v>0</v>
      </c>
      <c r="BM88" s="2159">
        <f t="shared" si="66"/>
        <v>0</v>
      </c>
      <c r="BN88" s="2159">
        <f t="shared" si="67"/>
        <v>0</v>
      </c>
      <c r="BO88" s="373">
        <f t="shared" si="68"/>
        <v>0</v>
      </c>
      <c r="BT88" s="2054"/>
      <c r="CF88" s="2054"/>
    </row>
    <row r="89" spans="1:84" ht="45.75" customHeight="1">
      <c r="A89" s="2163"/>
      <c r="B89" s="2146"/>
      <c r="C89" s="2146"/>
      <c r="D89" s="2164"/>
      <c r="E89" s="1573"/>
      <c r="F89" s="2148"/>
      <c r="G89" s="2149" t="str">
        <f t="shared" si="40"/>
        <v/>
      </c>
      <c r="H89" s="2148"/>
      <c r="I89" s="2150"/>
      <c r="J89" s="2148"/>
      <c r="K89" s="2151">
        <f t="shared" si="41"/>
        <v>0</v>
      </c>
      <c r="L89" s="2148"/>
      <c r="M89" s="2150"/>
      <c r="N89" s="2152"/>
      <c r="O89" s="2148"/>
      <c r="P89" s="2151">
        <f t="shared" si="69"/>
        <v>0</v>
      </c>
      <c r="Q89" s="2148"/>
      <c r="R89" s="2150"/>
      <c r="S89" s="2152"/>
      <c r="T89" s="2153"/>
      <c r="U89" s="2154">
        <f t="shared" si="0"/>
        <v>0</v>
      </c>
      <c r="V89" s="2155"/>
      <c r="W89" s="2150"/>
      <c r="X89" s="2152"/>
      <c r="Y89" s="2153"/>
      <c r="Z89" s="1572">
        <f t="shared" si="1"/>
        <v>0</v>
      </c>
      <c r="AA89" s="2168">
        <f t="shared" si="42"/>
        <v>0</v>
      </c>
      <c r="AB89" s="2156" t="str">
        <f t="shared" si="2"/>
        <v/>
      </c>
      <c r="AC89" s="1663"/>
      <c r="AD89" s="2158" t="str">
        <f t="shared" si="43"/>
        <v/>
      </c>
      <c r="AE89" s="2159">
        <f t="shared" si="44"/>
        <v>0</v>
      </c>
      <c r="AF89" s="2159">
        <f t="shared" si="45"/>
        <v>0</v>
      </c>
      <c r="AG89" s="2159">
        <f t="shared" si="46"/>
        <v>0</v>
      </c>
      <c r="AH89" s="2159">
        <f t="shared" si="47"/>
        <v>0</v>
      </c>
      <c r="AI89" s="2160">
        <f t="shared" si="3"/>
        <v>0</v>
      </c>
      <c r="AJ89" s="1966">
        <f t="shared" si="48"/>
        <v>1</v>
      </c>
      <c r="AK89" s="2159">
        <f t="shared" si="49"/>
        <v>0</v>
      </c>
      <c r="AL89" s="368" t="e">
        <f t="shared" si="50"/>
        <v>#DIV/0!</v>
      </c>
      <c r="AM89" s="264"/>
      <c r="AN89" s="369">
        <f t="shared" si="51"/>
        <v>0</v>
      </c>
      <c r="AO89" s="1966">
        <f t="shared" si="19"/>
        <v>0</v>
      </c>
      <c r="AP89" s="1966">
        <f t="shared" si="20"/>
        <v>0</v>
      </c>
      <c r="AQ89" s="1966">
        <f t="shared" si="21"/>
        <v>0</v>
      </c>
      <c r="AR89" s="370">
        <f t="shared" si="52"/>
        <v>0</v>
      </c>
      <c r="AT89" s="371">
        <f t="shared" si="4"/>
        <v>0</v>
      </c>
      <c r="AU89" s="1966">
        <f t="shared" si="53"/>
        <v>0</v>
      </c>
      <c r="AV89" s="2161">
        <f t="shared" si="54"/>
        <v>0</v>
      </c>
      <c r="AW89" s="2161">
        <f t="shared" si="55"/>
        <v>0</v>
      </c>
      <c r="AX89" s="1966">
        <f t="shared" si="5"/>
        <v>0</v>
      </c>
      <c r="AY89" s="372">
        <f t="shared" si="6"/>
        <v>0</v>
      </c>
      <c r="AZ89" s="265"/>
      <c r="BA89" s="371">
        <f t="shared" si="56"/>
        <v>0</v>
      </c>
      <c r="BB89" s="1966">
        <f t="shared" si="57"/>
        <v>0</v>
      </c>
      <c r="BC89" s="1966">
        <f t="shared" si="58"/>
        <v>0</v>
      </c>
      <c r="BD89" s="1966">
        <f t="shared" si="59"/>
        <v>0</v>
      </c>
      <c r="BE89" s="372">
        <f t="shared" si="60"/>
        <v>0</v>
      </c>
      <c r="BG89" s="2159">
        <f t="shared" si="61"/>
        <v>46023</v>
      </c>
      <c r="BH89" s="2159">
        <f t="shared" si="62"/>
        <v>46023</v>
      </c>
      <c r="BI89" s="2159">
        <f t="shared" si="63"/>
        <v>46023</v>
      </c>
      <c r="BJ89" s="2159">
        <f t="shared" si="64"/>
        <v>0</v>
      </c>
      <c r="BL89" s="369">
        <f t="shared" si="65"/>
        <v>0</v>
      </c>
      <c r="BM89" s="2159">
        <f t="shared" si="66"/>
        <v>0</v>
      </c>
      <c r="BN89" s="2159">
        <f t="shared" si="67"/>
        <v>0</v>
      </c>
      <c r="BO89" s="373">
        <f t="shared" si="68"/>
        <v>0</v>
      </c>
      <c r="BT89" s="2054"/>
      <c r="CF89" s="2054"/>
    </row>
    <row r="90" spans="1:84" ht="45.75" customHeight="1">
      <c r="A90" s="2163"/>
      <c r="B90" s="2146"/>
      <c r="C90" s="2146"/>
      <c r="D90" s="2164"/>
      <c r="E90" s="1573"/>
      <c r="F90" s="2148"/>
      <c r="G90" s="2149" t="str">
        <f t="shared" si="40"/>
        <v/>
      </c>
      <c r="H90" s="2148"/>
      <c r="I90" s="2150"/>
      <c r="J90" s="2148"/>
      <c r="K90" s="2151">
        <f t="shared" si="41"/>
        <v>0</v>
      </c>
      <c r="L90" s="2148"/>
      <c r="M90" s="2150"/>
      <c r="N90" s="2152"/>
      <c r="O90" s="2148"/>
      <c r="P90" s="2151">
        <f t="shared" si="69"/>
        <v>0</v>
      </c>
      <c r="Q90" s="2148"/>
      <c r="R90" s="2150"/>
      <c r="S90" s="2152"/>
      <c r="T90" s="2153"/>
      <c r="U90" s="2154">
        <f t="shared" si="0"/>
        <v>0</v>
      </c>
      <c r="V90" s="2155"/>
      <c r="W90" s="2150"/>
      <c r="X90" s="2152"/>
      <c r="Y90" s="2153"/>
      <c r="Z90" s="1572">
        <f t="shared" si="1"/>
        <v>0</v>
      </c>
      <c r="AA90" s="2168">
        <f t="shared" si="42"/>
        <v>0</v>
      </c>
      <c r="AB90" s="2156" t="str">
        <f t="shared" si="2"/>
        <v/>
      </c>
      <c r="AC90" s="1663"/>
      <c r="AD90" s="2158" t="str">
        <f t="shared" si="43"/>
        <v/>
      </c>
      <c r="AE90" s="2159">
        <f t="shared" si="44"/>
        <v>0</v>
      </c>
      <c r="AF90" s="2159">
        <f t="shared" si="45"/>
        <v>0</v>
      </c>
      <c r="AG90" s="2159">
        <f t="shared" si="46"/>
        <v>0</v>
      </c>
      <c r="AH90" s="2159">
        <f t="shared" si="47"/>
        <v>0</v>
      </c>
      <c r="AI90" s="2160">
        <f t="shared" si="3"/>
        <v>0</v>
      </c>
      <c r="AJ90" s="1966">
        <f t="shared" si="48"/>
        <v>1</v>
      </c>
      <c r="AK90" s="2159">
        <f t="shared" si="49"/>
        <v>0</v>
      </c>
      <c r="AL90" s="368" t="e">
        <f t="shared" si="50"/>
        <v>#DIV/0!</v>
      </c>
      <c r="AM90" s="264"/>
      <c r="AN90" s="369">
        <f t="shared" si="51"/>
        <v>0</v>
      </c>
      <c r="AO90" s="1966">
        <f t="shared" si="19"/>
        <v>0</v>
      </c>
      <c r="AP90" s="1966">
        <f t="shared" si="20"/>
        <v>0</v>
      </c>
      <c r="AQ90" s="1966">
        <f t="shared" si="21"/>
        <v>0</v>
      </c>
      <c r="AR90" s="370">
        <f t="shared" si="52"/>
        <v>0</v>
      </c>
      <c r="AT90" s="371">
        <f t="shared" si="4"/>
        <v>0</v>
      </c>
      <c r="AU90" s="1966">
        <f t="shared" si="53"/>
        <v>0</v>
      </c>
      <c r="AV90" s="2161">
        <f t="shared" si="54"/>
        <v>0</v>
      </c>
      <c r="AW90" s="2161">
        <f t="shared" si="55"/>
        <v>0</v>
      </c>
      <c r="AX90" s="1966">
        <f t="shared" si="5"/>
        <v>0</v>
      </c>
      <c r="AY90" s="372">
        <f t="shared" si="6"/>
        <v>0</v>
      </c>
      <c r="AZ90" s="265"/>
      <c r="BA90" s="371">
        <f t="shared" si="56"/>
        <v>0</v>
      </c>
      <c r="BB90" s="1966">
        <f t="shared" si="57"/>
        <v>0</v>
      </c>
      <c r="BC90" s="1966">
        <f t="shared" si="58"/>
        <v>0</v>
      </c>
      <c r="BD90" s="1966">
        <f t="shared" si="59"/>
        <v>0</v>
      </c>
      <c r="BE90" s="372">
        <f t="shared" si="60"/>
        <v>0</v>
      </c>
      <c r="BG90" s="2159">
        <f t="shared" si="61"/>
        <v>46023</v>
      </c>
      <c r="BH90" s="2159">
        <f t="shared" si="62"/>
        <v>46023</v>
      </c>
      <c r="BI90" s="2159">
        <f t="shared" si="63"/>
        <v>46023</v>
      </c>
      <c r="BJ90" s="2159">
        <f t="shared" si="64"/>
        <v>0</v>
      </c>
      <c r="BL90" s="369">
        <f t="shared" si="65"/>
        <v>0</v>
      </c>
      <c r="BM90" s="2159">
        <f t="shared" si="66"/>
        <v>0</v>
      </c>
      <c r="BN90" s="2159">
        <f t="shared" si="67"/>
        <v>0</v>
      </c>
      <c r="BO90" s="373">
        <f t="shared" si="68"/>
        <v>0</v>
      </c>
      <c r="BT90" s="2054"/>
      <c r="CF90" s="2054"/>
    </row>
    <row r="91" spans="1:84" ht="45.75" customHeight="1">
      <c r="A91" s="2163"/>
      <c r="B91" s="2146"/>
      <c r="C91" s="2146"/>
      <c r="D91" s="2164"/>
      <c r="E91" s="1573"/>
      <c r="F91" s="2148"/>
      <c r="G91" s="2149" t="str">
        <f t="shared" si="40"/>
        <v/>
      </c>
      <c r="H91" s="2148"/>
      <c r="I91" s="2150"/>
      <c r="J91" s="2148"/>
      <c r="K91" s="2151">
        <f t="shared" si="41"/>
        <v>0</v>
      </c>
      <c r="L91" s="2148"/>
      <c r="M91" s="2150"/>
      <c r="N91" s="2152"/>
      <c r="O91" s="2148"/>
      <c r="P91" s="2151">
        <f t="shared" si="69"/>
        <v>0</v>
      </c>
      <c r="Q91" s="2148"/>
      <c r="R91" s="2150"/>
      <c r="S91" s="2152"/>
      <c r="T91" s="2153"/>
      <c r="U91" s="2154">
        <f t="shared" si="0"/>
        <v>0</v>
      </c>
      <c r="V91" s="2155"/>
      <c r="W91" s="2150"/>
      <c r="X91" s="2152"/>
      <c r="Y91" s="2153"/>
      <c r="Z91" s="1572">
        <f t="shared" si="1"/>
        <v>0</v>
      </c>
      <c r="AA91" s="2168">
        <f t="shared" si="42"/>
        <v>0</v>
      </c>
      <c r="AB91" s="2156" t="str">
        <f t="shared" si="2"/>
        <v/>
      </c>
      <c r="AC91" s="1663"/>
      <c r="AD91" s="2158" t="str">
        <f t="shared" si="43"/>
        <v/>
      </c>
      <c r="AE91" s="2159">
        <f t="shared" si="44"/>
        <v>0</v>
      </c>
      <c r="AF91" s="2159">
        <f t="shared" si="45"/>
        <v>0</v>
      </c>
      <c r="AG91" s="2159">
        <f t="shared" si="46"/>
        <v>0</v>
      </c>
      <c r="AH91" s="2159">
        <f t="shared" si="47"/>
        <v>0</v>
      </c>
      <c r="AI91" s="2160">
        <f t="shared" si="3"/>
        <v>0</v>
      </c>
      <c r="AJ91" s="1966">
        <f t="shared" si="48"/>
        <v>1</v>
      </c>
      <c r="AK91" s="2159">
        <f t="shared" si="49"/>
        <v>0</v>
      </c>
      <c r="AL91" s="368" t="e">
        <f t="shared" si="50"/>
        <v>#DIV/0!</v>
      </c>
      <c r="AM91" s="264"/>
      <c r="AN91" s="369">
        <f t="shared" si="51"/>
        <v>0</v>
      </c>
      <c r="AO91" s="1966">
        <f t="shared" si="19"/>
        <v>0</v>
      </c>
      <c r="AP91" s="1966">
        <f t="shared" si="20"/>
        <v>0</v>
      </c>
      <c r="AQ91" s="1966">
        <f t="shared" si="21"/>
        <v>0</v>
      </c>
      <c r="AR91" s="370">
        <f t="shared" si="52"/>
        <v>0</v>
      </c>
      <c r="AT91" s="371">
        <f t="shared" si="4"/>
        <v>0</v>
      </c>
      <c r="AU91" s="1966">
        <f t="shared" si="53"/>
        <v>0</v>
      </c>
      <c r="AV91" s="2161">
        <f t="shared" si="54"/>
        <v>0</v>
      </c>
      <c r="AW91" s="2161">
        <f t="shared" si="55"/>
        <v>0</v>
      </c>
      <c r="AX91" s="1966">
        <f t="shared" si="5"/>
        <v>0</v>
      </c>
      <c r="AY91" s="372">
        <f t="shared" si="6"/>
        <v>0</v>
      </c>
      <c r="AZ91" s="265"/>
      <c r="BA91" s="371">
        <f t="shared" si="56"/>
        <v>0</v>
      </c>
      <c r="BB91" s="1966">
        <f t="shared" si="57"/>
        <v>0</v>
      </c>
      <c r="BC91" s="1966">
        <f t="shared" si="58"/>
        <v>0</v>
      </c>
      <c r="BD91" s="1966">
        <f t="shared" si="59"/>
        <v>0</v>
      </c>
      <c r="BE91" s="372">
        <f t="shared" si="60"/>
        <v>0</v>
      </c>
      <c r="BG91" s="2159">
        <f t="shared" si="61"/>
        <v>46023</v>
      </c>
      <c r="BH91" s="2159">
        <f t="shared" si="62"/>
        <v>46023</v>
      </c>
      <c r="BI91" s="2159">
        <f t="shared" si="63"/>
        <v>46023</v>
      </c>
      <c r="BJ91" s="2159">
        <f t="shared" si="64"/>
        <v>0</v>
      </c>
      <c r="BL91" s="369">
        <f t="shared" si="65"/>
        <v>0</v>
      </c>
      <c r="BM91" s="2159">
        <f t="shared" si="66"/>
        <v>0</v>
      </c>
      <c r="BN91" s="2159">
        <f t="shared" si="67"/>
        <v>0</v>
      </c>
      <c r="BO91" s="373">
        <f t="shared" si="68"/>
        <v>0</v>
      </c>
      <c r="BT91" s="2054"/>
      <c r="CF91" s="2054"/>
    </row>
    <row r="92" spans="1:84" ht="45.75" customHeight="1">
      <c r="A92" s="2163"/>
      <c r="B92" s="2146"/>
      <c r="C92" s="2146"/>
      <c r="D92" s="2164"/>
      <c r="E92" s="1573"/>
      <c r="F92" s="2148"/>
      <c r="G92" s="2149" t="str">
        <f t="shared" si="40"/>
        <v/>
      </c>
      <c r="H92" s="2148"/>
      <c r="I92" s="2150"/>
      <c r="J92" s="2148"/>
      <c r="K92" s="2151">
        <f t="shared" si="41"/>
        <v>0</v>
      </c>
      <c r="L92" s="2148"/>
      <c r="M92" s="2150"/>
      <c r="N92" s="2152"/>
      <c r="O92" s="2148"/>
      <c r="P92" s="2151">
        <f t="shared" si="69"/>
        <v>0</v>
      </c>
      <c r="Q92" s="2148"/>
      <c r="R92" s="2150"/>
      <c r="S92" s="2152"/>
      <c r="T92" s="2153"/>
      <c r="U92" s="2154">
        <f t="shared" si="0"/>
        <v>0</v>
      </c>
      <c r="V92" s="2155"/>
      <c r="W92" s="2150"/>
      <c r="X92" s="2152"/>
      <c r="Y92" s="2153"/>
      <c r="Z92" s="1572">
        <f t="shared" si="1"/>
        <v>0</v>
      </c>
      <c r="AA92" s="2168">
        <f t="shared" si="42"/>
        <v>0</v>
      </c>
      <c r="AB92" s="2156" t="str">
        <f t="shared" si="2"/>
        <v/>
      </c>
      <c r="AC92" s="1663"/>
      <c r="AD92" s="2158" t="str">
        <f t="shared" si="43"/>
        <v/>
      </c>
      <c r="AE92" s="2159">
        <f t="shared" si="44"/>
        <v>0</v>
      </c>
      <c r="AF92" s="2159">
        <f t="shared" si="45"/>
        <v>0</v>
      </c>
      <c r="AG92" s="2159">
        <f t="shared" si="46"/>
        <v>0</v>
      </c>
      <c r="AH92" s="2159">
        <f t="shared" si="47"/>
        <v>0</v>
      </c>
      <c r="AI92" s="2160">
        <f t="shared" si="3"/>
        <v>0</v>
      </c>
      <c r="AJ92" s="1966">
        <f t="shared" si="48"/>
        <v>1</v>
      </c>
      <c r="AK92" s="2159">
        <f t="shared" si="49"/>
        <v>0</v>
      </c>
      <c r="AL92" s="368" t="e">
        <f t="shared" si="50"/>
        <v>#DIV/0!</v>
      </c>
      <c r="AM92" s="264"/>
      <c r="AN92" s="369">
        <f t="shared" si="51"/>
        <v>0</v>
      </c>
      <c r="AO92" s="1966">
        <f t="shared" si="19"/>
        <v>0</v>
      </c>
      <c r="AP92" s="1966">
        <f t="shared" si="20"/>
        <v>0</v>
      </c>
      <c r="AQ92" s="1966">
        <f t="shared" si="21"/>
        <v>0</v>
      </c>
      <c r="AR92" s="370">
        <f t="shared" si="52"/>
        <v>0</v>
      </c>
      <c r="AT92" s="371">
        <f t="shared" si="4"/>
        <v>0</v>
      </c>
      <c r="AU92" s="1966">
        <f t="shared" si="53"/>
        <v>0</v>
      </c>
      <c r="AV92" s="2161">
        <f t="shared" si="54"/>
        <v>0</v>
      </c>
      <c r="AW92" s="2161">
        <f t="shared" si="55"/>
        <v>0</v>
      </c>
      <c r="AX92" s="1966">
        <f t="shared" si="5"/>
        <v>0</v>
      </c>
      <c r="AY92" s="372">
        <f t="shared" si="6"/>
        <v>0</v>
      </c>
      <c r="AZ92" s="265"/>
      <c r="BA92" s="371">
        <f t="shared" si="56"/>
        <v>0</v>
      </c>
      <c r="BB92" s="1966">
        <f t="shared" si="57"/>
        <v>0</v>
      </c>
      <c r="BC92" s="1966">
        <f t="shared" si="58"/>
        <v>0</v>
      </c>
      <c r="BD92" s="1966">
        <f t="shared" si="59"/>
        <v>0</v>
      </c>
      <c r="BE92" s="372">
        <f t="shared" si="60"/>
        <v>0</v>
      </c>
      <c r="BG92" s="2159">
        <f t="shared" si="61"/>
        <v>46023</v>
      </c>
      <c r="BH92" s="2159">
        <f t="shared" si="62"/>
        <v>46023</v>
      </c>
      <c r="BI92" s="2159">
        <f t="shared" si="63"/>
        <v>46023</v>
      </c>
      <c r="BJ92" s="2159">
        <f t="shared" si="64"/>
        <v>0</v>
      </c>
      <c r="BL92" s="369">
        <f t="shared" si="65"/>
        <v>0</v>
      </c>
      <c r="BM92" s="2159">
        <f t="shared" si="66"/>
        <v>0</v>
      </c>
      <c r="BN92" s="2159">
        <f t="shared" si="67"/>
        <v>0</v>
      </c>
      <c r="BO92" s="373">
        <f t="shared" si="68"/>
        <v>0</v>
      </c>
      <c r="BT92" s="2054"/>
      <c r="CF92" s="2054"/>
    </row>
    <row r="93" spans="1:84" ht="45.75" customHeight="1">
      <c r="A93" s="2163"/>
      <c r="B93" s="2146"/>
      <c r="C93" s="2146"/>
      <c r="D93" s="2164"/>
      <c r="E93" s="1573"/>
      <c r="F93" s="2148"/>
      <c r="G93" s="2149" t="str">
        <f t="shared" si="40"/>
        <v/>
      </c>
      <c r="H93" s="2148"/>
      <c r="I93" s="2150"/>
      <c r="J93" s="2148"/>
      <c r="K93" s="2151">
        <f t="shared" si="41"/>
        <v>0</v>
      </c>
      <c r="L93" s="2148"/>
      <c r="M93" s="2150"/>
      <c r="N93" s="2152"/>
      <c r="O93" s="2148"/>
      <c r="P93" s="2151">
        <f t="shared" si="69"/>
        <v>0</v>
      </c>
      <c r="Q93" s="2148"/>
      <c r="R93" s="2150"/>
      <c r="S93" s="2152"/>
      <c r="T93" s="2153"/>
      <c r="U93" s="2154">
        <f t="shared" si="0"/>
        <v>0</v>
      </c>
      <c r="V93" s="2155"/>
      <c r="W93" s="2150"/>
      <c r="X93" s="2152"/>
      <c r="Y93" s="2153"/>
      <c r="Z93" s="1572">
        <f t="shared" si="1"/>
        <v>0</v>
      </c>
      <c r="AA93" s="2168">
        <f t="shared" si="42"/>
        <v>0</v>
      </c>
      <c r="AB93" s="2156" t="str">
        <f t="shared" si="2"/>
        <v/>
      </c>
      <c r="AC93" s="1663"/>
      <c r="AD93" s="2158" t="str">
        <f t="shared" si="43"/>
        <v/>
      </c>
      <c r="AE93" s="2159">
        <f t="shared" si="44"/>
        <v>0</v>
      </c>
      <c r="AF93" s="2159">
        <f t="shared" si="45"/>
        <v>0</v>
      </c>
      <c r="AG93" s="2159">
        <f t="shared" si="46"/>
        <v>0</v>
      </c>
      <c r="AH93" s="2159">
        <f t="shared" si="47"/>
        <v>0</v>
      </c>
      <c r="AI93" s="2160">
        <f t="shared" si="3"/>
        <v>0</v>
      </c>
      <c r="AJ93" s="1966">
        <f t="shared" si="48"/>
        <v>1</v>
      </c>
      <c r="AK93" s="2159">
        <f t="shared" si="49"/>
        <v>0</v>
      </c>
      <c r="AL93" s="368" t="e">
        <f t="shared" si="50"/>
        <v>#DIV/0!</v>
      </c>
      <c r="AM93" s="264"/>
      <c r="AN93" s="369">
        <f t="shared" si="51"/>
        <v>0</v>
      </c>
      <c r="AO93" s="1966">
        <f t="shared" si="19"/>
        <v>0</v>
      </c>
      <c r="AP93" s="1966">
        <f t="shared" si="20"/>
        <v>0</v>
      </c>
      <c r="AQ93" s="1966">
        <f t="shared" si="21"/>
        <v>0</v>
      </c>
      <c r="AR93" s="370">
        <f t="shared" si="52"/>
        <v>0</v>
      </c>
      <c r="AT93" s="371">
        <f t="shared" si="4"/>
        <v>0</v>
      </c>
      <c r="AU93" s="1966">
        <f t="shared" si="53"/>
        <v>0</v>
      </c>
      <c r="AV93" s="2161">
        <f t="shared" si="54"/>
        <v>0</v>
      </c>
      <c r="AW93" s="2161">
        <f t="shared" si="55"/>
        <v>0</v>
      </c>
      <c r="AX93" s="1966">
        <f t="shared" si="5"/>
        <v>0</v>
      </c>
      <c r="AY93" s="372">
        <f t="shared" si="6"/>
        <v>0</v>
      </c>
      <c r="AZ93" s="265"/>
      <c r="BA93" s="371">
        <f t="shared" si="56"/>
        <v>0</v>
      </c>
      <c r="BB93" s="1966">
        <f t="shared" si="57"/>
        <v>0</v>
      </c>
      <c r="BC93" s="1966">
        <f t="shared" si="58"/>
        <v>0</v>
      </c>
      <c r="BD93" s="1966">
        <f t="shared" si="59"/>
        <v>0</v>
      </c>
      <c r="BE93" s="372">
        <f t="shared" si="60"/>
        <v>0</v>
      </c>
      <c r="BG93" s="2159">
        <f t="shared" si="61"/>
        <v>46023</v>
      </c>
      <c r="BH93" s="2159">
        <f t="shared" si="62"/>
        <v>46023</v>
      </c>
      <c r="BI93" s="2159">
        <f t="shared" si="63"/>
        <v>46023</v>
      </c>
      <c r="BJ93" s="2159">
        <f t="shared" si="64"/>
        <v>0</v>
      </c>
      <c r="BL93" s="369">
        <f t="shared" si="65"/>
        <v>0</v>
      </c>
      <c r="BM93" s="2159">
        <f t="shared" si="66"/>
        <v>0</v>
      </c>
      <c r="BN93" s="2159">
        <f t="shared" si="67"/>
        <v>0</v>
      </c>
      <c r="BO93" s="373">
        <f t="shared" si="68"/>
        <v>0</v>
      </c>
      <c r="BT93" s="2054"/>
      <c r="CF93" s="2054"/>
    </row>
    <row r="94" spans="1:84" ht="45.75" customHeight="1">
      <c r="A94" s="2163"/>
      <c r="B94" s="2146"/>
      <c r="C94" s="2146"/>
      <c r="D94" s="2164"/>
      <c r="E94" s="1573"/>
      <c r="F94" s="2148"/>
      <c r="G94" s="2149" t="str">
        <f t="shared" si="40"/>
        <v/>
      </c>
      <c r="H94" s="2148"/>
      <c r="I94" s="2150"/>
      <c r="J94" s="2148"/>
      <c r="K94" s="2151">
        <f t="shared" si="41"/>
        <v>0</v>
      </c>
      <c r="L94" s="2148"/>
      <c r="M94" s="2150"/>
      <c r="N94" s="2152"/>
      <c r="O94" s="2148"/>
      <c r="P94" s="2151">
        <f t="shared" si="69"/>
        <v>0</v>
      </c>
      <c r="Q94" s="2148"/>
      <c r="R94" s="2150"/>
      <c r="S94" s="2152"/>
      <c r="T94" s="2153"/>
      <c r="U94" s="2154">
        <f t="shared" si="0"/>
        <v>0</v>
      </c>
      <c r="V94" s="2155"/>
      <c r="W94" s="2150"/>
      <c r="X94" s="2152"/>
      <c r="Y94" s="2153"/>
      <c r="Z94" s="1572">
        <f t="shared" si="1"/>
        <v>0</v>
      </c>
      <c r="AA94" s="2168">
        <f t="shared" si="42"/>
        <v>0</v>
      </c>
      <c r="AB94" s="2156" t="str">
        <f t="shared" si="2"/>
        <v/>
      </c>
      <c r="AC94" s="1663"/>
      <c r="AD94" s="2158" t="str">
        <f t="shared" si="43"/>
        <v/>
      </c>
      <c r="AE94" s="2159">
        <f t="shared" si="44"/>
        <v>0</v>
      </c>
      <c r="AF94" s="2159">
        <f t="shared" si="45"/>
        <v>0</v>
      </c>
      <c r="AG94" s="2159">
        <f t="shared" si="46"/>
        <v>0</v>
      </c>
      <c r="AH94" s="2159">
        <f t="shared" si="47"/>
        <v>0</v>
      </c>
      <c r="AI94" s="2160">
        <f t="shared" si="3"/>
        <v>0</v>
      </c>
      <c r="AJ94" s="1966">
        <f t="shared" si="48"/>
        <v>1</v>
      </c>
      <c r="AK94" s="2159">
        <f t="shared" si="49"/>
        <v>0</v>
      </c>
      <c r="AL94" s="368" t="e">
        <f t="shared" si="50"/>
        <v>#DIV/0!</v>
      </c>
      <c r="AM94" s="264"/>
      <c r="AN94" s="369">
        <f t="shared" si="51"/>
        <v>0</v>
      </c>
      <c r="AO94" s="1966">
        <f t="shared" si="19"/>
        <v>0</v>
      </c>
      <c r="AP94" s="1966">
        <f t="shared" si="20"/>
        <v>0</v>
      </c>
      <c r="AQ94" s="1966">
        <f t="shared" si="21"/>
        <v>0</v>
      </c>
      <c r="AR94" s="370">
        <f t="shared" si="52"/>
        <v>0</v>
      </c>
      <c r="AT94" s="371">
        <f t="shared" si="4"/>
        <v>0</v>
      </c>
      <c r="AU94" s="1966">
        <f t="shared" si="53"/>
        <v>0</v>
      </c>
      <c r="AV94" s="2161">
        <f t="shared" si="54"/>
        <v>0</v>
      </c>
      <c r="AW94" s="2161">
        <f t="shared" si="55"/>
        <v>0</v>
      </c>
      <c r="AX94" s="1966">
        <f t="shared" si="5"/>
        <v>0</v>
      </c>
      <c r="AY94" s="372">
        <f t="shared" si="6"/>
        <v>0</v>
      </c>
      <c r="AZ94" s="265"/>
      <c r="BA94" s="371">
        <f t="shared" si="56"/>
        <v>0</v>
      </c>
      <c r="BB94" s="1966">
        <f t="shared" si="57"/>
        <v>0</v>
      </c>
      <c r="BC94" s="1966">
        <f t="shared" si="58"/>
        <v>0</v>
      </c>
      <c r="BD94" s="1966">
        <f t="shared" si="59"/>
        <v>0</v>
      </c>
      <c r="BE94" s="372">
        <f t="shared" si="60"/>
        <v>0</v>
      </c>
      <c r="BG94" s="2159">
        <f t="shared" si="61"/>
        <v>46023</v>
      </c>
      <c r="BH94" s="2159">
        <f t="shared" si="62"/>
        <v>46023</v>
      </c>
      <c r="BI94" s="2159">
        <f t="shared" si="63"/>
        <v>46023</v>
      </c>
      <c r="BJ94" s="2159">
        <f t="shared" si="64"/>
        <v>0</v>
      </c>
      <c r="BL94" s="369">
        <f t="shared" si="65"/>
        <v>0</v>
      </c>
      <c r="BM94" s="2159">
        <f t="shared" si="66"/>
        <v>0</v>
      </c>
      <c r="BN94" s="2159">
        <f t="shared" si="67"/>
        <v>0</v>
      </c>
      <c r="BO94" s="373">
        <f t="shared" si="68"/>
        <v>0</v>
      </c>
      <c r="BT94" s="2054"/>
      <c r="CF94" s="2054"/>
    </row>
    <row r="95" spans="1:84" ht="45.75" customHeight="1">
      <c r="A95" s="2163"/>
      <c r="B95" s="2146"/>
      <c r="C95" s="2146"/>
      <c r="D95" s="2164"/>
      <c r="E95" s="1573"/>
      <c r="F95" s="2148"/>
      <c r="G95" s="2149" t="str">
        <f t="shared" si="40"/>
        <v/>
      </c>
      <c r="H95" s="2148"/>
      <c r="I95" s="2150"/>
      <c r="J95" s="2148"/>
      <c r="K95" s="2151">
        <f t="shared" si="41"/>
        <v>0</v>
      </c>
      <c r="L95" s="2148"/>
      <c r="M95" s="2150"/>
      <c r="N95" s="2152"/>
      <c r="O95" s="2148"/>
      <c r="P95" s="2151">
        <f t="shared" si="69"/>
        <v>0</v>
      </c>
      <c r="Q95" s="2148"/>
      <c r="R95" s="2150"/>
      <c r="S95" s="2152"/>
      <c r="T95" s="2153"/>
      <c r="U95" s="2154">
        <f t="shared" si="0"/>
        <v>0</v>
      </c>
      <c r="V95" s="2155"/>
      <c r="W95" s="2150"/>
      <c r="X95" s="2152"/>
      <c r="Y95" s="2153"/>
      <c r="Z95" s="1572">
        <f t="shared" si="1"/>
        <v>0</v>
      </c>
      <c r="AA95" s="2168">
        <f t="shared" si="42"/>
        <v>0</v>
      </c>
      <c r="AB95" s="2156" t="str">
        <f t="shared" si="2"/>
        <v/>
      </c>
      <c r="AC95" s="1663"/>
      <c r="AD95" s="2158" t="str">
        <f t="shared" si="43"/>
        <v/>
      </c>
      <c r="AE95" s="2159">
        <f t="shared" si="44"/>
        <v>0</v>
      </c>
      <c r="AF95" s="2159">
        <f t="shared" si="45"/>
        <v>0</v>
      </c>
      <c r="AG95" s="2159">
        <f t="shared" si="46"/>
        <v>0</v>
      </c>
      <c r="AH95" s="2159">
        <f t="shared" si="47"/>
        <v>0</v>
      </c>
      <c r="AI95" s="2160">
        <f t="shared" si="3"/>
        <v>0</v>
      </c>
      <c r="AJ95" s="1966">
        <f t="shared" si="48"/>
        <v>1</v>
      </c>
      <c r="AK95" s="2159">
        <f t="shared" si="49"/>
        <v>0</v>
      </c>
      <c r="AL95" s="368" t="e">
        <f t="shared" si="50"/>
        <v>#DIV/0!</v>
      </c>
      <c r="AM95" s="264"/>
      <c r="AN95" s="369">
        <f t="shared" si="51"/>
        <v>0</v>
      </c>
      <c r="AO95" s="1966">
        <f t="shared" si="19"/>
        <v>0</v>
      </c>
      <c r="AP95" s="1966">
        <f t="shared" si="20"/>
        <v>0</v>
      </c>
      <c r="AQ95" s="1966">
        <f t="shared" si="21"/>
        <v>0</v>
      </c>
      <c r="AR95" s="370">
        <f t="shared" si="52"/>
        <v>0</v>
      </c>
      <c r="AT95" s="371">
        <f t="shared" si="4"/>
        <v>0</v>
      </c>
      <c r="AU95" s="1966">
        <f t="shared" si="53"/>
        <v>0</v>
      </c>
      <c r="AV95" s="2161">
        <f t="shared" si="54"/>
        <v>0</v>
      </c>
      <c r="AW95" s="2161">
        <f t="shared" si="55"/>
        <v>0</v>
      </c>
      <c r="AX95" s="1966">
        <f t="shared" si="5"/>
        <v>0</v>
      </c>
      <c r="AY95" s="372">
        <f t="shared" si="6"/>
        <v>0</v>
      </c>
      <c r="AZ95" s="265"/>
      <c r="BA95" s="371">
        <f t="shared" si="56"/>
        <v>0</v>
      </c>
      <c r="BB95" s="1966">
        <f t="shared" si="57"/>
        <v>0</v>
      </c>
      <c r="BC95" s="1966">
        <f t="shared" si="58"/>
        <v>0</v>
      </c>
      <c r="BD95" s="1966">
        <f t="shared" si="59"/>
        <v>0</v>
      </c>
      <c r="BE95" s="372">
        <f t="shared" si="60"/>
        <v>0</v>
      </c>
      <c r="BG95" s="2159">
        <f t="shared" si="61"/>
        <v>46023</v>
      </c>
      <c r="BH95" s="2159">
        <f t="shared" si="62"/>
        <v>46023</v>
      </c>
      <c r="BI95" s="2159">
        <f t="shared" si="63"/>
        <v>46023</v>
      </c>
      <c r="BJ95" s="2159">
        <f t="shared" si="64"/>
        <v>0</v>
      </c>
      <c r="BL95" s="369">
        <f t="shared" si="65"/>
        <v>0</v>
      </c>
      <c r="BM95" s="2159">
        <f t="shared" si="66"/>
        <v>0</v>
      </c>
      <c r="BN95" s="2159">
        <f t="shared" si="67"/>
        <v>0</v>
      </c>
      <c r="BO95" s="373">
        <f t="shared" si="68"/>
        <v>0</v>
      </c>
      <c r="BT95" s="2054"/>
      <c r="CF95" s="2054"/>
    </row>
    <row r="96" spans="1:84" ht="45.75" customHeight="1">
      <c r="A96" s="2163"/>
      <c r="B96" s="2146"/>
      <c r="C96" s="2146"/>
      <c r="D96" s="2164"/>
      <c r="E96" s="1573"/>
      <c r="F96" s="2148"/>
      <c r="G96" s="2149" t="str">
        <f t="shared" si="40"/>
        <v/>
      </c>
      <c r="H96" s="2148"/>
      <c r="I96" s="2150"/>
      <c r="J96" s="2148"/>
      <c r="K96" s="2151">
        <f t="shared" si="41"/>
        <v>0</v>
      </c>
      <c r="L96" s="2148"/>
      <c r="M96" s="2150"/>
      <c r="N96" s="2152"/>
      <c r="O96" s="2148"/>
      <c r="P96" s="2151">
        <f t="shared" si="69"/>
        <v>0</v>
      </c>
      <c r="Q96" s="2148"/>
      <c r="R96" s="2150"/>
      <c r="S96" s="2152"/>
      <c r="T96" s="2153"/>
      <c r="U96" s="2154">
        <f t="shared" si="0"/>
        <v>0</v>
      </c>
      <c r="V96" s="2155"/>
      <c r="W96" s="2150"/>
      <c r="X96" s="2152"/>
      <c r="Y96" s="2153"/>
      <c r="Z96" s="1572">
        <f t="shared" si="1"/>
        <v>0</v>
      </c>
      <c r="AA96" s="2168">
        <f t="shared" si="42"/>
        <v>0</v>
      </c>
      <c r="AB96" s="2156" t="str">
        <f t="shared" si="2"/>
        <v/>
      </c>
      <c r="AC96" s="1663"/>
      <c r="AD96" s="2158" t="str">
        <f t="shared" si="43"/>
        <v/>
      </c>
      <c r="AE96" s="2159">
        <f t="shared" si="44"/>
        <v>0</v>
      </c>
      <c r="AF96" s="2159">
        <f t="shared" si="45"/>
        <v>0</v>
      </c>
      <c r="AG96" s="2159">
        <f t="shared" si="46"/>
        <v>0</v>
      </c>
      <c r="AH96" s="2159">
        <f t="shared" si="47"/>
        <v>0</v>
      </c>
      <c r="AI96" s="2160">
        <f t="shared" si="3"/>
        <v>0</v>
      </c>
      <c r="AJ96" s="1966">
        <f t="shared" si="48"/>
        <v>1</v>
      </c>
      <c r="AK96" s="2159">
        <f t="shared" si="49"/>
        <v>0</v>
      </c>
      <c r="AL96" s="368" t="e">
        <f t="shared" si="50"/>
        <v>#DIV/0!</v>
      </c>
      <c r="AM96" s="264"/>
      <c r="AN96" s="369">
        <f t="shared" si="51"/>
        <v>0</v>
      </c>
      <c r="AO96" s="1966">
        <f t="shared" si="19"/>
        <v>0</v>
      </c>
      <c r="AP96" s="1966">
        <f t="shared" si="20"/>
        <v>0</v>
      </c>
      <c r="AQ96" s="1966">
        <f t="shared" si="21"/>
        <v>0</v>
      </c>
      <c r="AR96" s="370">
        <f t="shared" si="52"/>
        <v>0</v>
      </c>
      <c r="AT96" s="371">
        <f t="shared" si="4"/>
        <v>0</v>
      </c>
      <c r="AU96" s="1966">
        <f t="shared" si="53"/>
        <v>0</v>
      </c>
      <c r="AV96" s="2161">
        <f t="shared" si="54"/>
        <v>0</v>
      </c>
      <c r="AW96" s="2161">
        <f t="shared" si="55"/>
        <v>0</v>
      </c>
      <c r="AX96" s="1966">
        <f t="shared" si="5"/>
        <v>0</v>
      </c>
      <c r="AY96" s="372">
        <f t="shared" si="6"/>
        <v>0</v>
      </c>
      <c r="AZ96" s="265"/>
      <c r="BA96" s="371">
        <f t="shared" si="56"/>
        <v>0</v>
      </c>
      <c r="BB96" s="1966">
        <f t="shared" si="57"/>
        <v>0</v>
      </c>
      <c r="BC96" s="1966">
        <f t="shared" si="58"/>
        <v>0</v>
      </c>
      <c r="BD96" s="1966">
        <f t="shared" si="59"/>
        <v>0</v>
      </c>
      <c r="BE96" s="372">
        <f t="shared" si="60"/>
        <v>0</v>
      </c>
      <c r="BG96" s="2159">
        <f t="shared" si="61"/>
        <v>46023</v>
      </c>
      <c r="BH96" s="2159">
        <f t="shared" si="62"/>
        <v>46023</v>
      </c>
      <c r="BI96" s="2159">
        <f t="shared" si="63"/>
        <v>46023</v>
      </c>
      <c r="BJ96" s="2159">
        <f t="shared" si="64"/>
        <v>0</v>
      </c>
      <c r="BL96" s="369">
        <f t="shared" si="65"/>
        <v>0</v>
      </c>
      <c r="BM96" s="2159">
        <f t="shared" si="66"/>
        <v>0</v>
      </c>
      <c r="BN96" s="2159">
        <f t="shared" si="67"/>
        <v>0</v>
      </c>
      <c r="BO96" s="373">
        <f t="shared" si="68"/>
        <v>0</v>
      </c>
      <c r="BT96" s="2054"/>
      <c r="CF96" s="2054"/>
    </row>
    <row r="97" spans="1:84" ht="45.75" customHeight="1">
      <c r="A97" s="2163"/>
      <c r="B97" s="2146"/>
      <c r="C97" s="2146"/>
      <c r="D97" s="2164"/>
      <c r="E97" s="1573"/>
      <c r="F97" s="2148"/>
      <c r="G97" s="2149" t="str">
        <f t="shared" si="40"/>
        <v/>
      </c>
      <c r="H97" s="2148"/>
      <c r="I97" s="2150"/>
      <c r="J97" s="2148"/>
      <c r="K97" s="2151">
        <f t="shared" si="41"/>
        <v>0</v>
      </c>
      <c r="L97" s="2148"/>
      <c r="M97" s="2150"/>
      <c r="N97" s="2152"/>
      <c r="O97" s="2148"/>
      <c r="P97" s="2151">
        <f t="shared" si="69"/>
        <v>0</v>
      </c>
      <c r="Q97" s="2148"/>
      <c r="R97" s="2150"/>
      <c r="S97" s="2152"/>
      <c r="T97" s="2153"/>
      <c r="U97" s="2154">
        <f t="shared" si="0"/>
        <v>0</v>
      </c>
      <c r="V97" s="2155"/>
      <c r="W97" s="2150"/>
      <c r="X97" s="2152"/>
      <c r="Y97" s="2153"/>
      <c r="Z97" s="1572">
        <f t="shared" si="1"/>
        <v>0</v>
      </c>
      <c r="AA97" s="2168">
        <f t="shared" si="42"/>
        <v>0</v>
      </c>
      <c r="AB97" s="2156" t="str">
        <f t="shared" si="2"/>
        <v/>
      </c>
      <c r="AC97" s="1663"/>
      <c r="AD97" s="2158" t="str">
        <f t="shared" si="43"/>
        <v/>
      </c>
      <c r="AE97" s="2159">
        <f t="shared" si="44"/>
        <v>0</v>
      </c>
      <c r="AF97" s="2159">
        <f t="shared" si="45"/>
        <v>0</v>
      </c>
      <c r="AG97" s="2159">
        <f t="shared" si="46"/>
        <v>0</v>
      </c>
      <c r="AH97" s="2159">
        <f t="shared" si="47"/>
        <v>0</v>
      </c>
      <c r="AI97" s="2160">
        <f t="shared" si="3"/>
        <v>0</v>
      </c>
      <c r="AJ97" s="1966">
        <f t="shared" si="48"/>
        <v>1</v>
      </c>
      <c r="AK97" s="2159">
        <f t="shared" si="49"/>
        <v>0</v>
      </c>
      <c r="AL97" s="368" t="e">
        <f t="shared" si="50"/>
        <v>#DIV/0!</v>
      </c>
      <c r="AM97" s="264"/>
      <c r="AN97" s="369">
        <f t="shared" si="51"/>
        <v>0</v>
      </c>
      <c r="AO97" s="1966">
        <f t="shared" si="19"/>
        <v>0</v>
      </c>
      <c r="AP97" s="1966">
        <f t="shared" si="20"/>
        <v>0</v>
      </c>
      <c r="AQ97" s="1966">
        <f t="shared" si="21"/>
        <v>0</v>
      </c>
      <c r="AR97" s="370">
        <f t="shared" si="52"/>
        <v>0</v>
      </c>
      <c r="AT97" s="371">
        <f t="shared" si="4"/>
        <v>0</v>
      </c>
      <c r="AU97" s="1966">
        <f t="shared" si="53"/>
        <v>0</v>
      </c>
      <c r="AV97" s="2161">
        <f t="shared" si="54"/>
        <v>0</v>
      </c>
      <c r="AW97" s="2161">
        <f t="shared" si="55"/>
        <v>0</v>
      </c>
      <c r="AX97" s="1966">
        <f t="shared" si="5"/>
        <v>0</v>
      </c>
      <c r="AY97" s="372">
        <f t="shared" si="6"/>
        <v>0</v>
      </c>
      <c r="AZ97" s="265"/>
      <c r="BA97" s="371">
        <f t="shared" si="56"/>
        <v>0</v>
      </c>
      <c r="BB97" s="1966">
        <f t="shared" si="57"/>
        <v>0</v>
      </c>
      <c r="BC97" s="1966">
        <f t="shared" si="58"/>
        <v>0</v>
      </c>
      <c r="BD97" s="1966">
        <f t="shared" si="59"/>
        <v>0</v>
      </c>
      <c r="BE97" s="372">
        <f t="shared" si="60"/>
        <v>0</v>
      </c>
      <c r="BG97" s="2159">
        <f t="shared" si="61"/>
        <v>46023</v>
      </c>
      <c r="BH97" s="2159">
        <f t="shared" si="62"/>
        <v>46023</v>
      </c>
      <c r="BI97" s="2159">
        <f t="shared" si="63"/>
        <v>46023</v>
      </c>
      <c r="BJ97" s="2159">
        <f t="shared" si="64"/>
        <v>0</v>
      </c>
      <c r="BL97" s="369">
        <f t="shared" si="65"/>
        <v>0</v>
      </c>
      <c r="BM97" s="2159">
        <f t="shared" si="66"/>
        <v>0</v>
      </c>
      <c r="BN97" s="2159">
        <f t="shared" si="67"/>
        <v>0</v>
      </c>
      <c r="BO97" s="373">
        <f t="shared" si="68"/>
        <v>0</v>
      </c>
      <c r="BT97" s="2054"/>
      <c r="CF97" s="2054"/>
    </row>
    <row r="98" spans="1:84" ht="45.75" customHeight="1">
      <c r="A98" s="2163"/>
      <c r="B98" s="2146"/>
      <c r="C98" s="2146"/>
      <c r="D98" s="2164"/>
      <c r="E98" s="1573"/>
      <c r="F98" s="2148"/>
      <c r="G98" s="2149" t="str">
        <f t="shared" si="40"/>
        <v/>
      </c>
      <c r="H98" s="2148"/>
      <c r="I98" s="2150"/>
      <c r="J98" s="2148"/>
      <c r="K98" s="2151">
        <f t="shared" si="41"/>
        <v>0</v>
      </c>
      <c r="L98" s="2148"/>
      <c r="M98" s="2150"/>
      <c r="N98" s="2152"/>
      <c r="O98" s="2148"/>
      <c r="P98" s="2151">
        <f t="shared" si="69"/>
        <v>0</v>
      </c>
      <c r="Q98" s="2148"/>
      <c r="R98" s="2150"/>
      <c r="S98" s="2152"/>
      <c r="T98" s="2153"/>
      <c r="U98" s="2154">
        <f t="shared" si="0"/>
        <v>0</v>
      </c>
      <c r="V98" s="2155"/>
      <c r="W98" s="2150"/>
      <c r="X98" s="2152"/>
      <c r="Y98" s="2153"/>
      <c r="Z98" s="1572">
        <f t="shared" si="1"/>
        <v>0</v>
      </c>
      <c r="AA98" s="2168">
        <f t="shared" si="42"/>
        <v>0</v>
      </c>
      <c r="AB98" s="2156" t="str">
        <f t="shared" si="2"/>
        <v/>
      </c>
      <c r="AC98" s="1663"/>
      <c r="AD98" s="2158" t="str">
        <f t="shared" si="43"/>
        <v/>
      </c>
      <c r="AE98" s="2159">
        <f t="shared" si="44"/>
        <v>0</v>
      </c>
      <c r="AF98" s="2159">
        <f t="shared" si="45"/>
        <v>0</v>
      </c>
      <c r="AG98" s="2159">
        <f t="shared" si="46"/>
        <v>0</v>
      </c>
      <c r="AH98" s="2159">
        <f t="shared" si="47"/>
        <v>0</v>
      </c>
      <c r="AI98" s="2160">
        <f t="shared" si="3"/>
        <v>0</v>
      </c>
      <c r="AJ98" s="1966">
        <f t="shared" si="48"/>
        <v>1</v>
      </c>
      <c r="AK98" s="2159">
        <f t="shared" si="49"/>
        <v>0</v>
      </c>
      <c r="AL98" s="368" t="e">
        <f t="shared" si="50"/>
        <v>#DIV/0!</v>
      </c>
      <c r="AM98" s="264"/>
      <c r="AN98" s="369">
        <f t="shared" si="51"/>
        <v>0</v>
      </c>
      <c r="AO98" s="1966">
        <f t="shared" si="19"/>
        <v>0</v>
      </c>
      <c r="AP98" s="1966">
        <f t="shared" si="20"/>
        <v>0</v>
      </c>
      <c r="AQ98" s="1966">
        <f t="shared" si="21"/>
        <v>0</v>
      </c>
      <c r="AR98" s="370">
        <f t="shared" si="52"/>
        <v>0</v>
      </c>
      <c r="AT98" s="371">
        <f t="shared" si="4"/>
        <v>0</v>
      </c>
      <c r="AU98" s="1966">
        <f t="shared" si="53"/>
        <v>0</v>
      </c>
      <c r="AV98" s="2161">
        <f t="shared" si="54"/>
        <v>0</v>
      </c>
      <c r="AW98" s="2161">
        <f t="shared" si="55"/>
        <v>0</v>
      </c>
      <c r="AX98" s="1966">
        <f t="shared" si="5"/>
        <v>0</v>
      </c>
      <c r="AY98" s="372">
        <f t="shared" si="6"/>
        <v>0</v>
      </c>
      <c r="AZ98" s="265"/>
      <c r="BA98" s="371">
        <f t="shared" si="56"/>
        <v>0</v>
      </c>
      <c r="BB98" s="1966">
        <f t="shared" si="57"/>
        <v>0</v>
      </c>
      <c r="BC98" s="1966">
        <f t="shared" si="58"/>
        <v>0</v>
      </c>
      <c r="BD98" s="1966">
        <f t="shared" si="59"/>
        <v>0</v>
      </c>
      <c r="BE98" s="372">
        <f t="shared" si="60"/>
        <v>0</v>
      </c>
      <c r="BG98" s="2159">
        <f t="shared" si="61"/>
        <v>46023</v>
      </c>
      <c r="BH98" s="2159">
        <f t="shared" si="62"/>
        <v>46023</v>
      </c>
      <c r="BI98" s="2159">
        <f t="shared" si="63"/>
        <v>46023</v>
      </c>
      <c r="BJ98" s="2159">
        <f t="shared" si="64"/>
        <v>0</v>
      </c>
      <c r="BL98" s="369">
        <f t="shared" si="65"/>
        <v>0</v>
      </c>
      <c r="BM98" s="2159">
        <f t="shared" si="66"/>
        <v>0</v>
      </c>
      <c r="BN98" s="2159">
        <f t="shared" si="67"/>
        <v>0</v>
      </c>
      <c r="BO98" s="373">
        <f t="shared" si="68"/>
        <v>0</v>
      </c>
      <c r="BT98" s="2054"/>
      <c r="CF98" s="2054"/>
    </row>
    <row r="99" spans="1:84" ht="45.75" customHeight="1">
      <c r="A99" s="2163"/>
      <c r="B99" s="2146"/>
      <c r="C99" s="2146"/>
      <c r="D99" s="2164"/>
      <c r="E99" s="1573"/>
      <c r="F99" s="2148"/>
      <c r="G99" s="2149" t="str">
        <f t="shared" si="40"/>
        <v/>
      </c>
      <c r="H99" s="2148"/>
      <c r="I99" s="2150"/>
      <c r="J99" s="2148"/>
      <c r="K99" s="2151">
        <f t="shared" si="41"/>
        <v>0</v>
      </c>
      <c r="L99" s="2148"/>
      <c r="M99" s="2150"/>
      <c r="N99" s="2152"/>
      <c r="O99" s="2148"/>
      <c r="P99" s="2151">
        <f t="shared" si="69"/>
        <v>0</v>
      </c>
      <c r="Q99" s="2148"/>
      <c r="R99" s="2150"/>
      <c r="S99" s="2152"/>
      <c r="T99" s="2153"/>
      <c r="U99" s="2154">
        <f t="shared" si="0"/>
        <v>0</v>
      </c>
      <c r="V99" s="2155"/>
      <c r="W99" s="2150"/>
      <c r="X99" s="2152"/>
      <c r="Y99" s="2153"/>
      <c r="Z99" s="1572">
        <f t="shared" si="1"/>
        <v>0</v>
      </c>
      <c r="AA99" s="2168">
        <f t="shared" si="42"/>
        <v>0</v>
      </c>
      <c r="AB99" s="2156" t="str">
        <f t="shared" si="2"/>
        <v/>
      </c>
      <c r="AC99" s="1663"/>
      <c r="AD99" s="2158" t="str">
        <f t="shared" si="43"/>
        <v/>
      </c>
      <c r="AE99" s="2159">
        <f t="shared" si="44"/>
        <v>0</v>
      </c>
      <c r="AF99" s="2159">
        <f t="shared" si="45"/>
        <v>0</v>
      </c>
      <c r="AG99" s="2159">
        <f t="shared" si="46"/>
        <v>0</v>
      </c>
      <c r="AH99" s="2159">
        <f t="shared" si="47"/>
        <v>0</v>
      </c>
      <c r="AI99" s="2160">
        <f t="shared" si="3"/>
        <v>0</v>
      </c>
      <c r="AJ99" s="1966">
        <f t="shared" si="48"/>
        <v>1</v>
      </c>
      <c r="AK99" s="2159">
        <f t="shared" si="49"/>
        <v>0</v>
      </c>
      <c r="AL99" s="368" t="e">
        <f t="shared" si="50"/>
        <v>#DIV/0!</v>
      </c>
      <c r="AM99" s="264"/>
      <c r="AN99" s="369">
        <f t="shared" si="51"/>
        <v>0</v>
      </c>
      <c r="AO99" s="1966">
        <f t="shared" si="19"/>
        <v>0</v>
      </c>
      <c r="AP99" s="1966">
        <f t="shared" si="20"/>
        <v>0</v>
      </c>
      <c r="AQ99" s="1966">
        <f t="shared" si="21"/>
        <v>0</v>
      </c>
      <c r="AR99" s="370">
        <f t="shared" si="52"/>
        <v>0</v>
      </c>
      <c r="AT99" s="371">
        <f t="shared" si="4"/>
        <v>0</v>
      </c>
      <c r="AU99" s="1966">
        <f t="shared" si="53"/>
        <v>0</v>
      </c>
      <c r="AV99" s="2161">
        <f t="shared" si="54"/>
        <v>0</v>
      </c>
      <c r="AW99" s="2161">
        <f t="shared" si="55"/>
        <v>0</v>
      </c>
      <c r="AX99" s="1966">
        <f t="shared" si="5"/>
        <v>0</v>
      </c>
      <c r="AY99" s="372">
        <f t="shared" si="6"/>
        <v>0</v>
      </c>
      <c r="AZ99" s="265"/>
      <c r="BA99" s="371">
        <f t="shared" si="56"/>
        <v>0</v>
      </c>
      <c r="BB99" s="1966">
        <f t="shared" si="57"/>
        <v>0</v>
      </c>
      <c r="BC99" s="1966">
        <f t="shared" si="58"/>
        <v>0</v>
      </c>
      <c r="BD99" s="1966">
        <f t="shared" si="59"/>
        <v>0</v>
      </c>
      <c r="BE99" s="372">
        <f t="shared" si="60"/>
        <v>0</v>
      </c>
      <c r="BG99" s="2159">
        <f t="shared" si="61"/>
        <v>46023</v>
      </c>
      <c r="BH99" s="2159">
        <f t="shared" si="62"/>
        <v>46023</v>
      </c>
      <c r="BI99" s="2159">
        <f t="shared" si="63"/>
        <v>46023</v>
      </c>
      <c r="BJ99" s="2159">
        <f t="shared" si="64"/>
        <v>0</v>
      </c>
      <c r="BL99" s="369">
        <f t="shared" si="65"/>
        <v>0</v>
      </c>
      <c r="BM99" s="2159">
        <f t="shared" si="66"/>
        <v>0</v>
      </c>
      <c r="BN99" s="2159">
        <f t="shared" si="67"/>
        <v>0</v>
      </c>
      <c r="BO99" s="373">
        <f t="shared" si="68"/>
        <v>0</v>
      </c>
      <c r="BT99" s="2054"/>
      <c r="CF99" s="2054"/>
    </row>
    <row r="100" spans="1:84" ht="45.75" customHeight="1">
      <c r="A100" s="2163"/>
      <c r="B100" s="2146"/>
      <c r="C100" s="2146"/>
      <c r="D100" s="2164"/>
      <c r="E100" s="1573"/>
      <c r="F100" s="2148"/>
      <c r="G100" s="2149" t="str">
        <f t="shared" si="40"/>
        <v/>
      </c>
      <c r="H100" s="2148"/>
      <c r="I100" s="2150"/>
      <c r="J100" s="2148"/>
      <c r="K100" s="2151">
        <f t="shared" si="41"/>
        <v>0</v>
      </c>
      <c r="L100" s="2148"/>
      <c r="M100" s="2150"/>
      <c r="N100" s="2152"/>
      <c r="O100" s="2148"/>
      <c r="P100" s="2151">
        <f t="shared" si="69"/>
        <v>0</v>
      </c>
      <c r="Q100" s="2148"/>
      <c r="R100" s="2150"/>
      <c r="S100" s="2152"/>
      <c r="T100" s="2153"/>
      <c r="U100" s="2154">
        <f t="shared" si="0"/>
        <v>0</v>
      </c>
      <c r="V100" s="2155"/>
      <c r="W100" s="2150"/>
      <c r="X100" s="2152"/>
      <c r="Y100" s="2153"/>
      <c r="Z100" s="1572">
        <f t="shared" si="1"/>
        <v>0</v>
      </c>
      <c r="AA100" s="2168">
        <f t="shared" si="42"/>
        <v>0</v>
      </c>
      <c r="AB100" s="2156" t="str">
        <f t="shared" si="2"/>
        <v/>
      </c>
      <c r="AC100" s="1663"/>
      <c r="AD100" s="2158" t="str">
        <f t="shared" si="43"/>
        <v/>
      </c>
      <c r="AE100" s="2159">
        <f t="shared" si="44"/>
        <v>0</v>
      </c>
      <c r="AF100" s="2159">
        <f t="shared" si="45"/>
        <v>0</v>
      </c>
      <c r="AG100" s="2159">
        <f t="shared" si="46"/>
        <v>0</v>
      </c>
      <c r="AH100" s="2159">
        <f t="shared" si="47"/>
        <v>0</v>
      </c>
      <c r="AI100" s="2160">
        <f t="shared" si="3"/>
        <v>0</v>
      </c>
      <c r="AJ100" s="1966">
        <f t="shared" si="48"/>
        <v>1</v>
      </c>
      <c r="AK100" s="2159">
        <f t="shared" si="49"/>
        <v>0</v>
      </c>
      <c r="AL100" s="368" t="e">
        <f t="shared" si="50"/>
        <v>#DIV/0!</v>
      </c>
      <c r="AM100" s="264"/>
      <c r="AN100" s="369">
        <f t="shared" si="51"/>
        <v>0</v>
      </c>
      <c r="AO100" s="1966">
        <f t="shared" si="19"/>
        <v>0</v>
      </c>
      <c r="AP100" s="1966">
        <f t="shared" si="20"/>
        <v>0</v>
      </c>
      <c r="AQ100" s="1966">
        <f t="shared" si="21"/>
        <v>0</v>
      </c>
      <c r="AR100" s="370">
        <f t="shared" si="52"/>
        <v>0</v>
      </c>
      <c r="AT100" s="371">
        <f t="shared" si="4"/>
        <v>0</v>
      </c>
      <c r="AU100" s="1966">
        <f t="shared" si="53"/>
        <v>0</v>
      </c>
      <c r="AV100" s="2161">
        <f t="shared" si="54"/>
        <v>0</v>
      </c>
      <c r="AW100" s="2161">
        <f t="shared" si="55"/>
        <v>0</v>
      </c>
      <c r="AX100" s="1966">
        <f t="shared" si="5"/>
        <v>0</v>
      </c>
      <c r="AY100" s="372">
        <f t="shared" si="6"/>
        <v>0</v>
      </c>
      <c r="AZ100" s="265"/>
      <c r="BA100" s="371">
        <f t="shared" si="56"/>
        <v>0</v>
      </c>
      <c r="BB100" s="1966">
        <f t="shared" si="57"/>
        <v>0</v>
      </c>
      <c r="BC100" s="1966">
        <f t="shared" si="58"/>
        <v>0</v>
      </c>
      <c r="BD100" s="1966">
        <f t="shared" si="59"/>
        <v>0</v>
      </c>
      <c r="BE100" s="372">
        <f t="shared" si="60"/>
        <v>0</v>
      </c>
      <c r="BG100" s="2159">
        <f t="shared" si="61"/>
        <v>46023</v>
      </c>
      <c r="BH100" s="2159">
        <f t="shared" si="62"/>
        <v>46023</v>
      </c>
      <c r="BI100" s="2159">
        <f t="shared" si="63"/>
        <v>46023</v>
      </c>
      <c r="BJ100" s="2159">
        <f t="shared" si="64"/>
        <v>0</v>
      </c>
      <c r="BL100" s="369">
        <f t="shared" si="65"/>
        <v>0</v>
      </c>
      <c r="BM100" s="2159">
        <f t="shared" si="66"/>
        <v>0</v>
      </c>
      <c r="BN100" s="2159">
        <f t="shared" si="67"/>
        <v>0</v>
      </c>
      <c r="BO100" s="373">
        <f t="shared" si="68"/>
        <v>0</v>
      </c>
      <c r="BT100" s="2054"/>
      <c r="CF100" s="2054"/>
    </row>
    <row r="101" spans="1:84" ht="45.75" customHeight="1">
      <c r="A101" s="2163"/>
      <c r="B101" s="2146"/>
      <c r="C101" s="2146"/>
      <c r="D101" s="2164"/>
      <c r="E101" s="1573"/>
      <c r="F101" s="2148"/>
      <c r="G101" s="2149" t="str">
        <f t="shared" si="40"/>
        <v/>
      </c>
      <c r="H101" s="2148"/>
      <c r="I101" s="2150"/>
      <c r="J101" s="2148"/>
      <c r="K101" s="2151">
        <f t="shared" si="41"/>
        <v>0</v>
      </c>
      <c r="L101" s="2148"/>
      <c r="M101" s="2150"/>
      <c r="N101" s="2152"/>
      <c r="O101" s="2148"/>
      <c r="P101" s="2151">
        <f t="shared" si="69"/>
        <v>0</v>
      </c>
      <c r="Q101" s="2148"/>
      <c r="R101" s="2150"/>
      <c r="S101" s="2152"/>
      <c r="T101" s="2153"/>
      <c r="U101" s="2154">
        <f t="shared" si="0"/>
        <v>0</v>
      </c>
      <c r="V101" s="2155"/>
      <c r="W101" s="2150"/>
      <c r="X101" s="2152"/>
      <c r="Y101" s="2153"/>
      <c r="Z101" s="1572">
        <f t="shared" si="1"/>
        <v>0</v>
      </c>
      <c r="AA101" s="2168">
        <f t="shared" si="42"/>
        <v>0</v>
      </c>
      <c r="AB101" s="2156" t="str">
        <f t="shared" si="2"/>
        <v/>
      </c>
      <c r="AC101" s="1663"/>
      <c r="AD101" s="2158" t="str">
        <f t="shared" si="43"/>
        <v/>
      </c>
      <c r="AE101" s="2159">
        <f t="shared" si="44"/>
        <v>0</v>
      </c>
      <c r="AF101" s="2159">
        <f t="shared" si="45"/>
        <v>0</v>
      </c>
      <c r="AG101" s="2159">
        <f t="shared" si="46"/>
        <v>0</v>
      </c>
      <c r="AH101" s="2159">
        <f t="shared" si="47"/>
        <v>0</v>
      </c>
      <c r="AI101" s="2160">
        <f t="shared" si="3"/>
        <v>0</v>
      </c>
      <c r="AJ101" s="1966">
        <f t="shared" si="48"/>
        <v>1</v>
      </c>
      <c r="AK101" s="2159">
        <f t="shared" si="49"/>
        <v>0</v>
      </c>
      <c r="AL101" s="368" t="e">
        <f t="shared" si="50"/>
        <v>#DIV/0!</v>
      </c>
      <c r="AM101" s="264"/>
      <c r="AN101" s="369">
        <f t="shared" si="51"/>
        <v>0</v>
      </c>
      <c r="AO101" s="1966">
        <f t="shared" si="19"/>
        <v>0</v>
      </c>
      <c r="AP101" s="1966">
        <f t="shared" si="20"/>
        <v>0</v>
      </c>
      <c r="AQ101" s="1966">
        <f t="shared" si="21"/>
        <v>0</v>
      </c>
      <c r="AR101" s="370">
        <f t="shared" si="52"/>
        <v>0</v>
      </c>
      <c r="AT101" s="371">
        <f t="shared" si="4"/>
        <v>0</v>
      </c>
      <c r="AU101" s="1966">
        <f t="shared" si="53"/>
        <v>0</v>
      </c>
      <c r="AV101" s="2161">
        <f t="shared" si="54"/>
        <v>0</v>
      </c>
      <c r="AW101" s="2161">
        <f t="shared" si="55"/>
        <v>0</v>
      </c>
      <c r="AX101" s="1966">
        <f t="shared" si="5"/>
        <v>0</v>
      </c>
      <c r="AY101" s="372">
        <f t="shared" si="6"/>
        <v>0</v>
      </c>
      <c r="AZ101" s="265"/>
      <c r="BA101" s="371">
        <f t="shared" si="56"/>
        <v>0</v>
      </c>
      <c r="BB101" s="1966">
        <f t="shared" si="57"/>
        <v>0</v>
      </c>
      <c r="BC101" s="1966">
        <f t="shared" si="58"/>
        <v>0</v>
      </c>
      <c r="BD101" s="1966">
        <f t="shared" si="59"/>
        <v>0</v>
      </c>
      <c r="BE101" s="372">
        <f t="shared" si="60"/>
        <v>0</v>
      </c>
      <c r="BG101" s="2159">
        <f t="shared" si="61"/>
        <v>46023</v>
      </c>
      <c r="BH101" s="2159">
        <f t="shared" si="62"/>
        <v>46023</v>
      </c>
      <c r="BI101" s="2159">
        <f t="shared" si="63"/>
        <v>46023</v>
      </c>
      <c r="BJ101" s="2159">
        <f t="shared" si="64"/>
        <v>0</v>
      </c>
      <c r="BL101" s="369">
        <f t="shared" si="65"/>
        <v>0</v>
      </c>
      <c r="BM101" s="2159">
        <f t="shared" si="66"/>
        <v>0</v>
      </c>
      <c r="BN101" s="2159">
        <f t="shared" si="67"/>
        <v>0</v>
      </c>
      <c r="BO101" s="373">
        <f t="shared" si="68"/>
        <v>0</v>
      </c>
      <c r="BT101" s="2054"/>
      <c r="CF101" s="2054"/>
    </row>
    <row r="102" spans="1:84" ht="45.75" customHeight="1">
      <c r="A102" s="2163"/>
      <c r="B102" s="2146"/>
      <c r="C102" s="2146"/>
      <c r="D102" s="2164"/>
      <c r="E102" s="1573"/>
      <c r="F102" s="2148"/>
      <c r="G102" s="2149" t="str">
        <f t="shared" si="40"/>
        <v/>
      </c>
      <c r="H102" s="2148"/>
      <c r="I102" s="2150"/>
      <c r="J102" s="2148"/>
      <c r="K102" s="2151">
        <f t="shared" si="41"/>
        <v>0</v>
      </c>
      <c r="L102" s="2148"/>
      <c r="M102" s="2150"/>
      <c r="N102" s="2152"/>
      <c r="O102" s="2148"/>
      <c r="P102" s="2151">
        <f t="shared" si="69"/>
        <v>0</v>
      </c>
      <c r="Q102" s="2148"/>
      <c r="R102" s="2150"/>
      <c r="S102" s="2152"/>
      <c r="T102" s="2153"/>
      <c r="U102" s="2154">
        <f t="shared" si="0"/>
        <v>0</v>
      </c>
      <c r="V102" s="2155"/>
      <c r="W102" s="2150"/>
      <c r="X102" s="2152"/>
      <c r="Y102" s="2153"/>
      <c r="Z102" s="1572">
        <f t="shared" si="1"/>
        <v>0</v>
      </c>
      <c r="AA102" s="2168">
        <f t="shared" si="42"/>
        <v>0</v>
      </c>
      <c r="AB102" s="2156" t="str">
        <f t="shared" si="2"/>
        <v/>
      </c>
      <c r="AC102" s="1663"/>
      <c r="AD102" s="2158" t="str">
        <f t="shared" si="43"/>
        <v/>
      </c>
      <c r="AE102" s="2159">
        <f t="shared" si="44"/>
        <v>0</v>
      </c>
      <c r="AF102" s="2159">
        <f t="shared" si="45"/>
        <v>0</v>
      </c>
      <c r="AG102" s="2159">
        <f t="shared" si="46"/>
        <v>0</v>
      </c>
      <c r="AH102" s="2159">
        <f t="shared" si="47"/>
        <v>0</v>
      </c>
      <c r="AI102" s="2160">
        <f t="shared" si="3"/>
        <v>0</v>
      </c>
      <c r="AJ102" s="1966">
        <f t="shared" si="48"/>
        <v>1</v>
      </c>
      <c r="AK102" s="2159">
        <f t="shared" si="49"/>
        <v>0</v>
      </c>
      <c r="AL102" s="368" t="e">
        <f t="shared" si="50"/>
        <v>#DIV/0!</v>
      </c>
      <c r="AM102" s="264"/>
      <c r="AN102" s="369">
        <f t="shared" si="51"/>
        <v>0</v>
      </c>
      <c r="AO102" s="1966">
        <f t="shared" si="19"/>
        <v>0</v>
      </c>
      <c r="AP102" s="1966">
        <f t="shared" si="20"/>
        <v>0</v>
      </c>
      <c r="AQ102" s="1966">
        <f t="shared" si="21"/>
        <v>0</v>
      </c>
      <c r="AR102" s="370">
        <f t="shared" si="52"/>
        <v>0</v>
      </c>
      <c r="AT102" s="371">
        <f t="shared" si="4"/>
        <v>0</v>
      </c>
      <c r="AU102" s="1966">
        <f t="shared" si="53"/>
        <v>0</v>
      </c>
      <c r="AV102" s="2161">
        <f t="shared" si="54"/>
        <v>0</v>
      </c>
      <c r="AW102" s="2161">
        <f t="shared" si="55"/>
        <v>0</v>
      </c>
      <c r="AX102" s="1966">
        <f t="shared" si="5"/>
        <v>0</v>
      </c>
      <c r="AY102" s="372">
        <f t="shared" si="6"/>
        <v>0</v>
      </c>
      <c r="AZ102" s="265"/>
      <c r="BA102" s="371">
        <f t="shared" si="56"/>
        <v>0</v>
      </c>
      <c r="BB102" s="1966">
        <f t="shared" si="57"/>
        <v>0</v>
      </c>
      <c r="BC102" s="1966">
        <f t="shared" si="58"/>
        <v>0</v>
      </c>
      <c r="BD102" s="1966">
        <f t="shared" si="59"/>
        <v>0</v>
      </c>
      <c r="BE102" s="372">
        <f t="shared" si="60"/>
        <v>0</v>
      </c>
      <c r="BG102" s="2159">
        <f t="shared" si="61"/>
        <v>46023</v>
      </c>
      <c r="BH102" s="2159">
        <f t="shared" si="62"/>
        <v>46023</v>
      </c>
      <c r="BI102" s="2159">
        <f t="shared" si="63"/>
        <v>46023</v>
      </c>
      <c r="BJ102" s="2159">
        <f t="shared" si="64"/>
        <v>0</v>
      </c>
      <c r="BL102" s="369">
        <f t="shared" si="65"/>
        <v>0</v>
      </c>
      <c r="BM102" s="2159">
        <f t="shared" si="66"/>
        <v>0</v>
      </c>
      <c r="BN102" s="2159">
        <f t="shared" si="67"/>
        <v>0</v>
      </c>
      <c r="BO102" s="373">
        <f t="shared" si="68"/>
        <v>0</v>
      </c>
      <c r="BT102" s="2054"/>
      <c r="CF102" s="2054"/>
    </row>
    <row r="103" spans="1:84" ht="45.75" customHeight="1">
      <c r="A103" s="2163"/>
      <c r="B103" s="2146"/>
      <c r="C103" s="2146"/>
      <c r="D103" s="2164"/>
      <c r="E103" s="1573"/>
      <c r="F103" s="2148"/>
      <c r="G103" s="2149" t="str">
        <f t="shared" si="40"/>
        <v/>
      </c>
      <c r="H103" s="2148"/>
      <c r="I103" s="2150"/>
      <c r="J103" s="2148"/>
      <c r="K103" s="2151">
        <f t="shared" si="41"/>
        <v>0</v>
      </c>
      <c r="L103" s="2148"/>
      <c r="M103" s="2150"/>
      <c r="N103" s="2152"/>
      <c r="O103" s="2148"/>
      <c r="P103" s="2151">
        <f t="shared" si="69"/>
        <v>0</v>
      </c>
      <c r="Q103" s="2148"/>
      <c r="R103" s="2150"/>
      <c r="S103" s="2152"/>
      <c r="T103" s="2153"/>
      <c r="U103" s="2154">
        <f t="shared" si="0"/>
        <v>0</v>
      </c>
      <c r="V103" s="2155"/>
      <c r="W103" s="2150"/>
      <c r="X103" s="2152"/>
      <c r="Y103" s="2153"/>
      <c r="Z103" s="1572">
        <f t="shared" si="1"/>
        <v>0</v>
      </c>
      <c r="AA103" s="2168">
        <f t="shared" si="42"/>
        <v>0</v>
      </c>
      <c r="AB103" s="2156" t="str">
        <f t="shared" si="2"/>
        <v/>
      </c>
      <c r="AC103" s="1663"/>
      <c r="AD103" s="2158" t="str">
        <f t="shared" si="43"/>
        <v/>
      </c>
      <c r="AE103" s="2159">
        <f t="shared" si="44"/>
        <v>0</v>
      </c>
      <c r="AF103" s="2159">
        <f t="shared" si="45"/>
        <v>0</v>
      </c>
      <c r="AG103" s="2159">
        <f t="shared" si="46"/>
        <v>0</v>
      </c>
      <c r="AH103" s="2159">
        <f t="shared" si="47"/>
        <v>0</v>
      </c>
      <c r="AI103" s="2160">
        <f t="shared" si="3"/>
        <v>0</v>
      </c>
      <c r="AJ103" s="1966">
        <f t="shared" si="48"/>
        <v>1</v>
      </c>
      <c r="AK103" s="2159">
        <f t="shared" si="49"/>
        <v>0</v>
      </c>
      <c r="AL103" s="368" t="e">
        <f t="shared" si="50"/>
        <v>#DIV/0!</v>
      </c>
      <c r="AM103" s="264"/>
      <c r="AN103" s="369">
        <f t="shared" si="51"/>
        <v>0</v>
      </c>
      <c r="AO103" s="1966">
        <f t="shared" si="19"/>
        <v>0</v>
      </c>
      <c r="AP103" s="1966">
        <f t="shared" si="20"/>
        <v>0</v>
      </c>
      <c r="AQ103" s="1966">
        <f t="shared" si="21"/>
        <v>0</v>
      </c>
      <c r="AR103" s="370">
        <f t="shared" si="52"/>
        <v>0</v>
      </c>
      <c r="AT103" s="371">
        <f t="shared" si="4"/>
        <v>0</v>
      </c>
      <c r="AU103" s="1966">
        <f t="shared" si="53"/>
        <v>0</v>
      </c>
      <c r="AV103" s="2161">
        <f t="shared" si="54"/>
        <v>0</v>
      </c>
      <c r="AW103" s="2161">
        <f t="shared" si="55"/>
        <v>0</v>
      </c>
      <c r="AX103" s="1966">
        <f t="shared" si="5"/>
        <v>0</v>
      </c>
      <c r="AY103" s="372">
        <f t="shared" si="6"/>
        <v>0</v>
      </c>
      <c r="AZ103" s="265"/>
      <c r="BA103" s="371">
        <f t="shared" si="56"/>
        <v>0</v>
      </c>
      <c r="BB103" s="1966">
        <f t="shared" si="57"/>
        <v>0</v>
      </c>
      <c r="BC103" s="1966">
        <f t="shared" si="58"/>
        <v>0</v>
      </c>
      <c r="BD103" s="1966">
        <f t="shared" si="59"/>
        <v>0</v>
      </c>
      <c r="BE103" s="372">
        <f t="shared" si="60"/>
        <v>0</v>
      </c>
      <c r="BG103" s="2159">
        <f t="shared" si="61"/>
        <v>46023</v>
      </c>
      <c r="BH103" s="2159">
        <f t="shared" si="62"/>
        <v>46023</v>
      </c>
      <c r="BI103" s="2159">
        <f t="shared" si="63"/>
        <v>46023</v>
      </c>
      <c r="BJ103" s="2159">
        <f t="shared" si="64"/>
        <v>0</v>
      </c>
      <c r="BL103" s="369">
        <f t="shared" si="65"/>
        <v>0</v>
      </c>
      <c r="BM103" s="2159">
        <f t="shared" si="66"/>
        <v>0</v>
      </c>
      <c r="BN103" s="2159">
        <f t="shared" si="67"/>
        <v>0</v>
      </c>
      <c r="BO103" s="373">
        <f t="shared" si="68"/>
        <v>0</v>
      </c>
      <c r="BT103" s="2054"/>
      <c r="CF103" s="2054"/>
    </row>
    <row r="104" spans="1:84" ht="45.75" customHeight="1">
      <c r="A104" s="2163"/>
      <c r="B104" s="2146"/>
      <c r="C104" s="2146"/>
      <c r="D104" s="2164"/>
      <c r="E104" s="1573"/>
      <c r="F104" s="2148"/>
      <c r="G104" s="2149" t="str">
        <f t="shared" si="40"/>
        <v/>
      </c>
      <c r="H104" s="2148"/>
      <c r="I104" s="2150"/>
      <c r="J104" s="2148"/>
      <c r="K104" s="2151">
        <f t="shared" si="41"/>
        <v>0</v>
      </c>
      <c r="L104" s="2148"/>
      <c r="M104" s="2150"/>
      <c r="N104" s="2152"/>
      <c r="O104" s="2148"/>
      <c r="P104" s="2151">
        <f t="shared" si="69"/>
        <v>0</v>
      </c>
      <c r="Q104" s="2148"/>
      <c r="R104" s="2150"/>
      <c r="S104" s="2152"/>
      <c r="T104" s="2153"/>
      <c r="U104" s="2154">
        <f t="shared" si="0"/>
        <v>0</v>
      </c>
      <c r="V104" s="2155"/>
      <c r="W104" s="2150"/>
      <c r="X104" s="2152"/>
      <c r="Y104" s="2153"/>
      <c r="Z104" s="1572">
        <f t="shared" si="1"/>
        <v>0</v>
      </c>
      <c r="AA104" s="2168">
        <f t="shared" si="42"/>
        <v>0</v>
      </c>
      <c r="AB104" s="2156" t="str">
        <f t="shared" si="2"/>
        <v/>
      </c>
      <c r="AC104" s="1663"/>
      <c r="AD104" s="2158" t="str">
        <f t="shared" si="43"/>
        <v/>
      </c>
      <c r="AE104" s="2159">
        <f t="shared" si="44"/>
        <v>0</v>
      </c>
      <c r="AF104" s="2159">
        <f t="shared" si="45"/>
        <v>0</v>
      </c>
      <c r="AG104" s="2159">
        <f t="shared" si="46"/>
        <v>0</v>
      </c>
      <c r="AH104" s="2159">
        <f t="shared" si="47"/>
        <v>0</v>
      </c>
      <c r="AI104" s="2160">
        <f t="shared" si="3"/>
        <v>0</v>
      </c>
      <c r="AJ104" s="1966">
        <f t="shared" si="48"/>
        <v>1</v>
      </c>
      <c r="AK104" s="2159">
        <f t="shared" si="49"/>
        <v>0</v>
      </c>
      <c r="AL104" s="368" t="e">
        <f t="shared" si="50"/>
        <v>#DIV/0!</v>
      </c>
      <c r="AM104" s="264"/>
      <c r="AN104" s="369">
        <f t="shared" si="51"/>
        <v>0</v>
      </c>
      <c r="AO104" s="1966">
        <f t="shared" si="19"/>
        <v>0</v>
      </c>
      <c r="AP104" s="1966">
        <f t="shared" si="20"/>
        <v>0</v>
      </c>
      <c r="AQ104" s="1966">
        <f t="shared" si="21"/>
        <v>0</v>
      </c>
      <c r="AR104" s="370">
        <f t="shared" si="52"/>
        <v>0</v>
      </c>
      <c r="AT104" s="371">
        <f t="shared" si="4"/>
        <v>0</v>
      </c>
      <c r="AU104" s="1966">
        <f t="shared" si="53"/>
        <v>0</v>
      </c>
      <c r="AV104" s="2161">
        <f t="shared" si="54"/>
        <v>0</v>
      </c>
      <c r="AW104" s="2161">
        <f t="shared" si="55"/>
        <v>0</v>
      </c>
      <c r="AX104" s="1966">
        <f t="shared" si="5"/>
        <v>0</v>
      </c>
      <c r="AY104" s="372">
        <f t="shared" si="6"/>
        <v>0</v>
      </c>
      <c r="AZ104" s="265"/>
      <c r="BA104" s="371">
        <f t="shared" si="56"/>
        <v>0</v>
      </c>
      <c r="BB104" s="1966">
        <f t="shared" si="57"/>
        <v>0</v>
      </c>
      <c r="BC104" s="1966">
        <f t="shared" si="58"/>
        <v>0</v>
      </c>
      <c r="BD104" s="1966">
        <f t="shared" si="59"/>
        <v>0</v>
      </c>
      <c r="BE104" s="372">
        <f t="shared" si="60"/>
        <v>0</v>
      </c>
      <c r="BG104" s="2159">
        <f t="shared" si="61"/>
        <v>46023</v>
      </c>
      <c r="BH104" s="2159">
        <f t="shared" si="62"/>
        <v>46023</v>
      </c>
      <c r="BI104" s="2159">
        <f t="shared" si="63"/>
        <v>46023</v>
      </c>
      <c r="BJ104" s="2159">
        <f t="shared" si="64"/>
        <v>0</v>
      </c>
      <c r="BL104" s="369">
        <f t="shared" si="65"/>
        <v>0</v>
      </c>
      <c r="BM104" s="2159">
        <f t="shared" si="66"/>
        <v>0</v>
      </c>
      <c r="BN104" s="2159">
        <f t="shared" si="67"/>
        <v>0</v>
      </c>
      <c r="BO104" s="373">
        <f t="shared" si="68"/>
        <v>0</v>
      </c>
      <c r="BT104" s="2054"/>
      <c r="CF104" s="2054"/>
    </row>
    <row r="105" spans="1:84" ht="45.75" customHeight="1">
      <c r="A105" s="2163"/>
      <c r="B105" s="2146"/>
      <c r="C105" s="2146"/>
      <c r="D105" s="2164"/>
      <c r="E105" s="1573"/>
      <c r="F105" s="2148"/>
      <c r="G105" s="2149" t="str">
        <f t="shared" si="40"/>
        <v/>
      </c>
      <c r="H105" s="2148"/>
      <c r="I105" s="2150"/>
      <c r="J105" s="2148"/>
      <c r="K105" s="2151">
        <f t="shared" si="41"/>
        <v>0</v>
      </c>
      <c r="L105" s="2148"/>
      <c r="M105" s="2150"/>
      <c r="N105" s="2152"/>
      <c r="O105" s="2148"/>
      <c r="P105" s="2151">
        <f t="shared" si="69"/>
        <v>0</v>
      </c>
      <c r="Q105" s="2148"/>
      <c r="R105" s="2150"/>
      <c r="S105" s="2152"/>
      <c r="T105" s="2153"/>
      <c r="U105" s="2154">
        <f t="shared" si="0"/>
        <v>0</v>
      </c>
      <c r="V105" s="2155"/>
      <c r="W105" s="2150"/>
      <c r="X105" s="2152"/>
      <c r="Y105" s="2153"/>
      <c r="Z105" s="1572">
        <f t="shared" si="1"/>
        <v>0</v>
      </c>
      <c r="AA105" s="2168">
        <f t="shared" si="42"/>
        <v>0</v>
      </c>
      <c r="AB105" s="2156" t="str">
        <f t="shared" si="2"/>
        <v/>
      </c>
      <c r="AC105" s="1663"/>
      <c r="AD105" s="2158" t="str">
        <f t="shared" si="43"/>
        <v/>
      </c>
      <c r="AE105" s="2159">
        <f t="shared" si="44"/>
        <v>0</v>
      </c>
      <c r="AF105" s="2159">
        <f t="shared" si="45"/>
        <v>0</v>
      </c>
      <c r="AG105" s="2159">
        <f t="shared" si="46"/>
        <v>0</v>
      </c>
      <c r="AH105" s="2159">
        <f t="shared" si="47"/>
        <v>0</v>
      </c>
      <c r="AI105" s="2160">
        <f t="shared" si="3"/>
        <v>0</v>
      </c>
      <c r="AJ105" s="1966">
        <f t="shared" si="48"/>
        <v>1</v>
      </c>
      <c r="AK105" s="2159">
        <f t="shared" si="49"/>
        <v>0</v>
      </c>
      <c r="AL105" s="368" t="e">
        <f t="shared" si="50"/>
        <v>#DIV/0!</v>
      </c>
      <c r="AM105" s="264"/>
      <c r="AN105" s="369">
        <f t="shared" si="51"/>
        <v>0</v>
      </c>
      <c r="AO105" s="1966">
        <f t="shared" si="19"/>
        <v>0</v>
      </c>
      <c r="AP105" s="1966">
        <f t="shared" si="20"/>
        <v>0</v>
      </c>
      <c r="AQ105" s="1966">
        <f t="shared" si="21"/>
        <v>0</v>
      </c>
      <c r="AR105" s="370">
        <f t="shared" si="52"/>
        <v>0</v>
      </c>
      <c r="AT105" s="371">
        <f t="shared" si="4"/>
        <v>0</v>
      </c>
      <c r="AU105" s="1966">
        <f t="shared" si="53"/>
        <v>0</v>
      </c>
      <c r="AV105" s="2161">
        <f t="shared" si="54"/>
        <v>0</v>
      </c>
      <c r="AW105" s="2161">
        <f t="shared" si="55"/>
        <v>0</v>
      </c>
      <c r="AX105" s="1966">
        <f t="shared" si="5"/>
        <v>0</v>
      </c>
      <c r="AY105" s="372">
        <f t="shared" si="6"/>
        <v>0</v>
      </c>
      <c r="AZ105" s="265"/>
      <c r="BA105" s="371">
        <f t="shared" si="56"/>
        <v>0</v>
      </c>
      <c r="BB105" s="1966">
        <f t="shared" si="57"/>
        <v>0</v>
      </c>
      <c r="BC105" s="1966">
        <f t="shared" si="58"/>
        <v>0</v>
      </c>
      <c r="BD105" s="1966">
        <f t="shared" si="59"/>
        <v>0</v>
      </c>
      <c r="BE105" s="372">
        <f t="shared" si="60"/>
        <v>0</v>
      </c>
      <c r="BG105" s="2159">
        <f t="shared" si="61"/>
        <v>46023</v>
      </c>
      <c r="BH105" s="2159">
        <f t="shared" si="62"/>
        <v>46023</v>
      </c>
      <c r="BI105" s="2159">
        <f t="shared" si="63"/>
        <v>46023</v>
      </c>
      <c r="BJ105" s="2159">
        <f t="shared" si="64"/>
        <v>0</v>
      </c>
      <c r="BL105" s="369">
        <f t="shared" si="65"/>
        <v>0</v>
      </c>
      <c r="BM105" s="2159">
        <f t="shared" si="66"/>
        <v>0</v>
      </c>
      <c r="BN105" s="2159">
        <f t="shared" si="67"/>
        <v>0</v>
      </c>
      <c r="BO105" s="373">
        <f t="shared" si="68"/>
        <v>0</v>
      </c>
      <c r="BT105" s="2054"/>
      <c r="CF105" s="2054"/>
    </row>
    <row r="106" spans="1:84" ht="45.75" customHeight="1">
      <c r="A106" s="2163"/>
      <c r="B106" s="2146"/>
      <c r="C106" s="2146"/>
      <c r="D106" s="2164"/>
      <c r="E106" s="1573"/>
      <c r="F106" s="2148"/>
      <c r="G106" s="2149" t="str">
        <f t="shared" si="40"/>
        <v/>
      </c>
      <c r="H106" s="2148"/>
      <c r="I106" s="2150"/>
      <c r="J106" s="2148"/>
      <c r="K106" s="2151">
        <f t="shared" si="41"/>
        <v>0</v>
      </c>
      <c r="L106" s="2148"/>
      <c r="M106" s="2150"/>
      <c r="N106" s="2152"/>
      <c r="O106" s="2148"/>
      <c r="P106" s="2151">
        <f t="shared" si="69"/>
        <v>0</v>
      </c>
      <c r="Q106" s="2148"/>
      <c r="R106" s="2150"/>
      <c r="S106" s="2152"/>
      <c r="T106" s="2153"/>
      <c r="U106" s="2154">
        <f t="shared" si="0"/>
        <v>0</v>
      </c>
      <c r="V106" s="2155"/>
      <c r="W106" s="2150"/>
      <c r="X106" s="2152"/>
      <c r="Y106" s="2153"/>
      <c r="Z106" s="1572">
        <f t="shared" si="1"/>
        <v>0</v>
      </c>
      <c r="AA106" s="2168">
        <f t="shared" si="42"/>
        <v>0</v>
      </c>
      <c r="AB106" s="2156" t="str">
        <f t="shared" si="2"/>
        <v/>
      </c>
      <c r="AC106" s="1663"/>
      <c r="AD106" s="2158" t="str">
        <f t="shared" si="43"/>
        <v/>
      </c>
      <c r="AE106" s="2159">
        <f t="shared" si="44"/>
        <v>0</v>
      </c>
      <c r="AF106" s="2159">
        <f t="shared" si="45"/>
        <v>0</v>
      </c>
      <c r="AG106" s="2159">
        <f t="shared" si="46"/>
        <v>0</v>
      </c>
      <c r="AH106" s="2159">
        <f t="shared" si="47"/>
        <v>0</v>
      </c>
      <c r="AI106" s="2160">
        <f t="shared" si="3"/>
        <v>0</v>
      </c>
      <c r="AJ106" s="1966">
        <f t="shared" si="48"/>
        <v>1</v>
      </c>
      <c r="AK106" s="2159">
        <f t="shared" si="49"/>
        <v>0</v>
      </c>
      <c r="AL106" s="368" t="e">
        <f t="shared" si="50"/>
        <v>#DIV/0!</v>
      </c>
      <c r="AM106" s="264"/>
      <c r="AN106" s="369">
        <f t="shared" si="51"/>
        <v>0</v>
      </c>
      <c r="AO106" s="1966">
        <f t="shared" si="19"/>
        <v>0</v>
      </c>
      <c r="AP106" s="1966">
        <f t="shared" si="20"/>
        <v>0</v>
      </c>
      <c r="AQ106" s="1966">
        <f t="shared" si="21"/>
        <v>0</v>
      </c>
      <c r="AR106" s="370">
        <f t="shared" si="52"/>
        <v>0</v>
      </c>
      <c r="AT106" s="371">
        <f t="shared" si="4"/>
        <v>0</v>
      </c>
      <c r="AU106" s="1966">
        <f t="shared" si="53"/>
        <v>0</v>
      </c>
      <c r="AV106" s="2161">
        <f t="shared" si="54"/>
        <v>0</v>
      </c>
      <c r="AW106" s="2161">
        <f t="shared" si="55"/>
        <v>0</v>
      </c>
      <c r="AX106" s="1966">
        <f t="shared" si="5"/>
        <v>0</v>
      </c>
      <c r="AY106" s="372">
        <f t="shared" si="6"/>
        <v>0</v>
      </c>
      <c r="AZ106" s="265"/>
      <c r="BA106" s="371">
        <f t="shared" si="56"/>
        <v>0</v>
      </c>
      <c r="BB106" s="1966">
        <f t="shared" si="57"/>
        <v>0</v>
      </c>
      <c r="BC106" s="1966">
        <f t="shared" si="58"/>
        <v>0</v>
      </c>
      <c r="BD106" s="1966">
        <f t="shared" si="59"/>
        <v>0</v>
      </c>
      <c r="BE106" s="372">
        <f t="shared" si="60"/>
        <v>0</v>
      </c>
      <c r="BG106" s="2159">
        <f t="shared" si="61"/>
        <v>46023</v>
      </c>
      <c r="BH106" s="2159">
        <f t="shared" si="62"/>
        <v>46023</v>
      </c>
      <c r="BI106" s="2159">
        <f t="shared" si="63"/>
        <v>46023</v>
      </c>
      <c r="BJ106" s="2159">
        <f t="shared" si="64"/>
        <v>0</v>
      </c>
      <c r="BL106" s="369">
        <f t="shared" si="65"/>
        <v>0</v>
      </c>
      <c r="BM106" s="2159">
        <f t="shared" si="66"/>
        <v>0</v>
      </c>
      <c r="BN106" s="2159">
        <f t="shared" si="67"/>
        <v>0</v>
      </c>
      <c r="BO106" s="373">
        <f t="shared" si="68"/>
        <v>0</v>
      </c>
      <c r="BT106" s="2054"/>
      <c r="CF106" s="2054"/>
    </row>
    <row r="107" spans="1:84" ht="45.75" customHeight="1">
      <c r="A107" s="2163"/>
      <c r="B107" s="2146"/>
      <c r="C107" s="2146"/>
      <c r="D107" s="2164"/>
      <c r="E107" s="1573"/>
      <c r="F107" s="2148"/>
      <c r="G107" s="2149" t="str">
        <f t="shared" si="40"/>
        <v/>
      </c>
      <c r="H107" s="2148"/>
      <c r="I107" s="2150"/>
      <c r="J107" s="2148"/>
      <c r="K107" s="2151">
        <f t="shared" si="41"/>
        <v>0</v>
      </c>
      <c r="L107" s="2148"/>
      <c r="M107" s="2150"/>
      <c r="N107" s="2152"/>
      <c r="O107" s="2148"/>
      <c r="P107" s="2151">
        <f t="shared" si="69"/>
        <v>0</v>
      </c>
      <c r="Q107" s="2148"/>
      <c r="R107" s="2150"/>
      <c r="S107" s="2152"/>
      <c r="T107" s="2153"/>
      <c r="U107" s="2154">
        <f t="shared" si="0"/>
        <v>0</v>
      </c>
      <c r="V107" s="2155"/>
      <c r="W107" s="2150"/>
      <c r="X107" s="2152"/>
      <c r="Y107" s="2153"/>
      <c r="Z107" s="1572">
        <f t="shared" si="1"/>
        <v>0</v>
      </c>
      <c r="AA107" s="2168">
        <f t="shared" si="42"/>
        <v>0</v>
      </c>
      <c r="AB107" s="2156" t="str">
        <f t="shared" si="2"/>
        <v/>
      </c>
      <c r="AC107" s="1663"/>
      <c r="AD107" s="2158" t="str">
        <f t="shared" si="43"/>
        <v/>
      </c>
      <c r="AE107" s="2159">
        <f t="shared" si="44"/>
        <v>0</v>
      </c>
      <c r="AF107" s="2159">
        <f t="shared" si="45"/>
        <v>0</v>
      </c>
      <c r="AG107" s="2159">
        <f t="shared" si="46"/>
        <v>0</v>
      </c>
      <c r="AH107" s="2159">
        <f t="shared" si="47"/>
        <v>0</v>
      </c>
      <c r="AI107" s="2160">
        <f t="shared" si="3"/>
        <v>0</v>
      </c>
      <c r="AJ107" s="1966">
        <f t="shared" si="48"/>
        <v>1</v>
      </c>
      <c r="AK107" s="2159">
        <f t="shared" si="49"/>
        <v>0</v>
      </c>
      <c r="AL107" s="368" t="e">
        <f t="shared" si="50"/>
        <v>#DIV/0!</v>
      </c>
      <c r="AM107" s="264"/>
      <c r="AN107" s="369">
        <f t="shared" si="51"/>
        <v>0</v>
      </c>
      <c r="AO107" s="1966">
        <f t="shared" si="19"/>
        <v>0</v>
      </c>
      <c r="AP107" s="1966">
        <f t="shared" si="20"/>
        <v>0</v>
      </c>
      <c r="AQ107" s="1966">
        <f t="shared" si="21"/>
        <v>0</v>
      </c>
      <c r="AR107" s="370">
        <f t="shared" si="52"/>
        <v>0</v>
      </c>
      <c r="AT107" s="371">
        <f t="shared" si="4"/>
        <v>0</v>
      </c>
      <c r="AU107" s="1966">
        <f t="shared" si="53"/>
        <v>0</v>
      </c>
      <c r="AV107" s="2161">
        <f t="shared" si="54"/>
        <v>0</v>
      </c>
      <c r="AW107" s="2161">
        <f t="shared" si="55"/>
        <v>0</v>
      </c>
      <c r="AX107" s="1966">
        <f t="shared" si="5"/>
        <v>0</v>
      </c>
      <c r="AY107" s="372">
        <f t="shared" si="6"/>
        <v>0</v>
      </c>
      <c r="AZ107" s="265"/>
      <c r="BA107" s="371">
        <f t="shared" si="56"/>
        <v>0</v>
      </c>
      <c r="BB107" s="1966">
        <f t="shared" si="57"/>
        <v>0</v>
      </c>
      <c r="BC107" s="1966">
        <f t="shared" si="58"/>
        <v>0</v>
      </c>
      <c r="BD107" s="1966">
        <f t="shared" si="59"/>
        <v>0</v>
      </c>
      <c r="BE107" s="372">
        <f t="shared" si="60"/>
        <v>0</v>
      </c>
      <c r="BG107" s="2159">
        <f t="shared" si="61"/>
        <v>46023</v>
      </c>
      <c r="BH107" s="2159">
        <f t="shared" si="62"/>
        <v>46023</v>
      </c>
      <c r="BI107" s="2159">
        <f t="shared" si="63"/>
        <v>46023</v>
      </c>
      <c r="BJ107" s="2159">
        <f t="shared" si="64"/>
        <v>0</v>
      </c>
      <c r="BL107" s="369">
        <f t="shared" si="65"/>
        <v>0</v>
      </c>
      <c r="BM107" s="2159">
        <f t="shared" si="66"/>
        <v>0</v>
      </c>
      <c r="BN107" s="2159">
        <f t="shared" si="67"/>
        <v>0</v>
      </c>
      <c r="BO107" s="373">
        <f t="shared" si="68"/>
        <v>0</v>
      </c>
      <c r="BT107" s="2054"/>
      <c r="CF107" s="2054"/>
    </row>
    <row r="108" spans="1:84" ht="45.75" customHeight="1">
      <c r="A108" s="2163"/>
      <c r="B108" s="2146"/>
      <c r="C108" s="2146"/>
      <c r="D108" s="2164"/>
      <c r="E108" s="1573"/>
      <c r="F108" s="2148"/>
      <c r="G108" s="2149" t="str">
        <f t="shared" si="40"/>
        <v/>
      </c>
      <c r="H108" s="2148"/>
      <c r="I108" s="2150"/>
      <c r="J108" s="2148"/>
      <c r="K108" s="2151">
        <f t="shared" si="41"/>
        <v>0</v>
      </c>
      <c r="L108" s="2148"/>
      <c r="M108" s="2150"/>
      <c r="N108" s="2152"/>
      <c r="O108" s="2148"/>
      <c r="P108" s="2151">
        <f t="shared" si="69"/>
        <v>0</v>
      </c>
      <c r="Q108" s="2148"/>
      <c r="R108" s="2150"/>
      <c r="S108" s="2152"/>
      <c r="T108" s="2153"/>
      <c r="U108" s="2154">
        <f t="shared" si="0"/>
        <v>0</v>
      </c>
      <c r="V108" s="2155"/>
      <c r="W108" s="2150"/>
      <c r="X108" s="2152"/>
      <c r="Y108" s="2153"/>
      <c r="Z108" s="1572">
        <f t="shared" si="1"/>
        <v>0</v>
      </c>
      <c r="AA108" s="2168">
        <f t="shared" si="42"/>
        <v>0</v>
      </c>
      <c r="AB108" s="2156" t="str">
        <f t="shared" si="2"/>
        <v/>
      </c>
      <c r="AC108" s="1663"/>
      <c r="AD108" s="2158" t="str">
        <f t="shared" si="43"/>
        <v/>
      </c>
      <c r="AE108" s="2159">
        <f t="shared" si="44"/>
        <v>0</v>
      </c>
      <c r="AF108" s="2159">
        <f t="shared" si="45"/>
        <v>0</v>
      </c>
      <c r="AG108" s="2159">
        <f t="shared" si="46"/>
        <v>0</v>
      </c>
      <c r="AH108" s="2159">
        <f t="shared" si="47"/>
        <v>0</v>
      </c>
      <c r="AI108" s="2160">
        <f t="shared" si="3"/>
        <v>0</v>
      </c>
      <c r="AJ108" s="1966">
        <f t="shared" si="48"/>
        <v>1</v>
      </c>
      <c r="AK108" s="2159">
        <f t="shared" si="49"/>
        <v>0</v>
      </c>
      <c r="AL108" s="368" t="e">
        <f t="shared" si="50"/>
        <v>#DIV/0!</v>
      </c>
      <c r="AM108" s="264"/>
      <c r="AN108" s="369">
        <f t="shared" si="51"/>
        <v>0</v>
      </c>
      <c r="AO108" s="1966">
        <f t="shared" si="19"/>
        <v>0</v>
      </c>
      <c r="AP108" s="1966">
        <f t="shared" si="20"/>
        <v>0</v>
      </c>
      <c r="AQ108" s="1966">
        <f t="shared" si="21"/>
        <v>0</v>
      </c>
      <c r="AR108" s="370">
        <f t="shared" si="52"/>
        <v>0</v>
      </c>
      <c r="AT108" s="371">
        <f t="shared" si="4"/>
        <v>0</v>
      </c>
      <c r="AU108" s="1966">
        <f t="shared" si="53"/>
        <v>0</v>
      </c>
      <c r="AV108" s="2161">
        <f t="shared" si="54"/>
        <v>0</v>
      </c>
      <c r="AW108" s="2161">
        <f t="shared" si="55"/>
        <v>0</v>
      </c>
      <c r="AX108" s="1966">
        <f t="shared" si="5"/>
        <v>0</v>
      </c>
      <c r="AY108" s="372">
        <f t="shared" si="6"/>
        <v>0</v>
      </c>
      <c r="AZ108" s="265"/>
      <c r="BA108" s="371">
        <f t="shared" si="56"/>
        <v>0</v>
      </c>
      <c r="BB108" s="1966">
        <f t="shared" si="57"/>
        <v>0</v>
      </c>
      <c r="BC108" s="1966">
        <f t="shared" si="58"/>
        <v>0</v>
      </c>
      <c r="BD108" s="1966">
        <f t="shared" si="59"/>
        <v>0</v>
      </c>
      <c r="BE108" s="372">
        <f t="shared" si="60"/>
        <v>0</v>
      </c>
      <c r="BG108" s="2159">
        <f t="shared" si="61"/>
        <v>46023</v>
      </c>
      <c r="BH108" s="2159">
        <f t="shared" si="62"/>
        <v>46023</v>
      </c>
      <c r="BI108" s="2159">
        <f t="shared" si="63"/>
        <v>46023</v>
      </c>
      <c r="BJ108" s="2159">
        <f t="shared" si="64"/>
        <v>0</v>
      </c>
      <c r="BL108" s="369">
        <f t="shared" si="65"/>
        <v>0</v>
      </c>
      <c r="BM108" s="2159">
        <f t="shared" si="66"/>
        <v>0</v>
      </c>
      <c r="BN108" s="2159">
        <f t="shared" si="67"/>
        <v>0</v>
      </c>
      <c r="BO108" s="373">
        <f t="shared" si="68"/>
        <v>0</v>
      </c>
      <c r="BT108" s="2054"/>
      <c r="CF108" s="2054"/>
    </row>
    <row r="109" spans="1:84" ht="45.75" customHeight="1">
      <c r="A109" s="2163"/>
      <c r="B109" s="2146"/>
      <c r="C109" s="2146"/>
      <c r="D109" s="2164"/>
      <c r="E109" s="1573"/>
      <c r="F109" s="2148"/>
      <c r="G109" s="2149" t="str">
        <f t="shared" si="40"/>
        <v/>
      </c>
      <c r="H109" s="2148"/>
      <c r="I109" s="2150"/>
      <c r="J109" s="2148"/>
      <c r="K109" s="2151">
        <f t="shared" si="41"/>
        <v>0</v>
      </c>
      <c r="L109" s="2148"/>
      <c r="M109" s="2150"/>
      <c r="N109" s="2152"/>
      <c r="O109" s="2148"/>
      <c r="P109" s="2151">
        <f t="shared" si="69"/>
        <v>0</v>
      </c>
      <c r="Q109" s="2148"/>
      <c r="R109" s="2150"/>
      <c r="S109" s="2152"/>
      <c r="T109" s="2153"/>
      <c r="U109" s="2154">
        <f t="shared" si="0"/>
        <v>0</v>
      </c>
      <c r="V109" s="2155"/>
      <c r="W109" s="2150"/>
      <c r="X109" s="2152"/>
      <c r="Y109" s="2153"/>
      <c r="Z109" s="1572">
        <f t="shared" si="1"/>
        <v>0</v>
      </c>
      <c r="AA109" s="2168">
        <f t="shared" si="42"/>
        <v>0</v>
      </c>
      <c r="AB109" s="2156" t="str">
        <f t="shared" si="2"/>
        <v/>
      </c>
      <c r="AC109" s="1663"/>
      <c r="AD109" s="2158" t="str">
        <f t="shared" si="43"/>
        <v/>
      </c>
      <c r="AE109" s="2159">
        <f t="shared" si="44"/>
        <v>0</v>
      </c>
      <c r="AF109" s="2159">
        <f t="shared" si="45"/>
        <v>0</v>
      </c>
      <c r="AG109" s="2159">
        <f t="shared" si="46"/>
        <v>0</v>
      </c>
      <c r="AH109" s="2159">
        <f t="shared" si="47"/>
        <v>0</v>
      </c>
      <c r="AI109" s="2160">
        <f t="shared" si="3"/>
        <v>0</v>
      </c>
      <c r="AJ109" s="1966">
        <f t="shared" si="48"/>
        <v>1</v>
      </c>
      <c r="AK109" s="2159">
        <f t="shared" si="49"/>
        <v>0</v>
      </c>
      <c r="AL109" s="368" t="e">
        <f t="shared" si="50"/>
        <v>#DIV/0!</v>
      </c>
      <c r="AM109" s="264"/>
      <c r="AN109" s="369">
        <f t="shared" si="51"/>
        <v>0</v>
      </c>
      <c r="AO109" s="1966">
        <f t="shared" si="19"/>
        <v>0</v>
      </c>
      <c r="AP109" s="1966">
        <f t="shared" si="20"/>
        <v>0</v>
      </c>
      <c r="AQ109" s="1966">
        <f t="shared" si="21"/>
        <v>0</v>
      </c>
      <c r="AR109" s="370">
        <f t="shared" si="52"/>
        <v>0</v>
      </c>
      <c r="AT109" s="371">
        <f t="shared" si="4"/>
        <v>0</v>
      </c>
      <c r="AU109" s="1966">
        <f t="shared" si="53"/>
        <v>0</v>
      </c>
      <c r="AV109" s="2161">
        <f t="shared" si="54"/>
        <v>0</v>
      </c>
      <c r="AW109" s="2161">
        <f t="shared" si="55"/>
        <v>0</v>
      </c>
      <c r="AX109" s="1966">
        <f t="shared" si="5"/>
        <v>0</v>
      </c>
      <c r="AY109" s="372">
        <f t="shared" si="6"/>
        <v>0</v>
      </c>
      <c r="AZ109" s="265"/>
      <c r="BA109" s="371">
        <f t="shared" si="56"/>
        <v>0</v>
      </c>
      <c r="BB109" s="1966">
        <f t="shared" si="57"/>
        <v>0</v>
      </c>
      <c r="BC109" s="1966">
        <f t="shared" si="58"/>
        <v>0</v>
      </c>
      <c r="BD109" s="1966">
        <f t="shared" si="59"/>
        <v>0</v>
      </c>
      <c r="BE109" s="372">
        <f t="shared" si="60"/>
        <v>0</v>
      </c>
      <c r="BG109" s="2159">
        <f t="shared" si="61"/>
        <v>46023</v>
      </c>
      <c r="BH109" s="2159">
        <f t="shared" si="62"/>
        <v>46023</v>
      </c>
      <c r="BI109" s="2159">
        <f t="shared" si="63"/>
        <v>46023</v>
      </c>
      <c r="BJ109" s="2159">
        <f t="shared" si="64"/>
        <v>0</v>
      </c>
      <c r="BL109" s="369">
        <f t="shared" si="65"/>
        <v>0</v>
      </c>
      <c r="BM109" s="2159">
        <f t="shared" si="66"/>
        <v>0</v>
      </c>
      <c r="BN109" s="2159">
        <f t="shared" si="67"/>
        <v>0</v>
      </c>
      <c r="BO109" s="373">
        <f t="shared" si="68"/>
        <v>0</v>
      </c>
      <c r="BT109" s="2054"/>
      <c r="CF109" s="2054"/>
    </row>
    <row r="110" spans="1:84" ht="45.75" customHeight="1">
      <c r="A110" s="2163"/>
      <c r="B110" s="2146"/>
      <c r="C110" s="2146"/>
      <c r="D110" s="2164"/>
      <c r="E110" s="1573"/>
      <c r="F110" s="2148"/>
      <c r="G110" s="2149" t="str">
        <f t="shared" si="40"/>
        <v/>
      </c>
      <c r="H110" s="2148"/>
      <c r="I110" s="2150"/>
      <c r="J110" s="2148"/>
      <c r="K110" s="2151">
        <f t="shared" si="41"/>
        <v>0</v>
      </c>
      <c r="L110" s="2148"/>
      <c r="M110" s="2150"/>
      <c r="N110" s="2152"/>
      <c r="O110" s="2148"/>
      <c r="P110" s="2151">
        <f t="shared" si="69"/>
        <v>0</v>
      </c>
      <c r="Q110" s="2148"/>
      <c r="R110" s="2150"/>
      <c r="S110" s="2152"/>
      <c r="T110" s="2153"/>
      <c r="U110" s="2154">
        <f t="shared" si="0"/>
        <v>0</v>
      </c>
      <c r="V110" s="2155"/>
      <c r="W110" s="2150"/>
      <c r="X110" s="2152"/>
      <c r="Y110" s="2153"/>
      <c r="Z110" s="1572">
        <f t="shared" si="1"/>
        <v>0</v>
      </c>
      <c r="AA110" s="2168">
        <f t="shared" si="42"/>
        <v>0</v>
      </c>
      <c r="AB110" s="2156" t="str">
        <f t="shared" si="2"/>
        <v/>
      </c>
      <c r="AC110" s="1663"/>
      <c r="AD110" s="2158" t="str">
        <f t="shared" si="43"/>
        <v/>
      </c>
      <c r="AE110" s="2159">
        <f t="shared" si="44"/>
        <v>0</v>
      </c>
      <c r="AF110" s="2159">
        <f t="shared" si="45"/>
        <v>0</v>
      </c>
      <c r="AG110" s="2159">
        <f t="shared" si="46"/>
        <v>0</v>
      </c>
      <c r="AH110" s="2159">
        <f t="shared" si="47"/>
        <v>0</v>
      </c>
      <c r="AI110" s="2160">
        <f t="shared" si="3"/>
        <v>0</v>
      </c>
      <c r="AJ110" s="1966">
        <f t="shared" si="48"/>
        <v>1</v>
      </c>
      <c r="AK110" s="2159">
        <f t="shared" si="49"/>
        <v>0</v>
      </c>
      <c r="AL110" s="368" t="e">
        <f t="shared" si="50"/>
        <v>#DIV/0!</v>
      </c>
      <c r="AM110" s="264"/>
      <c r="AN110" s="369">
        <f t="shared" si="51"/>
        <v>0</v>
      </c>
      <c r="AO110" s="1966">
        <f t="shared" si="19"/>
        <v>0</v>
      </c>
      <c r="AP110" s="1966">
        <f t="shared" si="20"/>
        <v>0</v>
      </c>
      <c r="AQ110" s="1966">
        <f t="shared" si="21"/>
        <v>0</v>
      </c>
      <c r="AR110" s="370">
        <f t="shared" si="52"/>
        <v>0</v>
      </c>
      <c r="AT110" s="371">
        <f t="shared" si="4"/>
        <v>0</v>
      </c>
      <c r="AU110" s="1966">
        <f t="shared" si="53"/>
        <v>0</v>
      </c>
      <c r="AV110" s="2161">
        <f t="shared" si="54"/>
        <v>0</v>
      </c>
      <c r="AW110" s="2161">
        <f t="shared" si="55"/>
        <v>0</v>
      </c>
      <c r="AX110" s="1966">
        <f t="shared" si="5"/>
        <v>0</v>
      </c>
      <c r="AY110" s="372">
        <f t="shared" si="6"/>
        <v>0</v>
      </c>
      <c r="AZ110" s="265"/>
      <c r="BA110" s="371">
        <f t="shared" si="56"/>
        <v>0</v>
      </c>
      <c r="BB110" s="1966">
        <f t="shared" si="57"/>
        <v>0</v>
      </c>
      <c r="BC110" s="1966">
        <f t="shared" si="58"/>
        <v>0</v>
      </c>
      <c r="BD110" s="1966">
        <f t="shared" si="59"/>
        <v>0</v>
      </c>
      <c r="BE110" s="372">
        <f t="shared" si="60"/>
        <v>0</v>
      </c>
      <c r="BG110" s="2159">
        <f t="shared" si="61"/>
        <v>46023</v>
      </c>
      <c r="BH110" s="2159">
        <f t="shared" si="62"/>
        <v>46023</v>
      </c>
      <c r="BI110" s="2159">
        <f t="shared" si="63"/>
        <v>46023</v>
      </c>
      <c r="BJ110" s="2159">
        <f t="shared" si="64"/>
        <v>0</v>
      </c>
      <c r="BL110" s="369">
        <f t="shared" si="65"/>
        <v>0</v>
      </c>
      <c r="BM110" s="2159">
        <f t="shared" si="66"/>
        <v>0</v>
      </c>
      <c r="BN110" s="2159">
        <f t="shared" si="67"/>
        <v>0</v>
      </c>
      <c r="BO110" s="373">
        <f t="shared" si="68"/>
        <v>0</v>
      </c>
      <c r="BT110" s="2054"/>
      <c r="CF110" s="2054"/>
    </row>
    <row r="111" spans="1:84" ht="45.75" customHeight="1">
      <c r="A111" s="2163"/>
      <c r="B111" s="2146"/>
      <c r="C111" s="2146"/>
      <c r="D111" s="2164"/>
      <c r="E111" s="1573"/>
      <c r="F111" s="2148"/>
      <c r="G111" s="2149" t="str">
        <f t="shared" si="40"/>
        <v/>
      </c>
      <c r="H111" s="2148"/>
      <c r="I111" s="2150"/>
      <c r="J111" s="2148"/>
      <c r="K111" s="2151">
        <f t="shared" si="41"/>
        <v>0</v>
      </c>
      <c r="L111" s="2148"/>
      <c r="M111" s="2150"/>
      <c r="N111" s="2152"/>
      <c r="O111" s="2148"/>
      <c r="P111" s="2151">
        <f t="shared" si="69"/>
        <v>0</v>
      </c>
      <c r="Q111" s="2148"/>
      <c r="R111" s="2150"/>
      <c r="S111" s="2152"/>
      <c r="T111" s="2153"/>
      <c r="U111" s="2154">
        <f t="shared" si="0"/>
        <v>0</v>
      </c>
      <c r="V111" s="2155"/>
      <c r="W111" s="2150"/>
      <c r="X111" s="2152"/>
      <c r="Y111" s="2153"/>
      <c r="Z111" s="1572">
        <f t="shared" si="1"/>
        <v>0</v>
      </c>
      <c r="AA111" s="2168">
        <f t="shared" si="42"/>
        <v>0</v>
      </c>
      <c r="AB111" s="2156" t="str">
        <f t="shared" si="2"/>
        <v/>
      </c>
      <c r="AC111" s="1663"/>
      <c r="AD111" s="2158" t="str">
        <f t="shared" si="43"/>
        <v/>
      </c>
      <c r="AE111" s="2159">
        <f t="shared" si="44"/>
        <v>0</v>
      </c>
      <c r="AF111" s="2159">
        <f t="shared" si="45"/>
        <v>0</v>
      </c>
      <c r="AG111" s="2159">
        <f t="shared" si="46"/>
        <v>0</v>
      </c>
      <c r="AH111" s="2159">
        <f t="shared" si="47"/>
        <v>0</v>
      </c>
      <c r="AI111" s="2160">
        <f t="shared" si="3"/>
        <v>0</v>
      </c>
      <c r="AJ111" s="1966">
        <f t="shared" si="48"/>
        <v>1</v>
      </c>
      <c r="AK111" s="2159">
        <f t="shared" si="49"/>
        <v>0</v>
      </c>
      <c r="AL111" s="368" t="e">
        <f t="shared" si="50"/>
        <v>#DIV/0!</v>
      </c>
      <c r="AM111" s="264"/>
      <c r="AN111" s="369">
        <f t="shared" si="51"/>
        <v>0</v>
      </c>
      <c r="AO111" s="1966">
        <f t="shared" si="19"/>
        <v>0</v>
      </c>
      <c r="AP111" s="1966">
        <f t="shared" si="20"/>
        <v>0</v>
      </c>
      <c r="AQ111" s="1966">
        <f t="shared" si="21"/>
        <v>0</v>
      </c>
      <c r="AR111" s="370">
        <f t="shared" si="52"/>
        <v>0</v>
      </c>
      <c r="AT111" s="371">
        <f t="shared" si="4"/>
        <v>0</v>
      </c>
      <c r="AU111" s="1966">
        <f t="shared" si="53"/>
        <v>0</v>
      </c>
      <c r="AV111" s="2161">
        <f t="shared" si="54"/>
        <v>0</v>
      </c>
      <c r="AW111" s="2161">
        <f t="shared" si="55"/>
        <v>0</v>
      </c>
      <c r="AX111" s="1966">
        <f t="shared" si="5"/>
        <v>0</v>
      </c>
      <c r="AY111" s="372">
        <f t="shared" si="6"/>
        <v>0</v>
      </c>
      <c r="AZ111" s="265"/>
      <c r="BA111" s="371">
        <f t="shared" si="56"/>
        <v>0</v>
      </c>
      <c r="BB111" s="1966">
        <f t="shared" si="57"/>
        <v>0</v>
      </c>
      <c r="BC111" s="1966">
        <f t="shared" si="58"/>
        <v>0</v>
      </c>
      <c r="BD111" s="1966">
        <f t="shared" si="59"/>
        <v>0</v>
      </c>
      <c r="BE111" s="372">
        <f t="shared" si="60"/>
        <v>0</v>
      </c>
      <c r="BG111" s="2159">
        <f t="shared" si="61"/>
        <v>46023</v>
      </c>
      <c r="BH111" s="2159">
        <f t="shared" si="62"/>
        <v>46023</v>
      </c>
      <c r="BI111" s="2159">
        <f t="shared" si="63"/>
        <v>46023</v>
      </c>
      <c r="BJ111" s="2159">
        <f t="shared" si="64"/>
        <v>0</v>
      </c>
      <c r="BL111" s="369">
        <f t="shared" si="65"/>
        <v>0</v>
      </c>
      <c r="BM111" s="2159">
        <f t="shared" si="66"/>
        <v>0</v>
      </c>
      <c r="BN111" s="2159">
        <f t="shared" si="67"/>
        <v>0</v>
      </c>
      <c r="BO111" s="373">
        <f t="shared" si="68"/>
        <v>0</v>
      </c>
      <c r="BT111" s="2054"/>
      <c r="CF111" s="2054"/>
    </row>
    <row r="112" spans="1:84" ht="45.75" customHeight="1">
      <c r="A112" s="2163"/>
      <c r="B112" s="2146"/>
      <c r="C112" s="2146"/>
      <c r="D112" s="2164"/>
      <c r="E112" s="1573"/>
      <c r="F112" s="2148"/>
      <c r="G112" s="2149" t="str">
        <f t="shared" si="40"/>
        <v/>
      </c>
      <c r="H112" s="2148"/>
      <c r="I112" s="2150"/>
      <c r="J112" s="2148"/>
      <c r="K112" s="2151">
        <f t="shared" si="41"/>
        <v>0</v>
      </c>
      <c r="L112" s="2148"/>
      <c r="M112" s="2150"/>
      <c r="N112" s="2152"/>
      <c r="O112" s="2148"/>
      <c r="P112" s="2151">
        <f t="shared" si="69"/>
        <v>0</v>
      </c>
      <c r="Q112" s="2148"/>
      <c r="R112" s="2150"/>
      <c r="S112" s="2152"/>
      <c r="T112" s="2153"/>
      <c r="U112" s="2154">
        <f t="shared" si="0"/>
        <v>0</v>
      </c>
      <c r="V112" s="2155"/>
      <c r="W112" s="2150"/>
      <c r="X112" s="2152"/>
      <c r="Y112" s="2153"/>
      <c r="Z112" s="1572">
        <f t="shared" si="1"/>
        <v>0</v>
      </c>
      <c r="AA112" s="2168">
        <f t="shared" si="42"/>
        <v>0</v>
      </c>
      <c r="AB112" s="2156" t="str">
        <f t="shared" si="2"/>
        <v/>
      </c>
      <c r="AC112" s="1663"/>
      <c r="AD112" s="2158" t="str">
        <f t="shared" si="43"/>
        <v/>
      </c>
      <c r="AE112" s="2159">
        <f t="shared" si="44"/>
        <v>0</v>
      </c>
      <c r="AF112" s="2159">
        <f t="shared" si="45"/>
        <v>0</v>
      </c>
      <c r="AG112" s="2159">
        <f t="shared" si="46"/>
        <v>0</v>
      </c>
      <c r="AH112" s="2159">
        <f t="shared" si="47"/>
        <v>0</v>
      </c>
      <c r="AI112" s="2160">
        <f t="shared" si="3"/>
        <v>0</v>
      </c>
      <c r="AJ112" s="1966">
        <f t="shared" si="48"/>
        <v>1</v>
      </c>
      <c r="AK112" s="2159">
        <f t="shared" si="49"/>
        <v>0</v>
      </c>
      <c r="AL112" s="368" t="e">
        <f t="shared" si="50"/>
        <v>#DIV/0!</v>
      </c>
      <c r="AM112" s="264"/>
      <c r="AN112" s="369">
        <f t="shared" si="51"/>
        <v>0</v>
      </c>
      <c r="AO112" s="1966">
        <f t="shared" si="19"/>
        <v>0</v>
      </c>
      <c r="AP112" s="1966">
        <f t="shared" si="20"/>
        <v>0</v>
      </c>
      <c r="AQ112" s="1966">
        <f t="shared" si="21"/>
        <v>0</v>
      </c>
      <c r="AR112" s="370">
        <f t="shared" si="52"/>
        <v>0</v>
      </c>
      <c r="AT112" s="371">
        <f t="shared" si="4"/>
        <v>0</v>
      </c>
      <c r="AU112" s="1966">
        <f t="shared" si="53"/>
        <v>0</v>
      </c>
      <c r="AV112" s="2161">
        <f t="shared" si="54"/>
        <v>0</v>
      </c>
      <c r="AW112" s="2161">
        <f t="shared" si="55"/>
        <v>0</v>
      </c>
      <c r="AX112" s="1966">
        <f t="shared" si="5"/>
        <v>0</v>
      </c>
      <c r="AY112" s="372">
        <f t="shared" si="6"/>
        <v>0</v>
      </c>
      <c r="AZ112" s="265"/>
      <c r="BA112" s="371">
        <f t="shared" si="56"/>
        <v>0</v>
      </c>
      <c r="BB112" s="1966">
        <f t="shared" si="57"/>
        <v>0</v>
      </c>
      <c r="BC112" s="1966">
        <f t="shared" si="58"/>
        <v>0</v>
      </c>
      <c r="BD112" s="1966">
        <f t="shared" si="59"/>
        <v>0</v>
      </c>
      <c r="BE112" s="372">
        <f t="shared" si="60"/>
        <v>0</v>
      </c>
      <c r="BG112" s="2159">
        <f t="shared" si="61"/>
        <v>46023</v>
      </c>
      <c r="BH112" s="2159">
        <f t="shared" si="62"/>
        <v>46023</v>
      </c>
      <c r="BI112" s="2159">
        <f t="shared" si="63"/>
        <v>46023</v>
      </c>
      <c r="BJ112" s="2159">
        <f t="shared" si="64"/>
        <v>0</v>
      </c>
      <c r="BL112" s="369">
        <f t="shared" si="65"/>
        <v>0</v>
      </c>
      <c r="BM112" s="2159">
        <f t="shared" si="66"/>
        <v>0</v>
      </c>
      <c r="BN112" s="2159">
        <f t="shared" si="67"/>
        <v>0</v>
      </c>
      <c r="BO112" s="373">
        <f t="shared" si="68"/>
        <v>0</v>
      </c>
      <c r="BT112" s="2054"/>
      <c r="CF112" s="2054"/>
    </row>
    <row r="113" spans="1:84" ht="45.75" customHeight="1">
      <c r="A113" s="2163"/>
      <c r="B113" s="2146"/>
      <c r="C113" s="2146"/>
      <c r="D113" s="2164"/>
      <c r="E113" s="1573"/>
      <c r="F113" s="2148"/>
      <c r="G113" s="2149" t="str">
        <f t="shared" si="40"/>
        <v/>
      </c>
      <c r="H113" s="2148"/>
      <c r="I113" s="2150"/>
      <c r="J113" s="2148"/>
      <c r="K113" s="2151">
        <f t="shared" si="41"/>
        <v>0</v>
      </c>
      <c r="L113" s="2148"/>
      <c r="M113" s="2150"/>
      <c r="N113" s="2152"/>
      <c r="O113" s="2148"/>
      <c r="P113" s="2151">
        <f t="shared" si="69"/>
        <v>0</v>
      </c>
      <c r="Q113" s="2148"/>
      <c r="R113" s="2150"/>
      <c r="S113" s="2152"/>
      <c r="T113" s="2153"/>
      <c r="U113" s="2154">
        <f t="shared" si="0"/>
        <v>0</v>
      </c>
      <c r="V113" s="2155"/>
      <c r="W113" s="2150"/>
      <c r="X113" s="2152"/>
      <c r="Y113" s="2153"/>
      <c r="Z113" s="1572">
        <f t="shared" si="1"/>
        <v>0</v>
      </c>
      <c r="AA113" s="2168">
        <f t="shared" si="42"/>
        <v>0</v>
      </c>
      <c r="AB113" s="2156" t="str">
        <f t="shared" si="2"/>
        <v/>
      </c>
      <c r="AC113" s="1663"/>
      <c r="AD113" s="2158" t="str">
        <f t="shared" si="43"/>
        <v/>
      </c>
      <c r="AE113" s="2159">
        <f t="shared" si="44"/>
        <v>0</v>
      </c>
      <c r="AF113" s="2159">
        <f t="shared" si="45"/>
        <v>0</v>
      </c>
      <c r="AG113" s="2159">
        <f t="shared" si="46"/>
        <v>0</v>
      </c>
      <c r="AH113" s="2159">
        <f t="shared" si="47"/>
        <v>0</v>
      </c>
      <c r="AI113" s="2160">
        <f t="shared" si="3"/>
        <v>0</v>
      </c>
      <c r="AJ113" s="1966">
        <f t="shared" si="48"/>
        <v>1</v>
      </c>
      <c r="AK113" s="2159">
        <f t="shared" si="49"/>
        <v>0</v>
      </c>
      <c r="AL113" s="368" t="e">
        <f t="shared" si="50"/>
        <v>#DIV/0!</v>
      </c>
      <c r="AM113" s="264"/>
      <c r="AN113" s="369">
        <f t="shared" si="51"/>
        <v>0</v>
      </c>
      <c r="AO113" s="1966">
        <f t="shared" si="19"/>
        <v>0</v>
      </c>
      <c r="AP113" s="1966">
        <f t="shared" si="20"/>
        <v>0</v>
      </c>
      <c r="AQ113" s="1966">
        <f t="shared" si="21"/>
        <v>0</v>
      </c>
      <c r="AR113" s="370">
        <f t="shared" si="52"/>
        <v>0</v>
      </c>
      <c r="AT113" s="371">
        <f t="shared" si="4"/>
        <v>0</v>
      </c>
      <c r="AU113" s="1966">
        <f t="shared" si="53"/>
        <v>0</v>
      </c>
      <c r="AV113" s="2161">
        <f t="shared" si="54"/>
        <v>0</v>
      </c>
      <c r="AW113" s="2161">
        <f t="shared" si="55"/>
        <v>0</v>
      </c>
      <c r="AX113" s="1966">
        <f t="shared" si="5"/>
        <v>0</v>
      </c>
      <c r="AY113" s="372">
        <f t="shared" si="6"/>
        <v>0</v>
      </c>
      <c r="AZ113" s="265"/>
      <c r="BA113" s="371">
        <f t="shared" si="56"/>
        <v>0</v>
      </c>
      <c r="BB113" s="1966">
        <f t="shared" si="57"/>
        <v>0</v>
      </c>
      <c r="BC113" s="1966">
        <f t="shared" si="58"/>
        <v>0</v>
      </c>
      <c r="BD113" s="1966">
        <f t="shared" si="59"/>
        <v>0</v>
      </c>
      <c r="BE113" s="372">
        <f t="shared" si="60"/>
        <v>0</v>
      </c>
      <c r="BG113" s="2159">
        <f t="shared" si="61"/>
        <v>46023</v>
      </c>
      <c r="BH113" s="2159">
        <f t="shared" si="62"/>
        <v>46023</v>
      </c>
      <c r="BI113" s="2159">
        <f t="shared" si="63"/>
        <v>46023</v>
      </c>
      <c r="BJ113" s="2159">
        <f t="shared" si="64"/>
        <v>0</v>
      </c>
      <c r="BL113" s="369">
        <f t="shared" si="65"/>
        <v>0</v>
      </c>
      <c r="BM113" s="2159">
        <f t="shared" si="66"/>
        <v>0</v>
      </c>
      <c r="BN113" s="2159">
        <f t="shared" si="67"/>
        <v>0</v>
      </c>
      <c r="BO113" s="373">
        <f t="shared" si="68"/>
        <v>0</v>
      </c>
      <c r="BT113" s="2054"/>
      <c r="CF113" s="2054"/>
    </row>
    <row r="114" spans="1:84" ht="45.75" customHeight="1">
      <c r="A114" s="2163"/>
      <c r="B114" s="2146"/>
      <c r="C114" s="2146"/>
      <c r="D114" s="2164"/>
      <c r="E114" s="1573"/>
      <c r="F114" s="2148"/>
      <c r="G114" s="2149" t="str">
        <f t="shared" si="40"/>
        <v/>
      </c>
      <c r="H114" s="2148"/>
      <c r="I114" s="2150"/>
      <c r="J114" s="2148"/>
      <c r="K114" s="2151">
        <f t="shared" si="41"/>
        <v>0</v>
      </c>
      <c r="L114" s="2148"/>
      <c r="M114" s="2150"/>
      <c r="N114" s="2152"/>
      <c r="O114" s="2148"/>
      <c r="P114" s="2151">
        <f t="shared" si="69"/>
        <v>0</v>
      </c>
      <c r="Q114" s="2148"/>
      <c r="R114" s="2150"/>
      <c r="S114" s="2152"/>
      <c r="T114" s="2153"/>
      <c r="U114" s="2154">
        <f t="shared" si="0"/>
        <v>0</v>
      </c>
      <c r="V114" s="2155"/>
      <c r="W114" s="2150"/>
      <c r="X114" s="2152"/>
      <c r="Y114" s="2153"/>
      <c r="Z114" s="1572">
        <f t="shared" si="1"/>
        <v>0</v>
      </c>
      <c r="AA114" s="2168">
        <f t="shared" si="42"/>
        <v>0</v>
      </c>
      <c r="AB114" s="2156" t="str">
        <f t="shared" si="2"/>
        <v/>
      </c>
      <c r="AC114" s="1663"/>
      <c r="AD114" s="2158" t="str">
        <f t="shared" si="43"/>
        <v/>
      </c>
      <c r="AE114" s="2159">
        <f t="shared" si="44"/>
        <v>0</v>
      </c>
      <c r="AF114" s="2159">
        <f t="shared" si="45"/>
        <v>0</v>
      </c>
      <c r="AG114" s="2159">
        <f t="shared" si="46"/>
        <v>0</v>
      </c>
      <c r="AH114" s="2159">
        <f t="shared" si="47"/>
        <v>0</v>
      </c>
      <c r="AI114" s="2160">
        <f t="shared" si="3"/>
        <v>0</v>
      </c>
      <c r="AJ114" s="1966">
        <f t="shared" si="48"/>
        <v>1</v>
      </c>
      <c r="AK114" s="2159">
        <f t="shared" si="49"/>
        <v>0</v>
      </c>
      <c r="AL114" s="368" t="e">
        <f t="shared" si="50"/>
        <v>#DIV/0!</v>
      </c>
      <c r="AM114" s="264"/>
      <c r="AN114" s="369">
        <f t="shared" si="51"/>
        <v>0</v>
      </c>
      <c r="AO114" s="1966">
        <f t="shared" si="19"/>
        <v>0</v>
      </c>
      <c r="AP114" s="1966">
        <f t="shared" si="20"/>
        <v>0</v>
      </c>
      <c r="AQ114" s="1966">
        <f t="shared" si="21"/>
        <v>0</v>
      </c>
      <c r="AR114" s="370">
        <f t="shared" si="52"/>
        <v>0</v>
      </c>
      <c r="AT114" s="371">
        <f t="shared" si="4"/>
        <v>0</v>
      </c>
      <c r="AU114" s="1966">
        <f t="shared" si="53"/>
        <v>0</v>
      </c>
      <c r="AV114" s="2161">
        <f t="shared" si="54"/>
        <v>0</v>
      </c>
      <c r="AW114" s="2161">
        <f t="shared" si="55"/>
        <v>0</v>
      </c>
      <c r="AX114" s="1966">
        <f t="shared" si="5"/>
        <v>0</v>
      </c>
      <c r="AY114" s="372">
        <f t="shared" si="6"/>
        <v>0</v>
      </c>
      <c r="AZ114" s="265"/>
      <c r="BA114" s="371">
        <f t="shared" si="56"/>
        <v>0</v>
      </c>
      <c r="BB114" s="1966">
        <f t="shared" si="57"/>
        <v>0</v>
      </c>
      <c r="BC114" s="1966">
        <f t="shared" si="58"/>
        <v>0</v>
      </c>
      <c r="BD114" s="1966">
        <f t="shared" si="59"/>
        <v>0</v>
      </c>
      <c r="BE114" s="372">
        <f t="shared" si="60"/>
        <v>0</v>
      </c>
      <c r="BG114" s="2159">
        <f t="shared" si="61"/>
        <v>46023</v>
      </c>
      <c r="BH114" s="2159">
        <f t="shared" si="62"/>
        <v>46023</v>
      </c>
      <c r="BI114" s="2159">
        <f t="shared" si="63"/>
        <v>46023</v>
      </c>
      <c r="BJ114" s="2159">
        <f t="shared" si="64"/>
        <v>0</v>
      </c>
      <c r="BL114" s="369">
        <f t="shared" si="65"/>
        <v>0</v>
      </c>
      <c r="BM114" s="2159">
        <f t="shared" si="66"/>
        <v>0</v>
      </c>
      <c r="BN114" s="2159">
        <f t="shared" si="67"/>
        <v>0</v>
      </c>
      <c r="BO114" s="373">
        <f t="shared" si="68"/>
        <v>0</v>
      </c>
      <c r="BT114" s="2054"/>
      <c r="CF114" s="2054"/>
    </row>
    <row r="115" spans="1:84" ht="45.75" customHeight="1">
      <c r="A115" s="2163"/>
      <c r="B115" s="2146"/>
      <c r="C115" s="2146"/>
      <c r="D115" s="2164"/>
      <c r="E115" s="1573"/>
      <c r="F115" s="2148"/>
      <c r="G115" s="2149" t="str">
        <f t="shared" si="40"/>
        <v/>
      </c>
      <c r="H115" s="2148"/>
      <c r="I115" s="2150"/>
      <c r="J115" s="2148"/>
      <c r="K115" s="2151">
        <f t="shared" si="41"/>
        <v>0</v>
      </c>
      <c r="L115" s="2148"/>
      <c r="M115" s="2150"/>
      <c r="N115" s="2152"/>
      <c r="O115" s="2148"/>
      <c r="P115" s="2151">
        <f t="shared" si="69"/>
        <v>0</v>
      </c>
      <c r="Q115" s="2148"/>
      <c r="R115" s="2150"/>
      <c r="S115" s="2152"/>
      <c r="T115" s="2153"/>
      <c r="U115" s="2154">
        <f t="shared" si="0"/>
        <v>0</v>
      </c>
      <c r="V115" s="2155"/>
      <c r="W115" s="2150"/>
      <c r="X115" s="2152"/>
      <c r="Y115" s="2153"/>
      <c r="Z115" s="1572">
        <f t="shared" si="1"/>
        <v>0</v>
      </c>
      <c r="AA115" s="2168">
        <f t="shared" si="42"/>
        <v>0</v>
      </c>
      <c r="AB115" s="2156" t="str">
        <f t="shared" si="2"/>
        <v/>
      </c>
      <c r="AC115" s="1663"/>
      <c r="AD115" s="2158" t="str">
        <f t="shared" si="43"/>
        <v/>
      </c>
      <c r="AE115" s="2159">
        <f t="shared" si="44"/>
        <v>0</v>
      </c>
      <c r="AF115" s="2159">
        <f t="shared" si="45"/>
        <v>0</v>
      </c>
      <c r="AG115" s="2159">
        <f t="shared" si="46"/>
        <v>0</v>
      </c>
      <c r="AH115" s="2159">
        <f t="shared" si="47"/>
        <v>0</v>
      </c>
      <c r="AI115" s="2160">
        <f t="shared" si="3"/>
        <v>0</v>
      </c>
      <c r="AJ115" s="1966">
        <f t="shared" si="48"/>
        <v>1</v>
      </c>
      <c r="AK115" s="2159">
        <f t="shared" si="49"/>
        <v>0</v>
      </c>
      <c r="AL115" s="368" t="e">
        <f t="shared" si="50"/>
        <v>#DIV/0!</v>
      </c>
      <c r="AM115" s="264"/>
      <c r="AN115" s="369">
        <f t="shared" si="51"/>
        <v>0</v>
      </c>
      <c r="AO115" s="1966">
        <f t="shared" si="19"/>
        <v>0</v>
      </c>
      <c r="AP115" s="1966">
        <f t="shared" si="20"/>
        <v>0</v>
      </c>
      <c r="AQ115" s="1966">
        <f t="shared" si="21"/>
        <v>0</v>
      </c>
      <c r="AR115" s="370">
        <f t="shared" si="52"/>
        <v>0</v>
      </c>
      <c r="AT115" s="371">
        <f t="shared" si="4"/>
        <v>0</v>
      </c>
      <c r="AU115" s="1966">
        <f t="shared" si="53"/>
        <v>0</v>
      </c>
      <c r="AV115" s="2161">
        <f t="shared" si="54"/>
        <v>0</v>
      </c>
      <c r="AW115" s="2161">
        <f t="shared" si="55"/>
        <v>0</v>
      </c>
      <c r="AX115" s="1966">
        <f t="shared" si="5"/>
        <v>0</v>
      </c>
      <c r="AY115" s="372">
        <f t="shared" si="6"/>
        <v>0</v>
      </c>
      <c r="AZ115" s="265"/>
      <c r="BA115" s="371">
        <f t="shared" si="56"/>
        <v>0</v>
      </c>
      <c r="BB115" s="1966">
        <f t="shared" si="57"/>
        <v>0</v>
      </c>
      <c r="BC115" s="1966">
        <f t="shared" si="58"/>
        <v>0</v>
      </c>
      <c r="BD115" s="1966">
        <f t="shared" si="59"/>
        <v>0</v>
      </c>
      <c r="BE115" s="372">
        <f t="shared" si="60"/>
        <v>0</v>
      </c>
      <c r="BG115" s="2159">
        <f t="shared" si="61"/>
        <v>46023</v>
      </c>
      <c r="BH115" s="2159">
        <f t="shared" si="62"/>
        <v>46023</v>
      </c>
      <c r="BI115" s="2159">
        <f t="shared" si="63"/>
        <v>46023</v>
      </c>
      <c r="BJ115" s="2159">
        <f t="shared" si="64"/>
        <v>0</v>
      </c>
      <c r="BL115" s="369">
        <f t="shared" si="65"/>
        <v>0</v>
      </c>
      <c r="BM115" s="2159">
        <f t="shared" si="66"/>
        <v>0</v>
      </c>
      <c r="BN115" s="2159">
        <f t="shared" si="67"/>
        <v>0</v>
      </c>
      <c r="BO115" s="373">
        <f t="shared" si="68"/>
        <v>0</v>
      </c>
      <c r="BT115" s="2054"/>
      <c r="CF115" s="2054"/>
    </row>
    <row r="116" spans="1:84" ht="45.75" customHeight="1">
      <c r="A116" s="2163"/>
      <c r="B116" s="2146"/>
      <c r="C116" s="2146"/>
      <c r="D116" s="2164"/>
      <c r="E116" s="1573"/>
      <c r="F116" s="2148"/>
      <c r="G116" s="2149" t="str">
        <f t="shared" si="40"/>
        <v/>
      </c>
      <c r="H116" s="2148"/>
      <c r="I116" s="2150"/>
      <c r="J116" s="2148"/>
      <c r="K116" s="2151">
        <f t="shared" si="41"/>
        <v>0</v>
      </c>
      <c r="L116" s="2148"/>
      <c r="M116" s="2150"/>
      <c r="N116" s="2152"/>
      <c r="O116" s="2148"/>
      <c r="P116" s="2151">
        <f t="shared" si="69"/>
        <v>0</v>
      </c>
      <c r="Q116" s="2148"/>
      <c r="R116" s="2150"/>
      <c r="S116" s="2152"/>
      <c r="T116" s="2153"/>
      <c r="U116" s="2154">
        <f t="shared" si="0"/>
        <v>0</v>
      </c>
      <c r="V116" s="2155"/>
      <c r="W116" s="2150"/>
      <c r="X116" s="2152"/>
      <c r="Y116" s="2153"/>
      <c r="Z116" s="1572">
        <f t="shared" si="1"/>
        <v>0</v>
      </c>
      <c r="AA116" s="2168">
        <f t="shared" si="42"/>
        <v>0</v>
      </c>
      <c r="AB116" s="2156" t="str">
        <f t="shared" si="2"/>
        <v/>
      </c>
      <c r="AC116" s="1663"/>
      <c r="AD116" s="2158" t="str">
        <f t="shared" si="43"/>
        <v/>
      </c>
      <c r="AE116" s="2159">
        <f t="shared" si="44"/>
        <v>0</v>
      </c>
      <c r="AF116" s="2159">
        <f t="shared" si="45"/>
        <v>0</v>
      </c>
      <c r="AG116" s="2159">
        <f t="shared" si="46"/>
        <v>0</v>
      </c>
      <c r="AH116" s="2159">
        <f t="shared" si="47"/>
        <v>0</v>
      </c>
      <c r="AI116" s="2160">
        <f t="shared" si="3"/>
        <v>0</v>
      </c>
      <c r="AJ116" s="1966">
        <f t="shared" si="48"/>
        <v>1</v>
      </c>
      <c r="AK116" s="2159">
        <f t="shared" si="49"/>
        <v>0</v>
      </c>
      <c r="AL116" s="368" t="e">
        <f t="shared" si="50"/>
        <v>#DIV/0!</v>
      </c>
      <c r="AM116" s="264"/>
      <c r="AN116" s="369">
        <f t="shared" si="51"/>
        <v>0</v>
      </c>
      <c r="AO116" s="1966">
        <f t="shared" si="19"/>
        <v>0</v>
      </c>
      <c r="AP116" s="1966">
        <f t="shared" si="20"/>
        <v>0</v>
      </c>
      <c r="AQ116" s="1966">
        <f t="shared" si="21"/>
        <v>0</v>
      </c>
      <c r="AR116" s="370">
        <f t="shared" si="52"/>
        <v>0</v>
      </c>
      <c r="AT116" s="371">
        <f t="shared" si="4"/>
        <v>0</v>
      </c>
      <c r="AU116" s="1966">
        <f t="shared" si="53"/>
        <v>0</v>
      </c>
      <c r="AV116" s="2161">
        <f t="shared" si="54"/>
        <v>0</v>
      </c>
      <c r="AW116" s="2161">
        <f t="shared" si="55"/>
        <v>0</v>
      </c>
      <c r="AX116" s="1966">
        <f t="shared" si="5"/>
        <v>0</v>
      </c>
      <c r="AY116" s="372">
        <f t="shared" si="6"/>
        <v>0</v>
      </c>
      <c r="AZ116" s="265"/>
      <c r="BA116" s="371">
        <f t="shared" si="56"/>
        <v>0</v>
      </c>
      <c r="BB116" s="1966">
        <f t="shared" si="57"/>
        <v>0</v>
      </c>
      <c r="BC116" s="1966">
        <f t="shared" si="58"/>
        <v>0</v>
      </c>
      <c r="BD116" s="1966">
        <f t="shared" si="59"/>
        <v>0</v>
      </c>
      <c r="BE116" s="372">
        <f t="shared" si="60"/>
        <v>0</v>
      </c>
      <c r="BG116" s="2159">
        <f t="shared" si="61"/>
        <v>46023</v>
      </c>
      <c r="BH116" s="2159">
        <f t="shared" si="62"/>
        <v>46023</v>
      </c>
      <c r="BI116" s="2159">
        <f t="shared" si="63"/>
        <v>46023</v>
      </c>
      <c r="BJ116" s="2159">
        <f t="shared" si="64"/>
        <v>0</v>
      </c>
      <c r="BL116" s="369">
        <f t="shared" si="65"/>
        <v>0</v>
      </c>
      <c r="BM116" s="2159">
        <f t="shared" si="66"/>
        <v>0</v>
      </c>
      <c r="BN116" s="2159">
        <f t="shared" si="67"/>
        <v>0</v>
      </c>
      <c r="BO116" s="373">
        <f t="shared" si="68"/>
        <v>0</v>
      </c>
      <c r="BT116" s="2054"/>
      <c r="CF116" s="2054"/>
    </row>
    <row r="117" spans="1:84" ht="45.75" customHeight="1">
      <c r="A117" s="2163"/>
      <c r="B117" s="2146"/>
      <c r="C117" s="2146"/>
      <c r="D117" s="2164"/>
      <c r="E117" s="1573"/>
      <c r="F117" s="2148"/>
      <c r="G117" s="2149" t="str">
        <f t="shared" si="40"/>
        <v/>
      </c>
      <c r="H117" s="2148"/>
      <c r="I117" s="2150"/>
      <c r="J117" s="2148"/>
      <c r="K117" s="2151">
        <f t="shared" si="41"/>
        <v>0</v>
      </c>
      <c r="L117" s="2148"/>
      <c r="M117" s="2150"/>
      <c r="N117" s="2152"/>
      <c r="O117" s="2148"/>
      <c r="P117" s="2151">
        <f t="shared" si="69"/>
        <v>0</v>
      </c>
      <c r="Q117" s="2148"/>
      <c r="R117" s="2150"/>
      <c r="S117" s="2152"/>
      <c r="T117" s="2153"/>
      <c r="U117" s="2154">
        <f t="shared" si="0"/>
        <v>0</v>
      </c>
      <c r="V117" s="2155"/>
      <c r="W117" s="2150"/>
      <c r="X117" s="2152"/>
      <c r="Y117" s="2153"/>
      <c r="Z117" s="1572">
        <f t="shared" si="1"/>
        <v>0</v>
      </c>
      <c r="AA117" s="2168">
        <f t="shared" si="42"/>
        <v>0</v>
      </c>
      <c r="AB117" s="2156" t="str">
        <f t="shared" si="2"/>
        <v/>
      </c>
      <c r="AC117" s="1663"/>
      <c r="AD117" s="2158" t="str">
        <f t="shared" si="43"/>
        <v/>
      </c>
      <c r="AE117" s="2159">
        <f t="shared" si="44"/>
        <v>0</v>
      </c>
      <c r="AF117" s="2159">
        <f t="shared" si="45"/>
        <v>0</v>
      </c>
      <c r="AG117" s="2159">
        <f t="shared" si="46"/>
        <v>0</v>
      </c>
      <c r="AH117" s="2159">
        <f t="shared" si="47"/>
        <v>0</v>
      </c>
      <c r="AI117" s="2160">
        <f t="shared" si="3"/>
        <v>0</v>
      </c>
      <c r="AJ117" s="1966">
        <f t="shared" si="48"/>
        <v>1</v>
      </c>
      <c r="AK117" s="2159">
        <f t="shared" si="49"/>
        <v>0</v>
      </c>
      <c r="AL117" s="368" t="e">
        <f t="shared" si="50"/>
        <v>#DIV/0!</v>
      </c>
      <c r="AM117" s="264"/>
      <c r="AN117" s="369">
        <f t="shared" si="51"/>
        <v>0</v>
      </c>
      <c r="AO117" s="1966">
        <f t="shared" si="19"/>
        <v>0</v>
      </c>
      <c r="AP117" s="1966">
        <f t="shared" si="20"/>
        <v>0</v>
      </c>
      <c r="AQ117" s="1966">
        <f t="shared" si="21"/>
        <v>0</v>
      </c>
      <c r="AR117" s="370">
        <f t="shared" si="52"/>
        <v>0</v>
      </c>
      <c r="AT117" s="371">
        <f t="shared" si="4"/>
        <v>0</v>
      </c>
      <c r="AU117" s="1966">
        <f t="shared" si="53"/>
        <v>0</v>
      </c>
      <c r="AV117" s="2161">
        <f t="shared" si="54"/>
        <v>0</v>
      </c>
      <c r="AW117" s="2161">
        <f t="shared" si="55"/>
        <v>0</v>
      </c>
      <c r="AX117" s="1966">
        <f t="shared" si="5"/>
        <v>0</v>
      </c>
      <c r="AY117" s="372">
        <f t="shared" si="6"/>
        <v>0</v>
      </c>
      <c r="AZ117" s="265"/>
      <c r="BA117" s="371">
        <f t="shared" si="56"/>
        <v>0</v>
      </c>
      <c r="BB117" s="1966">
        <f t="shared" si="57"/>
        <v>0</v>
      </c>
      <c r="BC117" s="1966">
        <f t="shared" si="58"/>
        <v>0</v>
      </c>
      <c r="BD117" s="1966">
        <f t="shared" si="59"/>
        <v>0</v>
      </c>
      <c r="BE117" s="372">
        <f t="shared" si="60"/>
        <v>0</v>
      </c>
      <c r="BG117" s="2159">
        <f t="shared" si="61"/>
        <v>46023</v>
      </c>
      <c r="BH117" s="2159">
        <f t="shared" si="62"/>
        <v>46023</v>
      </c>
      <c r="BI117" s="2159">
        <f t="shared" si="63"/>
        <v>46023</v>
      </c>
      <c r="BJ117" s="2159">
        <f t="shared" si="64"/>
        <v>0</v>
      </c>
      <c r="BL117" s="369">
        <f t="shared" si="65"/>
        <v>0</v>
      </c>
      <c r="BM117" s="2159">
        <f t="shared" si="66"/>
        <v>0</v>
      </c>
      <c r="BN117" s="2159">
        <f t="shared" si="67"/>
        <v>0</v>
      </c>
      <c r="BO117" s="373">
        <f t="shared" si="68"/>
        <v>0</v>
      </c>
      <c r="BT117" s="2054"/>
      <c r="CF117" s="2054"/>
    </row>
    <row r="118" spans="1:84" ht="45.75" customHeight="1">
      <c r="A118" s="2163"/>
      <c r="B118" s="2146"/>
      <c r="C118" s="2146"/>
      <c r="D118" s="2164"/>
      <c r="E118" s="1573"/>
      <c r="F118" s="2148"/>
      <c r="G118" s="2149" t="str">
        <f t="shared" si="40"/>
        <v/>
      </c>
      <c r="H118" s="2148"/>
      <c r="I118" s="2150"/>
      <c r="J118" s="2148"/>
      <c r="K118" s="2151">
        <f t="shared" si="41"/>
        <v>0</v>
      </c>
      <c r="L118" s="2148"/>
      <c r="M118" s="2150"/>
      <c r="N118" s="2152"/>
      <c r="O118" s="2148"/>
      <c r="P118" s="2151">
        <f t="shared" si="69"/>
        <v>0</v>
      </c>
      <c r="Q118" s="2148"/>
      <c r="R118" s="2150"/>
      <c r="S118" s="2152"/>
      <c r="T118" s="2153"/>
      <c r="U118" s="2154">
        <f t="shared" si="0"/>
        <v>0</v>
      </c>
      <c r="V118" s="2155"/>
      <c r="W118" s="2150"/>
      <c r="X118" s="2152"/>
      <c r="Y118" s="2153"/>
      <c r="Z118" s="1572">
        <f t="shared" si="1"/>
        <v>0</v>
      </c>
      <c r="AA118" s="2168">
        <f t="shared" si="42"/>
        <v>0</v>
      </c>
      <c r="AB118" s="2156" t="str">
        <f t="shared" si="2"/>
        <v/>
      </c>
      <c r="AC118" s="1663"/>
      <c r="AD118" s="2158" t="str">
        <f t="shared" si="43"/>
        <v/>
      </c>
      <c r="AE118" s="2159">
        <f t="shared" si="44"/>
        <v>0</v>
      </c>
      <c r="AF118" s="2159">
        <f t="shared" si="45"/>
        <v>0</v>
      </c>
      <c r="AG118" s="2159">
        <f t="shared" si="46"/>
        <v>0</v>
      </c>
      <c r="AH118" s="2159">
        <f t="shared" si="47"/>
        <v>0</v>
      </c>
      <c r="AI118" s="2160">
        <f t="shared" si="3"/>
        <v>0</v>
      </c>
      <c r="AJ118" s="1966">
        <f t="shared" si="48"/>
        <v>1</v>
      </c>
      <c r="AK118" s="2159">
        <f t="shared" si="49"/>
        <v>0</v>
      </c>
      <c r="AL118" s="368" t="e">
        <f t="shared" si="50"/>
        <v>#DIV/0!</v>
      </c>
      <c r="AN118" s="369">
        <f t="shared" si="51"/>
        <v>0</v>
      </c>
      <c r="AO118" s="1966">
        <f t="shared" si="19"/>
        <v>0</v>
      </c>
      <c r="AP118" s="1966">
        <f t="shared" si="20"/>
        <v>0</v>
      </c>
      <c r="AQ118" s="1966">
        <f t="shared" si="21"/>
        <v>0</v>
      </c>
      <c r="AR118" s="370">
        <f t="shared" si="52"/>
        <v>0</v>
      </c>
      <c r="AT118" s="371">
        <f t="shared" si="4"/>
        <v>0</v>
      </c>
      <c r="AU118" s="1966">
        <f t="shared" si="53"/>
        <v>0</v>
      </c>
      <c r="AV118" s="2161">
        <f t="shared" si="54"/>
        <v>0</v>
      </c>
      <c r="AW118" s="2161">
        <f t="shared" si="55"/>
        <v>0</v>
      </c>
      <c r="AX118" s="1966">
        <f t="shared" si="5"/>
        <v>0</v>
      </c>
      <c r="AY118" s="372">
        <f t="shared" si="6"/>
        <v>0</v>
      </c>
      <c r="AZ118" s="265"/>
      <c r="BA118" s="371">
        <f t="shared" si="56"/>
        <v>0</v>
      </c>
      <c r="BB118" s="1966">
        <f t="shared" si="57"/>
        <v>0</v>
      </c>
      <c r="BC118" s="1966">
        <f t="shared" si="58"/>
        <v>0</v>
      </c>
      <c r="BD118" s="1966">
        <f t="shared" si="59"/>
        <v>0</v>
      </c>
      <c r="BE118" s="372">
        <f t="shared" si="60"/>
        <v>0</v>
      </c>
      <c r="BG118" s="2159">
        <f t="shared" si="61"/>
        <v>46023</v>
      </c>
      <c r="BH118" s="2159">
        <f t="shared" si="62"/>
        <v>46023</v>
      </c>
      <c r="BI118" s="2159">
        <f t="shared" si="63"/>
        <v>46023</v>
      </c>
      <c r="BJ118" s="2159">
        <f t="shared" si="64"/>
        <v>0</v>
      </c>
      <c r="BL118" s="369">
        <f t="shared" si="65"/>
        <v>0</v>
      </c>
      <c r="BM118" s="2159">
        <f t="shared" si="66"/>
        <v>0</v>
      </c>
      <c r="BN118" s="2159">
        <f t="shared" si="67"/>
        <v>0</v>
      </c>
      <c r="BO118" s="373">
        <f t="shared" si="68"/>
        <v>0</v>
      </c>
      <c r="BT118" s="2054"/>
      <c r="CF118" s="2054"/>
    </row>
    <row r="119" spans="1:84" ht="45.75" customHeight="1">
      <c r="A119" s="2163"/>
      <c r="B119" s="2146"/>
      <c r="C119" s="2146"/>
      <c r="D119" s="2164"/>
      <c r="E119" s="1573"/>
      <c r="F119" s="2148"/>
      <c r="G119" s="2149" t="str">
        <f t="shared" ref="G119:G182" si="70">IF(AND(AN119&gt;0,E119="ja ZWF",F119=""),"",IF(AN119&gt;0,AN119,""))</f>
        <v/>
      </c>
      <c r="H119" s="2148"/>
      <c r="I119" s="2150"/>
      <c r="J119" s="2148"/>
      <c r="K119" s="2151">
        <f t="shared" ref="K119:K182" si="71">AO119</f>
        <v>0</v>
      </c>
      <c r="L119" s="2148"/>
      <c r="M119" s="2150"/>
      <c r="N119" s="2152"/>
      <c r="O119" s="2148"/>
      <c r="P119" s="2151">
        <f t="shared" ref="P119:P182" si="72">AP119</f>
        <v>0</v>
      </c>
      <c r="Q119" s="2148"/>
      <c r="R119" s="2150"/>
      <c r="S119" s="2152"/>
      <c r="T119" s="2153"/>
      <c r="U119" s="2154">
        <f t="shared" ref="U119:U182" si="73">AQ119</f>
        <v>0</v>
      </c>
      <c r="V119" s="2155"/>
      <c r="W119" s="2150"/>
      <c r="X119" s="2152"/>
      <c r="Y119" s="2153"/>
      <c r="Z119" s="1572">
        <f t="shared" ref="Z119:Z182" si="74">AR119</f>
        <v>0</v>
      </c>
      <c r="AA119" s="2168">
        <f t="shared" si="42"/>
        <v>0</v>
      </c>
      <c r="AB119" s="2156" t="str">
        <f t="shared" ref="AB119:AB182" si="75">AD119</f>
        <v/>
      </c>
      <c r="AD119" s="2158" t="str">
        <f t="shared" si="43"/>
        <v/>
      </c>
      <c r="AE119" s="2159">
        <f t="shared" si="44"/>
        <v>0</v>
      </c>
      <c r="AF119" s="2159">
        <f t="shared" si="45"/>
        <v>0</v>
      </c>
      <c r="AG119" s="2159">
        <f t="shared" si="46"/>
        <v>0</v>
      </c>
      <c r="AH119" s="2159">
        <f t="shared" si="47"/>
        <v>0</v>
      </c>
      <c r="AI119" s="2160">
        <f t="shared" ref="AI119:AI182" si="76">SUM(AE119:AH119)</f>
        <v>0</v>
      </c>
      <c r="AJ119" s="1966">
        <f t="shared" si="48"/>
        <v>1</v>
      </c>
      <c r="AK119" s="2159">
        <f t="shared" si="49"/>
        <v>0</v>
      </c>
      <c r="AL119" s="368" t="e">
        <f t="shared" si="50"/>
        <v>#DIV/0!</v>
      </c>
      <c r="AN119" s="369">
        <f t="shared" si="51"/>
        <v>0</v>
      </c>
      <c r="AO119" s="1966">
        <f t="shared" ref="AO119:AO182" si="77">IF(ISBLANK(J119),0,IF(ISBLANK(L119),($AC$8+365)-J119,L119-J119))</f>
        <v>0</v>
      </c>
      <c r="AP119" s="1966">
        <f t="shared" ref="AP119:AP182" si="78">IF(ISBLANK(O119),0,IF(ISBLANK(Q119),($AC$8+365)-O119,Q119-O119))</f>
        <v>0</v>
      </c>
      <c r="AQ119" s="1966">
        <f t="shared" ref="AQ119:AQ182" si="79">IF(ISBLANK(T119),0,IF(ISBLANK(V119),($AC$8+365)-T119,V119-T119))</f>
        <v>0</v>
      </c>
      <c r="AR119" s="370">
        <f t="shared" ref="AR119:AR182" si="80">IF(ISBLANK(Y119),0,($AC$8+365)-Y119)</f>
        <v>0</v>
      </c>
      <c r="AT119" s="371">
        <f t="shared" ref="AT119:AT182" si="81">IF(AND(E119="nein",AN119&gt;30),1,IF(AND(E119="ja ZWF",AN119&gt;30),1,IF(AND(E119="ja HF",AN119&gt;50),1,0)))</f>
        <v>0</v>
      </c>
      <c r="AU119" s="1966">
        <f t="shared" ref="AU119:AU182" si="82">IF(AND(N119="",L119&gt;0,AO119&gt;30),1,IF(AND(N119="ZWF",AO119&gt;30,L119&gt;0),1,IF(AND(N119="HF",AO119&gt;50,L119&gt;0),1,0)))</f>
        <v>0</v>
      </c>
      <c r="AV119" s="2161">
        <f t="shared" ref="AV119:AV182" si="83">IF(AND(S119="",Q119&gt;0,AP119&gt;30),1,IF(AND(S119="ZWF",AP119&gt;30,Q119&gt;0),1,IF(AND(N119="ZWF",AP119&gt;30,Q119&gt;0),1,IF(AND(S119="HF",N119="HF",AP119&gt;50,Q119&gt;0),1,0))))</f>
        <v>0</v>
      </c>
      <c r="AW119" s="2161">
        <f t="shared" ref="AW119:AW182" si="84">IF(AND(X119="",V119&gt;0,AQ119&gt;30),1,IF(AND(X119="ZWF",AQ119&gt;30,V119&gt;0),1,IF(AND(S119="ZWF",AQ119&gt;30,V119&gt;0),1,IF(AND(X119="HF",S119="HF",AQ119&gt;50,V119&gt;0),1,0))))</f>
        <v>0</v>
      </c>
      <c r="AX119" s="1966">
        <f t="shared" ref="AX119:AX182" si="85">IF(AR119&lt;31,0,IF(AND(X119="ZWF",AR119&lt;31),0,IF(AND(X119="HF",AR119&lt;51),0,1)))</f>
        <v>0</v>
      </c>
      <c r="AY119" s="372">
        <f t="shared" ref="AY119:AY182" si="86">SUM(AT119:AX119)</f>
        <v>0</v>
      </c>
      <c r="AZ119" s="265"/>
      <c r="BA119" s="371">
        <f t="shared" si="56"/>
        <v>0</v>
      </c>
      <c r="BB119" s="1966">
        <f t="shared" si="57"/>
        <v>0</v>
      </c>
      <c r="BC119" s="1966">
        <f t="shared" si="58"/>
        <v>0</v>
      </c>
      <c r="BD119" s="1966">
        <f t="shared" si="59"/>
        <v>0</v>
      </c>
      <c r="BE119" s="372">
        <f t="shared" si="60"/>
        <v>0</v>
      </c>
      <c r="BG119" s="2159">
        <f t="shared" si="61"/>
        <v>46023</v>
      </c>
      <c r="BH119" s="2159">
        <f t="shared" si="62"/>
        <v>46023</v>
      </c>
      <c r="BI119" s="2159">
        <f t="shared" si="63"/>
        <v>46023</v>
      </c>
      <c r="BJ119" s="2159">
        <f t="shared" si="64"/>
        <v>0</v>
      </c>
      <c r="BL119" s="369">
        <f t="shared" si="65"/>
        <v>0</v>
      </c>
      <c r="BM119" s="2159">
        <f t="shared" si="66"/>
        <v>0</v>
      </c>
      <c r="BN119" s="2159">
        <f t="shared" si="67"/>
        <v>0</v>
      </c>
      <c r="BO119" s="373">
        <f t="shared" si="68"/>
        <v>0</v>
      </c>
      <c r="BT119" s="2054"/>
      <c r="CF119" s="2054"/>
    </row>
    <row r="120" spans="1:84" ht="45.75" customHeight="1">
      <c r="A120" s="2163"/>
      <c r="B120" s="2146"/>
      <c r="C120" s="2146"/>
      <c r="D120" s="2164"/>
      <c r="E120" s="1573"/>
      <c r="F120" s="2148"/>
      <c r="G120" s="2149" t="str">
        <f t="shared" si="70"/>
        <v/>
      </c>
      <c r="H120" s="2148"/>
      <c r="I120" s="2150"/>
      <c r="J120" s="2148"/>
      <c r="K120" s="2151">
        <f t="shared" si="71"/>
        <v>0</v>
      </c>
      <c r="L120" s="2148"/>
      <c r="M120" s="2150"/>
      <c r="N120" s="2152"/>
      <c r="O120" s="2148"/>
      <c r="P120" s="2151">
        <f t="shared" si="72"/>
        <v>0</v>
      </c>
      <c r="Q120" s="2148"/>
      <c r="R120" s="2150"/>
      <c r="S120" s="2152"/>
      <c r="T120" s="2153"/>
      <c r="U120" s="2154">
        <f t="shared" si="73"/>
        <v>0</v>
      </c>
      <c r="V120" s="2155"/>
      <c r="W120" s="2150"/>
      <c r="X120" s="2152"/>
      <c r="Y120" s="2153"/>
      <c r="Z120" s="1572">
        <f t="shared" si="74"/>
        <v>0</v>
      </c>
      <c r="AA120" s="2168">
        <f t="shared" si="42"/>
        <v>0</v>
      </c>
      <c r="AB120" s="2156" t="str">
        <f t="shared" si="75"/>
        <v/>
      </c>
      <c r="AD120" s="2158" t="str">
        <f t="shared" si="43"/>
        <v/>
      </c>
      <c r="AE120" s="2159">
        <f t="shared" si="44"/>
        <v>0</v>
      </c>
      <c r="AF120" s="2159">
        <f t="shared" si="45"/>
        <v>0</v>
      </c>
      <c r="AG120" s="2159">
        <f t="shared" si="46"/>
        <v>0</v>
      </c>
      <c r="AH120" s="2159">
        <f t="shared" si="47"/>
        <v>0</v>
      </c>
      <c r="AI120" s="2160">
        <f t="shared" si="76"/>
        <v>0</v>
      </c>
      <c r="AJ120" s="1966">
        <f t="shared" si="48"/>
        <v>1</v>
      </c>
      <c r="AK120" s="2159">
        <f t="shared" si="49"/>
        <v>0</v>
      </c>
      <c r="AL120" s="368" t="e">
        <f t="shared" si="50"/>
        <v>#DIV/0!</v>
      </c>
      <c r="AN120" s="369">
        <f t="shared" si="51"/>
        <v>0</v>
      </c>
      <c r="AO120" s="1966">
        <f t="shared" si="77"/>
        <v>0</v>
      </c>
      <c r="AP120" s="1966">
        <f t="shared" si="78"/>
        <v>0</v>
      </c>
      <c r="AQ120" s="1966">
        <f t="shared" si="79"/>
        <v>0</v>
      </c>
      <c r="AR120" s="370">
        <f t="shared" si="80"/>
        <v>0</v>
      </c>
      <c r="AT120" s="371">
        <f t="shared" si="81"/>
        <v>0</v>
      </c>
      <c r="AU120" s="1966">
        <f t="shared" si="82"/>
        <v>0</v>
      </c>
      <c r="AV120" s="2161">
        <f t="shared" si="83"/>
        <v>0</v>
      </c>
      <c r="AW120" s="2161">
        <f t="shared" si="84"/>
        <v>0</v>
      </c>
      <c r="AX120" s="1966">
        <f t="shared" si="85"/>
        <v>0</v>
      </c>
      <c r="AY120" s="372">
        <f t="shared" si="86"/>
        <v>0</v>
      </c>
      <c r="AZ120" s="265"/>
      <c r="BA120" s="371">
        <f t="shared" si="56"/>
        <v>0</v>
      </c>
      <c r="BB120" s="1966">
        <f t="shared" si="57"/>
        <v>0</v>
      </c>
      <c r="BC120" s="1966">
        <f t="shared" si="58"/>
        <v>0</v>
      </c>
      <c r="BD120" s="1966">
        <f t="shared" si="59"/>
        <v>0</v>
      </c>
      <c r="BE120" s="372">
        <f t="shared" si="60"/>
        <v>0</v>
      </c>
      <c r="BG120" s="2159">
        <f t="shared" si="61"/>
        <v>46023</v>
      </c>
      <c r="BH120" s="2159">
        <f t="shared" si="62"/>
        <v>46023</v>
      </c>
      <c r="BI120" s="2159">
        <f t="shared" si="63"/>
        <v>46023</v>
      </c>
      <c r="BJ120" s="2159">
        <f t="shared" si="64"/>
        <v>0</v>
      </c>
      <c r="BL120" s="369">
        <f t="shared" si="65"/>
        <v>0</v>
      </c>
      <c r="BM120" s="2159">
        <f t="shared" si="66"/>
        <v>0</v>
      </c>
      <c r="BN120" s="2159">
        <f t="shared" si="67"/>
        <v>0</v>
      </c>
      <c r="BO120" s="373">
        <f t="shared" si="68"/>
        <v>0</v>
      </c>
      <c r="BT120" s="2054"/>
      <c r="CF120" s="2054"/>
    </row>
    <row r="121" spans="1:84" ht="45.75" customHeight="1">
      <c r="A121" s="2163"/>
      <c r="B121" s="2146"/>
      <c r="C121" s="2146"/>
      <c r="D121" s="2164"/>
      <c r="E121" s="1573"/>
      <c r="F121" s="2148"/>
      <c r="G121" s="2149" t="str">
        <f t="shared" si="70"/>
        <v/>
      </c>
      <c r="H121" s="2148"/>
      <c r="I121" s="2150"/>
      <c r="J121" s="2148"/>
      <c r="K121" s="2151">
        <f t="shared" si="71"/>
        <v>0</v>
      </c>
      <c r="L121" s="2148"/>
      <c r="M121" s="2150"/>
      <c r="N121" s="2152"/>
      <c r="O121" s="2148"/>
      <c r="P121" s="2151">
        <f t="shared" si="72"/>
        <v>0</v>
      </c>
      <c r="Q121" s="2148"/>
      <c r="R121" s="2150"/>
      <c r="S121" s="2152"/>
      <c r="T121" s="2153"/>
      <c r="U121" s="2154">
        <f t="shared" si="73"/>
        <v>0</v>
      </c>
      <c r="V121" s="2155"/>
      <c r="W121" s="2150"/>
      <c r="X121" s="2152"/>
      <c r="Y121" s="2153"/>
      <c r="Z121" s="1572">
        <f t="shared" si="74"/>
        <v>0</v>
      </c>
      <c r="AA121" s="2168">
        <f t="shared" si="42"/>
        <v>0</v>
      </c>
      <c r="AB121" s="2156" t="str">
        <f t="shared" si="75"/>
        <v/>
      </c>
      <c r="AD121" s="2158" t="str">
        <f t="shared" si="43"/>
        <v/>
      </c>
      <c r="AE121" s="2159">
        <f t="shared" si="44"/>
        <v>0</v>
      </c>
      <c r="AF121" s="2159">
        <f t="shared" si="45"/>
        <v>0</v>
      </c>
      <c r="AG121" s="2159">
        <f t="shared" si="46"/>
        <v>0</v>
      </c>
      <c r="AH121" s="2159">
        <f t="shared" si="47"/>
        <v>0</v>
      </c>
      <c r="AI121" s="2160">
        <f t="shared" si="76"/>
        <v>0</v>
      </c>
      <c r="AJ121" s="1966">
        <f t="shared" si="48"/>
        <v>1</v>
      </c>
      <c r="AK121" s="2159">
        <f t="shared" si="49"/>
        <v>0</v>
      </c>
      <c r="AL121" s="368" t="e">
        <f t="shared" si="50"/>
        <v>#DIV/0!</v>
      </c>
      <c r="AN121" s="369">
        <f t="shared" si="51"/>
        <v>0</v>
      </c>
      <c r="AO121" s="1966">
        <f t="shared" si="77"/>
        <v>0</v>
      </c>
      <c r="AP121" s="1966">
        <f t="shared" si="78"/>
        <v>0</v>
      </c>
      <c r="AQ121" s="1966">
        <f t="shared" si="79"/>
        <v>0</v>
      </c>
      <c r="AR121" s="370">
        <f t="shared" si="80"/>
        <v>0</v>
      </c>
      <c r="AT121" s="371">
        <f t="shared" si="81"/>
        <v>0</v>
      </c>
      <c r="AU121" s="1966">
        <f t="shared" si="82"/>
        <v>0</v>
      </c>
      <c r="AV121" s="2161">
        <f t="shared" si="83"/>
        <v>0</v>
      </c>
      <c r="AW121" s="2161">
        <f t="shared" si="84"/>
        <v>0</v>
      </c>
      <c r="AX121" s="1966">
        <f t="shared" si="85"/>
        <v>0</v>
      </c>
      <c r="AY121" s="372">
        <f t="shared" si="86"/>
        <v>0</v>
      </c>
      <c r="AZ121" s="265"/>
      <c r="BA121" s="371">
        <f t="shared" si="56"/>
        <v>0</v>
      </c>
      <c r="BB121" s="1966">
        <f t="shared" si="57"/>
        <v>0</v>
      </c>
      <c r="BC121" s="1966">
        <f t="shared" si="58"/>
        <v>0</v>
      </c>
      <c r="BD121" s="1966">
        <f t="shared" si="59"/>
        <v>0</v>
      </c>
      <c r="BE121" s="372">
        <f t="shared" si="60"/>
        <v>0</v>
      </c>
      <c r="BG121" s="2159">
        <f t="shared" si="61"/>
        <v>46023</v>
      </c>
      <c r="BH121" s="2159">
        <f t="shared" si="62"/>
        <v>46023</v>
      </c>
      <c r="BI121" s="2159">
        <f t="shared" si="63"/>
        <v>46023</v>
      </c>
      <c r="BJ121" s="2159">
        <f t="shared" si="64"/>
        <v>0</v>
      </c>
      <c r="BL121" s="369">
        <f t="shared" si="65"/>
        <v>0</v>
      </c>
      <c r="BM121" s="2159">
        <f t="shared" si="66"/>
        <v>0</v>
      </c>
      <c r="BN121" s="2159">
        <f t="shared" si="67"/>
        <v>0</v>
      </c>
      <c r="BO121" s="373">
        <f t="shared" si="68"/>
        <v>0</v>
      </c>
      <c r="BT121" s="2054"/>
      <c r="CF121" s="2054"/>
    </row>
    <row r="122" spans="1:84" ht="45.75" customHeight="1">
      <c r="A122" s="2163"/>
      <c r="B122" s="2146"/>
      <c r="C122" s="2146"/>
      <c r="D122" s="2164"/>
      <c r="E122" s="1573"/>
      <c r="F122" s="2148"/>
      <c r="G122" s="2149" t="str">
        <f t="shared" si="70"/>
        <v/>
      </c>
      <c r="H122" s="2148"/>
      <c r="I122" s="2150"/>
      <c r="J122" s="2148"/>
      <c r="K122" s="2151">
        <f t="shared" si="71"/>
        <v>0</v>
      </c>
      <c r="L122" s="2148"/>
      <c r="M122" s="2150"/>
      <c r="N122" s="2152"/>
      <c r="O122" s="2148"/>
      <c r="P122" s="2151">
        <f t="shared" si="72"/>
        <v>0</v>
      </c>
      <c r="Q122" s="2148"/>
      <c r="R122" s="2150"/>
      <c r="S122" s="2152"/>
      <c r="T122" s="2153"/>
      <c r="U122" s="2154">
        <f t="shared" si="73"/>
        <v>0</v>
      </c>
      <c r="V122" s="2155"/>
      <c r="W122" s="2150"/>
      <c r="X122" s="2152"/>
      <c r="Y122" s="2153"/>
      <c r="Z122" s="1572">
        <f t="shared" si="74"/>
        <v>0</v>
      </c>
      <c r="AA122" s="2168">
        <f t="shared" si="42"/>
        <v>0</v>
      </c>
      <c r="AB122" s="2156" t="str">
        <f t="shared" si="75"/>
        <v/>
      </c>
      <c r="AC122" s="266"/>
      <c r="AD122" s="2158" t="str">
        <f t="shared" si="43"/>
        <v/>
      </c>
      <c r="AE122" s="2159">
        <f t="shared" si="44"/>
        <v>0</v>
      </c>
      <c r="AF122" s="2159">
        <f t="shared" si="45"/>
        <v>0</v>
      </c>
      <c r="AG122" s="2159">
        <f t="shared" si="46"/>
        <v>0</v>
      </c>
      <c r="AH122" s="2159">
        <f t="shared" si="47"/>
        <v>0</v>
      </c>
      <c r="AI122" s="2160">
        <f t="shared" si="76"/>
        <v>0</v>
      </c>
      <c r="AJ122" s="1966">
        <f t="shared" si="48"/>
        <v>1</v>
      </c>
      <c r="AK122" s="2159">
        <f t="shared" si="49"/>
        <v>0</v>
      </c>
      <c r="AL122" s="368" t="e">
        <f t="shared" si="50"/>
        <v>#DIV/0!</v>
      </c>
      <c r="AN122" s="369">
        <f t="shared" si="51"/>
        <v>0</v>
      </c>
      <c r="AO122" s="1966">
        <f t="shared" si="77"/>
        <v>0</v>
      </c>
      <c r="AP122" s="1966">
        <f t="shared" si="78"/>
        <v>0</v>
      </c>
      <c r="AQ122" s="1966">
        <f t="shared" si="79"/>
        <v>0</v>
      </c>
      <c r="AR122" s="370">
        <f t="shared" si="80"/>
        <v>0</v>
      </c>
      <c r="AT122" s="371">
        <f t="shared" si="81"/>
        <v>0</v>
      </c>
      <c r="AU122" s="1966">
        <f t="shared" si="82"/>
        <v>0</v>
      </c>
      <c r="AV122" s="2161">
        <f t="shared" si="83"/>
        <v>0</v>
      </c>
      <c r="AW122" s="2161">
        <f t="shared" si="84"/>
        <v>0</v>
      </c>
      <c r="AX122" s="1966">
        <f t="shared" si="85"/>
        <v>0</v>
      </c>
      <c r="AY122" s="372">
        <f t="shared" si="86"/>
        <v>0</v>
      </c>
      <c r="AZ122" s="265"/>
      <c r="BA122" s="371">
        <f t="shared" si="56"/>
        <v>0</v>
      </c>
      <c r="BB122" s="1966">
        <f t="shared" si="57"/>
        <v>0</v>
      </c>
      <c r="BC122" s="1966">
        <f t="shared" si="58"/>
        <v>0</v>
      </c>
      <c r="BD122" s="1966">
        <f t="shared" si="59"/>
        <v>0</v>
      </c>
      <c r="BE122" s="372">
        <f t="shared" si="60"/>
        <v>0</v>
      </c>
      <c r="BG122" s="2159">
        <f t="shared" si="61"/>
        <v>46023</v>
      </c>
      <c r="BH122" s="2159">
        <f t="shared" si="62"/>
        <v>46023</v>
      </c>
      <c r="BI122" s="2159">
        <f t="shared" si="63"/>
        <v>46023</v>
      </c>
      <c r="BJ122" s="2159">
        <f t="shared" si="64"/>
        <v>0</v>
      </c>
      <c r="BL122" s="369">
        <f t="shared" si="65"/>
        <v>0</v>
      </c>
      <c r="BM122" s="2159">
        <f t="shared" si="66"/>
        <v>0</v>
      </c>
      <c r="BN122" s="2159">
        <f t="shared" si="67"/>
        <v>0</v>
      </c>
      <c r="BO122" s="373">
        <f t="shared" si="68"/>
        <v>0</v>
      </c>
      <c r="BT122" s="2054"/>
      <c r="CF122" s="2054"/>
    </row>
    <row r="123" spans="1:84" ht="45.75" customHeight="1">
      <c r="A123" s="2163"/>
      <c r="B123" s="2146"/>
      <c r="C123" s="2146"/>
      <c r="D123" s="2164"/>
      <c r="E123" s="1573"/>
      <c r="F123" s="2148"/>
      <c r="G123" s="2149" t="str">
        <f t="shared" si="70"/>
        <v/>
      </c>
      <c r="H123" s="2148"/>
      <c r="I123" s="2150"/>
      <c r="J123" s="2148"/>
      <c r="K123" s="2151">
        <f t="shared" si="71"/>
        <v>0</v>
      </c>
      <c r="L123" s="2148"/>
      <c r="M123" s="2150"/>
      <c r="N123" s="2152"/>
      <c r="O123" s="2148"/>
      <c r="P123" s="2151">
        <f t="shared" si="72"/>
        <v>0</v>
      </c>
      <c r="Q123" s="2148"/>
      <c r="R123" s="2150"/>
      <c r="S123" s="2152"/>
      <c r="T123" s="2153"/>
      <c r="U123" s="2154">
        <f t="shared" si="73"/>
        <v>0</v>
      </c>
      <c r="V123" s="2155"/>
      <c r="W123" s="2150"/>
      <c r="X123" s="2152"/>
      <c r="Y123" s="2153"/>
      <c r="Z123" s="1572">
        <f t="shared" si="74"/>
        <v>0</v>
      </c>
      <c r="AA123" s="2168">
        <f t="shared" si="42"/>
        <v>0</v>
      </c>
      <c r="AB123" s="2156" t="str">
        <f t="shared" si="75"/>
        <v/>
      </c>
      <c r="AD123" s="2158" t="str">
        <f t="shared" si="43"/>
        <v/>
      </c>
      <c r="AE123" s="2159">
        <f t="shared" si="44"/>
        <v>0</v>
      </c>
      <c r="AF123" s="2159">
        <f t="shared" si="45"/>
        <v>0</v>
      </c>
      <c r="AG123" s="2159">
        <f t="shared" si="46"/>
        <v>0</v>
      </c>
      <c r="AH123" s="2159">
        <f t="shared" si="47"/>
        <v>0</v>
      </c>
      <c r="AI123" s="2160">
        <f t="shared" si="76"/>
        <v>0</v>
      </c>
      <c r="AJ123" s="1966">
        <f t="shared" si="48"/>
        <v>1</v>
      </c>
      <c r="AK123" s="2159">
        <f t="shared" si="49"/>
        <v>0</v>
      </c>
      <c r="AL123" s="368" t="e">
        <f t="shared" si="50"/>
        <v>#DIV/0!</v>
      </c>
      <c r="AN123" s="369">
        <f t="shared" si="51"/>
        <v>0</v>
      </c>
      <c r="AO123" s="1966">
        <f t="shared" si="77"/>
        <v>0</v>
      </c>
      <c r="AP123" s="1966">
        <f t="shared" si="78"/>
        <v>0</v>
      </c>
      <c r="AQ123" s="1966">
        <f t="shared" si="79"/>
        <v>0</v>
      </c>
      <c r="AR123" s="370">
        <f t="shared" si="80"/>
        <v>0</v>
      </c>
      <c r="AT123" s="371">
        <f t="shared" si="81"/>
        <v>0</v>
      </c>
      <c r="AU123" s="1966">
        <f t="shared" si="82"/>
        <v>0</v>
      </c>
      <c r="AV123" s="2161">
        <f t="shared" si="83"/>
        <v>0</v>
      </c>
      <c r="AW123" s="2161">
        <f t="shared" si="84"/>
        <v>0</v>
      </c>
      <c r="AX123" s="1966">
        <f t="shared" si="85"/>
        <v>0</v>
      </c>
      <c r="AY123" s="372">
        <f t="shared" si="86"/>
        <v>0</v>
      </c>
      <c r="AZ123" s="265"/>
      <c r="BA123" s="371">
        <f t="shared" si="56"/>
        <v>0</v>
      </c>
      <c r="BB123" s="1966">
        <f t="shared" si="57"/>
        <v>0</v>
      </c>
      <c r="BC123" s="1966">
        <f t="shared" si="58"/>
        <v>0</v>
      </c>
      <c r="BD123" s="1966">
        <f t="shared" si="59"/>
        <v>0</v>
      </c>
      <c r="BE123" s="372">
        <f t="shared" si="60"/>
        <v>0</v>
      </c>
      <c r="BG123" s="2159">
        <f t="shared" si="61"/>
        <v>46023</v>
      </c>
      <c r="BH123" s="2159">
        <f t="shared" si="62"/>
        <v>46023</v>
      </c>
      <c r="BI123" s="2159">
        <f t="shared" si="63"/>
        <v>46023</v>
      </c>
      <c r="BJ123" s="2159">
        <f t="shared" si="64"/>
        <v>0</v>
      </c>
      <c r="BL123" s="369">
        <f t="shared" si="65"/>
        <v>0</v>
      </c>
      <c r="BM123" s="2159">
        <f t="shared" si="66"/>
        <v>0</v>
      </c>
      <c r="BN123" s="2159">
        <f t="shared" si="67"/>
        <v>0</v>
      </c>
      <c r="BO123" s="373">
        <f t="shared" si="68"/>
        <v>0</v>
      </c>
      <c r="BT123" s="2054"/>
      <c r="CF123" s="2054"/>
    </row>
    <row r="124" spans="1:84" ht="45.75" customHeight="1">
      <c r="A124" s="2163"/>
      <c r="B124" s="2146"/>
      <c r="C124" s="2146"/>
      <c r="D124" s="2164"/>
      <c r="E124" s="1573"/>
      <c r="F124" s="2148"/>
      <c r="G124" s="2149" t="str">
        <f t="shared" si="70"/>
        <v/>
      </c>
      <c r="H124" s="2148"/>
      <c r="I124" s="2150"/>
      <c r="J124" s="2148"/>
      <c r="K124" s="2151">
        <f t="shared" si="71"/>
        <v>0</v>
      </c>
      <c r="L124" s="2148"/>
      <c r="M124" s="2150"/>
      <c r="N124" s="2152"/>
      <c r="O124" s="2148"/>
      <c r="P124" s="2151">
        <f t="shared" si="72"/>
        <v>0</v>
      </c>
      <c r="Q124" s="2148"/>
      <c r="R124" s="2150"/>
      <c r="S124" s="2152"/>
      <c r="T124" s="2153"/>
      <c r="U124" s="2154">
        <f t="shared" si="73"/>
        <v>0</v>
      </c>
      <c r="V124" s="2155"/>
      <c r="W124" s="2150"/>
      <c r="X124" s="2152"/>
      <c r="Y124" s="2153"/>
      <c r="Z124" s="1572">
        <f t="shared" si="74"/>
        <v>0</v>
      </c>
      <c r="AA124" s="2168">
        <f t="shared" si="42"/>
        <v>0</v>
      </c>
      <c r="AB124" s="2156" t="str">
        <f t="shared" si="75"/>
        <v/>
      </c>
      <c r="AD124" s="2158" t="str">
        <f t="shared" si="43"/>
        <v/>
      </c>
      <c r="AE124" s="2159">
        <f t="shared" si="44"/>
        <v>0</v>
      </c>
      <c r="AF124" s="2159">
        <f t="shared" si="45"/>
        <v>0</v>
      </c>
      <c r="AG124" s="2159">
        <f t="shared" si="46"/>
        <v>0</v>
      </c>
      <c r="AH124" s="2159">
        <f t="shared" si="47"/>
        <v>0</v>
      </c>
      <c r="AI124" s="2160">
        <f t="shared" si="76"/>
        <v>0</v>
      </c>
      <c r="AJ124" s="1966">
        <f t="shared" si="48"/>
        <v>1</v>
      </c>
      <c r="AK124" s="2159">
        <f t="shared" si="49"/>
        <v>0</v>
      </c>
      <c r="AL124" s="368" t="e">
        <f t="shared" si="50"/>
        <v>#DIV/0!</v>
      </c>
      <c r="AN124" s="369">
        <f t="shared" si="51"/>
        <v>0</v>
      </c>
      <c r="AO124" s="1966">
        <f t="shared" si="77"/>
        <v>0</v>
      </c>
      <c r="AP124" s="1966">
        <f t="shared" si="78"/>
        <v>0</v>
      </c>
      <c r="AQ124" s="1966">
        <f t="shared" si="79"/>
        <v>0</v>
      </c>
      <c r="AR124" s="370">
        <f t="shared" si="80"/>
        <v>0</v>
      </c>
      <c r="AT124" s="371">
        <f t="shared" si="81"/>
        <v>0</v>
      </c>
      <c r="AU124" s="1966">
        <f t="shared" si="82"/>
        <v>0</v>
      </c>
      <c r="AV124" s="2161">
        <f t="shared" si="83"/>
        <v>0</v>
      </c>
      <c r="AW124" s="2161">
        <f t="shared" si="84"/>
        <v>0</v>
      </c>
      <c r="AX124" s="1966">
        <f t="shared" si="85"/>
        <v>0</v>
      </c>
      <c r="AY124" s="372">
        <f t="shared" si="86"/>
        <v>0</v>
      </c>
      <c r="AZ124" s="265"/>
      <c r="BA124" s="371">
        <f t="shared" si="56"/>
        <v>0</v>
      </c>
      <c r="BB124" s="1966">
        <f t="shared" si="57"/>
        <v>0</v>
      </c>
      <c r="BC124" s="1966">
        <f t="shared" si="58"/>
        <v>0</v>
      </c>
      <c r="BD124" s="1966">
        <f t="shared" si="59"/>
        <v>0</v>
      </c>
      <c r="BE124" s="372">
        <f t="shared" si="60"/>
        <v>0</v>
      </c>
      <c r="BG124" s="2159">
        <f t="shared" si="61"/>
        <v>46023</v>
      </c>
      <c r="BH124" s="2159">
        <f t="shared" si="62"/>
        <v>46023</v>
      </c>
      <c r="BI124" s="2159">
        <f t="shared" si="63"/>
        <v>46023</v>
      </c>
      <c r="BJ124" s="2159">
        <f t="shared" si="64"/>
        <v>0</v>
      </c>
      <c r="BL124" s="369">
        <f t="shared" si="65"/>
        <v>0</v>
      </c>
      <c r="BM124" s="2159">
        <f t="shared" si="66"/>
        <v>0</v>
      </c>
      <c r="BN124" s="2159">
        <f t="shared" si="67"/>
        <v>0</v>
      </c>
      <c r="BO124" s="373">
        <f t="shared" si="68"/>
        <v>0</v>
      </c>
      <c r="BT124" s="2054"/>
      <c r="CF124" s="2054"/>
    </row>
    <row r="125" spans="1:84" ht="45.75" customHeight="1">
      <c r="A125" s="2163"/>
      <c r="B125" s="2146"/>
      <c r="C125" s="2146"/>
      <c r="D125" s="2164"/>
      <c r="E125" s="1573"/>
      <c r="F125" s="2148"/>
      <c r="G125" s="2149" t="str">
        <f t="shared" si="70"/>
        <v/>
      </c>
      <c r="H125" s="2148"/>
      <c r="I125" s="2150"/>
      <c r="J125" s="2148"/>
      <c r="K125" s="2151">
        <f t="shared" si="71"/>
        <v>0</v>
      </c>
      <c r="L125" s="2148"/>
      <c r="M125" s="2150"/>
      <c r="N125" s="2152"/>
      <c r="O125" s="2148"/>
      <c r="P125" s="2151">
        <f t="shared" si="72"/>
        <v>0</v>
      </c>
      <c r="Q125" s="2148"/>
      <c r="R125" s="2150"/>
      <c r="S125" s="2152"/>
      <c r="T125" s="2153"/>
      <c r="U125" s="2154">
        <f t="shared" si="73"/>
        <v>0</v>
      </c>
      <c r="V125" s="2155"/>
      <c r="W125" s="2150"/>
      <c r="X125" s="2152"/>
      <c r="Y125" s="2153"/>
      <c r="Z125" s="1572">
        <f t="shared" si="74"/>
        <v>0</v>
      </c>
      <c r="AA125" s="2168">
        <f t="shared" si="42"/>
        <v>0</v>
      </c>
      <c r="AB125" s="2156" t="str">
        <f t="shared" si="75"/>
        <v/>
      </c>
      <c r="AD125" s="2158" t="str">
        <f t="shared" si="43"/>
        <v/>
      </c>
      <c r="AE125" s="2159">
        <f t="shared" si="44"/>
        <v>0</v>
      </c>
      <c r="AF125" s="2159">
        <f t="shared" si="45"/>
        <v>0</v>
      </c>
      <c r="AG125" s="2159">
        <f t="shared" si="46"/>
        <v>0</v>
      </c>
      <c r="AH125" s="2159">
        <f t="shared" si="47"/>
        <v>0</v>
      </c>
      <c r="AI125" s="2160">
        <f t="shared" si="76"/>
        <v>0</v>
      </c>
      <c r="AJ125" s="1966">
        <f t="shared" si="48"/>
        <v>1</v>
      </c>
      <c r="AK125" s="2159">
        <f t="shared" si="49"/>
        <v>0</v>
      </c>
      <c r="AL125" s="368" t="e">
        <f t="shared" si="50"/>
        <v>#DIV/0!</v>
      </c>
      <c r="AN125" s="369">
        <f t="shared" si="51"/>
        <v>0</v>
      </c>
      <c r="AO125" s="1966">
        <f t="shared" si="77"/>
        <v>0</v>
      </c>
      <c r="AP125" s="1966">
        <f t="shared" si="78"/>
        <v>0</v>
      </c>
      <c r="AQ125" s="1966">
        <f t="shared" si="79"/>
        <v>0</v>
      </c>
      <c r="AR125" s="370">
        <f t="shared" si="80"/>
        <v>0</v>
      </c>
      <c r="AT125" s="371">
        <f t="shared" si="81"/>
        <v>0</v>
      </c>
      <c r="AU125" s="1966">
        <f t="shared" si="82"/>
        <v>0</v>
      </c>
      <c r="AV125" s="2161">
        <f t="shared" si="83"/>
        <v>0</v>
      </c>
      <c r="AW125" s="2161">
        <f t="shared" si="84"/>
        <v>0</v>
      </c>
      <c r="AX125" s="1966">
        <f t="shared" si="85"/>
        <v>0</v>
      </c>
      <c r="AY125" s="372">
        <f t="shared" si="86"/>
        <v>0</v>
      </c>
      <c r="AZ125" s="265"/>
      <c r="BA125" s="371">
        <f t="shared" si="56"/>
        <v>0</v>
      </c>
      <c r="BB125" s="1966">
        <f t="shared" si="57"/>
        <v>0</v>
      </c>
      <c r="BC125" s="1966">
        <f t="shared" si="58"/>
        <v>0</v>
      </c>
      <c r="BD125" s="1966">
        <f t="shared" si="59"/>
        <v>0</v>
      </c>
      <c r="BE125" s="372">
        <f t="shared" si="60"/>
        <v>0</v>
      </c>
      <c r="BG125" s="2159">
        <f t="shared" si="61"/>
        <v>46023</v>
      </c>
      <c r="BH125" s="2159">
        <f t="shared" si="62"/>
        <v>46023</v>
      </c>
      <c r="BI125" s="2159">
        <f t="shared" si="63"/>
        <v>46023</v>
      </c>
      <c r="BJ125" s="2159">
        <f t="shared" si="64"/>
        <v>0</v>
      </c>
      <c r="BL125" s="369">
        <f t="shared" si="65"/>
        <v>0</v>
      </c>
      <c r="BM125" s="2159">
        <f t="shared" si="66"/>
        <v>0</v>
      </c>
      <c r="BN125" s="2159">
        <f t="shared" si="67"/>
        <v>0</v>
      </c>
      <c r="BO125" s="373">
        <f t="shared" si="68"/>
        <v>0</v>
      </c>
      <c r="BT125" s="2054"/>
      <c r="CF125" s="2054"/>
    </row>
    <row r="126" spans="1:84" ht="45.75" customHeight="1">
      <c r="A126" s="2163"/>
      <c r="B126" s="2146"/>
      <c r="C126" s="2146"/>
      <c r="D126" s="2164"/>
      <c r="E126" s="1573"/>
      <c r="F126" s="2148"/>
      <c r="G126" s="2149" t="str">
        <f t="shared" si="70"/>
        <v/>
      </c>
      <c r="H126" s="2148"/>
      <c r="I126" s="2150"/>
      <c r="J126" s="2148"/>
      <c r="K126" s="2151">
        <f t="shared" si="71"/>
        <v>0</v>
      </c>
      <c r="L126" s="2148"/>
      <c r="M126" s="2150"/>
      <c r="N126" s="2152"/>
      <c r="O126" s="2148"/>
      <c r="P126" s="2151">
        <f t="shared" si="72"/>
        <v>0</v>
      </c>
      <c r="Q126" s="2148"/>
      <c r="R126" s="2150"/>
      <c r="S126" s="2152"/>
      <c r="T126" s="2153"/>
      <c r="U126" s="2154">
        <f t="shared" si="73"/>
        <v>0</v>
      </c>
      <c r="V126" s="2155"/>
      <c r="W126" s="2150"/>
      <c r="X126" s="2152"/>
      <c r="Y126" s="2153"/>
      <c r="Z126" s="1572">
        <f t="shared" si="74"/>
        <v>0</v>
      </c>
      <c r="AA126" s="2168">
        <f t="shared" si="42"/>
        <v>0</v>
      </c>
      <c r="AB126" s="2156" t="str">
        <f t="shared" si="75"/>
        <v/>
      </c>
      <c r="AD126" s="2158" t="str">
        <f t="shared" si="43"/>
        <v/>
      </c>
      <c r="AE126" s="2159">
        <f t="shared" si="44"/>
        <v>0</v>
      </c>
      <c r="AF126" s="2159">
        <f t="shared" si="45"/>
        <v>0</v>
      </c>
      <c r="AG126" s="2159">
        <f t="shared" si="46"/>
        <v>0</v>
      </c>
      <c r="AH126" s="2159">
        <f t="shared" si="47"/>
        <v>0</v>
      </c>
      <c r="AI126" s="2160">
        <f t="shared" si="76"/>
        <v>0</v>
      </c>
      <c r="AJ126" s="1966">
        <f t="shared" si="48"/>
        <v>1</v>
      </c>
      <c r="AK126" s="2159">
        <f t="shared" si="49"/>
        <v>0</v>
      </c>
      <c r="AL126" s="368" t="e">
        <f t="shared" si="50"/>
        <v>#DIV/0!</v>
      </c>
      <c r="AN126" s="369">
        <f t="shared" si="51"/>
        <v>0</v>
      </c>
      <c r="AO126" s="1966">
        <f t="shared" si="77"/>
        <v>0</v>
      </c>
      <c r="AP126" s="1966">
        <f t="shared" si="78"/>
        <v>0</v>
      </c>
      <c r="AQ126" s="1966">
        <f t="shared" si="79"/>
        <v>0</v>
      </c>
      <c r="AR126" s="370">
        <f t="shared" si="80"/>
        <v>0</v>
      </c>
      <c r="AT126" s="371">
        <f t="shared" si="81"/>
        <v>0</v>
      </c>
      <c r="AU126" s="1966">
        <f t="shared" si="82"/>
        <v>0</v>
      </c>
      <c r="AV126" s="2161">
        <f t="shared" si="83"/>
        <v>0</v>
      </c>
      <c r="AW126" s="2161">
        <f t="shared" si="84"/>
        <v>0</v>
      </c>
      <c r="AX126" s="1966">
        <f t="shared" si="85"/>
        <v>0</v>
      </c>
      <c r="AY126" s="372">
        <f t="shared" si="86"/>
        <v>0</v>
      </c>
      <c r="AZ126" s="265"/>
      <c r="BA126" s="371">
        <f t="shared" si="56"/>
        <v>0</v>
      </c>
      <c r="BB126" s="1966">
        <f t="shared" si="57"/>
        <v>0</v>
      </c>
      <c r="BC126" s="1966">
        <f t="shared" si="58"/>
        <v>0</v>
      </c>
      <c r="BD126" s="1966">
        <f t="shared" si="59"/>
        <v>0</v>
      </c>
      <c r="BE126" s="372">
        <f t="shared" si="60"/>
        <v>0</v>
      </c>
      <c r="BG126" s="2159">
        <f t="shared" si="61"/>
        <v>46023</v>
      </c>
      <c r="BH126" s="2159">
        <f t="shared" si="62"/>
        <v>46023</v>
      </c>
      <c r="BI126" s="2159">
        <f t="shared" si="63"/>
        <v>46023</v>
      </c>
      <c r="BJ126" s="2159">
        <f t="shared" si="64"/>
        <v>0</v>
      </c>
      <c r="BL126" s="369">
        <f t="shared" si="65"/>
        <v>0</v>
      </c>
      <c r="BM126" s="2159">
        <f t="shared" si="66"/>
        <v>0</v>
      </c>
      <c r="BN126" s="2159">
        <f t="shared" si="67"/>
        <v>0</v>
      </c>
      <c r="BO126" s="373">
        <f t="shared" si="68"/>
        <v>0</v>
      </c>
      <c r="BT126" s="2054"/>
      <c r="CF126" s="2054"/>
    </row>
    <row r="127" spans="1:84" ht="45.75" customHeight="1">
      <c r="A127" s="2163"/>
      <c r="B127" s="2146"/>
      <c r="C127" s="2146"/>
      <c r="D127" s="2164"/>
      <c r="E127" s="1573"/>
      <c r="F127" s="2148"/>
      <c r="G127" s="2149" t="str">
        <f t="shared" si="70"/>
        <v/>
      </c>
      <c r="H127" s="2148"/>
      <c r="I127" s="2150"/>
      <c r="J127" s="2148"/>
      <c r="K127" s="2151">
        <f t="shared" si="71"/>
        <v>0</v>
      </c>
      <c r="L127" s="2148"/>
      <c r="M127" s="2150"/>
      <c r="N127" s="2152"/>
      <c r="O127" s="2148"/>
      <c r="P127" s="2151">
        <f t="shared" si="72"/>
        <v>0</v>
      </c>
      <c r="Q127" s="2148"/>
      <c r="R127" s="2150"/>
      <c r="S127" s="2152"/>
      <c r="T127" s="2153"/>
      <c r="U127" s="2154">
        <f t="shared" si="73"/>
        <v>0</v>
      </c>
      <c r="V127" s="2155"/>
      <c r="W127" s="2150"/>
      <c r="X127" s="2152"/>
      <c r="Y127" s="2153"/>
      <c r="Z127" s="1572">
        <f t="shared" si="74"/>
        <v>0</v>
      </c>
      <c r="AA127" s="2168">
        <f t="shared" si="42"/>
        <v>0</v>
      </c>
      <c r="AB127" s="2156" t="str">
        <f t="shared" si="75"/>
        <v/>
      </c>
      <c r="AD127" s="2158" t="str">
        <f t="shared" si="43"/>
        <v/>
      </c>
      <c r="AE127" s="2159">
        <f t="shared" si="44"/>
        <v>0</v>
      </c>
      <c r="AF127" s="2159">
        <f t="shared" si="45"/>
        <v>0</v>
      </c>
      <c r="AG127" s="2159">
        <f t="shared" si="46"/>
        <v>0</v>
      </c>
      <c r="AH127" s="2159">
        <f t="shared" si="47"/>
        <v>0</v>
      </c>
      <c r="AI127" s="2160">
        <f t="shared" si="76"/>
        <v>0</v>
      </c>
      <c r="AJ127" s="1966">
        <f t="shared" si="48"/>
        <v>1</v>
      </c>
      <c r="AK127" s="2159">
        <f t="shared" si="49"/>
        <v>0</v>
      </c>
      <c r="AL127" s="368" t="e">
        <f t="shared" si="50"/>
        <v>#DIV/0!</v>
      </c>
      <c r="AN127" s="369">
        <f t="shared" si="51"/>
        <v>0</v>
      </c>
      <c r="AO127" s="1966">
        <f t="shared" si="77"/>
        <v>0</v>
      </c>
      <c r="AP127" s="1966">
        <f t="shared" si="78"/>
        <v>0</v>
      </c>
      <c r="AQ127" s="1966">
        <f t="shared" si="79"/>
        <v>0</v>
      </c>
      <c r="AR127" s="370">
        <f t="shared" si="80"/>
        <v>0</v>
      </c>
      <c r="AT127" s="371">
        <f t="shared" si="81"/>
        <v>0</v>
      </c>
      <c r="AU127" s="1966">
        <f t="shared" si="82"/>
        <v>0</v>
      </c>
      <c r="AV127" s="2161">
        <f t="shared" si="83"/>
        <v>0</v>
      </c>
      <c r="AW127" s="2161">
        <f t="shared" si="84"/>
        <v>0</v>
      </c>
      <c r="AX127" s="1966">
        <f t="shared" si="85"/>
        <v>0</v>
      </c>
      <c r="AY127" s="372">
        <f t="shared" si="86"/>
        <v>0</v>
      </c>
      <c r="AZ127" s="265"/>
      <c r="BA127" s="371">
        <f t="shared" si="56"/>
        <v>0</v>
      </c>
      <c r="BB127" s="1966">
        <f t="shared" si="57"/>
        <v>0</v>
      </c>
      <c r="BC127" s="1966">
        <f t="shared" si="58"/>
        <v>0</v>
      </c>
      <c r="BD127" s="1966">
        <f t="shared" si="59"/>
        <v>0</v>
      </c>
      <c r="BE127" s="372">
        <f t="shared" si="60"/>
        <v>0</v>
      </c>
      <c r="BG127" s="2159">
        <f t="shared" si="61"/>
        <v>46023</v>
      </c>
      <c r="BH127" s="2159">
        <f t="shared" si="62"/>
        <v>46023</v>
      </c>
      <c r="BI127" s="2159">
        <f t="shared" si="63"/>
        <v>46023</v>
      </c>
      <c r="BJ127" s="2159">
        <f t="shared" si="64"/>
        <v>0</v>
      </c>
      <c r="BL127" s="369">
        <f t="shared" si="65"/>
        <v>0</v>
      </c>
      <c r="BM127" s="2159">
        <f t="shared" si="66"/>
        <v>0</v>
      </c>
      <c r="BN127" s="2159">
        <f t="shared" si="67"/>
        <v>0</v>
      </c>
      <c r="BO127" s="373">
        <f t="shared" si="68"/>
        <v>0</v>
      </c>
      <c r="BT127" s="2054"/>
      <c r="CF127" s="2054"/>
    </row>
    <row r="128" spans="1:84" ht="45.75" customHeight="1">
      <c r="A128" s="2163"/>
      <c r="B128" s="2146"/>
      <c r="C128" s="2146"/>
      <c r="D128" s="2164"/>
      <c r="E128" s="1573"/>
      <c r="F128" s="2148"/>
      <c r="G128" s="2149" t="str">
        <f t="shared" si="70"/>
        <v/>
      </c>
      <c r="H128" s="2148"/>
      <c r="I128" s="2150"/>
      <c r="J128" s="2148"/>
      <c r="K128" s="2151">
        <f t="shared" si="71"/>
        <v>0</v>
      </c>
      <c r="L128" s="2148"/>
      <c r="M128" s="2150"/>
      <c r="N128" s="2152"/>
      <c r="O128" s="2148"/>
      <c r="P128" s="2151">
        <f t="shared" si="72"/>
        <v>0</v>
      </c>
      <c r="Q128" s="2148"/>
      <c r="R128" s="2150"/>
      <c r="S128" s="2152"/>
      <c r="T128" s="2153"/>
      <c r="U128" s="2154">
        <f t="shared" si="73"/>
        <v>0</v>
      </c>
      <c r="V128" s="2155"/>
      <c r="W128" s="2150"/>
      <c r="X128" s="2152"/>
      <c r="Y128" s="2153"/>
      <c r="Z128" s="1572">
        <f t="shared" si="74"/>
        <v>0</v>
      </c>
      <c r="AA128" s="2168">
        <f t="shared" si="42"/>
        <v>0</v>
      </c>
      <c r="AB128" s="2156" t="str">
        <f t="shared" si="75"/>
        <v/>
      </c>
      <c r="AD128" s="2158" t="str">
        <f t="shared" si="43"/>
        <v/>
      </c>
      <c r="AE128" s="2159">
        <f t="shared" si="44"/>
        <v>0</v>
      </c>
      <c r="AF128" s="2159">
        <f t="shared" si="45"/>
        <v>0</v>
      </c>
      <c r="AG128" s="2159">
        <f t="shared" si="46"/>
        <v>0</v>
      </c>
      <c r="AH128" s="2159">
        <f t="shared" si="47"/>
        <v>0</v>
      </c>
      <c r="AI128" s="2160">
        <f t="shared" si="76"/>
        <v>0</v>
      </c>
      <c r="AJ128" s="1966">
        <f t="shared" si="48"/>
        <v>1</v>
      </c>
      <c r="AK128" s="2159">
        <f t="shared" si="49"/>
        <v>0</v>
      </c>
      <c r="AL128" s="368" t="e">
        <f t="shared" si="50"/>
        <v>#DIV/0!</v>
      </c>
      <c r="AN128" s="369">
        <f t="shared" si="51"/>
        <v>0</v>
      </c>
      <c r="AO128" s="1966">
        <f t="shared" si="77"/>
        <v>0</v>
      </c>
      <c r="AP128" s="1966">
        <f t="shared" si="78"/>
        <v>0</v>
      </c>
      <c r="AQ128" s="1966">
        <f t="shared" si="79"/>
        <v>0</v>
      </c>
      <c r="AR128" s="370">
        <f t="shared" si="80"/>
        <v>0</v>
      </c>
      <c r="AT128" s="371">
        <f t="shared" si="81"/>
        <v>0</v>
      </c>
      <c r="AU128" s="1966">
        <f t="shared" si="82"/>
        <v>0</v>
      </c>
      <c r="AV128" s="2161">
        <f t="shared" si="83"/>
        <v>0</v>
      </c>
      <c r="AW128" s="2161">
        <f t="shared" si="84"/>
        <v>0</v>
      </c>
      <c r="AX128" s="1966">
        <f t="shared" si="85"/>
        <v>0</v>
      </c>
      <c r="AY128" s="372">
        <f t="shared" si="86"/>
        <v>0</v>
      </c>
      <c r="AZ128" s="265"/>
      <c r="BA128" s="371">
        <f t="shared" si="56"/>
        <v>0</v>
      </c>
      <c r="BB128" s="1966">
        <f t="shared" si="57"/>
        <v>0</v>
      </c>
      <c r="BC128" s="1966">
        <f t="shared" si="58"/>
        <v>0</v>
      </c>
      <c r="BD128" s="1966">
        <f t="shared" si="59"/>
        <v>0</v>
      </c>
      <c r="BE128" s="372">
        <f t="shared" si="60"/>
        <v>0</v>
      </c>
      <c r="BG128" s="2159">
        <f t="shared" si="61"/>
        <v>46023</v>
      </c>
      <c r="BH128" s="2159">
        <f t="shared" si="62"/>
        <v>46023</v>
      </c>
      <c r="BI128" s="2159">
        <f t="shared" si="63"/>
        <v>46023</v>
      </c>
      <c r="BJ128" s="2159">
        <f t="shared" si="64"/>
        <v>0</v>
      </c>
      <c r="BL128" s="369">
        <f t="shared" si="65"/>
        <v>0</v>
      </c>
      <c r="BM128" s="2159">
        <f t="shared" si="66"/>
        <v>0</v>
      </c>
      <c r="BN128" s="2159">
        <f t="shared" si="67"/>
        <v>0</v>
      </c>
      <c r="BO128" s="373">
        <f t="shared" si="68"/>
        <v>0</v>
      </c>
      <c r="BT128" s="2054"/>
      <c r="CF128" s="2054"/>
    </row>
    <row r="129" spans="1:84" ht="45.75" customHeight="1">
      <c r="A129" s="2163"/>
      <c r="B129" s="2146"/>
      <c r="C129" s="2146"/>
      <c r="D129" s="2164"/>
      <c r="E129" s="1573"/>
      <c r="F129" s="2148"/>
      <c r="G129" s="2149" t="str">
        <f t="shared" si="70"/>
        <v/>
      </c>
      <c r="H129" s="2148"/>
      <c r="I129" s="2150"/>
      <c r="J129" s="2148"/>
      <c r="K129" s="2151">
        <f t="shared" si="71"/>
        <v>0</v>
      </c>
      <c r="L129" s="2148"/>
      <c r="M129" s="2150"/>
      <c r="N129" s="2152"/>
      <c r="O129" s="2148"/>
      <c r="P129" s="2151">
        <f t="shared" si="72"/>
        <v>0</v>
      </c>
      <c r="Q129" s="2148"/>
      <c r="R129" s="2150"/>
      <c r="S129" s="2152"/>
      <c r="T129" s="2153"/>
      <c r="U129" s="2154">
        <f t="shared" si="73"/>
        <v>0</v>
      </c>
      <c r="V129" s="2155"/>
      <c r="W129" s="2150"/>
      <c r="X129" s="2152"/>
      <c r="Y129" s="2153"/>
      <c r="Z129" s="1572">
        <f t="shared" si="74"/>
        <v>0</v>
      </c>
      <c r="AA129" s="2168">
        <f t="shared" si="42"/>
        <v>0</v>
      </c>
      <c r="AB129" s="2156" t="str">
        <f t="shared" si="75"/>
        <v/>
      </c>
      <c r="AD129" s="2158" t="str">
        <f t="shared" si="43"/>
        <v/>
      </c>
      <c r="AE129" s="2159">
        <f t="shared" si="44"/>
        <v>0</v>
      </c>
      <c r="AF129" s="2159">
        <f t="shared" si="45"/>
        <v>0</v>
      </c>
      <c r="AG129" s="2159">
        <f t="shared" si="46"/>
        <v>0</v>
      </c>
      <c r="AH129" s="2159">
        <f t="shared" si="47"/>
        <v>0</v>
      </c>
      <c r="AI129" s="2160">
        <f t="shared" si="76"/>
        <v>0</v>
      </c>
      <c r="AJ129" s="1966">
        <f t="shared" si="48"/>
        <v>1</v>
      </c>
      <c r="AK129" s="2159">
        <f t="shared" si="49"/>
        <v>0</v>
      </c>
      <c r="AL129" s="368" t="e">
        <f t="shared" si="50"/>
        <v>#DIV/0!</v>
      </c>
      <c r="AN129" s="369">
        <f t="shared" si="51"/>
        <v>0</v>
      </c>
      <c r="AO129" s="1966">
        <f t="shared" si="77"/>
        <v>0</v>
      </c>
      <c r="AP129" s="1966">
        <f t="shared" si="78"/>
        <v>0</v>
      </c>
      <c r="AQ129" s="1966">
        <f t="shared" si="79"/>
        <v>0</v>
      </c>
      <c r="AR129" s="370">
        <f t="shared" si="80"/>
        <v>0</v>
      </c>
      <c r="AT129" s="371">
        <f t="shared" si="81"/>
        <v>0</v>
      </c>
      <c r="AU129" s="1966">
        <f t="shared" si="82"/>
        <v>0</v>
      </c>
      <c r="AV129" s="2161">
        <f t="shared" si="83"/>
        <v>0</v>
      </c>
      <c r="AW129" s="2161">
        <f t="shared" si="84"/>
        <v>0</v>
      </c>
      <c r="AX129" s="1966">
        <f t="shared" si="85"/>
        <v>0</v>
      </c>
      <c r="AY129" s="372">
        <f t="shared" si="86"/>
        <v>0</v>
      </c>
      <c r="AZ129" s="265"/>
      <c r="BA129" s="371">
        <f t="shared" si="56"/>
        <v>0</v>
      </c>
      <c r="BB129" s="1966">
        <f t="shared" si="57"/>
        <v>0</v>
      </c>
      <c r="BC129" s="1966">
        <f t="shared" si="58"/>
        <v>0</v>
      </c>
      <c r="BD129" s="1966">
        <f t="shared" si="59"/>
        <v>0</v>
      </c>
      <c r="BE129" s="372">
        <f t="shared" si="60"/>
        <v>0</v>
      </c>
      <c r="BG129" s="2159">
        <f t="shared" si="61"/>
        <v>46023</v>
      </c>
      <c r="BH129" s="2159">
        <f t="shared" si="62"/>
        <v>46023</v>
      </c>
      <c r="BI129" s="2159">
        <f t="shared" si="63"/>
        <v>46023</v>
      </c>
      <c r="BJ129" s="2159">
        <f t="shared" si="64"/>
        <v>0</v>
      </c>
      <c r="BL129" s="369">
        <f t="shared" si="65"/>
        <v>0</v>
      </c>
      <c r="BM129" s="2159">
        <f t="shared" si="66"/>
        <v>0</v>
      </c>
      <c r="BN129" s="2159">
        <f t="shared" si="67"/>
        <v>0</v>
      </c>
      <c r="BO129" s="373">
        <f t="shared" si="68"/>
        <v>0</v>
      </c>
      <c r="BT129" s="2054"/>
      <c r="CF129" s="2054"/>
    </row>
    <row r="130" spans="1:84" ht="45.75" customHeight="1">
      <c r="A130" s="2163"/>
      <c r="B130" s="2146"/>
      <c r="C130" s="2146"/>
      <c r="D130" s="2164"/>
      <c r="E130" s="1573"/>
      <c r="F130" s="2148"/>
      <c r="G130" s="2149" t="str">
        <f t="shared" si="70"/>
        <v/>
      </c>
      <c r="H130" s="2148"/>
      <c r="I130" s="2150"/>
      <c r="J130" s="2148"/>
      <c r="K130" s="2151">
        <f t="shared" si="71"/>
        <v>0</v>
      </c>
      <c r="L130" s="2148"/>
      <c r="M130" s="2150"/>
      <c r="N130" s="2152"/>
      <c r="O130" s="2148"/>
      <c r="P130" s="2151">
        <f t="shared" si="72"/>
        <v>0</v>
      </c>
      <c r="Q130" s="2148"/>
      <c r="R130" s="2150"/>
      <c r="S130" s="2152"/>
      <c r="T130" s="2153"/>
      <c r="U130" s="2154">
        <f t="shared" si="73"/>
        <v>0</v>
      </c>
      <c r="V130" s="2155"/>
      <c r="W130" s="2150"/>
      <c r="X130" s="2152"/>
      <c r="Y130" s="2153"/>
      <c r="Z130" s="1572">
        <f t="shared" si="74"/>
        <v>0</v>
      </c>
      <c r="AA130" s="2168">
        <f t="shared" si="42"/>
        <v>0</v>
      </c>
      <c r="AB130" s="2156" t="str">
        <f t="shared" si="75"/>
        <v/>
      </c>
      <c r="AD130" s="2158" t="str">
        <f t="shared" si="43"/>
        <v/>
      </c>
      <c r="AE130" s="2159">
        <f t="shared" si="44"/>
        <v>0</v>
      </c>
      <c r="AF130" s="2159">
        <f t="shared" si="45"/>
        <v>0</v>
      </c>
      <c r="AG130" s="2159">
        <f t="shared" si="46"/>
        <v>0</v>
      </c>
      <c r="AH130" s="2159">
        <f t="shared" si="47"/>
        <v>0</v>
      </c>
      <c r="AI130" s="2160">
        <f t="shared" si="76"/>
        <v>0</v>
      </c>
      <c r="AJ130" s="1966">
        <f t="shared" si="48"/>
        <v>1</v>
      </c>
      <c r="AK130" s="2159">
        <f t="shared" si="49"/>
        <v>0</v>
      </c>
      <c r="AL130" s="368" t="e">
        <f t="shared" si="50"/>
        <v>#DIV/0!</v>
      </c>
      <c r="AN130" s="369">
        <f t="shared" si="51"/>
        <v>0</v>
      </c>
      <c r="AO130" s="1966">
        <f t="shared" si="77"/>
        <v>0</v>
      </c>
      <c r="AP130" s="1966">
        <f t="shared" si="78"/>
        <v>0</v>
      </c>
      <c r="AQ130" s="1966">
        <f t="shared" si="79"/>
        <v>0</v>
      </c>
      <c r="AR130" s="370">
        <f t="shared" si="80"/>
        <v>0</v>
      </c>
      <c r="AT130" s="371">
        <f t="shared" si="81"/>
        <v>0</v>
      </c>
      <c r="AU130" s="1966">
        <f t="shared" si="82"/>
        <v>0</v>
      </c>
      <c r="AV130" s="2161">
        <f t="shared" si="83"/>
        <v>0</v>
      </c>
      <c r="AW130" s="2161">
        <f t="shared" si="84"/>
        <v>0</v>
      </c>
      <c r="AX130" s="1966">
        <f t="shared" si="85"/>
        <v>0</v>
      </c>
      <c r="AY130" s="372">
        <f t="shared" si="86"/>
        <v>0</v>
      </c>
      <c r="AZ130" s="265"/>
      <c r="BA130" s="371">
        <f t="shared" si="56"/>
        <v>0</v>
      </c>
      <c r="BB130" s="1966">
        <f t="shared" si="57"/>
        <v>0</v>
      </c>
      <c r="BC130" s="1966">
        <f t="shared" si="58"/>
        <v>0</v>
      </c>
      <c r="BD130" s="1966">
        <f t="shared" si="59"/>
        <v>0</v>
      </c>
      <c r="BE130" s="372">
        <f t="shared" si="60"/>
        <v>0</v>
      </c>
      <c r="BG130" s="2159">
        <f t="shared" si="61"/>
        <v>46023</v>
      </c>
      <c r="BH130" s="2159">
        <f t="shared" si="62"/>
        <v>46023</v>
      </c>
      <c r="BI130" s="2159">
        <f t="shared" si="63"/>
        <v>46023</v>
      </c>
      <c r="BJ130" s="2159">
        <f t="shared" si="64"/>
        <v>0</v>
      </c>
      <c r="BL130" s="369">
        <f t="shared" si="65"/>
        <v>0</v>
      </c>
      <c r="BM130" s="2159">
        <f t="shared" si="66"/>
        <v>0</v>
      </c>
      <c r="BN130" s="2159">
        <f t="shared" si="67"/>
        <v>0</v>
      </c>
      <c r="BO130" s="373">
        <f t="shared" si="68"/>
        <v>0</v>
      </c>
      <c r="BT130" s="2054"/>
      <c r="CF130" s="2054"/>
    </row>
    <row r="131" spans="1:84" ht="45.75" customHeight="1">
      <c r="A131" s="2163"/>
      <c r="B131" s="2146"/>
      <c r="C131" s="2146"/>
      <c r="D131" s="2164"/>
      <c r="E131" s="1573"/>
      <c r="F131" s="2148"/>
      <c r="G131" s="2149" t="str">
        <f t="shared" si="70"/>
        <v/>
      </c>
      <c r="H131" s="2148"/>
      <c r="I131" s="2150"/>
      <c r="J131" s="2148"/>
      <c r="K131" s="2151">
        <f t="shared" si="71"/>
        <v>0</v>
      </c>
      <c r="L131" s="2148"/>
      <c r="M131" s="2150"/>
      <c r="N131" s="2152"/>
      <c r="O131" s="2148"/>
      <c r="P131" s="2151">
        <f t="shared" si="72"/>
        <v>0</v>
      </c>
      <c r="Q131" s="2148"/>
      <c r="R131" s="2150"/>
      <c r="S131" s="2152"/>
      <c r="T131" s="2153"/>
      <c r="U131" s="2154">
        <f t="shared" si="73"/>
        <v>0</v>
      </c>
      <c r="V131" s="2155"/>
      <c r="W131" s="2150"/>
      <c r="X131" s="2152"/>
      <c r="Y131" s="2153"/>
      <c r="Z131" s="1572">
        <f t="shared" si="74"/>
        <v>0</v>
      </c>
      <c r="AA131" s="2168">
        <f t="shared" si="42"/>
        <v>0</v>
      </c>
      <c r="AB131" s="2156" t="str">
        <f t="shared" si="75"/>
        <v/>
      </c>
      <c r="AD131" s="2158" t="str">
        <f t="shared" si="43"/>
        <v/>
      </c>
      <c r="AE131" s="2159">
        <f t="shared" si="44"/>
        <v>0</v>
      </c>
      <c r="AF131" s="2159">
        <f t="shared" si="45"/>
        <v>0</v>
      </c>
      <c r="AG131" s="2159">
        <f t="shared" si="46"/>
        <v>0</v>
      </c>
      <c r="AH131" s="2159">
        <f t="shared" si="47"/>
        <v>0</v>
      </c>
      <c r="AI131" s="2160">
        <f t="shared" si="76"/>
        <v>0</v>
      </c>
      <c r="AJ131" s="1966">
        <f t="shared" si="48"/>
        <v>1</v>
      </c>
      <c r="AK131" s="2159">
        <f t="shared" si="49"/>
        <v>0</v>
      </c>
      <c r="AL131" s="368" t="e">
        <f t="shared" si="50"/>
        <v>#DIV/0!</v>
      </c>
      <c r="AN131" s="369">
        <f t="shared" si="51"/>
        <v>0</v>
      </c>
      <c r="AO131" s="1966">
        <f t="shared" si="77"/>
        <v>0</v>
      </c>
      <c r="AP131" s="1966">
        <f t="shared" si="78"/>
        <v>0</v>
      </c>
      <c r="AQ131" s="1966">
        <f t="shared" si="79"/>
        <v>0</v>
      </c>
      <c r="AR131" s="370">
        <f t="shared" si="80"/>
        <v>0</v>
      </c>
      <c r="AT131" s="371">
        <f t="shared" si="81"/>
        <v>0</v>
      </c>
      <c r="AU131" s="1966">
        <f t="shared" si="82"/>
        <v>0</v>
      </c>
      <c r="AV131" s="2161">
        <f t="shared" si="83"/>
        <v>0</v>
      </c>
      <c r="AW131" s="2161">
        <f t="shared" si="84"/>
        <v>0</v>
      </c>
      <c r="AX131" s="1966">
        <f t="shared" si="85"/>
        <v>0</v>
      </c>
      <c r="AY131" s="372">
        <f t="shared" si="86"/>
        <v>0</v>
      </c>
      <c r="AZ131" s="265"/>
      <c r="BA131" s="371">
        <f t="shared" si="56"/>
        <v>0</v>
      </c>
      <c r="BB131" s="1966">
        <f t="shared" si="57"/>
        <v>0</v>
      </c>
      <c r="BC131" s="1966">
        <f t="shared" si="58"/>
        <v>0</v>
      </c>
      <c r="BD131" s="1966">
        <f t="shared" si="59"/>
        <v>0</v>
      </c>
      <c r="BE131" s="372">
        <f t="shared" si="60"/>
        <v>0</v>
      </c>
      <c r="BG131" s="2159">
        <f t="shared" si="61"/>
        <v>46023</v>
      </c>
      <c r="BH131" s="2159">
        <f t="shared" si="62"/>
        <v>46023</v>
      </c>
      <c r="BI131" s="2159">
        <f t="shared" si="63"/>
        <v>46023</v>
      </c>
      <c r="BJ131" s="2159">
        <f t="shared" si="64"/>
        <v>0</v>
      </c>
      <c r="BL131" s="369">
        <f t="shared" si="65"/>
        <v>0</v>
      </c>
      <c r="BM131" s="2159">
        <f t="shared" si="66"/>
        <v>0</v>
      </c>
      <c r="BN131" s="2159">
        <f t="shared" si="67"/>
        <v>0</v>
      </c>
      <c r="BO131" s="373">
        <f t="shared" si="68"/>
        <v>0</v>
      </c>
      <c r="BT131" s="2054"/>
      <c r="CF131" s="2054"/>
    </row>
    <row r="132" spans="1:84" ht="45.75" customHeight="1">
      <c r="A132" s="2163"/>
      <c r="B132" s="2146"/>
      <c r="C132" s="2146"/>
      <c r="D132" s="2164"/>
      <c r="E132" s="1573"/>
      <c r="F132" s="2148"/>
      <c r="G132" s="2149" t="str">
        <f t="shared" si="70"/>
        <v/>
      </c>
      <c r="H132" s="2148"/>
      <c r="I132" s="2150"/>
      <c r="J132" s="2148"/>
      <c r="K132" s="2151">
        <f t="shared" si="71"/>
        <v>0</v>
      </c>
      <c r="L132" s="2148"/>
      <c r="M132" s="2150"/>
      <c r="N132" s="2152"/>
      <c r="O132" s="2148"/>
      <c r="P132" s="2151">
        <f t="shared" si="72"/>
        <v>0</v>
      </c>
      <c r="Q132" s="2148"/>
      <c r="R132" s="2150"/>
      <c r="S132" s="2152"/>
      <c r="T132" s="2153"/>
      <c r="U132" s="2154">
        <f t="shared" si="73"/>
        <v>0</v>
      </c>
      <c r="V132" s="2155"/>
      <c r="W132" s="2150"/>
      <c r="X132" s="2152"/>
      <c r="Y132" s="2153"/>
      <c r="Z132" s="1572">
        <f t="shared" si="74"/>
        <v>0</v>
      </c>
      <c r="AA132" s="2168">
        <f t="shared" si="42"/>
        <v>0</v>
      </c>
      <c r="AB132" s="2156" t="str">
        <f t="shared" si="75"/>
        <v/>
      </c>
      <c r="AD132" s="2158" t="str">
        <f t="shared" si="43"/>
        <v/>
      </c>
      <c r="AE132" s="2159">
        <f t="shared" si="44"/>
        <v>0</v>
      </c>
      <c r="AF132" s="2159">
        <f t="shared" si="45"/>
        <v>0</v>
      </c>
      <c r="AG132" s="2159">
        <f t="shared" si="46"/>
        <v>0</v>
      </c>
      <c r="AH132" s="2159">
        <f t="shared" si="47"/>
        <v>0</v>
      </c>
      <c r="AI132" s="2160">
        <f t="shared" si="76"/>
        <v>0</v>
      </c>
      <c r="AJ132" s="1966">
        <f t="shared" si="48"/>
        <v>1</v>
      </c>
      <c r="AK132" s="2159">
        <f t="shared" si="49"/>
        <v>0</v>
      </c>
      <c r="AL132" s="368" t="e">
        <f t="shared" si="50"/>
        <v>#DIV/0!</v>
      </c>
      <c r="AN132" s="369">
        <f t="shared" si="51"/>
        <v>0</v>
      </c>
      <c r="AO132" s="1966">
        <f t="shared" si="77"/>
        <v>0</v>
      </c>
      <c r="AP132" s="1966">
        <f t="shared" si="78"/>
        <v>0</v>
      </c>
      <c r="AQ132" s="1966">
        <f t="shared" si="79"/>
        <v>0</v>
      </c>
      <c r="AR132" s="370">
        <f t="shared" si="80"/>
        <v>0</v>
      </c>
      <c r="AT132" s="371">
        <f t="shared" si="81"/>
        <v>0</v>
      </c>
      <c r="AU132" s="1966">
        <f t="shared" si="82"/>
        <v>0</v>
      </c>
      <c r="AV132" s="2161">
        <f t="shared" si="83"/>
        <v>0</v>
      </c>
      <c r="AW132" s="2161">
        <f t="shared" si="84"/>
        <v>0</v>
      </c>
      <c r="AX132" s="1966">
        <f t="shared" si="85"/>
        <v>0</v>
      </c>
      <c r="AY132" s="372">
        <f t="shared" si="86"/>
        <v>0</v>
      </c>
      <c r="AZ132" s="265"/>
      <c r="BA132" s="371">
        <f t="shared" si="56"/>
        <v>0</v>
      </c>
      <c r="BB132" s="1966">
        <f t="shared" si="57"/>
        <v>0</v>
      </c>
      <c r="BC132" s="1966">
        <f t="shared" si="58"/>
        <v>0</v>
      </c>
      <c r="BD132" s="1966">
        <f t="shared" si="59"/>
        <v>0</v>
      </c>
      <c r="BE132" s="372">
        <f t="shared" si="60"/>
        <v>0</v>
      </c>
      <c r="BG132" s="2159">
        <f t="shared" si="61"/>
        <v>46023</v>
      </c>
      <c r="BH132" s="2159">
        <f t="shared" si="62"/>
        <v>46023</v>
      </c>
      <c r="BI132" s="2159">
        <f t="shared" si="63"/>
        <v>46023</v>
      </c>
      <c r="BJ132" s="2159">
        <f t="shared" si="64"/>
        <v>0</v>
      </c>
      <c r="BL132" s="369">
        <f t="shared" si="65"/>
        <v>0</v>
      </c>
      <c r="BM132" s="2159">
        <f t="shared" si="66"/>
        <v>0</v>
      </c>
      <c r="BN132" s="2159">
        <f t="shared" si="67"/>
        <v>0</v>
      </c>
      <c r="BO132" s="373">
        <f t="shared" si="68"/>
        <v>0</v>
      </c>
      <c r="BT132" s="2054"/>
      <c r="CF132" s="2054"/>
    </row>
    <row r="133" spans="1:84" ht="45.75" customHeight="1">
      <c r="A133" s="2163"/>
      <c r="B133" s="2146"/>
      <c r="C133" s="2146"/>
      <c r="D133" s="2164"/>
      <c r="E133" s="1573"/>
      <c r="F133" s="2148"/>
      <c r="G133" s="2149" t="str">
        <f t="shared" si="70"/>
        <v/>
      </c>
      <c r="H133" s="2148"/>
      <c r="I133" s="2150"/>
      <c r="J133" s="2148"/>
      <c r="K133" s="2151">
        <f t="shared" si="71"/>
        <v>0</v>
      </c>
      <c r="L133" s="2148"/>
      <c r="M133" s="2150"/>
      <c r="N133" s="2152"/>
      <c r="O133" s="2148"/>
      <c r="P133" s="2151">
        <f t="shared" si="72"/>
        <v>0</v>
      </c>
      <c r="Q133" s="2148"/>
      <c r="R133" s="2150"/>
      <c r="S133" s="2152"/>
      <c r="T133" s="2153"/>
      <c r="U133" s="2154">
        <f t="shared" si="73"/>
        <v>0</v>
      </c>
      <c r="V133" s="2155"/>
      <c r="W133" s="2150"/>
      <c r="X133" s="2152"/>
      <c r="Y133" s="2153"/>
      <c r="Z133" s="1572">
        <f t="shared" si="74"/>
        <v>0</v>
      </c>
      <c r="AA133" s="2168">
        <f t="shared" si="42"/>
        <v>0</v>
      </c>
      <c r="AB133" s="2156" t="str">
        <f t="shared" si="75"/>
        <v/>
      </c>
      <c r="AD133" s="2158" t="str">
        <f t="shared" si="43"/>
        <v/>
      </c>
      <c r="AE133" s="2159">
        <f t="shared" si="44"/>
        <v>0</v>
      </c>
      <c r="AF133" s="2159">
        <f t="shared" si="45"/>
        <v>0</v>
      </c>
      <c r="AG133" s="2159">
        <f t="shared" si="46"/>
        <v>0</v>
      </c>
      <c r="AH133" s="2159">
        <f t="shared" si="47"/>
        <v>0</v>
      </c>
      <c r="AI133" s="2160">
        <f t="shared" si="76"/>
        <v>0</v>
      </c>
      <c r="AJ133" s="1966">
        <f t="shared" si="48"/>
        <v>1</v>
      </c>
      <c r="AK133" s="2159">
        <f t="shared" si="49"/>
        <v>0</v>
      </c>
      <c r="AL133" s="368" t="e">
        <f t="shared" si="50"/>
        <v>#DIV/0!</v>
      </c>
      <c r="AN133" s="369">
        <f t="shared" si="51"/>
        <v>0</v>
      </c>
      <c r="AO133" s="1966">
        <f t="shared" si="77"/>
        <v>0</v>
      </c>
      <c r="AP133" s="1966">
        <f t="shared" si="78"/>
        <v>0</v>
      </c>
      <c r="AQ133" s="1966">
        <f t="shared" si="79"/>
        <v>0</v>
      </c>
      <c r="AR133" s="370">
        <f t="shared" si="80"/>
        <v>0</v>
      </c>
      <c r="AT133" s="371">
        <f t="shared" si="81"/>
        <v>0</v>
      </c>
      <c r="AU133" s="1966">
        <f t="shared" si="82"/>
        <v>0</v>
      </c>
      <c r="AV133" s="2161">
        <f t="shared" si="83"/>
        <v>0</v>
      </c>
      <c r="AW133" s="2161">
        <f t="shared" si="84"/>
        <v>0</v>
      </c>
      <c r="AX133" s="1966">
        <f t="shared" si="85"/>
        <v>0</v>
      </c>
      <c r="AY133" s="372">
        <f t="shared" si="86"/>
        <v>0</v>
      </c>
      <c r="AZ133" s="265"/>
      <c r="BA133" s="371">
        <f t="shared" si="56"/>
        <v>0</v>
      </c>
      <c r="BB133" s="1966">
        <f t="shared" si="57"/>
        <v>0</v>
      </c>
      <c r="BC133" s="1966">
        <f t="shared" si="58"/>
        <v>0</v>
      </c>
      <c r="BD133" s="1966">
        <f t="shared" si="59"/>
        <v>0</v>
      </c>
      <c r="BE133" s="372">
        <f t="shared" si="60"/>
        <v>0</v>
      </c>
      <c r="BG133" s="2159">
        <f t="shared" si="61"/>
        <v>46023</v>
      </c>
      <c r="BH133" s="2159">
        <f t="shared" si="62"/>
        <v>46023</v>
      </c>
      <c r="BI133" s="2159">
        <f t="shared" si="63"/>
        <v>46023</v>
      </c>
      <c r="BJ133" s="2159">
        <f t="shared" si="64"/>
        <v>0</v>
      </c>
      <c r="BL133" s="369">
        <f t="shared" si="65"/>
        <v>0</v>
      </c>
      <c r="BM133" s="2159">
        <f t="shared" si="66"/>
        <v>0</v>
      </c>
      <c r="BN133" s="2159">
        <f t="shared" si="67"/>
        <v>0</v>
      </c>
      <c r="BO133" s="373">
        <f t="shared" si="68"/>
        <v>0</v>
      </c>
      <c r="BT133" s="2054"/>
      <c r="CF133" s="2054"/>
    </row>
    <row r="134" spans="1:84" ht="45.75" customHeight="1">
      <c r="A134" s="2163"/>
      <c r="B134" s="2146"/>
      <c r="C134" s="2146"/>
      <c r="D134" s="2164"/>
      <c r="E134" s="1573"/>
      <c r="F134" s="2148"/>
      <c r="G134" s="2149" t="str">
        <f t="shared" si="70"/>
        <v/>
      </c>
      <c r="H134" s="2148"/>
      <c r="I134" s="2150"/>
      <c r="J134" s="2148"/>
      <c r="K134" s="2151">
        <f t="shared" si="71"/>
        <v>0</v>
      </c>
      <c r="L134" s="2148"/>
      <c r="M134" s="2150"/>
      <c r="N134" s="2152"/>
      <c r="O134" s="2148"/>
      <c r="P134" s="2151">
        <f t="shared" si="72"/>
        <v>0</v>
      </c>
      <c r="Q134" s="2148"/>
      <c r="R134" s="2150"/>
      <c r="S134" s="2152"/>
      <c r="T134" s="2153"/>
      <c r="U134" s="2154">
        <f t="shared" si="73"/>
        <v>0</v>
      </c>
      <c r="V134" s="2155"/>
      <c r="W134" s="2150"/>
      <c r="X134" s="2152"/>
      <c r="Y134" s="2153"/>
      <c r="Z134" s="1572">
        <f t="shared" si="74"/>
        <v>0</v>
      </c>
      <c r="AA134" s="2168">
        <f t="shared" si="42"/>
        <v>0</v>
      </c>
      <c r="AB134" s="2156" t="str">
        <f t="shared" si="75"/>
        <v/>
      </c>
      <c r="AD134" s="2158" t="str">
        <f t="shared" si="43"/>
        <v/>
      </c>
      <c r="AE134" s="2159">
        <f t="shared" si="44"/>
        <v>0</v>
      </c>
      <c r="AF134" s="2159">
        <f t="shared" si="45"/>
        <v>0</v>
      </c>
      <c r="AG134" s="2159">
        <f t="shared" si="46"/>
        <v>0</v>
      </c>
      <c r="AH134" s="2159">
        <f t="shared" si="47"/>
        <v>0</v>
      </c>
      <c r="AI134" s="2160">
        <f t="shared" si="76"/>
        <v>0</v>
      </c>
      <c r="AJ134" s="1966">
        <f t="shared" si="48"/>
        <v>1</v>
      </c>
      <c r="AK134" s="2159">
        <f t="shared" si="49"/>
        <v>0</v>
      </c>
      <c r="AL134" s="368" t="e">
        <f t="shared" si="50"/>
        <v>#DIV/0!</v>
      </c>
      <c r="AN134" s="369">
        <f t="shared" si="51"/>
        <v>0</v>
      </c>
      <c r="AO134" s="1966">
        <f t="shared" si="77"/>
        <v>0</v>
      </c>
      <c r="AP134" s="1966">
        <f t="shared" si="78"/>
        <v>0</v>
      </c>
      <c r="AQ134" s="1966">
        <f t="shared" si="79"/>
        <v>0</v>
      </c>
      <c r="AR134" s="370">
        <f t="shared" si="80"/>
        <v>0</v>
      </c>
      <c r="AT134" s="371">
        <f t="shared" si="81"/>
        <v>0</v>
      </c>
      <c r="AU134" s="1966">
        <f t="shared" si="82"/>
        <v>0</v>
      </c>
      <c r="AV134" s="2161">
        <f t="shared" si="83"/>
        <v>0</v>
      </c>
      <c r="AW134" s="2161">
        <f t="shared" si="84"/>
        <v>0</v>
      </c>
      <c r="AX134" s="1966">
        <f t="shared" si="85"/>
        <v>0</v>
      </c>
      <c r="AY134" s="372">
        <f t="shared" si="86"/>
        <v>0</v>
      </c>
      <c r="AZ134" s="265"/>
      <c r="BA134" s="371">
        <f t="shared" si="56"/>
        <v>0</v>
      </c>
      <c r="BB134" s="1966">
        <f t="shared" si="57"/>
        <v>0</v>
      </c>
      <c r="BC134" s="1966">
        <f t="shared" si="58"/>
        <v>0</v>
      </c>
      <c r="BD134" s="1966">
        <f t="shared" si="59"/>
        <v>0</v>
      </c>
      <c r="BE134" s="372">
        <f t="shared" si="60"/>
        <v>0</v>
      </c>
      <c r="BG134" s="2159">
        <f t="shared" si="61"/>
        <v>46023</v>
      </c>
      <c r="BH134" s="2159">
        <f t="shared" si="62"/>
        <v>46023</v>
      </c>
      <c r="BI134" s="2159">
        <f t="shared" si="63"/>
        <v>46023</v>
      </c>
      <c r="BJ134" s="2159">
        <f t="shared" si="64"/>
        <v>0</v>
      </c>
      <c r="BL134" s="369">
        <f t="shared" si="65"/>
        <v>0</v>
      </c>
      <c r="BM134" s="2159">
        <f t="shared" si="66"/>
        <v>0</v>
      </c>
      <c r="BN134" s="2159">
        <f t="shared" si="67"/>
        <v>0</v>
      </c>
      <c r="BO134" s="373">
        <f t="shared" si="68"/>
        <v>0</v>
      </c>
      <c r="BT134" s="2054"/>
    </row>
    <row r="135" spans="1:84" ht="45.75" customHeight="1">
      <c r="A135" s="2163"/>
      <c r="B135" s="2146"/>
      <c r="C135" s="2146"/>
      <c r="D135" s="2164"/>
      <c r="E135" s="1573"/>
      <c r="F135" s="2148"/>
      <c r="G135" s="2149" t="str">
        <f t="shared" si="70"/>
        <v/>
      </c>
      <c r="H135" s="2148"/>
      <c r="I135" s="2150"/>
      <c r="J135" s="2148"/>
      <c r="K135" s="2151">
        <f t="shared" si="71"/>
        <v>0</v>
      </c>
      <c r="L135" s="2148"/>
      <c r="M135" s="2150"/>
      <c r="N135" s="2152"/>
      <c r="O135" s="2148"/>
      <c r="P135" s="2151">
        <f t="shared" si="72"/>
        <v>0</v>
      </c>
      <c r="Q135" s="2148"/>
      <c r="R135" s="2150"/>
      <c r="S135" s="2152"/>
      <c r="T135" s="2153"/>
      <c r="U135" s="2154">
        <f t="shared" si="73"/>
        <v>0</v>
      </c>
      <c r="V135" s="2155"/>
      <c r="W135" s="2150"/>
      <c r="X135" s="2152"/>
      <c r="Y135" s="2153"/>
      <c r="Z135" s="1572">
        <f t="shared" si="74"/>
        <v>0</v>
      </c>
      <c r="AA135" s="2168">
        <f t="shared" si="42"/>
        <v>0</v>
      </c>
      <c r="AB135" s="2156" t="str">
        <f t="shared" si="75"/>
        <v/>
      </c>
      <c r="AD135" s="2158" t="str">
        <f t="shared" si="43"/>
        <v/>
      </c>
      <c r="AE135" s="2159">
        <f t="shared" si="44"/>
        <v>0</v>
      </c>
      <c r="AF135" s="2159">
        <f t="shared" si="45"/>
        <v>0</v>
      </c>
      <c r="AG135" s="2159">
        <f t="shared" si="46"/>
        <v>0</v>
      </c>
      <c r="AH135" s="2159">
        <f t="shared" si="47"/>
        <v>0</v>
      </c>
      <c r="AI135" s="2160">
        <f t="shared" si="76"/>
        <v>0</v>
      </c>
      <c r="AJ135" s="1966">
        <f t="shared" si="48"/>
        <v>1</v>
      </c>
      <c r="AK135" s="2159">
        <f t="shared" si="49"/>
        <v>0</v>
      </c>
      <c r="AL135" s="368" t="e">
        <f t="shared" si="50"/>
        <v>#DIV/0!</v>
      </c>
      <c r="AN135" s="369">
        <f t="shared" si="51"/>
        <v>0</v>
      </c>
      <c r="AO135" s="1966">
        <f t="shared" si="77"/>
        <v>0</v>
      </c>
      <c r="AP135" s="1966">
        <f t="shared" si="78"/>
        <v>0</v>
      </c>
      <c r="AQ135" s="1966">
        <f t="shared" si="79"/>
        <v>0</v>
      </c>
      <c r="AR135" s="370">
        <f t="shared" si="80"/>
        <v>0</v>
      </c>
      <c r="AT135" s="371">
        <f t="shared" si="81"/>
        <v>0</v>
      </c>
      <c r="AU135" s="1966">
        <f t="shared" si="82"/>
        <v>0</v>
      </c>
      <c r="AV135" s="2161">
        <f t="shared" si="83"/>
        <v>0</v>
      </c>
      <c r="AW135" s="2161">
        <f t="shared" si="84"/>
        <v>0</v>
      </c>
      <c r="AX135" s="1966">
        <f t="shared" si="85"/>
        <v>0</v>
      </c>
      <c r="AY135" s="372">
        <f t="shared" si="86"/>
        <v>0</v>
      </c>
      <c r="AZ135" s="265"/>
      <c r="BA135" s="371">
        <f t="shared" si="56"/>
        <v>0</v>
      </c>
      <c r="BB135" s="1966">
        <f t="shared" si="57"/>
        <v>0</v>
      </c>
      <c r="BC135" s="1966">
        <f t="shared" si="58"/>
        <v>0</v>
      </c>
      <c r="BD135" s="1966">
        <f t="shared" si="59"/>
        <v>0</v>
      </c>
      <c r="BE135" s="372">
        <f t="shared" si="60"/>
        <v>0</v>
      </c>
      <c r="BG135" s="2159">
        <f t="shared" si="61"/>
        <v>46023</v>
      </c>
      <c r="BH135" s="2159">
        <f t="shared" si="62"/>
        <v>46023</v>
      </c>
      <c r="BI135" s="2159">
        <f t="shared" si="63"/>
        <v>46023</v>
      </c>
      <c r="BJ135" s="2159">
        <f t="shared" si="64"/>
        <v>0</v>
      </c>
      <c r="BL135" s="369">
        <f t="shared" si="65"/>
        <v>0</v>
      </c>
      <c r="BM135" s="2159">
        <f t="shared" si="66"/>
        <v>0</v>
      </c>
      <c r="BN135" s="2159">
        <f t="shared" si="67"/>
        <v>0</v>
      </c>
      <c r="BO135" s="373">
        <f t="shared" si="68"/>
        <v>0</v>
      </c>
      <c r="BT135" s="2054"/>
    </row>
    <row r="136" spans="1:84" ht="45.75" customHeight="1">
      <c r="A136" s="2163"/>
      <c r="B136" s="2146"/>
      <c r="C136" s="2146"/>
      <c r="D136" s="2164"/>
      <c r="E136" s="1573"/>
      <c r="F136" s="2148"/>
      <c r="G136" s="2149" t="str">
        <f t="shared" si="70"/>
        <v/>
      </c>
      <c r="H136" s="2148"/>
      <c r="I136" s="2150"/>
      <c r="J136" s="2148"/>
      <c r="K136" s="2151">
        <f t="shared" si="71"/>
        <v>0</v>
      </c>
      <c r="L136" s="2148"/>
      <c r="M136" s="2150"/>
      <c r="N136" s="2152"/>
      <c r="O136" s="2148"/>
      <c r="P136" s="2151">
        <f t="shared" si="72"/>
        <v>0</v>
      </c>
      <c r="Q136" s="2148"/>
      <c r="R136" s="2150"/>
      <c r="S136" s="2152"/>
      <c r="T136" s="2153"/>
      <c r="U136" s="2154">
        <f t="shared" si="73"/>
        <v>0</v>
      </c>
      <c r="V136" s="2155"/>
      <c r="W136" s="2150"/>
      <c r="X136" s="2152"/>
      <c r="Y136" s="2153"/>
      <c r="Z136" s="1572">
        <f t="shared" si="74"/>
        <v>0</v>
      </c>
      <c r="AA136" s="2168">
        <f t="shared" si="42"/>
        <v>0</v>
      </c>
      <c r="AB136" s="2156" t="str">
        <f t="shared" si="75"/>
        <v/>
      </c>
      <c r="AD136" s="2158" t="str">
        <f t="shared" si="43"/>
        <v/>
      </c>
      <c r="AE136" s="2159">
        <f t="shared" si="44"/>
        <v>0</v>
      </c>
      <c r="AF136" s="2159">
        <f t="shared" si="45"/>
        <v>0</v>
      </c>
      <c r="AG136" s="2159">
        <f t="shared" si="46"/>
        <v>0</v>
      </c>
      <c r="AH136" s="2159">
        <f t="shared" si="47"/>
        <v>0</v>
      </c>
      <c r="AI136" s="2160">
        <f t="shared" si="76"/>
        <v>0</v>
      </c>
      <c r="AJ136" s="1966">
        <f t="shared" si="48"/>
        <v>1</v>
      </c>
      <c r="AK136" s="2159">
        <f t="shared" si="49"/>
        <v>0</v>
      </c>
      <c r="AL136" s="368" t="e">
        <f t="shared" si="50"/>
        <v>#DIV/0!</v>
      </c>
      <c r="AN136" s="369">
        <f t="shared" si="51"/>
        <v>0</v>
      </c>
      <c r="AO136" s="1966">
        <f t="shared" si="77"/>
        <v>0</v>
      </c>
      <c r="AP136" s="1966">
        <f t="shared" si="78"/>
        <v>0</v>
      </c>
      <c r="AQ136" s="1966">
        <f t="shared" si="79"/>
        <v>0</v>
      </c>
      <c r="AR136" s="370">
        <f t="shared" si="80"/>
        <v>0</v>
      </c>
      <c r="AT136" s="371">
        <f t="shared" si="81"/>
        <v>0</v>
      </c>
      <c r="AU136" s="1966">
        <f t="shared" si="82"/>
        <v>0</v>
      </c>
      <c r="AV136" s="2161">
        <f t="shared" si="83"/>
        <v>0</v>
      </c>
      <c r="AW136" s="2161">
        <f t="shared" si="84"/>
        <v>0</v>
      </c>
      <c r="AX136" s="1966">
        <f t="shared" si="85"/>
        <v>0</v>
      </c>
      <c r="AY136" s="372">
        <f t="shared" si="86"/>
        <v>0</v>
      </c>
      <c r="AZ136" s="265"/>
      <c r="BA136" s="371">
        <f t="shared" si="56"/>
        <v>0</v>
      </c>
      <c r="BB136" s="1966">
        <f t="shared" si="57"/>
        <v>0</v>
      </c>
      <c r="BC136" s="1966">
        <f t="shared" si="58"/>
        <v>0</v>
      </c>
      <c r="BD136" s="1966">
        <f t="shared" si="59"/>
        <v>0</v>
      </c>
      <c r="BE136" s="372">
        <f t="shared" si="60"/>
        <v>0</v>
      </c>
      <c r="BG136" s="2159">
        <f t="shared" si="61"/>
        <v>46023</v>
      </c>
      <c r="BH136" s="2159">
        <f t="shared" si="62"/>
        <v>46023</v>
      </c>
      <c r="BI136" s="2159">
        <f t="shared" si="63"/>
        <v>46023</v>
      </c>
      <c r="BJ136" s="2159">
        <f t="shared" si="64"/>
        <v>0</v>
      </c>
      <c r="BL136" s="369">
        <f t="shared" si="65"/>
        <v>0</v>
      </c>
      <c r="BM136" s="2159">
        <f t="shared" si="66"/>
        <v>0</v>
      </c>
      <c r="BN136" s="2159">
        <f t="shared" si="67"/>
        <v>0</v>
      </c>
      <c r="BO136" s="373">
        <f t="shared" si="68"/>
        <v>0</v>
      </c>
      <c r="BT136" s="2054"/>
    </row>
    <row r="137" spans="1:84" ht="45.75" customHeight="1">
      <c r="A137" s="2163"/>
      <c r="B137" s="2146"/>
      <c r="C137" s="2146"/>
      <c r="D137" s="2164"/>
      <c r="E137" s="1573"/>
      <c r="F137" s="2148"/>
      <c r="G137" s="2149" t="str">
        <f t="shared" si="70"/>
        <v/>
      </c>
      <c r="H137" s="2148"/>
      <c r="I137" s="2150"/>
      <c r="J137" s="2148"/>
      <c r="K137" s="2151">
        <f t="shared" si="71"/>
        <v>0</v>
      </c>
      <c r="L137" s="2148"/>
      <c r="M137" s="2150"/>
      <c r="N137" s="2152"/>
      <c r="O137" s="2148"/>
      <c r="P137" s="2151">
        <f t="shared" si="72"/>
        <v>0</v>
      </c>
      <c r="Q137" s="2148"/>
      <c r="R137" s="2150"/>
      <c r="S137" s="2152"/>
      <c r="T137" s="2153"/>
      <c r="U137" s="2154">
        <f t="shared" si="73"/>
        <v>0</v>
      </c>
      <c r="V137" s="2155"/>
      <c r="W137" s="2150"/>
      <c r="X137" s="2152"/>
      <c r="Y137" s="2153"/>
      <c r="Z137" s="1572">
        <f t="shared" si="74"/>
        <v>0</v>
      </c>
      <c r="AA137" s="2168">
        <f t="shared" si="42"/>
        <v>0</v>
      </c>
      <c r="AB137" s="2156" t="str">
        <f t="shared" si="75"/>
        <v/>
      </c>
      <c r="AD137" s="2158" t="str">
        <f t="shared" si="43"/>
        <v/>
      </c>
      <c r="AE137" s="2159">
        <f t="shared" si="44"/>
        <v>0</v>
      </c>
      <c r="AF137" s="2159">
        <f t="shared" si="45"/>
        <v>0</v>
      </c>
      <c r="AG137" s="2159">
        <f t="shared" si="46"/>
        <v>0</v>
      </c>
      <c r="AH137" s="2159">
        <f t="shared" si="47"/>
        <v>0</v>
      </c>
      <c r="AI137" s="2160">
        <f t="shared" si="76"/>
        <v>0</v>
      </c>
      <c r="AJ137" s="1966">
        <f t="shared" si="48"/>
        <v>1</v>
      </c>
      <c r="AK137" s="2159">
        <f t="shared" si="49"/>
        <v>0</v>
      </c>
      <c r="AL137" s="368" t="e">
        <f t="shared" si="50"/>
        <v>#DIV/0!</v>
      </c>
      <c r="AN137" s="369">
        <f t="shared" si="51"/>
        <v>0</v>
      </c>
      <c r="AO137" s="1966">
        <f t="shared" si="77"/>
        <v>0</v>
      </c>
      <c r="AP137" s="1966">
        <f t="shared" si="78"/>
        <v>0</v>
      </c>
      <c r="AQ137" s="1966">
        <f t="shared" si="79"/>
        <v>0</v>
      </c>
      <c r="AR137" s="370">
        <f t="shared" si="80"/>
        <v>0</v>
      </c>
      <c r="AT137" s="371">
        <f t="shared" si="81"/>
        <v>0</v>
      </c>
      <c r="AU137" s="1966">
        <f t="shared" si="82"/>
        <v>0</v>
      </c>
      <c r="AV137" s="2161">
        <f t="shared" si="83"/>
        <v>0</v>
      </c>
      <c r="AW137" s="2161">
        <f t="shared" si="84"/>
        <v>0</v>
      </c>
      <c r="AX137" s="1966">
        <f t="shared" si="85"/>
        <v>0</v>
      </c>
      <c r="AY137" s="372">
        <f t="shared" si="86"/>
        <v>0</v>
      </c>
      <c r="AZ137" s="265"/>
      <c r="BA137" s="371">
        <f t="shared" si="56"/>
        <v>0</v>
      </c>
      <c r="BB137" s="1966">
        <f t="shared" si="57"/>
        <v>0</v>
      </c>
      <c r="BC137" s="1966">
        <f t="shared" si="58"/>
        <v>0</v>
      </c>
      <c r="BD137" s="1966">
        <f t="shared" si="59"/>
        <v>0</v>
      </c>
      <c r="BE137" s="372">
        <f t="shared" si="60"/>
        <v>0</v>
      </c>
      <c r="BG137" s="2159">
        <f t="shared" si="61"/>
        <v>46023</v>
      </c>
      <c r="BH137" s="2159">
        <f t="shared" si="62"/>
        <v>46023</v>
      </c>
      <c r="BI137" s="2159">
        <f t="shared" si="63"/>
        <v>46023</v>
      </c>
      <c r="BJ137" s="2159">
        <f t="shared" si="64"/>
        <v>0</v>
      </c>
      <c r="BL137" s="369">
        <f t="shared" si="65"/>
        <v>0</v>
      </c>
      <c r="BM137" s="2159">
        <f t="shared" si="66"/>
        <v>0</v>
      </c>
      <c r="BN137" s="2159">
        <f t="shared" si="67"/>
        <v>0</v>
      </c>
      <c r="BO137" s="373">
        <f t="shared" si="68"/>
        <v>0</v>
      </c>
      <c r="BT137" s="2054"/>
    </row>
    <row r="138" spans="1:84" ht="45.75" customHeight="1">
      <c r="A138" s="2163"/>
      <c r="B138" s="2146"/>
      <c r="C138" s="2146"/>
      <c r="D138" s="2164"/>
      <c r="E138" s="1573"/>
      <c r="F138" s="2148"/>
      <c r="G138" s="2149" t="str">
        <f t="shared" si="70"/>
        <v/>
      </c>
      <c r="H138" s="2148"/>
      <c r="I138" s="2150"/>
      <c r="J138" s="2148"/>
      <c r="K138" s="2151">
        <f t="shared" si="71"/>
        <v>0</v>
      </c>
      <c r="L138" s="2148"/>
      <c r="M138" s="2150"/>
      <c r="N138" s="2152"/>
      <c r="O138" s="2148"/>
      <c r="P138" s="2151">
        <f t="shared" si="72"/>
        <v>0</v>
      </c>
      <c r="Q138" s="2148"/>
      <c r="R138" s="2150"/>
      <c r="S138" s="2152"/>
      <c r="T138" s="2153"/>
      <c r="U138" s="2154">
        <f t="shared" si="73"/>
        <v>0</v>
      </c>
      <c r="V138" s="2155"/>
      <c r="W138" s="2150"/>
      <c r="X138" s="2152"/>
      <c r="Y138" s="2153"/>
      <c r="Z138" s="1572">
        <f t="shared" si="74"/>
        <v>0</v>
      </c>
      <c r="AA138" s="2168">
        <f t="shared" ref="AA138:AA201" si="87">IF(AND($I$3=0,C138&lt;&gt;""),"Ackerfläche noch nicht angeführt",IF(ISBLANK(C138),0,IF(AJ138=0,"ja",IF(AI138&gt;0,CONCATENATE("nein - ",ROUND(AL138*100,1)," % ","nicht begrünt"),""))))</f>
        <v>0</v>
      </c>
      <c r="AB138" s="2156" t="str">
        <f t="shared" si="75"/>
        <v/>
      </c>
      <c r="AD138" s="2158" t="str">
        <f t="shared" ref="AD138:AD201" si="88">IF(AND($AE138=1,$N138="",$L138&gt;0,$AO138&lt;=50,$AT138&lt;&gt;1,$AV138&lt;&gt;1,$AW138&lt;&gt;1),$BQ$9,IF(AND($AE138=1,$S138="",$Q138&gt;0,$AP138&lt;=50,$N138="HF",$AT138&lt;&gt;1,$AU138&lt;&gt;1,$AW138&lt;&gt;1),$BQ$10,IF(AND($AE138=1,$X138="",$V138&gt;0,$AQ138&lt;=50,$S138="HF",$AT138&lt;&gt;1,$AU138&lt;&gt;1,$AV138&lt;&gt;1),$BQ$11,IF(AND($AF138=1,$AI138=1),$BQ$15,IF(AND($AE138=1,$AI138=1),$BQ$13,IF(AND($AG138=1,$AI138=1),$BQ$14,IF(AND($AH138=1,$AI138=1),$BQ$12,IF(AND($AE138=1,$AF138=1,$AI138=2),CONCATENATE($BQ$13," &amp; ",$BQ$15),IF(AND($AE138=1,$AG138=1,$AI138=2),CONCATENATE($BQ$13," &amp; ",$BQ$14),IF(AND($AE138=1,$AH138=1,$AI138=2),CONCATENATE($BQ$13," &amp; ",$BQ$12),IF(AND($AF138=1,$AG138=1,$AI138=2),CONCATENATE($BQ$15," &amp; ",$BQ$14),IF(AND($AF138=1,$AH138=1,$AI138=2),CONCATENATE($BQ$15," &amp; ",$BQ$12),IF(AND($AG138=1,$AH138=1,$AI138=2),CONCATENATE($BQ$14," &amp; ",$BQ$12),IF(AND($AE138=1,$AF138=1,$AG138=1,$AI138=3),CONCATENATE($BQ$13," &amp; ",$BQ$15," &amp; ",$BQ$14),IF(AND($AE138=1,$AG138=1,$AH138=1,$AI138=3),CONCATENATE($BQ$13," &amp; ",$BQ$14," &amp; ",$BQ$12),IF(AND($AF138=1,$AG138=1,$AH138=1,$AI138=3),CONCATENATE($BQ$15," &amp; ",$BQ$14," &amp; ",$BQ$12),IF(AND($AE138=1,$AF138=1,$AH138=1,$AI138=3),CONCATENATE($BQ$13," &amp; ",$BQ$15," &amp; ",$BQ$12),IF($AI138=4,"Fehler in Eingabe",""))))))))))))))))))</f>
        <v/>
      </c>
      <c r="AE138" s="2159">
        <f t="shared" ref="AE138:AE201" si="89">IF($AY138&gt;0,1,0)</f>
        <v>0</v>
      </c>
      <c r="AF138" s="2159">
        <f t="shared" ref="AF138:AF201" si="90">IF($BJ138&gt;0,1,0)</f>
        <v>0</v>
      </c>
      <c r="AG138" s="2159">
        <f t="shared" ref="AG138:AG201" si="91">IF($BO138&gt;0,1,0)</f>
        <v>0</v>
      </c>
      <c r="AH138" s="2159">
        <f t="shared" ref="AH138:AH201" si="92">IF($BE138=1,1,0)</f>
        <v>0</v>
      </c>
      <c r="AI138" s="2160">
        <f t="shared" si="76"/>
        <v>0</v>
      </c>
      <c r="AJ138" s="1966">
        <f t="shared" ref="AJ138:AJ201" si="93">IF(OR(ISBLANK($I138),$AI138&gt;0),1,0)</f>
        <v>1</v>
      </c>
      <c r="AK138" s="2159">
        <f t="shared" ref="AK138:AK201" si="94">IF($AJ138=1,$C138,0)</f>
        <v>0</v>
      </c>
      <c r="AL138" s="368" t="e">
        <f t="shared" ref="AL138:AL201" si="95">$AK138/$AJ$2</f>
        <v>#DIV/0!</v>
      </c>
      <c r="AN138" s="369">
        <f t="shared" ref="AN138:AN201" si="96">IF(AND(OR($C$2=2023,$C$2=2025,$C$2=2026,$C$2=2027),$E138="nein"),$H138-$AC$8,IF(AND(OR($C$2=2024,$C$2=2028),$E138="nein"),$H138+1-$AC$8,IF(AND($F138&gt;0,$E138="ja HF"),$H138-$F138,IF(AND($F138&gt;0,$E138="ja ZWF"),$H138-$F138,0))))</f>
        <v>0</v>
      </c>
      <c r="AO138" s="1966">
        <f t="shared" si="77"/>
        <v>0</v>
      </c>
      <c r="AP138" s="1966">
        <f t="shared" si="78"/>
        <v>0</v>
      </c>
      <c r="AQ138" s="1966">
        <f t="shared" si="79"/>
        <v>0</v>
      </c>
      <c r="AR138" s="370">
        <f t="shared" si="80"/>
        <v>0</v>
      </c>
      <c r="AT138" s="371">
        <f t="shared" si="81"/>
        <v>0</v>
      </c>
      <c r="AU138" s="1966">
        <f t="shared" si="82"/>
        <v>0</v>
      </c>
      <c r="AV138" s="2161">
        <f t="shared" si="83"/>
        <v>0</v>
      </c>
      <c r="AW138" s="2161">
        <f t="shared" si="84"/>
        <v>0</v>
      </c>
      <c r="AX138" s="1966">
        <f t="shared" si="85"/>
        <v>0</v>
      </c>
      <c r="AY138" s="372">
        <f t="shared" si="86"/>
        <v>0</v>
      </c>
      <c r="AZ138" s="265"/>
      <c r="BA138" s="371">
        <f t="shared" ref="BA138:BA201" si="97">IF(AND($J138&gt;0,$L138=0),1,0)</f>
        <v>0</v>
      </c>
      <c r="BB138" s="1966">
        <f t="shared" ref="BB138:BB201" si="98">IF(AND($O138&gt;0,$Q138=0),1,0)</f>
        <v>0</v>
      </c>
      <c r="BC138" s="1966">
        <f t="shared" ref="BC138:BC201" si="99">IF(AND($T138&gt;0,$V138=0),1,0)</f>
        <v>0</v>
      </c>
      <c r="BD138" s="1966">
        <f t="shared" ref="BD138:BD201" si="100">IF($Y138&gt;0,1,0)</f>
        <v>0</v>
      </c>
      <c r="BE138" s="372">
        <f t="shared" ref="BE138:BE201" si="101">SUM($BA138:$BD138)</f>
        <v>0</v>
      </c>
      <c r="BG138" s="2159">
        <f t="shared" ref="BG138:BG201" si="102">IF(ISBLANK($O138),($AC$8+365)-$L138,$O138-$L138)</f>
        <v>46023</v>
      </c>
      <c r="BH138" s="2159">
        <f t="shared" ref="BH138:BH201" si="103">IF(ISBLANK($T138),($AC$8+365)-$Q138,$T138-$Q138)</f>
        <v>46023</v>
      </c>
      <c r="BI138" s="2159">
        <f t="shared" ref="BI138:BI201" si="104">IF(ISBLANK($Y138),($AC$8+365)-$V138,$Y138-$V138)</f>
        <v>46023</v>
      </c>
      <c r="BJ138" s="2159">
        <f t="shared" ref="BJ138:BJ201" si="105">IF(AND($BG138&lt;43,$N138="ZWF"),1,IF(AND($BH138&lt;43,$S138="ZWF"),1,IF(AND($BI138&lt;43,$X138="ZWF"),1,0)))</f>
        <v>0</v>
      </c>
      <c r="BL138" s="369">
        <f t="shared" ref="BL138:BL201" si="106">IF(AND($N138="ZWF",$L138&gt;($AC$8+287)),1,0)</f>
        <v>0</v>
      </c>
      <c r="BM138" s="2159">
        <f t="shared" ref="BM138:BM201" si="107">IF(AND($S138="ZWF",$Q138&gt;($AC$8+287)),1,0)</f>
        <v>0</v>
      </c>
      <c r="BN138" s="2159">
        <f t="shared" ref="BN138:BN201" si="108">IF(AND($X138="ZWF",$V138&gt;($AC$8+287)),1,0)</f>
        <v>0</v>
      </c>
      <c r="BO138" s="373">
        <f t="shared" ref="BO138:BO201" si="109">SUM($BL138:$BN138)</f>
        <v>0</v>
      </c>
      <c r="BT138" s="2054"/>
    </row>
    <row r="139" spans="1:84" ht="45.75" customHeight="1">
      <c r="A139" s="2163"/>
      <c r="B139" s="2146"/>
      <c r="C139" s="2146"/>
      <c r="D139" s="2164"/>
      <c r="E139" s="1573"/>
      <c r="F139" s="2148"/>
      <c r="G139" s="2149" t="str">
        <f t="shared" si="70"/>
        <v/>
      </c>
      <c r="H139" s="2148"/>
      <c r="I139" s="2150"/>
      <c r="J139" s="2148"/>
      <c r="K139" s="2151">
        <f t="shared" si="71"/>
        <v>0</v>
      </c>
      <c r="L139" s="2148"/>
      <c r="M139" s="2150"/>
      <c r="N139" s="2152"/>
      <c r="O139" s="2148"/>
      <c r="P139" s="2151">
        <f t="shared" si="72"/>
        <v>0</v>
      </c>
      <c r="Q139" s="2148"/>
      <c r="R139" s="2150"/>
      <c r="S139" s="2152"/>
      <c r="T139" s="2153"/>
      <c r="U139" s="2154">
        <f t="shared" si="73"/>
        <v>0</v>
      </c>
      <c r="V139" s="2155"/>
      <c r="W139" s="2150"/>
      <c r="X139" s="2152"/>
      <c r="Y139" s="2153"/>
      <c r="Z139" s="1572">
        <f t="shared" si="74"/>
        <v>0</v>
      </c>
      <c r="AA139" s="2168">
        <f t="shared" si="87"/>
        <v>0</v>
      </c>
      <c r="AB139" s="2156" t="str">
        <f t="shared" si="75"/>
        <v/>
      </c>
      <c r="AD139" s="2158" t="str">
        <f t="shared" si="88"/>
        <v/>
      </c>
      <c r="AE139" s="2159">
        <f t="shared" si="89"/>
        <v>0</v>
      </c>
      <c r="AF139" s="2159">
        <f t="shared" si="90"/>
        <v>0</v>
      </c>
      <c r="AG139" s="2159">
        <f t="shared" si="91"/>
        <v>0</v>
      </c>
      <c r="AH139" s="2159">
        <f t="shared" si="92"/>
        <v>0</v>
      </c>
      <c r="AI139" s="2160">
        <f t="shared" si="76"/>
        <v>0</v>
      </c>
      <c r="AJ139" s="1966">
        <f t="shared" si="93"/>
        <v>1</v>
      </c>
      <c r="AK139" s="2159">
        <f t="shared" si="94"/>
        <v>0</v>
      </c>
      <c r="AL139" s="368" t="e">
        <f t="shared" si="95"/>
        <v>#DIV/0!</v>
      </c>
      <c r="AN139" s="369">
        <f t="shared" si="96"/>
        <v>0</v>
      </c>
      <c r="AO139" s="1966">
        <f t="shared" si="77"/>
        <v>0</v>
      </c>
      <c r="AP139" s="1966">
        <f t="shared" si="78"/>
        <v>0</v>
      </c>
      <c r="AQ139" s="1966">
        <f t="shared" si="79"/>
        <v>0</v>
      </c>
      <c r="AR139" s="370">
        <f t="shared" si="80"/>
        <v>0</v>
      </c>
      <c r="AT139" s="371">
        <f t="shared" si="81"/>
        <v>0</v>
      </c>
      <c r="AU139" s="1966">
        <f t="shared" si="82"/>
        <v>0</v>
      </c>
      <c r="AV139" s="2161">
        <f t="shared" si="83"/>
        <v>0</v>
      </c>
      <c r="AW139" s="2161">
        <f t="shared" si="84"/>
        <v>0</v>
      </c>
      <c r="AX139" s="1966">
        <f t="shared" si="85"/>
        <v>0</v>
      </c>
      <c r="AY139" s="372">
        <f t="shared" si="86"/>
        <v>0</v>
      </c>
      <c r="AZ139" s="265"/>
      <c r="BA139" s="371">
        <f t="shared" si="97"/>
        <v>0</v>
      </c>
      <c r="BB139" s="1966">
        <f t="shared" si="98"/>
        <v>0</v>
      </c>
      <c r="BC139" s="1966">
        <f t="shared" si="99"/>
        <v>0</v>
      </c>
      <c r="BD139" s="1966">
        <f t="shared" si="100"/>
        <v>0</v>
      </c>
      <c r="BE139" s="372">
        <f t="shared" si="101"/>
        <v>0</v>
      </c>
      <c r="BG139" s="2159">
        <f t="shared" si="102"/>
        <v>46023</v>
      </c>
      <c r="BH139" s="2159">
        <f t="shared" si="103"/>
        <v>46023</v>
      </c>
      <c r="BI139" s="2159">
        <f t="shared" si="104"/>
        <v>46023</v>
      </c>
      <c r="BJ139" s="2159">
        <f t="shared" si="105"/>
        <v>0</v>
      </c>
      <c r="BL139" s="369">
        <f t="shared" si="106"/>
        <v>0</v>
      </c>
      <c r="BM139" s="2159">
        <f t="shared" si="107"/>
        <v>0</v>
      </c>
      <c r="BN139" s="2159">
        <f t="shared" si="108"/>
        <v>0</v>
      </c>
      <c r="BO139" s="373">
        <f t="shared" si="109"/>
        <v>0</v>
      </c>
      <c r="BT139" s="2054"/>
    </row>
    <row r="140" spans="1:84" ht="45.75" customHeight="1">
      <c r="A140" s="2163"/>
      <c r="B140" s="2146"/>
      <c r="C140" s="2146"/>
      <c r="D140" s="2164"/>
      <c r="E140" s="1573"/>
      <c r="F140" s="2148"/>
      <c r="G140" s="2149" t="str">
        <f t="shared" si="70"/>
        <v/>
      </c>
      <c r="H140" s="2148"/>
      <c r="I140" s="2150"/>
      <c r="J140" s="2148"/>
      <c r="K140" s="2151">
        <f t="shared" si="71"/>
        <v>0</v>
      </c>
      <c r="L140" s="2148"/>
      <c r="M140" s="2150"/>
      <c r="N140" s="2152"/>
      <c r="O140" s="2148"/>
      <c r="P140" s="2151">
        <f t="shared" si="72"/>
        <v>0</v>
      </c>
      <c r="Q140" s="2148"/>
      <c r="R140" s="2150"/>
      <c r="S140" s="2152"/>
      <c r="T140" s="2153"/>
      <c r="U140" s="2154">
        <f t="shared" si="73"/>
        <v>0</v>
      </c>
      <c r="V140" s="2155"/>
      <c r="W140" s="2150"/>
      <c r="X140" s="2152"/>
      <c r="Y140" s="2153"/>
      <c r="Z140" s="1572">
        <f t="shared" si="74"/>
        <v>0</v>
      </c>
      <c r="AA140" s="2168">
        <f t="shared" si="87"/>
        <v>0</v>
      </c>
      <c r="AB140" s="2156" t="str">
        <f t="shared" si="75"/>
        <v/>
      </c>
      <c r="AD140" s="2158" t="str">
        <f t="shared" si="88"/>
        <v/>
      </c>
      <c r="AE140" s="2159">
        <f t="shared" si="89"/>
        <v>0</v>
      </c>
      <c r="AF140" s="2159">
        <f t="shared" si="90"/>
        <v>0</v>
      </c>
      <c r="AG140" s="2159">
        <f t="shared" si="91"/>
        <v>0</v>
      </c>
      <c r="AH140" s="2159">
        <f t="shared" si="92"/>
        <v>0</v>
      </c>
      <c r="AI140" s="2160">
        <f t="shared" si="76"/>
        <v>0</v>
      </c>
      <c r="AJ140" s="1966">
        <f t="shared" si="93"/>
        <v>1</v>
      </c>
      <c r="AK140" s="2159">
        <f t="shared" si="94"/>
        <v>0</v>
      </c>
      <c r="AL140" s="368" t="e">
        <f t="shared" si="95"/>
        <v>#DIV/0!</v>
      </c>
      <c r="AN140" s="369">
        <f t="shared" si="96"/>
        <v>0</v>
      </c>
      <c r="AO140" s="1966">
        <f t="shared" si="77"/>
        <v>0</v>
      </c>
      <c r="AP140" s="1966">
        <f t="shared" si="78"/>
        <v>0</v>
      </c>
      <c r="AQ140" s="1966">
        <f t="shared" si="79"/>
        <v>0</v>
      </c>
      <c r="AR140" s="370">
        <f t="shared" si="80"/>
        <v>0</v>
      </c>
      <c r="AT140" s="371">
        <f t="shared" si="81"/>
        <v>0</v>
      </c>
      <c r="AU140" s="1966">
        <f t="shared" si="82"/>
        <v>0</v>
      </c>
      <c r="AV140" s="2161">
        <f t="shared" si="83"/>
        <v>0</v>
      </c>
      <c r="AW140" s="2161">
        <f t="shared" si="84"/>
        <v>0</v>
      </c>
      <c r="AX140" s="1966">
        <f t="shared" si="85"/>
        <v>0</v>
      </c>
      <c r="AY140" s="372">
        <f t="shared" si="86"/>
        <v>0</v>
      </c>
      <c r="AZ140" s="265"/>
      <c r="BA140" s="371">
        <f t="shared" si="97"/>
        <v>0</v>
      </c>
      <c r="BB140" s="1966">
        <f t="shared" si="98"/>
        <v>0</v>
      </c>
      <c r="BC140" s="1966">
        <f t="shared" si="99"/>
        <v>0</v>
      </c>
      <c r="BD140" s="1966">
        <f t="shared" si="100"/>
        <v>0</v>
      </c>
      <c r="BE140" s="372">
        <f t="shared" si="101"/>
        <v>0</v>
      </c>
      <c r="BG140" s="2159">
        <f t="shared" si="102"/>
        <v>46023</v>
      </c>
      <c r="BH140" s="2159">
        <f t="shared" si="103"/>
        <v>46023</v>
      </c>
      <c r="BI140" s="2159">
        <f t="shared" si="104"/>
        <v>46023</v>
      </c>
      <c r="BJ140" s="2159">
        <f t="shared" si="105"/>
        <v>0</v>
      </c>
      <c r="BL140" s="369">
        <f t="shared" si="106"/>
        <v>0</v>
      </c>
      <c r="BM140" s="2159">
        <f t="shared" si="107"/>
        <v>0</v>
      </c>
      <c r="BN140" s="2159">
        <f t="shared" si="108"/>
        <v>0</v>
      </c>
      <c r="BO140" s="373">
        <f t="shared" si="109"/>
        <v>0</v>
      </c>
      <c r="BT140" s="2054"/>
    </row>
    <row r="141" spans="1:84" ht="45.75" customHeight="1">
      <c r="A141" s="2163"/>
      <c r="B141" s="2146"/>
      <c r="C141" s="2146"/>
      <c r="D141" s="2164"/>
      <c r="E141" s="1573"/>
      <c r="F141" s="2148"/>
      <c r="G141" s="2149" t="str">
        <f t="shared" si="70"/>
        <v/>
      </c>
      <c r="H141" s="2148"/>
      <c r="I141" s="2150"/>
      <c r="J141" s="2148"/>
      <c r="K141" s="2151">
        <f t="shared" si="71"/>
        <v>0</v>
      </c>
      <c r="L141" s="2148"/>
      <c r="M141" s="2150"/>
      <c r="N141" s="2152"/>
      <c r="O141" s="2148"/>
      <c r="P141" s="2151">
        <f t="shared" si="72"/>
        <v>0</v>
      </c>
      <c r="Q141" s="2148"/>
      <c r="R141" s="2150"/>
      <c r="S141" s="2152"/>
      <c r="T141" s="2153"/>
      <c r="U141" s="2154">
        <f t="shared" si="73"/>
        <v>0</v>
      </c>
      <c r="V141" s="2155"/>
      <c r="W141" s="2150"/>
      <c r="X141" s="2152"/>
      <c r="Y141" s="2153"/>
      <c r="Z141" s="1572">
        <f t="shared" si="74"/>
        <v>0</v>
      </c>
      <c r="AA141" s="2168">
        <f t="shared" si="87"/>
        <v>0</v>
      </c>
      <c r="AB141" s="2156" t="str">
        <f t="shared" si="75"/>
        <v/>
      </c>
      <c r="AD141" s="2158" t="str">
        <f t="shared" si="88"/>
        <v/>
      </c>
      <c r="AE141" s="2159">
        <f t="shared" si="89"/>
        <v>0</v>
      </c>
      <c r="AF141" s="2159">
        <f t="shared" si="90"/>
        <v>0</v>
      </c>
      <c r="AG141" s="2159">
        <f t="shared" si="91"/>
        <v>0</v>
      </c>
      <c r="AH141" s="2159">
        <f t="shared" si="92"/>
        <v>0</v>
      </c>
      <c r="AI141" s="2160">
        <f t="shared" si="76"/>
        <v>0</v>
      </c>
      <c r="AJ141" s="1966">
        <f t="shared" si="93"/>
        <v>1</v>
      </c>
      <c r="AK141" s="2159">
        <f t="shared" si="94"/>
        <v>0</v>
      </c>
      <c r="AL141" s="368" t="e">
        <f t="shared" si="95"/>
        <v>#DIV/0!</v>
      </c>
      <c r="AN141" s="369">
        <f t="shared" si="96"/>
        <v>0</v>
      </c>
      <c r="AO141" s="1966">
        <f t="shared" si="77"/>
        <v>0</v>
      </c>
      <c r="AP141" s="1966">
        <f t="shared" si="78"/>
        <v>0</v>
      </c>
      <c r="AQ141" s="1966">
        <f t="shared" si="79"/>
        <v>0</v>
      </c>
      <c r="AR141" s="370">
        <f t="shared" si="80"/>
        <v>0</v>
      </c>
      <c r="AT141" s="371">
        <f t="shared" si="81"/>
        <v>0</v>
      </c>
      <c r="AU141" s="1966">
        <f t="shared" si="82"/>
        <v>0</v>
      </c>
      <c r="AV141" s="2161">
        <f t="shared" si="83"/>
        <v>0</v>
      </c>
      <c r="AW141" s="2161">
        <f t="shared" si="84"/>
        <v>0</v>
      </c>
      <c r="AX141" s="1966">
        <f t="shared" si="85"/>
        <v>0</v>
      </c>
      <c r="AY141" s="372">
        <f t="shared" si="86"/>
        <v>0</v>
      </c>
      <c r="AZ141" s="265"/>
      <c r="BA141" s="371">
        <f t="shared" si="97"/>
        <v>0</v>
      </c>
      <c r="BB141" s="1966">
        <f t="shared" si="98"/>
        <v>0</v>
      </c>
      <c r="BC141" s="1966">
        <f t="shared" si="99"/>
        <v>0</v>
      </c>
      <c r="BD141" s="1966">
        <f t="shared" si="100"/>
        <v>0</v>
      </c>
      <c r="BE141" s="372">
        <f t="shared" si="101"/>
        <v>0</v>
      </c>
      <c r="BG141" s="2159">
        <f t="shared" si="102"/>
        <v>46023</v>
      </c>
      <c r="BH141" s="2159">
        <f t="shared" si="103"/>
        <v>46023</v>
      </c>
      <c r="BI141" s="2159">
        <f t="shared" si="104"/>
        <v>46023</v>
      </c>
      <c r="BJ141" s="2159">
        <f t="shared" si="105"/>
        <v>0</v>
      </c>
      <c r="BL141" s="369">
        <f t="shared" si="106"/>
        <v>0</v>
      </c>
      <c r="BM141" s="2159">
        <f t="shared" si="107"/>
        <v>0</v>
      </c>
      <c r="BN141" s="2159">
        <f t="shared" si="108"/>
        <v>0</v>
      </c>
      <c r="BO141" s="373">
        <f t="shared" si="109"/>
        <v>0</v>
      </c>
      <c r="BT141" s="2054"/>
    </row>
    <row r="142" spans="1:84" ht="45.75" customHeight="1">
      <c r="A142" s="2163"/>
      <c r="B142" s="2146"/>
      <c r="C142" s="2146"/>
      <c r="D142" s="2164"/>
      <c r="E142" s="1573"/>
      <c r="F142" s="2148"/>
      <c r="G142" s="2149" t="str">
        <f t="shared" si="70"/>
        <v/>
      </c>
      <c r="H142" s="2148"/>
      <c r="I142" s="2150"/>
      <c r="J142" s="2148"/>
      <c r="K142" s="2151">
        <f t="shared" si="71"/>
        <v>0</v>
      </c>
      <c r="L142" s="2148"/>
      <c r="M142" s="2150"/>
      <c r="N142" s="2152"/>
      <c r="O142" s="2148"/>
      <c r="P142" s="2151">
        <f t="shared" si="72"/>
        <v>0</v>
      </c>
      <c r="Q142" s="2148"/>
      <c r="R142" s="2150"/>
      <c r="S142" s="2152"/>
      <c r="T142" s="2153"/>
      <c r="U142" s="2154">
        <f t="shared" si="73"/>
        <v>0</v>
      </c>
      <c r="V142" s="2155"/>
      <c r="W142" s="2150"/>
      <c r="X142" s="2152"/>
      <c r="Y142" s="2153"/>
      <c r="Z142" s="1572">
        <f t="shared" si="74"/>
        <v>0</v>
      </c>
      <c r="AA142" s="2168">
        <f t="shared" si="87"/>
        <v>0</v>
      </c>
      <c r="AB142" s="2156" t="str">
        <f t="shared" si="75"/>
        <v/>
      </c>
      <c r="AD142" s="2158" t="str">
        <f t="shared" si="88"/>
        <v/>
      </c>
      <c r="AE142" s="2159">
        <f t="shared" si="89"/>
        <v>0</v>
      </c>
      <c r="AF142" s="2159">
        <f t="shared" si="90"/>
        <v>0</v>
      </c>
      <c r="AG142" s="2159">
        <f t="shared" si="91"/>
        <v>0</v>
      </c>
      <c r="AH142" s="2159">
        <f t="shared" si="92"/>
        <v>0</v>
      </c>
      <c r="AI142" s="2160">
        <f t="shared" si="76"/>
        <v>0</v>
      </c>
      <c r="AJ142" s="1966">
        <f t="shared" si="93"/>
        <v>1</v>
      </c>
      <c r="AK142" s="2159">
        <f t="shared" si="94"/>
        <v>0</v>
      </c>
      <c r="AL142" s="368" t="e">
        <f t="shared" si="95"/>
        <v>#DIV/0!</v>
      </c>
      <c r="AN142" s="369">
        <f t="shared" si="96"/>
        <v>0</v>
      </c>
      <c r="AO142" s="1966">
        <f t="shared" si="77"/>
        <v>0</v>
      </c>
      <c r="AP142" s="1966">
        <f t="shared" si="78"/>
        <v>0</v>
      </c>
      <c r="AQ142" s="1966">
        <f t="shared" si="79"/>
        <v>0</v>
      </c>
      <c r="AR142" s="370">
        <f t="shared" si="80"/>
        <v>0</v>
      </c>
      <c r="AT142" s="371">
        <f t="shared" si="81"/>
        <v>0</v>
      </c>
      <c r="AU142" s="1966">
        <f t="shared" si="82"/>
        <v>0</v>
      </c>
      <c r="AV142" s="2161">
        <f t="shared" si="83"/>
        <v>0</v>
      </c>
      <c r="AW142" s="2161">
        <f t="shared" si="84"/>
        <v>0</v>
      </c>
      <c r="AX142" s="1966">
        <f t="shared" si="85"/>
        <v>0</v>
      </c>
      <c r="AY142" s="372">
        <f t="shared" si="86"/>
        <v>0</v>
      </c>
      <c r="AZ142" s="265"/>
      <c r="BA142" s="371">
        <f t="shared" si="97"/>
        <v>0</v>
      </c>
      <c r="BB142" s="1966">
        <f t="shared" si="98"/>
        <v>0</v>
      </c>
      <c r="BC142" s="1966">
        <f t="shared" si="99"/>
        <v>0</v>
      </c>
      <c r="BD142" s="1966">
        <f t="shared" si="100"/>
        <v>0</v>
      </c>
      <c r="BE142" s="372">
        <f t="shared" si="101"/>
        <v>0</v>
      </c>
      <c r="BG142" s="2159">
        <f t="shared" si="102"/>
        <v>46023</v>
      </c>
      <c r="BH142" s="2159">
        <f t="shared" si="103"/>
        <v>46023</v>
      </c>
      <c r="BI142" s="2159">
        <f t="shared" si="104"/>
        <v>46023</v>
      </c>
      <c r="BJ142" s="2159">
        <f t="shared" si="105"/>
        <v>0</v>
      </c>
      <c r="BL142" s="369">
        <f t="shared" si="106"/>
        <v>0</v>
      </c>
      <c r="BM142" s="2159">
        <f t="shared" si="107"/>
        <v>0</v>
      </c>
      <c r="BN142" s="2159">
        <f t="shared" si="108"/>
        <v>0</v>
      </c>
      <c r="BO142" s="373">
        <f t="shared" si="109"/>
        <v>0</v>
      </c>
      <c r="BT142" s="2054"/>
    </row>
    <row r="143" spans="1:84" ht="45.75" customHeight="1">
      <c r="A143" s="2163"/>
      <c r="B143" s="2146"/>
      <c r="C143" s="2146"/>
      <c r="D143" s="2164"/>
      <c r="E143" s="1573"/>
      <c r="F143" s="2148"/>
      <c r="G143" s="2149" t="str">
        <f t="shared" si="70"/>
        <v/>
      </c>
      <c r="H143" s="2148"/>
      <c r="I143" s="2150"/>
      <c r="J143" s="2148"/>
      <c r="K143" s="2151">
        <f t="shared" si="71"/>
        <v>0</v>
      </c>
      <c r="L143" s="2148"/>
      <c r="M143" s="2150"/>
      <c r="N143" s="2152"/>
      <c r="O143" s="2148"/>
      <c r="P143" s="2151">
        <f t="shared" si="72"/>
        <v>0</v>
      </c>
      <c r="Q143" s="2148"/>
      <c r="R143" s="2150"/>
      <c r="S143" s="2152"/>
      <c r="T143" s="2153"/>
      <c r="U143" s="2154">
        <f t="shared" si="73"/>
        <v>0</v>
      </c>
      <c r="V143" s="2155"/>
      <c r="W143" s="2150"/>
      <c r="X143" s="2152"/>
      <c r="Y143" s="2153"/>
      <c r="Z143" s="1572">
        <f t="shared" si="74"/>
        <v>0</v>
      </c>
      <c r="AA143" s="2168">
        <f t="shared" si="87"/>
        <v>0</v>
      </c>
      <c r="AB143" s="2156" t="str">
        <f t="shared" si="75"/>
        <v/>
      </c>
      <c r="AD143" s="2158" t="str">
        <f t="shared" si="88"/>
        <v/>
      </c>
      <c r="AE143" s="2159">
        <f t="shared" si="89"/>
        <v>0</v>
      </c>
      <c r="AF143" s="2159">
        <f t="shared" si="90"/>
        <v>0</v>
      </c>
      <c r="AG143" s="2159">
        <f t="shared" si="91"/>
        <v>0</v>
      </c>
      <c r="AH143" s="2159">
        <f t="shared" si="92"/>
        <v>0</v>
      </c>
      <c r="AI143" s="2160">
        <f t="shared" si="76"/>
        <v>0</v>
      </c>
      <c r="AJ143" s="1966">
        <f t="shared" si="93"/>
        <v>1</v>
      </c>
      <c r="AK143" s="2159">
        <f t="shared" si="94"/>
        <v>0</v>
      </c>
      <c r="AL143" s="368" t="e">
        <f t="shared" si="95"/>
        <v>#DIV/0!</v>
      </c>
      <c r="AN143" s="369">
        <f t="shared" si="96"/>
        <v>0</v>
      </c>
      <c r="AO143" s="1966">
        <f t="shared" si="77"/>
        <v>0</v>
      </c>
      <c r="AP143" s="1966">
        <f t="shared" si="78"/>
        <v>0</v>
      </c>
      <c r="AQ143" s="1966">
        <f t="shared" si="79"/>
        <v>0</v>
      </c>
      <c r="AR143" s="370">
        <f t="shared" si="80"/>
        <v>0</v>
      </c>
      <c r="AT143" s="371">
        <f t="shared" si="81"/>
        <v>0</v>
      </c>
      <c r="AU143" s="1966">
        <f t="shared" si="82"/>
        <v>0</v>
      </c>
      <c r="AV143" s="2161">
        <f t="shared" si="83"/>
        <v>0</v>
      </c>
      <c r="AW143" s="2161">
        <f t="shared" si="84"/>
        <v>0</v>
      </c>
      <c r="AX143" s="1966">
        <f t="shared" si="85"/>
        <v>0</v>
      </c>
      <c r="AY143" s="372">
        <f t="shared" si="86"/>
        <v>0</v>
      </c>
      <c r="AZ143" s="265"/>
      <c r="BA143" s="371">
        <f t="shared" si="97"/>
        <v>0</v>
      </c>
      <c r="BB143" s="1966">
        <f t="shared" si="98"/>
        <v>0</v>
      </c>
      <c r="BC143" s="1966">
        <f t="shared" si="99"/>
        <v>0</v>
      </c>
      <c r="BD143" s="1966">
        <f t="shared" si="100"/>
        <v>0</v>
      </c>
      <c r="BE143" s="372">
        <f t="shared" si="101"/>
        <v>0</v>
      </c>
      <c r="BG143" s="2159">
        <f t="shared" si="102"/>
        <v>46023</v>
      </c>
      <c r="BH143" s="2159">
        <f t="shared" si="103"/>
        <v>46023</v>
      </c>
      <c r="BI143" s="2159">
        <f t="shared" si="104"/>
        <v>46023</v>
      </c>
      <c r="BJ143" s="2159">
        <f t="shared" si="105"/>
        <v>0</v>
      </c>
      <c r="BL143" s="369">
        <f t="shared" si="106"/>
        <v>0</v>
      </c>
      <c r="BM143" s="2159">
        <f t="shared" si="107"/>
        <v>0</v>
      </c>
      <c r="BN143" s="2159">
        <f t="shared" si="108"/>
        <v>0</v>
      </c>
      <c r="BO143" s="373">
        <f t="shared" si="109"/>
        <v>0</v>
      </c>
      <c r="BT143" s="2054"/>
    </row>
    <row r="144" spans="1:84" ht="45.75" customHeight="1">
      <c r="A144" s="2163"/>
      <c r="B144" s="2146"/>
      <c r="C144" s="2146"/>
      <c r="D144" s="2164"/>
      <c r="E144" s="1573"/>
      <c r="F144" s="2148"/>
      <c r="G144" s="2149" t="str">
        <f t="shared" si="70"/>
        <v/>
      </c>
      <c r="H144" s="2148"/>
      <c r="I144" s="2150"/>
      <c r="J144" s="2148"/>
      <c r="K144" s="2151">
        <f t="shared" si="71"/>
        <v>0</v>
      </c>
      <c r="L144" s="2148"/>
      <c r="M144" s="2150"/>
      <c r="N144" s="2152"/>
      <c r="O144" s="2148"/>
      <c r="P144" s="2151">
        <f t="shared" si="72"/>
        <v>0</v>
      </c>
      <c r="Q144" s="2148"/>
      <c r="R144" s="2150"/>
      <c r="S144" s="2152"/>
      <c r="T144" s="2153"/>
      <c r="U144" s="2154">
        <f t="shared" si="73"/>
        <v>0</v>
      </c>
      <c r="V144" s="2155"/>
      <c r="W144" s="2150"/>
      <c r="X144" s="2152"/>
      <c r="Y144" s="2153"/>
      <c r="Z144" s="1572">
        <f t="shared" si="74"/>
        <v>0</v>
      </c>
      <c r="AA144" s="2168">
        <f t="shared" si="87"/>
        <v>0</v>
      </c>
      <c r="AB144" s="2156" t="str">
        <f t="shared" si="75"/>
        <v/>
      </c>
      <c r="AD144" s="2158" t="str">
        <f t="shared" si="88"/>
        <v/>
      </c>
      <c r="AE144" s="2159">
        <f t="shared" si="89"/>
        <v>0</v>
      </c>
      <c r="AF144" s="2159">
        <f t="shared" si="90"/>
        <v>0</v>
      </c>
      <c r="AG144" s="2159">
        <f t="shared" si="91"/>
        <v>0</v>
      </c>
      <c r="AH144" s="2159">
        <f t="shared" si="92"/>
        <v>0</v>
      </c>
      <c r="AI144" s="2160">
        <f t="shared" si="76"/>
        <v>0</v>
      </c>
      <c r="AJ144" s="1966">
        <f t="shared" si="93"/>
        <v>1</v>
      </c>
      <c r="AK144" s="2159">
        <f t="shared" si="94"/>
        <v>0</v>
      </c>
      <c r="AL144" s="368" t="e">
        <f t="shared" si="95"/>
        <v>#DIV/0!</v>
      </c>
      <c r="AN144" s="369">
        <f t="shared" si="96"/>
        <v>0</v>
      </c>
      <c r="AO144" s="1966">
        <f t="shared" si="77"/>
        <v>0</v>
      </c>
      <c r="AP144" s="1966">
        <f t="shared" si="78"/>
        <v>0</v>
      </c>
      <c r="AQ144" s="1966">
        <f t="shared" si="79"/>
        <v>0</v>
      </c>
      <c r="AR144" s="370">
        <f t="shared" si="80"/>
        <v>0</v>
      </c>
      <c r="AT144" s="371">
        <f t="shared" si="81"/>
        <v>0</v>
      </c>
      <c r="AU144" s="1966">
        <f t="shared" si="82"/>
        <v>0</v>
      </c>
      <c r="AV144" s="2161">
        <f t="shared" si="83"/>
        <v>0</v>
      </c>
      <c r="AW144" s="2161">
        <f t="shared" si="84"/>
        <v>0</v>
      </c>
      <c r="AX144" s="1966">
        <f t="shared" si="85"/>
        <v>0</v>
      </c>
      <c r="AY144" s="372">
        <f t="shared" si="86"/>
        <v>0</v>
      </c>
      <c r="AZ144" s="265"/>
      <c r="BA144" s="371">
        <f t="shared" si="97"/>
        <v>0</v>
      </c>
      <c r="BB144" s="1966">
        <f t="shared" si="98"/>
        <v>0</v>
      </c>
      <c r="BC144" s="1966">
        <f t="shared" si="99"/>
        <v>0</v>
      </c>
      <c r="BD144" s="1966">
        <f t="shared" si="100"/>
        <v>0</v>
      </c>
      <c r="BE144" s="372">
        <f t="shared" si="101"/>
        <v>0</v>
      </c>
      <c r="BG144" s="2159">
        <f t="shared" si="102"/>
        <v>46023</v>
      </c>
      <c r="BH144" s="2159">
        <f t="shared" si="103"/>
        <v>46023</v>
      </c>
      <c r="BI144" s="2159">
        <f t="shared" si="104"/>
        <v>46023</v>
      </c>
      <c r="BJ144" s="2159">
        <f t="shared" si="105"/>
        <v>0</v>
      </c>
      <c r="BL144" s="369">
        <f t="shared" si="106"/>
        <v>0</v>
      </c>
      <c r="BM144" s="2159">
        <f t="shared" si="107"/>
        <v>0</v>
      </c>
      <c r="BN144" s="2159">
        <f t="shared" si="108"/>
        <v>0</v>
      </c>
      <c r="BO144" s="373">
        <f t="shared" si="109"/>
        <v>0</v>
      </c>
      <c r="BT144" s="2054"/>
    </row>
    <row r="145" spans="1:72" ht="45.75" customHeight="1">
      <c r="A145" s="2163"/>
      <c r="B145" s="2146"/>
      <c r="C145" s="2146"/>
      <c r="D145" s="2164"/>
      <c r="E145" s="1573"/>
      <c r="F145" s="2148"/>
      <c r="G145" s="2149" t="str">
        <f t="shared" si="70"/>
        <v/>
      </c>
      <c r="H145" s="2148"/>
      <c r="I145" s="2150"/>
      <c r="J145" s="2148"/>
      <c r="K145" s="2151">
        <f t="shared" si="71"/>
        <v>0</v>
      </c>
      <c r="L145" s="2148"/>
      <c r="M145" s="2150"/>
      <c r="N145" s="2152"/>
      <c r="O145" s="2148"/>
      <c r="P145" s="2151">
        <f t="shared" si="72"/>
        <v>0</v>
      </c>
      <c r="Q145" s="2148"/>
      <c r="R145" s="2150"/>
      <c r="S145" s="2152"/>
      <c r="T145" s="2153"/>
      <c r="U145" s="2154">
        <f t="shared" si="73"/>
        <v>0</v>
      </c>
      <c r="V145" s="2155"/>
      <c r="W145" s="2150"/>
      <c r="X145" s="2152"/>
      <c r="Y145" s="2153"/>
      <c r="Z145" s="1572">
        <f t="shared" si="74"/>
        <v>0</v>
      </c>
      <c r="AA145" s="2168">
        <f t="shared" si="87"/>
        <v>0</v>
      </c>
      <c r="AB145" s="2156" t="str">
        <f t="shared" si="75"/>
        <v/>
      </c>
      <c r="AD145" s="2158" t="str">
        <f t="shared" si="88"/>
        <v/>
      </c>
      <c r="AE145" s="2159">
        <f t="shared" si="89"/>
        <v>0</v>
      </c>
      <c r="AF145" s="2159">
        <f t="shared" si="90"/>
        <v>0</v>
      </c>
      <c r="AG145" s="2159">
        <f t="shared" si="91"/>
        <v>0</v>
      </c>
      <c r="AH145" s="2159">
        <f t="shared" si="92"/>
        <v>0</v>
      </c>
      <c r="AI145" s="2160">
        <f t="shared" si="76"/>
        <v>0</v>
      </c>
      <c r="AJ145" s="1966">
        <f t="shared" si="93"/>
        <v>1</v>
      </c>
      <c r="AK145" s="2159">
        <f t="shared" si="94"/>
        <v>0</v>
      </c>
      <c r="AL145" s="368" t="e">
        <f t="shared" si="95"/>
        <v>#DIV/0!</v>
      </c>
      <c r="AN145" s="369">
        <f t="shared" si="96"/>
        <v>0</v>
      </c>
      <c r="AO145" s="1966">
        <f t="shared" si="77"/>
        <v>0</v>
      </c>
      <c r="AP145" s="1966">
        <f t="shared" si="78"/>
        <v>0</v>
      </c>
      <c r="AQ145" s="1966">
        <f t="shared" si="79"/>
        <v>0</v>
      </c>
      <c r="AR145" s="370">
        <f t="shared" si="80"/>
        <v>0</v>
      </c>
      <c r="AT145" s="371">
        <f t="shared" si="81"/>
        <v>0</v>
      </c>
      <c r="AU145" s="1966">
        <f t="shared" si="82"/>
        <v>0</v>
      </c>
      <c r="AV145" s="2161">
        <f t="shared" si="83"/>
        <v>0</v>
      </c>
      <c r="AW145" s="2161">
        <f t="shared" si="84"/>
        <v>0</v>
      </c>
      <c r="AX145" s="1966">
        <f t="shared" si="85"/>
        <v>0</v>
      </c>
      <c r="AY145" s="372">
        <f t="shared" si="86"/>
        <v>0</v>
      </c>
      <c r="AZ145" s="265"/>
      <c r="BA145" s="371">
        <f t="shared" si="97"/>
        <v>0</v>
      </c>
      <c r="BB145" s="1966">
        <f t="shared" si="98"/>
        <v>0</v>
      </c>
      <c r="BC145" s="1966">
        <f t="shared" si="99"/>
        <v>0</v>
      </c>
      <c r="BD145" s="1966">
        <f t="shared" si="100"/>
        <v>0</v>
      </c>
      <c r="BE145" s="372">
        <f t="shared" si="101"/>
        <v>0</v>
      </c>
      <c r="BG145" s="2159">
        <f t="shared" si="102"/>
        <v>46023</v>
      </c>
      <c r="BH145" s="2159">
        <f t="shared" si="103"/>
        <v>46023</v>
      </c>
      <c r="BI145" s="2159">
        <f t="shared" si="104"/>
        <v>46023</v>
      </c>
      <c r="BJ145" s="2159">
        <f t="shared" si="105"/>
        <v>0</v>
      </c>
      <c r="BL145" s="369">
        <f t="shared" si="106"/>
        <v>0</v>
      </c>
      <c r="BM145" s="2159">
        <f t="shared" si="107"/>
        <v>0</v>
      </c>
      <c r="BN145" s="2159">
        <f t="shared" si="108"/>
        <v>0</v>
      </c>
      <c r="BO145" s="373">
        <f t="shared" si="109"/>
        <v>0</v>
      </c>
      <c r="BT145" s="2054"/>
    </row>
    <row r="146" spans="1:72" ht="45.75" customHeight="1">
      <c r="A146" s="2163"/>
      <c r="B146" s="2146"/>
      <c r="C146" s="2146"/>
      <c r="D146" s="2164"/>
      <c r="E146" s="1573"/>
      <c r="F146" s="2148"/>
      <c r="G146" s="2149" t="str">
        <f t="shared" si="70"/>
        <v/>
      </c>
      <c r="H146" s="2148"/>
      <c r="I146" s="2150"/>
      <c r="J146" s="2148"/>
      <c r="K146" s="2151">
        <f t="shared" si="71"/>
        <v>0</v>
      </c>
      <c r="L146" s="2148"/>
      <c r="M146" s="2150"/>
      <c r="N146" s="2152"/>
      <c r="O146" s="2148"/>
      <c r="P146" s="2151">
        <f t="shared" si="72"/>
        <v>0</v>
      </c>
      <c r="Q146" s="2148"/>
      <c r="R146" s="2150"/>
      <c r="S146" s="2152"/>
      <c r="T146" s="2153"/>
      <c r="U146" s="2154">
        <f t="shared" si="73"/>
        <v>0</v>
      </c>
      <c r="V146" s="2155"/>
      <c r="W146" s="2150"/>
      <c r="X146" s="2152"/>
      <c r="Y146" s="2153"/>
      <c r="Z146" s="1572">
        <f t="shared" si="74"/>
        <v>0</v>
      </c>
      <c r="AA146" s="2168">
        <f t="shared" si="87"/>
        <v>0</v>
      </c>
      <c r="AB146" s="2156" t="str">
        <f t="shared" si="75"/>
        <v/>
      </c>
      <c r="AD146" s="2158" t="str">
        <f t="shared" si="88"/>
        <v/>
      </c>
      <c r="AE146" s="2159">
        <f t="shared" si="89"/>
        <v>0</v>
      </c>
      <c r="AF146" s="2159">
        <f t="shared" si="90"/>
        <v>0</v>
      </c>
      <c r="AG146" s="2159">
        <f t="shared" si="91"/>
        <v>0</v>
      </c>
      <c r="AH146" s="2159">
        <f t="shared" si="92"/>
        <v>0</v>
      </c>
      <c r="AI146" s="2160">
        <f t="shared" si="76"/>
        <v>0</v>
      </c>
      <c r="AJ146" s="1966">
        <f t="shared" si="93"/>
        <v>1</v>
      </c>
      <c r="AK146" s="2159">
        <f t="shared" si="94"/>
        <v>0</v>
      </c>
      <c r="AL146" s="368" t="e">
        <f t="shared" si="95"/>
        <v>#DIV/0!</v>
      </c>
      <c r="AN146" s="369">
        <f t="shared" si="96"/>
        <v>0</v>
      </c>
      <c r="AO146" s="1966">
        <f t="shared" si="77"/>
        <v>0</v>
      </c>
      <c r="AP146" s="1966">
        <f t="shared" si="78"/>
        <v>0</v>
      </c>
      <c r="AQ146" s="1966">
        <f t="shared" si="79"/>
        <v>0</v>
      </c>
      <c r="AR146" s="370">
        <f t="shared" si="80"/>
        <v>0</v>
      </c>
      <c r="AT146" s="371">
        <f t="shared" si="81"/>
        <v>0</v>
      </c>
      <c r="AU146" s="1966">
        <f t="shared" si="82"/>
        <v>0</v>
      </c>
      <c r="AV146" s="2161">
        <f t="shared" si="83"/>
        <v>0</v>
      </c>
      <c r="AW146" s="2161">
        <f t="shared" si="84"/>
        <v>0</v>
      </c>
      <c r="AX146" s="1966">
        <f t="shared" si="85"/>
        <v>0</v>
      </c>
      <c r="AY146" s="372">
        <f t="shared" si="86"/>
        <v>0</v>
      </c>
      <c r="AZ146" s="265"/>
      <c r="BA146" s="371">
        <f t="shared" si="97"/>
        <v>0</v>
      </c>
      <c r="BB146" s="1966">
        <f t="shared" si="98"/>
        <v>0</v>
      </c>
      <c r="BC146" s="1966">
        <f t="shared" si="99"/>
        <v>0</v>
      </c>
      <c r="BD146" s="1966">
        <f t="shared" si="100"/>
        <v>0</v>
      </c>
      <c r="BE146" s="372">
        <f t="shared" si="101"/>
        <v>0</v>
      </c>
      <c r="BG146" s="2159">
        <f t="shared" si="102"/>
        <v>46023</v>
      </c>
      <c r="BH146" s="2159">
        <f t="shared" si="103"/>
        <v>46023</v>
      </c>
      <c r="BI146" s="2159">
        <f t="shared" si="104"/>
        <v>46023</v>
      </c>
      <c r="BJ146" s="2159">
        <f t="shared" si="105"/>
        <v>0</v>
      </c>
      <c r="BL146" s="369">
        <f t="shared" si="106"/>
        <v>0</v>
      </c>
      <c r="BM146" s="2159">
        <f t="shared" si="107"/>
        <v>0</v>
      </c>
      <c r="BN146" s="2159">
        <f t="shared" si="108"/>
        <v>0</v>
      </c>
      <c r="BO146" s="373">
        <f t="shared" si="109"/>
        <v>0</v>
      </c>
      <c r="BT146" s="2054"/>
    </row>
    <row r="147" spans="1:72" ht="45.75" customHeight="1">
      <c r="A147" s="2163"/>
      <c r="B147" s="2146"/>
      <c r="C147" s="2146"/>
      <c r="D147" s="2164"/>
      <c r="E147" s="1573"/>
      <c r="F147" s="2148"/>
      <c r="G147" s="2149" t="str">
        <f t="shared" si="70"/>
        <v/>
      </c>
      <c r="H147" s="2148"/>
      <c r="I147" s="2150"/>
      <c r="J147" s="2148"/>
      <c r="K147" s="2151">
        <f t="shared" si="71"/>
        <v>0</v>
      </c>
      <c r="L147" s="2148"/>
      <c r="M147" s="2150"/>
      <c r="N147" s="2152"/>
      <c r="O147" s="2148"/>
      <c r="P147" s="2151">
        <f t="shared" si="72"/>
        <v>0</v>
      </c>
      <c r="Q147" s="2148"/>
      <c r="R147" s="2150"/>
      <c r="S147" s="2152"/>
      <c r="T147" s="2153"/>
      <c r="U147" s="2154">
        <f t="shared" si="73"/>
        <v>0</v>
      </c>
      <c r="V147" s="2155"/>
      <c r="W147" s="2150"/>
      <c r="X147" s="2152"/>
      <c r="Y147" s="2153"/>
      <c r="Z147" s="1572">
        <f t="shared" si="74"/>
        <v>0</v>
      </c>
      <c r="AA147" s="2168">
        <f t="shared" si="87"/>
        <v>0</v>
      </c>
      <c r="AB147" s="2156" t="str">
        <f t="shared" si="75"/>
        <v/>
      </c>
      <c r="AD147" s="2158" t="str">
        <f t="shared" si="88"/>
        <v/>
      </c>
      <c r="AE147" s="2159">
        <f t="shared" si="89"/>
        <v>0</v>
      </c>
      <c r="AF147" s="2159">
        <f t="shared" si="90"/>
        <v>0</v>
      </c>
      <c r="AG147" s="2159">
        <f t="shared" si="91"/>
        <v>0</v>
      </c>
      <c r="AH147" s="2159">
        <f t="shared" si="92"/>
        <v>0</v>
      </c>
      <c r="AI147" s="2160">
        <f t="shared" si="76"/>
        <v>0</v>
      </c>
      <c r="AJ147" s="1966">
        <f t="shared" si="93"/>
        <v>1</v>
      </c>
      <c r="AK147" s="2159">
        <f t="shared" si="94"/>
        <v>0</v>
      </c>
      <c r="AL147" s="368" t="e">
        <f t="shared" si="95"/>
        <v>#DIV/0!</v>
      </c>
      <c r="AN147" s="369">
        <f t="shared" si="96"/>
        <v>0</v>
      </c>
      <c r="AO147" s="1966">
        <f t="shared" si="77"/>
        <v>0</v>
      </c>
      <c r="AP147" s="1966">
        <f t="shared" si="78"/>
        <v>0</v>
      </c>
      <c r="AQ147" s="1966">
        <f t="shared" si="79"/>
        <v>0</v>
      </c>
      <c r="AR147" s="370">
        <f t="shared" si="80"/>
        <v>0</v>
      </c>
      <c r="AT147" s="371">
        <f t="shared" si="81"/>
        <v>0</v>
      </c>
      <c r="AU147" s="1966">
        <f t="shared" si="82"/>
        <v>0</v>
      </c>
      <c r="AV147" s="2161">
        <f t="shared" si="83"/>
        <v>0</v>
      </c>
      <c r="AW147" s="2161">
        <f t="shared" si="84"/>
        <v>0</v>
      </c>
      <c r="AX147" s="1966">
        <f t="shared" si="85"/>
        <v>0</v>
      </c>
      <c r="AY147" s="372">
        <f t="shared" si="86"/>
        <v>0</v>
      </c>
      <c r="AZ147" s="265"/>
      <c r="BA147" s="371">
        <f t="shared" si="97"/>
        <v>0</v>
      </c>
      <c r="BB147" s="1966">
        <f t="shared" si="98"/>
        <v>0</v>
      </c>
      <c r="BC147" s="1966">
        <f t="shared" si="99"/>
        <v>0</v>
      </c>
      <c r="BD147" s="1966">
        <f t="shared" si="100"/>
        <v>0</v>
      </c>
      <c r="BE147" s="372">
        <f t="shared" si="101"/>
        <v>0</v>
      </c>
      <c r="BG147" s="2159">
        <f t="shared" si="102"/>
        <v>46023</v>
      </c>
      <c r="BH147" s="2159">
        <f t="shared" si="103"/>
        <v>46023</v>
      </c>
      <c r="BI147" s="2159">
        <f t="shared" si="104"/>
        <v>46023</v>
      </c>
      <c r="BJ147" s="2159">
        <f t="shared" si="105"/>
        <v>0</v>
      </c>
      <c r="BL147" s="369">
        <f t="shared" si="106"/>
        <v>0</v>
      </c>
      <c r="BM147" s="2159">
        <f t="shared" si="107"/>
        <v>0</v>
      </c>
      <c r="BN147" s="2159">
        <f t="shared" si="108"/>
        <v>0</v>
      </c>
      <c r="BO147" s="373">
        <f t="shared" si="109"/>
        <v>0</v>
      </c>
      <c r="BT147" s="2054"/>
    </row>
    <row r="148" spans="1:72" ht="45.75" customHeight="1">
      <c r="A148" s="2163"/>
      <c r="B148" s="2146"/>
      <c r="C148" s="2146"/>
      <c r="D148" s="2164"/>
      <c r="E148" s="1573"/>
      <c r="F148" s="2148"/>
      <c r="G148" s="2149" t="str">
        <f t="shared" si="70"/>
        <v/>
      </c>
      <c r="H148" s="2148"/>
      <c r="I148" s="2150"/>
      <c r="J148" s="2148"/>
      <c r="K148" s="2151">
        <f t="shared" si="71"/>
        <v>0</v>
      </c>
      <c r="L148" s="2148"/>
      <c r="M148" s="2150"/>
      <c r="N148" s="2152"/>
      <c r="O148" s="2148"/>
      <c r="P148" s="2151">
        <f t="shared" si="72"/>
        <v>0</v>
      </c>
      <c r="Q148" s="2148"/>
      <c r="R148" s="2150"/>
      <c r="S148" s="2152"/>
      <c r="T148" s="2153"/>
      <c r="U148" s="2154">
        <f t="shared" si="73"/>
        <v>0</v>
      </c>
      <c r="V148" s="2155"/>
      <c r="W148" s="2150"/>
      <c r="X148" s="2152"/>
      <c r="Y148" s="2153"/>
      <c r="Z148" s="1572">
        <f t="shared" si="74"/>
        <v>0</v>
      </c>
      <c r="AA148" s="2168">
        <f t="shared" si="87"/>
        <v>0</v>
      </c>
      <c r="AB148" s="2156" t="str">
        <f t="shared" si="75"/>
        <v/>
      </c>
      <c r="AD148" s="2158" t="str">
        <f t="shared" si="88"/>
        <v/>
      </c>
      <c r="AE148" s="2159">
        <f t="shared" si="89"/>
        <v>0</v>
      </c>
      <c r="AF148" s="2159">
        <f t="shared" si="90"/>
        <v>0</v>
      </c>
      <c r="AG148" s="2159">
        <f t="shared" si="91"/>
        <v>0</v>
      </c>
      <c r="AH148" s="2159">
        <f t="shared" si="92"/>
        <v>0</v>
      </c>
      <c r="AI148" s="2160">
        <f t="shared" si="76"/>
        <v>0</v>
      </c>
      <c r="AJ148" s="1966">
        <f t="shared" si="93"/>
        <v>1</v>
      </c>
      <c r="AK148" s="2159">
        <f t="shared" si="94"/>
        <v>0</v>
      </c>
      <c r="AL148" s="368" t="e">
        <f t="shared" si="95"/>
        <v>#DIV/0!</v>
      </c>
      <c r="AN148" s="369">
        <f t="shared" si="96"/>
        <v>0</v>
      </c>
      <c r="AO148" s="1966">
        <f t="shared" si="77"/>
        <v>0</v>
      </c>
      <c r="AP148" s="1966">
        <f t="shared" si="78"/>
        <v>0</v>
      </c>
      <c r="AQ148" s="1966">
        <f t="shared" si="79"/>
        <v>0</v>
      </c>
      <c r="AR148" s="370">
        <f t="shared" si="80"/>
        <v>0</v>
      </c>
      <c r="AT148" s="371">
        <f t="shared" si="81"/>
        <v>0</v>
      </c>
      <c r="AU148" s="1966">
        <f t="shared" si="82"/>
        <v>0</v>
      </c>
      <c r="AV148" s="2161">
        <f t="shared" si="83"/>
        <v>0</v>
      </c>
      <c r="AW148" s="2161">
        <f t="shared" si="84"/>
        <v>0</v>
      </c>
      <c r="AX148" s="1966">
        <f t="shared" si="85"/>
        <v>0</v>
      </c>
      <c r="AY148" s="372">
        <f t="shared" si="86"/>
        <v>0</v>
      </c>
      <c r="AZ148" s="265"/>
      <c r="BA148" s="371">
        <f t="shared" si="97"/>
        <v>0</v>
      </c>
      <c r="BB148" s="1966">
        <f t="shared" si="98"/>
        <v>0</v>
      </c>
      <c r="BC148" s="1966">
        <f t="shared" si="99"/>
        <v>0</v>
      </c>
      <c r="BD148" s="1966">
        <f t="shared" si="100"/>
        <v>0</v>
      </c>
      <c r="BE148" s="372">
        <f t="shared" si="101"/>
        <v>0</v>
      </c>
      <c r="BG148" s="2159">
        <f t="shared" si="102"/>
        <v>46023</v>
      </c>
      <c r="BH148" s="2159">
        <f t="shared" si="103"/>
        <v>46023</v>
      </c>
      <c r="BI148" s="2159">
        <f t="shared" si="104"/>
        <v>46023</v>
      </c>
      <c r="BJ148" s="2159">
        <f t="shared" si="105"/>
        <v>0</v>
      </c>
      <c r="BL148" s="369">
        <f t="shared" si="106"/>
        <v>0</v>
      </c>
      <c r="BM148" s="2159">
        <f t="shared" si="107"/>
        <v>0</v>
      </c>
      <c r="BN148" s="2159">
        <f t="shared" si="108"/>
        <v>0</v>
      </c>
      <c r="BO148" s="373">
        <f t="shared" si="109"/>
        <v>0</v>
      </c>
      <c r="BT148" s="2054"/>
    </row>
    <row r="149" spans="1:72" ht="45.75" customHeight="1">
      <c r="A149" s="2163"/>
      <c r="B149" s="2146"/>
      <c r="C149" s="2146"/>
      <c r="D149" s="2164"/>
      <c r="E149" s="1573"/>
      <c r="F149" s="2148"/>
      <c r="G149" s="2149" t="str">
        <f t="shared" si="70"/>
        <v/>
      </c>
      <c r="H149" s="2148"/>
      <c r="I149" s="2150"/>
      <c r="J149" s="2148"/>
      <c r="K149" s="2151">
        <f t="shared" si="71"/>
        <v>0</v>
      </c>
      <c r="L149" s="2148"/>
      <c r="M149" s="2150"/>
      <c r="N149" s="2152"/>
      <c r="O149" s="2148"/>
      <c r="P149" s="2151">
        <f t="shared" si="72"/>
        <v>0</v>
      </c>
      <c r="Q149" s="2148"/>
      <c r="R149" s="2150"/>
      <c r="S149" s="2152"/>
      <c r="T149" s="2153"/>
      <c r="U149" s="2154">
        <f t="shared" si="73"/>
        <v>0</v>
      </c>
      <c r="V149" s="2155"/>
      <c r="W149" s="2150"/>
      <c r="X149" s="2152"/>
      <c r="Y149" s="2153"/>
      <c r="Z149" s="1572">
        <f t="shared" si="74"/>
        <v>0</v>
      </c>
      <c r="AA149" s="2168">
        <f t="shared" si="87"/>
        <v>0</v>
      </c>
      <c r="AB149" s="2156" t="str">
        <f t="shared" si="75"/>
        <v/>
      </c>
      <c r="AD149" s="2158" t="str">
        <f t="shared" si="88"/>
        <v/>
      </c>
      <c r="AE149" s="2159">
        <f t="shared" si="89"/>
        <v>0</v>
      </c>
      <c r="AF149" s="2159">
        <f t="shared" si="90"/>
        <v>0</v>
      </c>
      <c r="AG149" s="2159">
        <f t="shared" si="91"/>
        <v>0</v>
      </c>
      <c r="AH149" s="2159">
        <f t="shared" si="92"/>
        <v>0</v>
      </c>
      <c r="AI149" s="2160">
        <f t="shared" si="76"/>
        <v>0</v>
      </c>
      <c r="AJ149" s="1966">
        <f t="shared" si="93"/>
        <v>1</v>
      </c>
      <c r="AK149" s="2159">
        <f t="shared" si="94"/>
        <v>0</v>
      </c>
      <c r="AL149" s="368" t="e">
        <f t="shared" si="95"/>
        <v>#DIV/0!</v>
      </c>
      <c r="AN149" s="369">
        <f t="shared" si="96"/>
        <v>0</v>
      </c>
      <c r="AO149" s="1966">
        <f t="shared" si="77"/>
        <v>0</v>
      </c>
      <c r="AP149" s="1966">
        <f t="shared" si="78"/>
        <v>0</v>
      </c>
      <c r="AQ149" s="1966">
        <f t="shared" si="79"/>
        <v>0</v>
      </c>
      <c r="AR149" s="370">
        <f t="shared" si="80"/>
        <v>0</v>
      </c>
      <c r="AT149" s="371">
        <f t="shared" si="81"/>
        <v>0</v>
      </c>
      <c r="AU149" s="1966">
        <f t="shared" si="82"/>
        <v>0</v>
      </c>
      <c r="AV149" s="2161">
        <f t="shared" si="83"/>
        <v>0</v>
      </c>
      <c r="AW149" s="2161">
        <f t="shared" si="84"/>
        <v>0</v>
      </c>
      <c r="AX149" s="1966">
        <f t="shared" si="85"/>
        <v>0</v>
      </c>
      <c r="AY149" s="372">
        <f t="shared" si="86"/>
        <v>0</v>
      </c>
      <c r="AZ149" s="265"/>
      <c r="BA149" s="371">
        <f t="shared" si="97"/>
        <v>0</v>
      </c>
      <c r="BB149" s="1966">
        <f t="shared" si="98"/>
        <v>0</v>
      </c>
      <c r="BC149" s="1966">
        <f t="shared" si="99"/>
        <v>0</v>
      </c>
      <c r="BD149" s="1966">
        <f t="shared" si="100"/>
        <v>0</v>
      </c>
      <c r="BE149" s="372">
        <f t="shared" si="101"/>
        <v>0</v>
      </c>
      <c r="BG149" s="2159">
        <f t="shared" si="102"/>
        <v>46023</v>
      </c>
      <c r="BH149" s="2159">
        <f t="shared" si="103"/>
        <v>46023</v>
      </c>
      <c r="BI149" s="2159">
        <f t="shared" si="104"/>
        <v>46023</v>
      </c>
      <c r="BJ149" s="2159">
        <f t="shared" si="105"/>
        <v>0</v>
      </c>
      <c r="BL149" s="369">
        <f t="shared" si="106"/>
        <v>0</v>
      </c>
      <c r="BM149" s="2159">
        <f t="shared" si="107"/>
        <v>0</v>
      </c>
      <c r="BN149" s="2159">
        <f t="shared" si="108"/>
        <v>0</v>
      </c>
      <c r="BO149" s="373">
        <f t="shared" si="109"/>
        <v>0</v>
      </c>
      <c r="BT149" s="2054"/>
    </row>
    <row r="150" spans="1:72" ht="45.75" customHeight="1">
      <c r="A150" s="2163"/>
      <c r="B150" s="2146"/>
      <c r="C150" s="2146"/>
      <c r="D150" s="2164"/>
      <c r="E150" s="1573"/>
      <c r="F150" s="2148"/>
      <c r="G150" s="2149" t="str">
        <f t="shared" si="70"/>
        <v/>
      </c>
      <c r="H150" s="2148"/>
      <c r="I150" s="2150"/>
      <c r="J150" s="2148"/>
      <c r="K150" s="2151">
        <f t="shared" si="71"/>
        <v>0</v>
      </c>
      <c r="L150" s="2148"/>
      <c r="M150" s="2150"/>
      <c r="N150" s="2152"/>
      <c r="O150" s="2148"/>
      <c r="P150" s="2151">
        <f t="shared" si="72"/>
        <v>0</v>
      </c>
      <c r="Q150" s="2148"/>
      <c r="R150" s="2150"/>
      <c r="S150" s="2152"/>
      <c r="T150" s="2153"/>
      <c r="U150" s="2154">
        <f t="shared" si="73"/>
        <v>0</v>
      </c>
      <c r="V150" s="2155"/>
      <c r="W150" s="2150"/>
      <c r="X150" s="2152"/>
      <c r="Y150" s="2153"/>
      <c r="Z150" s="1572">
        <f t="shared" si="74"/>
        <v>0</v>
      </c>
      <c r="AA150" s="2168">
        <f t="shared" si="87"/>
        <v>0</v>
      </c>
      <c r="AB150" s="2156" t="str">
        <f t="shared" si="75"/>
        <v/>
      </c>
      <c r="AD150" s="2158" t="str">
        <f t="shared" si="88"/>
        <v/>
      </c>
      <c r="AE150" s="2159">
        <f t="shared" si="89"/>
        <v>0</v>
      </c>
      <c r="AF150" s="2159">
        <f t="shared" si="90"/>
        <v>0</v>
      </c>
      <c r="AG150" s="2159">
        <f t="shared" si="91"/>
        <v>0</v>
      </c>
      <c r="AH150" s="2159">
        <f t="shared" si="92"/>
        <v>0</v>
      </c>
      <c r="AI150" s="2160">
        <f t="shared" si="76"/>
        <v>0</v>
      </c>
      <c r="AJ150" s="1966">
        <f t="shared" si="93"/>
        <v>1</v>
      </c>
      <c r="AK150" s="2159">
        <f t="shared" si="94"/>
        <v>0</v>
      </c>
      <c r="AL150" s="368" t="e">
        <f t="shared" si="95"/>
        <v>#DIV/0!</v>
      </c>
      <c r="AN150" s="369">
        <f t="shared" si="96"/>
        <v>0</v>
      </c>
      <c r="AO150" s="1966">
        <f t="shared" si="77"/>
        <v>0</v>
      </c>
      <c r="AP150" s="1966">
        <f t="shared" si="78"/>
        <v>0</v>
      </c>
      <c r="AQ150" s="1966">
        <f t="shared" si="79"/>
        <v>0</v>
      </c>
      <c r="AR150" s="370">
        <f t="shared" si="80"/>
        <v>0</v>
      </c>
      <c r="AT150" s="371">
        <f t="shared" si="81"/>
        <v>0</v>
      </c>
      <c r="AU150" s="1966">
        <f t="shared" si="82"/>
        <v>0</v>
      </c>
      <c r="AV150" s="2161">
        <f t="shared" si="83"/>
        <v>0</v>
      </c>
      <c r="AW150" s="2161">
        <f t="shared" si="84"/>
        <v>0</v>
      </c>
      <c r="AX150" s="1966">
        <f t="shared" si="85"/>
        <v>0</v>
      </c>
      <c r="AY150" s="372">
        <f t="shared" si="86"/>
        <v>0</v>
      </c>
      <c r="AZ150" s="265"/>
      <c r="BA150" s="371">
        <f t="shared" si="97"/>
        <v>0</v>
      </c>
      <c r="BB150" s="1966">
        <f t="shared" si="98"/>
        <v>0</v>
      </c>
      <c r="BC150" s="1966">
        <f t="shared" si="99"/>
        <v>0</v>
      </c>
      <c r="BD150" s="1966">
        <f t="shared" si="100"/>
        <v>0</v>
      </c>
      <c r="BE150" s="372">
        <f t="shared" si="101"/>
        <v>0</v>
      </c>
      <c r="BG150" s="2159">
        <f t="shared" si="102"/>
        <v>46023</v>
      </c>
      <c r="BH150" s="2159">
        <f t="shared" si="103"/>
        <v>46023</v>
      </c>
      <c r="BI150" s="2159">
        <f t="shared" si="104"/>
        <v>46023</v>
      </c>
      <c r="BJ150" s="2159">
        <f t="shared" si="105"/>
        <v>0</v>
      </c>
      <c r="BL150" s="369">
        <f t="shared" si="106"/>
        <v>0</v>
      </c>
      <c r="BM150" s="2159">
        <f t="shared" si="107"/>
        <v>0</v>
      </c>
      <c r="BN150" s="2159">
        <f t="shared" si="108"/>
        <v>0</v>
      </c>
      <c r="BO150" s="373">
        <f t="shared" si="109"/>
        <v>0</v>
      </c>
      <c r="BT150" s="2054"/>
    </row>
    <row r="151" spans="1:72" ht="45.75" customHeight="1">
      <c r="A151" s="2163"/>
      <c r="B151" s="2146"/>
      <c r="C151" s="2146"/>
      <c r="D151" s="2164"/>
      <c r="E151" s="1573"/>
      <c r="F151" s="2148"/>
      <c r="G151" s="2149" t="str">
        <f t="shared" si="70"/>
        <v/>
      </c>
      <c r="H151" s="2148"/>
      <c r="I151" s="2150"/>
      <c r="J151" s="2148"/>
      <c r="K151" s="2151">
        <f t="shared" si="71"/>
        <v>0</v>
      </c>
      <c r="L151" s="2148"/>
      <c r="M151" s="2150"/>
      <c r="N151" s="2152"/>
      <c r="O151" s="2148"/>
      <c r="P151" s="2151">
        <f t="shared" si="72"/>
        <v>0</v>
      </c>
      <c r="Q151" s="2148"/>
      <c r="R151" s="2150"/>
      <c r="S151" s="2152"/>
      <c r="T151" s="2153"/>
      <c r="U151" s="2154">
        <f t="shared" si="73"/>
        <v>0</v>
      </c>
      <c r="V151" s="2155"/>
      <c r="W151" s="2150"/>
      <c r="X151" s="2152"/>
      <c r="Y151" s="2153"/>
      <c r="Z151" s="1572">
        <f t="shared" si="74"/>
        <v>0</v>
      </c>
      <c r="AA151" s="2168">
        <f t="shared" si="87"/>
        <v>0</v>
      </c>
      <c r="AB151" s="2156" t="str">
        <f t="shared" si="75"/>
        <v/>
      </c>
      <c r="AD151" s="2158" t="str">
        <f t="shared" si="88"/>
        <v/>
      </c>
      <c r="AE151" s="2159">
        <f t="shared" si="89"/>
        <v>0</v>
      </c>
      <c r="AF151" s="2159">
        <f t="shared" si="90"/>
        <v>0</v>
      </c>
      <c r="AG151" s="2159">
        <f t="shared" si="91"/>
        <v>0</v>
      </c>
      <c r="AH151" s="2159">
        <f t="shared" si="92"/>
        <v>0</v>
      </c>
      <c r="AI151" s="2160">
        <f t="shared" si="76"/>
        <v>0</v>
      </c>
      <c r="AJ151" s="1966">
        <f t="shared" si="93"/>
        <v>1</v>
      </c>
      <c r="AK151" s="2159">
        <f t="shared" si="94"/>
        <v>0</v>
      </c>
      <c r="AL151" s="368" t="e">
        <f t="shared" si="95"/>
        <v>#DIV/0!</v>
      </c>
      <c r="AN151" s="369">
        <f t="shared" si="96"/>
        <v>0</v>
      </c>
      <c r="AO151" s="1966">
        <f t="shared" si="77"/>
        <v>0</v>
      </c>
      <c r="AP151" s="1966">
        <f t="shared" si="78"/>
        <v>0</v>
      </c>
      <c r="AQ151" s="1966">
        <f t="shared" si="79"/>
        <v>0</v>
      </c>
      <c r="AR151" s="370">
        <f t="shared" si="80"/>
        <v>0</v>
      </c>
      <c r="AT151" s="371">
        <f t="shared" si="81"/>
        <v>0</v>
      </c>
      <c r="AU151" s="1966">
        <f t="shared" si="82"/>
        <v>0</v>
      </c>
      <c r="AV151" s="2161">
        <f t="shared" si="83"/>
        <v>0</v>
      </c>
      <c r="AW151" s="2161">
        <f t="shared" si="84"/>
        <v>0</v>
      </c>
      <c r="AX151" s="1966">
        <f t="shared" si="85"/>
        <v>0</v>
      </c>
      <c r="AY151" s="372">
        <f t="shared" si="86"/>
        <v>0</v>
      </c>
      <c r="AZ151" s="265"/>
      <c r="BA151" s="371">
        <f t="shared" si="97"/>
        <v>0</v>
      </c>
      <c r="BB151" s="1966">
        <f t="shared" si="98"/>
        <v>0</v>
      </c>
      <c r="BC151" s="1966">
        <f t="shared" si="99"/>
        <v>0</v>
      </c>
      <c r="BD151" s="1966">
        <f t="shared" si="100"/>
        <v>0</v>
      </c>
      <c r="BE151" s="372">
        <f t="shared" si="101"/>
        <v>0</v>
      </c>
      <c r="BG151" s="2159">
        <f t="shared" si="102"/>
        <v>46023</v>
      </c>
      <c r="BH151" s="2159">
        <f t="shared" si="103"/>
        <v>46023</v>
      </c>
      <c r="BI151" s="2159">
        <f t="shared" si="104"/>
        <v>46023</v>
      </c>
      <c r="BJ151" s="2159">
        <f t="shared" si="105"/>
        <v>0</v>
      </c>
      <c r="BL151" s="369">
        <f t="shared" si="106"/>
        <v>0</v>
      </c>
      <c r="BM151" s="2159">
        <f t="shared" si="107"/>
        <v>0</v>
      </c>
      <c r="BN151" s="2159">
        <f t="shared" si="108"/>
        <v>0</v>
      </c>
      <c r="BO151" s="373">
        <f t="shared" si="109"/>
        <v>0</v>
      </c>
      <c r="BT151" s="2054"/>
    </row>
    <row r="152" spans="1:72" ht="45.75" customHeight="1">
      <c r="A152" s="2163"/>
      <c r="B152" s="2146"/>
      <c r="C152" s="2146"/>
      <c r="D152" s="2164"/>
      <c r="E152" s="1573"/>
      <c r="F152" s="2148"/>
      <c r="G152" s="2149" t="str">
        <f t="shared" si="70"/>
        <v/>
      </c>
      <c r="H152" s="2148"/>
      <c r="I152" s="2150"/>
      <c r="J152" s="2148"/>
      <c r="K152" s="2151">
        <f t="shared" si="71"/>
        <v>0</v>
      </c>
      <c r="L152" s="2148"/>
      <c r="M152" s="2150"/>
      <c r="N152" s="2152"/>
      <c r="O152" s="2148"/>
      <c r="P152" s="2151">
        <f t="shared" si="72"/>
        <v>0</v>
      </c>
      <c r="Q152" s="2148"/>
      <c r="R152" s="2150"/>
      <c r="S152" s="2152"/>
      <c r="T152" s="2153"/>
      <c r="U152" s="2154">
        <f t="shared" si="73"/>
        <v>0</v>
      </c>
      <c r="V152" s="2155"/>
      <c r="W152" s="2150"/>
      <c r="X152" s="2152"/>
      <c r="Y152" s="2153"/>
      <c r="Z152" s="1572">
        <f t="shared" si="74"/>
        <v>0</v>
      </c>
      <c r="AA152" s="2168">
        <f t="shared" si="87"/>
        <v>0</v>
      </c>
      <c r="AB152" s="2156" t="str">
        <f t="shared" si="75"/>
        <v/>
      </c>
      <c r="AD152" s="2158" t="str">
        <f t="shared" si="88"/>
        <v/>
      </c>
      <c r="AE152" s="2159">
        <f t="shared" si="89"/>
        <v>0</v>
      </c>
      <c r="AF152" s="2159">
        <f t="shared" si="90"/>
        <v>0</v>
      </c>
      <c r="AG152" s="2159">
        <f t="shared" si="91"/>
        <v>0</v>
      </c>
      <c r="AH152" s="2159">
        <f t="shared" si="92"/>
        <v>0</v>
      </c>
      <c r="AI152" s="2160">
        <f t="shared" si="76"/>
        <v>0</v>
      </c>
      <c r="AJ152" s="1966">
        <f t="shared" si="93"/>
        <v>1</v>
      </c>
      <c r="AK152" s="2159">
        <f t="shared" si="94"/>
        <v>0</v>
      </c>
      <c r="AL152" s="368" t="e">
        <f t="shared" si="95"/>
        <v>#DIV/0!</v>
      </c>
      <c r="AN152" s="369">
        <f t="shared" si="96"/>
        <v>0</v>
      </c>
      <c r="AO152" s="1966">
        <f t="shared" si="77"/>
        <v>0</v>
      </c>
      <c r="AP152" s="1966">
        <f t="shared" si="78"/>
        <v>0</v>
      </c>
      <c r="AQ152" s="1966">
        <f t="shared" si="79"/>
        <v>0</v>
      </c>
      <c r="AR152" s="370">
        <f t="shared" si="80"/>
        <v>0</v>
      </c>
      <c r="AT152" s="371">
        <f t="shared" si="81"/>
        <v>0</v>
      </c>
      <c r="AU152" s="1966">
        <f t="shared" si="82"/>
        <v>0</v>
      </c>
      <c r="AV152" s="2161">
        <f t="shared" si="83"/>
        <v>0</v>
      </c>
      <c r="AW152" s="2161">
        <f t="shared" si="84"/>
        <v>0</v>
      </c>
      <c r="AX152" s="1966">
        <f t="shared" si="85"/>
        <v>0</v>
      </c>
      <c r="AY152" s="372">
        <f t="shared" si="86"/>
        <v>0</v>
      </c>
      <c r="AZ152" s="265"/>
      <c r="BA152" s="371">
        <f t="shared" si="97"/>
        <v>0</v>
      </c>
      <c r="BB152" s="1966">
        <f t="shared" si="98"/>
        <v>0</v>
      </c>
      <c r="BC152" s="1966">
        <f t="shared" si="99"/>
        <v>0</v>
      </c>
      <c r="BD152" s="1966">
        <f t="shared" si="100"/>
        <v>0</v>
      </c>
      <c r="BE152" s="372">
        <f t="shared" si="101"/>
        <v>0</v>
      </c>
      <c r="BG152" s="2159">
        <f t="shared" si="102"/>
        <v>46023</v>
      </c>
      <c r="BH152" s="2159">
        <f t="shared" si="103"/>
        <v>46023</v>
      </c>
      <c r="BI152" s="2159">
        <f t="shared" si="104"/>
        <v>46023</v>
      </c>
      <c r="BJ152" s="2159">
        <f t="shared" si="105"/>
        <v>0</v>
      </c>
      <c r="BL152" s="369">
        <f t="shared" si="106"/>
        <v>0</v>
      </c>
      <c r="BM152" s="2159">
        <f t="shared" si="107"/>
        <v>0</v>
      </c>
      <c r="BN152" s="2159">
        <f t="shared" si="108"/>
        <v>0</v>
      </c>
      <c r="BO152" s="373">
        <f t="shared" si="109"/>
        <v>0</v>
      </c>
      <c r="BT152" s="2054"/>
    </row>
    <row r="153" spans="1:72" ht="45.75" customHeight="1">
      <c r="A153" s="2163"/>
      <c r="B153" s="2146"/>
      <c r="C153" s="2146"/>
      <c r="D153" s="2164"/>
      <c r="E153" s="1573"/>
      <c r="F153" s="2148"/>
      <c r="G153" s="2149" t="str">
        <f t="shared" si="70"/>
        <v/>
      </c>
      <c r="H153" s="2148"/>
      <c r="I153" s="2150"/>
      <c r="J153" s="2148"/>
      <c r="K153" s="2151">
        <f t="shared" si="71"/>
        <v>0</v>
      </c>
      <c r="L153" s="2148"/>
      <c r="M153" s="2150"/>
      <c r="N153" s="2152"/>
      <c r="O153" s="2148"/>
      <c r="P153" s="2151">
        <f t="shared" si="72"/>
        <v>0</v>
      </c>
      <c r="Q153" s="2148"/>
      <c r="R153" s="2150"/>
      <c r="S153" s="2152"/>
      <c r="T153" s="2153"/>
      <c r="U153" s="2154">
        <f t="shared" si="73"/>
        <v>0</v>
      </c>
      <c r="V153" s="2155"/>
      <c r="W153" s="2150"/>
      <c r="X153" s="2152"/>
      <c r="Y153" s="2153"/>
      <c r="Z153" s="1572">
        <f t="shared" si="74"/>
        <v>0</v>
      </c>
      <c r="AA153" s="2168">
        <f t="shared" si="87"/>
        <v>0</v>
      </c>
      <c r="AB153" s="2156" t="str">
        <f t="shared" si="75"/>
        <v/>
      </c>
      <c r="AD153" s="2158" t="str">
        <f t="shared" si="88"/>
        <v/>
      </c>
      <c r="AE153" s="2159">
        <f t="shared" si="89"/>
        <v>0</v>
      </c>
      <c r="AF153" s="2159">
        <f t="shared" si="90"/>
        <v>0</v>
      </c>
      <c r="AG153" s="2159">
        <f t="shared" si="91"/>
        <v>0</v>
      </c>
      <c r="AH153" s="2159">
        <f t="shared" si="92"/>
        <v>0</v>
      </c>
      <c r="AI153" s="2160">
        <f t="shared" si="76"/>
        <v>0</v>
      </c>
      <c r="AJ153" s="1966">
        <f t="shared" si="93"/>
        <v>1</v>
      </c>
      <c r="AK153" s="2159">
        <f t="shared" si="94"/>
        <v>0</v>
      </c>
      <c r="AL153" s="368" t="e">
        <f t="shared" si="95"/>
        <v>#DIV/0!</v>
      </c>
      <c r="AN153" s="369">
        <f t="shared" si="96"/>
        <v>0</v>
      </c>
      <c r="AO153" s="1966">
        <f t="shared" si="77"/>
        <v>0</v>
      </c>
      <c r="AP153" s="1966">
        <f t="shared" si="78"/>
        <v>0</v>
      </c>
      <c r="AQ153" s="1966">
        <f t="shared" si="79"/>
        <v>0</v>
      </c>
      <c r="AR153" s="370">
        <f t="shared" si="80"/>
        <v>0</v>
      </c>
      <c r="AT153" s="371">
        <f t="shared" si="81"/>
        <v>0</v>
      </c>
      <c r="AU153" s="1966">
        <f t="shared" si="82"/>
        <v>0</v>
      </c>
      <c r="AV153" s="2161">
        <f t="shared" si="83"/>
        <v>0</v>
      </c>
      <c r="AW153" s="2161">
        <f t="shared" si="84"/>
        <v>0</v>
      </c>
      <c r="AX153" s="1966">
        <f t="shared" si="85"/>
        <v>0</v>
      </c>
      <c r="AY153" s="372">
        <f t="shared" si="86"/>
        <v>0</v>
      </c>
      <c r="AZ153" s="265"/>
      <c r="BA153" s="371">
        <f t="shared" si="97"/>
        <v>0</v>
      </c>
      <c r="BB153" s="1966">
        <f t="shared" si="98"/>
        <v>0</v>
      </c>
      <c r="BC153" s="1966">
        <f t="shared" si="99"/>
        <v>0</v>
      </c>
      <c r="BD153" s="1966">
        <f t="shared" si="100"/>
        <v>0</v>
      </c>
      <c r="BE153" s="372">
        <f t="shared" si="101"/>
        <v>0</v>
      </c>
      <c r="BG153" s="2159">
        <f t="shared" si="102"/>
        <v>46023</v>
      </c>
      <c r="BH153" s="2159">
        <f t="shared" si="103"/>
        <v>46023</v>
      </c>
      <c r="BI153" s="2159">
        <f t="shared" si="104"/>
        <v>46023</v>
      </c>
      <c r="BJ153" s="2159">
        <f t="shared" si="105"/>
        <v>0</v>
      </c>
      <c r="BL153" s="369">
        <f t="shared" si="106"/>
        <v>0</v>
      </c>
      <c r="BM153" s="2159">
        <f t="shared" si="107"/>
        <v>0</v>
      </c>
      <c r="BN153" s="2159">
        <f t="shared" si="108"/>
        <v>0</v>
      </c>
      <c r="BO153" s="373">
        <f t="shared" si="109"/>
        <v>0</v>
      </c>
      <c r="BT153" s="2054"/>
    </row>
    <row r="154" spans="1:72" ht="45.75" customHeight="1">
      <c r="A154" s="2163"/>
      <c r="B154" s="2146"/>
      <c r="C154" s="2146"/>
      <c r="D154" s="2164"/>
      <c r="E154" s="1573"/>
      <c r="F154" s="2148"/>
      <c r="G154" s="2149" t="str">
        <f t="shared" si="70"/>
        <v/>
      </c>
      <c r="H154" s="2148"/>
      <c r="I154" s="2150"/>
      <c r="J154" s="2148"/>
      <c r="K154" s="2151">
        <f t="shared" si="71"/>
        <v>0</v>
      </c>
      <c r="L154" s="2148"/>
      <c r="M154" s="2150"/>
      <c r="N154" s="2152"/>
      <c r="O154" s="2148"/>
      <c r="P154" s="2151">
        <f t="shared" si="72"/>
        <v>0</v>
      </c>
      <c r="Q154" s="2148"/>
      <c r="R154" s="2150"/>
      <c r="S154" s="2152"/>
      <c r="T154" s="2153"/>
      <c r="U154" s="2154">
        <f t="shared" si="73"/>
        <v>0</v>
      </c>
      <c r="V154" s="2155"/>
      <c r="W154" s="2150"/>
      <c r="X154" s="2152"/>
      <c r="Y154" s="2153"/>
      <c r="Z154" s="1572">
        <f t="shared" si="74"/>
        <v>0</v>
      </c>
      <c r="AA154" s="2168">
        <f t="shared" si="87"/>
        <v>0</v>
      </c>
      <c r="AB154" s="2156" t="str">
        <f t="shared" si="75"/>
        <v/>
      </c>
      <c r="AD154" s="2158" t="str">
        <f t="shared" si="88"/>
        <v/>
      </c>
      <c r="AE154" s="2159">
        <f t="shared" si="89"/>
        <v>0</v>
      </c>
      <c r="AF154" s="2159">
        <f t="shared" si="90"/>
        <v>0</v>
      </c>
      <c r="AG154" s="2159">
        <f t="shared" si="91"/>
        <v>0</v>
      </c>
      <c r="AH154" s="2159">
        <f t="shared" si="92"/>
        <v>0</v>
      </c>
      <c r="AI154" s="2160">
        <f t="shared" si="76"/>
        <v>0</v>
      </c>
      <c r="AJ154" s="1966">
        <f t="shared" si="93"/>
        <v>1</v>
      </c>
      <c r="AK154" s="2159">
        <f t="shared" si="94"/>
        <v>0</v>
      </c>
      <c r="AL154" s="368" t="e">
        <f t="shared" si="95"/>
        <v>#DIV/0!</v>
      </c>
      <c r="AN154" s="369">
        <f t="shared" si="96"/>
        <v>0</v>
      </c>
      <c r="AO154" s="1966">
        <f t="shared" si="77"/>
        <v>0</v>
      </c>
      <c r="AP154" s="1966">
        <f t="shared" si="78"/>
        <v>0</v>
      </c>
      <c r="AQ154" s="1966">
        <f t="shared" si="79"/>
        <v>0</v>
      </c>
      <c r="AR154" s="370">
        <f t="shared" si="80"/>
        <v>0</v>
      </c>
      <c r="AT154" s="371">
        <f t="shared" si="81"/>
        <v>0</v>
      </c>
      <c r="AU154" s="1966">
        <f t="shared" si="82"/>
        <v>0</v>
      </c>
      <c r="AV154" s="2161">
        <f t="shared" si="83"/>
        <v>0</v>
      </c>
      <c r="AW154" s="2161">
        <f t="shared" si="84"/>
        <v>0</v>
      </c>
      <c r="AX154" s="1966">
        <f t="shared" si="85"/>
        <v>0</v>
      </c>
      <c r="AY154" s="372">
        <f t="shared" si="86"/>
        <v>0</v>
      </c>
      <c r="AZ154" s="265"/>
      <c r="BA154" s="371">
        <f t="shared" si="97"/>
        <v>0</v>
      </c>
      <c r="BB154" s="1966">
        <f t="shared" si="98"/>
        <v>0</v>
      </c>
      <c r="BC154" s="1966">
        <f t="shared" si="99"/>
        <v>0</v>
      </c>
      <c r="BD154" s="1966">
        <f t="shared" si="100"/>
        <v>0</v>
      </c>
      <c r="BE154" s="372">
        <f t="shared" si="101"/>
        <v>0</v>
      </c>
      <c r="BG154" s="2159">
        <f t="shared" si="102"/>
        <v>46023</v>
      </c>
      <c r="BH154" s="2159">
        <f t="shared" si="103"/>
        <v>46023</v>
      </c>
      <c r="BI154" s="2159">
        <f t="shared" si="104"/>
        <v>46023</v>
      </c>
      <c r="BJ154" s="2159">
        <f t="shared" si="105"/>
        <v>0</v>
      </c>
      <c r="BL154" s="369">
        <f t="shared" si="106"/>
        <v>0</v>
      </c>
      <c r="BM154" s="2159">
        <f t="shared" si="107"/>
        <v>0</v>
      </c>
      <c r="BN154" s="2159">
        <f t="shared" si="108"/>
        <v>0</v>
      </c>
      <c r="BO154" s="373">
        <f t="shared" si="109"/>
        <v>0</v>
      </c>
      <c r="BT154" s="2054"/>
    </row>
    <row r="155" spans="1:72" ht="45.75" customHeight="1">
      <c r="A155" s="2163"/>
      <c r="B155" s="2146"/>
      <c r="C155" s="2146"/>
      <c r="D155" s="2164"/>
      <c r="E155" s="1573"/>
      <c r="F155" s="2148"/>
      <c r="G155" s="2149" t="str">
        <f t="shared" si="70"/>
        <v/>
      </c>
      <c r="H155" s="2148"/>
      <c r="I155" s="2150"/>
      <c r="J155" s="2148"/>
      <c r="K155" s="2151">
        <f t="shared" si="71"/>
        <v>0</v>
      </c>
      <c r="L155" s="2148"/>
      <c r="M155" s="2150"/>
      <c r="N155" s="2152"/>
      <c r="O155" s="2148"/>
      <c r="P155" s="2151">
        <f t="shared" si="72"/>
        <v>0</v>
      </c>
      <c r="Q155" s="2148"/>
      <c r="R155" s="2150"/>
      <c r="S155" s="2152"/>
      <c r="T155" s="2153"/>
      <c r="U155" s="2154">
        <f t="shared" si="73"/>
        <v>0</v>
      </c>
      <c r="V155" s="2155"/>
      <c r="W155" s="2150"/>
      <c r="X155" s="2152"/>
      <c r="Y155" s="2153"/>
      <c r="Z155" s="1572">
        <f t="shared" si="74"/>
        <v>0</v>
      </c>
      <c r="AA155" s="2168">
        <f t="shared" si="87"/>
        <v>0</v>
      </c>
      <c r="AB155" s="2156" t="str">
        <f t="shared" si="75"/>
        <v/>
      </c>
      <c r="AD155" s="2158" t="str">
        <f t="shared" si="88"/>
        <v/>
      </c>
      <c r="AE155" s="2159">
        <f t="shared" si="89"/>
        <v>0</v>
      </c>
      <c r="AF155" s="2159">
        <f t="shared" si="90"/>
        <v>0</v>
      </c>
      <c r="AG155" s="2159">
        <f t="shared" si="91"/>
        <v>0</v>
      </c>
      <c r="AH155" s="2159">
        <f t="shared" si="92"/>
        <v>0</v>
      </c>
      <c r="AI155" s="2160">
        <f t="shared" si="76"/>
        <v>0</v>
      </c>
      <c r="AJ155" s="1966">
        <f t="shared" si="93"/>
        <v>1</v>
      </c>
      <c r="AK155" s="2159">
        <f t="shared" si="94"/>
        <v>0</v>
      </c>
      <c r="AL155" s="368" t="e">
        <f t="shared" si="95"/>
        <v>#DIV/0!</v>
      </c>
      <c r="AN155" s="369">
        <f t="shared" si="96"/>
        <v>0</v>
      </c>
      <c r="AO155" s="1966">
        <f t="shared" si="77"/>
        <v>0</v>
      </c>
      <c r="AP155" s="1966">
        <f t="shared" si="78"/>
        <v>0</v>
      </c>
      <c r="AQ155" s="1966">
        <f t="shared" si="79"/>
        <v>0</v>
      </c>
      <c r="AR155" s="370">
        <f t="shared" si="80"/>
        <v>0</v>
      </c>
      <c r="AT155" s="371">
        <f t="shared" si="81"/>
        <v>0</v>
      </c>
      <c r="AU155" s="1966">
        <f t="shared" si="82"/>
        <v>0</v>
      </c>
      <c r="AV155" s="2161">
        <f t="shared" si="83"/>
        <v>0</v>
      </c>
      <c r="AW155" s="2161">
        <f t="shared" si="84"/>
        <v>0</v>
      </c>
      <c r="AX155" s="1966">
        <f t="shared" si="85"/>
        <v>0</v>
      </c>
      <c r="AY155" s="372">
        <f t="shared" si="86"/>
        <v>0</v>
      </c>
      <c r="AZ155" s="265"/>
      <c r="BA155" s="371">
        <f t="shared" si="97"/>
        <v>0</v>
      </c>
      <c r="BB155" s="1966">
        <f t="shared" si="98"/>
        <v>0</v>
      </c>
      <c r="BC155" s="1966">
        <f t="shared" si="99"/>
        <v>0</v>
      </c>
      <c r="BD155" s="1966">
        <f t="shared" si="100"/>
        <v>0</v>
      </c>
      <c r="BE155" s="372">
        <f t="shared" si="101"/>
        <v>0</v>
      </c>
      <c r="BG155" s="2159">
        <f t="shared" si="102"/>
        <v>46023</v>
      </c>
      <c r="BH155" s="2159">
        <f t="shared" si="103"/>
        <v>46023</v>
      </c>
      <c r="BI155" s="2159">
        <f t="shared" si="104"/>
        <v>46023</v>
      </c>
      <c r="BJ155" s="2159">
        <f t="shared" si="105"/>
        <v>0</v>
      </c>
      <c r="BL155" s="369">
        <f t="shared" si="106"/>
        <v>0</v>
      </c>
      <c r="BM155" s="2159">
        <f t="shared" si="107"/>
        <v>0</v>
      </c>
      <c r="BN155" s="2159">
        <f t="shared" si="108"/>
        <v>0</v>
      </c>
      <c r="BO155" s="373">
        <f t="shared" si="109"/>
        <v>0</v>
      </c>
      <c r="BT155" s="2054"/>
    </row>
    <row r="156" spans="1:72" ht="45.75" customHeight="1">
      <c r="A156" s="2163"/>
      <c r="B156" s="2146"/>
      <c r="C156" s="2146"/>
      <c r="D156" s="2164"/>
      <c r="E156" s="1573"/>
      <c r="F156" s="2148"/>
      <c r="G156" s="2149" t="str">
        <f t="shared" si="70"/>
        <v/>
      </c>
      <c r="H156" s="2148"/>
      <c r="I156" s="2150"/>
      <c r="J156" s="2148"/>
      <c r="K156" s="2151">
        <f t="shared" si="71"/>
        <v>0</v>
      </c>
      <c r="L156" s="2148"/>
      <c r="M156" s="2150"/>
      <c r="N156" s="2152"/>
      <c r="O156" s="2148"/>
      <c r="P156" s="2151">
        <f t="shared" si="72"/>
        <v>0</v>
      </c>
      <c r="Q156" s="2148"/>
      <c r="R156" s="2150"/>
      <c r="S156" s="2152"/>
      <c r="T156" s="2153"/>
      <c r="U156" s="2154">
        <f t="shared" si="73"/>
        <v>0</v>
      </c>
      <c r="V156" s="2155"/>
      <c r="W156" s="2150"/>
      <c r="X156" s="2152"/>
      <c r="Y156" s="2153"/>
      <c r="Z156" s="1572">
        <f t="shared" si="74"/>
        <v>0</v>
      </c>
      <c r="AA156" s="2168">
        <f t="shared" si="87"/>
        <v>0</v>
      </c>
      <c r="AB156" s="2156" t="str">
        <f t="shared" si="75"/>
        <v/>
      </c>
      <c r="AD156" s="2158" t="str">
        <f t="shared" si="88"/>
        <v/>
      </c>
      <c r="AE156" s="2159">
        <f t="shared" si="89"/>
        <v>0</v>
      </c>
      <c r="AF156" s="2159">
        <f t="shared" si="90"/>
        <v>0</v>
      </c>
      <c r="AG156" s="2159">
        <f t="shared" si="91"/>
        <v>0</v>
      </c>
      <c r="AH156" s="2159">
        <f t="shared" si="92"/>
        <v>0</v>
      </c>
      <c r="AI156" s="2160">
        <f t="shared" si="76"/>
        <v>0</v>
      </c>
      <c r="AJ156" s="1966">
        <f t="shared" si="93"/>
        <v>1</v>
      </c>
      <c r="AK156" s="2159">
        <f t="shared" si="94"/>
        <v>0</v>
      </c>
      <c r="AL156" s="368" t="e">
        <f t="shared" si="95"/>
        <v>#DIV/0!</v>
      </c>
      <c r="AN156" s="369">
        <f t="shared" si="96"/>
        <v>0</v>
      </c>
      <c r="AO156" s="1966">
        <f t="shared" si="77"/>
        <v>0</v>
      </c>
      <c r="AP156" s="1966">
        <f t="shared" si="78"/>
        <v>0</v>
      </c>
      <c r="AQ156" s="1966">
        <f t="shared" si="79"/>
        <v>0</v>
      </c>
      <c r="AR156" s="370">
        <f t="shared" si="80"/>
        <v>0</v>
      </c>
      <c r="AT156" s="371">
        <f t="shared" si="81"/>
        <v>0</v>
      </c>
      <c r="AU156" s="1966">
        <f t="shared" si="82"/>
        <v>0</v>
      </c>
      <c r="AV156" s="2161">
        <f t="shared" si="83"/>
        <v>0</v>
      </c>
      <c r="AW156" s="2161">
        <f t="shared" si="84"/>
        <v>0</v>
      </c>
      <c r="AX156" s="1966">
        <f t="shared" si="85"/>
        <v>0</v>
      </c>
      <c r="AY156" s="372">
        <f t="shared" si="86"/>
        <v>0</v>
      </c>
      <c r="AZ156" s="265"/>
      <c r="BA156" s="371">
        <f t="shared" si="97"/>
        <v>0</v>
      </c>
      <c r="BB156" s="1966">
        <f t="shared" si="98"/>
        <v>0</v>
      </c>
      <c r="BC156" s="1966">
        <f t="shared" si="99"/>
        <v>0</v>
      </c>
      <c r="BD156" s="1966">
        <f t="shared" si="100"/>
        <v>0</v>
      </c>
      <c r="BE156" s="372">
        <f t="shared" si="101"/>
        <v>0</v>
      </c>
      <c r="BG156" s="2159">
        <f t="shared" si="102"/>
        <v>46023</v>
      </c>
      <c r="BH156" s="2159">
        <f t="shared" si="103"/>
        <v>46023</v>
      </c>
      <c r="BI156" s="2159">
        <f t="shared" si="104"/>
        <v>46023</v>
      </c>
      <c r="BJ156" s="2159">
        <f t="shared" si="105"/>
        <v>0</v>
      </c>
      <c r="BL156" s="369">
        <f t="shared" si="106"/>
        <v>0</v>
      </c>
      <c r="BM156" s="2159">
        <f t="shared" si="107"/>
        <v>0</v>
      </c>
      <c r="BN156" s="2159">
        <f t="shared" si="108"/>
        <v>0</v>
      </c>
      <c r="BO156" s="373">
        <f t="shared" si="109"/>
        <v>0</v>
      </c>
      <c r="BT156" s="2054"/>
    </row>
    <row r="157" spans="1:72" ht="45.75" customHeight="1">
      <c r="A157" s="2163"/>
      <c r="B157" s="2146"/>
      <c r="C157" s="2146"/>
      <c r="D157" s="2164"/>
      <c r="E157" s="1573"/>
      <c r="F157" s="2148"/>
      <c r="G157" s="2149" t="str">
        <f t="shared" si="70"/>
        <v/>
      </c>
      <c r="H157" s="2148"/>
      <c r="I157" s="2150"/>
      <c r="J157" s="2148"/>
      <c r="K157" s="2151">
        <f t="shared" si="71"/>
        <v>0</v>
      </c>
      <c r="L157" s="2148"/>
      <c r="M157" s="2150"/>
      <c r="N157" s="2152"/>
      <c r="O157" s="2148"/>
      <c r="P157" s="2151">
        <f t="shared" si="72"/>
        <v>0</v>
      </c>
      <c r="Q157" s="2148"/>
      <c r="R157" s="2150"/>
      <c r="S157" s="2152"/>
      <c r="T157" s="2153"/>
      <c r="U157" s="2154">
        <f t="shared" si="73"/>
        <v>0</v>
      </c>
      <c r="V157" s="2155"/>
      <c r="W157" s="2150"/>
      <c r="X157" s="2152"/>
      <c r="Y157" s="2153"/>
      <c r="Z157" s="1572">
        <f t="shared" si="74"/>
        <v>0</v>
      </c>
      <c r="AA157" s="2168">
        <f t="shared" si="87"/>
        <v>0</v>
      </c>
      <c r="AB157" s="2156" t="str">
        <f t="shared" si="75"/>
        <v/>
      </c>
      <c r="AD157" s="2158" t="str">
        <f t="shared" si="88"/>
        <v/>
      </c>
      <c r="AE157" s="2159">
        <f t="shared" si="89"/>
        <v>0</v>
      </c>
      <c r="AF157" s="2159">
        <f t="shared" si="90"/>
        <v>0</v>
      </c>
      <c r="AG157" s="2159">
        <f t="shared" si="91"/>
        <v>0</v>
      </c>
      <c r="AH157" s="2159">
        <f t="shared" si="92"/>
        <v>0</v>
      </c>
      <c r="AI157" s="2160">
        <f t="shared" si="76"/>
        <v>0</v>
      </c>
      <c r="AJ157" s="1966">
        <f t="shared" si="93"/>
        <v>1</v>
      </c>
      <c r="AK157" s="2159">
        <f t="shared" si="94"/>
        <v>0</v>
      </c>
      <c r="AL157" s="368" t="e">
        <f t="shared" si="95"/>
        <v>#DIV/0!</v>
      </c>
      <c r="AN157" s="369">
        <f t="shared" si="96"/>
        <v>0</v>
      </c>
      <c r="AO157" s="1966">
        <f t="shared" si="77"/>
        <v>0</v>
      </c>
      <c r="AP157" s="1966">
        <f t="shared" si="78"/>
        <v>0</v>
      </c>
      <c r="AQ157" s="1966">
        <f t="shared" si="79"/>
        <v>0</v>
      </c>
      <c r="AR157" s="370">
        <f t="shared" si="80"/>
        <v>0</v>
      </c>
      <c r="AT157" s="371">
        <f t="shared" si="81"/>
        <v>0</v>
      </c>
      <c r="AU157" s="1966">
        <f t="shared" si="82"/>
        <v>0</v>
      </c>
      <c r="AV157" s="2161">
        <f t="shared" si="83"/>
        <v>0</v>
      </c>
      <c r="AW157" s="2161">
        <f t="shared" si="84"/>
        <v>0</v>
      </c>
      <c r="AX157" s="1966">
        <f t="shared" si="85"/>
        <v>0</v>
      </c>
      <c r="AY157" s="372">
        <f t="shared" si="86"/>
        <v>0</v>
      </c>
      <c r="AZ157" s="265"/>
      <c r="BA157" s="371">
        <f t="shared" si="97"/>
        <v>0</v>
      </c>
      <c r="BB157" s="1966">
        <f t="shared" si="98"/>
        <v>0</v>
      </c>
      <c r="BC157" s="1966">
        <f t="shared" si="99"/>
        <v>0</v>
      </c>
      <c r="BD157" s="1966">
        <f t="shared" si="100"/>
        <v>0</v>
      </c>
      <c r="BE157" s="372">
        <f t="shared" si="101"/>
        <v>0</v>
      </c>
      <c r="BG157" s="2159">
        <f t="shared" si="102"/>
        <v>46023</v>
      </c>
      <c r="BH157" s="2159">
        <f t="shared" si="103"/>
        <v>46023</v>
      </c>
      <c r="BI157" s="2159">
        <f t="shared" si="104"/>
        <v>46023</v>
      </c>
      <c r="BJ157" s="2159">
        <f t="shared" si="105"/>
        <v>0</v>
      </c>
      <c r="BL157" s="369">
        <f t="shared" si="106"/>
        <v>0</v>
      </c>
      <c r="BM157" s="2159">
        <f t="shared" si="107"/>
        <v>0</v>
      </c>
      <c r="BN157" s="2159">
        <f t="shared" si="108"/>
        <v>0</v>
      </c>
      <c r="BO157" s="373">
        <f t="shared" si="109"/>
        <v>0</v>
      </c>
      <c r="BT157" s="2054"/>
    </row>
    <row r="158" spans="1:72" ht="45.75" customHeight="1">
      <c r="A158" s="2163"/>
      <c r="B158" s="2146"/>
      <c r="C158" s="2146"/>
      <c r="D158" s="2164"/>
      <c r="E158" s="1573"/>
      <c r="F158" s="2148"/>
      <c r="G158" s="2149" t="str">
        <f t="shared" si="70"/>
        <v/>
      </c>
      <c r="H158" s="2148"/>
      <c r="I158" s="2150"/>
      <c r="J158" s="2148"/>
      <c r="K158" s="2151">
        <f t="shared" si="71"/>
        <v>0</v>
      </c>
      <c r="L158" s="2148"/>
      <c r="M158" s="2150"/>
      <c r="N158" s="2152"/>
      <c r="O158" s="2148"/>
      <c r="P158" s="2151">
        <f t="shared" si="72"/>
        <v>0</v>
      </c>
      <c r="Q158" s="2148"/>
      <c r="R158" s="2150"/>
      <c r="S158" s="2152"/>
      <c r="T158" s="2153"/>
      <c r="U158" s="2154">
        <f t="shared" si="73"/>
        <v>0</v>
      </c>
      <c r="V158" s="2155"/>
      <c r="W158" s="2150"/>
      <c r="X158" s="2152"/>
      <c r="Y158" s="2153"/>
      <c r="Z158" s="1572">
        <f t="shared" si="74"/>
        <v>0</v>
      </c>
      <c r="AA158" s="2168">
        <f t="shared" si="87"/>
        <v>0</v>
      </c>
      <c r="AB158" s="2156" t="str">
        <f t="shared" si="75"/>
        <v/>
      </c>
      <c r="AD158" s="2158" t="str">
        <f t="shared" si="88"/>
        <v/>
      </c>
      <c r="AE158" s="2159">
        <f t="shared" si="89"/>
        <v>0</v>
      </c>
      <c r="AF158" s="2159">
        <f t="shared" si="90"/>
        <v>0</v>
      </c>
      <c r="AG158" s="2159">
        <f t="shared" si="91"/>
        <v>0</v>
      </c>
      <c r="AH158" s="2159">
        <f t="shared" si="92"/>
        <v>0</v>
      </c>
      <c r="AI158" s="2160">
        <f t="shared" si="76"/>
        <v>0</v>
      </c>
      <c r="AJ158" s="1966">
        <f t="shared" si="93"/>
        <v>1</v>
      </c>
      <c r="AK158" s="2159">
        <f t="shared" si="94"/>
        <v>0</v>
      </c>
      <c r="AL158" s="368" t="e">
        <f t="shared" si="95"/>
        <v>#DIV/0!</v>
      </c>
      <c r="AN158" s="369">
        <f t="shared" si="96"/>
        <v>0</v>
      </c>
      <c r="AO158" s="1966">
        <f t="shared" si="77"/>
        <v>0</v>
      </c>
      <c r="AP158" s="1966">
        <f t="shared" si="78"/>
        <v>0</v>
      </c>
      <c r="AQ158" s="1966">
        <f t="shared" si="79"/>
        <v>0</v>
      </c>
      <c r="AR158" s="370">
        <f t="shared" si="80"/>
        <v>0</v>
      </c>
      <c r="AT158" s="371">
        <f t="shared" si="81"/>
        <v>0</v>
      </c>
      <c r="AU158" s="1966">
        <f t="shared" si="82"/>
        <v>0</v>
      </c>
      <c r="AV158" s="2161">
        <f t="shared" si="83"/>
        <v>0</v>
      </c>
      <c r="AW158" s="2161">
        <f t="shared" si="84"/>
        <v>0</v>
      </c>
      <c r="AX158" s="1966">
        <f t="shared" si="85"/>
        <v>0</v>
      </c>
      <c r="AY158" s="372">
        <f t="shared" si="86"/>
        <v>0</v>
      </c>
      <c r="AZ158" s="265"/>
      <c r="BA158" s="371">
        <f t="shared" si="97"/>
        <v>0</v>
      </c>
      <c r="BB158" s="1966">
        <f t="shared" si="98"/>
        <v>0</v>
      </c>
      <c r="BC158" s="1966">
        <f t="shared" si="99"/>
        <v>0</v>
      </c>
      <c r="BD158" s="1966">
        <f t="shared" si="100"/>
        <v>0</v>
      </c>
      <c r="BE158" s="372">
        <f t="shared" si="101"/>
        <v>0</v>
      </c>
      <c r="BG158" s="2159">
        <f t="shared" si="102"/>
        <v>46023</v>
      </c>
      <c r="BH158" s="2159">
        <f t="shared" si="103"/>
        <v>46023</v>
      </c>
      <c r="BI158" s="2159">
        <f t="shared" si="104"/>
        <v>46023</v>
      </c>
      <c r="BJ158" s="2159">
        <f t="shared" si="105"/>
        <v>0</v>
      </c>
      <c r="BL158" s="369">
        <f t="shared" si="106"/>
        <v>0</v>
      </c>
      <c r="BM158" s="2159">
        <f t="shared" si="107"/>
        <v>0</v>
      </c>
      <c r="BN158" s="2159">
        <f t="shared" si="108"/>
        <v>0</v>
      </c>
      <c r="BO158" s="373">
        <f t="shared" si="109"/>
        <v>0</v>
      </c>
      <c r="BT158" s="2054"/>
    </row>
    <row r="159" spans="1:72" ht="45.75" customHeight="1">
      <c r="A159" s="2163"/>
      <c r="B159" s="2146"/>
      <c r="C159" s="2146"/>
      <c r="D159" s="2164"/>
      <c r="E159" s="1573"/>
      <c r="F159" s="2148"/>
      <c r="G159" s="2149" t="str">
        <f t="shared" si="70"/>
        <v/>
      </c>
      <c r="H159" s="2148"/>
      <c r="I159" s="2150"/>
      <c r="J159" s="2148"/>
      <c r="K159" s="2151">
        <f t="shared" si="71"/>
        <v>0</v>
      </c>
      <c r="L159" s="2148"/>
      <c r="M159" s="2150"/>
      <c r="N159" s="2152"/>
      <c r="O159" s="2148"/>
      <c r="P159" s="2151">
        <f t="shared" si="72"/>
        <v>0</v>
      </c>
      <c r="Q159" s="2148"/>
      <c r="R159" s="2150"/>
      <c r="S159" s="2152"/>
      <c r="T159" s="2153"/>
      <c r="U159" s="2154">
        <f t="shared" si="73"/>
        <v>0</v>
      </c>
      <c r="V159" s="2155"/>
      <c r="W159" s="2150"/>
      <c r="X159" s="2152"/>
      <c r="Y159" s="2153"/>
      <c r="Z159" s="1572">
        <f t="shared" si="74"/>
        <v>0</v>
      </c>
      <c r="AA159" s="2168">
        <f t="shared" si="87"/>
        <v>0</v>
      </c>
      <c r="AB159" s="2156" t="str">
        <f t="shared" si="75"/>
        <v/>
      </c>
      <c r="AD159" s="2158" t="str">
        <f t="shared" si="88"/>
        <v/>
      </c>
      <c r="AE159" s="2159">
        <f t="shared" si="89"/>
        <v>0</v>
      </c>
      <c r="AF159" s="2159">
        <f t="shared" si="90"/>
        <v>0</v>
      </c>
      <c r="AG159" s="2159">
        <f t="shared" si="91"/>
        <v>0</v>
      </c>
      <c r="AH159" s="2159">
        <f t="shared" si="92"/>
        <v>0</v>
      </c>
      <c r="AI159" s="2160">
        <f t="shared" si="76"/>
        <v>0</v>
      </c>
      <c r="AJ159" s="1966">
        <f t="shared" si="93"/>
        <v>1</v>
      </c>
      <c r="AK159" s="2159">
        <f t="shared" si="94"/>
        <v>0</v>
      </c>
      <c r="AL159" s="368" t="e">
        <f t="shared" si="95"/>
        <v>#DIV/0!</v>
      </c>
      <c r="AN159" s="369">
        <f t="shared" si="96"/>
        <v>0</v>
      </c>
      <c r="AO159" s="1966">
        <f t="shared" si="77"/>
        <v>0</v>
      </c>
      <c r="AP159" s="1966">
        <f t="shared" si="78"/>
        <v>0</v>
      </c>
      <c r="AQ159" s="1966">
        <f t="shared" si="79"/>
        <v>0</v>
      </c>
      <c r="AR159" s="370">
        <f t="shared" si="80"/>
        <v>0</v>
      </c>
      <c r="AT159" s="371">
        <f t="shared" si="81"/>
        <v>0</v>
      </c>
      <c r="AU159" s="1966">
        <f t="shared" si="82"/>
        <v>0</v>
      </c>
      <c r="AV159" s="2161">
        <f t="shared" si="83"/>
        <v>0</v>
      </c>
      <c r="AW159" s="2161">
        <f t="shared" si="84"/>
        <v>0</v>
      </c>
      <c r="AX159" s="1966">
        <f t="shared" si="85"/>
        <v>0</v>
      </c>
      <c r="AY159" s="372">
        <f t="shared" si="86"/>
        <v>0</v>
      </c>
      <c r="AZ159" s="265"/>
      <c r="BA159" s="371">
        <f t="shared" si="97"/>
        <v>0</v>
      </c>
      <c r="BB159" s="1966">
        <f t="shared" si="98"/>
        <v>0</v>
      </c>
      <c r="BC159" s="1966">
        <f t="shared" si="99"/>
        <v>0</v>
      </c>
      <c r="BD159" s="1966">
        <f t="shared" si="100"/>
        <v>0</v>
      </c>
      <c r="BE159" s="372">
        <f t="shared" si="101"/>
        <v>0</v>
      </c>
      <c r="BG159" s="2159">
        <f t="shared" si="102"/>
        <v>46023</v>
      </c>
      <c r="BH159" s="2159">
        <f t="shared" si="103"/>
        <v>46023</v>
      </c>
      <c r="BI159" s="2159">
        <f t="shared" si="104"/>
        <v>46023</v>
      </c>
      <c r="BJ159" s="2159">
        <f t="shared" si="105"/>
        <v>0</v>
      </c>
      <c r="BL159" s="369">
        <f t="shared" si="106"/>
        <v>0</v>
      </c>
      <c r="BM159" s="2159">
        <f t="shared" si="107"/>
        <v>0</v>
      </c>
      <c r="BN159" s="2159">
        <f t="shared" si="108"/>
        <v>0</v>
      </c>
      <c r="BO159" s="373">
        <f t="shared" si="109"/>
        <v>0</v>
      </c>
      <c r="BT159" s="2054"/>
    </row>
    <row r="160" spans="1:72" ht="45.75" customHeight="1">
      <c r="A160" s="2163"/>
      <c r="B160" s="2146"/>
      <c r="C160" s="2146"/>
      <c r="D160" s="2164"/>
      <c r="E160" s="1573"/>
      <c r="F160" s="2148"/>
      <c r="G160" s="2149" t="str">
        <f t="shared" si="70"/>
        <v/>
      </c>
      <c r="H160" s="2148"/>
      <c r="I160" s="2150"/>
      <c r="J160" s="2148"/>
      <c r="K160" s="2151">
        <f t="shared" si="71"/>
        <v>0</v>
      </c>
      <c r="L160" s="2148"/>
      <c r="M160" s="2150"/>
      <c r="N160" s="2152"/>
      <c r="O160" s="2148"/>
      <c r="P160" s="2151">
        <f t="shared" si="72"/>
        <v>0</v>
      </c>
      <c r="Q160" s="2148"/>
      <c r="R160" s="2150"/>
      <c r="S160" s="2152"/>
      <c r="T160" s="2153"/>
      <c r="U160" s="2154">
        <f t="shared" si="73"/>
        <v>0</v>
      </c>
      <c r="V160" s="2155"/>
      <c r="W160" s="2150"/>
      <c r="X160" s="2152"/>
      <c r="Y160" s="2153"/>
      <c r="Z160" s="1572">
        <f t="shared" si="74"/>
        <v>0</v>
      </c>
      <c r="AA160" s="2168">
        <f t="shared" si="87"/>
        <v>0</v>
      </c>
      <c r="AB160" s="2156" t="str">
        <f t="shared" si="75"/>
        <v/>
      </c>
      <c r="AD160" s="2158" t="str">
        <f t="shared" si="88"/>
        <v/>
      </c>
      <c r="AE160" s="2159">
        <f t="shared" si="89"/>
        <v>0</v>
      </c>
      <c r="AF160" s="2159">
        <f t="shared" si="90"/>
        <v>0</v>
      </c>
      <c r="AG160" s="2159">
        <f t="shared" si="91"/>
        <v>0</v>
      </c>
      <c r="AH160" s="2159">
        <f t="shared" si="92"/>
        <v>0</v>
      </c>
      <c r="AI160" s="2160">
        <f t="shared" si="76"/>
        <v>0</v>
      </c>
      <c r="AJ160" s="1966">
        <f t="shared" si="93"/>
        <v>1</v>
      </c>
      <c r="AK160" s="2159">
        <f t="shared" si="94"/>
        <v>0</v>
      </c>
      <c r="AL160" s="368" t="e">
        <f t="shared" si="95"/>
        <v>#DIV/0!</v>
      </c>
      <c r="AN160" s="369">
        <f t="shared" si="96"/>
        <v>0</v>
      </c>
      <c r="AO160" s="1966">
        <f t="shared" si="77"/>
        <v>0</v>
      </c>
      <c r="AP160" s="1966">
        <f t="shared" si="78"/>
        <v>0</v>
      </c>
      <c r="AQ160" s="1966">
        <f t="shared" si="79"/>
        <v>0</v>
      </c>
      <c r="AR160" s="370">
        <f t="shared" si="80"/>
        <v>0</v>
      </c>
      <c r="AT160" s="371">
        <f t="shared" si="81"/>
        <v>0</v>
      </c>
      <c r="AU160" s="1966">
        <f t="shared" si="82"/>
        <v>0</v>
      </c>
      <c r="AV160" s="2161">
        <f t="shared" si="83"/>
        <v>0</v>
      </c>
      <c r="AW160" s="2161">
        <f t="shared" si="84"/>
        <v>0</v>
      </c>
      <c r="AX160" s="1966">
        <f t="shared" si="85"/>
        <v>0</v>
      </c>
      <c r="AY160" s="372">
        <f t="shared" si="86"/>
        <v>0</v>
      </c>
      <c r="AZ160" s="265"/>
      <c r="BA160" s="371">
        <f t="shared" si="97"/>
        <v>0</v>
      </c>
      <c r="BB160" s="1966">
        <f t="shared" si="98"/>
        <v>0</v>
      </c>
      <c r="BC160" s="1966">
        <f t="shared" si="99"/>
        <v>0</v>
      </c>
      <c r="BD160" s="1966">
        <f t="shared" si="100"/>
        <v>0</v>
      </c>
      <c r="BE160" s="372">
        <f t="shared" si="101"/>
        <v>0</v>
      </c>
      <c r="BG160" s="2159">
        <f t="shared" si="102"/>
        <v>46023</v>
      </c>
      <c r="BH160" s="2159">
        <f t="shared" si="103"/>
        <v>46023</v>
      </c>
      <c r="BI160" s="2159">
        <f t="shared" si="104"/>
        <v>46023</v>
      </c>
      <c r="BJ160" s="2159">
        <f t="shared" si="105"/>
        <v>0</v>
      </c>
      <c r="BL160" s="369">
        <f t="shared" si="106"/>
        <v>0</v>
      </c>
      <c r="BM160" s="2159">
        <f t="shared" si="107"/>
        <v>0</v>
      </c>
      <c r="BN160" s="2159">
        <f t="shared" si="108"/>
        <v>0</v>
      </c>
      <c r="BO160" s="373">
        <f t="shared" si="109"/>
        <v>0</v>
      </c>
      <c r="BT160" s="2054"/>
    </row>
    <row r="161" spans="1:72" ht="45.75" customHeight="1">
      <c r="A161" s="2163"/>
      <c r="B161" s="2146"/>
      <c r="C161" s="2146"/>
      <c r="D161" s="2164"/>
      <c r="E161" s="1573"/>
      <c r="F161" s="2148"/>
      <c r="G161" s="2149" t="str">
        <f t="shared" si="70"/>
        <v/>
      </c>
      <c r="H161" s="2148"/>
      <c r="I161" s="2150"/>
      <c r="J161" s="2148"/>
      <c r="K161" s="2151">
        <f t="shared" si="71"/>
        <v>0</v>
      </c>
      <c r="L161" s="2148"/>
      <c r="M161" s="2150"/>
      <c r="N161" s="2152"/>
      <c r="O161" s="2148"/>
      <c r="P161" s="2151">
        <f t="shared" si="72"/>
        <v>0</v>
      </c>
      <c r="Q161" s="2148"/>
      <c r="R161" s="2150"/>
      <c r="S161" s="2152"/>
      <c r="T161" s="2153"/>
      <c r="U161" s="2154">
        <f t="shared" si="73"/>
        <v>0</v>
      </c>
      <c r="V161" s="2155"/>
      <c r="W161" s="2150"/>
      <c r="X161" s="2152"/>
      <c r="Y161" s="2153"/>
      <c r="Z161" s="1572">
        <f t="shared" si="74"/>
        <v>0</v>
      </c>
      <c r="AA161" s="2168">
        <f t="shared" si="87"/>
        <v>0</v>
      </c>
      <c r="AB161" s="2156" t="str">
        <f t="shared" si="75"/>
        <v/>
      </c>
      <c r="AD161" s="2158" t="str">
        <f t="shared" si="88"/>
        <v/>
      </c>
      <c r="AE161" s="2159">
        <f t="shared" si="89"/>
        <v>0</v>
      </c>
      <c r="AF161" s="2159">
        <f t="shared" si="90"/>
        <v>0</v>
      </c>
      <c r="AG161" s="2159">
        <f t="shared" si="91"/>
        <v>0</v>
      </c>
      <c r="AH161" s="2159">
        <f t="shared" si="92"/>
        <v>0</v>
      </c>
      <c r="AI161" s="2160">
        <f t="shared" si="76"/>
        <v>0</v>
      </c>
      <c r="AJ161" s="1966">
        <f t="shared" si="93"/>
        <v>1</v>
      </c>
      <c r="AK161" s="2159">
        <f t="shared" si="94"/>
        <v>0</v>
      </c>
      <c r="AL161" s="368" t="e">
        <f t="shared" si="95"/>
        <v>#DIV/0!</v>
      </c>
      <c r="AN161" s="369">
        <f t="shared" si="96"/>
        <v>0</v>
      </c>
      <c r="AO161" s="1966">
        <f t="shared" si="77"/>
        <v>0</v>
      </c>
      <c r="AP161" s="1966">
        <f t="shared" si="78"/>
        <v>0</v>
      </c>
      <c r="AQ161" s="1966">
        <f t="shared" si="79"/>
        <v>0</v>
      </c>
      <c r="AR161" s="370">
        <f t="shared" si="80"/>
        <v>0</v>
      </c>
      <c r="AT161" s="371">
        <f t="shared" si="81"/>
        <v>0</v>
      </c>
      <c r="AU161" s="1966">
        <f t="shared" si="82"/>
        <v>0</v>
      </c>
      <c r="AV161" s="2161">
        <f t="shared" si="83"/>
        <v>0</v>
      </c>
      <c r="AW161" s="2161">
        <f t="shared" si="84"/>
        <v>0</v>
      </c>
      <c r="AX161" s="1966">
        <f t="shared" si="85"/>
        <v>0</v>
      </c>
      <c r="AY161" s="372">
        <f t="shared" si="86"/>
        <v>0</v>
      </c>
      <c r="AZ161" s="265"/>
      <c r="BA161" s="371">
        <f t="shared" si="97"/>
        <v>0</v>
      </c>
      <c r="BB161" s="1966">
        <f t="shared" si="98"/>
        <v>0</v>
      </c>
      <c r="BC161" s="1966">
        <f t="shared" si="99"/>
        <v>0</v>
      </c>
      <c r="BD161" s="1966">
        <f t="shared" si="100"/>
        <v>0</v>
      </c>
      <c r="BE161" s="372">
        <f t="shared" si="101"/>
        <v>0</v>
      </c>
      <c r="BG161" s="2159">
        <f t="shared" si="102"/>
        <v>46023</v>
      </c>
      <c r="BH161" s="2159">
        <f t="shared" si="103"/>
        <v>46023</v>
      </c>
      <c r="BI161" s="2159">
        <f t="shared" si="104"/>
        <v>46023</v>
      </c>
      <c r="BJ161" s="2159">
        <f t="shared" si="105"/>
        <v>0</v>
      </c>
      <c r="BL161" s="369">
        <f t="shared" si="106"/>
        <v>0</v>
      </c>
      <c r="BM161" s="2159">
        <f t="shared" si="107"/>
        <v>0</v>
      </c>
      <c r="BN161" s="2159">
        <f t="shared" si="108"/>
        <v>0</v>
      </c>
      <c r="BO161" s="373">
        <f t="shared" si="109"/>
        <v>0</v>
      </c>
      <c r="BT161" s="2054"/>
    </row>
    <row r="162" spans="1:72" ht="45.75" customHeight="1">
      <c r="A162" s="2163"/>
      <c r="B162" s="2146"/>
      <c r="C162" s="2146"/>
      <c r="D162" s="2164"/>
      <c r="E162" s="1573"/>
      <c r="F162" s="2148"/>
      <c r="G162" s="2149" t="str">
        <f t="shared" si="70"/>
        <v/>
      </c>
      <c r="H162" s="2148"/>
      <c r="I162" s="2150"/>
      <c r="J162" s="2148"/>
      <c r="K162" s="2151">
        <f t="shared" si="71"/>
        <v>0</v>
      </c>
      <c r="L162" s="2148"/>
      <c r="M162" s="2150"/>
      <c r="N162" s="2152"/>
      <c r="O162" s="2148"/>
      <c r="P162" s="2151">
        <f t="shared" si="72"/>
        <v>0</v>
      </c>
      <c r="Q162" s="2148"/>
      <c r="R162" s="2150"/>
      <c r="S162" s="2152"/>
      <c r="T162" s="2153"/>
      <c r="U162" s="2154">
        <f t="shared" si="73"/>
        <v>0</v>
      </c>
      <c r="V162" s="2155"/>
      <c r="W162" s="2150"/>
      <c r="X162" s="2152"/>
      <c r="Y162" s="2153"/>
      <c r="Z162" s="1572">
        <f t="shared" si="74"/>
        <v>0</v>
      </c>
      <c r="AA162" s="2168">
        <f t="shared" si="87"/>
        <v>0</v>
      </c>
      <c r="AB162" s="2156" t="str">
        <f t="shared" si="75"/>
        <v/>
      </c>
      <c r="AD162" s="2158" t="str">
        <f t="shared" si="88"/>
        <v/>
      </c>
      <c r="AE162" s="2159">
        <f t="shared" si="89"/>
        <v>0</v>
      </c>
      <c r="AF162" s="2159">
        <f t="shared" si="90"/>
        <v>0</v>
      </c>
      <c r="AG162" s="2159">
        <f t="shared" si="91"/>
        <v>0</v>
      </c>
      <c r="AH162" s="2159">
        <f t="shared" si="92"/>
        <v>0</v>
      </c>
      <c r="AI162" s="2160">
        <f t="shared" si="76"/>
        <v>0</v>
      </c>
      <c r="AJ162" s="1966">
        <f t="shared" si="93"/>
        <v>1</v>
      </c>
      <c r="AK162" s="2159">
        <f t="shared" si="94"/>
        <v>0</v>
      </c>
      <c r="AL162" s="368" t="e">
        <f t="shared" si="95"/>
        <v>#DIV/0!</v>
      </c>
      <c r="AN162" s="369">
        <f t="shared" si="96"/>
        <v>0</v>
      </c>
      <c r="AO162" s="1966">
        <f t="shared" si="77"/>
        <v>0</v>
      </c>
      <c r="AP162" s="1966">
        <f t="shared" si="78"/>
        <v>0</v>
      </c>
      <c r="AQ162" s="1966">
        <f t="shared" si="79"/>
        <v>0</v>
      </c>
      <c r="AR162" s="370">
        <f t="shared" si="80"/>
        <v>0</v>
      </c>
      <c r="AT162" s="371">
        <f t="shared" si="81"/>
        <v>0</v>
      </c>
      <c r="AU162" s="1966">
        <f t="shared" si="82"/>
        <v>0</v>
      </c>
      <c r="AV162" s="2161">
        <f t="shared" si="83"/>
        <v>0</v>
      </c>
      <c r="AW162" s="2161">
        <f t="shared" si="84"/>
        <v>0</v>
      </c>
      <c r="AX162" s="1966">
        <f t="shared" si="85"/>
        <v>0</v>
      </c>
      <c r="AY162" s="372">
        <f t="shared" si="86"/>
        <v>0</v>
      </c>
      <c r="AZ162" s="265"/>
      <c r="BA162" s="371">
        <f t="shared" si="97"/>
        <v>0</v>
      </c>
      <c r="BB162" s="1966">
        <f t="shared" si="98"/>
        <v>0</v>
      </c>
      <c r="BC162" s="1966">
        <f t="shared" si="99"/>
        <v>0</v>
      </c>
      <c r="BD162" s="1966">
        <f t="shared" si="100"/>
        <v>0</v>
      </c>
      <c r="BE162" s="372">
        <f t="shared" si="101"/>
        <v>0</v>
      </c>
      <c r="BG162" s="2159">
        <f t="shared" si="102"/>
        <v>46023</v>
      </c>
      <c r="BH162" s="2159">
        <f t="shared" si="103"/>
        <v>46023</v>
      </c>
      <c r="BI162" s="2159">
        <f t="shared" si="104"/>
        <v>46023</v>
      </c>
      <c r="BJ162" s="2159">
        <f t="shared" si="105"/>
        <v>0</v>
      </c>
      <c r="BL162" s="369">
        <f t="shared" si="106"/>
        <v>0</v>
      </c>
      <c r="BM162" s="2159">
        <f t="shared" si="107"/>
        <v>0</v>
      </c>
      <c r="BN162" s="2159">
        <f t="shared" si="108"/>
        <v>0</v>
      </c>
      <c r="BO162" s="373">
        <f t="shared" si="109"/>
        <v>0</v>
      </c>
      <c r="BT162" s="2054"/>
    </row>
    <row r="163" spans="1:72" ht="45.75" customHeight="1">
      <c r="A163" s="2163"/>
      <c r="B163" s="2146"/>
      <c r="C163" s="2146"/>
      <c r="D163" s="2164"/>
      <c r="E163" s="1573"/>
      <c r="F163" s="2148"/>
      <c r="G163" s="2149" t="str">
        <f t="shared" si="70"/>
        <v/>
      </c>
      <c r="H163" s="2148"/>
      <c r="I163" s="2150"/>
      <c r="J163" s="2148"/>
      <c r="K163" s="2151">
        <f t="shared" si="71"/>
        <v>0</v>
      </c>
      <c r="L163" s="2148"/>
      <c r="M163" s="2150"/>
      <c r="N163" s="2152"/>
      <c r="O163" s="2148"/>
      <c r="P163" s="2151">
        <f t="shared" si="72"/>
        <v>0</v>
      </c>
      <c r="Q163" s="2148"/>
      <c r="R163" s="2150"/>
      <c r="S163" s="2152"/>
      <c r="T163" s="2153"/>
      <c r="U163" s="2154">
        <f t="shared" si="73"/>
        <v>0</v>
      </c>
      <c r="V163" s="2155"/>
      <c r="W163" s="2150"/>
      <c r="X163" s="2152"/>
      <c r="Y163" s="2153"/>
      <c r="Z163" s="1572">
        <f t="shared" si="74"/>
        <v>0</v>
      </c>
      <c r="AA163" s="2168">
        <f t="shared" si="87"/>
        <v>0</v>
      </c>
      <c r="AB163" s="2156" t="str">
        <f t="shared" si="75"/>
        <v/>
      </c>
      <c r="AD163" s="2158" t="str">
        <f t="shared" si="88"/>
        <v/>
      </c>
      <c r="AE163" s="2159">
        <f t="shared" si="89"/>
        <v>0</v>
      </c>
      <c r="AF163" s="2159">
        <f t="shared" si="90"/>
        <v>0</v>
      </c>
      <c r="AG163" s="2159">
        <f t="shared" si="91"/>
        <v>0</v>
      </c>
      <c r="AH163" s="2159">
        <f t="shared" si="92"/>
        <v>0</v>
      </c>
      <c r="AI163" s="2160">
        <f t="shared" si="76"/>
        <v>0</v>
      </c>
      <c r="AJ163" s="1966">
        <f t="shared" si="93"/>
        <v>1</v>
      </c>
      <c r="AK163" s="2159">
        <f t="shared" si="94"/>
        <v>0</v>
      </c>
      <c r="AL163" s="368" t="e">
        <f t="shared" si="95"/>
        <v>#DIV/0!</v>
      </c>
      <c r="AN163" s="369">
        <f t="shared" si="96"/>
        <v>0</v>
      </c>
      <c r="AO163" s="1966">
        <f t="shared" si="77"/>
        <v>0</v>
      </c>
      <c r="AP163" s="1966">
        <f t="shared" si="78"/>
        <v>0</v>
      </c>
      <c r="AQ163" s="1966">
        <f t="shared" si="79"/>
        <v>0</v>
      </c>
      <c r="AR163" s="370">
        <f t="shared" si="80"/>
        <v>0</v>
      </c>
      <c r="AT163" s="371">
        <f t="shared" si="81"/>
        <v>0</v>
      </c>
      <c r="AU163" s="1966">
        <f t="shared" si="82"/>
        <v>0</v>
      </c>
      <c r="AV163" s="2161">
        <f t="shared" si="83"/>
        <v>0</v>
      </c>
      <c r="AW163" s="2161">
        <f t="shared" si="84"/>
        <v>0</v>
      </c>
      <c r="AX163" s="1966">
        <f t="shared" si="85"/>
        <v>0</v>
      </c>
      <c r="AY163" s="372">
        <f t="shared" si="86"/>
        <v>0</v>
      </c>
      <c r="AZ163" s="265"/>
      <c r="BA163" s="371">
        <f t="shared" si="97"/>
        <v>0</v>
      </c>
      <c r="BB163" s="1966">
        <f t="shared" si="98"/>
        <v>0</v>
      </c>
      <c r="BC163" s="1966">
        <f t="shared" si="99"/>
        <v>0</v>
      </c>
      <c r="BD163" s="1966">
        <f t="shared" si="100"/>
        <v>0</v>
      </c>
      <c r="BE163" s="372">
        <f t="shared" si="101"/>
        <v>0</v>
      </c>
      <c r="BG163" s="2159">
        <f t="shared" si="102"/>
        <v>46023</v>
      </c>
      <c r="BH163" s="2159">
        <f t="shared" si="103"/>
        <v>46023</v>
      </c>
      <c r="BI163" s="2159">
        <f t="shared" si="104"/>
        <v>46023</v>
      </c>
      <c r="BJ163" s="2159">
        <f t="shared" si="105"/>
        <v>0</v>
      </c>
      <c r="BL163" s="369">
        <f t="shared" si="106"/>
        <v>0</v>
      </c>
      <c r="BM163" s="2159">
        <f t="shared" si="107"/>
        <v>0</v>
      </c>
      <c r="BN163" s="2159">
        <f t="shared" si="108"/>
        <v>0</v>
      </c>
      <c r="BO163" s="373">
        <f t="shared" si="109"/>
        <v>0</v>
      </c>
      <c r="BT163" s="2054"/>
    </row>
    <row r="164" spans="1:72" ht="45.75" customHeight="1">
      <c r="A164" s="2163"/>
      <c r="B164" s="2146"/>
      <c r="C164" s="2146"/>
      <c r="D164" s="2164"/>
      <c r="E164" s="1573"/>
      <c r="F164" s="2148"/>
      <c r="G164" s="2149" t="str">
        <f t="shared" si="70"/>
        <v/>
      </c>
      <c r="H164" s="2148"/>
      <c r="I164" s="2150"/>
      <c r="J164" s="2148"/>
      <c r="K164" s="2151">
        <f t="shared" si="71"/>
        <v>0</v>
      </c>
      <c r="L164" s="2148"/>
      <c r="M164" s="2150"/>
      <c r="N164" s="2152"/>
      <c r="O164" s="2148"/>
      <c r="P164" s="2151">
        <f t="shared" si="72"/>
        <v>0</v>
      </c>
      <c r="Q164" s="2148"/>
      <c r="R164" s="2150"/>
      <c r="S164" s="2152"/>
      <c r="T164" s="2153"/>
      <c r="U164" s="2154">
        <f t="shared" si="73"/>
        <v>0</v>
      </c>
      <c r="V164" s="2155"/>
      <c r="W164" s="2150"/>
      <c r="X164" s="2152"/>
      <c r="Y164" s="2153"/>
      <c r="Z164" s="1572">
        <f t="shared" si="74"/>
        <v>0</v>
      </c>
      <c r="AA164" s="2168">
        <f t="shared" si="87"/>
        <v>0</v>
      </c>
      <c r="AB164" s="2156" t="str">
        <f t="shared" si="75"/>
        <v/>
      </c>
      <c r="AD164" s="2158" t="str">
        <f t="shared" si="88"/>
        <v/>
      </c>
      <c r="AE164" s="2159">
        <f t="shared" si="89"/>
        <v>0</v>
      </c>
      <c r="AF164" s="2159">
        <f t="shared" si="90"/>
        <v>0</v>
      </c>
      <c r="AG164" s="2159">
        <f t="shared" si="91"/>
        <v>0</v>
      </c>
      <c r="AH164" s="2159">
        <f t="shared" si="92"/>
        <v>0</v>
      </c>
      <c r="AI164" s="2160">
        <f t="shared" si="76"/>
        <v>0</v>
      </c>
      <c r="AJ164" s="1966">
        <f t="shared" si="93"/>
        <v>1</v>
      </c>
      <c r="AK164" s="2159">
        <f t="shared" si="94"/>
        <v>0</v>
      </c>
      <c r="AL164" s="368" t="e">
        <f t="shared" si="95"/>
        <v>#DIV/0!</v>
      </c>
      <c r="AN164" s="369">
        <f t="shared" si="96"/>
        <v>0</v>
      </c>
      <c r="AO164" s="1966">
        <f t="shared" si="77"/>
        <v>0</v>
      </c>
      <c r="AP164" s="1966">
        <f t="shared" si="78"/>
        <v>0</v>
      </c>
      <c r="AQ164" s="1966">
        <f t="shared" si="79"/>
        <v>0</v>
      </c>
      <c r="AR164" s="370">
        <f t="shared" si="80"/>
        <v>0</v>
      </c>
      <c r="AT164" s="371">
        <f t="shared" si="81"/>
        <v>0</v>
      </c>
      <c r="AU164" s="1966">
        <f t="shared" si="82"/>
        <v>0</v>
      </c>
      <c r="AV164" s="2161">
        <f t="shared" si="83"/>
        <v>0</v>
      </c>
      <c r="AW164" s="2161">
        <f t="shared" si="84"/>
        <v>0</v>
      </c>
      <c r="AX164" s="1966">
        <f t="shared" si="85"/>
        <v>0</v>
      </c>
      <c r="AY164" s="372">
        <f t="shared" si="86"/>
        <v>0</v>
      </c>
      <c r="AZ164" s="265"/>
      <c r="BA164" s="371">
        <f t="shared" si="97"/>
        <v>0</v>
      </c>
      <c r="BB164" s="1966">
        <f t="shared" si="98"/>
        <v>0</v>
      </c>
      <c r="BC164" s="1966">
        <f t="shared" si="99"/>
        <v>0</v>
      </c>
      <c r="BD164" s="1966">
        <f t="shared" si="100"/>
        <v>0</v>
      </c>
      <c r="BE164" s="372">
        <f t="shared" si="101"/>
        <v>0</v>
      </c>
      <c r="BG164" s="2159">
        <f t="shared" si="102"/>
        <v>46023</v>
      </c>
      <c r="BH164" s="2159">
        <f t="shared" si="103"/>
        <v>46023</v>
      </c>
      <c r="BI164" s="2159">
        <f t="shared" si="104"/>
        <v>46023</v>
      </c>
      <c r="BJ164" s="2159">
        <f t="shared" si="105"/>
        <v>0</v>
      </c>
      <c r="BL164" s="369">
        <f t="shared" si="106"/>
        <v>0</v>
      </c>
      <c r="BM164" s="2159">
        <f t="shared" si="107"/>
        <v>0</v>
      </c>
      <c r="BN164" s="2159">
        <f t="shared" si="108"/>
        <v>0</v>
      </c>
      <c r="BO164" s="373">
        <f t="shared" si="109"/>
        <v>0</v>
      </c>
      <c r="BT164" s="2054"/>
    </row>
    <row r="165" spans="1:72" ht="45.75" customHeight="1">
      <c r="A165" s="2163"/>
      <c r="B165" s="2146"/>
      <c r="C165" s="2146"/>
      <c r="D165" s="2164"/>
      <c r="E165" s="1573"/>
      <c r="F165" s="2148"/>
      <c r="G165" s="2149" t="str">
        <f t="shared" si="70"/>
        <v/>
      </c>
      <c r="H165" s="2148"/>
      <c r="I165" s="2150"/>
      <c r="J165" s="2148"/>
      <c r="K165" s="2151">
        <f t="shared" si="71"/>
        <v>0</v>
      </c>
      <c r="L165" s="2148"/>
      <c r="M165" s="2150"/>
      <c r="N165" s="2152"/>
      <c r="O165" s="2148"/>
      <c r="P165" s="2151">
        <f t="shared" si="72"/>
        <v>0</v>
      </c>
      <c r="Q165" s="2148"/>
      <c r="R165" s="2150"/>
      <c r="S165" s="2152"/>
      <c r="T165" s="2153"/>
      <c r="U165" s="2154">
        <f t="shared" si="73"/>
        <v>0</v>
      </c>
      <c r="V165" s="2155"/>
      <c r="W165" s="2150"/>
      <c r="X165" s="2152"/>
      <c r="Y165" s="2153"/>
      <c r="Z165" s="1572">
        <f t="shared" si="74"/>
        <v>0</v>
      </c>
      <c r="AA165" s="2168">
        <f t="shared" si="87"/>
        <v>0</v>
      </c>
      <c r="AB165" s="2156" t="str">
        <f t="shared" si="75"/>
        <v/>
      </c>
      <c r="AD165" s="2158" t="str">
        <f t="shared" si="88"/>
        <v/>
      </c>
      <c r="AE165" s="2159">
        <f t="shared" si="89"/>
        <v>0</v>
      </c>
      <c r="AF165" s="2159">
        <f t="shared" si="90"/>
        <v>0</v>
      </c>
      <c r="AG165" s="2159">
        <f t="shared" si="91"/>
        <v>0</v>
      </c>
      <c r="AH165" s="2159">
        <f t="shared" si="92"/>
        <v>0</v>
      </c>
      <c r="AI165" s="2160">
        <f t="shared" si="76"/>
        <v>0</v>
      </c>
      <c r="AJ165" s="1966">
        <f t="shared" si="93"/>
        <v>1</v>
      </c>
      <c r="AK165" s="2159">
        <f t="shared" si="94"/>
        <v>0</v>
      </c>
      <c r="AL165" s="368" t="e">
        <f t="shared" si="95"/>
        <v>#DIV/0!</v>
      </c>
      <c r="AN165" s="369">
        <f t="shared" si="96"/>
        <v>0</v>
      </c>
      <c r="AO165" s="1966">
        <f t="shared" si="77"/>
        <v>0</v>
      </c>
      <c r="AP165" s="1966">
        <f t="shared" si="78"/>
        <v>0</v>
      </c>
      <c r="AQ165" s="1966">
        <f t="shared" si="79"/>
        <v>0</v>
      </c>
      <c r="AR165" s="370">
        <f t="shared" si="80"/>
        <v>0</v>
      </c>
      <c r="AT165" s="371">
        <f t="shared" si="81"/>
        <v>0</v>
      </c>
      <c r="AU165" s="1966">
        <f t="shared" si="82"/>
        <v>0</v>
      </c>
      <c r="AV165" s="2161">
        <f t="shared" si="83"/>
        <v>0</v>
      </c>
      <c r="AW165" s="2161">
        <f t="shared" si="84"/>
        <v>0</v>
      </c>
      <c r="AX165" s="1966">
        <f t="shared" si="85"/>
        <v>0</v>
      </c>
      <c r="AY165" s="372">
        <f t="shared" si="86"/>
        <v>0</v>
      </c>
      <c r="AZ165" s="265"/>
      <c r="BA165" s="371">
        <f t="shared" si="97"/>
        <v>0</v>
      </c>
      <c r="BB165" s="1966">
        <f t="shared" si="98"/>
        <v>0</v>
      </c>
      <c r="BC165" s="1966">
        <f t="shared" si="99"/>
        <v>0</v>
      </c>
      <c r="BD165" s="1966">
        <f t="shared" si="100"/>
        <v>0</v>
      </c>
      <c r="BE165" s="372">
        <f t="shared" si="101"/>
        <v>0</v>
      </c>
      <c r="BG165" s="2159">
        <f t="shared" si="102"/>
        <v>46023</v>
      </c>
      <c r="BH165" s="2159">
        <f t="shared" si="103"/>
        <v>46023</v>
      </c>
      <c r="BI165" s="2159">
        <f t="shared" si="104"/>
        <v>46023</v>
      </c>
      <c r="BJ165" s="2159">
        <f t="shared" si="105"/>
        <v>0</v>
      </c>
      <c r="BL165" s="369">
        <f t="shared" si="106"/>
        <v>0</v>
      </c>
      <c r="BM165" s="2159">
        <f t="shared" si="107"/>
        <v>0</v>
      </c>
      <c r="BN165" s="2159">
        <f t="shared" si="108"/>
        <v>0</v>
      </c>
      <c r="BO165" s="373">
        <f t="shared" si="109"/>
        <v>0</v>
      </c>
      <c r="BT165" s="2054"/>
    </row>
    <row r="166" spans="1:72" ht="45.75" customHeight="1">
      <c r="A166" s="2163"/>
      <c r="B166" s="2146"/>
      <c r="C166" s="2146"/>
      <c r="D166" s="2164"/>
      <c r="E166" s="1573"/>
      <c r="F166" s="2148"/>
      <c r="G166" s="2149" t="str">
        <f t="shared" si="70"/>
        <v/>
      </c>
      <c r="H166" s="2148"/>
      <c r="I166" s="2150"/>
      <c r="J166" s="2148"/>
      <c r="K166" s="2151">
        <f t="shared" si="71"/>
        <v>0</v>
      </c>
      <c r="L166" s="2148"/>
      <c r="M166" s="2150"/>
      <c r="N166" s="2152"/>
      <c r="O166" s="2148"/>
      <c r="P166" s="2151">
        <f t="shared" si="72"/>
        <v>0</v>
      </c>
      <c r="Q166" s="2148"/>
      <c r="R166" s="2150"/>
      <c r="S166" s="2152"/>
      <c r="T166" s="2153"/>
      <c r="U166" s="2154">
        <f t="shared" si="73"/>
        <v>0</v>
      </c>
      <c r="V166" s="2155"/>
      <c r="W166" s="2150"/>
      <c r="X166" s="2152"/>
      <c r="Y166" s="2153"/>
      <c r="Z166" s="1572">
        <f t="shared" si="74"/>
        <v>0</v>
      </c>
      <c r="AA166" s="2168">
        <f t="shared" si="87"/>
        <v>0</v>
      </c>
      <c r="AB166" s="2156" t="str">
        <f t="shared" si="75"/>
        <v/>
      </c>
      <c r="AD166" s="2158" t="str">
        <f t="shared" si="88"/>
        <v/>
      </c>
      <c r="AE166" s="2159">
        <f t="shared" si="89"/>
        <v>0</v>
      </c>
      <c r="AF166" s="2159">
        <f t="shared" si="90"/>
        <v>0</v>
      </c>
      <c r="AG166" s="2159">
        <f t="shared" si="91"/>
        <v>0</v>
      </c>
      <c r="AH166" s="2159">
        <f t="shared" si="92"/>
        <v>0</v>
      </c>
      <c r="AI166" s="2160">
        <f t="shared" si="76"/>
        <v>0</v>
      </c>
      <c r="AJ166" s="1966">
        <f t="shared" si="93"/>
        <v>1</v>
      </c>
      <c r="AK166" s="2159">
        <f t="shared" si="94"/>
        <v>0</v>
      </c>
      <c r="AL166" s="368" t="e">
        <f t="shared" si="95"/>
        <v>#DIV/0!</v>
      </c>
      <c r="AN166" s="369">
        <f t="shared" si="96"/>
        <v>0</v>
      </c>
      <c r="AO166" s="1966">
        <f t="shared" si="77"/>
        <v>0</v>
      </c>
      <c r="AP166" s="1966">
        <f t="shared" si="78"/>
        <v>0</v>
      </c>
      <c r="AQ166" s="1966">
        <f t="shared" si="79"/>
        <v>0</v>
      </c>
      <c r="AR166" s="370">
        <f t="shared" si="80"/>
        <v>0</v>
      </c>
      <c r="AT166" s="371">
        <f t="shared" si="81"/>
        <v>0</v>
      </c>
      <c r="AU166" s="1966">
        <f t="shared" si="82"/>
        <v>0</v>
      </c>
      <c r="AV166" s="2161">
        <f t="shared" si="83"/>
        <v>0</v>
      </c>
      <c r="AW166" s="2161">
        <f t="shared" si="84"/>
        <v>0</v>
      </c>
      <c r="AX166" s="1966">
        <f t="shared" si="85"/>
        <v>0</v>
      </c>
      <c r="AY166" s="372">
        <f t="shared" si="86"/>
        <v>0</v>
      </c>
      <c r="AZ166" s="265"/>
      <c r="BA166" s="371">
        <f t="shared" si="97"/>
        <v>0</v>
      </c>
      <c r="BB166" s="1966">
        <f t="shared" si="98"/>
        <v>0</v>
      </c>
      <c r="BC166" s="1966">
        <f t="shared" si="99"/>
        <v>0</v>
      </c>
      <c r="BD166" s="1966">
        <f t="shared" si="100"/>
        <v>0</v>
      </c>
      <c r="BE166" s="372">
        <f t="shared" si="101"/>
        <v>0</v>
      </c>
      <c r="BG166" s="2159">
        <f t="shared" si="102"/>
        <v>46023</v>
      </c>
      <c r="BH166" s="2159">
        <f t="shared" si="103"/>
        <v>46023</v>
      </c>
      <c r="BI166" s="2159">
        <f t="shared" si="104"/>
        <v>46023</v>
      </c>
      <c r="BJ166" s="2159">
        <f t="shared" si="105"/>
        <v>0</v>
      </c>
      <c r="BL166" s="369">
        <f t="shared" si="106"/>
        <v>0</v>
      </c>
      <c r="BM166" s="2159">
        <f t="shared" si="107"/>
        <v>0</v>
      </c>
      <c r="BN166" s="2159">
        <f t="shared" si="108"/>
        <v>0</v>
      </c>
      <c r="BO166" s="373">
        <f t="shared" si="109"/>
        <v>0</v>
      </c>
      <c r="BT166" s="2054"/>
    </row>
    <row r="167" spans="1:72" ht="45.75" customHeight="1">
      <c r="A167" s="2163"/>
      <c r="B167" s="2146"/>
      <c r="C167" s="2146"/>
      <c r="D167" s="2164"/>
      <c r="E167" s="1573"/>
      <c r="F167" s="2148"/>
      <c r="G167" s="2149" t="str">
        <f t="shared" si="70"/>
        <v/>
      </c>
      <c r="H167" s="2148"/>
      <c r="I167" s="2150"/>
      <c r="J167" s="2148"/>
      <c r="K167" s="2151">
        <f t="shared" si="71"/>
        <v>0</v>
      </c>
      <c r="L167" s="2148"/>
      <c r="M167" s="2150"/>
      <c r="N167" s="2152"/>
      <c r="O167" s="2148"/>
      <c r="P167" s="2151">
        <f t="shared" si="72"/>
        <v>0</v>
      </c>
      <c r="Q167" s="2148"/>
      <c r="R167" s="2150"/>
      <c r="S167" s="2152"/>
      <c r="T167" s="2153"/>
      <c r="U167" s="2154">
        <f t="shared" si="73"/>
        <v>0</v>
      </c>
      <c r="V167" s="2155"/>
      <c r="W167" s="2150"/>
      <c r="X167" s="2152"/>
      <c r="Y167" s="2153"/>
      <c r="Z167" s="1572">
        <f t="shared" si="74"/>
        <v>0</v>
      </c>
      <c r="AA167" s="2168">
        <f t="shared" si="87"/>
        <v>0</v>
      </c>
      <c r="AB167" s="2156" t="str">
        <f t="shared" si="75"/>
        <v/>
      </c>
      <c r="AD167" s="2158" t="str">
        <f t="shared" si="88"/>
        <v/>
      </c>
      <c r="AE167" s="2159">
        <f t="shared" si="89"/>
        <v>0</v>
      </c>
      <c r="AF167" s="2159">
        <f t="shared" si="90"/>
        <v>0</v>
      </c>
      <c r="AG167" s="2159">
        <f t="shared" si="91"/>
        <v>0</v>
      </c>
      <c r="AH167" s="2159">
        <f t="shared" si="92"/>
        <v>0</v>
      </c>
      <c r="AI167" s="2160">
        <f t="shared" si="76"/>
        <v>0</v>
      </c>
      <c r="AJ167" s="1966">
        <f t="shared" si="93"/>
        <v>1</v>
      </c>
      <c r="AK167" s="2159">
        <f t="shared" si="94"/>
        <v>0</v>
      </c>
      <c r="AL167" s="368" t="e">
        <f t="shared" si="95"/>
        <v>#DIV/0!</v>
      </c>
      <c r="AN167" s="369">
        <f t="shared" si="96"/>
        <v>0</v>
      </c>
      <c r="AO167" s="1966">
        <f t="shared" si="77"/>
        <v>0</v>
      </c>
      <c r="AP167" s="1966">
        <f t="shared" si="78"/>
        <v>0</v>
      </c>
      <c r="AQ167" s="1966">
        <f t="shared" si="79"/>
        <v>0</v>
      </c>
      <c r="AR167" s="370">
        <f t="shared" si="80"/>
        <v>0</v>
      </c>
      <c r="AT167" s="371">
        <f t="shared" si="81"/>
        <v>0</v>
      </c>
      <c r="AU167" s="1966">
        <f t="shared" si="82"/>
        <v>0</v>
      </c>
      <c r="AV167" s="2161">
        <f t="shared" si="83"/>
        <v>0</v>
      </c>
      <c r="AW167" s="2161">
        <f t="shared" si="84"/>
        <v>0</v>
      </c>
      <c r="AX167" s="1966">
        <f t="shared" si="85"/>
        <v>0</v>
      </c>
      <c r="AY167" s="372">
        <f t="shared" si="86"/>
        <v>0</v>
      </c>
      <c r="AZ167" s="265"/>
      <c r="BA167" s="371">
        <f t="shared" si="97"/>
        <v>0</v>
      </c>
      <c r="BB167" s="1966">
        <f t="shared" si="98"/>
        <v>0</v>
      </c>
      <c r="BC167" s="1966">
        <f t="shared" si="99"/>
        <v>0</v>
      </c>
      <c r="BD167" s="1966">
        <f t="shared" si="100"/>
        <v>0</v>
      </c>
      <c r="BE167" s="372">
        <f t="shared" si="101"/>
        <v>0</v>
      </c>
      <c r="BG167" s="2159">
        <f t="shared" si="102"/>
        <v>46023</v>
      </c>
      <c r="BH167" s="2159">
        <f t="shared" si="103"/>
        <v>46023</v>
      </c>
      <c r="BI167" s="2159">
        <f t="shared" si="104"/>
        <v>46023</v>
      </c>
      <c r="BJ167" s="2159">
        <f t="shared" si="105"/>
        <v>0</v>
      </c>
      <c r="BL167" s="369">
        <f t="shared" si="106"/>
        <v>0</v>
      </c>
      <c r="BM167" s="2159">
        <f t="shared" si="107"/>
        <v>0</v>
      </c>
      <c r="BN167" s="2159">
        <f t="shared" si="108"/>
        <v>0</v>
      </c>
      <c r="BO167" s="373">
        <f t="shared" si="109"/>
        <v>0</v>
      </c>
      <c r="BT167" s="2054"/>
    </row>
    <row r="168" spans="1:72" ht="45.75" customHeight="1">
      <c r="A168" s="2163"/>
      <c r="B168" s="2146"/>
      <c r="C168" s="2146"/>
      <c r="D168" s="2164"/>
      <c r="E168" s="1573"/>
      <c r="F168" s="2148"/>
      <c r="G168" s="2149" t="str">
        <f t="shared" si="70"/>
        <v/>
      </c>
      <c r="H168" s="2148"/>
      <c r="I168" s="2150"/>
      <c r="J168" s="2148"/>
      <c r="K168" s="2151">
        <f t="shared" si="71"/>
        <v>0</v>
      </c>
      <c r="L168" s="2148"/>
      <c r="M168" s="2150"/>
      <c r="N168" s="2152"/>
      <c r="O168" s="2148"/>
      <c r="P168" s="2151">
        <f t="shared" si="72"/>
        <v>0</v>
      </c>
      <c r="Q168" s="2148"/>
      <c r="R168" s="2150"/>
      <c r="S168" s="2152"/>
      <c r="T168" s="2153"/>
      <c r="U168" s="2154">
        <f t="shared" si="73"/>
        <v>0</v>
      </c>
      <c r="V168" s="2155"/>
      <c r="W168" s="2150"/>
      <c r="X168" s="2152"/>
      <c r="Y168" s="2153"/>
      <c r="Z168" s="1572">
        <f t="shared" si="74"/>
        <v>0</v>
      </c>
      <c r="AA168" s="2168">
        <f t="shared" si="87"/>
        <v>0</v>
      </c>
      <c r="AB168" s="2156" t="str">
        <f t="shared" si="75"/>
        <v/>
      </c>
      <c r="AD168" s="2158" t="str">
        <f t="shared" si="88"/>
        <v/>
      </c>
      <c r="AE168" s="2159">
        <f t="shared" si="89"/>
        <v>0</v>
      </c>
      <c r="AF168" s="2159">
        <f t="shared" si="90"/>
        <v>0</v>
      </c>
      <c r="AG168" s="2159">
        <f t="shared" si="91"/>
        <v>0</v>
      </c>
      <c r="AH168" s="2159">
        <f t="shared" si="92"/>
        <v>0</v>
      </c>
      <c r="AI168" s="2160">
        <f t="shared" si="76"/>
        <v>0</v>
      </c>
      <c r="AJ168" s="1966">
        <f t="shared" si="93"/>
        <v>1</v>
      </c>
      <c r="AK168" s="2159">
        <f t="shared" si="94"/>
        <v>0</v>
      </c>
      <c r="AL168" s="368" t="e">
        <f t="shared" si="95"/>
        <v>#DIV/0!</v>
      </c>
      <c r="AN168" s="369">
        <f t="shared" si="96"/>
        <v>0</v>
      </c>
      <c r="AO168" s="1966">
        <f t="shared" si="77"/>
        <v>0</v>
      </c>
      <c r="AP168" s="1966">
        <f t="shared" si="78"/>
        <v>0</v>
      </c>
      <c r="AQ168" s="1966">
        <f t="shared" si="79"/>
        <v>0</v>
      </c>
      <c r="AR168" s="370">
        <f t="shared" si="80"/>
        <v>0</v>
      </c>
      <c r="AT168" s="371">
        <f t="shared" si="81"/>
        <v>0</v>
      </c>
      <c r="AU168" s="1966">
        <f t="shared" si="82"/>
        <v>0</v>
      </c>
      <c r="AV168" s="2161">
        <f t="shared" si="83"/>
        <v>0</v>
      </c>
      <c r="AW168" s="2161">
        <f t="shared" si="84"/>
        <v>0</v>
      </c>
      <c r="AX168" s="1966">
        <f t="shared" si="85"/>
        <v>0</v>
      </c>
      <c r="AY168" s="372">
        <f t="shared" si="86"/>
        <v>0</v>
      </c>
      <c r="AZ168" s="265"/>
      <c r="BA168" s="371">
        <f t="shared" si="97"/>
        <v>0</v>
      </c>
      <c r="BB168" s="1966">
        <f t="shared" si="98"/>
        <v>0</v>
      </c>
      <c r="BC168" s="1966">
        <f t="shared" si="99"/>
        <v>0</v>
      </c>
      <c r="BD168" s="1966">
        <f t="shared" si="100"/>
        <v>0</v>
      </c>
      <c r="BE168" s="372">
        <f t="shared" si="101"/>
        <v>0</v>
      </c>
      <c r="BG168" s="2159">
        <f t="shared" si="102"/>
        <v>46023</v>
      </c>
      <c r="BH168" s="2159">
        <f t="shared" si="103"/>
        <v>46023</v>
      </c>
      <c r="BI168" s="2159">
        <f t="shared" si="104"/>
        <v>46023</v>
      </c>
      <c r="BJ168" s="2159">
        <f t="shared" si="105"/>
        <v>0</v>
      </c>
      <c r="BL168" s="369">
        <f t="shared" si="106"/>
        <v>0</v>
      </c>
      <c r="BM168" s="2159">
        <f t="shared" si="107"/>
        <v>0</v>
      </c>
      <c r="BN168" s="2159">
        <f t="shared" si="108"/>
        <v>0</v>
      </c>
      <c r="BO168" s="373">
        <f t="shared" si="109"/>
        <v>0</v>
      </c>
      <c r="BT168" s="2054"/>
    </row>
    <row r="169" spans="1:72" ht="45.75" customHeight="1">
      <c r="A169" s="2163"/>
      <c r="B169" s="2146"/>
      <c r="C169" s="2146"/>
      <c r="D169" s="2164"/>
      <c r="E169" s="1573"/>
      <c r="F169" s="2148"/>
      <c r="G169" s="2149" t="str">
        <f t="shared" si="70"/>
        <v/>
      </c>
      <c r="H169" s="2148"/>
      <c r="I169" s="2150"/>
      <c r="J169" s="2148"/>
      <c r="K169" s="2151">
        <f t="shared" si="71"/>
        <v>0</v>
      </c>
      <c r="L169" s="2148"/>
      <c r="M169" s="2150"/>
      <c r="N169" s="2152"/>
      <c r="O169" s="2148"/>
      <c r="P169" s="2151">
        <f t="shared" si="72"/>
        <v>0</v>
      </c>
      <c r="Q169" s="2148"/>
      <c r="R169" s="2150"/>
      <c r="S169" s="2152"/>
      <c r="T169" s="2153"/>
      <c r="U169" s="2154">
        <f t="shared" si="73"/>
        <v>0</v>
      </c>
      <c r="V169" s="2155"/>
      <c r="W169" s="2150"/>
      <c r="X169" s="2152"/>
      <c r="Y169" s="2153"/>
      <c r="Z169" s="1572">
        <f t="shared" si="74"/>
        <v>0</v>
      </c>
      <c r="AA169" s="2168">
        <f t="shared" si="87"/>
        <v>0</v>
      </c>
      <c r="AB169" s="2156" t="str">
        <f t="shared" si="75"/>
        <v/>
      </c>
      <c r="AD169" s="2158" t="str">
        <f t="shared" si="88"/>
        <v/>
      </c>
      <c r="AE169" s="2159">
        <f t="shared" si="89"/>
        <v>0</v>
      </c>
      <c r="AF169" s="2159">
        <f t="shared" si="90"/>
        <v>0</v>
      </c>
      <c r="AG169" s="2159">
        <f t="shared" si="91"/>
        <v>0</v>
      </c>
      <c r="AH169" s="2159">
        <f t="shared" si="92"/>
        <v>0</v>
      </c>
      <c r="AI169" s="2160">
        <f t="shared" si="76"/>
        <v>0</v>
      </c>
      <c r="AJ169" s="1966">
        <f t="shared" si="93"/>
        <v>1</v>
      </c>
      <c r="AK169" s="2159">
        <f t="shared" si="94"/>
        <v>0</v>
      </c>
      <c r="AL169" s="368" t="e">
        <f t="shared" si="95"/>
        <v>#DIV/0!</v>
      </c>
      <c r="AN169" s="369">
        <f t="shared" si="96"/>
        <v>0</v>
      </c>
      <c r="AO169" s="1966">
        <f t="shared" si="77"/>
        <v>0</v>
      </c>
      <c r="AP169" s="1966">
        <f t="shared" si="78"/>
        <v>0</v>
      </c>
      <c r="AQ169" s="1966">
        <f t="shared" si="79"/>
        <v>0</v>
      </c>
      <c r="AR169" s="370">
        <f t="shared" si="80"/>
        <v>0</v>
      </c>
      <c r="AT169" s="371">
        <f t="shared" si="81"/>
        <v>0</v>
      </c>
      <c r="AU169" s="1966">
        <f t="shared" si="82"/>
        <v>0</v>
      </c>
      <c r="AV169" s="2161">
        <f t="shared" si="83"/>
        <v>0</v>
      </c>
      <c r="AW169" s="2161">
        <f t="shared" si="84"/>
        <v>0</v>
      </c>
      <c r="AX169" s="1966">
        <f t="shared" si="85"/>
        <v>0</v>
      </c>
      <c r="AY169" s="372">
        <f t="shared" si="86"/>
        <v>0</v>
      </c>
      <c r="AZ169" s="265"/>
      <c r="BA169" s="371">
        <f t="shared" si="97"/>
        <v>0</v>
      </c>
      <c r="BB169" s="1966">
        <f t="shared" si="98"/>
        <v>0</v>
      </c>
      <c r="BC169" s="1966">
        <f t="shared" si="99"/>
        <v>0</v>
      </c>
      <c r="BD169" s="1966">
        <f t="shared" si="100"/>
        <v>0</v>
      </c>
      <c r="BE169" s="372">
        <f t="shared" si="101"/>
        <v>0</v>
      </c>
      <c r="BG169" s="2159">
        <f t="shared" si="102"/>
        <v>46023</v>
      </c>
      <c r="BH169" s="2159">
        <f t="shared" si="103"/>
        <v>46023</v>
      </c>
      <c r="BI169" s="2159">
        <f t="shared" si="104"/>
        <v>46023</v>
      </c>
      <c r="BJ169" s="2159">
        <f t="shared" si="105"/>
        <v>0</v>
      </c>
      <c r="BL169" s="369">
        <f t="shared" si="106"/>
        <v>0</v>
      </c>
      <c r="BM169" s="2159">
        <f t="shared" si="107"/>
        <v>0</v>
      </c>
      <c r="BN169" s="2159">
        <f t="shared" si="108"/>
        <v>0</v>
      </c>
      <c r="BO169" s="373">
        <f t="shared" si="109"/>
        <v>0</v>
      </c>
      <c r="BT169" s="2054"/>
    </row>
    <row r="170" spans="1:72" ht="45.75" customHeight="1">
      <c r="A170" s="2163"/>
      <c r="B170" s="2146"/>
      <c r="C170" s="2146"/>
      <c r="D170" s="2164"/>
      <c r="E170" s="1573"/>
      <c r="F170" s="2148"/>
      <c r="G170" s="2149" t="str">
        <f t="shared" si="70"/>
        <v/>
      </c>
      <c r="H170" s="2148"/>
      <c r="I170" s="2150"/>
      <c r="J170" s="2148"/>
      <c r="K170" s="2151">
        <f t="shared" si="71"/>
        <v>0</v>
      </c>
      <c r="L170" s="2148"/>
      <c r="M170" s="2150"/>
      <c r="N170" s="2152"/>
      <c r="O170" s="2148"/>
      <c r="P170" s="2151">
        <f t="shared" si="72"/>
        <v>0</v>
      </c>
      <c r="Q170" s="2148"/>
      <c r="R170" s="2150"/>
      <c r="S170" s="2152"/>
      <c r="T170" s="2153"/>
      <c r="U170" s="2154">
        <f t="shared" si="73"/>
        <v>0</v>
      </c>
      <c r="V170" s="2155"/>
      <c r="W170" s="2150"/>
      <c r="X170" s="2152"/>
      <c r="Y170" s="2153"/>
      <c r="Z170" s="1572">
        <f t="shared" si="74"/>
        <v>0</v>
      </c>
      <c r="AA170" s="2168">
        <f t="shared" si="87"/>
        <v>0</v>
      </c>
      <c r="AB170" s="2156" t="str">
        <f t="shared" si="75"/>
        <v/>
      </c>
      <c r="AD170" s="2158" t="str">
        <f t="shared" si="88"/>
        <v/>
      </c>
      <c r="AE170" s="2159">
        <f t="shared" si="89"/>
        <v>0</v>
      </c>
      <c r="AF170" s="2159">
        <f t="shared" si="90"/>
        <v>0</v>
      </c>
      <c r="AG170" s="2159">
        <f t="shared" si="91"/>
        <v>0</v>
      </c>
      <c r="AH170" s="2159">
        <f t="shared" si="92"/>
        <v>0</v>
      </c>
      <c r="AI170" s="2160">
        <f t="shared" si="76"/>
        <v>0</v>
      </c>
      <c r="AJ170" s="1966">
        <f t="shared" si="93"/>
        <v>1</v>
      </c>
      <c r="AK170" s="2159">
        <f t="shared" si="94"/>
        <v>0</v>
      </c>
      <c r="AL170" s="368" t="e">
        <f t="shared" si="95"/>
        <v>#DIV/0!</v>
      </c>
      <c r="AN170" s="369">
        <f t="shared" si="96"/>
        <v>0</v>
      </c>
      <c r="AO170" s="1966">
        <f t="shared" si="77"/>
        <v>0</v>
      </c>
      <c r="AP170" s="1966">
        <f t="shared" si="78"/>
        <v>0</v>
      </c>
      <c r="AQ170" s="1966">
        <f t="shared" si="79"/>
        <v>0</v>
      </c>
      <c r="AR170" s="370">
        <f t="shared" si="80"/>
        <v>0</v>
      </c>
      <c r="AT170" s="371">
        <f t="shared" si="81"/>
        <v>0</v>
      </c>
      <c r="AU170" s="1966">
        <f t="shared" si="82"/>
        <v>0</v>
      </c>
      <c r="AV170" s="2161">
        <f t="shared" si="83"/>
        <v>0</v>
      </c>
      <c r="AW170" s="2161">
        <f t="shared" si="84"/>
        <v>0</v>
      </c>
      <c r="AX170" s="1966">
        <f t="shared" si="85"/>
        <v>0</v>
      </c>
      <c r="AY170" s="372">
        <f t="shared" si="86"/>
        <v>0</v>
      </c>
      <c r="AZ170" s="265"/>
      <c r="BA170" s="371">
        <f t="shared" si="97"/>
        <v>0</v>
      </c>
      <c r="BB170" s="1966">
        <f t="shared" si="98"/>
        <v>0</v>
      </c>
      <c r="BC170" s="1966">
        <f t="shared" si="99"/>
        <v>0</v>
      </c>
      <c r="BD170" s="1966">
        <f t="shared" si="100"/>
        <v>0</v>
      </c>
      <c r="BE170" s="372">
        <f t="shared" si="101"/>
        <v>0</v>
      </c>
      <c r="BG170" s="2159">
        <f t="shared" si="102"/>
        <v>46023</v>
      </c>
      <c r="BH170" s="2159">
        <f t="shared" si="103"/>
        <v>46023</v>
      </c>
      <c r="BI170" s="2159">
        <f t="shared" si="104"/>
        <v>46023</v>
      </c>
      <c r="BJ170" s="2159">
        <f t="shared" si="105"/>
        <v>0</v>
      </c>
      <c r="BL170" s="369">
        <f t="shared" si="106"/>
        <v>0</v>
      </c>
      <c r="BM170" s="2159">
        <f t="shared" si="107"/>
        <v>0</v>
      </c>
      <c r="BN170" s="2159">
        <f t="shared" si="108"/>
        <v>0</v>
      </c>
      <c r="BO170" s="373">
        <f t="shared" si="109"/>
        <v>0</v>
      </c>
      <c r="BT170" s="2054"/>
    </row>
    <row r="171" spans="1:72" ht="45.75" customHeight="1">
      <c r="A171" s="2163"/>
      <c r="B171" s="2146"/>
      <c r="C171" s="2146"/>
      <c r="D171" s="2164"/>
      <c r="E171" s="1573"/>
      <c r="F171" s="2148"/>
      <c r="G171" s="2149" t="str">
        <f t="shared" si="70"/>
        <v/>
      </c>
      <c r="H171" s="2148"/>
      <c r="I171" s="2150"/>
      <c r="J171" s="2148"/>
      <c r="K171" s="2151">
        <f t="shared" si="71"/>
        <v>0</v>
      </c>
      <c r="L171" s="2148"/>
      <c r="M171" s="2150"/>
      <c r="N171" s="2152"/>
      <c r="O171" s="2148"/>
      <c r="P171" s="2151">
        <f t="shared" si="72"/>
        <v>0</v>
      </c>
      <c r="Q171" s="2148"/>
      <c r="R171" s="2150"/>
      <c r="S171" s="2152"/>
      <c r="T171" s="2153"/>
      <c r="U171" s="2154">
        <f t="shared" si="73"/>
        <v>0</v>
      </c>
      <c r="V171" s="2155"/>
      <c r="W171" s="2150"/>
      <c r="X171" s="2152"/>
      <c r="Y171" s="2153"/>
      <c r="Z171" s="1572">
        <f t="shared" si="74"/>
        <v>0</v>
      </c>
      <c r="AA171" s="2168">
        <f t="shared" si="87"/>
        <v>0</v>
      </c>
      <c r="AB171" s="2156" t="str">
        <f t="shared" si="75"/>
        <v/>
      </c>
      <c r="AD171" s="2158" t="str">
        <f t="shared" si="88"/>
        <v/>
      </c>
      <c r="AE171" s="2159">
        <f t="shared" si="89"/>
        <v>0</v>
      </c>
      <c r="AF171" s="2159">
        <f t="shared" si="90"/>
        <v>0</v>
      </c>
      <c r="AG171" s="2159">
        <f t="shared" si="91"/>
        <v>0</v>
      </c>
      <c r="AH171" s="2159">
        <f t="shared" si="92"/>
        <v>0</v>
      </c>
      <c r="AI171" s="2160">
        <f t="shared" si="76"/>
        <v>0</v>
      </c>
      <c r="AJ171" s="1966">
        <f t="shared" si="93"/>
        <v>1</v>
      </c>
      <c r="AK171" s="2159">
        <f t="shared" si="94"/>
        <v>0</v>
      </c>
      <c r="AL171" s="368" t="e">
        <f t="shared" si="95"/>
        <v>#DIV/0!</v>
      </c>
      <c r="AN171" s="369">
        <f t="shared" si="96"/>
        <v>0</v>
      </c>
      <c r="AO171" s="1966">
        <f t="shared" si="77"/>
        <v>0</v>
      </c>
      <c r="AP171" s="1966">
        <f t="shared" si="78"/>
        <v>0</v>
      </c>
      <c r="AQ171" s="1966">
        <f t="shared" si="79"/>
        <v>0</v>
      </c>
      <c r="AR171" s="370">
        <f t="shared" si="80"/>
        <v>0</v>
      </c>
      <c r="AT171" s="371">
        <f t="shared" si="81"/>
        <v>0</v>
      </c>
      <c r="AU171" s="1966">
        <f t="shared" si="82"/>
        <v>0</v>
      </c>
      <c r="AV171" s="2161">
        <f t="shared" si="83"/>
        <v>0</v>
      </c>
      <c r="AW171" s="2161">
        <f t="shared" si="84"/>
        <v>0</v>
      </c>
      <c r="AX171" s="1966">
        <f t="shared" si="85"/>
        <v>0</v>
      </c>
      <c r="AY171" s="372">
        <f t="shared" si="86"/>
        <v>0</v>
      </c>
      <c r="AZ171" s="265"/>
      <c r="BA171" s="371">
        <f t="shared" si="97"/>
        <v>0</v>
      </c>
      <c r="BB171" s="1966">
        <f t="shared" si="98"/>
        <v>0</v>
      </c>
      <c r="BC171" s="1966">
        <f t="shared" si="99"/>
        <v>0</v>
      </c>
      <c r="BD171" s="1966">
        <f t="shared" si="100"/>
        <v>0</v>
      </c>
      <c r="BE171" s="372">
        <f t="shared" si="101"/>
        <v>0</v>
      </c>
      <c r="BG171" s="2159">
        <f t="shared" si="102"/>
        <v>46023</v>
      </c>
      <c r="BH171" s="2159">
        <f t="shared" si="103"/>
        <v>46023</v>
      </c>
      <c r="BI171" s="2159">
        <f t="shared" si="104"/>
        <v>46023</v>
      </c>
      <c r="BJ171" s="2159">
        <f t="shared" si="105"/>
        <v>0</v>
      </c>
      <c r="BL171" s="369">
        <f t="shared" si="106"/>
        <v>0</v>
      </c>
      <c r="BM171" s="2159">
        <f t="shared" si="107"/>
        <v>0</v>
      </c>
      <c r="BN171" s="2159">
        <f t="shared" si="108"/>
        <v>0</v>
      </c>
      <c r="BO171" s="373">
        <f t="shared" si="109"/>
        <v>0</v>
      </c>
      <c r="BT171" s="2054"/>
    </row>
    <row r="172" spans="1:72" ht="45.75" customHeight="1">
      <c r="A172" s="2163"/>
      <c r="B172" s="2146"/>
      <c r="C172" s="2146"/>
      <c r="D172" s="2164"/>
      <c r="E172" s="1573"/>
      <c r="F172" s="2148"/>
      <c r="G172" s="2149" t="str">
        <f t="shared" si="70"/>
        <v/>
      </c>
      <c r="H172" s="2148"/>
      <c r="I172" s="2150"/>
      <c r="J172" s="2148"/>
      <c r="K172" s="2151">
        <f t="shared" si="71"/>
        <v>0</v>
      </c>
      <c r="L172" s="2148"/>
      <c r="M172" s="2150"/>
      <c r="N172" s="2152"/>
      <c r="O172" s="2148"/>
      <c r="P172" s="2151">
        <f t="shared" si="72"/>
        <v>0</v>
      </c>
      <c r="Q172" s="2148"/>
      <c r="R172" s="2150"/>
      <c r="S172" s="2152"/>
      <c r="T172" s="2153"/>
      <c r="U172" s="2154">
        <f t="shared" si="73"/>
        <v>0</v>
      </c>
      <c r="V172" s="2155"/>
      <c r="W172" s="2150"/>
      <c r="X172" s="2152"/>
      <c r="Y172" s="2153"/>
      <c r="Z172" s="1572">
        <f t="shared" si="74"/>
        <v>0</v>
      </c>
      <c r="AA172" s="2168">
        <f t="shared" si="87"/>
        <v>0</v>
      </c>
      <c r="AB172" s="2156" t="str">
        <f t="shared" si="75"/>
        <v/>
      </c>
      <c r="AD172" s="2158" t="str">
        <f t="shared" si="88"/>
        <v/>
      </c>
      <c r="AE172" s="2159">
        <f t="shared" si="89"/>
        <v>0</v>
      </c>
      <c r="AF172" s="2159">
        <f t="shared" si="90"/>
        <v>0</v>
      </c>
      <c r="AG172" s="2159">
        <f t="shared" si="91"/>
        <v>0</v>
      </c>
      <c r="AH172" s="2159">
        <f t="shared" si="92"/>
        <v>0</v>
      </c>
      <c r="AI172" s="2160">
        <f t="shared" si="76"/>
        <v>0</v>
      </c>
      <c r="AJ172" s="1966">
        <f t="shared" si="93"/>
        <v>1</v>
      </c>
      <c r="AK172" s="2159">
        <f t="shared" si="94"/>
        <v>0</v>
      </c>
      <c r="AL172" s="368" t="e">
        <f t="shared" si="95"/>
        <v>#DIV/0!</v>
      </c>
      <c r="AN172" s="369">
        <f t="shared" si="96"/>
        <v>0</v>
      </c>
      <c r="AO172" s="1966">
        <f t="shared" si="77"/>
        <v>0</v>
      </c>
      <c r="AP172" s="1966">
        <f t="shared" si="78"/>
        <v>0</v>
      </c>
      <c r="AQ172" s="1966">
        <f t="shared" si="79"/>
        <v>0</v>
      </c>
      <c r="AR172" s="370">
        <f t="shared" si="80"/>
        <v>0</v>
      </c>
      <c r="AT172" s="371">
        <f t="shared" si="81"/>
        <v>0</v>
      </c>
      <c r="AU172" s="1966">
        <f t="shared" si="82"/>
        <v>0</v>
      </c>
      <c r="AV172" s="2161">
        <f t="shared" si="83"/>
        <v>0</v>
      </c>
      <c r="AW172" s="2161">
        <f t="shared" si="84"/>
        <v>0</v>
      </c>
      <c r="AX172" s="1966">
        <f t="shared" si="85"/>
        <v>0</v>
      </c>
      <c r="AY172" s="372">
        <f t="shared" si="86"/>
        <v>0</v>
      </c>
      <c r="AZ172" s="265"/>
      <c r="BA172" s="371">
        <f t="shared" si="97"/>
        <v>0</v>
      </c>
      <c r="BB172" s="1966">
        <f t="shared" si="98"/>
        <v>0</v>
      </c>
      <c r="BC172" s="1966">
        <f t="shared" si="99"/>
        <v>0</v>
      </c>
      <c r="BD172" s="1966">
        <f t="shared" si="100"/>
        <v>0</v>
      </c>
      <c r="BE172" s="372">
        <f t="shared" si="101"/>
        <v>0</v>
      </c>
      <c r="BG172" s="2159">
        <f t="shared" si="102"/>
        <v>46023</v>
      </c>
      <c r="BH172" s="2159">
        <f t="shared" si="103"/>
        <v>46023</v>
      </c>
      <c r="BI172" s="2159">
        <f t="shared" si="104"/>
        <v>46023</v>
      </c>
      <c r="BJ172" s="2159">
        <f t="shared" si="105"/>
        <v>0</v>
      </c>
      <c r="BL172" s="369">
        <f t="shared" si="106"/>
        <v>0</v>
      </c>
      <c r="BM172" s="2159">
        <f t="shared" si="107"/>
        <v>0</v>
      </c>
      <c r="BN172" s="2159">
        <f t="shared" si="108"/>
        <v>0</v>
      </c>
      <c r="BO172" s="373">
        <f t="shared" si="109"/>
        <v>0</v>
      </c>
      <c r="BT172" s="2054"/>
    </row>
    <row r="173" spans="1:72" ht="45.75" customHeight="1">
      <c r="A173" s="2163"/>
      <c r="B173" s="2146"/>
      <c r="C173" s="2146"/>
      <c r="D173" s="2164"/>
      <c r="E173" s="1573"/>
      <c r="F173" s="2148"/>
      <c r="G173" s="2149" t="str">
        <f t="shared" si="70"/>
        <v/>
      </c>
      <c r="H173" s="2148"/>
      <c r="I173" s="2150"/>
      <c r="J173" s="2148"/>
      <c r="K173" s="2151">
        <f t="shared" si="71"/>
        <v>0</v>
      </c>
      <c r="L173" s="2148"/>
      <c r="M173" s="2150"/>
      <c r="N173" s="2152"/>
      <c r="O173" s="2148"/>
      <c r="P173" s="2151">
        <f t="shared" si="72"/>
        <v>0</v>
      </c>
      <c r="Q173" s="2148"/>
      <c r="R173" s="2150"/>
      <c r="S173" s="2152"/>
      <c r="T173" s="2153"/>
      <c r="U173" s="2154">
        <f t="shared" si="73"/>
        <v>0</v>
      </c>
      <c r="V173" s="2155"/>
      <c r="W173" s="2150"/>
      <c r="X173" s="2152"/>
      <c r="Y173" s="2153"/>
      <c r="Z173" s="1572">
        <f t="shared" si="74"/>
        <v>0</v>
      </c>
      <c r="AA173" s="2168">
        <f t="shared" si="87"/>
        <v>0</v>
      </c>
      <c r="AB173" s="2156" t="str">
        <f t="shared" si="75"/>
        <v/>
      </c>
      <c r="AD173" s="2158" t="str">
        <f t="shared" si="88"/>
        <v/>
      </c>
      <c r="AE173" s="2159">
        <f t="shared" si="89"/>
        <v>0</v>
      </c>
      <c r="AF173" s="2159">
        <f t="shared" si="90"/>
        <v>0</v>
      </c>
      <c r="AG173" s="2159">
        <f t="shared" si="91"/>
        <v>0</v>
      </c>
      <c r="AH173" s="2159">
        <f t="shared" si="92"/>
        <v>0</v>
      </c>
      <c r="AI173" s="2160">
        <f t="shared" si="76"/>
        <v>0</v>
      </c>
      <c r="AJ173" s="1966">
        <f t="shared" si="93"/>
        <v>1</v>
      </c>
      <c r="AK173" s="2159">
        <f t="shared" si="94"/>
        <v>0</v>
      </c>
      <c r="AL173" s="368" t="e">
        <f t="shared" si="95"/>
        <v>#DIV/0!</v>
      </c>
      <c r="AN173" s="369">
        <f t="shared" si="96"/>
        <v>0</v>
      </c>
      <c r="AO173" s="1966">
        <f t="shared" si="77"/>
        <v>0</v>
      </c>
      <c r="AP173" s="1966">
        <f t="shared" si="78"/>
        <v>0</v>
      </c>
      <c r="AQ173" s="1966">
        <f t="shared" si="79"/>
        <v>0</v>
      </c>
      <c r="AR173" s="370">
        <f t="shared" si="80"/>
        <v>0</v>
      </c>
      <c r="AT173" s="371">
        <f t="shared" si="81"/>
        <v>0</v>
      </c>
      <c r="AU173" s="1966">
        <f t="shared" si="82"/>
        <v>0</v>
      </c>
      <c r="AV173" s="2161">
        <f t="shared" si="83"/>
        <v>0</v>
      </c>
      <c r="AW173" s="2161">
        <f t="shared" si="84"/>
        <v>0</v>
      </c>
      <c r="AX173" s="1966">
        <f t="shared" si="85"/>
        <v>0</v>
      </c>
      <c r="AY173" s="372">
        <f t="shared" si="86"/>
        <v>0</v>
      </c>
      <c r="AZ173" s="265"/>
      <c r="BA173" s="371">
        <f t="shared" si="97"/>
        <v>0</v>
      </c>
      <c r="BB173" s="1966">
        <f t="shared" si="98"/>
        <v>0</v>
      </c>
      <c r="BC173" s="1966">
        <f t="shared" si="99"/>
        <v>0</v>
      </c>
      <c r="BD173" s="1966">
        <f t="shared" si="100"/>
        <v>0</v>
      </c>
      <c r="BE173" s="372">
        <f t="shared" si="101"/>
        <v>0</v>
      </c>
      <c r="BG173" s="2159">
        <f t="shared" si="102"/>
        <v>46023</v>
      </c>
      <c r="BH173" s="2159">
        <f t="shared" si="103"/>
        <v>46023</v>
      </c>
      <c r="BI173" s="2159">
        <f t="shared" si="104"/>
        <v>46023</v>
      </c>
      <c r="BJ173" s="2159">
        <f t="shared" si="105"/>
        <v>0</v>
      </c>
      <c r="BL173" s="369">
        <f t="shared" si="106"/>
        <v>0</v>
      </c>
      <c r="BM173" s="2159">
        <f t="shared" si="107"/>
        <v>0</v>
      </c>
      <c r="BN173" s="2159">
        <f t="shared" si="108"/>
        <v>0</v>
      </c>
      <c r="BO173" s="373">
        <f t="shared" si="109"/>
        <v>0</v>
      </c>
      <c r="BT173" s="2054"/>
    </row>
    <row r="174" spans="1:72" ht="45.75" customHeight="1">
      <c r="A174" s="2163"/>
      <c r="B174" s="2146"/>
      <c r="C174" s="2146"/>
      <c r="D174" s="2164"/>
      <c r="E174" s="1573"/>
      <c r="F174" s="2148"/>
      <c r="G174" s="2149" t="str">
        <f t="shared" si="70"/>
        <v/>
      </c>
      <c r="H174" s="2148"/>
      <c r="I174" s="2150"/>
      <c r="J174" s="2148"/>
      <c r="K174" s="2151">
        <f t="shared" si="71"/>
        <v>0</v>
      </c>
      <c r="L174" s="2148"/>
      <c r="M174" s="2150"/>
      <c r="N174" s="2152"/>
      <c r="O174" s="2148"/>
      <c r="P174" s="2151">
        <f t="shared" si="72"/>
        <v>0</v>
      </c>
      <c r="Q174" s="2148"/>
      <c r="R174" s="2150"/>
      <c r="S174" s="2152"/>
      <c r="T174" s="2153"/>
      <c r="U174" s="2154">
        <f t="shared" si="73"/>
        <v>0</v>
      </c>
      <c r="V174" s="2155"/>
      <c r="W174" s="2150"/>
      <c r="X174" s="2152"/>
      <c r="Y174" s="2153"/>
      <c r="Z174" s="1572">
        <f t="shared" si="74"/>
        <v>0</v>
      </c>
      <c r="AA174" s="2168">
        <f t="shared" si="87"/>
        <v>0</v>
      </c>
      <c r="AB174" s="2156" t="str">
        <f t="shared" si="75"/>
        <v/>
      </c>
      <c r="AD174" s="2158" t="str">
        <f t="shared" si="88"/>
        <v/>
      </c>
      <c r="AE174" s="2159">
        <f t="shared" si="89"/>
        <v>0</v>
      </c>
      <c r="AF174" s="2159">
        <f t="shared" si="90"/>
        <v>0</v>
      </c>
      <c r="AG174" s="2159">
        <f t="shared" si="91"/>
        <v>0</v>
      </c>
      <c r="AH174" s="2159">
        <f t="shared" si="92"/>
        <v>0</v>
      </c>
      <c r="AI174" s="2160">
        <f t="shared" si="76"/>
        <v>0</v>
      </c>
      <c r="AJ174" s="1966">
        <f t="shared" si="93"/>
        <v>1</v>
      </c>
      <c r="AK174" s="2159">
        <f t="shared" si="94"/>
        <v>0</v>
      </c>
      <c r="AL174" s="368" t="e">
        <f t="shared" si="95"/>
        <v>#DIV/0!</v>
      </c>
      <c r="AN174" s="369">
        <f t="shared" si="96"/>
        <v>0</v>
      </c>
      <c r="AO174" s="1966">
        <f t="shared" si="77"/>
        <v>0</v>
      </c>
      <c r="AP174" s="1966">
        <f t="shared" si="78"/>
        <v>0</v>
      </c>
      <c r="AQ174" s="1966">
        <f t="shared" si="79"/>
        <v>0</v>
      </c>
      <c r="AR174" s="370">
        <f t="shared" si="80"/>
        <v>0</v>
      </c>
      <c r="AT174" s="371">
        <f t="shared" si="81"/>
        <v>0</v>
      </c>
      <c r="AU174" s="1966">
        <f t="shared" si="82"/>
        <v>0</v>
      </c>
      <c r="AV174" s="2161">
        <f t="shared" si="83"/>
        <v>0</v>
      </c>
      <c r="AW174" s="2161">
        <f t="shared" si="84"/>
        <v>0</v>
      </c>
      <c r="AX174" s="1966">
        <f t="shared" si="85"/>
        <v>0</v>
      </c>
      <c r="AY174" s="372">
        <f t="shared" si="86"/>
        <v>0</v>
      </c>
      <c r="AZ174" s="265"/>
      <c r="BA174" s="371">
        <f t="shared" si="97"/>
        <v>0</v>
      </c>
      <c r="BB174" s="1966">
        <f t="shared" si="98"/>
        <v>0</v>
      </c>
      <c r="BC174" s="1966">
        <f t="shared" si="99"/>
        <v>0</v>
      </c>
      <c r="BD174" s="1966">
        <f t="shared" si="100"/>
        <v>0</v>
      </c>
      <c r="BE174" s="372">
        <f t="shared" si="101"/>
        <v>0</v>
      </c>
      <c r="BG174" s="2159">
        <f t="shared" si="102"/>
        <v>46023</v>
      </c>
      <c r="BH174" s="2159">
        <f t="shared" si="103"/>
        <v>46023</v>
      </c>
      <c r="BI174" s="2159">
        <f t="shared" si="104"/>
        <v>46023</v>
      </c>
      <c r="BJ174" s="2159">
        <f t="shared" si="105"/>
        <v>0</v>
      </c>
      <c r="BL174" s="369">
        <f t="shared" si="106"/>
        <v>0</v>
      </c>
      <c r="BM174" s="2159">
        <f t="shared" si="107"/>
        <v>0</v>
      </c>
      <c r="BN174" s="2159">
        <f t="shared" si="108"/>
        <v>0</v>
      </c>
      <c r="BO174" s="373">
        <f t="shared" si="109"/>
        <v>0</v>
      </c>
      <c r="BT174" s="2054"/>
    </row>
    <row r="175" spans="1:72" ht="45.75" customHeight="1">
      <c r="A175" s="2163"/>
      <c r="B175" s="2146"/>
      <c r="C175" s="2146"/>
      <c r="D175" s="2164"/>
      <c r="E175" s="1573"/>
      <c r="F175" s="2148"/>
      <c r="G175" s="2149" t="str">
        <f t="shared" si="70"/>
        <v/>
      </c>
      <c r="H175" s="2148"/>
      <c r="I175" s="2150"/>
      <c r="J175" s="2148"/>
      <c r="K175" s="2151">
        <f t="shared" si="71"/>
        <v>0</v>
      </c>
      <c r="L175" s="2148"/>
      <c r="M175" s="2150"/>
      <c r="N175" s="2152"/>
      <c r="O175" s="2148"/>
      <c r="P175" s="2151">
        <f t="shared" si="72"/>
        <v>0</v>
      </c>
      <c r="Q175" s="2148"/>
      <c r="R175" s="2150"/>
      <c r="S175" s="2152"/>
      <c r="T175" s="2153"/>
      <c r="U175" s="2154">
        <f t="shared" si="73"/>
        <v>0</v>
      </c>
      <c r="V175" s="2155"/>
      <c r="W175" s="2150"/>
      <c r="X175" s="2152"/>
      <c r="Y175" s="2153"/>
      <c r="Z175" s="1572">
        <f t="shared" si="74"/>
        <v>0</v>
      </c>
      <c r="AA175" s="2168">
        <f t="shared" si="87"/>
        <v>0</v>
      </c>
      <c r="AB175" s="2156" t="str">
        <f t="shared" si="75"/>
        <v/>
      </c>
      <c r="AD175" s="2158" t="str">
        <f t="shared" si="88"/>
        <v/>
      </c>
      <c r="AE175" s="2159">
        <f t="shared" si="89"/>
        <v>0</v>
      </c>
      <c r="AF175" s="2159">
        <f t="shared" si="90"/>
        <v>0</v>
      </c>
      <c r="AG175" s="2159">
        <f t="shared" si="91"/>
        <v>0</v>
      </c>
      <c r="AH175" s="2159">
        <f t="shared" si="92"/>
        <v>0</v>
      </c>
      <c r="AI175" s="2160">
        <f t="shared" si="76"/>
        <v>0</v>
      </c>
      <c r="AJ175" s="1966">
        <f t="shared" si="93"/>
        <v>1</v>
      </c>
      <c r="AK175" s="2159">
        <f t="shared" si="94"/>
        <v>0</v>
      </c>
      <c r="AL175" s="368" t="e">
        <f t="shared" si="95"/>
        <v>#DIV/0!</v>
      </c>
      <c r="AN175" s="369">
        <f t="shared" si="96"/>
        <v>0</v>
      </c>
      <c r="AO175" s="1966">
        <f t="shared" si="77"/>
        <v>0</v>
      </c>
      <c r="AP175" s="1966">
        <f t="shared" si="78"/>
        <v>0</v>
      </c>
      <c r="AQ175" s="1966">
        <f t="shared" si="79"/>
        <v>0</v>
      </c>
      <c r="AR175" s="370">
        <f t="shared" si="80"/>
        <v>0</v>
      </c>
      <c r="AT175" s="371">
        <f t="shared" si="81"/>
        <v>0</v>
      </c>
      <c r="AU175" s="1966">
        <f t="shared" si="82"/>
        <v>0</v>
      </c>
      <c r="AV175" s="2161">
        <f t="shared" si="83"/>
        <v>0</v>
      </c>
      <c r="AW175" s="2161">
        <f t="shared" si="84"/>
        <v>0</v>
      </c>
      <c r="AX175" s="1966">
        <f t="shared" si="85"/>
        <v>0</v>
      </c>
      <c r="AY175" s="372">
        <f t="shared" si="86"/>
        <v>0</v>
      </c>
      <c r="AZ175" s="265"/>
      <c r="BA175" s="371">
        <f t="shared" si="97"/>
        <v>0</v>
      </c>
      <c r="BB175" s="1966">
        <f t="shared" si="98"/>
        <v>0</v>
      </c>
      <c r="BC175" s="1966">
        <f t="shared" si="99"/>
        <v>0</v>
      </c>
      <c r="BD175" s="1966">
        <f t="shared" si="100"/>
        <v>0</v>
      </c>
      <c r="BE175" s="372">
        <f t="shared" si="101"/>
        <v>0</v>
      </c>
      <c r="BG175" s="2159">
        <f t="shared" si="102"/>
        <v>46023</v>
      </c>
      <c r="BH175" s="2159">
        <f t="shared" si="103"/>
        <v>46023</v>
      </c>
      <c r="BI175" s="2159">
        <f t="shared" si="104"/>
        <v>46023</v>
      </c>
      <c r="BJ175" s="2159">
        <f t="shared" si="105"/>
        <v>0</v>
      </c>
      <c r="BL175" s="369">
        <f t="shared" si="106"/>
        <v>0</v>
      </c>
      <c r="BM175" s="2159">
        <f t="shared" si="107"/>
        <v>0</v>
      </c>
      <c r="BN175" s="2159">
        <f t="shared" si="108"/>
        <v>0</v>
      </c>
      <c r="BO175" s="373">
        <f t="shared" si="109"/>
        <v>0</v>
      </c>
      <c r="BT175" s="2054"/>
    </row>
    <row r="176" spans="1:72" ht="45.75" customHeight="1">
      <c r="A176" s="2163"/>
      <c r="B176" s="2146"/>
      <c r="C176" s="2146"/>
      <c r="D176" s="2164"/>
      <c r="E176" s="1573"/>
      <c r="F176" s="2148"/>
      <c r="G176" s="2149" t="str">
        <f t="shared" si="70"/>
        <v/>
      </c>
      <c r="H176" s="2148"/>
      <c r="I176" s="2150"/>
      <c r="J176" s="2148"/>
      <c r="K176" s="2151">
        <f t="shared" si="71"/>
        <v>0</v>
      </c>
      <c r="L176" s="2148"/>
      <c r="M176" s="2150"/>
      <c r="N176" s="2152"/>
      <c r="O176" s="2148"/>
      <c r="P176" s="2151">
        <f t="shared" si="72"/>
        <v>0</v>
      </c>
      <c r="Q176" s="2148"/>
      <c r="R176" s="2150"/>
      <c r="S176" s="2152"/>
      <c r="T176" s="2153"/>
      <c r="U176" s="2154">
        <f t="shared" si="73"/>
        <v>0</v>
      </c>
      <c r="V176" s="2155"/>
      <c r="W176" s="2150"/>
      <c r="X176" s="2152"/>
      <c r="Y176" s="2153"/>
      <c r="Z176" s="1572">
        <f t="shared" si="74"/>
        <v>0</v>
      </c>
      <c r="AA176" s="2168">
        <f t="shared" si="87"/>
        <v>0</v>
      </c>
      <c r="AB176" s="2156" t="str">
        <f t="shared" si="75"/>
        <v/>
      </c>
      <c r="AD176" s="2158" t="str">
        <f t="shared" si="88"/>
        <v/>
      </c>
      <c r="AE176" s="2159">
        <f t="shared" si="89"/>
        <v>0</v>
      </c>
      <c r="AF176" s="2159">
        <f t="shared" si="90"/>
        <v>0</v>
      </c>
      <c r="AG176" s="2159">
        <f t="shared" si="91"/>
        <v>0</v>
      </c>
      <c r="AH176" s="2159">
        <f t="shared" si="92"/>
        <v>0</v>
      </c>
      <c r="AI176" s="2160">
        <f t="shared" si="76"/>
        <v>0</v>
      </c>
      <c r="AJ176" s="1966">
        <f t="shared" si="93"/>
        <v>1</v>
      </c>
      <c r="AK176" s="2159">
        <f t="shared" si="94"/>
        <v>0</v>
      </c>
      <c r="AL176" s="368" t="e">
        <f t="shared" si="95"/>
        <v>#DIV/0!</v>
      </c>
      <c r="AN176" s="369">
        <f t="shared" si="96"/>
        <v>0</v>
      </c>
      <c r="AO176" s="1966">
        <f t="shared" si="77"/>
        <v>0</v>
      </c>
      <c r="AP176" s="1966">
        <f t="shared" si="78"/>
        <v>0</v>
      </c>
      <c r="AQ176" s="1966">
        <f t="shared" si="79"/>
        <v>0</v>
      </c>
      <c r="AR176" s="370">
        <f t="shared" si="80"/>
        <v>0</v>
      </c>
      <c r="AT176" s="371">
        <f t="shared" si="81"/>
        <v>0</v>
      </c>
      <c r="AU176" s="1966">
        <f t="shared" si="82"/>
        <v>0</v>
      </c>
      <c r="AV176" s="2161">
        <f t="shared" si="83"/>
        <v>0</v>
      </c>
      <c r="AW176" s="2161">
        <f t="shared" si="84"/>
        <v>0</v>
      </c>
      <c r="AX176" s="1966">
        <f t="shared" si="85"/>
        <v>0</v>
      </c>
      <c r="AY176" s="372">
        <f t="shared" si="86"/>
        <v>0</v>
      </c>
      <c r="AZ176" s="265"/>
      <c r="BA176" s="371">
        <f t="shared" si="97"/>
        <v>0</v>
      </c>
      <c r="BB176" s="1966">
        <f t="shared" si="98"/>
        <v>0</v>
      </c>
      <c r="BC176" s="1966">
        <f t="shared" si="99"/>
        <v>0</v>
      </c>
      <c r="BD176" s="1966">
        <f t="shared" si="100"/>
        <v>0</v>
      </c>
      <c r="BE176" s="372">
        <f t="shared" si="101"/>
        <v>0</v>
      </c>
      <c r="BG176" s="2159">
        <f t="shared" si="102"/>
        <v>46023</v>
      </c>
      <c r="BH176" s="2159">
        <f t="shared" si="103"/>
        <v>46023</v>
      </c>
      <c r="BI176" s="2159">
        <f t="shared" si="104"/>
        <v>46023</v>
      </c>
      <c r="BJ176" s="2159">
        <f t="shared" si="105"/>
        <v>0</v>
      </c>
      <c r="BL176" s="369">
        <f t="shared" si="106"/>
        <v>0</v>
      </c>
      <c r="BM176" s="2159">
        <f t="shared" si="107"/>
        <v>0</v>
      </c>
      <c r="BN176" s="2159">
        <f t="shared" si="108"/>
        <v>0</v>
      </c>
      <c r="BO176" s="373">
        <f t="shared" si="109"/>
        <v>0</v>
      </c>
      <c r="BT176" s="2054"/>
    </row>
    <row r="177" spans="1:72" ht="45.75" customHeight="1">
      <c r="A177" s="2163"/>
      <c r="B177" s="2146"/>
      <c r="C177" s="2146"/>
      <c r="D177" s="2164"/>
      <c r="E177" s="1573"/>
      <c r="F177" s="2148"/>
      <c r="G177" s="2149" t="str">
        <f t="shared" si="70"/>
        <v/>
      </c>
      <c r="H177" s="2148"/>
      <c r="I177" s="2150"/>
      <c r="J177" s="2148"/>
      <c r="K177" s="2151">
        <f t="shared" si="71"/>
        <v>0</v>
      </c>
      <c r="L177" s="2148"/>
      <c r="M177" s="2150"/>
      <c r="N177" s="2152"/>
      <c r="O177" s="2148"/>
      <c r="P177" s="2151">
        <f t="shared" si="72"/>
        <v>0</v>
      </c>
      <c r="Q177" s="2148"/>
      <c r="R177" s="2150"/>
      <c r="S177" s="2152"/>
      <c r="T177" s="2153"/>
      <c r="U177" s="2154">
        <f t="shared" si="73"/>
        <v>0</v>
      </c>
      <c r="V177" s="2155"/>
      <c r="W177" s="2150"/>
      <c r="X177" s="2152"/>
      <c r="Y177" s="2153"/>
      <c r="Z177" s="1572">
        <f t="shared" si="74"/>
        <v>0</v>
      </c>
      <c r="AA177" s="2168">
        <f t="shared" si="87"/>
        <v>0</v>
      </c>
      <c r="AB177" s="2156" t="str">
        <f t="shared" si="75"/>
        <v/>
      </c>
      <c r="AD177" s="2158" t="str">
        <f t="shared" si="88"/>
        <v/>
      </c>
      <c r="AE177" s="2159">
        <f t="shared" si="89"/>
        <v>0</v>
      </c>
      <c r="AF177" s="2159">
        <f t="shared" si="90"/>
        <v>0</v>
      </c>
      <c r="AG177" s="2159">
        <f t="shared" si="91"/>
        <v>0</v>
      </c>
      <c r="AH177" s="2159">
        <f t="shared" si="92"/>
        <v>0</v>
      </c>
      <c r="AI177" s="2160">
        <f t="shared" si="76"/>
        <v>0</v>
      </c>
      <c r="AJ177" s="1966">
        <f t="shared" si="93"/>
        <v>1</v>
      </c>
      <c r="AK177" s="2159">
        <f t="shared" si="94"/>
        <v>0</v>
      </c>
      <c r="AL177" s="368" t="e">
        <f t="shared" si="95"/>
        <v>#DIV/0!</v>
      </c>
      <c r="AN177" s="369">
        <f t="shared" si="96"/>
        <v>0</v>
      </c>
      <c r="AO177" s="1966">
        <f t="shared" si="77"/>
        <v>0</v>
      </c>
      <c r="AP177" s="1966">
        <f t="shared" si="78"/>
        <v>0</v>
      </c>
      <c r="AQ177" s="1966">
        <f t="shared" si="79"/>
        <v>0</v>
      </c>
      <c r="AR177" s="370">
        <f t="shared" si="80"/>
        <v>0</v>
      </c>
      <c r="AT177" s="371">
        <f t="shared" si="81"/>
        <v>0</v>
      </c>
      <c r="AU177" s="1966">
        <f t="shared" si="82"/>
        <v>0</v>
      </c>
      <c r="AV177" s="2161">
        <f t="shared" si="83"/>
        <v>0</v>
      </c>
      <c r="AW177" s="2161">
        <f t="shared" si="84"/>
        <v>0</v>
      </c>
      <c r="AX177" s="1966">
        <f t="shared" si="85"/>
        <v>0</v>
      </c>
      <c r="AY177" s="372">
        <f t="shared" si="86"/>
        <v>0</v>
      </c>
      <c r="AZ177" s="265"/>
      <c r="BA177" s="371">
        <f t="shared" si="97"/>
        <v>0</v>
      </c>
      <c r="BB177" s="1966">
        <f t="shared" si="98"/>
        <v>0</v>
      </c>
      <c r="BC177" s="1966">
        <f t="shared" si="99"/>
        <v>0</v>
      </c>
      <c r="BD177" s="1966">
        <f t="shared" si="100"/>
        <v>0</v>
      </c>
      <c r="BE177" s="372">
        <f t="shared" si="101"/>
        <v>0</v>
      </c>
      <c r="BG177" s="2159">
        <f t="shared" si="102"/>
        <v>46023</v>
      </c>
      <c r="BH177" s="2159">
        <f t="shared" si="103"/>
        <v>46023</v>
      </c>
      <c r="BI177" s="2159">
        <f t="shared" si="104"/>
        <v>46023</v>
      </c>
      <c r="BJ177" s="2159">
        <f t="shared" si="105"/>
        <v>0</v>
      </c>
      <c r="BL177" s="369">
        <f t="shared" si="106"/>
        <v>0</v>
      </c>
      <c r="BM177" s="2159">
        <f t="shared" si="107"/>
        <v>0</v>
      </c>
      <c r="BN177" s="2159">
        <f t="shared" si="108"/>
        <v>0</v>
      </c>
      <c r="BO177" s="373">
        <f t="shared" si="109"/>
        <v>0</v>
      </c>
      <c r="BT177" s="2054"/>
    </row>
    <row r="178" spans="1:72" ht="45.75" customHeight="1">
      <c r="A178" s="2163"/>
      <c r="B178" s="2146"/>
      <c r="C178" s="2146"/>
      <c r="D178" s="2164"/>
      <c r="E178" s="1573"/>
      <c r="F178" s="2148"/>
      <c r="G178" s="2149" t="str">
        <f t="shared" si="70"/>
        <v/>
      </c>
      <c r="H178" s="2148"/>
      <c r="I178" s="2150"/>
      <c r="J178" s="2148"/>
      <c r="K178" s="2151">
        <f t="shared" si="71"/>
        <v>0</v>
      </c>
      <c r="L178" s="2148"/>
      <c r="M178" s="2150"/>
      <c r="N178" s="2152"/>
      <c r="O178" s="2148"/>
      <c r="P178" s="2151">
        <f t="shared" si="72"/>
        <v>0</v>
      </c>
      <c r="Q178" s="2148"/>
      <c r="R178" s="2150"/>
      <c r="S178" s="2152"/>
      <c r="T178" s="2153"/>
      <c r="U178" s="2154">
        <f t="shared" si="73"/>
        <v>0</v>
      </c>
      <c r="V178" s="2155"/>
      <c r="W178" s="2150"/>
      <c r="X178" s="2152"/>
      <c r="Y178" s="2153"/>
      <c r="Z178" s="1572">
        <f t="shared" si="74"/>
        <v>0</v>
      </c>
      <c r="AA178" s="2168">
        <f t="shared" si="87"/>
        <v>0</v>
      </c>
      <c r="AB178" s="2156" t="str">
        <f t="shared" si="75"/>
        <v/>
      </c>
      <c r="AD178" s="2158" t="str">
        <f t="shared" si="88"/>
        <v/>
      </c>
      <c r="AE178" s="2159">
        <f t="shared" si="89"/>
        <v>0</v>
      </c>
      <c r="AF178" s="2159">
        <f t="shared" si="90"/>
        <v>0</v>
      </c>
      <c r="AG178" s="2159">
        <f t="shared" si="91"/>
        <v>0</v>
      </c>
      <c r="AH178" s="2159">
        <f t="shared" si="92"/>
        <v>0</v>
      </c>
      <c r="AI178" s="2160">
        <f t="shared" si="76"/>
        <v>0</v>
      </c>
      <c r="AJ178" s="1966">
        <f t="shared" si="93"/>
        <v>1</v>
      </c>
      <c r="AK178" s="2159">
        <f t="shared" si="94"/>
        <v>0</v>
      </c>
      <c r="AL178" s="368" t="e">
        <f t="shared" si="95"/>
        <v>#DIV/0!</v>
      </c>
      <c r="AN178" s="369">
        <f t="shared" si="96"/>
        <v>0</v>
      </c>
      <c r="AO178" s="1966">
        <f t="shared" si="77"/>
        <v>0</v>
      </c>
      <c r="AP178" s="1966">
        <f t="shared" si="78"/>
        <v>0</v>
      </c>
      <c r="AQ178" s="1966">
        <f t="shared" si="79"/>
        <v>0</v>
      </c>
      <c r="AR178" s="370">
        <f t="shared" si="80"/>
        <v>0</v>
      </c>
      <c r="AT178" s="371">
        <f t="shared" si="81"/>
        <v>0</v>
      </c>
      <c r="AU178" s="1966">
        <f t="shared" si="82"/>
        <v>0</v>
      </c>
      <c r="AV178" s="2161">
        <f t="shared" si="83"/>
        <v>0</v>
      </c>
      <c r="AW178" s="2161">
        <f t="shared" si="84"/>
        <v>0</v>
      </c>
      <c r="AX178" s="1966">
        <f t="shared" si="85"/>
        <v>0</v>
      </c>
      <c r="AY178" s="372">
        <f t="shared" si="86"/>
        <v>0</v>
      </c>
      <c r="AZ178" s="265"/>
      <c r="BA178" s="371">
        <f t="shared" si="97"/>
        <v>0</v>
      </c>
      <c r="BB178" s="1966">
        <f t="shared" si="98"/>
        <v>0</v>
      </c>
      <c r="BC178" s="1966">
        <f t="shared" si="99"/>
        <v>0</v>
      </c>
      <c r="BD178" s="1966">
        <f t="shared" si="100"/>
        <v>0</v>
      </c>
      <c r="BE178" s="372">
        <f t="shared" si="101"/>
        <v>0</v>
      </c>
      <c r="BG178" s="2159">
        <f t="shared" si="102"/>
        <v>46023</v>
      </c>
      <c r="BH178" s="2159">
        <f t="shared" si="103"/>
        <v>46023</v>
      </c>
      <c r="BI178" s="2159">
        <f t="shared" si="104"/>
        <v>46023</v>
      </c>
      <c r="BJ178" s="2159">
        <f t="shared" si="105"/>
        <v>0</v>
      </c>
      <c r="BL178" s="369">
        <f t="shared" si="106"/>
        <v>0</v>
      </c>
      <c r="BM178" s="2159">
        <f t="shared" si="107"/>
        <v>0</v>
      </c>
      <c r="BN178" s="2159">
        <f t="shared" si="108"/>
        <v>0</v>
      </c>
      <c r="BO178" s="373">
        <f t="shared" si="109"/>
        <v>0</v>
      </c>
      <c r="BT178" s="2054"/>
    </row>
    <row r="179" spans="1:72" ht="45.75" customHeight="1">
      <c r="A179" s="2163"/>
      <c r="B179" s="2146"/>
      <c r="C179" s="2146"/>
      <c r="D179" s="2164"/>
      <c r="E179" s="1573"/>
      <c r="F179" s="2148"/>
      <c r="G179" s="2149" t="str">
        <f t="shared" si="70"/>
        <v/>
      </c>
      <c r="H179" s="2148"/>
      <c r="I179" s="2150"/>
      <c r="J179" s="2148"/>
      <c r="K179" s="2151">
        <f t="shared" si="71"/>
        <v>0</v>
      </c>
      <c r="L179" s="2148"/>
      <c r="M179" s="2150"/>
      <c r="N179" s="2152"/>
      <c r="O179" s="2148"/>
      <c r="P179" s="2151">
        <f t="shared" si="72"/>
        <v>0</v>
      </c>
      <c r="Q179" s="2148"/>
      <c r="R179" s="2150"/>
      <c r="S179" s="2152"/>
      <c r="T179" s="2153"/>
      <c r="U179" s="2154">
        <f t="shared" si="73"/>
        <v>0</v>
      </c>
      <c r="V179" s="2155"/>
      <c r="W179" s="2150"/>
      <c r="X179" s="2152"/>
      <c r="Y179" s="2153"/>
      <c r="Z179" s="1572">
        <f t="shared" si="74"/>
        <v>0</v>
      </c>
      <c r="AA179" s="2168">
        <f t="shared" si="87"/>
        <v>0</v>
      </c>
      <c r="AB179" s="2156" t="str">
        <f t="shared" si="75"/>
        <v/>
      </c>
      <c r="AD179" s="2158" t="str">
        <f t="shared" si="88"/>
        <v/>
      </c>
      <c r="AE179" s="2159">
        <f t="shared" si="89"/>
        <v>0</v>
      </c>
      <c r="AF179" s="2159">
        <f t="shared" si="90"/>
        <v>0</v>
      </c>
      <c r="AG179" s="2159">
        <f t="shared" si="91"/>
        <v>0</v>
      </c>
      <c r="AH179" s="2159">
        <f t="shared" si="92"/>
        <v>0</v>
      </c>
      <c r="AI179" s="2160">
        <f t="shared" si="76"/>
        <v>0</v>
      </c>
      <c r="AJ179" s="1966">
        <f t="shared" si="93"/>
        <v>1</v>
      </c>
      <c r="AK179" s="2159">
        <f t="shared" si="94"/>
        <v>0</v>
      </c>
      <c r="AL179" s="368" t="e">
        <f t="shared" si="95"/>
        <v>#DIV/0!</v>
      </c>
      <c r="AN179" s="369">
        <f t="shared" si="96"/>
        <v>0</v>
      </c>
      <c r="AO179" s="1966">
        <f t="shared" si="77"/>
        <v>0</v>
      </c>
      <c r="AP179" s="1966">
        <f t="shared" si="78"/>
        <v>0</v>
      </c>
      <c r="AQ179" s="1966">
        <f t="shared" si="79"/>
        <v>0</v>
      </c>
      <c r="AR179" s="370">
        <f t="shared" si="80"/>
        <v>0</v>
      </c>
      <c r="AT179" s="371">
        <f t="shared" si="81"/>
        <v>0</v>
      </c>
      <c r="AU179" s="1966">
        <f t="shared" si="82"/>
        <v>0</v>
      </c>
      <c r="AV179" s="2161">
        <f t="shared" si="83"/>
        <v>0</v>
      </c>
      <c r="AW179" s="2161">
        <f t="shared" si="84"/>
        <v>0</v>
      </c>
      <c r="AX179" s="1966">
        <f t="shared" si="85"/>
        <v>0</v>
      </c>
      <c r="AY179" s="372">
        <f t="shared" si="86"/>
        <v>0</v>
      </c>
      <c r="AZ179" s="265"/>
      <c r="BA179" s="371">
        <f t="shared" si="97"/>
        <v>0</v>
      </c>
      <c r="BB179" s="1966">
        <f t="shared" si="98"/>
        <v>0</v>
      </c>
      <c r="BC179" s="1966">
        <f t="shared" si="99"/>
        <v>0</v>
      </c>
      <c r="BD179" s="1966">
        <f t="shared" si="100"/>
        <v>0</v>
      </c>
      <c r="BE179" s="372">
        <f t="shared" si="101"/>
        <v>0</v>
      </c>
      <c r="BG179" s="2159">
        <f t="shared" si="102"/>
        <v>46023</v>
      </c>
      <c r="BH179" s="2159">
        <f t="shared" si="103"/>
        <v>46023</v>
      </c>
      <c r="BI179" s="2159">
        <f t="shared" si="104"/>
        <v>46023</v>
      </c>
      <c r="BJ179" s="2159">
        <f t="shared" si="105"/>
        <v>0</v>
      </c>
      <c r="BL179" s="369">
        <f t="shared" si="106"/>
        <v>0</v>
      </c>
      <c r="BM179" s="2159">
        <f t="shared" si="107"/>
        <v>0</v>
      </c>
      <c r="BN179" s="2159">
        <f t="shared" si="108"/>
        <v>0</v>
      </c>
      <c r="BO179" s="373">
        <f t="shared" si="109"/>
        <v>0</v>
      </c>
      <c r="BT179" s="2054"/>
    </row>
    <row r="180" spans="1:72" ht="45.75" customHeight="1">
      <c r="A180" s="2163"/>
      <c r="B180" s="2146"/>
      <c r="C180" s="2146"/>
      <c r="D180" s="2164"/>
      <c r="E180" s="1573"/>
      <c r="F180" s="2148"/>
      <c r="G180" s="2149" t="str">
        <f t="shared" si="70"/>
        <v/>
      </c>
      <c r="H180" s="2148"/>
      <c r="I180" s="2150"/>
      <c r="J180" s="2148"/>
      <c r="K180" s="2151">
        <f t="shared" si="71"/>
        <v>0</v>
      </c>
      <c r="L180" s="2148"/>
      <c r="M180" s="2150"/>
      <c r="N180" s="2152"/>
      <c r="O180" s="2148"/>
      <c r="P180" s="2151">
        <f t="shared" si="72"/>
        <v>0</v>
      </c>
      <c r="Q180" s="2148"/>
      <c r="R180" s="2150"/>
      <c r="S180" s="2152"/>
      <c r="T180" s="2153"/>
      <c r="U180" s="2154">
        <f t="shared" si="73"/>
        <v>0</v>
      </c>
      <c r="V180" s="2155"/>
      <c r="W180" s="2150"/>
      <c r="X180" s="2152"/>
      <c r="Y180" s="2153"/>
      <c r="Z180" s="1572">
        <f t="shared" si="74"/>
        <v>0</v>
      </c>
      <c r="AA180" s="2168">
        <f t="shared" si="87"/>
        <v>0</v>
      </c>
      <c r="AB180" s="2156" t="str">
        <f t="shared" si="75"/>
        <v/>
      </c>
      <c r="AD180" s="2158" t="str">
        <f t="shared" si="88"/>
        <v/>
      </c>
      <c r="AE180" s="2159">
        <f t="shared" si="89"/>
        <v>0</v>
      </c>
      <c r="AF180" s="2159">
        <f t="shared" si="90"/>
        <v>0</v>
      </c>
      <c r="AG180" s="2159">
        <f t="shared" si="91"/>
        <v>0</v>
      </c>
      <c r="AH180" s="2159">
        <f t="shared" si="92"/>
        <v>0</v>
      </c>
      <c r="AI180" s="2160">
        <f t="shared" si="76"/>
        <v>0</v>
      </c>
      <c r="AJ180" s="1966">
        <f t="shared" si="93"/>
        <v>1</v>
      </c>
      <c r="AK180" s="2159">
        <f t="shared" si="94"/>
        <v>0</v>
      </c>
      <c r="AL180" s="368" t="e">
        <f t="shared" si="95"/>
        <v>#DIV/0!</v>
      </c>
      <c r="AN180" s="369">
        <f t="shared" si="96"/>
        <v>0</v>
      </c>
      <c r="AO180" s="1966">
        <f t="shared" si="77"/>
        <v>0</v>
      </c>
      <c r="AP180" s="1966">
        <f t="shared" si="78"/>
        <v>0</v>
      </c>
      <c r="AQ180" s="1966">
        <f t="shared" si="79"/>
        <v>0</v>
      </c>
      <c r="AR180" s="370">
        <f t="shared" si="80"/>
        <v>0</v>
      </c>
      <c r="AT180" s="371">
        <f t="shared" si="81"/>
        <v>0</v>
      </c>
      <c r="AU180" s="1966">
        <f t="shared" si="82"/>
        <v>0</v>
      </c>
      <c r="AV180" s="2161">
        <f t="shared" si="83"/>
        <v>0</v>
      </c>
      <c r="AW180" s="2161">
        <f t="shared" si="84"/>
        <v>0</v>
      </c>
      <c r="AX180" s="1966">
        <f t="shared" si="85"/>
        <v>0</v>
      </c>
      <c r="AY180" s="372">
        <f t="shared" si="86"/>
        <v>0</v>
      </c>
      <c r="AZ180" s="265"/>
      <c r="BA180" s="371">
        <f t="shared" si="97"/>
        <v>0</v>
      </c>
      <c r="BB180" s="1966">
        <f t="shared" si="98"/>
        <v>0</v>
      </c>
      <c r="BC180" s="1966">
        <f t="shared" si="99"/>
        <v>0</v>
      </c>
      <c r="BD180" s="1966">
        <f t="shared" si="100"/>
        <v>0</v>
      </c>
      <c r="BE180" s="372">
        <f t="shared" si="101"/>
        <v>0</v>
      </c>
      <c r="BG180" s="2159">
        <f t="shared" si="102"/>
        <v>46023</v>
      </c>
      <c r="BH180" s="2159">
        <f t="shared" si="103"/>
        <v>46023</v>
      </c>
      <c r="BI180" s="2159">
        <f t="shared" si="104"/>
        <v>46023</v>
      </c>
      <c r="BJ180" s="2159">
        <f t="shared" si="105"/>
        <v>0</v>
      </c>
      <c r="BL180" s="369">
        <f t="shared" si="106"/>
        <v>0</v>
      </c>
      <c r="BM180" s="2159">
        <f t="shared" si="107"/>
        <v>0</v>
      </c>
      <c r="BN180" s="2159">
        <f t="shared" si="108"/>
        <v>0</v>
      </c>
      <c r="BO180" s="373">
        <f t="shared" si="109"/>
        <v>0</v>
      </c>
      <c r="BT180" s="2054"/>
    </row>
    <row r="181" spans="1:72" ht="45.75" customHeight="1">
      <c r="A181" s="2163"/>
      <c r="B181" s="2146"/>
      <c r="C181" s="2146"/>
      <c r="D181" s="2164"/>
      <c r="E181" s="1573"/>
      <c r="F181" s="2148"/>
      <c r="G181" s="2149" t="str">
        <f t="shared" si="70"/>
        <v/>
      </c>
      <c r="H181" s="2148"/>
      <c r="I181" s="2150"/>
      <c r="J181" s="2148"/>
      <c r="K181" s="2151">
        <f t="shared" si="71"/>
        <v>0</v>
      </c>
      <c r="L181" s="2148"/>
      <c r="M181" s="2150"/>
      <c r="N181" s="2152"/>
      <c r="O181" s="2148"/>
      <c r="P181" s="2151">
        <f t="shared" si="72"/>
        <v>0</v>
      </c>
      <c r="Q181" s="2148"/>
      <c r="R181" s="2150"/>
      <c r="S181" s="2152"/>
      <c r="T181" s="2153"/>
      <c r="U181" s="2154">
        <f t="shared" si="73"/>
        <v>0</v>
      </c>
      <c r="V181" s="2155"/>
      <c r="W181" s="2150"/>
      <c r="X181" s="2152"/>
      <c r="Y181" s="2153"/>
      <c r="Z181" s="1572">
        <f t="shared" si="74"/>
        <v>0</v>
      </c>
      <c r="AA181" s="2168">
        <f t="shared" si="87"/>
        <v>0</v>
      </c>
      <c r="AB181" s="2156" t="str">
        <f t="shared" si="75"/>
        <v/>
      </c>
      <c r="AD181" s="2158" t="str">
        <f t="shared" si="88"/>
        <v/>
      </c>
      <c r="AE181" s="2159">
        <f t="shared" si="89"/>
        <v>0</v>
      </c>
      <c r="AF181" s="2159">
        <f t="shared" si="90"/>
        <v>0</v>
      </c>
      <c r="AG181" s="2159">
        <f t="shared" si="91"/>
        <v>0</v>
      </c>
      <c r="AH181" s="2159">
        <f t="shared" si="92"/>
        <v>0</v>
      </c>
      <c r="AI181" s="2160">
        <f t="shared" si="76"/>
        <v>0</v>
      </c>
      <c r="AJ181" s="1966">
        <f t="shared" si="93"/>
        <v>1</v>
      </c>
      <c r="AK181" s="2159">
        <f t="shared" si="94"/>
        <v>0</v>
      </c>
      <c r="AL181" s="368" t="e">
        <f t="shared" si="95"/>
        <v>#DIV/0!</v>
      </c>
      <c r="AN181" s="369">
        <f t="shared" si="96"/>
        <v>0</v>
      </c>
      <c r="AO181" s="1966">
        <f t="shared" si="77"/>
        <v>0</v>
      </c>
      <c r="AP181" s="1966">
        <f t="shared" si="78"/>
        <v>0</v>
      </c>
      <c r="AQ181" s="1966">
        <f t="shared" si="79"/>
        <v>0</v>
      </c>
      <c r="AR181" s="370">
        <f t="shared" si="80"/>
        <v>0</v>
      </c>
      <c r="AT181" s="371">
        <f t="shared" si="81"/>
        <v>0</v>
      </c>
      <c r="AU181" s="1966">
        <f t="shared" si="82"/>
        <v>0</v>
      </c>
      <c r="AV181" s="2161">
        <f t="shared" si="83"/>
        <v>0</v>
      </c>
      <c r="AW181" s="2161">
        <f t="shared" si="84"/>
        <v>0</v>
      </c>
      <c r="AX181" s="1966">
        <f t="shared" si="85"/>
        <v>0</v>
      </c>
      <c r="AY181" s="372">
        <f t="shared" si="86"/>
        <v>0</v>
      </c>
      <c r="AZ181" s="265"/>
      <c r="BA181" s="371">
        <f t="shared" si="97"/>
        <v>0</v>
      </c>
      <c r="BB181" s="1966">
        <f t="shared" si="98"/>
        <v>0</v>
      </c>
      <c r="BC181" s="1966">
        <f t="shared" si="99"/>
        <v>0</v>
      </c>
      <c r="BD181" s="1966">
        <f t="shared" si="100"/>
        <v>0</v>
      </c>
      <c r="BE181" s="372">
        <f t="shared" si="101"/>
        <v>0</v>
      </c>
      <c r="BG181" s="2159">
        <f t="shared" si="102"/>
        <v>46023</v>
      </c>
      <c r="BH181" s="2159">
        <f t="shared" si="103"/>
        <v>46023</v>
      </c>
      <c r="BI181" s="2159">
        <f t="shared" si="104"/>
        <v>46023</v>
      </c>
      <c r="BJ181" s="2159">
        <f t="shared" si="105"/>
        <v>0</v>
      </c>
      <c r="BL181" s="369">
        <f t="shared" si="106"/>
        <v>0</v>
      </c>
      <c r="BM181" s="2159">
        <f t="shared" si="107"/>
        <v>0</v>
      </c>
      <c r="BN181" s="2159">
        <f t="shared" si="108"/>
        <v>0</v>
      </c>
      <c r="BO181" s="373">
        <f t="shared" si="109"/>
        <v>0</v>
      </c>
      <c r="BT181" s="2054"/>
    </row>
    <row r="182" spans="1:72" ht="45.75" customHeight="1">
      <c r="A182" s="2163"/>
      <c r="B182" s="2146"/>
      <c r="C182" s="2146"/>
      <c r="D182" s="2164"/>
      <c r="E182" s="1573"/>
      <c r="F182" s="2148"/>
      <c r="G182" s="2149" t="str">
        <f t="shared" si="70"/>
        <v/>
      </c>
      <c r="H182" s="2148"/>
      <c r="I182" s="2150"/>
      <c r="J182" s="2148"/>
      <c r="K182" s="2151">
        <f t="shared" si="71"/>
        <v>0</v>
      </c>
      <c r="L182" s="2148"/>
      <c r="M182" s="2150"/>
      <c r="N182" s="2152"/>
      <c r="O182" s="2148"/>
      <c r="P182" s="2151">
        <f t="shared" si="72"/>
        <v>0</v>
      </c>
      <c r="Q182" s="2148"/>
      <c r="R182" s="2150"/>
      <c r="S182" s="2152"/>
      <c r="T182" s="2153"/>
      <c r="U182" s="2154">
        <f t="shared" si="73"/>
        <v>0</v>
      </c>
      <c r="V182" s="2155"/>
      <c r="W182" s="2150"/>
      <c r="X182" s="2152"/>
      <c r="Y182" s="2153"/>
      <c r="Z182" s="1572">
        <f t="shared" si="74"/>
        <v>0</v>
      </c>
      <c r="AA182" s="2168">
        <f t="shared" si="87"/>
        <v>0</v>
      </c>
      <c r="AB182" s="2156" t="str">
        <f t="shared" si="75"/>
        <v/>
      </c>
      <c r="AD182" s="2158" t="str">
        <f t="shared" si="88"/>
        <v/>
      </c>
      <c r="AE182" s="2159">
        <f t="shared" si="89"/>
        <v>0</v>
      </c>
      <c r="AF182" s="2159">
        <f t="shared" si="90"/>
        <v>0</v>
      </c>
      <c r="AG182" s="2159">
        <f t="shared" si="91"/>
        <v>0</v>
      </c>
      <c r="AH182" s="2159">
        <f t="shared" si="92"/>
        <v>0</v>
      </c>
      <c r="AI182" s="2160">
        <f t="shared" si="76"/>
        <v>0</v>
      </c>
      <c r="AJ182" s="1966">
        <f t="shared" si="93"/>
        <v>1</v>
      </c>
      <c r="AK182" s="2159">
        <f t="shared" si="94"/>
        <v>0</v>
      </c>
      <c r="AL182" s="368" t="e">
        <f t="shared" si="95"/>
        <v>#DIV/0!</v>
      </c>
      <c r="AN182" s="369">
        <f t="shared" si="96"/>
        <v>0</v>
      </c>
      <c r="AO182" s="1966">
        <f t="shared" si="77"/>
        <v>0</v>
      </c>
      <c r="AP182" s="1966">
        <f t="shared" si="78"/>
        <v>0</v>
      </c>
      <c r="AQ182" s="1966">
        <f t="shared" si="79"/>
        <v>0</v>
      </c>
      <c r="AR182" s="370">
        <f t="shared" si="80"/>
        <v>0</v>
      </c>
      <c r="AT182" s="371">
        <f t="shared" si="81"/>
        <v>0</v>
      </c>
      <c r="AU182" s="1966">
        <f t="shared" si="82"/>
        <v>0</v>
      </c>
      <c r="AV182" s="2161">
        <f t="shared" si="83"/>
        <v>0</v>
      </c>
      <c r="AW182" s="2161">
        <f t="shared" si="84"/>
        <v>0</v>
      </c>
      <c r="AX182" s="1966">
        <f t="shared" si="85"/>
        <v>0</v>
      </c>
      <c r="AY182" s="372">
        <f t="shared" si="86"/>
        <v>0</v>
      </c>
      <c r="AZ182" s="265"/>
      <c r="BA182" s="371">
        <f t="shared" si="97"/>
        <v>0</v>
      </c>
      <c r="BB182" s="1966">
        <f t="shared" si="98"/>
        <v>0</v>
      </c>
      <c r="BC182" s="1966">
        <f t="shared" si="99"/>
        <v>0</v>
      </c>
      <c r="BD182" s="1966">
        <f t="shared" si="100"/>
        <v>0</v>
      </c>
      <c r="BE182" s="372">
        <f t="shared" si="101"/>
        <v>0</v>
      </c>
      <c r="BG182" s="2159">
        <f t="shared" si="102"/>
        <v>46023</v>
      </c>
      <c r="BH182" s="2159">
        <f t="shared" si="103"/>
        <v>46023</v>
      </c>
      <c r="BI182" s="2159">
        <f t="shared" si="104"/>
        <v>46023</v>
      </c>
      <c r="BJ182" s="2159">
        <f t="shared" si="105"/>
        <v>0</v>
      </c>
      <c r="BL182" s="369">
        <f t="shared" si="106"/>
        <v>0</v>
      </c>
      <c r="BM182" s="2159">
        <f t="shared" si="107"/>
        <v>0</v>
      </c>
      <c r="BN182" s="2159">
        <f t="shared" si="108"/>
        <v>0</v>
      </c>
      <c r="BO182" s="373">
        <f t="shared" si="109"/>
        <v>0</v>
      </c>
      <c r="BT182" s="2054"/>
    </row>
    <row r="183" spans="1:72" ht="45.75" customHeight="1">
      <c r="A183" s="2163"/>
      <c r="B183" s="2146"/>
      <c r="C183" s="2146"/>
      <c r="D183" s="2164"/>
      <c r="E183" s="1573"/>
      <c r="F183" s="2148"/>
      <c r="G183" s="2149" t="str">
        <f t="shared" ref="G183:G219" si="110">IF(AND(AN183&gt;0,E183="ja ZWF",F183=""),"",IF(AN183&gt;0,AN183,""))</f>
        <v/>
      </c>
      <c r="H183" s="2148"/>
      <c r="I183" s="2150"/>
      <c r="J183" s="2148"/>
      <c r="K183" s="2151">
        <f t="shared" ref="K183:K219" si="111">AO183</f>
        <v>0</v>
      </c>
      <c r="L183" s="2148"/>
      <c r="M183" s="2150"/>
      <c r="N183" s="2152"/>
      <c r="O183" s="2148"/>
      <c r="P183" s="2151">
        <f t="shared" ref="P183:P219" si="112">AP183</f>
        <v>0</v>
      </c>
      <c r="Q183" s="2148"/>
      <c r="R183" s="2150"/>
      <c r="S183" s="2152"/>
      <c r="T183" s="2153"/>
      <c r="U183" s="2154">
        <f t="shared" ref="U183:U219" si="113">AQ183</f>
        <v>0</v>
      </c>
      <c r="V183" s="2155"/>
      <c r="W183" s="2150"/>
      <c r="X183" s="2152"/>
      <c r="Y183" s="2153"/>
      <c r="Z183" s="1572">
        <f t="shared" ref="Z183:Z219" si="114">AR183</f>
        <v>0</v>
      </c>
      <c r="AA183" s="2168">
        <f t="shared" si="87"/>
        <v>0</v>
      </c>
      <c r="AB183" s="2156" t="str">
        <f t="shared" ref="AB183:AB219" si="115">AD183</f>
        <v/>
      </c>
      <c r="AD183" s="2158" t="str">
        <f t="shared" si="88"/>
        <v/>
      </c>
      <c r="AE183" s="2159">
        <f t="shared" si="89"/>
        <v>0</v>
      </c>
      <c r="AF183" s="2159">
        <f t="shared" si="90"/>
        <v>0</v>
      </c>
      <c r="AG183" s="2159">
        <f t="shared" si="91"/>
        <v>0</v>
      </c>
      <c r="AH183" s="2159">
        <f t="shared" si="92"/>
        <v>0</v>
      </c>
      <c r="AI183" s="2160">
        <f t="shared" ref="AI183:AI219" si="116">SUM(AE183:AH183)</f>
        <v>0</v>
      </c>
      <c r="AJ183" s="1966">
        <f t="shared" si="93"/>
        <v>1</v>
      </c>
      <c r="AK183" s="2159">
        <f t="shared" si="94"/>
        <v>0</v>
      </c>
      <c r="AL183" s="368" t="e">
        <f t="shared" si="95"/>
        <v>#DIV/0!</v>
      </c>
      <c r="AN183" s="369">
        <f t="shared" si="96"/>
        <v>0</v>
      </c>
      <c r="AO183" s="1966">
        <f t="shared" ref="AO183:AO219" si="117">IF(ISBLANK(J183),0,IF(ISBLANK(L183),($AC$8+365)-J183,L183-J183))</f>
        <v>0</v>
      </c>
      <c r="AP183" s="1966">
        <f t="shared" ref="AP183:AP219" si="118">IF(ISBLANK(O183),0,IF(ISBLANK(Q183),($AC$8+365)-O183,Q183-O183))</f>
        <v>0</v>
      </c>
      <c r="AQ183" s="1966">
        <f t="shared" ref="AQ183:AQ219" si="119">IF(ISBLANK(T183),0,IF(ISBLANK(V183),($AC$8+365)-T183,V183-T183))</f>
        <v>0</v>
      </c>
      <c r="AR183" s="370">
        <f t="shared" ref="AR183:AR219" si="120">IF(ISBLANK(Y183),0,($AC$8+365)-Y183)</f>
        <v>0</v>
      </c>
      <c r="AT183" s="371">
        <f t="shared" ref="AT183:AT219" si="121">IF(AND(E183="nein",AN183&gt;30),1,IF(AND(E183="ja ZWF",AN183&gt;30),1,IF(AND(E183="ja HF",AN183&gt;50),1,0)))</f>
        <v>0</v>
      </c>
      <c r="AU183" s="1966">
        <f t="shared" ref="AU183:AU219" si="122">IF(AND(N183="",L183&gt;0,AO183&gt;30),1,IF(AND(N183="ZWF",AO183&gt;30,L183&gt;0),1,IF(AND(N183="HF",AO183&gt;50,L183&gt;0),1,0)))</f>
        <v>0</v>
      </c>
      <c r="AV183" s="2161">
        <f t="shared" ref="AV183:AV219" si="123">IF(AND(S183="",Q183&gt;0,AP183&gt;30),1,IF(AND(S183="ZWF",AP183&gt;30,Q183&gt;0),1,IF(AND(N183="ZWF",AP183&gt;30,Q183&gt;0),1,IF(AND(S183="HF",N183="HF",AP183&gt;50,Q183&gt;0),1,0))))</f>
        <v>0</v>
      </c>
      <c r="AW183" s="2161">
        <f t="shared" ref="AW183:AW219" si="124">IF(AND(X183="",V183&gt;0,AQ183&gt;30),1,IF(AND(X183="ZWF",AQ183&gt;30,V183&gt;0),1,IF(AND(S183="ZWF",AQ183&gt;30,V183&gt;0),1,IF(AND(X183="HF",S183="HF",AQ183&gt;50,V183&gt;0),1,0))))</f>
        <v>0</v>
      </c>
      <c r="AX183" s="1966">
        <f t="shared" ref="AX183:AX219" si="125">IF(AR183&lt;31,0,IF(AND(X183="ZWF",AR183&lt;31),0,IF(AND(X183="HF",AR183&lt;51),0,1)))</f>
        <v>0</v>
      </c>
      <c r="AY183" s="372">
        <f t="shared" ref="AY183:AY219" si="126">SUM(AT183:AX183)</f>
        <v>0</v>
      </c>
      <c r="AZ183" s="265"/>
      <c r="BA183" s="371">
        <f t="shared" si="97"/>
        <v>0</v>
      </c>
      <c r="BB183" s="1966">
        <f t="shared" si="98"/>
        <v>0</v>
      </c>
      <c r="BC183" s="1966">
        <f t="shared" si="99"/>
        <v>0</v>
      </c>
      <c r="BD183" s="1966">
        <f t="shared" si="100"/>
        <v>0</v>
      </c>
      <c r="BE183" s="372">
        <f t="shared" si="101"/>
        <v>0</v>
      </c>
      <c r="BG183" s="2159">
        <f t="shared" si="102"/>
        <v>46023</v>
      </c>
      <c r="BH183" s="2159">
        <f t="shared" si="103"/>
        <v>46023</v>
      </c>
      <c r="BI183" s="2159">
        <f t="shared" si="104"/>
        <v>46023</v>
      </c>
      <c r="BJ183" s="2159">
        <f t="shared" si="105"/>
        <v>0</v>
      </c>
      <c r="BL183" s="369">
        <f t="shared" si="106"/>
        <v>0</v>
      </c>
      <c r="BM183" s="2159">
        <f t="shared" si="107"/>
        <v>0</v>
      </c>
      <c r="BN183" s="2159">
        <f t="shared" si="108"/>
        <v>0</v>
      </c>
      <c r="BO183" s="373">
        <f t="shared" si="109"/>
        <v>0</v>
      </c>
      <c r="BT183" s="2054"/>
    </row>
    <row r="184" spans="1:72" ht="45.75" customHeight="1">
      <c r="A184" s="2163"/>
      <c r="B184" s="2146"/>
      <c r="C184" s="2146"/>
      <c r="D184" s="2164"/>
      <c r="E184" s="1573"/>
      <c r="F184" s="2148"/>
      <c r="G184" s="2149" t="str">
        <f t="shared" si="110"/>
        <v/>
      </c>
      <c r="H184" s="2148"/>
      <c r="I184" s="2150"/>
      <c r="J184" s="2148"/>
      <c r="K184" s="2151">
        <f t="shared" si="111"/>
        <v>0</v>
      </c>
      <c r="L184" s="2148"/>
      <c r="M184" s="2150"/>
      <c r="N184" s="2152"/>
      <c r="O184" s="2148"/>
      <c r="P184" s="2151">
        <f t="shared" si="112"/>
        <v>0</v>
      </c>
      <c r="Q184" s="2148"/>
      <c r="R184" s="2150"/>
      <c r="S184" s="2152"/>
      <c r="T184" s="2153"/>
      <c r="U184" s="2154">
        <f t="shared" si="113"/>
        <v>0</v>
      </c>
      <c r="V184" s="2155"/>
      <c r="W184" s="2150"/>
      <c r="X184" s="2152"/>
      <c r="Y184" s="2153"/>
      <c r="Z184" s="1572">
        <f t="shared" si="114"/>
        <v>0</v>
      </c>
      <c r="AA184" s="2168">
        <f t="shared" si="87"/>
        <v>0</v>
      </c>
      <c r="AB184" s="2156" t="str">
        <f t="shared" si="115"/>
        <v/>
      </c>
      <c r="AD184" s="2158" t="str">
        <f t="shared" si="88"/>
        <v/>
      </c>
      <c r="AE184" s="2159">
        <f t="shared" si="89"/>
        <v>0</v>
      </c>
      <c r="AF184" s="2159">
        <f t="shared" si="90"/>
        <v>0</v>
      </c>
      <c r="AG184" s="2159">
        <f t="shared" si="91"/>
        <v>0</v>
      </c>
      <c r="AH184" s="2159">
        <f t="shared" si="92"/>
        <v>0</v>
      </c>
      <c r="AI184" s="2160">
        <f t="shared" si="116"/>
        <v>0</v>
      </c>
      <c r="AJ184" s="1966">
        <f t="shared" si="93"/>
        <v>1</v>
      </c>
      <c r="AK184" s="2159">
        <f t="shared" si="94"/>
        <v>0</v>
      </c>
      <c r="AL184" s="368" t="e">
        <f t="shared" si="95"/>
        <v>#DIV/0!</v>
      </c>
      <c r="AN184" s="369">
        <f t="shared" si="96"/>
        <v>0</v>
      </c>
      <c r="AO184" s="1966">
        <f t="shared" si="117"/>
        <v>0</v>
      </c>
      <c r="AP184" s="1966">
        <f t="shared" si="118"/>
        <v>0</v>
      </c>
      <c r="AQ184" s="1966">
        <f t="shared" si="119"/>
        <v>0</v>
      </c>
      <c r="AR184" s="370">
        <f t="shared" si="120"/>
        <v>0</v>
      </c>
      <c r="AT184" s="371">
        <f t="shared" si="121"/>
        <v>0</v>
      </c>
      <c r="AU184" s="1966">
        <f t="shared" si="122"/>
        <v>0</v>
      </c>
      <c r="AV184" s="2161">
        <f t="shared" si="123"/>
        <v>0</v>
      </c>
      <c r="AW184" s="2161">
        <f t="shared" si="124"/>
        <v>0</v>
      </c>
      <c r="AX184" s="1966">
        <f t="shared" si="125"/>
        <v>0</v>
      </c>
      <c r="AY184" s="372">
        <f t="shared" si="126"/>
        <v>0</v>
      </c>
      <c r="AZ184" s="265"/>
      <c r="BA184" s="371">
        <f t="shared" si="97"/>
        <v>0</v>
      </c>
      <c r="BB184" s="1966">
        <f t="shared" si="98"/>
        <v>0</v>
      </c>
      <c r="BC184" s="1966">
        <f t="shared" si="99"/>
        <v>0</v>
      </c>
      <c r="BD184" s="1966">
        <f t="shared" si="100"/>
        <v>0</v>
      </c>
      <c r="BE184" s="372">
        <f t="shared" si="101"/>
        <v>0</v>
      </c>
      <c r="BG184" s="2159">
        <f t="shared" si="102"/>
        <v>46023</v>
      </c>
      <c r="BH184" s="2159">
        <f t="shared" si="103"/>
        <v>46023</v>
      </c>
      <c r="BI184" s="2159">
        <f t="shared" si="104"/>
        <v>46023</v>
      </c>
      <c r="BJ184" s="2159">
        <f t="shared" si="105"/>
        <v>0</v>
      </c>
      <c r="BL184" s="369">
        <f t="shared" si="106"/>
        <v>0</v>
      </c>
      <c r="BM184" s="2159">
        <f t="shared" si="107"/>
        <v>0</v>
      </c>
      <c r="BN184" s="2159">
        <f t="shared" si="108"/>
        <v>0</v>
      </c>
      <c r="BO184" s="373">
        <f t="shared" si="109"/>
        <v>0</v>
      </c>
      <c r="BT184" s="2054"/>
    </row>
    <row r="185" spans="1:72" ht="45.75" customHeight="1">
      <c r="A185" s="2163"/>
      <c r="B185" s="2146"/>
      <c r="C185" s="2146"/>
      <c r="D185" s="2164"/>
      <c r="E185" s="1573"/>
      <c r="F185" s="2148"/>
      <c r="G185" s="2149" t="str">
        <f t="shared" si="110"/>
        <v/>
      </c>
      <c r="H185" s="2148"/>
      <c r="I185" s="2150"/>
      <c r="J185" s="2148"/>
      <c r="K185" s="2151">
        <f t="shared" si="111"/>
        <v>0</v>
      </c>
      <c r="L185" s="2148"/>
      <c r="M185" s="2150"/>
      <c r="N185" s="2152"/>
      <c r="O185" s="2148"/>
      <c r="P185" s="2151">
        <f t="shared" si="112"/>
        <v>0</v>
      </c>
      <c r="Q185" s="2148"/>
      <c r="R185" s="2150"/>
      <c r="S185" s="2152"/>
      <c r="T185" s="2153"/>
      <c r="U185" s="2154">
        <f t="shared" si="113"/>
        <v>0</v>
      </c>
      <c r="V185" s="2155"/>
      <c r="W185" s="2150"/>
      <c r="X185" s="2152"/>
      <c r="Y185" s="2153"/>
      <c r="Z185" s="1572">
        <f t="shared" si="114"/>
        <v>0</v>
      </c>
      <c r="AA185" s="2168">
        <f t="shared" si="87"/>
        <v>0</v>
      </c>
      <c r="AB185" s="2156" t="str">
        <f t="shared" si="115"/>
        <v/>
      </c>
      <c r="AD185" s="2158" t="str">
        <f t="shared" si="88"/>
        <v/>
      </c>
      <c r="AE185" s="2159">
        <f t="shared" si="89"/>
        <v>0</v>
      </c>
      <c r="AF185" s="2159">
        <f t="shared" si="90"/>
        <v>0</v>
      </c>
      <c r="AG185" s="2159">
        <f t="shared" si="91"/>
        <v>0</v>
      </c>
      <c r="AH185" s="2159">
        <f t="shared" si="92"/>
        <v>0</v>
      </c>
      <c r="AI185" s="2160">
        <f t="shared" si="116"/>
        <v>0</v>
      </c>
      <c r="AJ185" s="1966">
        <f t="shared" si="93"/>
        <v>1</v>
      </c>
      <c r="AK185" s="2159">
        <f t="shared" si="94"/>
        <v>0</v>
      </c>
      <c r="AL185" s="368" t="e">
        <f t="shared" si="95"/>
        <v>#DIV/0!</v>
      </c>
      <c r="AN185" s="369">
        <f t="shared" si="96"/>
        <v>0</v>
      </c>
      <c r="AO185" s="1966">
        <f t="shared" si="117"/>
        <v>0</v>
      </c>
      <c r="AP185" s="1966">
        <f t="shared" si="118"/>
        <v>0</v>
      </c>
      <c r="AQ185" s="1966">
        <f t="shared" si="119"/>
        <v>0</v>
      </c>
      <c r="AR185" s="370">
        <f t="shared" si="120"/>
        <v>0</v>
      </c>
      <c r="AT185" s="371">
        <f t="shared" si="121"/>
        <v>0</v>
      </c>
      <c r="AU185" s="1966">
        <f t="shared" si="122"/>
        <v>0</v>
      </c>
      <c r="AV185" s="2161">
        <f t="shared" si="123"/>
        <v>0</v>
      </c>
      <c r="AW185" s="2161">
        <f t="shared" si="124"/>
        <v>0</v>
      </c>
      <c r="AX185" s="1966">
        <f t="shared" si="125"/>
        <v>0</v>
      </c>
      <c r="AY185" s="372">
        <f t="shared" si="126"/>
        <v>0</v>
      </c>
      <c r="AZ185" s="265"/>
      <c r="BA185" s="371">
        <f t="shared" si="97"/>
        <v>0</v>
      </c>
      <c r="BB185" s="1966">
        <f t="shared" si="98"/>
        <v>0</v>
      </c>
      <c r="BC185" s="1966">
        <f t="shared" si="99"/>
        <v>0</v>
      </c>
      <c r="BD185" s="1966">
        <f t="shared" si="100"/>
        <v>0</v>
      </c>
      <c r="BE185" s="372">
        <f t="shared" si="101"/>
        <v>0</v>
      </c>
      <c r="BG185" s="2159">
        <f t="shared" si="102"/>
        <v>46023</v>
      </c>
      <c r="BH185" s="2159">
        <f t="shared" si="103"/>
        <v>46023</v>
      </c>
      <c r="BI185" s="2159">
        <f t="shared" si="104"/>
        <v>46023</v>
      </c>
      <c r="BJ185" s="2159">
        <f t="shared" si="105"/>
        <v>0</v>
      </c>
      <c r="BL185" s="369">
        <f t="shared" si="106"/>
        <v>0</v>
      </c>
      <c r="BM185" s="2159">
        <f t="shared" si="107"/>
        <v>0</v>
      </c>
      <c r="BN185" s="2159">
        <f t="shared" si="108"/>
        <v>0</v>
      </c>
      <c r="BO185" s="373">
        <f t="shared" si="109"/>
        <v>0</v>
      </c>
      <c r="BT185" s="2054"/>
    </row>
    <row r="186" spans="1:72" ht="45.75" customHeight="1">
      <c r="A186" s="2163"/>
      <c r="B186" s="2146"/>
      <c r="C186" s="2146"/>
      <c r="D186" s="2164"/>
      <c r="E186" s="1573"/>
      <c r="F186" s="2148"/>
      <c r="G186" s="2149" t="str">
        <f t="shared" si="110"/>
        <v/>
      </c>
      <c r="H186" s="2148"/>
      <c r="I186" s="2150"/>
      <c r="J186" s="2148"/>
      <c r="K186" s="2151">
        <f t="shared" si="111"/>
        <v>0</v>
      </c>
      <c r="L186" s="2148"/>
      <c r="M186" s="2150"/>
      <c r="N186" s="2152"/>
      <c r="O186" s="2148"/>
      <c r="P186" s="2151">
        <f t="shared" si="112"/>
        <v>0</v>
      </c>
      <c r="Q186" s="2148"/>
      <c r="R186" s="2150"/>
      <c r="S186" s="2152"/>
      <c r="T186" s="2153"/>
      <c r="U186" s="2154">
        <f t="shared" si="113"/>
        <v>0</v>
      </c>
      <c r="V186" s="2155"/>
      <c r="W186" s="2150"/>
      <c r="X186" s="2152"/>
      <c r="Y186" s="2153"/>
      <c r="Z186" s="1572">
        <f t="shared" si="114"/>
        <v>0</v>
      </c>
      <c r="AA186" s="2168">
        <f t="shared" si="87"/>
        <v>0</v>
      </c>
      <c r="AB186" s="2156" t="str">
        <f t="shared" si="115"/>
        <v/>
      </c>
      <c r="AD186" s="2158" t="str">
        <f t="shared" si="88"/>
        <v/>
      </c>
      <c r="AE186" s="2159">
        <f t="shared" si="89"/>
        <v>0</v>
      </c>
      <c r="AF186" s="2159">
        <f t="shared" si="90"/>
        <v>0</v>
      </c>
      <c r="AG186" s="2159">
        <f t="shared" si="91"/>
        <v>0</v>
      </c>
      <c r="AH186" s="2159">
        <f t="shared" si="92"/>
        <v>0</v>
      </c>
      <c r="AI186" s="2160">
        <f t="shared" si="116"/>
        <v>0</v>
      </c>
      <c r="AJ186" s="1966">
        <f t="shared" si="93"/>
        <v>1</v>
      </c>
      <c r="AK186" s="2159">
        <f t="shared" si="94"/>
        <v>0</v>
      </c>
      <c r="AL186" s="368" t="e">
        <f t="shared" si="95"/>
        <v>#DIV/0!</v>
      </c>
      <c r="AN186" s="369">
        <f t="shared" si="96"/>
        <v>0</v>
      </c>
      <c r="AO186" s="1966">
        <f t="shared" si="117"/>
        <v>0</v>
      </c>
      <c r="AP186" s="1966">
        <f t="shared" si="118"/>
        <v>0</v>
      </c>
      <c r="AQ186" s="1966">
        <f t="shared" si="119"/>
        <v>0</v>
      </c>
      <c r="AR186" s="370">
        <f t="shared" si="120"/>
        <v>0</v>
      </c>
      <c r="AT186" s="371">
        <f t="shared" si="121"/>
        <v>0</v>
      </c>
      <c r="AU186" s="1966">
        <f t="shared" si="122"/>
        <v>0</v>
      </c>
      <c r="AV186" s="2161">
        <f t="shared" si="123"/>
        <v>0</v>
      </c>
      <c r="AW186" s="2161">
        <f t="shared" si="124"/>
        <v>0</v>
      </c>
      <c r="AX186" s="1966">
        <f t="shared" si="125"/>
        <v>0</v>
      </c>
      <c r="AY186" s="372">
        <f t="shared" si="126"/>
        <v>0</v>
      </c>
      <c r="AZ186" s="265"/>
      <c r="BA186" s="371">
        <f t="shared" si="97"/>
        <v>0</v>
      </c>
      <c r="BB186" s="1966">
        <f t="shared" si="98"/>
        <v>0</v>
      </c>
      <c r="BC186" s="1966">
        <f t="shared" si="99"/>
        <v>0</v>
      </c>
      <c r="BD186" s="1966">
        <f t="shared" si="100"/>
        <v>0</v>
      </c>
      <c r="BE186" s="372">
        <f t="shared" si="101"/>
        <v>0</v>
      </c>
      <c r="BG186" s="2159">
        <f t="shared" si="102"/>
        <v>46023</v>
      </c>
      <c r="BH186" s="2159">
        <f t="shared" si="103"/>
        <v>46023</v>
      </c>
      <c r="BI186" s="2159">
        <f t="shared" si="104"/>
        <v>46023</v>
      </c>
      <c r="BJ186" s="2159">
        <f t="shared" si="105"/>
        <v>0</v>
      </c>
      <c r="BL186" s="369">
        <f t="shared" si="106"/>
        <v>0</v>
      </c>
      <c r="BM186" s="2159">
        <f t="shared" si="107"/>
        <v>0</v>
      </c>
      <c r="BN186" s="2159">
        <f t="shared" si="108"/>
        <v>0</v>
      </c>
      <c r="BO186" s="373">
        <f t="shared" si="109"/>
        <v>0</v>
      </c>
      <c r="BT186" s="2054"/>
    </row>
    <row r="187" spans="1:72" ht="45.75" customHeight="1">
      <c r="A187" s="2163"/>
      <c r="B187" s="2146"/>
      <c r="C187" s="2146"/>
      <c r="D187" s="2164"/>
      <c r="E187" s="1573"/>
      <c r="F187" s="2148"/>
      <c r="G187" s="2149" t="str">
        <f t="shared" si="110"/>
        <v/>
      </c>
      <c r="H187" s="2148"/>
      <c r="I187" s="2150"/>
      <c r="J187" s="2148"/>
      <c r="K187" s="2151">
        <f t="shared" si="111"/>
        <v>0</v>
      </c>
      <c r="L187" s="2148"/>
      <c r="M187" s="2150"/>
      <c r="N187" s="2152"/>
      <c r="O187" s="2148"/>
      <c r="P187" s="2151">
        <f t="shared" si="112"/>
        <v>0</v>
      </c>
      <c r="Q187" s="2148"/>
      <c r="R187" s="2150"/>
      <c r="S187" s="2152"/>
      <c r="T187" s="2153"/>
      <c r="U187" s="2154">
        <f t="shared" si="113"/>
        <v>0</v>
      </c>
      <c r="V187" s="2155"/>
      <c r="W187" s="2150"/>
      <c r="X187" s="2152"/>
      <c r="Y187" s="2153"/>
      <c r="Z187" s="1572">
        <f t="shared" si="114"/>
        <v>0</v>
      </c>
      <c r="AA187" s="2168">
        <f t="shared" si="87"/>
        <v>0</v>
      </c>
      <c r="AB187" s="2156" t="str">
        <f t="shared" si="115"/>
        <v/>
      </c>
      <c r="AD187" s="2158" t="str">
        <f t="shared" si="88"/>
        <v/>
      </c>
      <c r="AE187" s="2159">
        <f t="shared" si="89"/>
        <v>0</v>
      </c>
      <c r="AF187" s="2159">
        <f t="shared" si="90"/>
        <v>0</v>
      </c>
      <c r="AG187" s="2159">
        <f t="shared" si="91"/>
        <v>0</v>
      </c>
      <c r="AH187" s="2159">
        <f t="shared" si="92"/>
        <v>0</v>
      </c>
      <c r="AI187" s="2160">
        <f t="shared" si="116"/>
        <v>0</v>
      </c>
      <c r="AJ187" s="1966">
        <f t="shared" si="93"/>
        <v>1</v>
      </c>
      <c r="AK187" s="2159">
        <f t="shared" si="94"/>
        <v>0</v>
      </c>
      <c r="AL187" s="368" t="e">
        <f t="shared" si="95"/>
        <v>#DIV/0!</v>
      </c>
      <c r="AN187" s="369">
        <f t="shared" si="96"/>
        <v>0</v>
      </c>
      <c r="AO187" s="1966">
        <f t="shared" si="117"/>
        <v>0</v>
      </c>
      <c r="AP187" s="1966">
        <f t="shared" si="118"/>
        <v>0</v>
      </c>
      <c r="AQ187" s="1966">
        <f t="shared" si="119"/>
        <v>0</v>
      </c>
      <c r="AR187" s="370">
        <f t="shared" si="120"/>
        <v>0</v>
      </c>
      <c r="AT187" s="371">
        <f t="shared" si="121"/>
        <v>0</v>
      </c>
      <c r="AU187" s="1966">
        <f t="shared" si="122"/>
        <v>0</v>
      </c>
      <c r="AV187" s="2161">
        <f t="shared" si="123"/>
        <v>0</v>
      </c>
      <c r="AW187" s="2161">
        <f t="shared" si="124"/>
        <v>0</v>
      </c>
      <c r="AX187" s="1966">
        <f t="shared" si="125"/>
        <v>0</v>
      </c>
      <c r="AY187" s="372">
        <f t="shared" si="126"/>
        <v>0</v>
      </c>
      <c r="AZ187" s="265"/>
      <c r="BA187" s="371">
        <f t="shared" si="97"/>
        <v>0</v>
      </c>
      <c r="BB187" s="1966">
        <f t="shared" si="98"/>
        <v>0</v>
      </c>
      <c r="BC187" s="1966">
        <f t="shared" si="99"/>
        <v>0</v>
      </c>
      <c r="BD187" s="1966">
        <f t="shared" si="100"/>
        <v>0</v>
      </c>
      <c r="BE187" s="372">
        <f t="shared" si="101"/>
        <v>0</v>
      </c>
      <c r="BG187" s="2159">
        <f t="shared" si="102"/>
        <v>46023</v>
      </c>
      <c r="BH187" s="2159">
        <f t="shared" si="103"/>
        <v>46023</v>
      </c>
      <c r="BI187" s="2159">
        <f t="shared" si="104"/>
        <v>46023</v>
      </c>
      <c r="BJ187" s="2159">
        <f t="shared" si="105"/>
        <v>0</v>
      </c>
      <c r="BL187" s="369">
        <f t="shared" si="106"/>
        <v>0</v>
      </c>
      <c r="BM187" s="2159">
        <f t="shared" si="107"/>
        <v>0</v>
      </c>
      <c r="BN187" s="2159">
        <f t="shared" si="108"/>
        <v>0</v>
      </c>
      <c r="BO187" s="373">
        <f t="shared" si="109"/>
        <v>0</v>
      </c>
      <c r="BT187" s="2054"/>
    </row>
    <row r="188" spans="1:72" ht="45.75" customHeight="1">
      <c r="A188" s="2163"/>
      <c r="B188" s="2146"/>
      <c r="C188" s="2146"/>
      <c r="D188" s="2164"/>
      <c r="E188" s="1573"/>
      <c r="F188" s="2148"/>
      <c r="G188" s="2149" t="str">
        <f t="shared" si="110"/>
        <v/>
      </c>
      <c r="H188" s="2148"/>
      <c r="I188" s="2150"/>
      <c r="J188" s="2148"/>
      <c r="K188" s="2151">
        <f t="shared" si="111"/>
        <v>0</v>
      </c>
      <c r="L188" s="2148"/>
      <c r="M188" s="2150"/>
      <c r="N188" s="2152"/>
      <c r="O188" s="2148"/>
      <c r="P188" s="2151">
        <f t="shared" si="112"/>
        <v>0</v>
      </c>
      <c r="Q188" s="2148"/>
      <c r="R188" s="2150"/>
      <c r="S188" s="2152"/>
      <c r="T188" s="2153"/>
      <c r="U188" s="2154">
        <f t="shared" si="113"/>
        <v>0</v>
      </c>
      <c r="V188" s="2155"/>
      <c r="W188" s="2150"/>
      <c r="X188" s="2152"/>
      <c r="Y188" s="2153"/>
      <c r="Z188" s="1572">
        <f t="shared" si="114"/>
        <v>0</v>
      </c>
      <c r="AA188" s="2168">
        <f t="shared" si="87"/>
        <v>0</v>
      </c>
      <c r="AB188" s="2156" t="str">
        <f t="shared" si="115"/>
        <v/>
      </c>
      <c r="AD188" s="2158" t="str">
        <f t="shared" si="88"/>
        <v/>
      </c>
      <c r="AE188" s="2159">
        <f t="shared" si="89"/>
        <v>0</v>
      </c>
      <c r="AF188" s="2159">
        <f t="shared" si="90"/>
        <v>0</v>
      </c>
      <c r="AG188" s="2159">
        <f t="shared" si="91"/>
        <v>0</v>
      </c>
      <c r="AH188" s="2159">
        <f t="shared" si="92"/>
        <v>0</v>
      </c>
      <c r="AI188" s="2160">
        <f t="shared" si="116"/>
        <v>0</v>
      </c>
      <c r="AJ188" s="1966">
        <f t="shared" si="93"/>
        <v>1</v>
      </c>
      <c r="AK188" s="2159">
        <f t="shared" si="94"/>
        <v>0</v>
      </c>
      <c r="AL188" s="368" t="e">
        <f t="shared" si="95"/>
        <v>#DIV/0!</v>
      </c>
      <c r="AN188" s="369">
        <f t="shared" si="96"/>
        <v>0</v>
      </c>
      <c r="AO188" s="1966">
        <f t="shared" si="117"/>
        <v>0</v>
      </c>
      <c r="AP188" s="1966">
        <f t="shared" si="118"/>
        <v>0</v>
      </c>
      <c r="AQ188" s="1966">
        <f t="shared" si="119"/>
        <v>0</v>
      </c>
      <c r="AR188" s="370">
        <f t="shared" si="120"/>
        <v>0</v>
      </c>
      <c r="AT188" s="371">
        <f t="shared" si="121"/>
        <v>0</v>
      </c>
      <c r="AU188" s="1966">
        <f t="shared" si="122"/>
        <v>0</v>
      </c>
      <c r="AV188" s="2161">
        <f t="shared" si="123"/>
        <v>0</v>
      </c>
      <c r="AW188" s="2161">
        <f t="shared" si="124"/>
        <v>0</v>
      </c>
      <c r="AX188" s="1966">
        <f t="shared" si="125"/>
        <v>0</v>
      </c>
      <c r="AY188" s="372">
        <f t="shared" si="126"/>
        <v>0</v>
      </c>
      <c r="AZ188" s="265"/>
      <c r="BA188" s="371">
        <f t="shared" si="97"/>
        <v>0</v>
      </c>
      <c r="BB188" s="1966">
        <f t="shared" si="98"/>
        <v>0</v>
      </c>
      <c r="BC188" s="1966">
        <f t="shared" si="99"/>
        <v>0</v>
      </c>
      <c r="BD188" s="1966">
        <f t="shared" si="100"/>
        <v>0</v>
      </c>
      <c r="BE188" s="372">
        <f t="shared" si="101"/>
        <v>0</v>
      </c>
      <c r="BG188" s="2159">
        <f t="shared" si="102"/>
        <v>46023</v>
      </c>
      <c r="BH188" s="2159">
        <f t="shared" si="103"/>
        <v>46023</v>
      </c>
      <c r="BI188" s="2159">
        <f t="shared" si="104"/>
        <v>46023</v>
      </c>
      <c r="BJ188" s="2159">
        <f t="shared" si="105"/>
        <v>0</v>
      </c>
      <c r="BL188" s="369">
        <f t="shared" si="106"/>
        <v>0</v>
      </c>
      <c r="BM188" s="2159">
        <f t="shared" si="107"/>
        <v>0</v>
      </c>
      <c r="BN188" s="2159">
        <f t="shared" si="108"/>
        <v>0</v>
      </c>
      <c r="BO188" s="373">
        <f t="shared" si="109"/>
        <v>0</v>
      </c>
      <c r="BT188" s="2054"/>
    </row>
    <row r="189" spans="1:72" ht="45.75" customHeight="1">
      <c r="A189" s="2163"/>
      <c r="B189" s="2146"/>
      <c r="C189" s="2146"/>
      <c r="D189" s="2164"/>
      <c r="E189" s="1573"/>
      <c r="F189" s="2148"/>
      <c r="G189" s="2149" t="str">
        <f t="shared" si="110"/>
        <v/>
      </c>
      <c r="H189" s="2148"/>
      <c r="I189" s="2150"/>
      <c r="J189" s="2148"/>
      <c r="K189" s="2151">
        <f t="shared" si="111"/>
        <v>0</v>
      </c>
      <c r="L189" s="2148"/>
      <c r="M189" s="2150"/>
      <c r="N189" s="2152"/>
      <c r="O189" s="2148"/>
      <c r="P189" s="2151">
        <f t="shared" si="112"/>
        <v>0</v>
      </c>
      <c r="Q189" s="2148"/>
      <c r="R189" s="2150"/>
      <c r="S189" s="2152"/>
      <c r="T189" s="2153"/>
      <c r="U189" s="2154">
        <f t="shared" si="113"/>
        <v>0</v>
      </c>
      <c r="V189" s="2155"/>
      <c r="W189" s="2150"/>
      <c r="X189" s="2152"/>
      <c r="Y189" s="2153"/>
      <c r="Z189" s="1572">
        <f t="shared" si="114"/>
        <v>0</v>
      </c>
      <c r="AA189" s="2168">
        <f t="shared" si="87"/>
        <v>0</v>
      </c>
      <c r="AB189" s="2156" t="str">
        <f t="shared" si="115"/>
        <v/>
      </c>
      <c r="AD189" s="2158" t="str">
        <f t="shared" si="88"/>
        <v/>
      </c>
      <c r="AE189" s="2159">
        <f t="shared" si="89"/>
        <v>0</v>
      </c>
      <c r="AF189" s="2159">
        <f t="shared" si="90"/>
        <v>0</v>
      </c>
      <c r="AG189" s="2159">
        <f t="shared" si="91"/>
        <v>0</v>
      </c>
      <c r="AH189" s="2159">
        <f t="shared" si="92"/>
        <v>0</v>
      </c>
      <c r="AI189" s="2160">
        <f t="shared" si="116"/>
        <v>0</v>
      </c>
      <c r="AJ189" s="1966">
        <f t="shared" si="93"/>
        <v>1</v>
      </c>
      <c r="AK189" s="2159">
        <f t="shared" si="94"/>
        <v>0</v>
      </c>
      <c r="AL189" s="368" t="e">
        <f t="shared" si="95"/>
        <v>#DIV/0!</v>
      </c>
      <c r="AN189" s="369">
        <f t="shared" si="96"/>
        <v>0</v>
      </c>
      <c r="AO189" s="1966">
        <f t="shared" si="117"/>
        <v>0</v>
      </c>
      <c r="AP189" s="1966">
        <f t="shared" si="118"/>
        <v>0</v>
      </c>
      <c r="AQ189" s="1966">
        <f t="shared" si="119"/>
        <v>0</v>
      </c>
      <c r="AR189" s="370">
        <f t="shared" si="120"/>
        <v>0</v>
      </c>
      <c r="AT189" s="371">
        <f t="shared" si="121"/>
        <v>0</v>
      </c>
      <c r="AU189" s="1966">
        <f t="shared" si="122"/>
        <v>0</v>
      </c>
      <c r="AV189" s="2161">
        <f t="shared" si="123"/>
        <v>0</v>
      </c>
      <c r="AW189" s="2161">
        <f t="shared" si="124"/>
        <v>0</v>
      </c>
      <c r="AX189" s="1966">
        <f t="shared" si="125"/>
        <v>0</v>
      </c>
      <c r="AY189" s="372">
        <f t="shared" si="126"/>
        <v>0</v>
      </c>
      <c r="AZ189" s="265"/>
      <c r="BA189" s="371">
        <f t="shared" si="97"/>
        <v>0</v>
      </c>
      <c r="BB189" s="1966">
        <f t="shared" si="98"/>
        <v>0</v>
      </c>
      <c r="BC189" s="1966">
        <f t="shared" si="99"/>
        <v>0</v>
      </c>
      <c r="BD189" s="1966">
        <f t="shared" si="100"/>
        <v>0</v>
      </c>
      <c r="BE189" s="372">
        <f t="shared" si="101"/>
        <v>0</v>
      </c>
      <c r="BG189" s="2159">
        <f t="shared" si="102"/>
        <v>46023</v>
      </c>
      <c r="BH189" s="2159">
        <f t="shared" si="103"/>
        <v>46023</v>
      </c>
      <c r="BI189" s="2159">
        <f t="shared" si="104"/>
        <v>46023</v>
      </c>
      <c r="BJ189" s="2159">
        <f t="shared" si="105"/>
        <v>0</v>
      </c>
      <c r="BL189" s="369">
        <f t="shared" si="106"/>
        <v>0</v>
      </c>
      <c r="BM189" s="2159">
        <f t="shared" si="107"/>
        <v>0</v>
      </c>
      <c r="BN189" s="2159">
        <f t="shared" si="108"/>
        <v>0</v>
      </c>
      <c r="BO189" s="373">
        <f t="shared" si="109"/>
        <v>0</v>
      </c>
      <c r="BT189" s="2054"/>
    </row>
    <row r="190" spans="1:72" ht="45.75" customHeight="1">
      <c r="A190" s="2163"/>
      <c r="B190" s="2146"/>
      <c r="C190" s="2146"/>
      <c r="D190" s="2164"/>
      <c r="E190" s="1573"/>
      <c r="F190" s="2148"/>
      <c r="G190" s="2149" t="str">
        <f t="shared" si="110"/>
        <v/>
      </c>
      <c r="H190" s="2148"/>
      <c r="I190" s="2150"/>
      <c r="J190" s="2148"/>
      <c r="K190" s="2151">
        <f t="shared" si="111"/>
        <v>0</v>
      </c>
      <c r="L190" s="2148"/>
      <c r="M190" s="2150"/>
      <c r="N190" s="2152"/>
      <c r="O190" s="2148"/>
      <c r="P190" s="2151">
        <f t="shared" si="112"/>
        <v>0</v>
      </c>
      <c r="Q190" s="2148"/>
      <c r="R190" s="2150"/>
      <c r="S190" s="2152"/>
      <c r="T190" s="2153"/>
      <c r="U190" s="2154">
        <f t="shared" si="113"/>
        <v>0</v>
      </c>
      <c r="V190" s="2155"/>
      <c r="W190" s="2150"/>
      <c r="X190" s="2152"/>
      <c r="Y190" s="2153"/>
      <c r="Z190" s="1572">
        <f t="shared" si="114"/>
        <v>0</v>
      </c>
      <c r="AA190" s="2168">
        <f t="shared" si="87"/>
        <v>0</v>
      </c>
      <c r="AB190" s="2156" t="str">
        <f t="shared" si="115"/>
        <v/>
      </c>
      <c r="AD190" s="2158" t="str">
        <f t="shared" si="88"/>
        <v/>
      </c>
      <c r="AE190" s="2159">
        <f t="shared" si="89"/>
        <v>0</v>
      </c>
      <c r="AF190" s="2159">
        <f t="shared" si="90"/>
        <v>0</v>
      </c>
      <c r="AG190" s="2159">
        <f t="shared" si="91"/>
        <v>0</v>
      </c>
      <c r="AH190" s="2159">
        <f t="shared" si="92"/>
        <v>0</v>
      </c>
      <c r="AI190" s="2160">
        <f t="shared" si="116"/>
        <v>0</v>
      </c>
      <c r="AJ190" s="1966">
        <f t="shared" si="93"/>
        <v>1</v>
      </c>
      <c r="AK190" s="2159">
        <f t="shared" si="94"/>
        <v>0</v>
      </c>
      <c r="AL190" s="368" t="e">
        <f t="shared" si="95"/>
        <v>#DIV/0!</v>
      </c>
      <c r="AN190" s="369">
        <f t="shared" si="96"/>
        <v>0</v>
      </c>
      <c r="AO190" s="1966">
        <f t="shared" si="117"/>
        <v>0</v>
      </c>
      <c r="AP190" s="1966">
        <f t="shared" si="118"/>
        <v>0</v>
      </c>
      <c r="AQ190" s="1966">
        <f t="shared" si="119"/>
        <v>0</v>
      </c>
      <c r="AR190" s="370">
        <f t="shared" si="120"/>
        <v>0</v>
      </c>
      <c r="AT190" s="371">
        <f t="shared" si="121"/>
        <v>0</v>
      </c>
      <c r="AU190" s="1966">
        <f t="shared" si="122"/>
        <v>0</v>
      </c>
      <c r="AV190" s="2161">
        <f t="shared" si="123"/>
        <v>0</v>
      </c>
      <c r="AW190" s="2161">
        <f t="shared" si="124"/>
        <v>0</v>
      </c>
      <c r="AX190" s="1966">
        <f t="shared" si="125"/>
        <v>0</v>
      </c>
      <c r="AY190" s="372">
        <f t="shared" si="126"/>
        <v>0</v>
      </c>
      <c r="AZ190" s="265"/>
      <c r="BA190" s="371">
        <f t="shared" si="97"/>
        <v>0</v>
      </c>
      <c r="BB190" s="1966">
        <f t="shared" si="98"/>
        <v>0</v>
      </c>
      <c r="BC190" s="1966">
        <f t="shared" si="99"/>
        <v>0</v>
      </c>
      <c r="BD190" s="1966">
        <f t="shared" si="100"/>
        <v>0</v>
      </c>
      <c r="BE190" s="372">
        <f t="shared" si="101"/>
        <v>0</v>
      </c>
      <c r="BG190" s="2159">
        <f t="shared" si="102"/>
        <v>46023</v>
      </c>
      <c r="BH190" s="2159">
        <f t="shared" si="103"/>
        <v>46023</v>
      </c>
      <c r="BI190" s="2159">
        <f t="shared" si="104"/>
        <v>46023</v>
      </c>
      <c r="BJ190" s="2159">
        <f t="shared" si="105"/>
        <v>0</v>
      </c>
      <c r="BL190" s="369">
        <f t="shared" si="106"/>
        <v>0</v>
      </c>
      <c r="BM190" s="2159">
        <f t="shared" si="107"/>
        <v>0</v>
      </c>
      <c r="BN190" s="2159">
        <f t="shared" si="108"/>
        <v>0</v>
      </c>
      <c r="BO190" s="373">
        <f t="shared" si="109"/>
        <v>0</v>
      </c>
      <c r="BT190" s="2054"/>
    </row>
    <row r="191" spans="1:72" ht="45.75" customHeight="1">
      <c r="A191" s="2163"/>
      <c r="B191" s="2146"/>
      <c r="C191" s="2146"/>
      <c r="D191" s="2164"/>
      <c r="E191" s="1573"/>
      <c r="F191" s="2148"/>
      <c r="G191" s="2149" t="str">
        <f t="shared" si="110"/>
        <v/>
      </c>
      <c r="H191" s="2148"/>
      <c r="I191" s="2150"/>
      <c r="J191" s="2148"/>
      <c r="K191" s="2151">
        <f t="shared" si="111"/>
        <v>0</v>
      </c>
      <c r="L191" s="2148"/>
      <c r="M191" s="2150"/>
      <c r="N191" s="2152"/>
      <c r="O191" s="2148"/>
      <c r="P191" s="2151">
        <f t="shared" si="112"/>
        <v>0</v>
      </c>
      <c r="Q191" s="2148"/>
      <c r="R191" s="2150"/>
      <c r="S191" s="2152"/>
      <c r="T191" s="2153"/>
      <c r="U191" s="2154">
        <f t="shared" si="113"/>
        <v>0</v>
      </c>
      <c r="V191" s="2155"/>
      <c r="W191" s="2150"/>
      <c r="X191" s="2152"/>
      <c r="Y191" s="2153"/>
      <c r="Z191" s="1572">
        <f t="shared" si="114"/>
        <v>0</v>
      </c>
      <c r="AA191" s="2168">
        <f t="shared" si="87"/>
        <v>0</v>
      </c>
      <c r="AB191" s="2156" t="str">
        <f t="shared" si="115"/>
        <v/>
      </c>
      <c r="AD191" s="2158" t="str">
        <f t="shared" si="88"/>
        <v/>
      </c>
      <c r="AE191" s="2159">
        <f t="shared" si="89"/>
        <v>0</v>
      </c>
      <c r="AF191" s="2159">
        <f t="shared" si="90"/>
        <v>0</v>
      </c>
      <c r="AG191" s="2159">
        <f t="shared" si="91"/>
        <v>0</v>
      </c>
      <c r="AH191" s="2159">
        <f t="shared" si="92"/>
        <v>0</v>
      </c>
      <c r="AI191" s="2160">
        <f t="shared" si="116"/>
        <v>0</v>
      </c>
      <c r="AJ191" s="1966">
        <f t="shared" si="93"/>
        <v>1</v>
      </c>
      <c r="AK191" s="2159">
        <f t="shared" si="94"/>
        <v>0</v>
      </c>
      <c r="AL191" s="368" t="e">
        <f t="shared" si="95"/>
        <v>#DIV/0!</v>
      </c>
      <c r="AN191" s="369">
        <f t="shared" si="96"/>
        <v>0</v>
      </c>
      <c r="AO191" s="1966">
        <f t="shared" si="117"/>
        <v>0</v>
      </c>
      <c r="AP191" s="1966">
        <f t="shared" si="118"/>
        <v>0</v>
      </c>
      <c r="AQ191" s="1966">
        <f t="shared" si="119"/>
        <v>0</v>
      </c>
      <c r="AR191" s="370">
        <f t="shared" si="120"/>
        <v>0</v>
      </c>
      <c r="AT191" s="371">
        <f t="shared" si="121"/>
        <v>0</v>
      </c>
      <c r="AU191" s="1966">
        <f t="shared" si="122"/>
        <v>0</v>
      </c>
      <c r="AV191" s="2161">
        <f t="shared" si="123"/>
        <v>0</v>
      </c>
      <c r="AW191" s="2161">
        <f t="shared" si="124"/>
        <v>0</v>
      </c>
      <c r="AX191" s="1966">
        <f t="shared" si="125"/>
        <v>0</v>
      </c>
      <c r="AY191" s="372">
        <f t="shared" si="126"/>
        <v>0</v>
      </c>
      <c r="AZ191" s="265"/>
      <c r="BA191" s="371">
        <f t="shared" si="97"/>
        <v>0</v>
      </c>
      <c r="BB191" s="1966">
        <f t="shared" si="98"/>
        <v>0</v>
      </c>
      <c r="BC191" s="1966">
        <f t="shared" si="99"/>
        <v>0</v>
      </c>
      <c r="BD191" s="1966">
        <f t="shared" si="100"/>
        <v>0</v>
      </c>
      <c r="BE191" s="372">
        <f t="shared" si="101"/>
        <v>0</v>
      </c>
      <c r="BG191" s="2159">
        <f t="shared" si="102"/>
        <v>46023</v>
      </c>
      <c r="BH191" s="2159">
        <f t="shared" si="103"/>
        <v>46023</v>
      </c>
      <c r="BI191" s="2159">
        <f t="shared" si="104"/>
        <v>46023</v>
      </c>
      <c r="BJ191" s="2159">
        <f t="shared" si="105"/>
        <v>0</v>
      </c>
      <c r="BL191" s="369">
        <f t="shared" si="106"/>
        <v>0</v>
      </c>
      <c r="BM191" s="2159">
        <f t="shared" si="107"/>
        <v>0</v>
      </c>
      <c r="BN191" s="2159">
        <f t="shared" si="108"/>
        <v>0</v>
      </c>
      <c r="BO191" s="373">
        <f t="shared" si="109"/>
        <v>0</v>
      </c>
      <c r="BT191" s="2054"/>
    </row>
    <row r="192" spans="1:72" ht="45.75" customHeight="1">
      <c r="A192" s="2163"/>
      <c r="B192" s="2146"/>
      <c r="C192" s="2146"/>
      <c r="D192" s="2164"/>
      <c r="E192" s="1573"/>
      <c r="F192" s="2148"/>
      <c r="G192" s="2149" t="str">
        <f t="shared" si="110"/>
        <v/>
      </c>
      <c r="H192" s="2148"/>
      <c r="I192" s="2150"/>
      <c r="J192" s="2148"/>
      <c r="K192" s="2151">
        <f t="shared" si="111"/>
        <v>0</v>
      </c>
      <c r="L192" s="2148"/>
      <c r="M192" s="2150"/>
      <c r="N192" s="2152"/>
      <c r="O192" s="2148"/>
      <c r="P192" s="2151">
        <f t="shared" si="112"/>
        <v>0</v>
      </c>
      <c r="Q192" s="2148"/>
      <c r="R192" s="2150"/>
      <c r="S192" s="2152"/>
      <c r="T192" s="2153"/>
      <c r="U192" s="2154">
        <f t="shared" si="113"/>
        <v>0</v>
      </c>
      <c r="V192" s="2155"/>
      <c r="W192" s="2150"/>
      <c r="X192" s="2152"/>
      <c r="Y192" s="2153"/>
      <c r="Z192" s="1572">
        <f t="shared" si="114"/>
        <v>0</v>
      </c>
      <c r="AA192" s="2168">
        <f t="shared" si="87"/>
        <v>0</v>
      </c>
      <c r="AB192" s="2156" t="str">
        <f t="shared" si="115"/>
        <v/>
      </c>
      <c r="AD192" s="2158" t="str">
        <f t="shared" si="88"/>
        <v/>
      </c>
      <c r="AE192" s="2159">
        <f t="shared" si="89"/>
        <v>0</v>
      </c>
      <c r="AF192" s="2159">
        <f t="shared" si="90"/>
        <v>0</v>
      </c>
      <c r="AG192" s="2159">
        <f t="shared" si="91"/>
        <v>0</v>
      </c>
      <c r="AH192" s="2159">
        <f t="shared" si="92"/>
        <v>0</v>
      </c>
      <c r="AI192" s="2160">
        <f t="shared" si="116"/>
        <v>0</v>
      </c>
      <c r="AJ192" s="1966">
        <f t="shared" si="93"/>
        <v>1</v>
      </c>
      <c r="AK192" s="2159">
        <f t="shared" si="94"/>
        <v>0</v>
      </c>
      <c r="AL192" s="368" t="e">
        <f t="shared" si="95"/>
        <v>#DIV/0!</v>
      </c>
      <c r="AN192" s="369">
        <f t="shared" si="96"/>
        <v>0</v>
      </c>
      <c r="AO192" s="1966">
        <f t="shared" si="117"/>
        <v>0</v>
      </c>
      <c r="AP192" s="1966">
        <f t="shared" si="118"/>
        <v>0</v>
      </c>
      <c r="AQ192" s="1966">
        <f t="shared" si="119"/>
        <v>0</v>
      </c>
      <c r="AR192" s="370">
        <f t="shared" si="120"/>
        <v>0</v>
      </c>
      <c r="AT192" s="371">
        <f t="shared" si="121"/>
        <v>0</v>
      </c>
      <c r="AU192" s="1966">
        <f t="shared" si="122"/>
        <v>0</v>
      </c>
      <c r="AV192" s="2161">
        <f t="shared" si="123"/>
        <v>0</v>
      </c>
      <c r="AW192" s="2161">
        <f t="shared" si="124"/>
        <v>0</v>
      </c>
      <c r="AX192" s="1966">
        <f t="shared" si="125"/>
        <v>0</v>
      </c>
      <c r="AY192" s="372">
        <f t="shared" si="126"/>
        <v>0</v>
      </c>
      <c r="AZ192" s="265"/>
      <c r="BA192" s="371">
        <f t="shared" si="97"/>
        <v>0</v>
      </c>
      <c r="BB192" s="1966">
        <f t="shared" si="98"/>
        <v>0</v>
      </c>
      <c r="BC192" s="1966">
        <f t="shared" si="99"/>
        <v>0</v>
      </c>
      <c r="BD192" s="1966">
        <f t="shared" si="100"/>
        <v>0</v>
      </c>
      <c r="BE192" s="372">
        <f t="shared" si="101"/>
        <v>0</v>
      </c>
      <c r="BG192" s="2159">
        <f t="shared" si="102"/>
        <v>46023</v>
      </c>
      <c r="BH192" s="2159">
        <f t="shared" si="103"/>
        <v>46023</v>
      </c>
      <c r="BI192" s="2159">
        <f t="shared" si="104"/>
        <v>46023</v>
      </c>
      <c r="BJ192" s="2159">
        <f t="shared" si="105"/>
        <v>0</v>
      </c>
      <c r="BL192" s="369">
        <f t="shared" si="106"/>
        <v>0</v>
      </c>
      <c r="BM192" s="2159">
        <f t="shared" si="107"/>
        <v>0</v>
      </c>
      <c r="BN192" s="2159">
        <f t="shared" si="108"/>
        <v>0</v>
      </c>
      <c r="BO192" s="373">
        <f t="shared" si="109"/>
        <v>0</v>
      </c>
      <c r="BT192" s="2054"/>
    </row>
    <row r="193" spans="1:72" ht="45.75" customHeight="1">
      <c r="A193" s="2163"/>
      <c r="B193" s="2146"/>
      <c r="C193" s="2146"/>
      <c r="D193" s="2164"/>
      <c r="E193" s="1573"/>
      <c r="F193" s="2148"/>
      <c r="G193" s="2149" t="str">
        <f t="shared" si="110"/>
        <v/>
      </c>
      <c r="H193" s="2148"/>
      <c r="I193" s="2150"/>
      <c r="J193" s="2148"/>
      <c r="K193" s="2151">
        <f t="shared" si="111"/>
        <v>0</v>
      </c>
      <c r="L193" s="2148"/>
      <c r="M193" s="2150"/>
      <c r="N193" s="2152"/>
      <c r="O193" s="2148"/>
      <c r="P193" s="2151">
        <f t="shared" si="112"/>
        <v>0</v>
      </c>
      <c r="Q193" s="2148"/>
      <c r="R193" s="2150"/>
      <c r="S193" s="2152"/>
      <c r="T193" s="2153"/>
      <c r="U193" s="2154">
        <f t="shared" si="113"/>
        <v>0</v>
      </c>
      <c r="V193" s="2155"/>
      <c r="W193" s="2150"/>
      <c r="X193" s="2152"/>
      <c r="Y193" s="2153"/>
      <c r="Z193" s="1572">
        <f t="shared" si="114"/>
        <v>0</v>
      </c>
      <c r="AA193" s="2168">
        <f t="shared" si="87"/>
        <v>0</v>
      </c>
      <c r="AB193" s="2156" t="str">
        <f t="shared" si="115"/>
        <v/>
      </c>
      <c r="AD193" s="2158" t="str">
        <f t="shared" si="88"/>
        <v/>
      </c>
      <c r="AE193" s="2159">
        <f t="shared" si="89"/>
        <v>0</v>
      </c>
      <c r="AF193" s="2159">
        <f t="shared" si="90"/>
        <v>0</v>
      </c>
      <c r="AG193" s="2159">
        <f t="shared" si="91"/>
        <v>0</v>
      </c>
      <c r="AH193" s="2159">
        <f t="shared" si="92"/>
        <v>0</v>
      </c>
      <c r="AI193" s="2160">
        <f t="shared" si="116"/>
        <v>0</v>
      </c>
      <c r="AJ193" s="1966">
        <f t="shared" si="93"/>
        <v>1</v>
      </c>
      <c r="AK193" s="2159">
        <f t="shared" si="94"/>
        <v>0</v>
      </c>
      <c r="AL193" s="368" t="e">
        <f t="shared" si="95"/>
        <v>#DIV/0!</v>
      </c>
      <c r="AN193" s="369">
        <f t="shared" si="96"/>
        <v>0</v>
      </c>
      <c r="AO193" s="1966">
        <f t="shared" si="117"/>
        <v>0</v>
      </c>
      <c r="AP193" s="1966">
        <f t="shared" si="118"/>
        <v>0</v>
      </c>
      <c r="AQ193" s="1966">
        <f t="shared" si="119"/>
        <v>0</v>
      </c>
      <c r="AR193" s="370">
        <f t="shared" si="120"/>
        <v>0</v>
      </c>
      <c r="AT193" s="371">
        <f t="shared" si="121"/>
        <v>0</v>
      </c>
      <c r="AU193" s="1966">
        <f t="shared" si="122"/>
        <v>0</v>
      </c>
      <c r="AV193" s="2161">
        <f t="shared" si="123"/>
        <v>0</v>
      </c>
      <c r="AW193" s="2161">
        <f t="shared" si="124"/>
        <v>0</v>
      </c>
      <c r="AX193" s="1966">
        <f t="shared" si="125"/>
        <v>0</v>
      </c>
      <c r="AY193" s="372">
        <f t="shared" si="126"/>
        <v>0</v>
      </c>
      <c r="AZ193" s="265"/>
      <c r="BA193" s="371">
        <f t="shared" si="97"/>
        <v>0</v>
      </c>
      <c r="BB193" s="1966">
        <f t="shared" si="98"/>
        <v>0</v>
      </c>
      <c r="BC193" s="1966">
        <f t="shared" si="99"/>
        <v>0</v>
      </c>
      <c r="BD193" s="1966">
        <f t="shared" si="100"/>
        <v>0</v>
      </c>
      <c r="BE193" s="372">
        <f t="shared" si="101"/>
        <v>0</v>
      </c>
      <c r="BG193" s="2159">
        <f t="shared" si="102"/>
        <v>46023</v>
      </c>
      <c r="BH193" s="2159">
        <f t="shared" si="103"/>
        <v>46023</v>
      </c>
      <c r="BI193" s="2159">
        <f t="shared" si="104"/>
        <v>46023</v>
      </c>
      <c r="BJ193" s="2159">
        <f t="shared" si="105"/>
        <v>0</v>
      </c>
      <c r="BL193" s="369">
        <f t="shared" si="106"/>
        <v>0</v>
      </c>
      <c r="BM193" s="2159">
        <f t="shared" si="107"/>
        <v>0</v>
      </c>
      <c r="BN193" s="2159">
        <f t="shared" si="108"/>
        <v>0</v>
      </c>
      <c r="BO193" s="373">
        <f t="shared" si="109"/>
        <v>0</v>
      </c>
      <c r="BT193" s="2054"/>
    </row>
    <row r="194" spans="1:72" ht="45.75" customHeight="1">
      <c r="A194" s="2163"/>
      <c r="B194" s="2146"/>
      <c r="C194" s="2146"/>
      <c r="D194" s="2164"/>
      <c r="E194" s="1573"/>
      <c r="F194" s="2148"/>
      <c r="G194" s="2149" t="str">
        <f t="shared" si="110"/>
        <v/>
      </c>
      <c r="H194" s="2148"/>
      <c r="I194" s="2150"/>
      <c r="J194" s="2148"/>
      <c r="K194" s="2151">
        <f t="shared" si="111"/>
        <v>0</v>
      </c>
      <c r="L194" s="2148"/>
      <c r="M194" s="2150"/>
      <c r="N194" s="2152"/>
      <c r="O194" s="2148"/>
      <c r="P194" s="2151">
        <f t="shared" si="112"/>
        <v>0</v>
      </c>
      <c r="Q194" s="2148"/>
      <c r="R194" s="2150"/>
      <c r="S194" s="2152"/>
      <c r="T194" s="2153"/>
      <c r="U194" s="2154">
        <f t="shared" si="113"/>
        <v>0</v>
      </c>
      <c r="V194" s="2155"/>
      <c r="W194" s="2150"/>
      <c r="X194" s="2152"/>
      <c r="Y194" s="2153"/>
      <c r="Z194" s="1572">
        <f t="shared" si="114"/>
        <v>0</v>
      </c>
      <c r="AA194" s="2168">
        <f t="shared" si="87"/>
        <v>0</v>
      </c>
      <c r="AB194" s="2156" t="str">
        <f t="shared" si="115"/>
        <v/>
      </c>
      <c r="AD194" s="2158" t="str">
        <f t="shared" si="88"/>
        <v/>
      </c>
      <c r="AE194" s="2159">
        <f t="shared" si="89"/>
        <v>0</v>
      </c>
      <c r="AF194" s="2159">
        <f t="shared" si="90"/>
        <v>0</v>
      </c>
      <c r="AG194" s="2159">
        <f t="shared" si="91"/>
        <v>0</v>
      </c>
      <c r="AH194" s="2159">
        <f t="shared" si="92"/>
        <v>0</v>
      </c>
      <c r="AI194" s="2160">
        <f t="shared" si="116"/>
        <v>0</v>
      </c>
      <c r="AJ194" s="1966">
        <f t="shared" si="93"/>
        <v>1</v>
      </c>
      <c r="AK194" s="2159">
        <f t="shared" si="94"/>
        <v>0</v>
      </c>
      <c r="AL194" s="368" t="e">
        <f t="shared" si="95"/>
        <v>#DIV/0!</v>
      </c>
      <c r="AN194" s="369">
        <f t="shared" si="96"/>
        <v>0</v>
      </c>
      <c r="AO194" s="1966">
        <f t="shared" si="117"/>
        <v>0</v>
      </c>
      <c r="AP194" s="1966">
        <f t="shared" si="118"/>
        <v>0</v>
      </c>
      <c r="AQ194" s="1966">
        <f t="shared" si="119"/>
        <v>0</v>
      </c>
      <c r="AR194" s="370">
        <f t="shared" si="120"/>
        <v>0</v>
      </c>
      <c r="AT194" s="371">
        <f t="shared" si="121"/>
        <v>0</v>
      </c>
      <c r="AU194" s="1966">
        <f t="shared" si="122"/>
        <v>0</v>
      </c>
      <c r="AV194" s="2161">
        <f t="shared" si="123"/>
        <v>0</v>
      </c>
      <c r="AW194" s="2161">
        <f t="shared" si="124"/>
        <v>0</v>
      </c>
      <c r="AX194" s="1966">
        <f t="shared" si="125"/>
        <v>0</v>
      </c>
      <c r="AY194" s="372">
        <f t="shared" si="126"/>
        <v>0</v>
      </c>
      <c r="AZ194" s="265"/>
      <c r="BA194" s="371">
        <f t="shared" si="97"/>
        <v>0</v>
      </c>
      <c r="BB194" s="1966">
        <f t="shared" si="98"/>
        <v>0</v>
      </c>
      <c r="BC194" s="1966">
        <f t="shared" si="99"/>
        <v>0</v>
      </c>
      <c r="BD194" s="1966">
        <f t="shared" si="100"/>
        <v>0</v>
      </c>
      <c r="BE194" s="372">
        <f t="shared" si="101"/>
        <v>0</v>
      </c>
      <c r="BG194" s="2159">
        <f t="shared" si="102"/>
        <v>46023</v>
      </c>
      <c r="BH194" s="2159">
        <f t="shared" si="103"/>
        <v>46023</v>
      </c>
      <c r="BI194" s="2159">
        <f t="shared" si="104"/>
        <v>46023</v>
      </c>
      <c r="BJ194" s="2159">
        <f t="shared" si="105"/>
        <v>0</v>
      </c>
      <c r="BL194" s="369">
        <f t="shared" si="106"/>
        <v>0</v>
      </c>
      <c r="BM194" s="2159">
        <f t="shared" si="107"/>
        <v>0</v>
      </c>
      <c r="BN194" s="2159">
        <f t="shared" si="108"/>
        <v>0</v>
      </c>
      <c r="BO194" s="373">
        <f t="shared" si="109"/>
        <v>0</v>
      </c>
      <c r="BT194" s="2054"/>
    </row>
    <row r="195" spans="1:72" ht="45.75" customHeight="1">
      <c r="A195" s="2163"/>
      <c r="B195" s="2146"/>
      <c r="C195" s="2146"/>
      <c r="D195" s="2164"/>
      <c r="E195" s="1573"/>
      <c r="F195" s="2148"/>
      <c r="G195" s="2149" t="str">
        <f t="shared" si="110"/>
        <v/>
      </c>
      <c r="H195" s="2148"/>
      <c r="I195" s="2150"/>
      <c r="J195" s="2148"/>
      <c r="K195" s="2151">
        <f t="shared" si="111"/>
        <v>0</v>
      </c>
      <c r="L195" s="2148"/>
      <c r="M195" s="2150"/>
      <c r="N195" s="2152"/>
      <c r="O195" s="2148"/>
      <c r="P195" s="2151">
        <f t="shared" si="112"/>
        <v>0</v>
      </c>
      <c r="Q195" s="2148"/>
      <c r="R195" s="2150"/>
      <c r="S195" s="2152"/>
      <c r="T195" s="2153"/>
      <c r="U195" s="2154">
        <f t="shared" si="113"/>
        <v>0</v>
      </c>
      <c r="V195" s="2155"/>
      <c r="W195" s="2150"/>
      <c r="X195" s="2152"/>
      <c r="Y195" s="2153"/>
      <c r="Z195" s="1572">
        <f t="shared" si="114"/>
        <v>0</v>
      </c>
      <c r="AA195" s="2168">
        <f t="shared" si="87"/>
        <v>0</v>
      </c>
      <c r="AB195" s="2156" t="str">
        <f t="shared" si="115"/>
        <v/>
      </c>
      <c r="AD195" s="2158" t="str">
        <f t="shared" si="88"/>
        <v/>
      </c>
      <c r="AE195" s="2159">
        <f t="shared" si="89"/>
        <v>0</v>
      </c>
      <c r="AF195" s="2159">
        <f t="shared" si="90"/>
        <v>0</v>
      </c>
      <c r="AG195" s="2159">
        <f t="shared" si="91"/>
        <v>0</v>
      </c>
      <c r="AH195" s="2159">
        <f t="shared" si="92"/>
        <v>0</v>
      </c>
      <c r="AI195" s="2160">
        <f t="shared" si="116"/>
        <v>0</v>
      </c>
      <c r="AJ195" s="1966">
        <f t="shared" si="93"/>
        <v>1</v>
      </c>
      <c r="AK195" s="2159">
        <f t="shared" si="94"/>
        <v>0</v>
      </c>
      <c r="AL195" s="368" t="e">
        <f t="shared" si="95"/>
        <v>#DIV/0!</v>
      </c>
      <c r="AN195" s="369">
        <f t="shared" si="96"/>
        <v>0</v>
      </c>
      <c r="AO195" s="1966">
        <f t="shared" si="117"/>
        <v>0</v>
      </c>
      <c r="AP195" s="1966">
        <f t="shared" si="118"/>
        <v>0</v>
      </c>
      <c r="AQ195" s="1966">
        <f t="shared" si="119"/>
        <v>0</v>
      </c>
      <c r="AR195" s="370">
        <f t="shared" si="120"/>
        <v>0</v>
      </c>
      <c r="AT195" s="371">
        <f t="shared" si="121"/>
        <v>0</v>
      </c>
      <c r="AU195" s="1966">
        <f t="shared" si="122"/>
        <v>0</v>
      </c>
      <c r="AV195" s="2161">
        <f t="shared" si="123"/>
        <v>0</v>
      </c>
      <c r="AW195" s="2161">
        <f t="shared" si="124"/>
        <v>0</v>
      </c>
      <c r="AX195" s="1966">
        <f t="shared" si="125"/>
        <v>0</v>
      </c>
      <c r="AY195" s="372">
        <f t="shared" si="126"/>
        <v>0</v>
      </c>
      <c r="AZ195" s="265"/>
      <c r="BA195" s="371">
        <f t="shared" si="97"/>
        <v>0</v>
      </c>
      <c r="BB195" s="1966">
        <f t="shared" si="98"/>
        <v>0</v>
      </c>
      <c r="BC195" s="1966">
        <f t="shared" si="99"/>
        <v>0</v>
      </c>
      <c r="BD195" s="1966">
        <f t="shared" si="100"/>
        <v>0</v>
      </c>
      <c r="BE195" s="372">
        <f t="shared" si="101"/>
        <v>0</v>
      </c>
      <c r="BG195" s="2159">
        <f t="shared" si="102"/>
        <v>46023</v>
      </c>
      <c r="BH195" s="2159">
        <f t="shared" si="103"/>
        <v>46023</v>
      </c>
      <c r="BI195" s="2159">
        <f t="shared" si="104"/>
        <v>46023</v>
      </c>
      <c r="BJ195" s="2159">
        <f t="shared" si="105"/>
        <v>0</v>
      </c>
      <c r="BL195" s="369">
        <f t="shared" si="106"/>
        <v>0</v>
      </c>
      <c r="BM195" s="2159">
        <f t="shared" si="107"/>
        <v>0</v>
      </c>
      <c r="BN195" s="2159">
        <f t="shared" si="108"/>
        <v>0</v>
      </c>
      <c r="BO195" s="373">
        <f t="shared" si="109"/>
        <v>0</v>
      </c>
      <c r="BT195" s="2054"/>
    </row>
    <row r="196" spans="1:72" ht="45.75" customHeight="1">
      <c r="A196" s="2163"/>
      <c r="B196" s="2146"/>
      <c r="C196" s="2146"/>
      <c r="D196" s="2164"/>
      <c r="E196" s="1573"/>
      <c r="F196" s="2148"/>
      <c r="G196" s="2149" t="str">
        <f t="shared" si="110"/>
        <v/>
      </c>
      <c r="H196" s="2148"/>
      <c r="I196" s="2150"/>
      <c r="J196" s="2148"/>
      <c r="K196" s="2151">
        <f t="shared" si="111"/>
        <v>0</v>
      </c>
      <c r="L196" s="2148"/>
      <c r="M196" s="2150"/>
      <c r="N196" s="2152"/>
      <c r="O196" s="2148"/>
      <c r="P196" s="2151">
        <f t="shared" si="112"/>
        <v>0</v>
      </c>
      <c r="Q196" s="2148"/>
      <c r="R196" s="2150"/>
      <c r="S196" s="2152"/>
      <c r="T196" s="2153"/>
      <c r="U196" s="2154">
        <f t="shared" si="113"/>
        <v>0</v>
      </c>
      <c r="V196" s="2155"/>
      <c r="W196" s="2150"/>
      <c r="X196" s="2152"/>
      <c r="Y196" s="2153"/>
      <c r="Z196" s="1572">
        <f t="shared" si="114"/>
        <v>0</v>
      </c>
      <c r="AA196" s="2168">
        <f t="shared" si="87"/>
        <v>0</v>
      </c>
      <c r="AB196" s="2156" t="str">
        <f t="shared" si="115"/>
        <v/>
      </c>
      <c r="AD196" s="2158" t="str">
        <f t="shared" si="88"/>
        <v/>
      </c>
      <c r="AE196" s="2159">
        <f t="shared" si="89"/>
        <v>0</v>
      </c>
      <c r="AF196" s="2159">
        <f t="shared" si="90"/>
        <v>0</v>
      </c>
      <c r="AG196" s="2159">
        <f t="shared" si="91"/>
        <v>0</v>
      </c>
      <c r="AH196" s="2159">
        <f t="shared" si="92"/>
        <v>0</v>
      </c>
      <c r="AI196" s="2160">
        <f t="shared" si="116"/>
        <v>0</v>
      </c>
      <c r="AJ196" s="1966">
        <f t="shared" si="93"/>
        <v>1</v>
      </c>
      <c r="AK196" s="2159">
        <f t="shared" si="94"/>
        <v>0</v>
      </c>
      <c r="AL196" s="368" t="e">
        <f t="shared" si="95"/>
        <v>#DIV/0!</v>
      </c>
      <c r="AN196" s="369">
        <f t="shared" si="96"/>
        <v>0</v>
      </c>
      <c r="AO196" s="1966">
        <f t="shared" si="117"/>
        <v>0</v>
      </c>
      <c r="AP196" s="1966">
        <f t="shared" si="118"/>
        <v>0</v>
      </c>
      <c r="AQ196" s="1966">
        <f t="shared" si="119"/>
        <v>0</v>
      </c>
      <c r="AR196" s="370">
        <f t="shared" si="120"/>
        <v>0</v>
      </c>
      <c r="AT196" s="371">
        <f t="shared" si="121"/>
        <v>0</v>
      </c>
      <c r="AU196" s="1966">
        <f t="shared" si="122"/>
        <v>0</v>
      </c>
      <c r="AV196" s="2161">
        <f t="shared" si="123"/>
        <v>0</v>
      </c>
      <c r="AW196" s="2161">
        <f t="shared" si="124"/>
        <v>0</v>
      </c>
      <c r="AX196" s="1966">
        <f t="shared" si="125"/>
        <v>0</v>
      </c>
      <c r="AY196" s="372">
        <f t="shared" si="126"/>
        <v>0</v>
      </c>
      <c r="AZ196" s="265"/>
      <c r="BA196" s="371">
        <f t="shared" si="97"/>
        <v>0</v>
      </c>
      <c r="BB196" s="1966">
        <f t="shared" si="98"/>
        <v>0</v>
      </c>
      <c r="BC196" s="1966">
        <f t="shared" si="99"/>
        <v>0</v>
      </c>
      <c r="BD196" s="1966">
        <f t="shared" si="100"/>
        <v>0</v>
      </c>
      <c r="BE196" s="372">
        <f t="shared" si="101"/>
        <v>0</v>
      </c>
      <c r="BG196" s="2159">
        <f t="shared" si="102"/>
        <v>46023</v>
      </c>
      <c r="BH196" s="2159">
        <f t="shared" si="103"/>
        <v>46023</v>
      </c>
      <c r="BI196" s="2159">
        <f t="shared" si="104"/>
        <v>46023</v>
      </c>
      <c r="BJ196" s="2159">
        <f t="shared" si="105"/>
        <v>0</v>
      </c>
      <c r="BL196" s="369">
        <f t="shared" si="106"/>
        <v>0</v>
      </c>
      <c r="BM196" s="2159">
        <f t="shared" si="107"/>
        <v>0</v>
      </c>
      <c r="BN196" s="2159">
        <f t="shared" si="108"/>
        <v>0</v>
      </c>
      <c r="BO196" s="373">
        <f t="shared" si="109"/>
        <v>0</v>
      </c>
      <c r="BT196" s="2054"/>
    </row>
    <row r="197" spans="1:72" ht="45.75" customHeight="1">
      <c r="A197" s="2163"/>
      <c r="B197" s="2146"/>
      <c r="C197" s="2146"/>
      <c r="D197" s="2164"/>
      <c r="E197" s="1573"/>
      <c r="F197" s="2148"/>
      <c r="G197" s="2149" t="str">
        <f t="shared" si="110"/>
        <v/>
      </c>
      <c r="H197" s="2148"/>
      <c r="I197" s="2150"/>
      <c r="J197" s="2148"/>
      <c r="K197" s="2151">
        <f t="shared" si="111"/>
        <v>0</v>
      </c>
      <c r="L197" s="2148"/>
      <c r="M197" s="2150"/>
      <c r="N197" s="2152"/>
      <c r="O197" s="2148"/>
      <c r="P197" s="2151">
        <f t="shared" si="112"/>
        <v>0</v>
      </c>
      <c r="Q197" s="2148"/>
      <c r="R197" s="2150"/>
      <c r="S197" s="2152"/>
      <c r="T197" s="2153"/>
      <c r="U197" s="2154">
        <f t="shared" si="113"/>
        <v>0</v>
      </c>
      <c r="V197" s="2155"/>
      <c r="W197" s="2150"/>
      <c r="X197" s="2152"/>
      <c r="Y197" s="2153"/>
      <c r="Z197" s="1572">
        <f t="shared" si="114"/>
        <v>0</v>
      </c>
      <c r="AA197" s="2168">
        <f t="shared" si="87"/>
        <v>0</v>
      </c>
      <c r="AB197" s="2156" t="str">
        <f t="shared" si="115"/>
        <v/>
      </c>
      <c r="AD197" s="2158" t="str">
        <f t="shared" si="88"/>
        <v/>
      </c>
      <c r="AE197" s="2159">
        <f t="shared" si="89"/>
        <v>0</v>
      </c>
      <c r="AF197" s="2159">
        <f t="shared" si="90"/>
        <v>0</v>
      </c>
      <c r="AG197" s="2159">
        <f t="shared" si="91"/>
        <v>0</v>
      </c>
      <c r="AH197" s="2159">
        <f t="shared" si="92"/>
        <v>0</v>
      </c>
      <c r="AI197" s="2160">
        <f t="shared" si="116"/>
        <v>0</v>
      </c>
      <c r="AJ197" s="1966">
        <f t="shared" si="93"/>
        <v>1</v>
      </c>
      <c r="AK197" s="2159">
        <f t="shared" si="94"/>
        <v>0</v>
      </c>
      <c r="AL197" s="368" t="e">
        <f t="shared" si="95"/>
        <v>#DIV/0!</v>
      </c>
      <c r="AN197" s="369">
        <f t="shared" si="96"/>
        <v>0</v>
      </c>
      <c r="AO197" s="1966">
        <f t="shared" si="117"/>
        <v>0</v>
      </c>
      <c r="AP197" s="1966">
        <f t="shared" si="118"/>
        <v>0</v>
      </c>
      <c r="AQ197" s="1966">
        <f t="shared" si="119"/>
        <v>0</v>
      </c>
      <c r="AR197" s="370">
        <f t="shared" si="120"/>
        <v>0</v>
      </c>
      <c r="AT197" s="371">
        <f t="shared" si="121"/>
        <v>0</v>
      </c>
      <c r="AU197" s="1966">
        <f t="shared" si="122"/>
        <v>0</v>
      </c>
      <c r="AV197" s="2161">
        <f t="shared" si="123"/>
        <v>0</v>
      </c>
      <c r="AW197" s="2161">
        <f t="shared" si="124"/>
        <v>0</v>
      </c>
      <c r="AX197" s="1966">
        <f t="shared" si="125"/>
        <v>0</v>
      </c>
      <c r="AY197" s="372">
        <f t="shared" si="126"/>
        <v>0</v>
      </c>
      <c r="AZ197" s="265"/>
      <c r="BA197" s="371">
        <f t="shared" si="97"/>
        <v>0</v>
      </c>
      <c r="BB197" s="1966">
        <f t="shared" si="98"/>
        <v>0</v>
      </c>
      <c r="BC197" s="1966">
        <f t="shared" si="99"/>
        <v>0</v>
      </c>
      <c r="BD197" s="1966">
        <f t="shared" si="100"/>
        <v>0</v>
      </c>
      <c r="BE197" s="372">
        <f t="shared" si="101"/>
        <v>0</v>
      </c>
      <c r="BG197" s="2159">
        <f t="shared" si="102"/>
        <v>46023</v>
      </c>
      <c r="BH197" s="2159">
        <f t="shared" si="103"/>
        <v>46023</v>
      </c>
      <c r="BI197" s="2159">
        <f t="shared" si="104"/>
        <v>46023</v>
      </c>
      <c r="BJ197" s="2159">
        <f t="shared" si="105"/>
        <v>0</v>
      </c>
      <c r="BL197" s="369">
        <f t="shared" si="106"/>
        <v>0</v>
      </c>
      <c r="BM197" s="2159">
        <f t="shared" si="107"/>
        <v>0</v>
      </c>
      <c r="BN197" s="2159">
        <f t="shared" si="108"/>
        <v>0</v>
      </c>
      <c r="BO197" s="373">
        <f t="shared" si="109"/>
        <v>0</v>
      </c>
      <c r="BT197" s="2054"/>
    </row>
    <row r="198" spans="1:72" ht="45.75" customHeight="1">
      <c r="A198" s="2163"/>
      <c r="B198" s="2146"/>
      <c r="C198" s="2146"/>
      <c r="D198" s="2164"/>
      <c r="E198" s="1573"/>
      <c r="F198" s="2148"/>
      <c r="G198" s="2149" t="str">
        <f t="shared" si="110"/>
        <v/>
      </c>
      <c r="H198" s="2148"/>
      <c r="I198" s="2150"/>
      <c r="J198" s="2148"/>
      <c r="K198" s="2151">
        <f t="shared" si="111"/>
        <v>0</v>
      </c>
      <c r="L198" s="2148"/>
      <c r="M198" s="2150"/>
      <c r="N198" s="2152"/>
      <c r="O198" s="2148"/>
      <c r="P198" s="2151">
        <f t="shared" si="112"/>
        <v>0</v>
      </c>
      <c r="Q198" s="2148"/>
      <c r="R198" s="2150"/>
      <c r="S198" s="2152"/>
      <c r="T198" s="2153"/>
      <c r="U198" s="2154">
        <f t="shared" si="113"/>
        <v>0</v>
      </c>
      <c r="V198" s="2155"/>
      <c r="W198" s="2150"/>
      <c r="X198" s="2152"/>
      <c r="Y198" s="2153"/>
      <c r="Z198" s="1572">
        <f t="shared" si="114"/>
        <v>0</v>
      </c>
      <c r="AA198" s="2168">
        <f t="shared" si="87"/>
        <v>0</v>
      </c>
      <c r="AB198" s="2156" t="str">
        <f t="shared" si="115"/>
        <v/>
      </c>
      <c r="AD198" s="2158" t="str">
        <f t="shared" si="88"/>
        <v/>
      </c>
      <c r="AE198" s="2159">
        <f t="shared" si="89"/>
        <v>0</v>
      </c>
      <c r="AF198" s="2159">
        <f t="shared" si="90"/>
        <v>0</v>
      </c>
      <c r="AG198" s="2159">
        <f t="shared" si="91"/>
        <v>0</v>
      </c>
      <c r="AH198" s="2159">
        <f t="shared" si="92"/>
        <v>0</v>
      </c>
      <c r="AI198" s="2160">
        <f t="shared" si="116"/>
        <v>0</v>
      </c>
      <c r="AJ198" s="1966">
        <f t="shared" si="93"/>
        <v>1</v>
      </c>
      <c r="AK198" s="2159">
        <f t="shared" si="94"/>
        <v>0</v>
      </c>
      <c r="AL198" s="368" t="e">
        <f t="shared" si="95"/>
        <v>#DIV/0!</v>
      </c>
      <c r="AN198" s="369">
        <f t="shared" si="96"/>
        <v>0</v>
      </c>
      <c r="AO198" s="1966">
        <f t="shared" si="117"/>
        <v>0</v>
      </c>
      <c r="AP198" s="1966">
        <f t="shared" si="118"/>
        <v>0</v>
      </c>
      <c r="AQ198" s="1966">
        <f t="shared" si="119"/>
        <v>0</v>
      </c>
      <c r="AR198" s="370">
        <f t="shared" si="120"/>
        <v>0</v>
      </c>
      <c r="AT198" s="371">
        <f t="shared" si="121"/>
        <v>0</v>
      </c>
      <c r="AU198" s="1966">
        <f t="shared" si="122"/>
        <v>0</v>
      </c>
      <c r="AV198" s="2161">
        <f t="shared" si="123"/>
        <v>0</v>
      </c>
      <c r="AW198" s="2161">
        <f t="shared" si="124"/>
        <v>0</v>
      </c>
      <c r="AX198" s="1966">
        <f t="shared" si="125"/>
        <v>0</v>
      </c>
      <c r="AY198" s="372">
        <f t="shared" si="126"/>
        <v>0</v>
      </c>
      <c r="AZ198" s="265"/>
      <c r="BA198" s="371">
        <f t="shared" si="97"/>
        <v>0</v>
      </c>
      <c r="BB198" s="1966">
        <f t="shared" si="98"/>
        <v>0</v>
      </c>
      <c r="BC198" s="1966">
        <f t="shared" si="99"/>
        <v>0</v>
      </c>
      <c r="BD198" s="1966">
        <f t="shared" si="100"/>
        <v>0</v>
      </c>
      <c r="BE198" s="372">
        <f t="shared" si="101"/>
        <v>0</v>
      </c>
      <c r="BG198" s="2159">
        <f t="shared" si="102"/>
        <v>46023</v>
      </c>
      <c r="BH198" s="2159">
        <f t="shared" si="103"/>
        <v>46023</v>
      </c>
      <c r="BI198" s="2159">
        <f t="shared" si="104"/>
        <v>46023</v>
      </c>
      <c r="BJ198" s="2159">
        <f t="shared" si="105"/>
        <v>0</v>
      </c>
      <c r="BL198" s="369">
        <f t="shared" si="106"/>
        <v>0</v>
      </c>
      <c r="BM198" s="2159">
        <f t="shared" si="107"/>
        <v>0</v>
      </c>
      <c r="BN198" s="2159">
        <f t="shared" si="108"/>
        <v>0</v>
      </c>
      <c r="BO198" s="373">
        <f t="shared" si="109"/>
        <v>0</v>
      </c>
      <c r="BT198" s="2054"/>
    </row>
    <row r="199" spans="1:72" ht="45.75" customHeight="1">
      <c r="A199" s="2163"/>
      <c r="B199" s="2146"/>
      <c r="C199" s="2146"/>
      <c r="D199" s="2164"/>
      <c r="E199" s="1573"/>
      <c r="F199" s="2148"/>
      <c r="G199" s="2149" t="str">
        <f t="shared" si="110"/>
        <v/>
      </c>
      <c r="H199" s="2148"/>
      <c r="I199" s="2150"/>
      <c r="J199" s="2148"/>
      <c r="K199" s="2151">
        <f t="shared" si="111"/>
        <v>0</v>
      </c>
      <c r="L199" s="2148"/>
      <c r="M199" s="2150"/>
      <c r="N199" s="2152"/>
      <c r="O199" s="2148"/>
      <c r="P199" s="2151">
        <f t="shared" si="112"/>
        <v>0</v>
      </c>
      <c r="Q199" s="2148"/>
      <c r="R199" s="2150"/>
      <c r="S199" s="2152"/>
      <c r="T199" s="2153"/>
      <c r="U199" s="2154">
        <f t="shared" si="113"/>
        <v>0</v>
      </c>
      <c r="V199" s="2155"/>
      <c r="W199" s="2150"/>
      <c r="X199" s="2152"/>
      <c r="Y199" s="2153"/>
      <c r="Z199" s="1572">
        <f t="shared" si="114"/>
        <v>0</v>
      </c>
      <c r="AA199" s="2168">
        <f t="shared" si="87"/>
        <v>0</v>
      </c>
      <c r="AB199" s="2156" t="str">
        <f t="shared" si="115"/>
        <v/>
      </c>
      <c r="AD199" s="2158" t="str">
        <f t="shared" si="88"/>
        <v/>
      </c>
      <c r="AE199" s="2159">
        <f t="shared" si="89"/>
        <v>0</v>
      </c>
      <c r="AF199" s="2159">
        <f t="shared" si="90"/>
        <v>0</v>
      </c>
      <c r="AG199" s="2159">
        <f t="shared" si="91"/>
        <v>0</v>
      </c>
      <c r="AH199" s="2159">
        <f t="shared" si="92"/>
        <v>0</v>
      </c>
      <c r="AI199" s="2160">
        <f t="shared" si="116"/>
        <v>0</v>
      </c>
      <c r="AJ199" s="1966">
        <f t="shared" si="93"/>
        <v>1</v>
      </c>
      <c r="AK199" s="2159">
        <f t="shared" si="94"/>
        <v>0</v>
      </c>
      <c r="AL199" s="368" t="e">
        <f t="shared" si="95"/>
        <v>#DIV/0!</v>
      </c>
      <c r="AN199" s="369">
        <f t="shared" si="96"/>
        <v>0</v>
      </c>
      <c r="AO199" s="1966">
        <f t="shared" si="117"/>
        <v>0</v>
      </c>
      <c r="AP199" s="1966">
        <f t="shared" si="118"/>
        <v>0</v>
      </c>
      <c r="AQ199" s="1966">
        <f t="shared" si="119"/>
        <v>0</v>
      </c>
      <c r="AR199" s="370">
        <f t="shared" si="120"/>
        <v>0</v>
      </c>
      <c r="AT199" s="371">
        <f t="shared" si="121"/>
        <v>0</v>
      </c>
      <c r="AU199" s="1966">
        <f t="shared" si="122"/>
        <v>0</v>
      </c>
      <c r="AV199" s="2161">
        <f t="shared" si="123"/>
        <v>0</v>
      </c>
      <c r="AW199" s="2161">
        <f t="shared" si="124"/>
        <v>0</v>
      </c>
      <c r="AX199" s="1966">
        <f t="shared" si="125"/>
        <v>0</v>
      </c>
      <c r="AY199" s="372">
        <f t="shared" si="126"/>
        <v>0</v>
      </c>
      <c r="AZ199" s="265"/>
      <c r="BA199" s="371">
        <f t="shared" si="97"/>
        <v>0</v>
      </c>
      <c r="BB199" s="1966">
        <f t="shared" si="98"/>
        <v>0</v>
      </c>
      <c r="BC199" s="1966">
        <f t="shared" si="99"/>
        <v>0</v>
      </c>
      <c r="BD199" s="1966">
        <f t="shared" si="100"/>
        <v>0</v>
      </c>
      <c r="BE199" s="372">
        <f t="shared" si="101"/>
        <v>0</v>
      </c>
      <c r="BG199" s="2159">
        <f t="shared" si="102"/>
        <v>46023</v>
      </c>
      <c r="BH199" s="2159">
        <f t="shared" si="103"/>
        <v>46023</v>
      </c>
      <c r="BI199" s="2159">
        <f t="shared" si="104"/>
        <v>46023</v>
      </c>
      <c r="BJ199" s="2159">
        <f t="shared" si="105"/>
        <v>0</v>
      </c>
      <c r="BL199" s="369">
        <f t="shared" si="106"/>
        <v>0</v>
      </c>
      <c r="BM199" s="2159">
        <f t="shared" si="107"/>
        <v>0</v>
      </c>
      <c r="BN199" s="2159">
        <f t="shared" si="108"/>
        <v>0</v>
      </c>
      <c r="BO199" s="373">
        <f t="shared" si="109"/>
        <v>0</v>
      </c>
      <c r="BT199" s="2054"/>
    </row>
    <row r="200" spans="1:72" ht="45.75" customHeight="1">
      <c r="A200" s="2163"/>
      <c r="B200" s="2146"/>
      <c r="C200" s="2146"/>
      <c r="D200" s="2164"/>
      <c r="E200" s="1573"/>
      <c r="F200" s="2148"/>
      <c r="G200" s="2149" t="str">
        <f t="shared" si="110"/>
        <v/>
      </c>
      <c r="H200" s="2148"/>
      <c r="I200" s="2150"/>
      <c r="J200" s="2148"/>
      <c r="K200" s="2151">
        <f t="shared" si="111"/>
        <v>0</v>
      </c>
      <c r="L200" s="2148"/>
      <c r="M200" s="2150"/>
      <c r="N200" s="2152"/>
      <c r="O200" s="2148"/>
      <c r="P200" s="2151">
        <f t="shared" si="112"/>
        <v>0</v>
      </c>
      <c r="Q200" s="2148"/>
      <c r="R200" s="2150"/>
      <c r="S200" s="2152"/>
      <c r="T200" s="2153"/>
      <c r="U200" s="2154">
        <f t="shared" si="113"/>
        <v>0</v>
      </c>
      <c r="V200" s="2155"/>
      <c r="W200" s="2150"/>
      <c r="X200" s="2152"/>
      <c r="Y200" s="2153"/>
      <c r="Z200" s="1572">
        <f t="shared" si="114"/>
        <v>0</v>
      </c>
      <c r="AA200" s="2168">
        <f t="shared" si="87"/>
        <v>0</v>
      </c>
      <c r="AB200" s="2156" t="str">
        <f t="shared" si="115"/>
        <v/>
      </c>
      <c r="AD200" s="2158" t="str">
        <f t="shared" si="88"/>
        <v/>
      </c>
      <c r="AE200" s="2159">
        <f t="shared" si="89"/>
        <v>0</v>
      </c>
      <c r="AF200" s="2159">
        <f t="shared" si="90"/>
        <v>0</v>
      </c>
      <c r="AG200" s="2159">
        <f t="shared" si="91"/>
        <v>0</v>
      </c>
      <c r="AH200" s="2159">
        <f t="shared" si="92"/>
        <v>0</v>
      </c>
      <c r="AI200" s="2160">
        <f t="shared" si="116"/>
        <v>0</v>
      </c>
      <c r="AJ200" s="1966">
        <f t="shared" si="93"/>
        <v>1</v>
      </c>
      <c r="AK200" s="2159">
        <f t="shared" si="94"/>
        <v>0</v>
      </c>
      <c r="AL200" s="368" t="e">
        <f t="shared" si="95"/>
        <v>#DIV/0!</v>
      </c>
      <c r="AN200" s="369">
        <f t="shared" si="96"/>
        <v>0</v>
      </c>
      <c r="AO200" s="1966">
        <f t="shared" si="117"/>
        <v>0</v>
      </c>
      <c r="AP200" s="1966">
        <f t="shared" si="118"/>
        <v>0</v>
      </c>
      <c r="AQ200" s="1966">
        <f t="shared" si="119"/>
        <v>0</v>
      </c>
      <c r="AR200" s="370">
        <f t="shared" si="120"/>
        <v>0</v>
      </c>
      <c r="AT200" s="371">
        <f t="shared" si="121"/>
        <v>0</v>
      </c>
      <c r="AU200" s="1966">
        <f t="shared" si="122"/>
        <v>0</v>
      </c>
      <c r="AV200" s="2161">
        <f t="shared" si="123"/>
        <v>0</v>
      </c>
      <c r="AW200" s="2161">
        <f t="shared" si="124"/>
        <v>0</v>
      </c>
      <c r="AX200" s="1966">
        <f t="shared" si="125"/>
        <v>0</v>
      </c>
      <c r="AY200" s="372">
        <f t="shared" si="126"/>
        <v>0</v>
      </c>
      <c r="AZ200" s="265"/>
      <c r="BA200" s="371">
        <f t="shared" si="97"/>
        <v>0</v>
      </c>
      <c r="BB200" s="1966">
        <f t="shared" si="98"/>
        <v>0</v>
      </c>
      <c r="BC200" s="1966">
        <f t="shared" si="99"/>
        <v>0</v>
      </c>
      <c r="BD200" s="1966">
        <f t="shared" si="100"/>
        <v>0</v>
      </c>
      <c r="BE200" s="372">
        <f t="shared" si="101"/>
        <v>0</v>
      </c>
      <c r="BG200" s="2159">
        <f t="shared" si="102"/>
        <v>46023</v>
      </c>
      <c r="BH200" s="2159">
        <f t="shared" si="103"/>
        <v>46023</v>
      </c>
      <c r="BI200" s="2159">
        <f t="shared" si="104"/>
        <v>46023</v>
      </c>
      <c r="BJ200" s="2159">
        <f t="shared" si="105"/>
        <v>0</v>
      </c>
      <c r="BL200" s="369">
        <f t="shared" si="106"/>
        <v>0</v>
      </c>
      <c r="BM200" s="2159">
        <f t="shared" si="107"/>
        <v>0</v>
      </c>
      <c r="BN200" s="2159">
        <f t="shared" si="108"/>
        <v>0</v>
      </c>
      <c r="BO200" s="373">
        <f t="shared" si="109"/>
        <v>0</v>
      </c>
      <c r="BT200" s="2054"/>
    </row>
    <row r="201" spans="1:72" ht="45.75" customHeight="1">
      <c r="A201" s="2163"/>
      <c r="B201" s="2146"/>
      <c r="C201" s="2146"/>
      <c r="D201" s="2164"/>
      <c r="E201" s="1573"/>
      <c r="F201" s="2148"/>
      <c r="G201" s="2149" t="str">
        <f t="shared" si="110"/>
        <v/>
      </c>
      <c r="H201" s="2148"/>
      <c r="I201" s="2150"/>
      <c r="J201" s="2148"/>
      <c r="K201" s="2151">
        <f t="shared" si="111"/>
        <v>0</v>
      </c>
      <c r="L201" s="2148"/>
      <c r="M201" s="2150"/>
      <c r="N201" s="2152"/>
      <c r="O201" s="2148"/>
      <c r="P201" s="2151">
        <f t="shared" si="112"/>
        <v>0</v>
      </c>
      <c r="Q201" s="2148"/>
      <c r="R201" s="2150"/>
      <c r="S201" s="2152"/>
      <c r="T201" s="2153"/>
      <c r="U201" s="2154">
        <f t="shared" si="113"/>
        <v>0</v>
      </c>
      <c r="V201" s="2155"/>
      <c r="W201" s="2150"/>
      <c r="X201" s="2152"/>
      <c r="Y201" s="2153"/>
      <c r="Z201" s="1572">
        <f t="shared" si="114"/>
        <v>0</v>
      </c>
      <c r="AA201" s="2168">
        <f t="shared" si="87"/>
        <v>0</v>
      </c>
      <c r="AB201" s="2156" t="str">
        <f t="shared" si="115"/>
        <v/>
      </c>
      <c r="AD201" s="2158" t="str">
        <f t="shared" si="88"/>
        <v/>
      </c>
      <c r="AE201" s="2159">
        <f t="shared" si="89"/>
        <v>0</v>
      </c>
      <c r="AF201" s="2159">
        <f t="shared" si="90"/>
        <v>0</v>
      </c>
      <c r="AG201" s="2159">
        <f t="shared" si="91"/>
        <v>0</v>
      </c>
      <c r="AH201" s="2159">
        <f t="shared" si="92"/>
        <v>0</v>
      </c>
      <c r="AI201" s="2160">
        <f t="shared" si="116"/>
        <v>0</v>
      </c>
      <c r="AJ201" s="1966">
        <f t="shared" si="93"/>
        <v>1</v>
      </c>
      <c r="AK201" s="2159">
        <f t="shared" si="94"/>
        <v>0</v>
      </c>
      <c r="AL201" s="368" t="e">
        <f t="shared" si="95"/>
        <v>#DIV/0!</v>
      </c>
      <c r="AN201" s="369">
        <f t="shared" si="96"/>
        <v>0</v>
      </c>
      <c r="AO201" s="1966">
        <f t="shared" si="117"/>
        <v>0</v>
      </c>
      <c r="AP201" s="1966">
        <f t="shared" si="118"/>
        <v>0</v>
      </c>
      <c r="AQ201" s="1966">
        <f t="shared" si="119"/>
        <v>0</v>
      </c>
      <c r="AR201" s="370">
        <f t="shared" si="120"/>
        <v>0</v>
      </c>
      <c r="AT201" s="371">
        <f t="shared" si="121"/>
        <v>0</v>
      </c>
      <c r="AU201" s="1966">
        <f t="shared" si="122"/>
        <v>0</v>
      </c>
      <c r="AV201" s="2161">
        <f t="shared" si="123"/>
        <v>0</v>
      </c>
      <c r="AW201" s="2161">
        <f t="shared" si="124"/>
        <v>0</v>
      </c>
      <c r="AX201" s="1966">
        <f t="shared" si="125"/>
        <v>0</v>
      </c>
      <c r="AY201" s="372">
        <f t="shared" si="126"/>
        <v>0</v>
      </c>
      <c r="AZ201" s="265"/>
      <c r="BA201" s="371">
        <f t="shared" si="97"/>
        <v>0</v>
      </c>
      <c r="BB201" s="1966">
        <f t="shared" si="98"/>
        <v>0</v>
      </c>
      <c r="BC201" s="1966">
        <f t="shared" si="99"/>
        <v>0</v>
      </c>
      <c r="BD201" s="1966">
        <f t="shared" si="100"/>
        <v>0</v>
      </c>
      <c r="BE201" s="372">
        <f t="shared" si="101"/>
        <v>0</v>
      </c>
      <c r="BG201" s="2159">
        <f t="shared" si="102"/>
        <v>46023</v>
      </c>
      <c r="BH201" s="2159">
        <f t="shared" si="103"/>
        <v>46023</v>
      </c>
      <c r="BI201" s="2159">
        <f t="shared" si="104"/>
        <v>46023</v>
      </c>
      <c r="BJ201" s="2159">
        <f t="shared" si="105"/>
        <v>0</v>
      </c>
      <c r="BL201" s="369">
        <f t="shared" si="106"/>
        <v>0</v>
      </c>
      <c r="BM201" s="2159">
        <f t="shared" si="107"/>
        <v>0</v>
      </c>
      <c r="BN201" s="2159">
        <f t="shared" si="108"/>
        <v>0</v>
      </c>
      <c r="BO201" s="373">
        <f t="shared" si="109"/>
        <v>0</v>
      </c>
      <c r="BT201" s="2054"/>
    </row>
    <row r="202" spans="1:72" ht="45.75" customHeight="1">
      <c r="A202" s="2163"/>
      <c r="B202" s="2146"/>
      <c r="C202" s="2146"/>
      <c r="D202" s="2164"/>
      <c r="E202" s="1573"/>
      <c r="F202" s="2148"/>
      <c r="G202" s="2149" t="str">
        <f t="shared" si="110"/>
        <v/>
      </c>
      <c r="H202" s="2148"/>
      <c r="I202" s="2150"/>
      <c r="J202" s="2148"/>
      <c r="K202" s="2151">
        <f t="shared" si="111"/>
        <v>0</v>
      </c>
      <c r="L202" s="2148"/>
      <c r="M202" s="2150"/>
      <c r="N202" s="2152"/>
      <c r="O202" s="2148"/>
      <c r="P202" s="2151">
        <f t="shared" si="112"/>
        <v>0</v>
      </c>
      <c r="Q202" s="2148"/>
      <c r="R202" s="2150"/>
      <c r="S202" s="2152"/>
      <c r="T202" s="2153"/>
      <c r="U202" s="2154">
        <f t="shared" si="113"/>
        <v>0</v>
      </c>
      <c r="V202" s="2155"/>
      <c r="W202" s="2150"/>
      <c r="X202" s="2152"/>
      <c r="Y202" s="2153"/>
      <c r="Z202" s="1572">
        <f t="shared" si="114"/>
        <v>0</v>
      </c>
      <c r="AA202" s="2168">
        <f t="shared" ref="AA202:AA219" si="127">IF(AND($I$3=0,C202&lt;&gt;""),"Ackerfläche noch nicht angeführt",IF(ISBLANK(C202),0,IF(AJ202=0,"ja",IF(AI202&gt;0,CONCATENATE("nein - ",ROUND(AL202*100,1)," % ","nicht begrünt"),""))))</f>
        <v>0</v>
      </c>
      <c r="AB202" s="2156" t="str">
        <f t="shared" si="115"/>
        <v/>
      </c>
      <c r="AD202" s="2158" t="str">
        <f t="shared" ref="AD202:AD219" si="128">IF(AND($AE202=1,$N202="",$L202&gt;0,$AO202&lt;=50,$AT202&lt;&gt;1,$AV202&lt;&gt;1,$AW202&lt;&gt;1),$BQ$9,IF(AND($AE202=1,$S202="",$Q202&gt;0,$AP202&lt;=50,$N202="HF",$AT202&lt;&gt;1,$AU202&lt;&gt;1,$AW202&lt;&gt;1),$BQ$10,IF(AND($AE202=1,$X202="",$V202&gt;0,$AQ202&lt;=50,$S202="HF",$AT202&lt;&gt;1,$AU202&lt;&gt;1,$AV202&lt;&gt;1),$BQ$11,IF(AND($AF202=1,$AI202=1),$BQ$15,IF(AND($AE202=1,$AI202=1),$BQ$13,IF(AND($AG202=1,$AI202=1),$BQ$14,IF(AND($AH202=1,$AI202=1),$BQ$12,IF(AND($AE202=1,$AF202=1,$AI202=2),CONCATENATE($BQ$13," &amp; ",$BQ$15),IF(AND($AE202=1,$AG202=1,$AI202=2),CONCATENATE($BQ$13," &amp; ",$BQ$14),IF(AND($AE202=1,$AH202=1,$AI202=2),CONCATENATE($BQ$13," &amp; ",$BQ$12),IF(AND($AF202=1,$AG202=1,$AI202=2),CONCATENATE($BQ$15," &amp; ",$BQ$14),IF(AND($AF202=1,$AH202=1,$AI202=2),CONCATENATE($BQ$15," &amp; ",$BQ$12),IF(AND($AG202=1,$AH202=1,$AI202=2),CONCATENATE($BQ$14," &amp; ",$BQ$12),IF(AND($AE202=1,$AF202=1,$AG202=1,$AI202=3),CONCATENATE($BQ$13," &amp; ",$BQ$15," &amp; ",$BQ$14),IF(AND($AE202=1,$AG202=1,$AH202=1,$AI202=3),CONCATENATE($BQ$13," &amp; ",$BQ$14," &amp; ",$BQ$12),IF(AND($AF202=1,$AG202=1,$AH202=1,$AI202=3),CONCATENATE($BQ$15," &amp; ",$BQ$14," &amp; ",$BQ$12),IF(AND($AE202=1,$AF202=1,$AH202=1,$AI202=3),CONCATENATE($BQ$13," &amp; ",$BQ$15," &amp; ",$BQ$12),IF($AI202=4,"Fehler in Eingabe",""))))))))))))))))))</f>
        <v/>
      </c>
      <c r="AE202" s="2159">
        <f t="shared" ref="AE202:AE219" si="129">IF($AY202&gt;0,1,0)</f>
        <v>0</v>
      </c>
      <c r="AF202" s="2159">
        <f t="shared" ref="AF202:AF219" si="130">IF($BJ202&gt;0,1,0)</f>
        <v>0</v>
      </c>
      <c r="AG202" s="2159">
        <f t="shared" ref="AG202:AG219" si="131">IF($BO202&gt;0,1,0)</f>
        <v>0</v>
      </c>
      <c r="AH202" s="2159">
        <f t="shared" ref="AH202:AH219" si="132">IF($BE202=1,1,0)</f>
        <v>0</v>
      </c>
      <c r="AI202" s="2160">
        <f t="shared" si="116"/>
        <v>0</v>
      </c>
      <c r="AJ202" s="1966">
        <f t="shared" ref="AJ202:AJ219" si="133">IF(OR(ISBLANK($I202),$AI202&gt;0),1,0)</f>
        <v>1</v>
      </c>
      <c r="AK202" s="2159">
        <f t="shared" ref="AK202:AK219" si="134">IF($AJ202=1,$C202,0)</f>
        <v>0</v>
      </c>
      <c r="AL202" s="368" t="e">
        <f t="shared" ref="AL202:AL219" si="135">$AK202/$AJ$2</f>
        <v>#DIV/0!</v>
      </c>
      <c r="AN202" s="369">
        <f t="shared" ref="AN202:AN219" si="136">IF(AND(OR($C$2=2023,$C$2=2025,$C$2=2026,$C$2=2027),$E202="nein"),$H202-$AC$8,IF(AND(OR($C$2=2024,$C$2=2028),$E202="nein"),$H202+1-$AC$8,IF(AND($F202&gt;0,$E202="ja HF"),$H202-$F202,IF(AND($F202&gt;0,$E202="ja ZWF"),$H202-$F202,0))))</f>
        <v>0</v>
      </c>
      <c r="AO202" s="1966">
        <f t="shared" si="117"/>
        <v>0</v>
      </c>
      <c r="AP202" s="1966">
        <f t="shared" si="118"/>
        <v>0</v>
      </c>
      <c r="AQ202" s="1966">
        <f t="shared" si="119"/>
        <v>0</v>
      </c>
      <c r="AR202" s="370">
        <f t="shared" si="120"/>
        <v>0</v>
      </c>
      <c r="AT202" s="371">
        <f t="shared" si="121"/>
        <v>0</v>
      </c>
      <c r="AU202" s="1966">
        <f t="shared" si="122"/>
        <v>0</v>
      </c>
      <c r="AV202" s="2161">
        <f t="shared" si="123"/>
        <v>0</v>
      </c>
      <c r="AW202" s="2161">
        <f t="shared" si="124"/>
        <v>0</v>
      </c>
      <c r="AX202" s="1966">
        <f t="shared" si="125"/>
        <v>0</v>
      </c>
      <c r="AY202" s="372">
        <f t="shared" si="126"/>
        <v>0</v>
      </c>
      <c r="AZ202" s="265"/>
      <c r="BA202" s="371">
        <f t="shared" ref="BA202:BA219" si="137">IF(AND($J202&gt;0,$L202=0),1,0)</f>
        <v>0</v>
      </c>
      <c r="BB202" s="1966">
        <f t="shared" ref="BB202:BB219" si="138">IF(AND($O202&gt;0,$Q202=0),1,0)</f>
        <v>0</v>
      </c>
      <c r="BC202" s="1966">
        <f t="shared" ref="BC202:BC219" si="139">IF(AND($T202&gt;0,$V202=0),1,0)</f>
        <v>0</v>
      </c>
      <c r="BD202" s="1966">
        <f t="shared" ref="BD202:BD219" si="140">IF($Y202&gt;0,1,0)</f>
        <v>0</v>
      </c>
      <c r="BE202" s="372">
        <f t="shared" ref="BE202:BE219" si="141">SUM($BA202:$BD202)</f>
        <v>0</v>
      </c>
      <c r="BG202" s="2159">
        <f t="shared" ref="BG202:BG219" si="142">IF(ISBLANK($O202),($AC$8+365)-$L202,$O202-$L202)</f>
        <v>46023</v>
      </c>
      <c r="BH202" s="2159">
        <f t="shared" ref="BH202:BH219" si="143">IF(ISBLANK($T202),($AC$8+365)-$Q202,$T202-$Q202)</f>
        <v>46023</v>
      </c>
      <c r="BI202" s="2159">
        <f t="shared" ref="BI202:BI219" si="144">IF(ISBLANK($Y202),($AC$8+365)-$V202,$Y202-$V202)</f>
        <v>46023</v>
      </c>
      <c r="BJ202" s="2159">
        <f t="shared" ref="BJ202:BJ219" si="145">IF(AND($BG202&lt;43,$N202="ZWF"),1,IF(AND($BH202&lt;43,$S202="ZWF"),1,IF(AND($BI202&lt;43,$X202="ZWF"),1,0)))</f>
        <v>0</v>
      </c>
      <c r="BL202" s="369">
        <f t="shared" ref="BL202:BL219" si="146">IF(AND($N202="ZWF",$L202&gt;($AC$8+287)),1,0)</f>
        <v>0</v>
      </c>
      <c r="BM202" s="2159">
        <f t="shared" ref="BM202:BM219" si="147">IF(AND($S202="ZWF",$Q202&gt;($AC$8+287)),1,0)</f>
        <v>0</v>
      </c>
      <c r="BN202" s="2159">
        <f t="shared" ref="BN202:BN219" si="148">IF(AND($X202="ZWF",$V202&gt;($AC$8+287)),1,0)</f>
        <v>0</v>
      </c>
      <c r="BO202" s="373">
        <f t="shared" ref="BO202:BO219" si="149">SUM($BL202:$BN202)</f>
        <v>0</v>
      </c>
      <c r="BT202" s="2054"/>
    </row>
    <row r="203" spans="1:72" ht="45.75" customHeight="1">
      <c r="A203" s="2163"/>
      <c r="B203" s="2146"/>
      <c r="C203" s="2146"/>
      <c r="D203" s="2164"/>
      <c r="E203" s="1573"/>
      <c r="F203" s="2148"/>
      <c r="G203" s="2149" t="str">
        <f t="shared" si="110"/>
        <v/>
      </c>
      <c r="H203" s="2148"/>
      <c r="I203" s="2150"/>
      <c r="J203" s="2148"/>
      <c r="K203" s="2151">
        <f t="shared" si="111"/>
        <v>0</v>
      </c>
      <c r="L203" s="2148"/>
      <c r="M203" s="2150"/>
      <c r="N203" s="2152"/>
      <c r="O203" s="2148"/>
      <c r="P203" s="2151">
        <f t="shared" si="112"/>
        <v>0</v>
      </c>
      <c r="Q203" s="2148"/>
      <c r="R203" s="2150"/>
      <c r="S203" s="2152"/>
      <c r="T203" s="2153"/>
      <c r="U203" s="2154">
        <f t="shared" si="113"/>
        <v>0</v>
      </c>
      <c r="V203" s="2155"/>
      <c r="W203" s="2150"/>
      <c r="X203" s="2152"/>
      <c r="Y203" s="2153"/>
      <c r="Z203" s="1572">
        <f t="shared" si="114"/>
        <v>0</v>
      </c>
      <c r="AA203" s="2168">
        <f t="shared" si="127"/>
        <v>0</v>
      </c>
      <c r="AB203" s="2156" t="str">
        <f t="shared" si="115"/>
        <v/>
      </c>
      <c r="AD203" s="2158" t="str">
        <f t="shared" si="128"/>
        <v/>
      </c>
      <c r="AE203" s="2159">
        <f t="shared" si="129"/>
        <v>0</v>
      </c>
      <c r="AF203" s="2159">
        <f t="shared" si="130"/>
        <v>0</v>
      </c>
      <c r="AG203" s="2159">
        <f t="shared" si="131"/>
        <v>0</v>
      </c>
      <c r="AH203" s="2159">
        <f t="shared" si="132"/>
        <v>0</v>
      </c>
      <c r="AI203" s="2160">
        <f t="shared" si="116"/>
        <v>0</v>
      </c>
      <c r="AJ203" s="1966">
        <f t="shared" si="133"/>
        <v>1</v>
      </c>
      <c r="AK203" s="2159">
        <f t="shared" si="134"/>
        <v>0</v>
      </c>
      <c r="AL203" s="368" t="e">
        <f t="shared" si="135"/>
        <v>#DIV/0!</v>
      </c>
      <c r="AN203" s="369">
        <f t="shared" si="136"/>
        <v>0</v>
      </c>
      <c r="AO203" s="1966">
        <f t="shared" si="117"/>
        <v>0</v>
      </c>
      <c r="AP203" s="1966">
        <f t="shared" si="118"/>
        <v>0</v>
      </c>
      <c r="AQ203" s="1966">
        <f t="shared" si="119"/>
        <v>0</v>
      </c>
      <c r="AR203" s="370">
        <f t="shared" si="120"/>
        <v>0</v>
      </c>
      <c r="AT203" s="371">
        <f t="shared" si="121"/>
        <v>0</v>
      </c>
      <c r="AU203" s="1966">
        <f t="shared" si="122"/>
        <v>0</v>
      </c>
      <c r="AV203" s="2161">
        <f t="shared" si="123"/>
        <v>0</v>
      </c>
      <c r="AW203" s="2161">
        <f t="shared" si="124"/>
        <v>0</v>
      </c>
      <c r="AX203" s="1966">
        <f t="shared" si="125"/>
        <v>0</v>
      </c>
      <c r="AY203" s="372">
        <f t="shared" si="126"/>
        <v>0</v>
      </c>
      <c r="AZ203" s="265"/>
      <c r="BA203" s="371">
        <f t="shared" si="137"/>
        <v>0</v>
      </c>
      <c r="BB203" s="1966">
        <f t="shared" si="138"/>
        <v>0</v>
      </c>
      <c r="BC203" s="1966">
        <f t="shared" si="139"/>
        <v>0</v>
      </c>
      <c r="BD203" s="1966">
        <f t="shared" si="140"/>
        <v>0</v>
      </c>
      <c r="BE203" s="372">
        <f t="shared" si="141"/>
        <v>0</v>
      </c>
      <c r="BG203" s="2159">
        <f t="shared" si="142"/>
        <v>46023</v>
      </c>
      <c r="BH203" s="2159">
        <f t="shared" si="143"/>
        <v>46023</v>
      </c>
      <c r="BI203" s="2159">
        <f t="shared" si="144"/>
        <v>46023</v>
      </c>
      <c r="BJ203" s="2159">
        <f t="shared" si="145"/>
        <v>0</v>
      </c>
      <c r="BL203" s="369">
        <f t="shared" si="146"/>
        <v>0</v>
      </c>
      <c r="BM203" s="2159">
        <f t="shared" si="147"/>
        <v>0</v>
      </c>
      <c r="BN203" s="2159">
        <f t="shared" si="148"/>
        <v>0</v>
      </c>
      <c r="BO203" s="373">
        <f t="shared" si="149"/>
        <v>0</v>
      </c>
      <c r="BT203" s="2054"/>
    </row>
    <row r="204" spans="1:72" ht="45.75" customHeight="1">
      <c r="A204" s="2163"/>
      <c r="B204" s="2146"/>
      <c r="C204" s="2146"/>
      <c r="D204" s="2164"/>
      <c r="E204" s="1573"/>
      <c r="F204" s="2148"/>
      <c r="G204" s="2149" t="str">
        <f t="shared" si="110"/>
        <v/>
      </c>
      <c r="H204" s="2148"/>
      <c r="I204" s="2150"/>
      <c r="J204" s="2148"/>
      <c r="K204" s="2151">
        <f t="shared" si="111"/>
        <v>0</v>
      </c>
      <c r="L204" s="2148"/>
      <c r="M204" s="2150"/>
      <c r="N204" s="2152"/>
      <c r="O204" s="2148"/>
      <c r="P204" s="2151">
        <f t="shared" si="112"/>
        <v>0</v>
      </c>
      <c r="Q204" s="2148"/>
      <c r="R204" s="2150"/>
      <c r="S204" s="2152"/>
      <c r="T204" s="2153"/>
      <c r="U204" s="2154">
        <f t="shared" si="113"/>
        <v>0</v>
      </c>
      <c r="V204" s="2155"/>
      <c r="W204" s="2150"/>
      <c r="X204" s="2152"/>
      <c r="Y204" s="2153"/>
      <c r="Z204" s="1572">
        <f t="shared" si="114"/>
        <v>0</v>
      </c>
      <c r="AA204" s="2168">
        <f t="shared" si="127"/>
        <v>0</v>
      </c>
      <c r="AB204" s="2156" t="str">
        <f t="shared" si="115"/>
        <v/>
      </c>
      <c r="AD204" s="2158" t="str">
        <f t="shared" si="128"/>
        <v/>
      </c>
      <c r="AE204" s="2159">
        <f t="shared" si="129"/>
        <v>0</v>
      </c>
      <c r="AF204" s="2159">
        <f t="shared" si="130"/>
        <v>0</v>
      </c>
      <c r="AG204" s="2159">
        <f t="shared" si="131"/>
        <v>0</v>
      </c>
      <c r="AH204" s="2159">
        <f t="shared" si="132"/>
        <v>0</v>
      </c>
      <c r="AI204" s="2160">
        <f t="shared" si="116"/>
        <v>0</v>
      </c>
      <c r="AJ204" s="1966">
        <f t="shared" si="133"/>
        <v>1</v>
      </c>
      <c r="AK204" s="2159">
        <f t="shared" si="134"/>
        <v>0</v>
      </c>
      <c r="AL204" s="368" t="e">
        <f t="shared" si="135"/>
        <v>#DIV/0!</v>
      </c>
      <c r="AN204" s="369">
        <f t="shared" si="136"/>
        <v>0</v>
      </c>
      <c r="AO204" s="1966">
        <f t="shared" si="117"/>
        <v>0</v>
      </c>
      <c r="AP204" s="1966">
        <f t="shared" si="118"/>
        <v>0</v>
      </c>
      <c r="AQ204" s="1966">
        <f t="shared" si="119"/>
        <v>0</v>
      </c>
      <c r="AR204" s="370">
        <f t="shared" si="120"/>
        <v>0</v>
      </c>
      <c r="AT204" s="371">
        <f t="shared" si="121"/>
        <v>0</v>
      </c>
      <c r="AU204" s="1966">
        <f t="shared" si="122"/>
        <v>0</v>
      </c>
      <c r="AV204" s="2161">
        <f t="shared" si="123"/>
        <v>0</v>
      </c>
      <c r="AW204" s="2161">
        <f t="shared" si="124"/>
        <v>0</v>
      </c>
      <c r="AX204" s="1966">
        <f t="shared" si="125"/>
        <v>0</v>
      </c>
      <c r="AY204" s="372">
        <f t="shared" si="126"/>
        <v>0</v>
      </c>
      <c r="AZ204" s="265"/>
      <c r="BA204" s="371">
        <f t="shared" si="137"/>
        <v>0</v>
      </c>
      <c r="BB204" s="1966">
        <f t="shared" si="138"/>
        <v>0</v>
      </c>
      <c r="BC204" s="1966">
        <f t="shared" si="139"/>
        <v>0</v>
      </c>
      <c r="BD204" s="1966">
        <f t="shared" si="140"/>
        <v>0</v>
      </c>
      <c r="BE204" s="372">
        <f t="shared" si="141"/>
        <v>0</v>
      </c>
      <c r="BG204" s="2159">
        <f t="shared" si="142"/>
        <v>46023</v>
      </c>
      <c r="BH204" s="2159">
        <f t="shared" si="143"/>
        <v>46023</v>
      </c>
      <c r="BI204" s="2159">
        <f t="shared" si="144"/>
        <v>46023</v>
      </c>
      <c r="BJ204" s="2159">
        <f t="shared" si="145"/>
        <v>0</v>
      </c>
      <c r="BL204" s="369">
        <f t="shared" si="146"/>
        <v>0</v>
      </c>
      <c r="BM204" s="2159">
        <f t="shared" si="147"/>
        <v>0</v>
      </c>
      <c r="BN204" s="2159">
        <f t="shared" si="148"/>
        <v>0</v>
      </c>
      <c r="BO204" s="373">
        <f t="shared" si="149"/>
        <v>0</v>
      </c>
      <c r="BT204" s="2054"/>
    </row>
    <row r="205" spans="1:72" ht="45.75" customHeight="1">
      <c r="A205" s="2163"/>
      <c r="B205" s="2146"/>
      <c r="C205" s="2146"/>
      <c r="D205" s="2164"/>
      <c r="E205" s="1573"/>
      <c r="F205" s="2148"/>
      <c r="G205" s="2149" t="str">
        <f t="shared" si="110"/>
        <v/>
      </c>
      <c r="H205" s="2148"/>
      <c r="I205" s="2150"/>
      <c r="J205" s="2148"/>
      <c r="K205" s="2151">
        <f t="shared" si="111"/>
        <v>0</v>
      </c>
      <c r="L205" s="2148"/>
      <c r="M205" s="2150"/>
      <c r="N205" s="2152"/>
      <c r="O205" s="2148"/>
      <c r="P205" s="2151">
        <f t="shared" si="112"/>
        <v>0</v>
      </c>
      <c r="Q205" s="2148"/>
      <c r="R205" s="2150"/>
      <c r="S205" s="2152"/>
      <c r="T205" s="2153"/>
      <c r="U205" s="2154">
        <f t="shared" si="113"/>
        <v>0</v>
      </c>
      <c r="V205" s="2155"/>
      <c r="W205" s="2150"/>
      <c r="X205" s="2152"/>
      <c r="Y205" s="2153"/>
      <c r="Z205" s="1572">
        <f t="shared" si="114"/>
        <v>0</v>
      </c>
      <c r="AA205" s="2168">
        <f t="shared" si="127"/>
        <v>0</v>
      </c>
      <c r="AB205" s="2156" t="str">
        <f t="shared" si="115"/>
        <v/>
      </c>
      <c r="AD205" s="2158" t="str">
        <f t="shared" si="128"/>
        <v/>
      </c>
      <c r="AE205" s="2159">
        <f t="shared" si="129"/>
        <v>0</v>
      </c>
      <c r="AF205" s="2159">
        <f t="shared" si="130"/>
        <v>0</v>
      </c>
      <c r="AG205" s="2159">
        <f t="shared" si="131"/>
        <v>0</v>
      </c>
      <c r="AH205" s="2159">
        <f t="shared" si="132"/>
        <v>0</v>
      </c>
      <c r="AI205" s="2160">
        <f t="shared" si="116"/>
        <v>0</v>
      </c>
      <c r="AJ205" s="1966">
        <f t="shared" si="133"/>
        <v>1</v>
      </c>
      <c r="AK205" s="2159">
        <f t="shared" si="134"/>
        <v>0</v>
      </c>
      <c r="AL205" s="368" t="e">
        <f t="shared" si="135"/>
        <v>#DIV/0!</v>
      </c>
      <c r="AN205" s="369">
        <f t="shared" si="136"/>
        <v>0</v>
      </c>
      <c r="AO205" s="1966">
        <f t="shared" si="117"/>
        <v>0</v>
      </c>
      <c r="AP205" s="1966">
        <f t="shared" si="118"/>
        <v>0</v>
      </c>
      <c r="AQ205" s="1966">
        <f t="shared" si="119"/>
        <v>0</v>
      </c>
      <c r="AR205" s="370">
        <f t="shared" si="120"/>
        <v>0</v>
      </c>
      <c r="AT205" s="371">
        <f t="shared" si="121"/>
        <v>0</v>
      </c>
      <c r="AU205" s="1966">
        <f t="shared" si="122"/>
        <v>0</v>
      </c>
      <c r="AV205" s="2161">
        <f t="shared" si="123"/>
        <v>0</v>
      </c>
      <c r="AW205" s="2161">
        <f t="shared" si="124"/>
        <v>0</v>
      </c>
      <c r="AX205" s="1966">
        <f t="shared" si="125"/>
        <v>0</v>
      </c>
      <c r="AY205" s="372">
        <f t="shared" si="126"/>
        <v>0</v>
      </c>
      <c r="AZ205" s="265"/>
      <c r="BA205" s="371">
        <f t="shared" si="137"/>
        <v>0</v>
      </c>
      <c r="BB205" s="1966">
        <f t="shared" si="138"/>
        <v>0</v>
      </c>
      <c r="BC205" s="1966">
        <f t="shared" si="139"/>
        <v>0</v>
      </c>
      <c r="BD205" s="1966">
        <f t="shared" si="140"/>
        <v>0</v>
      </c>
      <c r="BE205" s="372">
        <f t="shared" si="141"/>
        <v>0</v>
      </c>
      <c r="BG205" s="2159">
        <f t="shared" si="142"/>
        <v>46023</v>
      </c>
      <c r="BH205" s="2159">
        <f t="shared" si="143"/>
        <v>46023</v>
      </c>
      <c r="BI205" s="2159">
        <f t="shared" si="144"/>
        <v>46023</v>
      </c>
      <c r="BJ205" s="2159">
        <f t="shared" si="145"/>
        <v>0</v>
      </c>
      <c r="BL205" s="369">
        <f t="shared" si="146"/>
        <v>0</v>
      </c>
      <c r="BM205" s="2159">
        <f t="shared" si="147"/>
        <v>0</v>
      </c>
      <c r="BN205" s="2159">
        <f t="shared" si="148"/>
        <v>0</v>
      </c>
      <c r="BO205" s="373">
        <f t="shared" si="149"/>
        <v>0</v>
      </c>
      <c r="BT205" s="2054"/>
    </row>
    <row r="206" spans="1:72" ht="45.75" customHeight="1">
      <c r="A206" s="2163"/>
      <c r="B206" s="2146"/>
      <c r="C206" s="2146"/>
      <c r="D206" s="2164"/>
      <c r="E206" s="1573"/>
      <c r="F206" s="2148"/>
      <c r="G206" s="2149" t="str">
        <f t="shared" si="110"/>
        <v/>
      </c>
      <c r="H206" s="2148"/>
      <c r="I206" s="2150"/>
      <c r="J206" s="2148"/>
      <c r="K206" s="2151">
        <f t="shared" si="111"/>
        <v>0</v>
      </c>
      <c r="L206" s="2148"/>
      <c r="M206" s="2150"/>
      <c r="N206" s="2152"/>
      <c r="O206" s="2148"/>
      <c r="P206" s="2151">
        <f t="shared" si="112"/>
        <v>0</v>
      </c>
      <c r="Q206" s="2148"/>
      <c r="R206" s="2150"/>
      <c r="S206" s="2152"/>
      <c r="T206" s="2153"/>
      <c r="U206" s="2154">
        <f t="shared" si="113"/>
        <v>0</v>
      </c>
      <c r="V206" s="2155"/>
      <c r="W206" s="2150"/>
      <c r="X206" s="2152"/>
      <c r="Y206" s="2153"/>
      <c r="Z206" s="1572">
        <f t="shared" si="114"/>
        <v>0</v>
      </c>
      <c r="AA206" s="2168">
        <f t="shared" si="127"/>
        <v>0</v>
      </c>
      <c r="AB206" s="2156" t="str">
        <f t="shared" si="115"/>
        <v/>
      </c>
      <c r="AD206" s="2158" t="str">
        <f t="shared" si="128"/>
        <v/>
      </c>
      <c r="AE206" s="2159">
        <f t="shared" si="129"/>
        <v>0</v>
      </c>
      <c r="AF206" s="2159">
        <f t="shared" si="130"/>
        <v>0</v>
      </c>
      <c r="AG206" s="2159">
        <f t="shared" si="131"/>
        <v>0</v>
      </c>
      <c r="AH206" s="2159">
        <f t="shared" si="132"/>
        <v>0</v>
      </c>
      <c r="AI206" s="2160">
        <f t="shared" si="116"/>
        <v>0</v>
      </c>
      <c r="AJ206" s="1966">
        <f t="shared" si="133"/>
        <v>1</v>
      </c>
      <c r="AK206" s="2159">
        <f t="shared" si="134"/>
        <v>0</v>
      </c>
      <c r="AL206" s="368" t="e">
        <f t="shared" si="135"/>
        <v>#DIV/0!</v>
      </c>
      <c r="AN206" s="369">
        <f t="shared" si="136"/>
        <v>0</v>
      </c>
      <c r="AO206" s="1966">
        <f t="shared" si="117"/>
        <v>0</v>
      </c>
      <c r="AP206" s="1966">
        <f t="shared" si="118"/>
        <v>0</v>
      </c>
      <c r="AQ206" s="1966">
        <f t="shared" si="119"/>
        <v>0</v>
      </c>
      <c r="AR206" s="370">
        <f t="shared" si="120"/>
        <v>0</v>
      </c>
      <c r="AT206" s="371">
        <f t="shared" si="121"/>
        <v>0</v>
      </c>
      <c r="AU206" s="1966">
        <f t="shared" si="122"/>
        <v>0</v>
      </c>
      <c r="AV206" s="2161">
        <f t="shared" si="123"/>
        <v>0</v>
      </c>
      <c r="AW206" s="2161">
        <f t="shared" si="124"/>
        <v>0</v>
      </c>
      <c r="AX206" s="1966">
        <f t="shared" si="125"/>
        <v>0</v>
      </c>
      <c r="AY206" s="372">
        <f t="shared" si="126"/>
        <v>0</v>
      </c>
      <c r="AZ206" s="265"/>
      <c r="BA206" s="371">
        <f t="shared" si="137"/>
        <v>0</v>
      </c>
      <c r="BB206" s="1966">
        <f t="shared" si="138"/>
        <v>0</v>
      </c>
      <c r="BC206" s="1966">
        <f t="shared" si="139"/>
        <v>0</v>
      </c>
      <c r="BD206" s="1966">
        <f t="shared" si="140"/>
        <v>0</v>
      </c>
      <c r="BE206" s="372">
        <f t="shared" si="141"/>
        <v>0</v>
      </c>
      <c r="BG206" s="2159">
        <f t="shared" si="142"/>
        <v>46023</v>
      </c>
      <c r="BH206" s="2159">
        <f t="shared" si="143"/>
        <v>46023</v>
      </c>
      <c r="BI206" s="2159">
        <f t="shared" si="144"/>
        <v>46023</v>
      </c>
      <c r="BJ206" s="2159">
        <f t="shared" si="145"/>
        <v>0</v>
      </c>
      <c r="BL206" s="369">
        <f t="shared" si="146"/>
        <v>0</v>
      </c>
      <c r="BM206" s="2159">
        <f t="shared" si="147"/>
        <v>0</v>
      </c>
      <c r="BN206" s="2159">
        <f t="shared" si="148"/>
        <v>0</v>
      </c>
      <c r="BO206" s="373">
        <f t="shared" si="149"/>
        <v>0</v>
      </c>
      <c r="BT206" s="2054"/>
    </row>
    <row r="207" spans="1:72" ht="45.75" customHeight="1">
      <c r="A207" s="2163"/>
      <c r="B207" s="2146"/>
      <c r="C207" s="2146"/>
      <c r="D207" s="2164"/>
      <c r="E207" s="1573"/>
      <c r="F207" s="2148"/>
      <c r="G207" s="2149" t="str">
        <f t="shared" si="110"/>
        <v/>
      </c>
      <c r="H207" s="2148"/>
      <c r="I207" s="2150"/>
      <c r="J207" s="2148"/>
      <c r="K207" s="2151">
        <f t="shared" si="111"/>
        <v>0</v>
      </c>
      <c r="L207" s="2148"/>
      <c r="M207" s="2150"/>
      <c r="N207" s="2152"/>
      <c r="O207" s="2148"/>
      <c r="P207" s="2151">
        <f t="shared" si="112"/>
        <v>0</v>
      </c>
      <c r="Q207" s="2148"/>
      <c r="R207" s="2150"/>
      <c r="S207" s="2152"/>
      <c r="T207" s="2153"/>
      <c r="U207" s="2154">
        <f t="shared" si="113"/>
        <v>0</v>
      </c>
      <c r="V207" s="2155"/>
      <c r="W207" s="2150"/>
      <c r="X207" s="2152"/>
      <c r="Y207" s="2153"/>
      <c r="Z207" s="1572">
        <f t="shared" si="114"/>
        <v>0</v>
      </c>
      <c r="AA207" s="2168">
        <f t="shared" si="127"/>
        <v>0</v>
      </c>
      <c r="AB207" s="2156" t="str">
        <f t="shared" si="115"/>
        <v/>
      </c>
      <c r="AD207" s="2158" t="str">
        <f t="shared" si="128"/>
        <v/>
      </c>
      <c r="AE207" s="2159">
        <f t="shared" si="129"/>
        <v>0</v>
      </c>
      <c r="AF207" s="2159">
        <f t="shared" si="130"/>
        <v>0</v>
      </c>
      <c r="AG207" s="2159">
        <f t="shared" si="131"/>
        <v>0</v>
      </c>
      <c r="AH207" s="2159">
        <f t="shared" si="132"/>
        <v>0</v>
      </c>
      <c r="AI207" s="2160">
        <f t="shared" si="116"/>
        <v>0</v>
      </c>
      <c r="AJ207" s="1966">
        <f t="shared" si="133"/>
        <v>1</v>
      </c>
      <c r="AK207" s="2159">
        <f t="shared" si="134"/>
        <v>0</v>
      </c>
      <c r="AL207" s="368" t="e">
        <f t="shared" si="135"/>
        <v>#DIV/0!</v>
      </c>
      <c r="AN207" s="369">
        <f t="shared" si="136"/>
        <v>0</v>
      </c>
      <c r="AO207" s="1966">
        <f t="shared" si="117"/>
        <v>0</v>
      </c>
      <c r="AP207" s="1966">
        <f t="shared" si="118"/>
        <v>0</v>
      </c>
      <c r="AQ207" s="1966">
        <f t="shared" si="119"/>
        <v>0</v>
      </c>
      <c r="AR207" s="370">
        <f t="shared" si="120"/>
        <v>0</v>
      </c>
      <c r="AT207" s="371">
        <f t="shared" si="121"/>
        <v>0</v>
      </c>
      <c r="AU207" s="1966">
        <f t="shared" si="122"/>
        <v>0</v>
      </c>
      <c r="AV207" s="2161">
        <f t="shared" si="123"/>
        <v>0</v>
      </c>
      <c r="AW207" s="2161">
        <f t="shared" si="124"/>
        <v>0</v>
      </c>
      <c r="AX207" s="1966">
        <f t="shared" si="125"/>
        <v>0</v>
      </c>
      <c r="AY207" s="372">
        <f t="shared" si="126"/>
        <v>0</v>
      </c>
      <c r="AZ207" s="265"/>
      <c r="BA207" s="371">
        <f t="shared" si="137"/>
        <v>0</v>
      </c>
      <c r="BB207" s="1966">
        <f t="shared" si="138"/>
        <v>0</v>
      </c>
      <c r="BC207" s="1966">
        <f t="shared" si="139"/>
        <v>0</v>
      </c>
      <c r="BD207" s="1966">
        <f t="shared" si="140"/>
        <v>0</v>
      </c>
      <c r="BE207" s="372">
        <f t="shared" si="141"/>
        <v>0</v>
      </c>
      <c r="BG207" s="2159">
        <f t="shared" si="142"/>
        <v>46023</v>
      </c>
      <c r="BH207" s="2159">
        <f t="shared" si="143"/>
        <v>46023</v>
      </c>
      <c r="BI207" s="2159">
        <f t="shared" si="144"/>
        <v>46023</v>
      </c>
      <c r="BJ207" s="2159">
        <f t="shared" si="145"/>
        <v>0</v>
      </c>
      <c r="BL207" s="369">
        <f t="shared" si="146"/>
        <v>0</v>
      </c>
      <c r="BM207" s="2159">
        <f t="shared" si="147"/>
        <v>0</v>
      </c>
      <c r="BN207" s="2159">
        <f t="shared" si="148"/>
        <v>0</v>
      </c>
      <c r="BO207" s="373">
        <f t="shared" si="149"/>
        <v>0</v>
      </c>
      <c r="BT207" s="2054"/>
    </row>
    <row r="208" spans="1:72" ht="45.75" customHeight="1">
      <c r="A208" s="2163"/>
      <c r="B208" s="2146"/>
      <c r="C208" s="2146"/>
      <c r="D208" s="2164"/>
      <c r="E208" s="1573"/>
      <c r="F208" s="2148"/>
      <c r="G208" s="2149" t="str">
        <f t="shared" si="110"/>
        <v/>
      </c>
      <c r="H208" s="2148"/>
      <c r="I208" s="2150"/>
      <c r="J208" s="2148"/>
      <c r="K208" s="2151">
        <f t="shared" si="111"/>
        <v>0</v>
      </c>
      <c r="L208" s="2148"/>
      <c r="M208" s="2150"/>
      <c r="N208" s="2152"/>
      <c r="O208" s="2148"/>
      <c r="P208" s="2151">
        <f t="shared" si="112"/>
        <v>0</v>
      </c>
      <c r="Q208" s="2148"/>
      <c r="R208" s="2150"/>
      <c r="S208" s="2152"/>
      <c r="T208" s="2153"/>
      <c r="U208" s="2154">
        <f t="shared" si="113"/>
        <v>0</v>
      </c>
      <c r="V208" s="2155"/>
      <c r="W208" s="2150"/>
      <c r="X208" s="2152"/>
      <c r="Y208" s="2153"/>
      <c r="Z208" s="1572">
        <f t="shared" si="114"/>
        <v>0</v>
      </c>
      <c r="AA208" s="2168">
        <f t="shared" si="127"/>
        <v>0</v>
      </c>
      <c r="AB208" s="2156" t="str">
        <f t="shared" si="115"/>
        <v/>
      </c>
      <c r="AD208" s="2158" t="str">
        <f t="shared" si="128"/>
        <v/>
      </c>
      <c r="AE208" s="2159">
        <f t="shared" si="129"/>
        <v>0</v>
      </c>
      <c r="AF208" s="2159">
        <f t="shared" si="130"/>
        <v>0</v>
      </c>
      <c r="AG208" s="2159">
        <f t="shared" si="131"/>
        <v>0</v>
      </c>
      <c r="AH208" s="2159">
        <f t="shared" si="132"/>
        <v>0</v>
      </c>
      <c r="AI208" s="2160">
        <f t="shared" si="116"/>
        <v>0</v>
      </c>
      <c r="AJ208" s="1966">
        <f t="shared" si="133"/>
        <v>1</v>
      </c>
      <c r="AK208" s="2159">
        <f t="shared" si="134"/>
        <v>0</v>
      </c>
      <c r="AL208" s="368" t="e">
        <f t="shared" si="135"/>
        <v>#DIV/0!</v>
      </c>
      <c r="AN208" s="369">
        <f t="shared" si="136"/>
        <v>0</v>
      </c>
      <c r="AO208" s="1966">
        <f t="shared" si="117"/>
        <v>0</v>
      </c>
      <c r="AP208" s="1966">
        <f t="shared" si="118"/>
        <v>0</v>
      </c>
      <c r="AQ208" s="1966">
        <f t="shared" si="119"/>
        <v>0</v>
      </c>
      <c r="AR208" s="370">
        <f t="shared" si="120"/>
        <v>0</v>
      </c>
      <c r="AT208" s="371">
        <f t="shared" si="121"/>
        <v>0</v>
      </c>
      <c r="AU208" s="1966">
        <f t="shared" si="122"/>
        <v>0</v>
      </c>
      <c r="AV208" s="2161">
        <f t="shared" si="123"/>
        <v>0</v>
      </c>
      <c r="AW208" s="2161">
        <f t="shared" si="124"/>
        <v>0</v>
      </c>
      <c r="AX208" s="1966">
        <f t="shared" si="125"/>
        <v>0</v>
      </c>
      <c r="AY208" s="372">
        <f t="shared" si="126"/>
        <v>0</v>
      </c>
      <c r="AZ208" s="265"/>
      <c r="BA208" s="371">
        <f t="shared" si="137"/>
        <v>0</v>
      </c>
      <c r="BB208" s="1966">
        <f t="shared" si="138"/>
        <v>0</v>
      </c>
      <c r="BC208" s="1966">
        <f t="shared" si="139"/>
        <v>0</v>
      </c>
      <c r="BD208" s="1966">
        <f t="shared" si="140"/>
        <v>0</v>
      </c>
      <c r="BE208" s="372">
        <f t="shared" si="141"/>
        <v>0</v>
      </c>
      <c r="BG208" s="2159">
        <f t="shared" si="142"/>
        <v>46023</v>
      </c>
      <c r="BH208" s="2159">
        <f t="shared" si="143"/>
        <v>46023</v>
      </c>
      <c r="BI208" s="2159">
        <f t="shared" si="144"/>
        <v>46023</v>
      </c>
      <c r="BJ208" s="2159">
        <f t="shared" si="145"/>
        <v>0</v>
      </c>
      <c r="BL208" s="369">
        <f t="shared" si="146"/>
        <v>0</v>
      </c>
      <c r="BM208" s="2159">
        <f t="shared" si="147"/>
        <v>0</v>
      </c>
      <c r="BN208" s="2159">
        <f t="shared" si="148"/>
        <v>0</v>
      </c>
      <c r="BO208" s="373">
        <f t="shared" si="149"/>
        <v>0</v>
      </c>
      <c r="BT208" s="2054"/>
    </row>
    <row r="209" spans="1:72" ht="45.75" customHeight="1">
      <c r="A209" s="2163"/>
      <c r="B209" s="2146"/>
      <c r="C209" s="2146"/>
      <c r="D209" s="2164"/>
      <c r="E209" s="1573"/>
      <c r="F209" s="2148"/>
      <c r="G209" s="2149" t="str">
        <f t="shared" si="110"/>
        <v/>
      </c>
      <c r="H209" s="2148"/>
      <c r="I209" s="2150"/>
      <c r="J209" s="2148"/>
      <c r="K209" s="2151">
        <f t="shared" si="111"/>
        <v>0</v>
      </c>
      <c r="L209" s="2148"/>
      <c r="M209" s="2150"/>
      <c r="N209" s="2152"/>
      <c r="O209" s="2148"/>
      <c r="P209" s="2151">
        <f t="shared" si="112"/>
        <v>0</v>
      </c>
      <c r="Q209" s="2148"/>
      <c r="R209" s="2150"/>
      <c r="S209" s="2152"/>
      <c r="T209" s="2153"/>
      <c r="U209" s="2154">
        <f t="shared" si="113"/>
        <v>0</v>
      </c>
      <c r="V209" s="2155"/>
      <c r="W209" s="2150"/>
      <c r="X209" s="2152"/>
      <c r="Y209" s="2153"/>
      <c r="Z209" s="1572">
        <f t="shared" si="114"/>
        <v>0</v>
      </c>
      <c r="AA209" s="2168">
        <f t="shared" si="127"/>
        <v>0</v>
      </c>
      <c r="AB209" s="2156" t="str">
        <f t="shared" si="115"/>
        <v/>
      </c>
      <c r="AD209" s="2158" t="str">
        <f t="shared" si="128"/>
        <v/>
      </c>
      <c r="AE209" s="2159">
        <f t="shared" si="129"/>
        <v>0</v>
      </c>
      <c r="AF209" s="2159">
        <f t="shared" si="130"/>
        <v>0</v>
      </c>
      <c r="AG209" s="2159">
        <f t="shared" si="131"/>
        <v>0</v>
      </c>
      <c r="AH209" s="2159">
        <f t="shared" si="132"/>
        <v>0</v>
      </c>
      <c r="AI209" s="2160">
        <f t="shared" si="116"/>
        <v>0</v>
      </c>
      <c r="AJ209" s="1966">
        <f t="shared" si="133"/>
        <v>1</v>
      </c>
      <c r="AK209" s="2159">
        <f t="shared" si="134"/>
        <v>0</v>
      </c>
      <c r="AL209" s="368" t="e">
        <f t="shared" si="135"/>
        <v>#DIV/0!</v>
      </c>
      <c r="AN209" s="369">
        <f t="shared" si="136"/>
        <v>0</v>
      </c>
      <c r="AO209" s="1966">
        <f t="shared" si="117"/>
        <v>0</v>
      </c>
      <c r="AP209" s="1966">
        <f t="shared" si="118"/>
        <v>0</v>
      </c>
      <c r="AQ209" s="1966">
        <f t="shared" si="119"/>
        <v>0</v>
      </c>
      <c r="AR209" s="370">
        <f t="shared" si="120"/>
        <v>0</v>
      </c>
      <c r="AT209" s="371">
        <f t="shared" si="121"/>
        <v>0</v>
      </c>
      <c r="AU209" s="1966">
        <f t="shared" si="122"/>
        <v>0</v>
      </c>
      <c r="AV209" s="2161">
        <f t="shared" si="123"/>
        <v>0</v>
      </c>
      <c r="AW209" s="2161">
        <f t="shared" si="124"/>
        <v>0</v>
      </c>
      <c r="AX209" s="1966">
        <f t="shared" si="125"/>
        <v>0</v>
      </c>
      <c r="AY209" s="372">
        <f t="shared" si="126"/>
        <v>0</v>
      </c>
      <c r="AZ209" s="265"/>
      <c r="BA209" s="371">
        <f t="shared" si="137"/>
        <v>0</v>
      </c>
      <c r="BB209" s="1966">
        <f t="shared" si="138"/>
        <v>0</v>
      </c>
      <c r="BC209" s="1966">
        <f t="shared" si="139"/>
        <v>0</v>
      </c>
      <c r="BD209" s="1966">
        <f t="shared" si="140"/>
        <v>0</v>
      </c>
      <c r="BE209" s="372">
        <f t="shared" si="141"/>
        <v>0</v>
      </c>
      <c r="BG209" s="2159">
        <f t="shared" si="142"/>
        <v>46023</v>
      </c>
      <c r="BH209" s="2159">
        <f t="shared" si="143"/>
        <v>46023</v>
      </c>
      <c r="BI209" s="2159">
        <f t="shared" si="144"/>
        <v>46023</v>
      </c>
      <c r="BJ209" s="2159">
        <f t="shared" si="145"/>
        <v>0</v>
      </c>
      <c r="BL209" s="369">
        <f t="shared" si="146"/>
        <v>0</v>
      </c>
      <c r="BM209" s="2159">
        <f t="shared" si="147"/>
        <v>0</v>
      </c>
      <c r="BN209" s="2159">
        <f t="shared" si="148"/>
        <v>0</v>
      </c>
      <c r="BO209" s="373">
        <f t="shared" si="149"/>
        <v>0</v>
      </c>
      <c r="BT209" s="2054"/>
    </row>
    <row r="210" spans="1:72" ht="45.75" customHeight="1">
      <c r="A210" s="2163"/>
      <c r="B210" s="2146"/>
      <c r="C210" s="2146"/>
      <c r="D210" s="2164"/>
      <c r="E210" s="1573"/>
      <c r="F210" s="2148"/>
      <c r="G210" s="2149" t="str">
        <f t="shared" si="110"/>
        <v/>
      </c>
      <c r="H210" s="2148"/>
      <c r="I210" s="2150"/>
      <c r="J210" s="2148"/>
      <c r="K210" s="2151">
        <f t="shared" si="111"/>
        <v>0</v>
      </c>
      <c r="L210" s="2148"/>
      <c r="M210" s="2150"/>
      <c r="N210" s="2152"/>
      <c r="O210" s="2148"/>
      <c r="P210" s="2151">
        <f t="shared" si="112"/>
        <v>0</v>
      </c>
      <c r="Q210" s="2148"/>
      <c r="R210" s="2150"/>
      <c r="S210" s="2152"/>
      <c r="T210" s="2153"/>
      <c r="U210" s="2154">
        <f t="shared" si="113"/>
        <v>0</v>
      </c>
      <c r="V210" s="2155"/>
      <c r="W210" s="2150"/>
      <c r="X210" s="2152"/>
      <c r="Y210" s="2153"/>
      <c r="Z210" s="1572">
        <f t="shared" si="114"/>
        <v>0</v>
      </c>
      <c r="AA210" s="2168">
        <f t="shared" si="127"/>
        <v>0</v>
      </c>
      <c r="AB210" s="2156" t="str">
        <f t="shared" si="115"/>
        <v/>
      </c>
      <c r="AD210" s="2158" t="str">
        <f t="shared" si="128"/>
        <v/>
      </c>
      <c r="AE210" s="2159">
        <f t="shared" si="129"/>
        <v>0</v>
      </c>
      <c r="AF210" s="2159">
        <f t="shared" si="130"/>
        <v>0</v>
      </c>
      <c r="AG210" s="2159">
        <f t="shared" si="131"/>
        <v>0</v>
      </c>
      <c r="AH210" s="2159">
        <f t="shared" si="132"/>
        <v>0</v>
      </c>
      <c r="AI210" s="2160">
        <f t="shared" si="116"/>
        <v>0</v>
      </c>
      <c r="AJ210" s="1966">
        <f t="shared" si="133"/>
        <v>1</v>
      </c>
      <c r="AK210" s="2159">
        <f t="shared" si="134"/>
        <v>0</v>
      </c>
      <c r="AL210" s="368" t="e">
        <f t="shared" si="135"/>
        <v>#DIV/0!</v>
      </c>
      <c r="AN210" s="369">
        <f t="shared" si="136"/>
        <v>0</v>
      </c>
      <c r="AO210" s="1966">
        <f t="shared" si="117"/>
        <v>0</v>
      </c>
      <c r="AP210" s="1966">
        <f t="shared" si="118"/>
        <v>0</v>
      </c>
      <c r="AQ210" s="1966">
        <f t="shared" si="119"/>
        <v>0</v>
      </c>
      <c r="AR210" s="370">
        <f t="shared" si="120"/>
        <v>0</v>
      </c>
      <c r="AT210" s="371">
        <f t="shared" si="121"/>
        <v>0</v>
      </c>
      <c r="AU210" s="1966">
        <f t="shared" si="122"/>
        <v>0</v>
      </c>
      <c r="AV210" s="2161">
        <f t="shared" si="123"/>
        <v>0</v>
      </c>
      <c r="AW210" s="2161">
        <f t="shared" si="124"/>
        <v>0</v>
      </c>
      <c r="AX210" s="1966">
        <f t="shared" si="125"/>
        <v>0</v>
      </c>
      <c r="AY210" s="372">
        <f t="shared" si="126"/>
        <v>0</v>
      </c>
      <c r="AZ210" s="265"/>
      <c r="BA210" s="371">
        <f t="shared" si="137"/>
        <v>0</v>
      </c>
      <c r="BB210" s="1966">
        <f t="shared" si="138"/>
        <v>0</v>
      </c>
      <c r="BC210" s="1966">
        <f t="shared" si="139"/>
        <v>0</v>
      </c>
      <c r="BD210" s="1966">
        <f t="shared" si="140"/>
        <v>0</v>
      </c>
      <c r="BE210" s="372">
        <f t="shared" si="141"/>
        <v>0</v>
      </c>
      <c r="BG210" s="2159">
        <f t="shared" si="142"/>
        <v>46023</v>
      </c>
      <c r="BH210" s="2159">
        <f t="shared" si="143"/>
        <v>46023</v>
      </c>
      <c r="BI210" s="2159">
        <f t="shared" si="144"/>
        <v>46023</v>
      </c>
      <c r="BJ210" s="2159">
        <f t="shared" si="145"/>
        <v>0</v>
      </c>
      <c r="BL210" s="369">
        <f t="shared" si="146"/>
        <v>0</v>
      </c>
      <c r="BM210" s="2159">
        <f t="shared" si="147"/>
        <v>0</v>
      </c>
      <c r="BN210" s="2159">
        <f t="shared" si="148"/>
        <v>0</v>
      </c>
      <c r="BO210" s="373">
        <f t="shared" si="149"/>
        <v>0</v>
      </c>
      <c r="BT210" s="2054"/>
    </row>
    <row r="211" spans="1:72" ht="45.75" customHeight="1">
      <c r="A211" s="2163"/>
      <c r="B211" s="2146"/>
      <c r="C211" s="2146"/>
      <c r="D211" s="2164"/>
      <c r="E211" s="1573"/>
      <c r="F211" s="2148"/>
      <c r="G211" s="2149" t="str">
        <f t="shared" si="110"/>
        <v/>
      </c>
      <c r="H211" s="2148"/>
      <c r="I211" s="2150"/>
      <c r="J211" s="2148"/>
      <c r="K211" s="2151">
        <f t="shared" si="111"/>
        <v>0</v>
      </c>
      <c r="L211" s="2148"/>
      <c r="M211" s="2150"/>
      <c r="N211" s="2152"/>
      <c r="O211" s="2148"/>
      <c r="P211" s="2151">
        <f t="shared" si="112"/>
        <v>0</v>
      </c>
      <c r="Q211" s="2148"/>
      <c r="R211" s="2150"/>
      <c r="S211" s="2152"/>
      <c r="T211" s="2153"/>
      <c r="U211" s="2154">
        <f t="shared" si="113"/>
        <v>0</v>
      </c>
      <c r="V211" s="2155"/>
      <c r="W211" s="2150"/>
      <c r="X211" s="2152"/>
      <c r="Y211" s="2153"/>
      <c r="Z211" s="1572">
        <f t="shared" si="114"/>
        <v>0</v>
      </c>
      <c r="AA211" s="2168">
        <f t="shared" si="127"/>
        <v>0</v>
      </c>
      <c r="AB211" s="2156" t="str">
        <f t="shared" si="115"/>
        <v/>
      </c>
      <c r="AD211" s="2158" t="str">
        <f t="shared" si="128"/>
        <v/>
      </c>
      <c r="AE211" s="2159">
        <f t="shared" si="129"/>
        <v>0</v>
      </c>
      <c r="AF211" s="2159">
        <f t="shared" si="130"/>
        <v>0</v>
      </c>
      <c r="AG211" s="2159">
        <f t="shared" si="131"/>
        <v>0</v>
      </c>
      <c r="AH211" s="2159">
        <f t="shared" si="132"/>
        <v>0</v>
      </c>
      <c r="AI211" s="2160">
        <f t="shared" si="116"/>
        <v>0</v>
      </c>
      <c r="AJ211" s="1966">
        <f t="shared" si="133"/>
        <v>1</v>
      </c>
      <c r="AK211" s="2159">
        <f t="shared" si="134"/>
        <v>0</v>
      </c>
      <c r="AL211" s="368" t="e">
        <f t="shared" si="135"/>
        <v>#DIV/0!</v>
      </c>
      <c r="AN211" s="369">
        <f t="shared" si="136"/>
        <v>0</v>
      </c>
      <c r="AO211" s="1966">
        <f t="shared" si="117"/>
        <v>0</v>
      </c>
      <c r="AP211" s="1966">
        <f t="shared" si="118"/>
        <v>0</v>
      </c>
      <c r="AQ211" s="1966">
        <f t="shared" si="119"/>
        <v>0</v>
      </c>
      <c r="AR211" s="370">
        <f t="shared" si="120"/>
        <v>0</v>
      </c>
      <c r="AT211" s="371">
        <f t="shared" si="121"/>
        <v>0</v>
      </c>
      <c r="AU211" s="1966">
        <f t="shared" si="122"/>
        <v>0</v>
      </c>
      <c r="AV211" s="2161">
        <f t="shared" si="123"/>
        <v>0</v>
      </c>
      <c r="AW211" s="2161">
        <f t="shared" si="124"/>
        <v>0</v>
      </c>
      <c r="AX211" s="1966">
        <f t="shared" si="125"/>
        <v>0</v>
      </c>
      <c r="AY211" s="372">
        <f t="shared" si="126"/>
        <v>0</v>
      </c>
      <c r="AZ211" s="265"/>
      <c r="BA211" s="371">
        <f t="shared" si="137"/>
        <v>0</v>
      </c>
      <c r="BB211" s="1966">
        <f t="shared" si="138"/>
        <v>0</v>
      </c>
      <c r="BC211" s="1966">
        <f t="shared" si="139"/>
        <v>0</v>
      </c>
      <c r="BD211" s="1966">
        <f t="shared" si="140"/>
        <v>0</v>
      </c>
      <c r="BE211" s="372">
        <f t="shared" si="141"/>
        <v>0</v>
      </c>
      <c r="BG211" s="2159">
        <f t="shared" si="142"/>
        <v>46023</v>
      </c>
      <c r="BH211" s="2159">
        <f t="shared" si="143"/>
        <v>46023</v>
      </c>
      <c r="BI211" s="2159">
        <f t="shared" si="144"/>
        <v>46023</v>
      </c>
      <c r="BJ211" s="2159">
        <f t="shared" si="145"/>
        <v>0</v>
      </c>
      <c r="BL211" s="369">
        <f t="shared" si="146"/>
        <v>0</v>
      </c>
      <c r="BM211" s="2159">
        <f t="shared" si="147"/>
        <v>0</v>
      </c>
      <c r="BN211" s="2159">
        <f t="shared" si="148"/>
        <v>0</v>
      </c>
      <c r="BO211" s="373">
        <f t="shared" si="149"/>
        <v>0</v>
      </c>
      <c r="BT211" s="2054"/>
    </row>
    <row r="212" spans="1:72" ht="45.75" customHeight="1">
      <c r="A212" s="2163"/>
      <c r="B212" s="2146"/>
      <c r="C212" s="2146"/>
      <c r="D212" s="2164"/>
      <c r="E212" s="1573"/>
      <c r="F212" s="2148"/>
      <c r="G212" s="2149" t="str">
        <f t="shared" si="110"/>
        <v/>
      </c>
      <c r="H212" s="2148"/>
      <c r="I212" s="2150"/>
      <c r="J212" s="2148"/>
      <c r="K212" s="2151">
        <f t="shared" si="111"/>
        <v>0</v>
      </c>
      <c r="L212" s="2148"/>
      <c r="M212" s="2150"/>
      <c r="N212" s="2152"/>
      <c r="O212" s="2148"/>
      <c r="P212" s="2151">
        <f t="shared" si="112"/>
        <v>0</v>
      </c>
      <c r="Q212" s="2148"/>
      <c r="R212" s="2150"/>
      <c r="S212" s="2152"/>
      <c r="T212" s="2153"/>
      <c r="U212" s="2154">
        <f t="shared" si="113"/>
        <v>0</v>
      </c>
      <c r="V212" s="2155"/>
      <c r="W212" s="2150"/>
      <c r="X212" s="2152"/>
      <c r="Y212" s="2153"/>
      <c r="Z212" s="1572">
        <f t="shared" si="114"/>
        <v>0</v>
      </c>
      <c r="AA212" s="2168">
        <f t="shared" si="127"/>
        <v>0</v>
      </c>
      <c r="AB212" s="2156" t="str">
        <f t="shared" si="115"/>
        <v/>
      </c>
      <c r="AD212" s="2158" t="str">
        <f t="shared" si="128"/>
        <v/>
      </c>
      <c r="AE212" s="2159">
        <f t="shared" si="129"/>
        <v>0</v>
      </c>
      <c r="AF212" s="2159">
        <f t="shared" si="130"/>
        <v>0</v>
      </c>
      <c r="AG212" s="2159">
        <f t="shared" si="131"/>
        <v>0</v>
      </c>
      <c r="AH212" s="2159">
        <f t="shared" si="132"/>
        <v>0</v>
      </c>
      <c r="AI212" s="2160">
        <f t="shared" si="116"/>
        <v>0</v>
      </c>
      <c r="AJ212" s="1966">
        <f t="shared" si="133"/>
        <v>1</v>
      </c>
      <c r="AK212" s="2159">
        <f t="shared" si="134"/>
        <v>0</v>
      </c>
      <c r="AL212" s="368" t="e">
        <f t="shared" si="135"/>
        <v>#DIV/0!</v>
      </c>
      <c r="AN212" s="369">
        <f t="shared" si="136"/>
        <v>0</v>
      </c>
      <c r="AO212" s="1966">
        <f t="shared" si="117"/>
        <v>0</v>
      </c>
      <c r="AP212" s="1966">
        <f t="shared" si="118"/>
        <v>0</v>
      </c>
      <c r="AQ212" s="1966">
        <f t="shared" si="119"/>
        <v>0</v>
      </c>
      <c r="AR212" s="370">
        <f t="shared" si="120"/>
        <v>0</v>
      </c>
      <c r="AT212" s="371">
        <f t="shared" si="121"/>
        <v>0</v>
      </c>
      <c r="AU212" s="1966">
        <f t="shared" si="122"/>
        <v>0</v>
      </c>
      <c r="AV212" s="2161">
        <f t="shared" si="123"/>
        <v>0</v>
      </c>
      <c r="AW212" s="2161">
        <f t="shared" si="124"/>
        <v>0</v>
      </c>
      <c r="AX212" s="1966">
        <f t="shared" si="125"/>
        <v>0</v>
      </c>
      <c r="AY212" s="372">
        <f t="shared" si="126"/>
        <v>0</v>
      </c>
      <c r="AZ212" s="265"/>
      <c r="BA212" s="371">
        <f t="shared" si="137"/>
        <v>0</v>
      </c>
      <c r="BB212" s="1966">
        <f t="shared" si="138"/>
        <v>0</v>
      </c>
      <c r="BC212" s="1966">
        <f t="shared" si="139"/>
        <v>0</v>
      </c>
      <c r="BD212" s="1966">
        <f t="shared" si="140"/>
        <v>0</v>
      </c>
      <c r="BE212" s="372">
        <f t="shared" si="141"/>
        <v>0</v>
      </c>
      <c r="BG212" s="2159">
        <f t="shared" si="142"/>
        <v>46023</v>
      </c>
      <c r="BH212" s="2159">
        <f t="shared" si="143"/>
        <v>46023</v>
      </c>
      <c r="BI212" s="2159">
        <f t="shared" si="144"/>
        <v>46023</v>
      </c>
      <c r="BJ212" s="2159">
        <f t="shared" si="145"/>
        <v>0</v>
      </c>
      <c r="BL212" s="369">
        <f t="shared" si="146"/>
        <v>0</v>
      </c>
      <c r="BM212" s="2159">
        <f t="shared" si="147"/>
        <v>0</v>
      </c>
      <c r="BN212" s="2159">
        <f t="shared" si="148"/>
        <v>0</v>
      </c>
      <c r="BO212" s="373">
        <f t="shared" si="149"/>
        <v>0</v>
      </c>
      <c r="BT212" s="2054"/>
    </row>
    <row r="213" spans="1:72" ht="45.75" customHeight="1">
      <c r="A213" s="2163"/>
      <c r="B213" s="2146"/>
      <c r="C213" s="2146"/>
      <c r="D213" s="2164"/>
      <c r="E213" s="1573"/>
      <c r="F213" s="2148"/>
      <c r="G213" s="2149" t="str">
        <f t="shared" si="110"/>
        <v/>
      </c>
      <c r="H213" s="2148"/>
      <c r="I213" s="2150"/>
      <c r="J213" s="2148"/>
      <c r="K213" s="2151">
        <f t="shared" si="111"/>
        <v>0</v>
      </c>
      <c r="L213" s="2148"/>
      <c r="M213" s="2150"/>
      <c r="N213" s="2152"/>
      <c r="O213" s="2148"/>
      <c r="P213" s="2151">
        <f t="shared" si="112"/>
        <v>0</v>
      </c>
      <c r="Q213" s="2148"/>
      <c r="R213" s="2150"/>
      <c r="S213" s="2152"/>
      <c r="T213" s="2153"/>
      <c r="U213" s="2154">
        <f t="shared" si="113"/>
        <v>0</v>
      </c>
      <c r="V213" s="2155"/>
      <c r="W213" s="2150"/>
      <c r="X213" s="2152"/>
      <c r="Y213" s="2153"/>
      <c r="Z213" s="1572">
        <f t="shared" si="114"/>
        <v>0</v>
      </c>
      <c r="AA213" s="2168">
        <f t="shared" si="127"/>
        <v>0</v>
      </c>
      <c r="AB213" s="2156" t="str">
        <f t="shared" si="115"/>
        <v/>
      </c>
      <c r="AD213" s="2158" t="str">
        <f t="shared" si="128"/>
        <v/>
      </c>
      <c r="AE213" s="2159">
        <f t="shared" si="129"/>
        <v>0</v>
      </c>
      <c r="AF213" s="2159">
        <f t="shared" si="130"/>
        <v>0</v>
      </c>
      <c r="AG213" s="2159">
        <f t="shared" si="131"/>
        <v>0</v>
      </c>
      <c r="AH213" s="2159">
        <f t="shared" si="132"/>
        <v>0</v>
      </c>
      <c r="AI213" s="2160">
        <f t="shared" si="116"/>
        <v>0</v>
      </c>
      <c r="AJ213" s="1966">
        <f t="shared" si="133"/>
        <v>1</v>
      </c>
      <c r="AK213" s="2159">
        <f t="shared" si="134"/>
        <v>0</v>
      </c>
      <c r="AL213" s="368" t="e">
        <f t="shared" si="135"/>
        <v>#DIV/0!</v>
      </c>
      <c r="AN213" s="369">
        <f t="shared" si="136"/>
        <v>0</v>
      </c>
      <c r="AO213" s="1966">
        <f t="shared" si="117"/>
        <v>0</v>
      </c>
      <c r="AP213" s="1966">
        <f t="shared" si="118"/>
        <v>0</v>
      </c>
      <c r="AQ213" s="1966">
        <f t="shared" si="119"/>
        <v>0</v>
      </c>
      <c r="AR213" s="370">
        <f t="shared" si="120"/>
        <v>0</v>
      </c>
      <c r="AT213" s="371">
        <f t="shared" si="121"/>
        <v>0</v>
      </c>
      <c r="AU213" s="1966">
        <f t="shared" si="122"/>
        <v>0</v>
      </c>
      <c r="AV213" s="2161">
        <f t="shared" si="123"/>
        <v>0</v>
      </c>
      <c r="AW213" s="2161">
        <f t="shared" si="124"/>
        <v>0</v>
      </c>
      <c r="AX213" s="1966">
        <f t="shared" si="125"/>
        <v>0</v>
      </c>
      <c r="AY213" s="372">
        <f t="shared" si="126"/>
        <v>0</v>
      </c>
      <c r="AZ213" s="265"/>
      <c r="BA213" s="371">
        <f t="shared" si="137"/>
        <v>0</v>
      </c>
      <c r="BB213" s="1966">
        <f t="shared" si="138"/>
        <v>0</v>
      </c>
      <c r="BC213" s="1966">
        <f t="shared" si="139"/>
        <v>0</v>
      </c>
      <c r="BD213" s="1966">
        <f t="shared" si="140"/>
        <v>0</v>
      </c>
      <c r="BE213" s="372">
        <f t="shared" si="141"/>
        <v>0</v>
      </c>
      <c r="BG213" s="2159">
        <f t="shared" si="142"/>
        <v>46023</v>
      </c>
      <c r="BH213" s="2159">
        <f t="shared" si="143"/>
        <v>46023</v>
      </c>
      <c r="BI213" s="2159">
        <f t="shared" si="144"/>
        <v>46023</v>
      </c>
      <c r="BJ213" s="2159">
        <f t="shared" si="145"/>
        <v>0</v>
      </c>
      <c r="BL213" s="369">
        <f t="shared" si="146"/>
        <v>0</v>
      </c>
      <c r="BM213" s="2159">
        <f t="shared" si="147"/>
        <v>0</v>
      </c>
      <c r="BN213" s="2159">
        <f t="shared" si="148"/>
        <v>0</v>
      </c>
      <c r="BO213" s="373">
        <f t="shared" si="149"/>
        <v>0</v>
      </c>
      <c r="BT213" s="2054"/>
    </row>
    <row r="214" spans="1:72" ht="45.75" customHeight="1">
      <c r="A214" s="2163"/>
      <c r="B214" s="2146"/>
      <c r="C214" s="2146"/>
      <c r="D214" s="2164"/>
      <c r="E214" s="1573"/>
      <c r="F214" s="2148"/>
      <c r="G214" s="2149" t="str">
        <f t="shared" si="110"/>
        <v/>
      </c>
      <c r="H214" s="2148"/>
      <c r="I214" s="2150"/>
      <c r="J214" s="2148"/>
      <c r="K214" s="2151">
        <f t="shared" si="111"/>
        <v>0</v>
      </c>
      <c r="L214" s="2148"/>
      <c r="M214" s="2150"/>
      <c r="N214" s="2152"/>
      <c r="O214" s="2148"/>
      <c r="P214" s="2151">
        <f t="shared" si="112"/>
        <v>0</v>
      </c>
      <c r="Q214" s="2148"/>
      <c r="R214" s="2150"/>
      <c r="S214" s="2152"/>
      <c r="T214" s="2153"/>
      <c r="U214" s="2154">
        <f t="shared" si="113"/>
        <v>0</v>
      </c>
      <c r="V214" s="2155"/>
      <c r="W214" s="2150"/>
      <c r="X214" s="2152"/>
      <c r="Y214" s="2153"/>
      <c r="Z214" s="1572">
        <f t="shared" si="114"/>
        <v>0</v>
      </c>
      <c r="AA214" s="2168">
        <f t="shared" si="127"/>
        <v>0</v>
      </c>
      <c r="AB214" s="2156" t="str">
        <f t="shared" si="115"/>
        <v/>
      </c>
      <c r="AD214" s="2158" t="str">
        <f t="shared" si="128"/>
        <v/>
      </c>
      <c r="AE214" s="2159">
        <f t="shared" si="129"/>
        <v>0</v>
      </c>
      <c r="AF214" s="2159">
        <f t="shared" si="130"/>
        <v>0</v>
      </c>
      <c r="AG214" s="2159">
        <f t="shared" si="131"/>
        <v>0</v>
      </c>
      <c r="AH214" s="2159">
        <f t="shared" si="132"/>
        <v>0</v>
      </c>
      <c r="AI214" s="2160">
        <f t="shared" si="116"/>
        <v>0</v>
      </c>
      <c r="AJ214" s="1966">
        <f t="shared" si="133"/>
        <v>1</v>
      </c>
      <c r="AK214" s="2159">
        <f t="shared" si="134"/>
        <v>0</v>
      </c>
      <c r="AL214" s="368" t="e">
        <f t="shared" si="135"/>
        <v>#DIV/0!</v>
      </c>
      <c r="AN214" s="369">
        <f t="shared" si="136"/>
        <v>0</v>
      </c>
      <c r="AO214" s="1966">
        <f t="shared" si="117"/>
        <v>0</v>
      </c>
      <c r="AP214" s="1966">
        <f t="shared" si="118"/>
        <v>0</v>
      </c>
      <c r="AQ214" s="1966">
        <f t="shared" si="119"/>
        <v>0</v>
      </c>
      <c r="AR214" s="370">
        <f t="shared" si="120"/>
        <v>0</v>
      </c>
      <c r="AT214" s="371">
        <f t="shared" si="121"/>
        <v>0</v>
      </c>
      <c r="AU214" s="1966">
        <f t="shared" si="122"/>
        <v>0</v>
      </c>
      <c r="AV214" s="2161">
        <f t="shared" si="123"/>
        <v>0</v>
      </c>
      <c r="AW214" s="2161">
        <f t="shared" si="124"/>
        <v>0</v>
      </c>
      <c r="AX214" s="1966">
        <f t="shared" si="125"/>
        <v>0</v>
      </c>
      <c r="AY214" s="372">
        <f t="shared" si="126"/>
        <v>0</v>
      </c>
      <c r="AZ214" s="265"/>
      <c r="BA214" s="371">
        <f t="shared" si="137"/>
        <v>0</v>
      </c>
      <c r="BB214" s="1966">
        <f t="shared" si="138"/>
        <v>0</v>
      </c>
      <c r="BC214" s="1966">
        <f t="shared" si="139"/>
        <v>0</v>
      </c>
      <c r="BD214" s="1966">
        <f t="shared" si="140"/>
        <v>0</v>
      </c>
      <c r="BE214" s="372">
        <f t="shared" si="141"/>
        <v>0</v>
      </c>
      <c r="BG214" s="2159">
        <f t="shared" si="142"/>
        <v>46023</v>
      </c>
      <c r="BH214" s="2159">
        <f t="shared" si="143"/>
        <v>46023</v>
      </c>
      <c r="BI214" s="2159">
        <f t="shared" si="144"/>
        <v>46023</v>
      </c>
      <c r="BJ214" s="2159">
        <f t="shared" si="145"/>
        <v>0</v>
      </c>
      <c r="BL214" s="369">
        <f t="shared" si="146"/>
        <v>0</v>
      </c>
      <c r="BM214" s="2159">
        <f t="shared" si="147"/>
        <v>0</v>
      </c>
      <c r="BN214" s="2159">
        <f t="shared" si="148"/>
        <v>0</v>
      </c>
      <c r="BO214" s="373">
        <f t="shared" si="149"/>
        <v>0</v>
      </c>
      <c r="BT214" s="2054"/>
    </row>
    <row r="215" spans="1:72" ht="45.75" customHeight="1">
      <c r="A215" s="2163"/>
      <c r="B215" s="2146"/>
      <c r="C215" s="2146"/>
      <c r="D215" s="2164"/>
      <c r="E215" s="1573"/>
      <c r="F215" s="2148"/>
      <c r="G215" s="2149" t="str">
        <f t="shared" si="110"/>
        <v/>
      </c>
      <c r="H215" s="2148"/>
      <c r="I215" s="2150"/>
      <c r="J215" s="2148"/>
      <c r="K215" s="2151">
        <f t="shared" si="111"/>
        <v>0</v>
      </c>
      <c r="L215" s="2148"/>
      <c r="M215" s="2150"/>
      <c r="N215" s="2152"/>
      <c r="O215" s="2148"/>
      <c r="P215" s="2151">
        <f t="shared" si="112"/>
        <v>0</v>
      </c>
      <c r="Q215" s="2148"/>
      <c r="R215" s="2150"/>
      <c r="S215" s="2152"/>
      <c r="T215" s="2153"/>
      <c r="U215" s="2154">
        <f t="shared" si="113"/>
        <v>0</v>
      </c>
      <c r="V215" s="2155"/>
      <c r="W215" s="2150"/>
      <c r="X215" s="2152"/>
      <c r="Y215" s="2153"/>
      <c r="Z215" s="1572">
        <f t="shared" si="114"/>
        <v>0</v>
      </c>
      <c r="AA215" s="2168">
        <f t="shared" si="127"/>
        <v>0</v>
      </c>
      <c r="AB215" s="2156" t="str">
        <f t="shared" si="115"/>
        <v/>
      </c>
      <c r="AD215" s="2158" t="str">
        <f t="shared" si="128"/>
        <v/>
      </c>
      <c r="AE215" s="2159">
        <f t="shared" si="129"/>
        <v>0</v>
      </c>
      <c r="AF215" s="2159">
        <f t="shared" si="130"/>
        <v>0</v>
      </c>
      <c r="AG215" s="2159">
        <f t="shared" si="131"/>
        <v>0</v>
      </c>
      <c r="AH215" s="2159">
        <f t="shared" si="132"/>
        <v>0</v>
      </c>
      <c r="AI215" s="2160">
        <f t="shared" si="116"/>
        <v>0</v>
      </c>
      <c r="AJ215" s="1966">
        <f t="shared" si="133"/>
        <v>1</v>
      </c>
      <c r="AK215" s="2159">
        <f t="shared" si="134"/>
        <v>0</v>
      </c>
      <c r="AL215" s="368" t="e">
        <f t="shared" si="135"/>
        <v>#DIV/0!</v>
      </c>
      <c r="AN215" s="369">
        <f t="shared" si="136"/>
        <v>0</v>
      </c>
      <c r="AO215" s="1966">
        <f t="shared" si="117"/>
        <v>0</v>
      </c>
      <c r="AP215" s="1966">
        <f t="shared" si="118"/>
        <v>0</v>
      </c>
      <c r="AQ215" s="1966">
        <f t="shared" si="119"/>
        <v>0</v>
      </c>
      <c r="AR215" s="370">
        <f t="shared" si="120"/>
        <v>0</v>
      </c>
      <c r="AT215" s="371">
        <f t="shared" si="121"/>
        <v>0</v>
      </c>
      <c r="AU215" s="1966">
        <f t="shared" si="122"/>
        <v>0</v>
      </c>
      <c r="AV215" s="2161">
        <f t="shared" si="123"/>
        <v>0</v>
      </c>
      <c r="AW215" s="2161">
        <f t="shared" si="124"/>
        <v>0</v>
      </c>
      <c r="AX215" s="1966">
        <f t="shared" si="125"/>
        <v>0</v>
      </c>
      <c r="AY215" s="372">
        <f t="shared" si="126"/>
        <v>0</v>
      </c>
      <c r="AZ215" s="265"/>
      <c r="BA215" s="371">
        <f t="shared" si="137"/>
        <v>0</v>
      </c>
      <c r="BB215" s="1966">
        <f t="shared" si="138"/>
        <v>0</v>
      </c>
      <c r="BC215" s="1966">
        <f t="shared" si="139"/>
        <v>0</v>
      </c>
      <c r="BD215" s="1966">
        <f t="shared" si="140"/>
        <v>0</v>
      </c>
      <c r="BE215" s="372">
        <f t="shared" si="141"/>
        <v>0</v>
      </c>
      <c r="BG215" s="2159">
        <f t="shared" si="142"/>
        <v>46023</v>
      </c>
      <c r="BH215" s="2159">
        <f t="shared" si="143"/>
        <v>46023</v>
      </c>
      <c r="BI215" s="2159">
        <f t="shared" si="144"/>
        <v>46023</v>
      </c>
      <c r="BJ215" s="2159">
        <f t="shared" si="145"/>
        <v>0</v>
      </c>
      <c r="BL215" s="369">
        <f t="shared" si="146"/>
        <v>0</v>
      </c>
      <c r="BM215" s="2159">
        <f t="shared" si="147"/>
        <v>0</v>
      </c>
      <c r="BN215" s="2159">
        <f t="shared" si="148"/>
        <v>0</v>
      </c>
      <c r="BO215" s="373">
        <f t="shared" si="149"/>
        <v>0</v>
      </c>
      <c r="BT215" s="2054"/>
    </row>
    <row r="216" spans="1:72" ht="45.75" customHeight="1">
      <c r="A216" s="2163"/>
      <c r="B216" s="2146"/>
      <c r="C216" s="2146"/>
      <c r="D216" s="2164"/>
      <c r="E216" s="1573"/>
      <c r="F216" s="2148"/>
      <c r="G216" s="2149" t="str">
        <f t="shared" si="110"/>
        <v/>
      </c>
      <c r="H216" s="2148"/>
      <c r="I216" s="2150"/>
      <c r="J216" s="2148"/>
      <c r="K216" s="2151">
        <f t="shared" si="111"/>
        <v>0</v>
      </c>
      <c r="L216" s="2148"/>
      <c r="M216" s="2150"/>
      <c r="N216" s="2152"/>
      <c r="O216" s="2148"/>
      <c r="P216" s="2151">
        <f t="shared" si="112"/>
        <v>0</v>
      </c>
      <c r="Q216" s="2148"/>
      <c r="R216" s="2150"/>
      <c r="S216" s="2152"/>
      <c r="T216" s="2153"/>
      <c r="U216" s="2154">
        <f t="shared" si="113"/>
        <v>0</v>
      </c>
      <c r="V216" s="2155"/>
      <c r="W216" s="2150"/>
      <c r="X216" s="2152"/>
      <c r="Y216" s="2153"/>
      <c r="Z216" s="1572">
        <f t="shared" si="114"/>
        <v>0</v>
      </c>
      <c r="AA216" s="2168">
        <f t="shared" si="127"/>
        <v>0</v>
      </c>
      <c r="AB216" s="2156" t="str">
        <f t="shared" si="115"/>
        <v/>
      </c>
      <c r="AD216" s="2158" t="str">
        <f t="shared" si="128"/>
        <v/>
      </c>
      <c r="AE216" s="2159">
        <f t="shared" si="129"/>
        <v>0</v>
      </c>
      <c r="AF216" s="2159">
        <f t="shared" si="130"/>
        <v>0</v>
      </c>
      <c r="AG216" s="2159">
        <f t="shared" si="131"/>
        <v>0</v>
      </c>
      <c r="AH216" s="2159">
        <f t="shared" si="132"/>
        <v>0</v>
      </c>
      <c r="AI216" s="2160">
        <f t="shared" si="116"/>
        <v>0</v>
      </c>
      <c r="AJ216" s="1966">
        <f t="shared" si="133"/>
        <v>1</v>
      </c>
      <c r="AK216" s="2159">
        <f t="shared" si="134"/>
        <v>0</v>
      </c>
      <c r="AL216" s="368" t="e">
        <f t="shared" si="135"/>
        <v>#DIV/0!</v>
      </c>
      <c r="AN216" s="369">
        <f t="shared" si="136"/>
        <v>0</v>
      </c>
      <c r="AO216" s="1966">
        <f t="shared" si="117"/>
        <v>0</v>
      </c>
      <c r="AP216" s="1966">
        <f t="shared" si="118"/>
        <v>0</v>
      </c>
      <c r="AQ216" s="1966">
        <f t="shared" si="119"/>
        <v>0</v>
      </c>
      <c r="AR216" s="370">
        <f t="shared" si="120"/>
        <v>0</v>
      </c>
      <c r="AT216" s="371">
        <f t="shared" si="121"/>
        <v>0</v>
      </c>
      <c r="AU216" s="1966">
        <f t="shared" si="122"/>
        <v>0</v>
      </c>
      <c r="AV216" s="2161">
        <f t="shared" si="123"/>
        <v>0</v>
      </c>
      <c r="AW216" s="2161">
        <f t="shared" si="124"/>
        <v>0</v>
      </c>
      <c r="AX216" s="1966">
        <f t="shared" si="125"/>
        <v>0</v>
      </c>
      <c r="AY216" s="372">
        <f t="shared" si="126"/>
        <v>0</v>
      </c>
      <c r="AZ216" s="265"/>
      <c r="BA216" s="371">
        <f t="shared" si="137"/>
        <v>0</v>
      </c>
      <c r="BB216" s="1966">
        <f t="shared" si="138"/>
        <v>0</v>
      </c>
      <c r="BC216" s="1966">
        <f t="shared" si="139"/>
        <v>0</v>
      </c>
      <c r="BD216" s="1966">
        <f t="shared" si="140"/>
        <v>0</v>
      </c>
      <c r="BE216" s="372">
        <f t="shared" si="141"/>
        <v>0</v>
      </c>
      <c r="BG216" s="2159">
        <f t="shared" si="142"/>
        <v>46023</v>
      </c>
      <c r="BH216" s="2159">
        <f t="shared" si="143"/>
        <v>46023</v>
      </c>
      <c r="BI216" s="2159">
        <f t="shared" si="144"/>
        <v>46023</v>
      </c>
      <c r="BJ216" s="2159">
        <f t="shared" si="145"/>
        <v>0</v>
      </c>
      <c r="BL216" s="369">
        <f t="shared" si="146"/>
        <v>0</v>
      </c>
      <c r="BM216" s="2159">
        <f t="shared" si="147"/>
        <v>0</v>
      </c>
      <c r="BN216" s="2159">
        <f t="shared" si="148"/>
        <v>0</v>
      </c>
      <c r="BO216" s="373">
        <f t="shared" si="149"/>
        <v>0</v>
      </c>
      <c r="BT216" s="2054"/>
    </row>
    <row r="217" spans="1:72" ht="45.75" customHeight="1">
      <c r="A217" s="2163"/>
      <c r="B217" s="2146"/>
      <c r="C217" s="2146"/>
      <c r="D217" s="2164"/>
      <c r="E217" s="1573"/>
      <c r="F217" s="2148"/>
      <c r="G217" s="2149" t="str">
        <f t="shared" si="110"/>
        <v/>
      </c>
      <c r="H217" s="2148"/>
      <c r="I217" s="2150"/>
      <c r="J217" s="2148"/>
      <c r="K217" s="2151">
        <f t="shared" si="111"/>
        <v>0</v>
      </c>
      <c r="L217" s="2148"/>
      <c r="M217" s="2150"/>
      <c r="N217" s="2152"/>
      <c r="O217" s="2148"/>
      <c r="P217" s="2151">
        <f t="shared" si="112"/>
        <v>0</v>
      </c>
      <c r="Q217" s="2148"/>
      <c r="R217" s="2150"/>
      <c r="S217" s="2152"/>
      <c r="T217" s="2153"/>
      <c r="U217" s="2154">
        <f t="shared" si="113"/>
        <v>0</v>
      </c>
      <c r="V217" s="2155"/>
      <c r="W217" s="2150"/>
      <c r="X217" s="2152"/>
      <c r="Y217" s="2153"/>
      <c r="Z217" s="1572">
        <f t="shared" si="114"/>
        <v>0</v>
      </c>
      <c r="AA217" s="2168">
        <f t="shared" si="127"/>
        <v>0</v>
      </c>
      <c r="AB217" s="2156" t="str">
        <f t="shared" si="115"/>
        <v/>
      </c>
      <c r="AD217" s="2158" t="str">
        <f t="shared" si="128"/>
        <v/>
      </c>
      <c r="AE217" s="2159">
        <f t="shared" si="129"/>
        <v>0</v>
      </c>
      <c r="AF217" s="2159">
        <f t="shared" si="130"/>
        <v>0</v>
      </c>
      <c r="AG217" s="2159">
        <f t="shared" si="131"/>
        <v>0</v>
      </c>
      <c r="AH217" s="2159">
        <f t="shared" si="132"/>
        <v>0</v>
      </c>
      <c r="AI217" s="2160">
        <f t="shared" si="116"/>
        <v>0</v>
      </c>
      <c r="AJ217" s="1966">
        <f t="shared" si="133"/>
        <v>1</v>
      </c>
      <c r="AK217" s="2159">
        <f t="shared" si="134"/>
        <v>0</v>
      </c>
      <c r="AL217" s="368" t="e">
        <f t="shared" si="135"/>
        <v>#DIV/0!</v>
      </c>
      <c r="AN217" s="369">
        <f t="shared" si="136"/>
        <v>0</v>
      </c>
      <c r="AO217" s="1966">
        <f t="shared" si="117"/>
        <v>0</v>
      </c>
      <c r="AP217" s="1966">
        <f t="shared" si="118"/>
        <v>0</v>
      </c>
      <c r="AQ217" s="1966">
        <f t="shared" si="119"/>
        <v>0</v>
      </c>
      <c r="AR217" s="370">
        <f t="shared" si="120"/>
        <v>0</v>
      </c>
      <c r="AT217" s="371">
        <f t="shared" si="121"/>
        <v>0</v>
      </c>
      <c r="AU217" s="1966">
        <f t="shared" si="122"/>
        <v>0</v>
      </c>
      <c r="AV217" s="2161">
        <f t="shared" si="123"/>
        <v>0</v>
      </c>
      <c r="AW217" s="2161">
        <f t="shared" si="124"/>
        <v>0</v>
      </c>
      <c r="AX217" s="1966">
        <f t="shared" si="125"/>
        <v>0</v>
      </c>
      <c r="AY217" s="372">
        <f t="shared" si="126"/>
        <v>0</v>
      </c>
      <c r="AZ217" s="265"/>
      <c r="BA217" s="371">
        <f t="shared" si="137"/>
        <v>0</v>
      </c>
      <c r="BB217" s="1966">
        <f t="shared" si="138"/>
        <v>0</v>
      </c>
      <c r="BC217" s="1966">
        <f t="shared" si="139"/>
        <v>0</v>
      </c>
      <c r="BD217" s="1966">
        <f t="shared" si="140"/>
        <v>0</v>
      </c>
      <c r="BE217" s="372">
        <f t="shared" si="141"/>
        <v>0</v>
      </c>
      <c r="BG217" s="2159">
        <f t="shared" si="142"/>
        <v>46023</v>
      </c>
      <c r="BH217" s="2159">
        <f t="shared" si="143"/>
        <v>46023</v>
      </c>
      <c r="BI217" s="2159">
        <f t="shared" si="144"/>
        <v>46023</v>
      </c>
      <c r="BJ217" s="2159">
        <f t="shared" si="145"/>
        <v>0</v>
      </c>
      <c r="BL217" s="369">
        <f t="shared" si="146"/>
        <v>0</v>
      </c>
      <c r="BM217" s="2159">
        <f t="shared" si="147"/>
        <v>0</v>
      </c>
      <c r="BN217" s="2159">
        <f t="shared" si="148"/>
        <v>0</v>
      </c>
      <c r="BO217" s="373">
        <f t="shared" si="149"/>
        <v>0</v>
      </c>
      <c r="BT217" s="2054"/>
    </row>
    <row r="218" spans="1:72" ht="45.75" customHeight="1">
      <c r="A218" s="2163"/>
      <c r="B218" s="2146"/>
      <c r="C218" s="2146"/>
      <c r="D218" s="2164"/>
      <c r="E218" s="1573"/>
      <c r="F218" s="2148"/>
      <c r="G218" s="2149" t="str">
        <f t="shared" si="110"/>
        <v/>
      </c>
      <c r="H218" s="2148"/>
      <c r="I218" s="2150"/>
      <c r="J218" s="2148"/>
      <c r="K218" s="2151">
        <f t="shared" si="111"/>
        <v>0</v>
      </c>
      <c r="L218" s="2148"/>
      <c r="M218" s="2150"/>
      <c r="N218" s="2152"/>
      <c r="O218" s="2148"/>
      <c r="P218" s="2151">
        <f t="shared" si="112"/>
        <v>0</v>
      </c>
      <c r="Q218" s="2148"/>
      <c r="R218" s="2150"/>
      <c r="S218" s="2152"/>
      <c r="T218" s="2153"/>
      <c r="U218" s="2154">
        <f t="shared" si="113"/>
        <v>0</v>
      </c>
      <c r="V218" s="2155"/>
      <c r="W218" s="2150"/>
      <c r="X218" s="2152"/>
      <c r="Y218" s="2153"/>
      <c r="Z218" s="1572">
        <f t="shared" si="114"/>
        <v>0</v>
      </c>
      <c r="AA218" s="2168">
        <f t="shared" si="127"/>
        <v>0</v>
      </c>
      <c r="AB218" s="2156" t="str">
        <f t="shared" si="115"/>
        <v/>
      </c>
      <c r="AD218" s="2158" t="str">
        <f t="shared" si="128"/>
        <v/>
      </c>
      <c r="AE218" s="2159">
        <f t="shared" si="129"/>
        <v>0</v>
      </c>
      <c r="AF218" s="2159">
        <f t="shared" si="130"/>
        <v>0</v>
      </c>
      <c r="AG218" s="2159">
        <f t="shared" si="131"/>
        <v>0</v>
      </c>
      <c r="AH218" s="2159">
        <f t="shared" si="132"/>
        <v>0</v>
      </c>
      <c r="AI218" s="2160">
        <f t="shared" si="116"/>
        <v>0</v>
      </c>
      <c r="AJ218" s="1966">
        <f t="shared" si="133"/>
        <v>1</v>
      </c>
      <c r="AK218" s="2159">
        <f t="shared" si="134"/>
        <v>0</v>
      </c>
      <c r="AL218" s="368" t="e">
        <f t="shared" si="135"/>
        <v>#DIV/0!</v>
      </c>
      <c r="AN218" s="369">
        <f t="shared" si="136"/>
        <v>0</v>
      </c>
      <c r="AO218" s="1966">
        <f t="shared" si="117"/>
        <v>0</v>
      </c>
      <c r="AP218" s="1966">
        <f t="shared" si="118"/>
        <v>0</v>
      </c>
      <c r="AQ218" s="1966">
        <f t="shared" si="119"/>
        <v>0</v>
      </c>
      <c r="AR218" s="370">
        <f t="shared" si="120"/>
        <v>0</v>
      </c>
      <c r="AT218" s="371">
        <f t="shared" si="121"/>
        <v>0</v>
      </c>
      <c r="AU218" s="1966">
        <f t="shared" si="122"/>
        <v>0</v>
      </c>
      <c r="AV218" s="2161">
        <f t="shared" si="123"/>
        <v>0</v>
      </c>
      <c r="AW218" s="2161">
        <f t="shared" si="124"/>
        <v>0</v>
      </c>
      <c r="AX218" s="1966">
        <f t="shared" si="125"/>
        <v>0</v>
      </c>
      <c r="AY218" s="372">
        <f t="shared" si="126"/>
        <v>0</v>
      </c>
      <c r="AZ218" s="265"/>
      <c r="BA218" s="371">
        <f t="shared" si="137"/>
        <v>0</v>
      </c>
      <c r="BB218" s="1966">
        <f t="shared" si="138"/>
        <v>0</v>
      </c>
      <c r="BC218" s="1966">
        <f t="shared" si="139"/>
        <v>0</v>
      </c>
      <c r="BD218" s="1966">
        <f t="shared" si="140"/>
        <v>0</v>
      </c>
      <c r="BE218" s="372">
        <f t="shared" si="141"/>
        <v>0</v>
      </c>
      <c r="BG218" s="2159">
        <f t="shared" si="142"/>
        <v>46023</v>
      </c>
      <c r="BH218" s="2159">
        <f t="shared" si="143"/>
        <v>46023</v>
      </c>
      <c r="BI218" s="2159">
        <f t="shared" si="144"/>
        <v>46023</v>
      </c>
      <c r="BJ218" s="2159">
        <f t="shared" si="145"/>
        <v>0</v>
      </c>
      <c r="BL218" s="369">
        <f t="shared" si="146"/>
        <v>0</v>
      </c>
      <c r="BM218" s="2159">
        <f t="shared" si="147"/>
        <v>0</v>
      </c>
      <c r="BN218" s="2159">
        <f t="shared" si="148"/>
        <v>0</v>
      </c>
      <c r="BO218" s="373">
        <f t="shared" si="149"/>
        <v>0</v>
      </c>
      <c r="BT218" s="2054"/>
    </row>
    <row r="219" spans="1:72" ht="45.75" customHeight="1">
      <c r="A219" s="2163"/>
      <c r="B219" s="2146"/>
      <c r="C219" s="2146"/>
      <c r="D219" s="2164"/>
      <c r="E219" s="1573"/>
      <c r="F219" s="2148"/>
      <c r="G219" s="2149" t="str">
        <f t="shared" si="110"/>
        <v/>
      </c>
      <c r="H219" s="2148"/>
      <c r="I219" s="2150"/>
      <c r="J219" s="2148"/>
      <c r="K219" s="2151">
        <f t="shared" si="111"/>
        <v>0</v>
      </c>
      <c r="L219" s="2148"/>
      <c r="M219" s="2150"/>
      <c r="N219" s="2152"/>
      <c r="O219" s="2148"/>
      <c r="P219" s="2151">
        <f t="shared" si="112"/>
        <v>0</v>
      </c>
      <c r="Q219" s="2148"/>
      <c r="R219" s="2150"/>
      <c r="S219" s="2152"/>
      <c r="T219" s="2153"/>
      <c r="U219" s="2154">
        <f t="shared" si="113"/>
        <v>0</v>
      </c>
      <c r="V219" s="2155"/>
      <c r="W219" s="2150"/>
      <c r="X219" s="2152"/>
      <c r="Y219" s="2153"/>
      <c r="Z219" s="1572">
        <f t="shared" si="114"/>
        <v>0</v>
      </c>
      <c r="AA219" s="2168">
        <f t="shared" si="127"/>
        <v>0</v>
      </c>
      <c r="AB219" s="2156" t="str">
        <f t="shared" si="115"/>
        <v/>
      </c>
      <c r="AD219" s="2158" t="str">
        <f t="shared" si="128"/>
        <v/>
      </c>
      <c r="AE219" s="2159">
        <f t="shared" si="129"/>
        <v>0</v>
      </c>
      <c r="AF219" s="2159">
        <f t="shared" si="130"/>
        <v>0</v>
      </c>
      <c r="AG219" s="2159">
        <f t="shared" si="131"/>
        <v>0</v>
      </c>
      <c r="AH219" s="2159">
        <f t="shared" si="132"/>
        <v>0</v>
      </c>
      <c r="AI219" s="2160">
        <f t="shared" si="116"/>
        <v>0</v>
      </c>
      <c r="AJ219" s="1966">
        <f t="shared" si="133"/>
        <v>1</v>
      </c>
      <c r="AK219" s="2159">
        <f t="shared" si="134"/>
        <v>0</v>
      </c>
      <c r="AL219" s="368" t="e">
        <f t="shared" si="135"/>
        <v>#DIV/0!</v>
      </c>
      <c r="AN219" s="369">
        <f t="shared" si="136"/>
        <v>0</v>
      </c>
      <c r="AO219" s="1966">
        <f t="shared" si="117"/>
        <v>0</v>
      </c>
      <c r="AP219" s="1966">
        <f t="shared" si="118"/>
        <v>0</v>
      </c>
      <c r="AQ219" s="1966">
        <f t="shared" si="119"/>
        <v>0</v>
      </c>
      <c r="AR219" s="370">
        <f t="shared" si="120"/>
        <v>0</v>
      </c>
      <c r="AT219" s="371">
        <f t="shared" si="121"/>
        <v>0</v>
      </c>
      <c r="AU219" s="1966">
        <f t="shared" si="122"/>
        <v>0</v>
      </c>
      <c r="AV219" s="2161">
        <f t="shared" si="123"/>
        <v>0</v>
      </c>
      <c r="AW219" s="2161">
        <f t="shared" si="124"/>
        <v>0</v>
      </c>
      <c r="AX219" s="1966">
        <f t="shared" si="125"/>
        <v>0</v>
      </c>
      <c r="AY219" s="372">
        <f t="shared" si="126"/>
        <v>0</v>
      </c>
      <c r="AZ219" s="265"/>
      <c r="BA219" s="371">
        <f t="shared" si="137"/>
        <v>0</v>
      </c>
      <c r="BB219" s="1966">
        <f t="shared" si="138"/>
        <v>0</v>
      </c>
      <c r="BC219" s="1966">
        <f t="shared" si="139"/>
        <v>0</v>
      </c>
      <c r="BD219" s="1966">
        <f t="shared" si="140"/>
        <v>0</v>
      </c>
      <c r="BE219" s="372">
        <f t="shared" si="141"/>
        <v>0</v>
      </c>
      <c r="BG219" s="2159">
        <f t="shared" si="142"/>
        <v>46023</v>
      </c>
      <c r="BH219" s="2159">
        <f t="shared" si="143"/>
        <v>46023</v>
      </c>
      <c r="BI219" s="2159">
        <f t="shared" si="144"/>
        <v>46023</v>
      </c>
      <c r="BJ219" s="2159">
        <f t="shared" si="145"/>
        <v>0</v>
      </c>
      <c r="BL219" s="369">
        <f t="shared" si="146"/>
        <v>0</v>
      </c>
      <c r="BM219" s="2159">
        <f t="shared" si="147"/>
        <v>0</v>
      </c>
      <c r="BN219" s="2159">
        <f t="shared" si="148"/>
        <v>0</v>
      </c>
      <c r="BO219" s="373">
        <f t="shared" si="149"/>
        <v>0</v>
      </c>
      <c r="BT219" s="2054"/>
    </row>
    <row r="220" spans="1:72">
      <c r="BT220" s="2054"/>
    </row>
  </sheetData>
  <sheetProtection password="CAEF" sheet="1" formatCells="0" formatColumns="0" formatRows="0"/>
  <mergeCells count="48">
    <mergeCell ref="P5:P7"/>
    <mergeCell ref="X1:Y1"/>
    <mergeCell ref="A2:B2"/>
    <mergeCell ref="C2:D2"/>
    <mergeCell ref="G2:M2"/>
    <mergeCell ref="R2:T2"/>
    <mergeCell ref="A5:A8"/>
    <mergeCell ref="B5:B8"/>
    <mergeCell ref="C5:C7"/>
    <mergeCell ref="D5:D8"/>
    <mergeCell ref="E5:E8"/>
    <mergeCell ref="F5:F8"/>
    <mergeCell ref="G5:G7"/>
    <mergeCell ref="H5:J5"/>
    <mergeCell ref="K5:K7"/>
    <mergeCell ref="L5:O5"/>
    <mergeCell ref="AY5:AY7"/>
    <mergeCell ref="BA5:BD7"/>
    <mergeCell ref="Q5:T5"/>
    <mergeCell ref="U5:U7"/>
    <mergeCell ref="V5:Y5"/>
    <mergeCell ref="Z5:Z7"/>
    <mergeCell ref="AA5:AA7"/>
    <mergeCell ref="AB5:AB7"/>
    <mergeCell ref="AK8:AL8"/>
    <mergeCell ref="AC5:AC7"/>
    <mergeCell ref="AK5:AL5"/>
    <mergeCell ref="AN5:AR7"/>
    <mergeCell ref="AT5:AX7"/>
    <mergeCell ref="BU11:BV12"/>
    <mergeCell ref="BE5:BE7"/>
    <mergeCell ref="BG5:BI7"/>
    <mergeCell ref="BJ5:BJ7"/>
    <mergeCell ref="BL5:BN7"/>
    <mergeCell ref="BO5:BO7"/>
    <mergeCell ref="BU1:BV1"/>
    <mergeCell ref="BU2:BV4"/>
    <mergeCell ref="BU5:BV5"/>
    <mergeCell ref="BU6:BV8"/>
    <mergeCell ref="BU9:BV10"/>
    <mergeCell ref="BU19:BV19"/>
    <mergeCell ref="BU20:BV20"/>
    <mergeCell ref="BU13:BV14"/>
    <mergeCell ref="BU15:BV16"/>
    <mergeCell ref="BU24:BV25"/>
    <mergeCell ref="BU22:BV23"/>
    <mergeCell ref="BU21:BV21"/>
    <mergeCell ref="BU17:BV18"/>
  </mergeCells>
  <conditionalFormatting sqref="B9:B219">
    <cfRule type="expression" dxfId="101" priority="127">
      <formula>AND($A9&lt;&gt;"",$B9="")</formula>
    </cfRule>
  </conditionalFormatting>
  <conditionalFormatting sqref="C2">
    <cfRule type="expression" dxfId="100" priority="1">
      <formula>OR($C$2&lt;2023,$C$2&gt;2028)</formula>
    </cfRule>
  </conditionalFormatting>
  <conditionalFormatting sqref="C9:C219">
    <cfRule type="expression" dxfId="99" priority="128">
      <formula>AND($A9&lt;&gt;"",$B9&lt;&gt;"",$C9="")</formula>
    </cfRule>
  </conditionalFormatting>
  <conditionalFormatting sqref="E9:E219">
    <cfRule type="expression" dxfId="98" priority="129">
      <formula>AND($E9="",$C9&lt;&gt;"")</formula>
    </cfRule>
  </conditionalFormatting>
  <conditionalFormatting sqref="F9:F219">
    <cfRule type="expression" dxfId="97" priority="124">
      <formula>AND($E9="ja ZWF",$F9="")</formula>
    </cfRule>
  </conditionalFormatting>
  <conditionalFormatting sqref="G9:G219">
    <cfRule type="expression" dxfId="96" priority="86">
      <formula>AND($E9="ja HF",$AT9=1)</formula>
    </cfRule>
    <cfRule type="expression" dxfId="95" priority="151">
      <formula>AND($E9="ja ZWF",$AT9=1)</formula>
    </cfRule>
    <cfRule type="expression" dxfId="94" priority="152">
      <formula>AND($E9="nein",$AT9=1)</formula>
    </cfRule>
  </conditionalFormatting>
  <conditionalFormatting sqref="H9:H219">
    <cfRule type="expression" dxfId="93" priority="122">
      <formula>AND($E9="ja ZWF",$F9&lt;&gt;"",$H9="")</formula>
    </cfRule>
    <cfRule type="expression" dxfId="92" priority="123">
      <formula>AND($E9="nein",$F9="",$H9="")</formula>
    </cfRule>
  </conditionalFormatting>
  <conditionalFormatting sqref="I3">
    <cfRule type="expression" dxfId="91" priority="126">
      <formula>AND($C9&lt;&gt;"",$I$3="")</formula>
    </cfRule>
  </conditionalFormatting>
  <conditionalFormatting sqref="I9:I219">
    <cfRule type="expression" dxfId="90" priority="81">
      <formula>AND($H9&lt;&gt;"",$I9="")</formula>
    </cfRule>
    <cfRule type="expression" dxfId="89" priority="120">
      <formula>AND($E9="nein",$H9&lt;&gt;"",$I9="")</formula>
    </cfRule>
    <cfRule type="expression" dxfId="88" priority="121">
      <formula>AND($E9="ja ZWF",$F9&gt;0,$H9&gt;0,$I9="")</formula>
    </cfRule>
    <cfRule type="expression" dxfId="87" priority="125">
      <formula>AND($E9="ja HF",$H9="",$I9="")</formula>
    </cfRule>
  </conditionalFormatting>
  <conditionalFormatting sqref="J9:J219">
    <cfRule type="expression" dxfId="86" priority="119">
      <formula>AND($E9="nein",$H9&lt;&gt;"",$I9&lt;&gt;"",$J9="")</formula>
    </cfRule>
  </conditionalFormatting>
  <conditionalFormatting sqref="K9:K219">
    <cfRule type="expression" dxfId="85" priority="85">
      <formula>AND($N9="",$AU9=1,$L9&gt;0)</formula>
    </cfRule>
    <cfRule type="expression" dxfId="84" priority="115">
      <formula>$AU9=1</formula>
    </cfRule>
    <cfRule type="expression" dxfId="83" priority="118">
      <formula>$BA9=1</formula>
    </cfRule>
    <cfRule type="expression" dxfId="82" priority="149">
      <formula>AND($N9="ZWF",$AU9=1,$L9&gt;0)</formula>
    </cfRule>
    <cfRule type="expression" dxfId="81" priority="150">
      <formula>AND($N9="HF",$AU9=1,$L9&gt;0)</formula>
    </cfRule>
  </conditionalFormatting>
  <conditionalFormatting sqref="L9:L219">
    <cfRule type="expression" dxfId="80" priority="95">
      <formula>AND($AE9=1,$L9&gt;0,$AO9&gt;30,$N9="ZWF")</formula>
    </cfRule>
    <cfRule type="expression" dxfId="79" priority="96">
      <formula>AND($AE9=1,$L9&gt;0,$AO9&gt;50,$N9="HF")</formula>
    </cfRule>
    <cfRule type="expression" dxfId="78" priority="97">
      <formula>AND($AE9=1,$L9&gt;0,$AO9&gt;50)</formula>
    </cfRule>
    <cfRule type="expression" dxfId="77" priority="112">
      <formula>AND($AF9=1,$O9-$L9&lt;42,$O9&gt;0,$L9&gt;0,$N9="ZWF")</formula>
    </cfRule>
    <cfRule type="expression" dxfId="76" priority="116">
      <formula>AND($BL9=1,$N9="ZWF")</formula>
    </cfRule>
  </conditionalFormatting>
  <conditionalFormatting sqref="L10">
    <cfRule type="expression" dxfId="75" priority="141">
      <formula>AND($L10="",$AH10=1)</formula>
    </cfRule>
  </conditionalFormatting>
  <conditionalFormatting sqref="M9:M219">
    <cfRule type="expression" dxfId="74" priority="111">
      <formula>AND($AF9=1,$O9&gt;0,$L9&gt;0,$N9="ZWF",$M9&lt;&gt;"",$O9-$L9&lt;36)</formula>
    </cfRule>
    <cfRule type="expression" dxfId="73" priority="117">
      <formula>AND($N9&lt;&gt;"",$M9="",$L9&lt;&gt;"",$AU9&lt;&gt;1,$BL9&lt;&gt;1)</formula>
    </cfRule>
    <cfRule type="expression" dxfId="72" priority="134">
      <formula>AND($L9&lt;&gt;"",$N9="",$O9="",$AU9&lt;&gt;1,$BL9&lt;&gt;1,$M9="")</formula>
    </cfRule>
  </conditionalFormatting>
  <conditionalFormatting sqref="N9:N219">
    <cfRule type="expression" dxfId="71" priority="98">
      <formula>AND($AE9=1,$N9="",$L9&gt;0,AO9&lt;=50)</formula>
    </cfRule>
    <cfRule type="expression" dxfId="70" priority="110">
      <formula>AND($AF9=1,$O9&gt;0,$L9&gt;0,$N9="ZWF",$O9-$L9&lt;36)</formula>
    </cfRule>
    <cfRule type="expression" dxfId="69" priority="114">
      <formula>AND($L9&gt;$AC$8+273,$L9&gt;0,$AO9&lt;=50,$N9="")</formula>
    </cfRule>
    <cfRule type="expression" dxfId="68" priority="133">
      <formula>AND($M9&lt;&gt;"",$L9&lt;&gt;"",$N9="",$AE9&lt;&gt;1)</formula>
    </cfRule>
    <cfRule type="expression" dxfId="67" priority="139">
      <formula>AND($N9="",$L9&gt;($AC$8+273),$AE9&lt;&gt;1,$AG9=1)</formula>
    </cfRule>
  </conditionalFormatting>
  <conditionalFormatting sqref="N10">
    <cfRule type="expression" dxfId="66" priority="140">
      <formula>AND($N10=0,$AB10="Auswahl HF/ZWF  in Spalte N wählen")</formula>
    </cfRule>
  </conditionalFormatting>
  <conditionalFormatting sqref="O9:O219">
    <cfRule type="expression" dxfId="65" priority="75">
      <formula>$AV9&gt;0</formula>
    </cfRule>
    <cfRule type="expression" dxfId="64" priority="80">
      <formula>AND($L9&lt;$AC$8+263,$L9&gt;0,$M9&lt;&gt;"",$N9="ZWF",$O9="",$AE9&lt;&gt;1)</formula>
    </cfRule>
    <cfRule type="expression" dxfId="63" priority="113">
      <formula>AND($AF9=1,$O9&gt;0,$L9&gt;0,$N9="ZWF")</formula>
    </cfRule>
    <cfRule type="expression" dxfId="62" priority="132">
      <formula>AND($L9&gt;0,$M9&lt;&gt;"",$N9="HF",$O9="",$AE9&lt;&gt;1)</formula>
    </cfRule>
  </conditionalFormatting>
  <conditionalFormatting sqref="P9:P219">
    <cfRule type="expression" dxfId="61" priority="77">
      <formula>$AV9&gt;0</formula>
    </cfRule>
    <cfRule type="expression" dxfId="60" priority="100">
      <formula>AND($BB9=1,$O9&gt;0,$Q9="")</formula>
    </cfRule>
    <cfRule type="expression" dxfId="59" priority="146">
      <formula>AND($N9="HF",$S9="ZWF",$AV9=1)</formula>
    </cfRule>
    <cfRule type="expression" dxfId="58" priority="147">
      <formula>AND($N9="ZWF",$S9="ZWF",AV9=1)</formula>
    </cfRule>
    <cfRule type="expression" dxfId="57" priority="148">
      <formula>AND($N9="HF",$S9="HF",$AV9=1)</formula>
    </cfRule>
  </conditionalFormatting>
  <conditionalFormatting sqref="Q9:Q219">
    <cfRule type="expression" dxfId="56" priority="74">
      <formula>$AV9&gt;0</formula>
    </cfRule>
    <cfRule type="expression" dxfId="55" priority="92">
      <formula>AND($O9&gt;0,$Q9&gt;0,$N9="ZWF",$AP9&gt;30)</formula>
    </cfRule>
    <cfRule type="expression" dxfId="54" priority="93">
      <formula>AND($O9&gt;0,$Q9&gt;0,$N9="HF",$AP9&gt;50)</formula>
    </cfRule>
    <cfRule type="expression" dxfId="53" priority="101">
      <formula>AND($AG9=1,$Q9&gt;$AC$8+273)</formula>
    </cfRule>
    <cfRule type="expression" dxfId="52" priority="109">
      <formula>AND($AF9=1,$T9&gt;0,$Q9&gt;0,$S9="ZWF",$T9-$Q9&lt;42)</formula>
    </cfRule>
  </conditionalFormatting>
  <conditionalFormatting sqref="R9:R219">
    <cfRule type="expression" dxfId="51" priority="88">
      <formula>AND($Q9&lt;&gt;"",$S9="",$T9="",$AV9&lt;&gt;1,$BM9&lt;&gt;1,$R9="")</formula>
    </cfRule>
    <cfRule type="expression" dxfId="50" priority="89">
      <formula>AND($S9&lt;&gt;"",$R9="",$Q9&lt;&gt;"",$AV9&lt;&gt;1,$BM9&lt;&gt;1)</formula>
    </cfRule>
    <cfRule type="expression" dxfId="49" priority="106">
      <formula>AND($AF9=1,$T9&gt;0,$Q9&gt;0,$S9="ZWF",$T9-$Q9&lt;36,$R9&lt;&gt;"")</formula>
    </cfRule>
  </conditionalFormatting>
  <conditionalFormatting sqref="S9:S219">
    <cfRule type="expression" dxfId="48" priority="94">
      <formula>AND($AE9=1,$S9="",$N9="ZWF",$Q9&gt;0,$O9&gt;0,$AP9&lt;30)</formula>
    </cfRule>
    <cfRule type="expression" dxfId="47" priority="107">
      <formula>AND($AF9=1,$T9&gt;0,$Q9&gt;0,$S9="ZWF",$T9-$Q9&lt;36)</formula>
    </cfRule>
    <cfRule type="expression" dxfId="46" priority="136">
      <formula>AND($R9&lt;&gt;"",$Q9&gt;0,$S9="",$AE9&lt;&gt;1)</formula>
    </cfRule>
    <cfRule type="expression" dxfId="45" priority="138">
      <formula>AND($AE9=1,$S9="",$N9="HF",$Q9&gt;0,$O9&gt;0,$AP9&lt;50)</formula>
    </cfRule>
  </conditionalFormatting>
  <conditionalFormatting sqref="T9:T219">
    <cfRule type="expression" dxfId="44" priority="79">
      <formula>AND($Q9&lt;$AC$8+263,$Q9&gt;0,$R9&lt;&gt;"",$S9="ZWF",$T9="")</formula>
    </cfRule>
    <cfRule type="expression" dxfId="43" priority="108">
      <formula>AND($AF9=1,$T9&gt;0,$Q9&gt;0,$S9="ZWF",$T9-$Q9&lt;42)</formula>
    </cfRule>
  </conditionalFormatting>
  <conditionalFormatting sqref="U9:U219">
    <cfRule type="expression" dxfId="42" priority="76">
      <formula>$AW9&gt;0</formula>
    </cfRule>
    <cfRule type="expression" dxfId="41" priority="99">
      <formula>AND($BC9=1,$T9&gt;0,$V9="")</formula>
    </cfRule>
    <cfRule type="expression" dxfId="40" priority="143">
      <formula>AND($S9="ZWF",$X9="ZWF",$AW9=1)</formula>
    </cfRule>
    <cfRule type="expression" dxfId="39" priority="144">
      <formula>AND($S9="HF",$X9="ZWF",$AW9=1)</formula>
    </cfRule>
    <cfRule type="expression" dxfId="38" priority="145">
      <formula>AND($S9="HF",$X9="HF",$AW9=1)</formula>
    </cfRule>
  </conditionalFormatting>
  <conditionalFormatting sqref="V9:V219">
    <cfRule type="expression" dxfId="37" priority="90">
      <formula>AND($T9&gt;0,$V9&gt;0,$S9="ZWF",$AQ9&gt;30)</formula>
    </cfRule>
    <cfRule type="expression" dxfId="36" priority="91">
      <formula>AND($T9&gt;0,$V9&gt;0,$S9="HF",$AQ9&gt;50)</formula>
    </cfRule>
    <cfRule type="expression" dxfId="35" priority="105">
      <formula>AND($AF9=1,$V9&gt;0,$Y9&gt;0,$X9="ZWF",$Y9-$V9&lt;42)</formula>
    </cfRule>
    <cfRule type="expression" dxfId="34" priority="135">
      <formula>AND($X9="ZWF",$V9&gt;0,$AG9=1)</formula>
    </cfRule>
  </conditionalFormatting>
  <conditionalFormatting sqref="W9:W219">
    <cfRule type="expression" dxfId="33" priority="87">
      <formula>AND($V9&lt;&gt;"",$X9="",$Y9="",$AW9&lt;&gt;1,$BO9&lt;&gt;1,$W9="")</formula>
    </cfRule>
    <cfRule type="expression" dxfId="32" priority="103">
      <formula>AND($AF9=1,$V9&gt;0,$Y9&gt;0,$X9="ZWF",$Y9-$V9&lt;36,$W9&lt;&gt;"")</formula>
    </cfRule>
  </conditionalFormatting>
  <conditionalFormatting sqref="X9:X219">
    <cfRule type="expression" dxfId="31" priority="102">
      <formula>AND($AF9=1,$V9&gt;0,$Y9&gt;0,$X9="ZWF",$Y9-$V9&lt;36)</formula>
    </cfRule>
    <cfRule type="expression" dxfId="30" priority="131">
      <formula>AND($W9&lt;&gt;"",$V9&lt;&gt;"",$X9="",$AE9&lt;&gt;1)</formula>
    </cfRule>
    <cfRule type="expression" dxfId="29" priority="137">
      <formula>AND($AE9=1,$X9="",$S9&lt;&gt;"",$N9&lt;&gt;"",$V9&gt;0,$T9&gt;0)</formula>
    </cfRule>
  </conditionalFormatting>
  <conditionalFormatting sqref="Y9:Y219">
    <cfRule type="expression" dxfId="28" priority="78">
      <formula>AND($V9&lt;$AC$8+263,$V9&lt;&gt;"",$X9="ZWF",$W9&lt;&gt;"",$Y9="")</formula>
    </cfRule>
    <cfRule type="expression" dxfId="27" priority="104">
      <formula>AND($AF9=1,$V9&gt;0,$Y9&gt;0,$X9="ZWF",$Y9-$V9&lt;42)</formula>
    </cfRule>
    <cfRule type="expression" dxfId="26" priority="130">
      <formula>AND($V9&lt;&gt;"",$W9&lt;&gt;"",$X9="HF",$Y9="")</formula>
    </cfRule>
  </conditionalFormatting>
  <conditionalFormatting sqref="Z9:Z219">
    <cfRule type="expression" dxfId="25" priority="142">
      <formula>AND($Z9&gt;0,$AA9&lt;&gt;"ja")</formula>
    </cfRule>
  </conditionalFormatting>
  <conditionalFormatting sqref="AA9:AA219">
    <cfRule type="containsText" dxfId="24" priority="153" operator="containsText" text="ja">
      <formula>NOT(ISERROR(SEARCH("ja",AA9)))</formula>
    </cfRule>
    <cfRule type="expression" dxfId="23" priority="154">
      <formula>($AL9&gt;15%)</formula>
    </cfRule>
  </conditionalFormatting>
  <dataValidations count="5">
    <dataValidation type="list" allowBlank="1" showInputMessage="1" showErrorMessage="1" errorTitle="Aufzeichnungen ab 2023 möglich" error="Dieses Aufzeichnungsblatt wurde für die für die Förderperiode ab 2023 konzipiert._x000a_Jahreszahlen zwischen 2023 und 2028 sind wählbar. Für aufzeichnungen bis inkl. 2022 bitte System_Immergrün_20220426_XLSX herunterladen." sqref="C2" xr:uid="{00000000-0002-0000-0D00-000000000000}">
      <formula1>$BQ$21:$BQ$26</formula1>
    </dataValidation>
    <dataValidation type="date" allowBlank="1" showErrorMessage="1" error="Achtung, das eingegebene Datum entspricht nicht dem MFA-Antragsjahr. Geben Sie Tag, Monat und das entsprechende Jahr ein!" sqref="V9:V13 T9:T13 Q9:Q13 J9:J13 H9:H13 F9:F13 O9:O13 L9:L13" xr:uid="{00000000-0002-0000-0D00-000001000000}">
      <formula1>$AC$8</formula1>
      <formula2>$AC$8+365</formula2>
    </dataValidation>
    <dataValidation type="date" allowBlank="1" showErrorMessage="1" error="Das eingegebene Datum entspricht nicht dem MFA-Antragsjahr. Bitte Tag, Monat und entsprechendes Jahr eingeben!" sqref="J14:J219 Y9:Y219 H14:H219 O14:O219 F14:F219 T14:T219 L14:L219 Q14:Q219 V14:V219" xr:uid="{00000000-0002-0000-0D00-000002000000}">
      <formula1>$AC$8</formula1>
      <formula2>$AC$8+365</formula2>
    </dataValidation>
    <dataValidation type="list" allowBlank="1" showInputMessage="1" showErrorMessage="1" sqref="S9:S219 X9:X219 N9:N219" xr:uid="{00000000-0002-0000-0D00-000003000000}">
      <formula1>$AC$1:$AC$2</formula1>
    </dataValidation>
    <dataValidation type="list" allowBlank="1" showInputMessage="1" showErrorMessage="1" sqref="E9:E219" xr:uid="{00000000-0002-0000-0D00-000004000000}">
      <formula1>$AD$1:$AD$3</formula1>
    </dataValidation>
  </dataValidations>
  <hyperlinks>
    <hyperlink ref="W1" location="'WD-Vertrag'!A1" display="◄" xr:uid="{00000000-0004-0000-0D00-000000000000}"/>
    <hyperlink ref="X1:Y1" location="Schw_Geflügel!A1" display="  ►" xr:uid="{00000000-0004-0000-0D00-000001000000}"/>
  </hyperlinks>
  <pageMargins left="0.33" right="0.56000000000000005" top="0.27559055118110237" bottom="0.23622047244094491" header="0.19685039370078741" footer="0.19685039370078741"/>
  <pageSetup paperSize="9" scale="66"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dimension ref="A1:O106"/>
  <sheetViews>
    <sheetView showZeros="0" zoomScale="115" zoomScaleNormal="115" workbookViewId="0">
      <selection activeCell="D7" sqref="D7"/>
    </sheetView>
  </sheetViews>
  <sheetFormatPr baseColWidth="10" defaultColWidth="12.7109375" defaultRowHeight="18"/>
  <cols>
    <col min="1" max="4" width="18.85546875" style="267" customWidth="1"/>
    <col min="5" max="7" width="12.7109375" style="267" hidden="1" customWidth="1"/>
    <col min="8" max="8" width="9.42578125" style="267" hidden="1" customWidth="1"/>
    <col min="9" max="16384" width="12.7109375" style="267"/>
  </cols>
  <sheetData>
    <row r="1" spans="1:12" ht="27.75" customHeight="1">
      <c r="A1" s="1066" t="s">
        <v>286</v>
      </c>
      <c r="B1" s="1067"/>
      <c r="C1" s="1068"/>
      <c r="D1" s="1068"/>
      <c r="E1" s="268"/>
      <c r="F1" s="269" t="s">
        <v>1181</v>
      </c>
      <c r="G1" s="270">
        <v>1.26</v>
      </c>
      <c r="I1" s="2233" t="s">
        <v>891</v>
      </c>
      <c r="J1" s="434" t="s">
        <v>867</v>
      </c>
      <c r="K1" s="3001" t="s">
        <v>132</v>
      </c>
      <c r="L1" s="3001"/>
    </row>
    <row r="2" spans="1:12" ht="9.1999999999999993" customHeight="1">
      <c r="E2" s="268"/>
      <c r="F2" s="269" t="s">
        <v>133</v>
      </c>
      <c r="G2" s="270">
        <v>1.3</v>
      </c>
      <c r="H2" s="268"/>
      <c r="J2" s="268"/>
    </row>
    <row r="3" spans="1:12" ht="18" customHeight="1">
      <c r="A3" s="3002" t="s">
        <v>135</v>
      </c>
      <c r="B3" s="3002"/>
      <c r="C3" s="3002"/>
      <c r="D3" s="1077">
        <f>G106/F106</f>
        <v>0</v>
      </c>
      <c r="E3" s="268"/>
      <c r="F3" s="269" t="s">
        <v>136</v>
      </c>
      <c r="G3" s="270">
        <v>1.4</v>
      </c>
      <c r="H3" s="268"/>
      <c r="I3" s="271" t="s">
        <v>134</v>
      </c>
    </row>
    <row r="4" spans="1:12" ht="18" customHeight="1">
      <c r="A4" s="3002" t="s">
        <v>138</v>
      </c>
      <c r="B4" s="3002"/>
      <c r="C4" s="3002"/>
      <c r="D4" s="3002"/>
      <c r="E4" s="273"/>
      <c r="F4" s="274" t="s">
        <v>1189</v>
      </c>
      <c r="G4" s="275">
        <v>1.2</v>
      </c>
      <c r="H4" s="268"/>
      <c r="I4" s="272" t="s">
        <v>137</v>
      </c>
      <c r="J4" s="268"/>
    </row>
    <row r="5" spans="1:12" ht="18" customHeight="1">
      <c r="A5" s="3003"/>
      <c r="B5" s="3003"/>
      <c r="C5" s="3003"/>
      <c r="D5" s="1017" t="str">
        <f>IF($A$5="","",VLOOKUP(A5,F1:G5,2,0)*D3)</f>
        <v/>
      </c>
      <c r="E5" s="273"/>
      <c r="F5" s="269" t="s">
        <v>1184</v>
      </c>
      <c r="G5" s="270">
        <v>1</v>
      </c>
      <c r="H5" s="268"/>
      <c r="I5"/>
      <c r="J5" s="268"/>
    </row>
    <row r="6" spans="1:12" ht="8.25" customHeight="1">
      <c r="A6" s="276"/>
      <c r="B6" s="277"/>
      <c r="C6" s="277"/>
      <c r="D6" s="278"/>
      <c r="E6" s="279"/>
      <c r="F6" s="161"/>
      <c r="G6" s="161"/>
      <c r="H6" s="268"/>
      <c r="I6"/>
      <c r="J6" s="268"/>
    </row>
    <row r="7" spans="1:12" ht="19.5" customHeight="1">
      <c r="A7" s="1078" t="s">
        <v>139</v>
      </c>
      <c r="B7" s="1078"/>
      <c r="C7" s="1079" t="s">
        <v>287</v>
      </c>
      <c r="D7" s="1007"/>
      <c r="E7" s="161"/>
      <c r="F7" s="161"/>
      <c r="G7" s="161"/>
      <c r="H7" s="268"/>
      <c r="I7" s="271" t="s">
        <v>140</v>
      </c>
      <c r="J7" s="268"/>
    </row>
    <row r="8" spans="1:12" ht="18" customHeight="1">
      <c r="A8" s="1080" t="s">
        <v>1300</v>
      </c>
      <c r="B8" s="1080" t="s">
        <v>141</v>
      </c>
      <c r="C8" s="1080" t="s">
        <v>142</v>
      </c>
      <c r="D8" s="1080" t="s">
        <v>143</v>
      </c>
      <c r="E8" s="161"/>
      <c r="F8" s="280" t="s">
        <v>144</v>
      </c>
      <c r="G8" s="280" t="s">
        <v>145</v>
      </c>
      <c r="H8" s="268"/>
      <c r="I8" s="272" t="s">
        <v>288</v>
      </c>
      <c r="J8" s="268"/>
    </row>
    <row r="9" spans="1:12" ht="18" customHeight="1">
      <c r="A9" s="1008">
        <f>$D$7</f>
        <v>0</v>
      </c>
      <c r="B9" s="3000" t="s">
        <v>146</v>
      </c>
      <c r="C9" s="3000"/>
      <c r="D9" s="1010"/>
      <c r="E9" s="161"/>
      <c r="F9" s="281"/>
      <c r="G9" s="281">
        <f t="shared" ref="G9:G103" si="0">D9*F10</f>
        <v>0</v>
      </c>
      <c r="H9" s="268"/>
      <c r="I9" s="272" t="s">
        <v>147</v>
      </c>
      <c r="J9" s="268"/>
    </row>
    <row r="10" spans="1:12">
      <c r="A10" s="1011"/>
      <c r="B10" s="1012"/>
      <c r="C10" s="1012"/>
      <c r="D10" s="1013">
        <f t="shared" ref="D10:D103" si="1">IF(A10&gt;0,$D$9+SUM(B$9:B10)-SUM(C$9:C10),0)</f>
        <v>0</v>
      </c>
      <c r="E10" s="161"/>
      <c r="F10" s="282">
        <f t="shared" ref="F10:F100" si="2">IF(A10&gt;0,A10-A9,0)</f>
        <v>0</v>
      </c>
      <c r="G10" s="281">
        <f t="shared" si="0"/>
        <v>0</v>
      </c>
      <c r="H10" s="268"/>
      <c r="I10" s="283" t="s">
        <v>148</v>
      </c>
    </row>
    <row r="11" spans="1:12">
      <c r="A11" s="1011"/>
      <c r="B11" s="1012"/>
      <c r="C11" s="1012"/>
      <c r="D11" s="1013">
        <f t="shared" si="1"/>
        <v>0</v>
      </c>
      <c r="E11" s="161"/>
      <c r="F11" s="282">
        <f t="shared" si="2"/>
        <v>0</v>
      </c>
      <c r="G11" s="281">
        <f t="shared" si="0"/>
        <v>0</v>
      </c>
      <c r="H11" s="268"/>
      <c r="I11" s="272" t="s">
        <v>149</v>
      </c>
    </row>
    <row r="12" spans="1:12">
      <c r="A12" s="1011"/>
      <c r="B12" s="1012"/>
      <c r="C12" s="1012"/>
      <c r="D12" s="1013">
        <f t="shared" si="1"/>
        <v>0</v>
      </c>
      <c r="E12" s="161"/>
      <c r="F12" s="282">
        <f t="shared" si="2"/>
        <v>0</v>
      </c>
      <c r="G12" s="281">
        <f t="shared" si="0"/>
        <v>0</v>
      </c>
      <c r="H12" s="268"/>
      <c r="I12" s="272" t="s">
        <v>150</v>
      </c>
    </row>
    <row r="13" spans="1:12">
      <c r="A13" s="1011"/>
      <c r="B13" s="1012"/>
      <c r="C13" s="1012"/>
      <c r="D13" s="1013">
        <f t="shared" si="1"/>
        <v>0</v>
      </c>
      <c r="E13" s="161"/>
      <c r="F13" s="282">
        <f t="shared" si="2"/>
        <v>0</v>
      </c>
      <c r="G13" s="281">
        <f t="shared" si="0"/>
        <v>0</v>
      </c>
      <c r="H13" s="268"/>
      <c r="I13" s="272" t="s">
        <v>151</v>
      </c>
    </row>
    <row r="14" spans="1:12">
      <c r="A14" s="1011"/>
      <c r="B14" s="1012"/>
      <c r="C14" s="1012"/>
      <c r="D14" s="1013">
        <f t="shared" si="1"/>
        <v>0</v>
      </c>
      <c r="E14" s="161"/>
      <c r="F14" s="282">
        <f t="shared" si="2"/>
        <v>0</v>
      </c>
      <c r="G14" s="281">
        <f t="shared" si="0"/>
        <v>0</v>
      </c>
      <c r="H14" s="268"/>
      <c r="I14" s="272" t="s">
        <v>152</v>
      </c>
    </row>
    <row r="15" spans="1:12">
      <c r="A15" s="1011"/>
      <c r="B15" s="1012"/>
      <c r="C15" s="1012"/>
      <c r="D15" s="1013">
        <f t="shared" si="1"/>
        <v>0</v>
      </c>
      <c r="E15" s="161"/>
      <c r="F15" s="282">
        <f t="shared" si="2"/>
        <v>0</v>
      </c>
      <c r="G15" s="281">
        <f t="shared" si="0"/>
        <v>0</v>
      </c>
      <c r="H15" s="268"/>
      <c r="I15" s="272" t="s">
        <v>153</v>
      </c>
    </row>
    <row r="16" spans="1:12">
      <c r="A16" s="1011"/>
      <c r="B16" s="1012"/>
      <c r="C16" s="1012"/>
      <c r="D16" s="1013">
        <f t="shared" si="1"/>
        <v>0</v>
      </c>
      <c r="E16" s="161"/>
      <c r="F16" s="282">
        <f t="shared" si="2"/>
        <v>0</v>
      </c>
      <c r="G16" s="281">
        <f t="shared" si="0"/>
        <v>0</v>
      </c>
      <c r="H16" s="268"/>
      <c r="I16"/>
    </row>
    <row r="17" spans="1:15" ht="18" customHeight="1">
      <c r="A17" s="1011"/>
      <c r="B17" s="1012"/>
      <c r="C17" s="1012"/>
      <c r="D17" s="1013">
        <f t="shared" si="1"/>
        <v>0</v>
      </c>
      <c r="E17" s="161"/>
      <c r="F17" s="282">
        <f t="shared" si="2"/>
        <v>0</v>
      </c>
      <c r="G17" s="281">
        <f t="shared" si="0"/>
        <v>0</v>
      </c>
      <c r="H17" s="268"/>
      <c r="I17" s="402" t="s">
        <v>346</v>
      </c>
      <c r="O17" s="401"/>
    </row>
    <row r="18" spans="1:15">
      <c r="A18" s="1011"/>
      <c r="B18" s="1012"/>
      <c r="C18" s="1012"/>
      <c r="D18" s="1013">
        <f t="shared" si="1"/>
        <v>0</v>
      </c>
      <c r="E18" s="161"/>
      <c r="F18" s="282">
        <f t="shared" si="2"/>
        <v>0</v>
      </c>
      <c r="G18" s="281">
        <f t="shared" si="0"/>
        <v>0</v>
      </c>
      <c r="H18" s="268"/>
      <c r="I18" s="2999" t="s">
        <v>345</v>
      </c>
      <c r="J18" s="2999"/>
      <c r="K18" s="2999"/>
      <c r="L18" s="2999"/>
      <c r="M18" s="2999"/>
      <c r="N18" s="2999"/>
      <c r="O18" s="401"/>
    </row>
    <row r="19" spans="1:15">
      <c r="A19" s="1011"/>
      <c r="B19" s="1012"/>
      <c r="C19" s="1012"/>
      <c r="D19" s="1013">
        <f t="shared" si="1"/>
        <v>0</v>
      </c>
      <c r="E19" s="161"/>
      <c r="F19" s="282">
        <f t="shared" si="2"/>
        <v>0</v>
      </c>
      <c r="G19" s="281">
        <f t="shared" si="0"/>
        <v>0</v>
      </c>
      <c r="H19" s="268"/>
      <c r="I19" s="2999"/>
      <c r="J19" s="2999"/>
      <c r="K19" s="2999"/>
      <c r="L19" s="2999"/>
      <c r="M19" s="2999"/>
      <c r="N19" s="2999"/>
    </row>
    <row r="20" spans="1:15">
      <c r="A20" s="1011"/>
      <c r="B20" s="1012"/>
      <c r="C20" s="1012"/>
      <c r="D20" s="1013">
        <f t="shared" si="1"/>
        <v>0</v>
      </c>
      <c r="E20" s="161"/>
      <c r="F20" s="282">
        <f t="shared" si="2"/>
        <v>0</v>
      </c>
      <c r="G20" s="281">
        <f t="shared" si="0"/>
        <v>0</v>
      </c>
      <c r="H20" s="268"/>
      <c r="I20" s="400" t="s">
        <v>344</v>
      </c>
    </row>
    <row r="21" spans="1:15">
      <c r="A21" s="1011"/>
      <c r="B21" s="1012"/>
      <c r="C21" s="1012"/>
      <c r="D21" s="1013">
        <f t="shared" si="1"/>
        <v>0</v>
      </c>
      <c r="E21" s="161"/>
      <c r="F21" s="282">
        <f t="shared" si="2"/>
        <v>0</v>
      </c>
      <c r="G21" s="281">
        <f t="shared" si="0"/>
        <v>0</v>
      </c>
      <c r="H21" s="268"/>
      <c r="I21" s="268"/>
    </row>
    <row r="22" spans="1:15">
      <c r="A22" s="1011"/>
      <c r="B22" s="1012"/>
      <c r="C22" s="1012"/>
      <c r="D22" s="1013">
        <f t="shared" si="1"/>
        <v>0</v>
      </c>
      <c r="E22" s="161"/>
      <c r="F22" s="282">
        <f t="shared" si="2"/>
        <v>0</v>
      </c>
      <c r="G22" s="281">
        <f t="shared" si="0"/>
        <v>0</v>
      </c>
      <c r="H22" s="268"/>
      <c r="I22" s="268"/>
    </row>
    <row r="23" spans="1:15">
      <c r="A23" s="1011"/>
      <c r="B23" s="1012"/>
      <c r="C23" s="1012"/>
      <c r="D23" s="1013">
        <f t="shared" si="1"/>
        <v>0</v>
      </c>
      <c r="E23" s="161"/>
      <c r="F23" s="282">
        <f t="shared" si="2"/>
        <v>0</v>
      </c>
      <c r="G23" s="281">
        <f t="shared" si="0"/>
        <v>0</v>
      </c>
      <c r="H23" s="268"/>
      <c r="I23" s="268"/>
    </row>
    <row r="24" spans="1:15">
      <c r="A24" s="1011"/>
      <c r="B24" s="1012"/>
      <c r="C24" s="1012"/>
      <c r="D24" s="1013">
        <f t="shared" si="1"/>
        <v>0</v>
      </c>
      <c r="E24" s="161"/>
      <c r="F24" s="282">
        <f t="shared" si="2"/>
        <v>0</v>
      </c>
      <c r="G24" s="281">
        <f t="shared" si="0"/>
        <v>0</v>
      </c>
      <c r="H24" s="268"/>
      <c r="I24" s="268"/>
    </row>
    <row r="25" spans="1:15">
      <c r="A25" s="1011"/>
      <c r="B25" s="1012"/>
      <c r="C25" s="1012"/>
      <c r="D25" s="1013">
        <f t="shared" si="1"/>
        <v>0</v>
      </c>
      <c r="E25" s="161"/>
      <c r="F25" s="282">
        <f t="shared" si="2"/>
        <v>0</v>
      </c>
      <c r="G25" s="281">
        <f t="shared" si="0"/>
        <v>0</v>
      </c>
      <c r="H25" s="268"/>
      <c r="I25" s="268"/>
    </row>
    <row r="26" spans="1:15">
      <c r="A26" s="1011"/>
      <c r="B26" s="1012"/>
      <c r="C26" s="1012"/>
      <c r="D26" s="1013">
        <f t="shared" si="1"/>
        <v>0</v>
      </c>
      <c r="E26" s="161"/>
      <c r="F26" s="282">
        <f t="shared" si="2"/>
        <v>0</v>
      </c>
      <c r="G26" s="281">
        <f t="shared" si="0"/>
        <v>0</v>
      </c>
      <c r="H26" s="268"/>
      <c r="I26" s="268"/>
    </row>
    <row r="27" spans="1:15">
      <c r="A27" s="1011"/>
      <c r="B27" s="1012"/>
      <c r="C27" s="1012"/>
      <c r="D27" s="1013">
        <f t="shared" si="1"/>
        <v>0</v>
      </c>
      <c r="E27" s="161"/>
      <c r="F27" s="282">
        <f t="shared" si="2"/>
        <v>0</v>
      </c>
      <c r="G27" s="281">
        <f t="shared" si="0"/>
        <v>0</v>
      </c>
      <c r="H27" s="268"/>
      <c r="I27" s="268"/>
    </row>
    <row r="28" spans="1:15">
      <c r="A28" s="1011"/>
      <c r="B28" s="1012"/>
      <c r="C28" s="1012"/>
      <c r="D28" s="1013">
        <f t="shared" si="1"/>
        <v>0</v>
      </c>
      <c r="E28" s="161"/>
      <c r="F28" s="282">
        <f t="shared" si="2"/>
        <v>0</v>
      </c>
      <c r="G28" s="281">
        <f t="shared" si="0"/>
        <v>0</v>
      </c>
      <c r="H28" s="268"/>
      <c r="I28" s="268"/>
    </row>
    <row r="29" spans="1:15">
      <c r="A29" s="1011"/>
      <c r="B29" s="1012"/>
      <c r="C29" s="1012"/>
      <c r="D29" s="1013">
        <f t="shared" si="1"/>
        <v>0</v>
      </c>
      <c r="E29" s="161"/>
      <c r="F29" s="282">
        <f t="shared" si="2"/>
        <v>0</v>
      </c>
      <c r="G29" s="281">
        <f t="shared" si="0"/>
        <v>0</v>
      </c>
      <c r="H29" s="268"/>
      <c r="I29" s="268"/>
    </row>
    <row r="30" spans="1:15">
      <c r="A30" s="1011"/>
      <c r="B30" s="1012"/>
      <c r="C30" s="1012"/>
      <c r="D30" s="1013">
        <f t="shared" si="1"/>
        <v>0</v>
      </c>
      <c r="E30" s="161"/>
      <c r="F30" s="282">
        <f t="shared" si="2"/>
        <v>0</v>
      </c>
      <c r="G30" s="281">
        <f t="shared" si="0"/>
        <v>0</v>
      </c>
      <c r="H30" s="268"/>
      <c r="I30" s="268"/>
    </row>
    <row r="31" spans="1:15">
      <c r="A31" s="1011"/>
      <c r="B31" s="1012"/>
      <c r="C31" s="1012"/>
      <c r="D31" s="1013">
        <f t="shared" si="1"/>
        <v>0</v>
      </c>
      <c r="E31" s="161"/>
      <c r="F31" s="282">
        <f t="shared" si="2"/>
        <v>0</v>
      </c>
      <c r="G31" s="281">
        <f t="shared" si="0"/>
        <v>0</v>
      </c>
      <c r="H31" s="268"/>
      <c r="I31" s="268"/>
    </row>
    <row r="32" spans="1:15">
      <c r="A32" s="1011"/>
      <c r="B32" s="1012"/>
      <c r="C32" s="1012"/>
      <c r="D32" s="1013">
        <f t="shared" si="1"/>
        <v>0</v>
      </c>
      <c r="E32" s="161"/>
      <c r="F32" s="282">
        <f t="shared" si="2"/>
        <v>0</v>
      </c>
      <c r="G32" s="281">
        <f t="shared" si="0"/>
        <v>0</v>
      </c>
      <c r="H32" s="268"/>
      <c r="I32" s="268"/>
    </row>
    <row r="33" spans="1:9">
      <c r="A33" s="1011"/>
      <c r="B33" s="1012"/>
      <c r="C33" s="1012"/>
      <c r="D33" s="1013">
        <f t="shared" si="1"/>
        <v>0</v>
      </c>
      <c r="E33" s="161"/>
      <c r="F33" s="282">
        <f t="shared" si="2"/>
        <v>0</v>
      </c>
      <c r="G33" s="281">
        <f t="shared" si="0"/>
        <v>0</v>
      </c>
      <c r="H33" s="268"/>
      <c r="I33" s="268"/>
    </row>
    <row r="34" spans="1:9">
      <c r="A34" s="1011"/>
      <c r="B34" s="1012"/>
      <c r="C34" s="1012"/>
      <c r="D34" s="1013">
        <f t="shared" si="1"/>
        <v>0</v>
      </c>
      <c r="E34" s="161"/>
      <c r="F34" s="282">
        <f t="shared" si="2"/>
        <v>0</v>
      </c>
      <c r="G34" s="281">
        <f t="shared" si="0"/>
        <v>0</v>
      </c>
      <c r="H34" s="268"/>
      <c r="I34" s="268"/>
    </row>
    <row r="35" spans="1:9">
      <c r="A35" s="1011"/>
      <c r="B35" s="1012"/>
      <c r="C35" s="1012"/>
      <c r="D35" s="1013">
        <f t="shared" si="1"/>
        <v>0</v>
      </c>
      <c r="E35" s="161"/>
      <c r="F35" s="282">
        <f t="shared" si="2"/>
        <v>0</v>
      </c>
      <c r="G35" s="281">
        <f t="shared" si="0"/>
        <v>0</v>
      </c>
      <c r="H35" s="268"/>
      <c r="I35" s="268"/>
    </row>
    <row r="36" spans="1:9">
      <c r="A36" s="1011"/>
      <c r="B36" s="1012"/>
      <c r="C36" s="1012"/>
      <c r="D36" s="1013">
        <f t="shared" si="1"/>
        <v>0</v>
      </c>
      <c r="E36" s="161"/>
      <c r="F36" s="282">
        <f t="shared" si="2"/>
        <v>0</v>
      </c>
      <c r="G36" s="281">
        <f t="shared" si="0"/>
        <v>0</v>
      </c>
      <c r="H36" s="268"/>
      <c r="I36" s="268"/>
    </row>
    <row r="37" spans="1:9">
      <c r="A37" s="1011"/>
      <c r="B37" s="1012"/>
      <c r="C37" s="1012"/>
      <c r="D37" s="1013">
        <f t="shared" si="1"/>
        <v>0</v>
      </c>
      <c r="E37" s="161"/>
      <c r="F37" s="282">
        <f t="shared" si="2"/>
        <v>0</v>
      </c>
      <c r="G37" s="281">
        <f t="shared" si="0"/>
        <v>0</v>
      </c>
      <c r="H37" s="268"/>
      <c r="I37" s="268"/>
    </row>
    <row r="38" spans="1:9">
      <c r="A38" s="1011"/>
      <c r="B38" s="1012"/>
      <c r="C38" s="1012"/>
      <c r="D38" s="1013">
        <f t="shared" si="1"/>
        <v>0</v>
      </c>
      <c r="E38" s="161"/>
      <c r="F38" s="282">
        <f t="shared" si="2"/>
        <v>0</v>
      </c>
      <c r="G38" s="281">
        <f t="shared" si="0"/>
        <v>0</v>
      </c>
      <c r="H38" s="268"/>
      <c r="I38" s="268"/>
    </row>
    <row r="39" spans="1:9">
      <c r="A39" s="1011"/>
      <c r="B39" s="1012"/>
      <c r="C39" s="1012"/>
      <c r="D39" s="1013">
        <f t="shared" si="1"/>
        <v>0</v>
      </c>
      <c r="E39" s="161"/>
      <c r="F39" s="282">
        <f t="shared" si="2"/>
        <v>0</v>
      </c>
      <c r="G39" s="281">
        <f t="shared" si="0"/>
        <v>0</v>
      </c>
      <c r="H39" s="268"/>
      <c r="I39" s="268"/>
    </row>
    <row r="40" spans="1:9">
      <c r="A40" s="1011"/>
      <c r="B40" s="1012"/>
      <c r="C40" s="1012"/>
      <c r="D40" s="1013">
        <f t="shared" si="1"/>
        <v>0</v>
      </c>
      <c r="E40" s="161"/>
      <c r="F40" s="282">
        <f t="shared" si="2"/>
        <v>0</v>
      </c>
      <c r="G40" s="281">
        <f t="shared" si="0"/>
        <v>0</v>
      </c>
      <c r="H40" s="268"/>
      <c r="I40" s="268"/>
    </row>
    <row r="41" spans="1:9">
      <c r="A41" s="1011"/>
      <c r="B41" s="1012"/>
      <c r="C41" s="1012"/>
      <c r="D41" s="1013">
        <f t="shared" si="1"/>
        <v>0</v>
      </c>
      <c r="E41" s="161"/>
      <c r="F41" s="282">
        <f t="shared" si="2"/>
        <v>0</v>
      </c>
      <c r="G41" s="281">
        <f t="shared" si="0"/>
        <v>0</v>
      </c>
      <c r="H41" s="268"/>
      <c r="I41" s="268"/>
    </row>
    <row r="42" spans="1:9">
      <c r="A42" s="1011"/>
      <c r="B42" s="1012"/>
      <c r="C42" s="1012"/>
      <c r="D42" s="1013">
        <f t="shared" si="1"/>
        <v>0</v>
      </c>
      <c r="E42" s="161"/>
      <c r="F42" s="282">
        <f t="shared" si="2"/>
        <v>0</v>
      </c>
      <c r="G42" s="281">
        <f t="shared" si="0"/>
        <v>0</v>
      </c>
      <c r="I42" s="268"/>
    </row>
    <row r="43" spans="1:9">
      <c r="A43" s="1011"/>
      <c r="B43" s="1012"/>
      <c r="C43" s="1012"/>
      <c r="D43" s="1013">
        <f t="shared" si="1"/>
        <v>0</v>
      </c>
      <c r="E43" s="161"/>
      <c r="F43" s="282">
        <f t="shared" si="2"/>
        <v>0</v>
      </c>
      <c r="G43" s="281">
        <f t="shared" si="0"/>
        <v>0</v>
      </c>
    </row>
    <row r="44" spans="1:9">
      <c r="A44" s="1011"/>
      <c r="B44" s="1012"/>
      <c r="C44" s="1012"/>
      <c r="D44" s="1013">
        <f t="shared" si="1"/>
        <v>0</v>
      </c>
      <c r="E44" s="161"/>
      <c r="F44" s="282">
        <f t="shared" si="2"/>
        <v>0</v>
      </c>
      <c r="G44" s="281">
        <f t="shared" si="0"/>
        <v>0</v>
      </c>
    </row>
    <row r="45" spans="1:9">
      <c r="A45" s="1011"/>
      <c r="B45" s="1012"/>
      <c r="C45" s="1012"/>
      <c r="D45" s="1013">
        <f t="shared" si="1"/>
        <v>0</v>
      </c>
      <c r="E45" s="161"/>
      <c r="F45" s="282">
        <f t="shared" si="2"/>
        <v>0</v>
      </c>
      <c r="G45" s="281">
        <f t="shared" si="0"/>
        <v>0</v>
      </c>
    </row>
    <row r="46" spans="1:9">
      <c r="A46" s="1011"/>
      <c r="B46" s="1012"/>
      <c r="C46" s="1012"/>
      <c r="D46" s="1013">
        <f t="shared" si="1"/>
        <v>0</v>
      </c>
      <c r="E46" s="161"/>
      <c r="F46" s="282">
        <f t="shared" si="2"/>
        <v>0</v>
      </c>
      <c r="G46" s="281">
        <f t="shared" si="0"/>
        <v>0</v>
      </c>
    </row>
    <row r="47" spans="1:9">
      <c r="A47" s="1011"/>
      <c r="B47" s="1012"/>
      <c r="C47" s="1012"/>
      <c r="D47" s="1013">
        <f t="shared" si="1"/>
        <v>0</v>
      </c>
      <c r="E47" s="161"/>
      <c r="F47" s="282">
        <f t="shared" si="2"/>
        <v>0</v>
      </c>
      <c r="G47" s="281">
        <f t="shared" si="0"/>
        <v>0</v>
      </c>
    </row>
    <row r="48" spans="1:9">
      <c r="A48" s="1011"/>
      <c r="B48" s="1012"/>
      <c r="C48" s="1012"/>
      <c r="D48" s="1013">
        <f t="shared" si="1"/>
        <v>0</v>
      </c>
      <c r="E48" s="161"/>
      <c r="F48" s="282">
        <f t="shared" si="2"/>
        <v>0</v>
      </c>
      <c r="G48" s="281">
        <f t="shared" si="0"/>
        <v>0</v>
      </c>
    </row>
    <row r="49" spans="1:7">
      <c r="A49" s="1011"/>
      <c r="B49" s="1012"/>
      <c r="C49" s="1012"/>
      <c r="D49" s="1013">
        <f t="shared" si="1"/>
        <v>0</v>
      </c>
      <c r="E49" s="161"/>
      <c r="F49" s="282">
        <f t="shared" si="2"/>
        <v>0</v>
      </c>
      <c r="G49" s="281">
        <f t="shared" si="0"/>
        <v>0</v>
      </c>
    </row>
    <row r="50" spans="1:7">
      <c r="A50" s="1011"/>
      <c r="B50" s="1012"/>
      <c r="C50" s="1012"/>
      <c r="D50" s="1013">
        <f t="shared" si="1"/>
        <v>0</v>
      </c>
      <c r="E50" s="161"/>
      <c r="F50" s="282">
        <f t="shared" si="2"/>
        <v>0</v>
      </c>
      <c r="G50" s="281">
        <f t="shared" si="0"/>
        <v>0</v>
      </c>
    </row>
    <row r="51" spans="1:7">
      <c r="A51" s="1011"/>
      <c r="B51" s="1012"/>
      <c r="C51" s="1012"/>
      <c r="D51" s="1013">
        <f t="shared" si="1"/>
        <v>0</v>
      </c>
      <c r="E51" s="161"/>
      <c r="F51" s="282">
        <f t="shared" si="2"/>
        <v>0</v>
      </c>
      <c r="G51" s="281">
        <f t="shared" si="0"/>
        <v>0</v>
      </c>
    </row>
    <row r="52" spans="1:7">
      <c r="A52" s="1011"/>
      <c r="B52" s="1012"/>
      <c r="C52" s="1012"/>
      <c r="D52" s="1013">
        <f t="shared" si="1"/>
        <v>0</v>
      </c>
      <c r="E52" s="161"/>
      <c r="F52" s="282">
        <f t="shared" si="2"/>
        <v>0</v>
      </c>
      <c r="G52" s="281">
        <f t="shared" si="0"/>
        <v>0</v>
      </c>
    </row>
    <row r="53" spans="1:7">
      <c r="A53" s="1011"/>
      <c r="B53" s="1012"/>
      <c r="C53" s="1012"/>
      <c r="D53" s="1013">
        <f t="shared" si="1"/>
        <v>0</v>
      </c>
      <c r="E53" s="161"/>
      <c r="F53" s="282">
        <f t="shared" si="2"/>
        <v>0</v>
      </c>
      <c r="G53" s="281">
        <f t="shared" si="0"/>
        <v>0</v>
      </c>
    </row>
    <row r="54" spans="1:7">
      <c r="A54" s="1011"/>
      <c r="B54" s="1012"/>
      <c r="C54" s="1012"/>
      <c r="D54" s="1013">
        <f t="shared" si="1"/>
        <v>0</v>
      </c>
      <c r="E54" s="161"/>
      <c r="F54" s="282">
        <f t="shared" si="2"/>
        <v>0</v>
      </c>
      <c r="G54" s="281">
        <f t="shared" si="0"/>
        <v>0</v>
      </c>
    </row>
    <row r="55" spans="1:7">
      <c r="A55" s="1011"/>
      <c r="B55" s="1012"/>
      <c r="C55" s="1012"/>
      <c r="D55" s="1013">
        <f t="shared" si="1"/>
        <v>0</v>
      </c>
      <c r="E55" s="161"/>
      <c r="F55" s="282">
        <f t="shared" si="2"/>
        <v>0</v>
      </c>
      <c r="G55" s="281">
        <f t="shared" si="0"/>
        <v>0</v>
      </c>
    </row>
    <row r="56" spans="1:7">
      <c r="A56" s="1011"/>
      <c r="B56" s="1012"/>
      <c r="C56" s="1012"/>
      <c r="D56" s="1013">
        <f t="shared" si="1"/>
        <v>0</v>
      </c>
      <c r="E56" s="161"/>
      <c r="F56" s="282">
        <f t="shared" si="2"/>
        <v>0</v>
      </c>
      <c r="G56" s="281">
        <f t="shared" si="0"/>
        <v>0</v>
      </c>
    </row>
    <row r="57" spans="1:7">
      <c r="A57" s="1011"/>
      <c r="B57" s="1012"/>
      <c r="C57" s="1012"/>
      <c r="D57" s="1013">
        <f t="shared" si="1"/>
        <v>0</v>
      </c>
      <c r="E57" s="161"/>
      <c r="F57" s="282">
        <f t="shared" si="2"/>
        <v>0</v>
      </c>
      <c r="G57" s="281">
        <f t="shared" si="0"/>
        <v>0</v>
      </c>
    </row>
    <row r="58" spans="1:7">
      <c r="A58" s="1011"/>
      <c r="B58" s="1012"/>
      <c r="C58" s="1012"/>
      <c r="D58" s="1013">
        <f t="shared" si="1"/>
        <v>0</v>
      </c>
      <c r="E58" s="161"/>
      <c r="F58" s="282">
        <f t="shared" si="2"/>
        <v>0</v>
      </c>
      <c r="G58" s="281">
        <f t="shared" si="0"/>
        <v>0</v>
      </c>
    </row>
    <row r="59" spans="1:7">
      <c r="A59" s="1011"/>
      <c r="B59" s="1012"/>
      <c r="C59" s="1012"/>
      <c r="D59" s="1013">
        <f t="shared" si="1"/>
        <v>0</v>
      </c>
      <c r="E59" s="161"/>
      <c r="F59" s="282">
        <f t="shared" si="2"/>
        <v>0</v>
      </c>
      <c r="G59" s="281">
        <f t="shared" si="0"/>
        <v>0</v>
      </c>
    </row>
    <row r="60" spans="1:7">
      <c r="A60" s="1011"/>
      <c r="B60" s="1012"/>
      <c r="C60" s="1012"/>
      <c r="D60" s="1013">
        <f t="shared" si="1"/>
        <v>0</v>
      </c>
      <c r="E60" s="161"/>
      <c r="F60" s="282">
        <f t="shared" si="2"/>
        <v>0</v>
      </c>
      <c r="G60" s="281">
        <f t="shared" si="0"/>
        <v>0</v>
      </c>
    </row>
    <row r="61" spans="1:7">
      <c r="A61" s="1011"/>
      <c r="B61" s="1012"/>
      <c r="C61" s="1012"/>
      <c r="D61" s="1013">
        <f t="shared" si="1"/>
        <v>0</v>
      </c>
      <c r="E61" s="161"/>
      <c r="F61" s="282">
        <f t="shared" si="2"/>
        <v>0</v>
      </c>
      <c r="G61" s="281">
        <f t="shared" si="0"/>
        <v>0</v>
      </c>
    </row>
    <row r="62" spans="1:7">
      <c r="A62" s="1011"/>
      <c r="B62" s="1012"/>
      <c r="C62" s="1012"/>
      <c r="D62" s="1013">
        <f t="shared" si="1"/>
        <v>0</v>
      </c>
      <c r="E62" s="161"/>
      <c r="F62" s="282">
        <f t="shared" si="2"/>
        <v>0</v>
      </c>
      <c r="G62" s="281">
        <f t="shared" si="0"/>
        <v>0</v>
      </c>
    </row>
    <row r="63" spans="1:7">
      <c r="A63" s="1011"/>
      <c r="B63" s="1012"/>
      <c r="C63" s="1012"/>
      <c r="D63" s="1013">
        <f t="shared" si="1"/>
        <v>0</v>
      </c>
      <c r="E63" s="161"/>
      <c r="F63" s="282">
        <f t="shared" si="2"/>
        <v>0</v>
      </c>
      <c r="G63" s="281">
        <f t="shared" si="0"/>
        <v>0</v>
      </c>
    </row>
    <row r="64" spans="1:7">
      <c r="A64" s="1011"/>
      <c r="B64" s="1012"/>
      <c r="C64" s="1012"/>
      <c r="D64" s="1013">
        <f t="shared" si="1"/>
        <v>0</v>
      </c>
      <c r="E64" s="161"/>
      <c r="F64" s="282">
        <f t="shared" si="2"/>
        <v>0</v>
      </c>
      <c r="G64" s="281">
        <f t="shared" si="0"/>
        <v>0</v>
      </c>
    </row>
    <row r="65" spans="1:7">
      <c r="A65" s="1011"/>
      <c r="B65" s="1012"/>
      <c r="C65" s="1012"/>
      <c r="D65" s="1013">
        <f t="shared" si="1"/>
        <v>0</v>
      </c>
      <c r="E65" s="161"/>
      <c r="F65" s="282">
        <f t="shared" si="2"/>
        <v>0</v>
      </c>
      <c r="G65" s="281">
        <f t="shared" si="0"/>
        <v>0</v>
      </c>
    </row>
    <row r="66" spans="1:7">
      <c r="A66" s="1011"/>
      <c r="B66" s="1012"/>
      <c r="C66" s="1012"/>
      <c r="D66" s="1013">
        <f t="shared" si="1"/>
        <v>0</v>
      </c>
      <c r="E66" s="161"/>
      <c r="F66" s="282">
        <f t="shared" si="2"/>
        <v>0</v>
      </c>
      <c r="G66" s="281">
        <f t="shared" si="0"/>
        <v>0</v>
      </c>
    </row>
    <row r="67" spans="1:7">
      <c r="A67" s="1011"/>
      <c r="B67" s="1012"/>
      <c r="C67" s="1012"/>
      <c r="D67" s="1013">
        <f t="shared" si="1"/>
        <v>0</v>
      </c>
      <c r="E67" s="161"/>
      <c r="F67" s="282">
        <f t="shared" si="2"/>
        <v>0</v>
      </c>
      <c r="G67" s="281">
        <f t="shared" si="0"/>
        <v>0</v>
      </c>
    </row>
    <row r="68" spans="1:7">
      <c r="A68" s="1011"/>
      <c r="B68" s="1012"/>
      <c r="C68" s="1012"/>
      <c r="D68" s="1013">
        <f t="shared" si="1"/>
        <v>0</v>
      </c>
      <c r="E68" s="161"/>
      <c r="F68" s="282">
        <f t="shared" si="2"/>
        <v>0</v>
      </c>
      <c r="G68" s="281">
        <f t="shared" si="0"/>
        <v>0</v>
      </c>
    </row>
    <row r="69" spans="1:7">
      <c r="A69" s="1011"/>
      <c r="B69" s="1012"/>
      <c r="C69" s="1012"/>
      <c r="D69" s="1013">
        <f t="shared" si="1"/>
        <v>0</v>
      </c>
      <c r="E69" s="161"/>
      <c r="F69" s="282">
        <f t="shared" si="2"/>
        <v>0</v>
      </c>
      <c r="G69" s="281">
        <f t="shared" si="0"/>
        <v>0</v>
      </c>
    </row>
    <row r="70" spans="1:7">
      <c r="A70" s="1011"/>
      <c r="B70" s="1012"/>
      <c r="C70" s="1012"/>
      <c r="D70" s="1013">
        <f t="shared" si="1"/>
        <v>0</v>
      </c>
      <c r="E70" s="161"/>
      <c r="F70" s="282">
        <f t="shared" si="2"/>
        <v>0</v>
      </c>
      <c r="G70" s="281">
        <f t="shared" si="0"/>
        <v>0</v>
      </c>
    </row>
    <row r="71" spans="1:7">
      <c r="A71" s="1011"/>
      <c r="B71" s="1012"/>
      <c r="C71" s="1012"/>
      <c r="D71" s="1013">
        <f t="shared" si="1"/>
        <v>0</v>
      </c>
      <c r="E71" s="161"/>
      <c r="F71" s="282">
        <f t="shared" si="2"/>
        <v>0</v>
      </c>
      <c r="G71" s="281">
        <f t="shared" si="0"/>
        <v>0</v>
      </c>
    </row>
    <row r="72" spans="1:7">
      <c r="A72" s="1011"/>
      <c r="B72" s="1012"/>
      <c r="C72" s="1012"/>
      <c r="D72" s="1013">
        <f t="shared" si="1"/>
        <v>0</v>
      </c>
      <c r="E72" s="161"/>
      <c r="F72" s="282">
        <f t="shared" si="2"/>
        <v>0</v>
      </c>
      <c r="G72" s="281">
        <f t="shared" si="0"/>
        <v>0</v>
      </c>
    </row>
    <row r="73" spans="1:7">
      <c r="A73" s="1011"/>
      <c r="B73" s="1012"/>
      <c r="C73" s="1012"/>
      <c r="D73" s="1013">
        <f t="shared" si="1"/>
        <v>0</v>
      </c>
      <c r="E73" s="161"/>
      <c r="F73" s="282">
        <f t="shared" si="2"/>
        <v>0</v>
      </c>
      <c r="G73" s="281">
        <f t="shared" si="0"/>
        <v>0</v>
      </c>
    </row>
    <row r="74" spans="1:7">
      <c r="A74" s="1011"/>
      <c r="B74" s="1012"/>
      <c r="C74" s="1012"/>
      <c r="D74" s="1013">
        <f t="shared" si="1"/>
        <v>0</v>
      </c>
      <c r="E74" s="161"/>
      <c r="F74" s="282">
        <f t="shared" si="2"/>
        <v>0</v>
      </c>
      <c r="G74" s="281">
        <f t="shared" si="0"/>
        <v>0</v>
      </c>
    </row>
    <row r="75" spans="1:7">
      <c r="A75" s="1011"/>
      <c r="B75" s="1012"/>
      <c r="C75" s="1012"/>
      <c r="D75" s="1013">
        <f t="shared" si="1"/>
        <v>0</v>
      </c>
      <c r="E75" s="161"/>
      <c r="F75" s="282">
        <f t="shared" si="2"/>
        <v>0</v>
      </c>
      <c r="G75" s="281">
        <f t="shared" si="0"/>
        <v>0</v>
      </c>
    </row>
    <row r="76" spans="1:7">
      <c r="A76" s="1011"/>
      <c r="B76" s="1012"/>
      <c r="C76" s="1012"/>
      <c r="D76" s="1013">
        <f t="shared" si="1"/>
        <v>0</v>
      </c>
      <c r="E76" s="161"/>
      <c r="F76" s="282">
        <f t="shared" si="2"/>
        <v>0</v>
      </c>
      <c r="G76" s="281">
        <f t="shared" si="0"/>
        <v>0</v>
      </c>
    </row>
    <row r="77" spans="1:7">
      <c r="A77" s="1011"/>
      <c r="B77" s="1012"/>
      <c r="C77" s="1012"/>
      <c r="D77" s="1013">
        <f t="shared" si="1"/>
        <v>0</v>
      </c>
      <c r="E77" s="161"/>
      <c r="F77" s="282">
        <f t="shared" si="2"/>
        <v>0</v>
      </c>
      <c r="G77" s="281">
        <f t="shared" si="0"/>
        <v>0</v>
      </c>
    </row>
    <row r="78" spans="1:7">
      <c r="A78" s="1011"/>
      <c r="B78" s="1012"/>
      <c r="C78" s="1012"/>
      <c r="D78" s="1013">
        <f t="shared" si="1"/>
        <v>0</v>
      </c>
      <c r="E78" s="161"/>
      <c r="F78" s="282">
        <f t="shared" si="2"/>
        <v>0</v>
      </c>
      <c r="G78" s="281">
        <f t="shared" si="0"/>
        <v>0</v>
      </c>
    </row>
    <row r="79" spans="1:7">
      <c r="A79" s="1011"/>
      <c r="B79" s="1012"/>
      <c r="C79" s="1012"/>
      <c r="D79" s="1013">
        <f t="shared" si="1"/>
        <v>0</v>
      </c>
      <c r="E79" s="161"/>
      <c r="F79" s="282">
        <f t="shared" si="2"/>
        <v>0</v>
      </c>
      <c r="G79" s="281">
        <f t="shared" si="0"/>
        <v>0</v>
      </c>
    </row>
    <row r="80" spans="1:7">
      <c r="A80" s="1011"/>
      <c r="B80" s="1012"/>
      <c r="C80" s="1012"/>
      <c r="D80" s="1013">
        <f t="shared" si="1"/>
        <v>0</v>
      </c>
      <c r="E80" s="161"/>
      <c r="F80" s="282">
        <f t="shared" si="2"/>
        <v>0</v>
      </c>
      <c r="G80" s="281">
        <f t="shared" si="0"/>
        <v>0</v>
      </c>
    </row>
    <row r="81" spans="1:7">
      <c r="A81" s="1011"/>
      <c r="B81" s="1012"/>
      <c r="C81" s="1012"/>
      <c r="D81" s="1013">
        <f t="shared" si="1"/>
        <v>0</v>
      </c>
      <c r="E81" s="161"/>
      <c r="F81" s="282">
        <f t="shared" si="2"/>
        <v>0</v>
      </c>
      <c r="G81" s="281">
        <f t="shared" si="0"/>
        <v>0</v>
      </c>
    </row>
    <row r="82" spans="1:7">
      <c r="A82" s="1011"/>
      <c r="B82" s="1012"/>
      <c r="C82" s="1012"/>
      <c r="D82" s="1013">
        <f t="shared" si="1"/>
        <v>0</v>
      </c>
      <c r="E82" s="161"/>
      <c r="F82" s="282">
        <f t="shared" si="2"/>
        <v>0</v>
      </c>
      <c r="G82" s="281">
        <f t="shared" si="0"/>
        <v>0</v>
      </c>
    </row>
    <row r="83" spans="1:7">
      <c r="A83" s="1011"/>
      <c r="B83" s="1012"/>
      <c r="C83" s="1012"/>
      <c r="D83" s="1013">
        <f t="shared" si="1"/>
        <v>0</v>
      </c>
      <c r="E83" s="161"/>
      <c r="F83" s="282">
        <f t="shared" si="2"/>
        <v>0</v>
      </c>
      <c r="G83" s="281">
        <f t="shared" si="0"/>
        <v>0</v>
      </c>
    </row>
    <row r="84" spans="1:7">
      <c r="A84" s="1011"/>
      <c r="B84" s="1012"/>
      <c r="C84" s="1012"/>
      <c r="D84" s="1013">
        <f t="shared" si="1"/>
        <v>0</v>
      </c>
      <c r="E84" s="161"/>
      <c r="F84" s="282">
        <f t="shared" si="2"/>
        <v>0</v>
      </c>
      <c r="G84" s="281">
        <f t="shared" si="0"/>
        <v>0</v>
      </c>
    </row>
    <row r="85" spans="1:7">
      <c r="A85" s="1011"/>
      <c r="B85" s="1012"/>
      <c r="C85" s="1012"/>
      <c r="D85" s="1013">
        <f t="shared" si="1"/>
        <v>0</v>
      </c>
      <c r="E85" s="161"/>
      <c r="F85" s="282">
        <f t="shared" si="2"/>
        <v>0</v>
      </c>
      <c r="G85" s="281">
        <f t="shared" si="0"/>
        <v>0</v>
      </c>
    </row>
    <row r="86" spans="1:7">
      <c r="A86" s="1011"/>
      <c r="B86" s="1012"/>
      <c r="C86" s="1012"/>
      <c r="D86" s="1013">
        <f t="shared" si="1"/>
        <v>0</v>
      </c>
      <c r="E86" s="161"/>
      <c r="F86" s="282">
        <f t="shared" si="2"/>
        <v>0</v>
      </c>
      <c r="G86" s="281">
        <f t="shared" si="0"/>
        <v>0</v>
      </c>
    </row>
    <row r="87" spans="1:7">
      <c r="A87" s="1011"/>
      <c r="B87" s="1012"/>
      <c r="C87" s="1012"/>
      <c r="D87" s="1013">
        <f t="shared" si="1"/>
        <v>0</v>
      </c>
      <c r="E87" s="161"/>
      <c r="F87" s="282">
        <f t="shared" si="2"/>
        <v>0</v>
      </c>
      <c r="G87" s="281">
        <f t="shared" si="0"/>
        <v>0</v>
      </c>
    </row>
    <row r="88" spans="1:7">
      <c r="A88" s="1011"/>
      <c r="B88" s="1012"/>
      <c r="C88" s="1012"/>
      <c r="D88" s="1013">
        <f t="shared" si="1"/>
        <v>0</v>
      </c>
      <c r="E88" s="161"/>
      <c r="F88" s="282">
        <f t="shared" si="2"/>
        <v>0</v>
      </c>
      <c r="G88" s="281">
        <f t="shared" si="0"/>
        <v>0</v>
      </c>
    </row>
    <row r="89" spans="1:7">
      <c r="A89" s="1011"/>
      <c r="B89" s="1012"/>
      <c r="C89" s="1012"/>
      <c r="D89" s="1013">
        <f t="shared" si="1"/>
        <v>0</v>
      </c>
      <c r="E89" s="161"/>
      <c r="F89" s="282">
        <f t="shared" si="2"/>
        <v>0</v>
      </c>
      <c r="G89" s="281">
        <f t="shared" si="0"/>
        <v>0</v>
      </c>
    </row>
    <row r="90" spans="1:7">
      <c r="A90" s="1011"/>
      <c r="B90" s="1012"/>
      <c r="C90" s="1012"/>
      <c r="D90" s="1013">
        <f t="shared" si="1"/>
        <v>0</v>
      </c>
      <c r="E90" s="161"/>
      <c r="F90" s="282">
        <f t="shared" si="2"/>
        <v>0</v>
      </c>
      <c r="G90" s="281">
        <f t="shared" si="0"/>
        <v>0</v>
      </c>
    </row>
    <row r="91" spans="1:7">
      <c r="A91" s="1011"/>
      <c r="B91" s="1012"/>
      <c r="C91" s="1012"/>
      <c r="D91" s="1013">
        <f t="shared" si="1"/>
        <v>0</v>
      </c>
      <c r="E91" s="161"/>
      <c r="F91" s="282">
        <f t="shared" si="2"/>
        <v>0</v>
      </c>
      <c r="G91" s="281">
        <f t="shared" si="0"/>
        <v>0</v>
      </c>
    </row>
    <row r="92" spans="1:7">
      <c r="A92" s="1011"/>
      <c r="B92" s="1012"/>
      <c r="C92" s="1012"/>
      <c r="D92" s="1013">
        <f t="shared" si="1"/>
        <v>0</v>
      </c>
      <c r="E92" s="161"/>
      <c r="F92" s="282">
        <f t="shared" si="2"/>
        <v>0</v>
      </c>
      <c r="G92" s="281">
        <f t="shared" si="0"/>
        <v>0</v>
      </c>
    </row>
    <row r="93" spans="1:7">
      <c r="A93" s="1011"/>
      <c r="B93" s="1012"/>
      <c r="C93" s="1012"/>
      <c r="D93" s="1013">
        <f t="shared" si="1"/>
        <v>0</v>
      </c>
      <c r="E93" s="161"/>
      <c r="F93" s="282">
        <f t="shared" si="2"/>
        <v>0</v>
      </c>
      <c r="G93" s="281">
        <f t="shared" si="0"/>
        <v>0</v>
      </c>
    </row>
    <row r="94" spans="1:7">
      <c r="A94" s="1011"/>
      <c r="B94" s="1012"/>
      <c r="C94" s="1012"/>
      <c r="D94" s="1013">
        <f t="shared" si="1"/>
        <v>0</v>
      </c>
      <c r="E94" s="161"/>
      <c r="F94" s="282">
        <f t="shared" si="2"/>
        <v>0</v>
      </c>
      <c r="G94" s="281">
        <f t="shared" si="0"/>
        <v>0</v>
      </c>
    </row>
    <row r="95" spans="1:7">
      <c r="A95" s="1011"/>
      <c r="B95" s="1012"/>
      <c r="C95" s="1012"/>
      <c r="D95" s="1013">
        <f t="shared" si="1"/>
        <v>0</v>
      </c>
      <c r="E95" s="161"/>
      <c r="F95" s="282">
        <f t="shared" si="2"/>
        <v>0</v>
      </c>
      <c r="G95" s="281">
        <f t="shared" si="0"/>
        <v>0</v>
      </c>
    </row>
    <row r="96" spans="1:7">
      <c r="A96" s="1011"/>
      <c r="B96" s="1012"/>
      <c r="C96" s="1012"/>
      <c r="D96" s="1013">
        <f t="shared" si="1"/>
        <v>0</v>
      </c>
      <c r="E96" s="161"/>
      <c r="F96" s="282">
        <f t="shared" si="2"/>
        <v>0</v>
      </c>
      <c r="G96" s="281">
        <f t="shared" si="0"/>
        <v>0</v>
      </c>
    </row>
    <row r="97" spans="1:7">
      <c r="A97" s="1011"/>
      <c r="B97" s="1012"/>
      <c r="C97" s="1012"/>
      <c r="D97" s="1013">
        <f t="shared" si="1"/>
        <v>0</v>
      </c>
      <c r="E97" s="161"/>
      <c r="F97" s="282">
        <f t="shared" si="2"/>
        <v>0</v>
      </c>
      <c r="G97" s="281">
        <f t="shared" si="0"/>
        <v>0</v>
      </c>
    </row>
    <row r="98" spans="1:7">
      <c r="A98" s="1011"/>
      <c r="B98" s="1012"/>
      <c r="C98" s="1012"/>
      <c r="D98" s="1013">
        <f t="shared" si="1"/>
        <v>0</v>
      </c>
      <c r="E98" s="161"/>
      <c r="F98" s="282">
        <f t="shared" si="2"/>
        <v>0</v>
      </c>
      <c r="G98" s="281">
        <f t="shared" si="0"/>
        <v>0</v>
      </c>
    </row>
    <row r="99" spans="1:7">
      <c r="A99" s="1011"/>
      <c r="B99" s="1012"/>
      <c r="C99" s="1012"/>
      <c r="D99" s="1013">
        <f t="shared" si="1"/>
        <v>0</v>
      </c>
      <c r="E99" s="161"/>
      <c r="F99" s="282">
        <f t="shared" si="2"/>
        <v>0</v>
      </c>
      <c r="G99" s="281">
        <f t="shared" si="0"/>
        <v>0</v>
      </c>
    </row>
    <row r="100" spans="1:7">
      <c r="A100" s="1011"/>
      <c r="B100" s="1012"/>
      <c r="C100" s="1012"/>
      <c r="D100" s="1013">
        <f t="shared" si="1"/>
        <v>0</v>
      </c>
      <c r="E100" s="161"/>
      <c r="F100" s="282">
        <f t="shared" si="2"/>
        <v>0</v>
      </c>
      <c r="G100" s="281">
        <f t="shared" si="0"/>
        <v>0</v>
      </c>
    </row>
    <row r="101" spans="1:7">
      <c r="A101" s="1011"/>
      <c r="B101" s="1012"/>
      <c r="C101" s="1012"/>
      <c r="D101" s="1013">
        <f t="shared" si="1"/>
        <v>0</v>
      </c>
      <c r="E101" s="161"/>
      <c r="F101" s="282">
        <f>IF(A101&gt;0,A101-A80,0)</f>
        <v>0</v>
      </c>
      <c r="G101" s="281">
        <f t="shared" si="0"/>
        <v>0</v>
      </c>
    </row>
    <row r="102" spans="1:7">
      <c r="A102" s="1011"/>
      <c r="B102" s="1012"/>
      <c r="C102" s="1012"/>
      <c r="D102" s="1013">
        <f t="shared" si="1"/>
        <v>0</v>
      </c>
      <c r="E102" s="161"/>
      <c r="F102" s="282">
        <f>IF(A102&gt;0,A102-A101,0)</f>
        <v>0</v>
      </c>
      <c r="G102" s="281">
        <f t="shared" si="0"/>
        <v>0</v>
      </c>
    </row>
    <row r="103" spans="1:7">
      <c r="A103" s="1011"/>
      <c r="B103" s="1012"/>
      <c r="C103" s="1012"/>
      <c r="D103" s="1013">
        <f t="shared" si="1"/>
        <v>0</v>
      </c>
      <c r="E103" s="161"/>
      <c r="F103" s="282">
        <f>IF(A103&gt;0,A103-A102,0)</f>
        <v>0</v>
      </c>
      <c r="G103" s="281">
        <f t="shared" si="0"/>
        <v>0</v>
      </c>
    </row>
    <row r="104" spans="1:7">
      <c r="A104" s="1014"/>
      <c r="B104" s="1015"/>
      <c r="C104" s="1015"/>
      <c r="D104" s="1016"/>
      <c r="E104" s="161"/>
      <c r="F104" s="282">
        <f>IF(A104&gt;0,A104-A103,0)</f>
        <v>0</v>
      </c>
      <c r="G104" s="284"/>
    </row>
    <row r="105" spans="1:7">
      <c r="A105" s="1008">
        <f>IF(AND(D7&gt;39141,D7&lt;39508),$D$7+365,$D$7+364)</f>
        <v>364</v>
      </c>
      <c r="B105" s="1009">
        <f>SUM(B10:B103)</f>
        <v>0</v>
      </c>
      <c r="C105" s="1009">
        <f>SUM(C10:C103)</f>
        <v>0</v>
      </c>
      <c r="D105" s="1013">
        <f>$D$9+SUM(B$10:B103)-SUM(C$10:C103)</f>
        <v>0</v>
      </c>
      <c r="E105" s="161"/>
      <c r="F105" s="282">
        <f>(A105-A9)-SUM(F10:F104)</f>
        <v>364</v>
      </c>
      <c r="G105" s="281">
        <f>D105*F105</f>
        <v>0</v>
      </c>
    </row>
    <row r="106" spans="1:7">
      <c r="A106" s="161"/>
      <c r="B106" s="161"/>
      <c r="C106" s="161"/>
      <c r="D106" s="161"/>
      <c r="E106" s="161"/>
      <c r="F106" s="285">
        <f>SUM(F9:F105)</f>
        <v>364</v>
      </c>
      <c r="G106" s="286">
        <f>SUM(G9:G105)</f>
        <v>0</v>
      </c>
    </row>
  </sheetData>
  <sheetProtection password="CAEF" sheet="1" formatCells="0" formatRows="0"/>
  <mergeCells count="6">
    <mergeCell ref="I18:N19"/>
    <mergeCell ref="B9:C9"/>
    <mergeCell ref="K1:L1"/>
    <mergeCell ref="A3:C3"/>
    <mergeCell ref="A4:D4"/>
    <mergeCell ref="A5:C5"/>
  </mergeCells>
  <phoneticPr fontId="41" type="noConversion"/>
  <conditionalFormatting sqref="A10">
    <cfRule type="expression" dxfId="22" priority="7">
      <formula>AND($D$9&lt;&gt;"",$D$7&lt;&gt;"",$A$10="")</formula>
    </cfRule>
  </conditionalFormatting>
  <conditionalFormatting sqref="A11:A103">
    <cfRule type="expression" dxfId="21" priority="3">
      <formula>AND($A11="",$B11="",$C11="",$A10&lt;&gt;"",OR($B10&lt;&gt;"",$C10&lt;&gt;""))</formula>
    </cfRule>
  </conditionalFormatting>
  <conditionalFormatting sqref="A5:C5">
    <cfRule type="expression" dxfId="20" priority="10">
      <formula>$A$5=""</formula>
    </cfRule>
  </conditionalFormatting>
  <conditionalFormatting sqref="B10">
    <cfRule type="expression" dxfId="19" priority="6">
      <formula>AND($A$10&lt;&gt;"",$C$10="",$B$10="")</formula>
    </cfRule>
  </conditionalFormatting>
  <conditionalFormatting sqref="B11:C103">
    <cfRule type="expression" dxfId="18" priority="1">
      <formula>AND($A11&lt;&gt;"",$B11="",$C11="")</formula>
    </cfRule>
  </conditionalFormatting>
  <conditionalFormatting sqref="C10">
    <cfRule type="expression" dxfId="17" priority="5">
      <formula>AND($A$10&lt;&gt;"",$B$10="",$C$10="")</formula>
    </cfRule>
  </conditionalFormatting>
  <conditionalFormatting sqref="D7">
    <cfRule type="expression" dxfId="16" priority="9">
      <formula>AND($A$5&lt;&gt;"",$D$7="")</formula>
    </cfRule>
  </conditionalFormatting>
  <conditionalFormatting sqref="D9">
    <cfRule type="expression" dxfId="15" priority="8">
      <formula>AND($A$5&lt;&gt;"",$D$7&lt;&gt;"",$D$9="")</formula>
    </cfRule>
  </conditionalFormatting>
  <dataValidations count="1">
    <dataValidation type="list" operator="equal" allowBlank="1" showErrorMessage="1" sqref="A5:C5" xr:uid="{00000000-0002-0000-0E00-000000000000}">
      <formula1>$F$1:$F$5</formula1>
      <formula2>0</formula2>
    </dataValidation>
  </dataValidations>
  <hyperlinks>
    <hyperlink ref="I1" location="'System Immergrün'!A1" display="◄" xr:uid="{00000000-0004-0000-0E00-000000000000}"/>
    <hyperlink ref="K1" location="Tiere!A1" display="zur Tierliste" xr:uid="{00000000-0004-0000-0E00-000001000000}"/>
    <hyperlink ref="J1" location="Bodennah!A1" display="  ►" xr:uid="{00000000-0004-0000-0E00-000002000000}"/>
    <hyperlink ref="I20" r:id="rId1" xr:uid="{00000000-0004-0000-0E00-000003000000}"/>
  </hyperlinks>
  <printOptions horizontalCentered="1" verticalCentered="1"/>
  <pageMargins left="0.70866141732283472" right="0.70866141732283472" top="0.55000000000000004" bottom="0.4" header="0.51181102362204722" footer="0.27"/>
  <pageSetup paperSize="9" firstPageNumber="0" orientation="portrait" blackAndWhite="1" horizontalDpi="300" verticalDpi="300"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rgb="FF92D050"/>
    <pageSetUpPr fitToPage="1"/>
  </sheetPr>
  <dimension ref="A1:R57"/>
  <sheetViews>
    <sheetView showZeros="0" zoomScale="80" zoomScaleNormal="80" workbookViewId="0">
      <selection activeCell="A6" sqref="A6"/>
    </sheetView>
  </sheetViews>
  <sheetFormatPr baseColWidth="10" defaultRowHeight="12.75"/>
  <cols>
    <col min="4" max="4" width="21.28515625" customWidth="1"/>
    <col min="5" max="5" width="6.7109375" customWidth="1"/>
    <col min="6" max="6" width="13" customWidth="1"/>
    <col min="7" max="7" width="12.28515625" customWidth="1"/>
    <col min="13" max="14" width="20.85546875" customWidth="1"/>
    <col min="15" max="15" width="17.85546875" hidden="1" customWidth="1"/>
    <col min="16" max="17" width="18.5703125" hidden="1" customWidth="1"/>
    <col min="18" max="18" width="11.42578125" hidden="1" customWidth="1"/>
  </cols>
  <sheetData>
    <row r="1" spans="1:18" ht="33.950000000000003" customHeight="1">
      <c r="A1" s="1058"/>
      <c r="B1" s="1058"/>
      <c r="C1" s="1058"/>
      <c r="D1" s="1069" t="str">
        <f>"Weideblatt für das Jahr  "&amp;Betrieb!D4&amp;""</f>
        <v>Weideblatt für das Jahr  2025</v>
      </c>
      <c r="E1" s="1069"/>
      <c r="F1" s="1069"/>
      <c r="G1" s="1069"/>
      <c r="H1" s="1069"/>
      <c r="I1" s="1069"/>
      <c r="J1" s="1069"/>
      <c r="K1" s="1058"/>
      <c r="L1" s="1058"/>
      <c r="M1" s="435" t="s">
        <v>891</v>
      </c>
      <c r="N1" s="435" t="s">
        <v>867</v>
      </c>
    </row>
    <row r="2" spans="1:18" ht="30" customHeight="1">
      <c r="B2" s="1577">
        <f>Betrieb!B4</f>
        <v>0</v>
      </c>
      <c r="C2" s="1578"/>
      <c r="D2" s="1578"/>
      <c r="E2" s="1578"/>
      <c r="F2" s="1579"/>
      <c r="G2" s="3004" t="s">
        <v>2854</v>
      </c>
      <c r="H2" s="3005"/>
      <c r="I2" s="3005"/>
      <c r="J2" s="3006"/>
      <c r="M2" s="789"/>
    </row>
    <row r="3" spans="1:18" ht="30" customHeight="1">
      <c r="B3" s="1577" t="str">
        <f>IF(AND(Betrieb!B6="",Betrieb!B5=""),"",Betrieb!B6&amp;", "&amp;Betrieb!B5)</f>
        <v/>
      </c>
      <c r="C3" s="1578"/>
      <c r="D3" s="1578"/>
      <c r="E3" s="1578"/>
      <c r="F3" s="1579"/>
      <c r="G3" s="3014" t="s">
        <v>1317</v>
      </c>
      <c r="H3" s="3015"/>
      <c r="I3" s="3015">
        <f>Betrieb!B3</f>
        <v>0</v>
      </c>
      <c r="J3" s="3016"/>
      <c r="M3" s="789"/>
    </row>
    <row r="4" spans="1:18" s="2" customFormat="1" ht="38.25" customHeight="1">
      <c r="B4" s="809"/>
      <c r="C4"/>
      <c r="E4" s="911"/>
      <c r="M4" s="805"/>
    </row>
    <row r="5" spans="1:18" ht="38.25" customHeight="1">
      <c r="A5" s="1074" t="s">
        <v>1595</v>
      </c>
      <c r="B5" s="1074" t="s">
        <v>421</v>
      </c>
      <c r="C5" s="1074" t="s">
        <v>420</v>
      </c>
      <c r="D5" s="1075" t="s">
        <v>419</v>
      </c>
      <c r="E5" s="1072" t="s">
        <v>1354</v>
      </c>
      <c r="F5" s="1074" t="s">
        <v>418</v>
      </c>
      <c r="G5" s="1072" t="s">
        <v>417</v>
      </c>
      <c r="H5" s="1074" t="s">
        <v>416</v>
      </c>
      <c r="I5" s="1074" t="s">
        <v>415</v>
      </c>
      <c r="J5" s="1074" t="s">
        <v>414</v>
      </c>
      <c r="K5" s="1074" t="s">
        <v>2930</v>
      </c>
      <c r="L5" s="1074" t="s">
        <v>2931</v>
      </c>
      <c r="M5" s="789"/>
      <c r="O5" s="1074" t="s">
        <v>1601</v>
      </c>
      <c r="P5" s="1074" t="s">
        <v>1599</v>
      </c>
      <c r="Q5" s="1074" t="s">
        <v>1600</v>
      </c>
      <c r="R5" s="1074" t="s">
        <v>1598</v>
      </c>
    </row>
    <row r="6" spans="1:18" ht="26.25" customHeight="1">
      <c r="A6" s="2301"/>
      <c r="B6" s="801"/>
      <c r="C6" s="800"/>
      <c r="D6" s="804"/>
      <c r="E6" s="1076">
        <f>IF(O6=1,0,O6)</f>
        <v>0</v>
      </c>
      <c r="F6" s="804"/>
      <c r="G6" s="804"/>
      <c r="H6" s="804"/>
      <c r="I6" s="2290"/>
      <c r="J6" s="2290"/>
      <c r="K6" s="803"/>
      <c r="L6" s="802"/>
      <c r="M6" s="789"/>
      <c r="O6">
        <f>IF(A6=$R$7,Q6,P6)</f>
        <v>1</v>
      </c>
      <c r="P6" s="1576">
        <f t="shared" ref="P6:P15" si="0">(C6-B6)+1</f>
        <v>1</v>
      </c>
      <c r="Q6" s="1576">
        <f t="shared" ref="Q6:Q15" si="1">C6-B6</f>
        <v>0</v>
      </c>
      <c r="R6" s="1575"/>
    </row>
    <row r="7" spans="1:18" ht="26.25" customHeight="1">
      <c r="A7" s="2301"/>
      <c r="B7" s="801"/>
      <c r="C7" s="800"/>
      <c r="D7" s="785"/>
      <c r="E7" s="1076">
        <f t="shared" ref="E7:E15" si="2">IF(O7=1,0,O7)</f>
        <v>0</v>
      </c>
      <c r="F7" s="785"/>
      <c r="G7" s="785"/>
      <c r="H7" s="785"/>
      <c r="I7" s="2291"/>
      <c r="J7" s="2291"/>
      <c r="K7" s="799"/>
      <c r="L7" s="798"/>
      <c r="M7" s="789"/>
      <c r="O7">
        <f t="shared" ref="O7:O15" si="3">IF(A7=$R$7,Q7,P7)</f>
        <v>1</v>
      </c>
      <c r="P7" s="931">
        <f t="shared" si="0"/>
        <v>1</v>
      </c>
      <c r="Q7" s="931">
        <f t="shared" si="1"/>
        <v>0</v>
      </c>
      <c r="R7" s="1575" t="s">
        <v>1596</v>
      </c>
    </row>
    <row r="8" spans="1:18" ht="26.25" customHeight="1">
      <c r="A8" s="2301"/>
      <c r="B8" s="801"/>
      <c r="C8" s="800"/>
      <c r="D8" s="785"/>
      <c r="E8" s="1076">
        <f t="shared" si="2"/>
        <v>0</v>
      </c>
      <c r="F8" s="785"/>
      <c r="G8" s="785"/>
      <c r="H8" s="785"/>
      <c r="I8" s="2291"/>
      <c r="J8" s="2291"/>
      <c r="K8" s="799"/>
      <c r="L8" s="798"/>
      <c r="M8" s="789"/>
      <c r="O8">
        <f t="shared" si="3"/>
        <v>1</v>
      </c>
      <c r="P8" s="931">
        <f t="shared" si="0"/>
        <v>1</v>
      </c>
      <c r="Q8" s="931">
        <f t="shared" si="1"/>
        <v>0</v>
      </c>
      <c r="R8" s="1576" t="s">
        <v>1597</v>
      </c>
    </row>
    <row r="9" spans="1:18" ht="26.25" customHeight="1">
      <c r="A9" s="2301"/>
      <c r="B9" s="801"/>
      <c r="C9" s="800"/>
      <c r="D9" s="785"/>
      <c r="E9" s="1076">
        <f t="shared" si="2"/>
        <v>0</v>
      </c>
      <c r="F9" s="785"/>
      <c r="G9" s="785"/>
      <c r="H9" s="785"/>
      <c r="I9" s="2291"/>
      <c r="J9" s="2291"/>
      <c r="K9" s="799"/>
      <c r="L9" s="798"/>
      <c r="M9" s="789"/>
      <c r="O9">
        <f t="shared" si="3"/>
        <v>1</v>
      </c>
      <c r="P9" s="931">
        <f t="shared" si="0"/>
        <v>1</v>
      </c>
      <c r="Q9" s="931">
        <f t="shared" si="1"/>
        <v>0</v>
      </c>
    </row>
    <row r="10" spans="1:18" ht="26.25" customHeight="1">
      <c r="A10" s="2301"/>
      <c r="B10" s="801"/>
      <c r="C10" s="800"/>
      <c r="D10" s="785"/>
      <c r="E10" s="1076">
        <f t="shared" si="2"/>
        <v>0</v>
      </c>
      <c r="F10" s="785"/>
      <c r="G10" s="785"/>
      <c r="H10" s="785"/>
      <c r="I10" s="2291"/>
      <c r="J10" s="2291"/>
      <c r="K10" s="799"/>
      <c r="L10" s="798"/>
      <c r="M10" s="789"/>
      <c r="O10">
        <f t="shared" si="3"/>
        <v>1</v>
      </c>
      <c r="P10" s="931">
        <f t="shared" si="0"/>
        <v>1</v>
      </c>
      <c r="Q10" s="931">
        <f t="shared" si="1"/>
        <v>0</v>
      </c>
    </row>
    <row r="11" spans="1:18" ht="26.25" customHeight="1">
      <c r="A11" s="2301"/>
      <c r="B11" s="801"/>
      <c r="C11" s="800"/>
      <c r="D11" s="785"/>
      <c r="E11" s="1076">
        <f t="shared" si="2"/>
        <v>0</v>
      </c>
      <c r="F11" s="785"/>
      <c r="G11" s="785"/>
      <c r="H11" s="785"/>
      <c r="I11" s="2291"/>
      <c r="J11" s="2291"/>
      <c r="K11" s="799"/>
      <c r="L11" s="798"/>
      <c r="M11" s="789"/>
      <c r="O11">
        <f t="shared" si="3"/>
        <v>1</v>
      </c>
      <c r="P11" s="931">
        <f t="shared" si="0"/>
        <v>1</v>
      </c>
      <c r="Q11" s="931">
        <f t="shared" si="1"/>
        <v>0</v>
      </c>
    </row>
    <row r="12" spans="1:18" ht="26.25" customHeight="1">
      <c r="A12" s="2301"/>
      <c r="B12" s="801"/>
      <c r="C12" s="800"/>
      <c r="D12" s="785"/>
      <c r="E12" s="1076">
        <f t="shared" si="2"/>
        <v>0</v>
      </c>
      <c r="F12" s="785"/>
      <c r="G12" s="785"/>
      <c r="H12" s="785"/>
      <c r="I12" s="2291"/>
      <c r="J12" s="2291"/>
      <c r="K12" s="799"/>
      <c r="L12" s="798"/>
      <c r="M12" s="789"/>
      <c r="O12">
        <f t="shared" si="3"/>
        <v>1</v>
      </c>
      <c r="P12" s="931">
        <f t="shared" si="0"/>
        <v>1</v>
      </c>
      <c r="Q12" s="931">
        <f t="shared" si="1"/>
        <v>0</v>
      </c>
    </row>
    <row r="13" spans="1:18" ht="26.25" customHeight="1">
      <c r="A13" s="2301"/>
      <c r="B13" s="801"/>
      <c r="C13" s="800"/>
      <c r="D13" s="785"/>
      <c r="E13" s="1076">
        <f t="shared" si="2"/>
        <v>0</v>
      </c>
      <c r="F13" s="785"/>
      <c r="G13" s="785"/>
      <c r="H13" s="785"/>
      <c r="I13" s="2291"/>
      <c r="J13" s="2291"/>
      <c r="K13" s="799"/>
      <c r="L13" s="798"/>
      <c r="M13" s="789"/>
      <c r="O13">
        <f t="shared" si="3"/>
        <v>1</v>
      </c>
      <c r="P13" s="931">
        <f t="shared" si="0"/>
        <v>1</v>
      </c>
      <c r="Q13" s="931">
        <f t="shared" si="1"/>
        <v>0</v>
      </c>
    </row>
    <row r="14" spans="1:18" ht="26.25" customHeight="1">
      <c r="A14" s="2301"/>
      <c r="B14" s="801"/>
      <c r="C14" s="800"/>
      <c r="D14" s="785"/>
      <c r="E14" s="1076">
        <f t="shared" si="2"/>
        <v>0</v>
      </c>
      <c r="F14" s="785"/>
      <c r="G14" s="785"/>
      <c r="H14" s="785"/>
      <c r="I14" s="2291"/>
      <c r="J14" s="2291"/>
      <c r="K14" s="799"/>
      <c r="L14" s="798"/>
      <c r="M14" s="789"/>
      <c r="O14">
        <f t="shared" si="3"/>
        <v>1</v>
      </c>
      <c r="P14" s="931">
        <f t="shared" si="0"/>
        <v>1</v>
      </c>
      <c r="Q14" s="931">
        <f t="shared" si="1"/>
        <v>0</v>
      </c>
    </row>
    <row r="15" spans="1:18" ht="26.25" customHeight="1">
      <c r="A15" s="2301"/>
      <c r="B15" s="797"/>
      <c r="C15" s="796"/>
      <c r="D15" s="795"/>
      <c r="E15" s="1076">
        <f t="shared" si="2"/>
        <v>0</v>
      </c>
      <c r="F15" s="795"/>
      <c r="G15" s="795"/>
      <c r="H15" s="795"/>
      <c r="I15" s="2292"/>
      <c r="J15" s="2292"/>
      <c r="K15" s="794"/>
      <c r="L15" s="793"/>
      <c r="M15" s="789"/>
      <c r="O15">
        <f t="shared" si="3"/>
        <v>1</v>
      </c>
      <c r="P15" s="931">
        <f t="shared" si="0"/>
        <v>1</v>
      </c>
      <c r="Q15" s="931">
        <f t="shared" si="1"/>
        <v>0</v>
      </c>
    </row>
    <row r="16" spans="1:18" ht="30.75" customHeight="1">
      <c r="B16" s="809" t="s">
        <v>413</v>
      </c>
      <c r="M16" s="789"/>
    </row>
    <row r="17" spans="2:13" ht="20.25" customHeight="1">
      <c r="B17" s="3013" t="s">
        <v>1301</v>
      </c>
      <c r="C17" s="3013"/>
      <c r="D17" s="792" t="s">
        <v>412</v>
      </c>
      <c r="E17" s="791"/>
      <c r="F17" s="791"/>
      <c r="G17" s="791"/>
      <c r="H17" s="791"/>
      <c r="I17" s="2293"/>
      <c r="J17" s="2293"/>
      <c r="K17" s="791"/>
      <c r="L17" s="790"/>
      <c r="M17" s="789"/>
    </row>
    <row r="18" spans="2:13" ht="22.5" customHeight="1">
      <c r="B18" s="3007"/>
      <c r="C18" s="3008"/>
      <c r="D18" s="3009"/>
      <c r="E18" s="3010"/>
      <c r="F18" s="3010"/>
      <c r="G18" s="3010"/>
      <c r="H18" s="3010"/>
      <c r="I18" s="3011"/>
      <c r="J18" s="3011"/>
      <c r="K18" s="3010"/>
      <c r="L18" s="3012"/>
      <c r="M18" s="789"/>
    </row>
    <row r="19" spans="2:13" ht="22.5" customHeight="1">
      <c r="B19" s="3007"/>
      <c r="C19" s="3008"/>
      <c r="D19" s="3009"/>
      <c r="E19" s="3010"/>
      <c r="F19" s="3010"/>
      <c r="G19" s="3010"/>
      <c r="H19" s="3010"/>
      <c r="I19" s="3011"/>
      <c r="J19" s="3011"/>
      <c r="K19" s="3010"/>
      <c r="L19" s="3012"/>
    </row>
    <row r="20" spans="2:13" ht="22.5" customHeight="1">
      <c r="B20" s="3007"/>
      <c r="C20" s="3008"/>
      <c r="D20" s="3009"/>
      <c r="E20" s="3010"/>
      <c r="F20" s="3010"/>
      <c r="G20" s="3010"/>
      <c r="H20" s="3010"/>
      <c r="I20" s="3011"/>
      <c r="J20" s="3011"/>
      <c r="K20" s="3010"/>
      <c r="L20" s="3012"/>
    </row>
    <row r="21" spans="2:13" ht="22.5" customHeight="1">
      <c r="B21" s="3007"/>
      <c r="C21" s="3008"/>
      <c r="D21" s="3009"/>
      <c r="E21" s="3010"/>
      <c r="F21" s="3010"/>
      <c r="G21" s="3010"/>
      <c r="H21" s="3010"/>
      <c r="I21" s="3011"/>
      <c r="J21" s="3011"/>
      <c r="K21" s="3010"/>
      <c r="L21" s="3012"/>
    </row>
    <row r="22" spans="2:13" ht="30" customHeight="1">
      <c r="B22" s="809" t="s">
        <v>411</v>
      </c>
    </row>
    <row r="23" spans="2:13" ht="15" customHeight="1">
      <c r="B23" s="767" t="s">
        <v>410</v>
      </c>
    </row>
    <row r="24" spans="2:13" ht="15" customHeight="1">
      <c r="B24" s="767" t="s">
        <v>409</v>
      </c>
    </row>
    <row r="25" spans="2:13" ht="22.5" customHeight="1">
      <c r="B25" s="788"/>
      <c r="C25" s="787"/>
      <c r="D25" s="787"/>
      <c r="E25" s="787"/>
      <c r="F25" s="787"/>
      <c r="G25" s="787"/>
      <c r="H25" s="787"/>
      <c r="I25" s="2294"/>
      <c r="J25" s="2294"/>
      <c r="K25" s="787"/>
      <c r="L25" s="786"/>
    </row>
    <row r="26" spans="2:13" ht="22.5" customHeight="1">
      <c r="B26" s="788"/>
      <c r="C26" s="787"/>
      <c r="D26" s="787"/>
      <c r="E26" s="787"/>
      <c r="F26" s="787"/>
      <c r="G26" s="787"/>
      <c r="H26" s="787"/>
      <c r="I26" s="2294"/>
      <c r="J26" s="2294"/>
      <c r="K26" s="787"/>
      <c r="L26" s="786"/>
    </row>
    <row r="27" spans="2:13" ht="22.5" customHeight="1">
      <c r="B27" s="788"/>
      <c r="C27" s="787"/>
      <c r="D27" s="787"/>
      <c r="E27" s="787"/>
      <c r="F27" s="787"/>
      <c r="G27" s="787"/>
      <c r="H27" s="787"/>
      <c r="I27" s="2294"/>
      <c r="J27" s="2294"/>
      <c r="K27" s="787"/>
      <c r="L27" s="786"/>
    </row>
    <row r="28" spans="2:13" ht="22.5" customHeight="1">
      <c r="B28" s="788"/>
      <c r="C28" s="787"/>
      <c r="D28" s="787"/>
      <c r="E28" s="787"/>
      <c r="F28" s="787"/>
      <c r="G28" s="787"/>
      <c r="H28" s="787"/>
      <c r="I28" s="2294"/>
      <c r="J28" s="2294"/>
      <c r="K28" s="787"/>
      <c r="L28" s="786"/>
    </row>
    <row r="29" spans="2:13" ht="22.5" customHeight="1">
      <c r="B29" s="788"/>
      <c r="C29" s="787"/>
      <c r="D29" s="787"/>
      <c r="E29" s="787"/>
      <c r="F29" s="787"/>
      <c r="G29" s="787"/>
      <c r="H29" s="787"/>
      <c r="I29" s="2294"/>
      <c r="J29" s="2294"/>
      <c r="K29" s="787"/>
      <c r="L29" s="786"/>
    </row>
    <row r="30" spans="2:13" ht="22.5" customHeight="1">
      <c r="B30" s="788"/>
      <c r="C30" s="787"/>
      <c r="D30" s="787"/>
      <c r="E30" s="787"/>
      <c r="F30" s="787"/>
      <c r="G30" s="787"/>
      <c r="H30" s="787"/>
      <c r="I30" s="2294"/>
      <c r="J30" s="2294"/>
      <c r="K30" s="787"/>
      <c r="L30" s="786"/>
    </row>
    <row r="31" spans="2:13" ht="22.5" customHeight="1">
      <c r="B31" s="788"/>
      <c r="C31" s="787"/>
      <c r="D31" s="787"/>
      <c r="E31" s="787"/>
      <c r="F31" s="787"/>
      <c r="G31" s="787"/>
      <c r="H31" s="787"/>
      <c r="I31" s="2294"/>
      <c r="J31" s="2294"/>
      <c r="K31" s="787"/>
      <c r="L31" s="786"/>
    </row>
    <row r="32" spans="2:13">
      <c r="B32" s="154"/>
      <c r="C32" s="154"/>
      <c r="D32" s="154"/>
      <c r="E32" s="154"/>
      <c r="F32" s="154"/>
      <c r="G32" s="154"/>
      <c r="H32" s="154"/>
      <c r="I32" s="154"/>
      <c r="J32" s="154"/>
      <c r="K32" s="154"/>
      <c r="L32" s="154"/>
    </row>
    <row r="33" spans="2:12">
      <c r="B33" s="154"/>
      <c r="C33" s="154"/>
      <c r="D33" s="154"/>
      <c r="E33" s="154"/>
      <c r="F33" s="154"/>
      <c r="G33" s="154"/>
      <c r="H33" s="154"/>
      <c r="I33" s="154"/>
      <c r="J33" s="154"/>
      <c r="K33" s="154"/>
      <c r="L33" s="154"/>
    </row>
    <row r="34" spans="2:12">
      <c r="B34" s="154"/>
      <c r="C34" s="154"/>
      <c r="D34" s="154"/>
      <c r="E34" s="154"/>
      <c r="F34" s="154"/>
      <c r="G34" s="154"/>
      <c r="H34" s="154"/>
      <c r="I34" s="154"/>
      <c r="J34" s="154"/>
      <c r="K34" s="154"/>
      <c r="L34" s="154"/>
    </row>
    <row r="35" spans="2:12">
      <c r="B35" s="154"/>
      <c r="C35" s="154"/>
      <c r="D35" s="154"/>
      <c r="E35" s="154"/>
      <c r="F35" s="154"/>
      <c r="G35" s="154"/>
      <c r="H35" s="154"/>
      <c r="I35" s="154"/>
      <c r="J35" s="154"/>
      <c r="K35" s="154"/>
      <c r="L35" s="154"/>
    </row>
    <row r="36" spans="2:12">
      <c r="B36" s="154"/>
      <c r="C36" s="154"/>
      <c r="D36" s="154"/>
      <c r="E36" s="154"/>
      <c r="F36" s="154"/>
      <c r="G36" s="154"/>
      <c r="H36" s="154"/>
      <c r="I36" s="154"/>
      <c r="J36" s="154"/>
      <c r="K36" s="154"/>
      <c r="L36" s="154"/>
    </row>
    <row r="37" spans="2:12">
      <c r="B37" s="154"/>
      <c r="C37" s="154"/>
      <c r="D37" s="154"/>
      <c r="E37" s="154"/>
      <c r="F37" s="154"/>
      <c r="G37" s="154"/>
      <c r="H37" s="154"/>
      <c r="I37" s="154"/>
      <c r="J37" s="154"/>
      <c r="K37" s="154"/>
      <c r="L37" s="154"/>
    </row>
    <row r="38" spans="2:12">
      <c r="B38" s="154"/>
      <c r="C38" s="154"/>
      <c r="D38" s="154"/>
      <c r="E38" s="154"/>
      <c r="F38" s="154"/>
      <c r="G38" s="154"/>
      <c r="H38" s="154"/>
      <c r="I38" s="154"/>
      <c r="J38" s="154"/>
      <c r="K38" s="154"/>
      <c r="L38" s="154"/>
    </row>
    <row r="39" spans="2:12">
      <c r="B39" s="154"/>
      <c r="C39" s="154"/>
      <c r="D39" s="154"/>
      <c r="E39" s="154"/>
      <c r="F39" s="154"/>
      <c r="G39" s="154"/>
      <c r="H39" s="154"/>
      <c r="I39" s="154"/>
      <c r="J39" s="154"/>
      <c r="K39" s="154"/>
      <c r="L39" s="154"/>
    </row>
    <row r="40" spans="2:12">
      <c r="B40" s="154"/>
      <c r="C40" s="154"/>
      <c r="D40" s="154"/>
      <c r="E40" s="154"/>
      <c r="F40" s="154"/>
      <c r="G40" s="154"/>
      <c r="H40" s="154"/>
      <c r="I40" s="154"/>
      <c r="J40" s="154"/>
      <c r="K40" s="154"/>
      <c r="L40" s="154"/>
    </row>
    <row r="41" spans="2:12">
      <c r="B41" s="154"/>
      <c r="C41" s="154"/>
      <c r="D41" s="154"/>
      <c r="E41" s="154"/>
      <c r="F41" s="154"/>
      <c r="G41" s="154"/>
      <c r="H41" s="154"/>
      <c r="I41" s="154"/>
      <c r="J41" s="154"/>
      <c r="K41" s="154"/>
      <c r="L41" s="154"/>
    </row>
    <row r="42" spans="2:12">
      <c r="B42" s="154"/>
      <c r="C42" s="154"/>
      <c r="D42" s="154"/>
      <c r="E42" s="154"/>
      <c r="F42" s="154"/>
      <c r="G42" s="154"/>
      <c r="H42" s="154"/>
      <c r="I42" s="154"/>
      <c r="J42" s="154"/>
      <c r="K42" s="154"/>
      <c r="L42" s="154"/>
    </row>
    <row r="43" spans="2:12">
      <c r="B43" s="154"/>
      <c r="C43" s="154"/>
      <c r="D43" s="154"/>
      <c r="E43" s="154"/>
      <c r="F43" s="154"/>
      <c r="G43" s="154"/>
      <c r="H43" s="154"/>
      <c r="I43" s="154"/>
      <c r="J43" s="154"/>
      <c r="K43" s="154"/>
      <c r="L43" s="154"/>
    </row>
    <row r="44" spans="2:12">
      <c r="B44" s="154"/>
      <c r="C44" s="154"/>
      <c r="D44" s="154"/>
      <c r="E44" s="154"/>
      <c r="F44" s="154"/>
      <c r="G44" s="154"/>
      <c r="H44" s="154"/>
      <c r="I44" s="154"/>
      <c r="J44" s="154"/>
      <c r="K44" s="154"/>
      <c r="L44" s="154"/>
    </row>
    <row r="45" spans="2:12">
      <c r="B45" s="154"/>
      <c r="C45" s="154"/>
      <c r="D45" s="154"/>
      <c r="E45" s="154"/>
      <c r="F45" s="154"/>
      <c r="G45" s="154"/>
      <c r="H45" s="154"/>
      <c r="I45" s="154"/>
      <c r="J45" s="154"/>
      <c r="K45" s="154"/>
      <c r="L45" s="154"/>
    </row>
    <row r="46" spans="2:12">
      <c r="B46" s="154"/>
      <c r="C46" s="154"/>
      <c r="D46" s="154"/>
      <c r="E46" s="154"/>
      <c r="F46" s="154"/>
      <c r="G46" s="154"/>
      <c r="H46" s="154"/>
      <c r="I46" s="154"/>
      <c r="J46" s="154"/>
      <c r="K46" s="154"/>
      <c r="L46" s="154"/>
    </row>
    <row r="47" spans="2:12">
      <c r="B47" s="154"/>
      <c r="C47" s="154"/>
      <c r="D47" s="154"/>
      <c r="E47" s="154"/>
      <c r="F47" s="154"/>
      <c r="G47" s="154"/>
      <c r="H47" s="154"/>
      <c r="I47" s="154"/>
      <c r="J47" s="154"/>
      <c r="K47" s="154"/>
      <c r="L47" s="154"/>
    </row>
    <row r="48" spans="2:12">
      <c r="B48" s="154"/>
      <c r="C48" s="154"/>
      <c r="D48" s="154"/>
      <c r="E48" s="154"/>
      <c r="F48" s="154"/>
      <c r="G48" s="154"/>
      <c r="H48" s="154"/>
      <c r="I48" s="154"/>
      <c r="J48" s="154"/>
      <c r="K48" s="154"/>
      <c r="L48" s="154"/>
    </row>
    <row r="49" spans="2:12">
      <c r="B49" s="154"/>
      <c r="C49" s="154"/>
      <c r="D49" s="154"/>
      <c r="E49" s="154"/>
      <c r="F49" s="154"/>
      <c r="G49" s="154"/>
      <c r="H49" s="154"/>
      <c r="I49" s="154"/>
      <c r="J49" s="154"/>
      <c r="K49" s="154"/>
      <c r="L49" s="154"/>
    </row>
    <row r="50" spans="2:12">
      <c r="B50" s="154"/>
      <c r="C50" s="154"/>
      <c r="D50" s="154"/>
      <c r="E50" s="154"/>
      <c r="F50" s="154"/>
      <c r="G50" s="154"/>
      <c r="H50" s="154"/>
      <c r="I50" s="154"/>
      <c r="J50" s="154"/>
      <c r="K50" s="154"/>
      <c r="L50" s="154"/>
    </row>
    <row r="51" spans="2:12">
      <c r="B51" s="154"/>
      <c r="C51" s="154"/>
      <c r="D51" s="154"/>
      <c r="E51" s="154"/>
      <c r="F51" s="154"/>
      <c r="G51" s="154"/>
      <c r="H51" s="154"/>
      <c r="I51" s="154"/>
      <c r="J51" s="154"/>
      <c r="K51" s="154"/>
      <c r="L51" s="154"/>
    </row>
    <row r="52" spans="2:12">
      <c r="B52" s="154"/>
      <c r="C52" s="154"/>
      <c r="D52" s="154"/>
      <c r="E52" s="154"/>
      <c r="F52" s="154"/>
      <c r="G52" s="154"/>
      <c r="H52" s="154"/>
      <c r="I52" s="154"/>
      <c r="J52" s="154"/>
      <c r="K52" s="154"/>
      <c r="L52" s="154"/>
    </row>
    <row r="53" spans="2:12">
      <c r="B53" s="154"/>
      <c r="C53" s="154"/>
      <c r="D53" s="154"/>
      <c r="E53" s="154"/>
      <c r="F53" s="154"/>
      <c r="G53" s="154"/>
      <c r="H53" s="154"/>
      <c r="I53" s="154"/>
      <c r="J53" s="154"/>
      <c r="K53" s="154"/>
      <c r="L53" s="154"/>
    </row>
    <row r="54" spans="2:12">
      <c r="B54" s="154"/>
      <c r="C54" s="154"/>
      <c r="D54" s="154"/>
      <c r="E54" s="154"/>
      <c r="F54" s="154"/>
      <c r="G54" s="154"/>
      <c r="H54" s="154"/>
      <c r="I54" s="154"/>
      <c r="J54" s="154"/>
      <c r="K54" s="154"/>
      <c r="L54" s="154"/>
    </row>
    <row r="55" spans="2:12">
      <c r="B55" s="154"/>
      <c r="C55" s="154"/>
      <c r="D55" s="154"/>
      <c r="E55" s="154"/>
      <c r="F55" s="154"/>
      <c r="G55" s="154"/>
      <c r="H55" s="154"/>
      <c r="I55" s="154"/>
      <c r="J55" s="154"/>
      <c r="K55" s="154"/>
      <c r="L55" s="154"/>
    </row>
    <row r="56" spans="2:12">
      <c r="B56" s="154"/>
      <c r="C56" s="154"/>
      <c r="D56" s="154"/>
      <c r="E56" s="154"/>
      <c r="F56" s="154"/>
      <c r="G56" s="154"/>
      <c r="H56" s="154"/>
      <c r="I56" s="154"/>
      <c r="J56" s="154"/>
      <c r="K56" s="154"/>
      <c r="L56" s="154"/>
    </row>
    <row r="57" spans="2:12">
      <c r="B57" s="154"/>
      <c r="C57" s="154"/>
      <c r="D57" s="154"/>
      <c r="E57" s="154"/>
      <c r="F57" s="154"/>
      <c r="G57" s="154"/>
      <c r="H57" s="154"/>
      <c r="I57" s="154"/>
      <c r="J57" s="154"/>
      <c r="K57" s="154"/>
      <c r="L57" s="154"/>
    </row>
  </sheetData>
  <sheetProtection password="CAEF" sheet="1" formatCells="0" formatColumns="0" formatRows="0"/>
  <mergeCells count="12">
    <mergeCell ref="G2:J2"/>
    <mergeCell ref="B20:C20"/>
    <mergeCell ref="B21:C21"/>
    <mergeCell ref="D18:L18"/>
    <mergeCell ref="D19:L19"/>
    <mergeCell ref="D20:L20"/>
    <mergeCell ref="D21:L21"/>
    <mergeCell ref="B17:C17"/>
    <mergeCell ref="G3:H3"/>
    <mergeCell ref="I3:J3"/>
    <mergeCell ref="B18:C18"/>
    <mergeCell ref="B19:C19"/>
  </mergeCells>
  <phoneticPr fontId="41" type="noConversion"/>
  <dataValidations count="1">
    <dataValidation type="list" allowBlank="1" showInputMessage="1" showErrorMessage="1" sqref="A6:A15" xr:uid="{00000000-0002-0000-0F00-000000000000}">
      <formula1>$R$6:$R$8</formula1>
    </dataValidation>
  </dataValidations>
  <hyperlinks>
    <hyperlink ref="N1" location="Bodennah!A1" display="  ►" xr:uid="{00000000-0004-0000-0F00-000000000000}"/>
    <hyperlink ref="M1" location="Schw_Geflügel!A1" display="◄" xr:uid="{00000000-0004-0000-0F00-000001000000}"/>
  </hyperlinks>
  <pageMargins left="0.47244094488188981" right="0.47244094488188981" top="0.70866141732283472" bottom="0.51181102362204722" header="0.51181102362204722" footer="0.51181102362204722"/>
  <pageSetup paperSize="9" scale="71" firstPageNumber="0" orientation="portrait" blackAndWhite="1"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9" tint="0.39997558519241921"/>
    <pageSetUpPr fitToPage="1"/>
  </sheetPr>
  <dimension ref="A1:AA63"/>
  <sheetViews>
    <sheetView showZeros="0" zoomScale="85" zoomScaleNormal="85" workbookViewId="0">
      <selection activeCell="A9" sqref="A9"/>
    </sheetView>
  </sheetViews>
  <sheetFormatPr baseColWidth="10" defaultColWidth="12.28515625" defaultRowHeight="12.75"/>
  <cols>
    <col min="1" max="1" width="15" customWidth="1"/>
    <col min="2" max="2" width="31" customWidth="1"/>
    <col min="3" max="3" width="16" customWidth="1"/>
    <col min="4" max="5" width="26.140625" customWidth="1"/>
    <col min="6" max="6" width="15.42578125" customWidth="1"/>
    <col min="7" max="7" width="12.140625" customWidth="1"/>
    <col min="8" max="8" width="13.42578125" customWidth="1"/>
    <col min="9" max="9" width="7.42578125" customWidth="1"/>
    <col min="10" max="10" width="8" customWidth="1"/>
    <col min="11" max="11" width="15.140625" customWidth="1"/>
    <col min="12" max="12" width="4.85546875" customWidth="1"/>
    <col min="15" max="15" width="19.85546875" customWidth="1"/>
    <col min="17" max="17" width="18" customWidth="1"/>
    <col min="21" max="21" width="25.140625" bestFit="1" customWidth="1"/>
    <col min="22" max="22" width="22" hidden="1" customWidth="1"/>
    <col min="23" max="23" width="36.5703125" hidden="1" customWidth="1"/>
    <col min="24" max="24" width="15.140625" hidden="1" customWidth="1"/>
    <col min="25" max="25" width="12.28515625" hidden="1" customWidth="1"/>
    <col min="26" max="26" width="28.28515625" hidden="1" customWidth="1"/>
    <col min="27" max="27" width="12.28515625" hidden="1" customWidth="1"/>
  </cols>
  <sheetData>
    <row r="1" spans="1:27" ht="33" customHeight="1" thickBot="1">
      <c r="A1" s="1070" t="s">
        <v>403</v>
      </c>
      <c r="B1" s="1070"/>
      <c r="C1" s="1070"/>
      <c r="D1" s="1070"/>
      <c r="E1" s="1070"/>
      <c r="F1" s="1070"/>
      <c r="G1" s="1070"/>
      <c r="H1" s="1070"/>
      <c r="I1" s="1070"/>
      <c r="J1" s="1070"/>
      <c r="K1" s="1070"/>
      <c r="M1" s="2260" t="s">
        <v>891</v>
      </c>
      <c r="N1" s="2275" t="s">
        <v>867</v>
      </c>
      <c r="V1" s="1607" t="s">
        <v>2902</v>
      </c>
      <c r="W1" s="1607" t="s">
        <v>2903</v>
      </c>
      <c r="X1" t="s">
        <v>405</v>
      </c>
      <c r="Y1">
        <f>IF($D2=2023,$Y$2,IF($D2=2024,$Y$3+1,IF($D2=2025,$Y$4,IF($D2=2026,$Y$5,IF($D2=2027,$Y$6,IF($D2=2028,$Y$7+1,0))))))</f>
        <v>45658</v>
      </c>
      <c r="Z1" s="2315" t="s">
        <v>2936</v>
      </c>
      <c r="AA1" s="2316">
        <f ca="1">IF(SUMIF($F$9:$H$62,"Schleppschlauch",$K$9:$K$62)=0,0,SUMIF($F$9:$H$62,"Schleppschlauch",$K$9:$K$62))</f>
        <v>0</v>
      </c>
    </row>
    <row r="2" spans="1:27" ht="21.75" customHeight="1" thickBot="1">
      <c r="A2" s="2283" t="s">
        <v>2928</v>
      </c>
      <c r="B2" s="2288">
        <f>Betrieb!B4</f>
        <v>0</v>
      </c>
      <c r="C2" s="2282" t="s">
        <v>424</v>
      </c>
      <c r="D2" s="2286">
        <f>Betrieb!D4</f>
        <v>2025</v>
      </c>
      <c r="E2" s="3060" t="str">
        <f>"Aufzeichnungsjahr "&amp;D2</f>
        <v>Aufzeichnungsjahr 2025</v>
      </c>
      <c r="F2" s="3061"/>
      <c r="G2" s="3062"/>
      <c r="V2" s="1608" t="str">
        <f>IF(Hofdung!$C13&gt;0,Hofdung!$B13,"")</f>
        <v/>
      </c>
      <c r="W2" s="1608" t="str">
        <f>IF(Organ__Dü!$C4&gt;0,Organ__Dü!$B4,"")</f>
        <v/>
      </c>
      <c r="X2" t="s">
        <v>2826</v>
      </c>
      <c r="Y2" s="2262">
        <v>44927</v>
      </c>
      <c r="Z2" s="2315" t="s">
        <v>2937</v>
      </c>
      <c r="AA2" s="2316">
        <f ca="1">IF(SUMIF($F$9:$H$62,"Schleppschuh",$K$9:$K$62)=0,0,SUMIF($F$9:$H$62,"Schleppschuh",$K$9:$K$62))</f>
        <v>0</v>
      </c>
    </row>
    <row r="3" spans="1:27" ht="21.75" customHeight="1" thickBot="1">
      <c r="A3" s="2284" t="s">
        <v>2929</v>
      </c>
      <c r="B3" s="2289">
        <f>Betrieb!B5</f>
        <v>0</v>
      </c>
      <c r="C3" s="2285" t="s">
        <v>425</v>
      </c>
      <c r="D3" s="2287">
        <f>Betrieb!B3</f>
        <v>0</v>
      </c>
      <c r="E3" s="3063" t="str">
        <f>CONCATENATE("von 01. Jänner ",$D$2," bis 30. November ",$D$2)</f>
        <v>von 01. Jänner 2025 bis 30. November 2025</v>
      </c>
      <c r="F3" s="3064"/>
      <c r="G3" s="3065"/>
      <c r="V3" s="1608" t="str">
        <f>IF(Hofdung!$C14&gt;0,Hofdung!$B14,"")</f>
        <v/>
      </c>
      <c r="W3" s="1608" t="str">
        <f>IF(Organ__Dü!$C5&gt;0,Organ__Dü!$B5,"")</f>
        <v/>
      </c>
      <c r="X3" t="s">
        <v>2825</v>
      </c>
      <c r="Y3" s="2262">
        <v>45292</v>
      </c>
      <c r="Z3" s="2315" t="s">
        <v>2938</v>
      </c>
      <c r="AA3" s="2316">
        <f ca="1">IF(SUMIF($F$9:$H$62,"Gülleinjektion",$K$9:$K$62)=0,0,SUMIF($F$9:$H$62,"Gülleinjektion",$K$9:$K$62))</f>
        <v>0</v>
      </c>
    </row>
    <row r="4" spans="1:27" ht="27.2" customHeight="1" thickBot="1">
      <c r="A4" s="2253"/>
      <c r="B4" s="2253"/>
      <c r="C4" s="2253"/>
      <c r="D4" s="2253"/>
      <c r="E4" s="2253"/>
      <c r="F4" s="2253"/>
      <c r="G4" s="2253"/>
      <c r="H4" s="2253"/>
      <c r="V4" s="1608" t="str">
        <f>IF(Hofdung!$C15&gt;0,Hofdung!$B15,"")</f>
        <v/>
      </c>
      <c r="W4" s="1608" t="str">
        <f>IF(Organ__Dü!$C6&gt;0,Organ__Dü!$B6,"")</f>
        <v/>
      </c>
      <c r="X4" t="s">
        <v>2904</v>
      </c>
      <c r="Y4" s="2262">
        <v>45658</v>
      </c>
      <c r="Z4" s="3026" t="str">
        <f ca="1">IF(AND(AA1&gt;0,AA2=0,AA3=0),CONCATENATE("(davon ",AA1," ",Z1,")"),IF(AND(AA1=0,AA2&gt;0,AA3=0),CONCATENATE("(davon ",AA2," ",Z2,")"),IF(AND(AA1=0,AA2=0,AA3&gt;0),CONCATENATE("(davon ",AA3," ",Z3,")"),IF(AND(AA1&gt;0,AA2&gt;0,AA3=0),CONCATENATE("(davon ",AA1," ",Z1," und ",AA2," ",Z2,")"),IF(AND(AA1&gt;0,AA2=0,AA3&gt;0),CONCATENATE("(davon ",AA1," ",Z1," und ",AA3," ",Z3,")"),IF(AND(AA1=0,AA2&gt;0,AA3&gt;0),CONCATENATE("(davon ",AA2," ",Z2," und ",AA3," ",Z3,")"),IF(AND(AA1&gt;0,AA2&gt;0,AA3&gt;0),CONCATENATE("(davon ",AA1," ",Z1,", ",AA2," ",Z2," und ",AA3," ",Z3,")"),"")))))))</f>
        <v/>
      </c>
      <c r="AA4" s="3027"/>
    </row>
    <row r="5" spans="1:27" ht="57" customHeight="1" thickBot="1">
      <c r="A5" s="3045" t="str">
        <f ca="1">CONCATENATE("Summe bodennah ausgebrachte Dünger: ",ROUND(SUM($K$9:$K$62),2)," Kubikmeter
",Z4)</f>
        <v xml:space="preserve">Summe bodennah ausgebrachte Dünger: 0 Kubikmeter
</v>
      </c>
      <c r="B5" s="3046"/>
      <c r="C5" s="3046"/>
      <c r="D5" s="3046"/>
      <c r="E5" s="3046"/>
      <c r="F5" s="3046"/>
      <c r="G5" s="3046"/>
      <c r="H5" s="3046"/>
      <c r="I5" s="3046"/>
      <c r="J5" s="3046"/>
      <c r="K5" s="3047"/>
      <c r="M5" s="3039" t="s">
        <v>2906</v>
      </c>
      <c r="N5" s="3040"/>
      <c r="O5" s="3040"/>
      <c r="P5" s="3040"/>
      <c r="Q5" s="3041"/>
      <c r="V5" s="1608" t="str">
        <f>IF(Hofdung!$C16&gt;0,Hofdung!$B16,"")</f>
        <v/>
      </c>
      <c r="W5" s="1608" t="str">
        <f>IF(Organ__Dü!$C7&gt;0,Organ__Dü!$B7,"")</f>
        <v/>
      </c>
      <c r="Y5" s="2262">
        <v>46023</v>
      </c>
      <c r="Z5" s="3028"/>
      <c r="AA5" s="3029"/>
    </row>
    <row r="6" spans="1:27" ht="21.75" customHeight="1">
      <c r="A6" s="3030" t="s">
        <v>2922</v>
      </c>
      <c r="B6" s="3030" t="s">
        <v>2923</v>
      </c>
      <c r="C6" s="3032" t="s">
        <v>1355</v>
      </c>
      <c r="D6" s="3034" t="s">
        <v>2925</v>
      </c>
      <c r="E6" s="3035"/>
      <c r="F6" s="3052" t="s">
        <v>2913</v>
      </c>
      <c r="G6" s="3053"/>
      <c r="H6" s="3054"/>
      <c r="I6" s="3057" t="s">
        <v>895</v>
      </c>
      <c r="J6" s="3030" t="s">
        <v>406</v>
      </c>
      <c r="K6" s="3030" t="s">
        <v>2912</v>
      </c>
      <c r="M6" s="3042"/>
      <c r="N6" s="3043"/>
      <c r="O6" s="3043"/>
      <c r="P6" s="3043"/>
      <c r="Q6" s="3044"/>
      <c r="V6" s="1608" t="str">
        <f>IF(Hofdung!$C17&gt;0,Hofdung!$B17,"")</f>
        <v/>
      </c>
      <c r="Y6" s="2262">
        <v>46388</v>
      </c>
    </row>
    <row r="7" spans="1:27" ht="46.5" customHeight="1">
      <c r="A7" s="3031"/>
      <c r="B7" s="3031"/>
      <c r="C7" s="3033"/>
      <c r="D7" s="1072" t="s">
        <v>2924</v>
      </c>
      <c r="E7" s="1073" t="s">
        <v>2926</v>
      </c>
      <c r="F7" s="3055"/>
      <c r="G7" s="3056"/>
      <c r="H7" s="3057"/>
      <c r="I7" s="3051"/>
      <c r="J7" s="3051"/>
      <c r="K7" s="3051"/>
      <c r="M7" s="3017" t="s">
        <v>2942</v>
      </c>
      <c r="N7" s="3018"/>
      <c r="O7" s="3018"/>
      <c r="P7" s="3018"/>
      <c r="Q7" s="3019"/>
      <c r="V7" s="1608" t="str">
        <f>IF(Hofdung!$C18&gt;0,Hofdung!$B18,"")</f>
        <v/>
      </c>
      <c r="Y7" s="2262">
        <v>46753</v>
      </c>
    </row>
    <row r="8" spans="1:27" ht="25.5" customHeight="1">
      <c r="A8" s="906">
        <v>45047</v>
      </c>
      <c r="B8" s="2261" t="s">
        <v>2914</v>
      </c>
      <c r="C8" s="907" t="s">
        <v>407</v>
      </c>
      <c r="D8" s="3058" t="s">
        <v>2905</v>
      </c>
      <c r="E8" s="3059"/>
      <c r="F8" s="3048" t="s">
        <v>2826</v>
      </c>
      <c r="G8" s="3049"/>
      <c r="H8" s="3050"/>
      <c r="I8" s="908">
        <v>3</v>
      </c>
      <c r="J8" s="909">
        <v>15</v>
      </c>
      <c r="K8" s="910">
        <v>45</v>
      </c>
      <c r="M8" s="3020"/>
      <c r="N8" s="3021"/>
      <c r="O8" s="3021"/>
      <c r="P8" s="3021"/>
      <c r="Q8" s="3022"/>
    </row>
    <row r="9" spans="1:27" ht="33" customHeight="1">
      <c r="A9" s="784"/>
      <c r="B9" s="2255"/>
      <c r="C9" s="2256"/>
      <c r="D9" s="2257"/>
      <c r="E9" s="2257"/>
      <c r="F9" s="3036"/>
      <c r="G9" s="3037"/>
      <c r="H9" s="3038"/>
      <c r="I9" s="2258"/>
      <c r="J9" s="2258"/>
      <c r="K9" s="2259">
        <f t="shared" ref="K9:K62" si="0">I9*J9</f>
        <v>0</v>
      </c>
      <c r="M9" s="3020"/>
      <c r="N9" s="3021"/>
      <c r="O9" s="3021"/>
      <c r="P9" s="3021"/>
      <c r="Q9" s="3022"/>
    </row>
    <row r="10" spans="1:27" ht="33" customHeight="1">
      <c r="A10" s="784"/>
      <c r="B10" s="2255"/>
      <c r="C10" s="2256"/>
      <c r="D10" s="2257"/>
      <c r="E10" s="2257"/>
      <c r="F10" s="3036"/>
      <c r="G10" s="3037"/>
      <c r="H10" s="3038"/>
      <c r="I10" s="2258"/>
      <c r="J10" s="2258"/>
      <c r="K10" s="2259">
        <f t="shared" si="0"/>
        <v>0</v>
      </c>
      <c r="M10" s="3020"/>
      <c r="N10" s="3021"/>
      <c r="O10" s="3021"/>
      <c r="P10" s="3021"/>
      <c r="Q10" s="3022"/>
    </row>
    <row r="11" spans="1:27" ht="33" customHeight="1">
      <c r="A11" s="784"/>
      <c r="B11" s="2255"/>
      <c r="C11" s="2256"/>
      <c r="D11" s="2257"/>
      <c r="E11" s="2257"/>
      <c r="F11" s="3036"/>
      <c r="G11" s="3037"/>
      <c r="H11" s="3038"/>
      <c r="I11" s="2258"/>
      <c r="J11" s="2258"/>
      <c r="K11" s="2259">
        <f t="shared" si="0"/>
        <v>0</v>
      </c>
      <c r="M11" s="3020"/>
      <c r="N11" s="3021"/>
      <c r="O11" s="3021"/>
      <c r="P11" s="3021"/>
      <c r="Q11" s="3022"/>
    </row>
    <row r="12" spans="1:27" ht="33" customHeight="1">
      <c r="A12" s="784"/>
      <c r="B12" s="2255"/>
      <c r="C12" s="2256"/>
      <c r="D12" s="2257"/>
      <c r="E12" s="2257"/>
      <c r="F12" s="3036"/>
      <c r="G12" s="3037"/>
      <c r="H12" s="3038"/>
      <c r="I12" s="2258"/>
      <c r="J12" s="2258"/>
      <c r="K12" s="2259">
        <f t="shared" si="0"/>
        <v>0</v>
      </c>
      <c r="M12" s="3020"/>
      <c r="N12" s="3021"/>
      <c r="O12" s="3021"/>
      <c r="P12" s="3021"/>
      <c r="Q12" s="3022"/>
    </row>
    <row r="13" spans="1:27" ht="33" customHeight="1">
      <c r="A13" s="784"/>
      <c r="B13" s="2255"/>
      <c r="C13" s="2256"/>
      <c r="D13" s="2257"/>
      <c r="E13" s="2257"/>
      <c r="F13" s="3036"/>
      <c r="G13" s="3037"/>
      <c r="H13" s="3038"/>
      <c r="I13" s="2258"/>
      <c r="J13" s="2258"/>
      <c r="K13" s="2259">
        <f t="shared" si="0"/>
        <v>0</v>
      </c>
      <c r="M13" s="3020"/>
      <c r="N13" s="3021"/>
      <c r="O13" s="3021"/>
      <c r="P13" s="3021"/>
      <c r="Q13" s="3022"/>
    </row>
    <row r="14" spans="1:27" ht="33" customHeight="1">
      <c r="A14" s="784"/>
      <c r="B14" s="2255"/>
      <c r="C14" s="2256"/>
      <c r="D14" s="2257"/>
      <c r="E14" s="2257"/>
      <c r="F14" s="3036"/>
      <c r="G14" s="3037"/>
      <c r="H14" s="3038"/>
      <c r="I14" s="2258"/>
      <c r="J14" s="2258"/>
      <c r="K14" s="2259">
        <f t="shared" si="0"/>
        <v>0</v>
      </c>
      <c r="M14" s="3020"/>
      <c r="N14" s="3021"/>
      <c r="O14" s="3021"/>
      <c r="P14" s="3021"/>
      <c r="Q14" s="3022"/>
    </row>
    <row r="15" spans="1:27" ht="33" customHeight="1">
      <c r="A15" s="784"/>
      <c r="B15" s="2255"/>
      <c r="C15" s="2256"/>
      <c r="D15" s="2257"/>
      <c r="E15" s="2257"/>
      <c r="F15" s="3036"/>
      <c r="G15" s="3037"/>
      <c r="H15" s="3038"/>
      <c r="I15" s="2258"/>
      <c r="J15" s="2258"/>
      <c r="K15" s="2259">
        <f t="shared" si="0"/>
        <v>0</v>
      </c>
      <c r="M15" s="3020"/>
      <c r="N15" s="3021"/>
      <c r="O15" s="3021"/>
      <c r="P15" s="3021"/>
      <c r="Q15" s="3022"/>
    </row>
    <row r="16" spans="1:27" ht="33" customHeight="1">
      <c r="A16" s="784"/>
      <c r="B16" s="2255"/>
      <c r="C16" s="2256"/>
      <c r="D16" s="2257"/>
      <c r="E16" s="2257"/>
      <c r="F16" s="3036"/>
      <c r="G16" s="3037"/>
      <c r="H16" s="3038"/>
      <c r="I16" s="2258"/>
      <c r="J16" s="2258"/>
      <c r="K16" s="2259">
        <f t="shared" si="0"/>
        <v>0</v>
      </c>
      <c r="M16" s="3020"/>
      <c r="N16" s="3021"/>
      <c r="O16" s="3021"/>
      <c r="P16" s="3021"/>
      <c r="Q16" s="3022"/>
    </row>
    <row r="17" spans="1:17" ht="33" customHeight="1">
      <c r="A17" s="784"/>
      <c r="B17" s="2255"/>
      <c r="C17" s="2256"/>
      <c r="D17" s="2257"/>
      <c r="E17" s="2257"/>
      <c r="F17" s="3036"/>
      <c r="G17" s="3037"/>
      <c r="H17" s="3038"/>
      <c r="I17" s="2258"/>
      <c r="J17" s="2258"/>
      <c r="K17" s="2259">
        <f t="shared" si="0"/>
        <v>0</v>
      </c>
      <c r="M17" s="3020"/>
      <c r="N17" s="3021"/>
      <c r="O17" s="3021"/>
      <c r="P17" s="3021"/>
      <c r="Q17" s="3022"/>
    </row>
    <row r="18" spans="1:17" ht="33" customHeight="1">
      <c r="A18" s="784"/>
      <c r="B18" s="2255"/>
      <c r="C18" s="2256"/>
      <c r="D18" s="2257"/>
      <c r="E18" s="2257"/>
      <c r="F18" s="3036"/>
      <c r="G18" s="3037"/>
      <c r="H18" s="3038"/>
      <c r="I18" s="2258"/>
      <c r="J18" s="2258"/>
      <c r="K18" s="2259">
        <f t="shared" si="0"/>
        <v>0</v>
      </c>
      <c r="M18" s="3020"/>
      <c r="N18" s="3021"/>
      <c r="O18" s="3021"/>
      <c r="P18" s="3021"/>
      <c r="Q18" s="3022"/>
    </row>
    <row r="19" spans="1:17" ht="33" customHeight="1">
      <c r="A19" s="784"/>
      <c r="B19" s="2255"/>
      <c r="C19" s="2256"/>
      <c r="D19" s="2257"/>
      <c r="E19" s="2257"/>
      <c r="F19" s="3036"/>
      <c r="G19" s="3037"/>
      <c r="H19" s="3038"/>
      <c r="I19" s="2258"/>
      <c r="J19" s="2258"/>
      <c r="K19" s="2259">
        <f t="shared" si="0"/>
        <v>0</v>
      </c>
      <c r="M19" s="3020"/>
      <c r="N19" s="3021"/>
      <c r="O19" s="3021"/>
      <c r="P19" s="3021"/>
      <c r="Q19" s="3022"/>
    </row>
    <row r="20" spans="1:17" ht="33" customHeight="1">
      <c r="A20" s="784"/>
      <c r="B20" s="2255"/>
      <c r="C20" s="2256"/>
      <c r="D20" s="2257"/>
      <c r="E20" s="2257"/>
      <c r="F20" s="3036"/>
      <c r="G20" s="3037"/>
      <c r="H20" s="3038"/>
      <c r="I20" s="2258"/>
      <c r="J20" s="2258"/>
      <c r="K20" s="2259">
        <f t="shared" si="0"/>
        <v>0</v>
      </c>
      <c r="M20" s="3020"/>
      <c r="N20" s="3021"/>
      <c r="O20" s="3021"/>
      <c r="P20" s="3021"/>
      <c r="Q20" s="3022"/>
    </row>
    <row r="21" spans="1:17" ht="33" customHeight="1">
      <c r="A21" s="784"/>
      <c r="B21" s="2255"/>
      <c r="C21" s="2256"/>
      <c r="D21" s="2257"/>
      <c r="E21" s="2257"/>
      <c r="F21" s="3036"/>
      <c r="G21" s="3037"/>
      <c r="H21" s="3038"/>
      <c r="I21" s="2258"/>
      <c r="J21" s="2258"/>
      <c r="K21" s="2259">
        <f t="shared" si="0"/>
        <v>0</v>
      </c>
      <c r="M21" s="3020"/>
      <c r="N21" s="3021"/>
      <c r="O21" s="3021"/>
      <c r="P21" s="3021"/>
      <c r="Q21" s="3022"/>
    </row>
    <row r="22" spans="1:17" ht="33" customHeight="1">
      <c r="A22" s="784"/>
      <c r="B22" s="2255"/>
      <c r="C22" s="2256"/>
      <c r="D22" s="2257"/>
      <c r="E22" s="2257"/>
      <c r="F22" s="3036"/>
      <c r="G22" s="3037"/>
      <c r="H22" s="3038"/>
      <c r="I22" s="2258"/>
      <c r="J22" s="2258"/>
      <c r="K22" s="2259">
        <f t="shared" si="0"/>
        <v>0</v>
      </c>
      <c r="M22" s="3020"/>
      <c r="N22" s="3021"/>
      <c r="O22" s="3021"/>
      <c r="P22" s="3021"/>
      <c r="Q22" s="3022"/>
    </row>
    <row r="23" spans="1:17" ht="33" customHeight="1">
      <c r="A23" s="784"/>
      <c r="B23" s="2255"/>
      <c r="C23" s="2256"/>
      <c r="D23" s="2257"/>
      <c r="E23" s="2257"/>
      <c r="F23" s="3036"/>
      <c r="G23" s="3037"/>
      <c r="H23" s="3038"/>
      <c r="I23" s="2258"/>
      <c r="J23" s="2258"/>
      <c r="K23" s="2259">
        <f t="shared" si="0"/>
        <v>0</v>
      </c>
      <c r="M23" s="3023"/>
      <c r="N23" s="3024"/>
      <c r="O23" s="3024"/>
      <c r="P23" s="3024"/>
      <c r="Q23" s="3025"/>
    </row>
    <row r="24" spans="1:17" ht="33" customHeight="1">
      <c r="A24" s="784"/>
      <c r="B24" s="2255"/>
      <c r="C24" s="2256"/>
      <c r="D24" s="2257"/>
      <c r="E24" s="2257"/>
      <c r="F24" s="3036"/>
      <c r="G24" s="3037"/>
      <c r="H24" s="3038"/>
      <c r="I24" s="2258"/>
      <c r="J24" s="2258"/>
      <c r="K24" s="2259">
        <f t="shared" si="0"/>
        <v>0</v>
      </c>
    </row>
    <row r="25" spans="1:17" ht="33" customHeight="1">
      <c r="A25" s="784"/>
      <c r="B25" s="2255"/>
      <c r="C25" s="2256"/>
      <c r="D25" s="2257"/>
      <c r="E25" s="2257"/>
      <c r="F25" s="3036"/>
      <c r="G25" s="3037"/>
      <c r="H25" s="3038"/>
      <c r="I25" s="2258"/>
      <c r="J25" s="2258"/>
      <c r="K25" s="2259">
        <f t="shared" si="0"/>
        <v>0</v>
      </c>
    </row>
    <row r="26" spans="1:17" ht="33" customHeight="1">
      <c r="A26" s="784"/>
      <c r="B26" s="2255"/>
      <c r="C26" s="2256"/>
      <c r="D26" s="2257"/>
      <c r="E26" s="2257"/>
      <c r="F26" s="3036"/>
      <c r="G26" s="3037"/>
      <c r="H26" s="3038"/>
      <c r="I26" s="2258"/>
      <c r="J26" s="2258"/>
      <c r="K26" s="2259">
        <f t="shared" si="0"/>
        <v>0</v>
      </c>
    </row>
    <row r="27" spans="1:17" ht="33" customHeight="1">
      <c r="A27" s="784"/>
      <c r="B27" s="2255"/>
      <c r="C27" s="2256"/>
      <c r="D27" s="2257"/>
      <c r="E27" s="2257"/>
      <c r="F27" s="3036"/>
      <c r="G27" s="3037"/>
      <c r="H27" s="3038"/>
      <c r="I27" s="2258"/>
      <c r="J27" s="2258"/>
      <c r="K27" s="2259">
        <f t="shared" si="0"/>
        <v>0</v>
      </c>
    </row>
    <row r="28" spans="1:17" ht="33" customHeight="1">
      <c r="A28" s="784"/>
      <c r="B28" s="2255"/>
      <c r="C28" s="2256"/>
      <c r="D28" s="2257"/>
      <c r="E28" s="2257"/>
      <c r="F28" s="3036"/>
      <c r="G28" s="3037"/>
      <c r="H28" s="3038"/>
      <c r="I28" s="2258"/>
      <c r="J28" s="2258"/>
      <c r="K28" s="2259">
        <f t="shared" si="0"/>
        <v>0</v>
      </c>
    </row>
    <row r="29" spans="1:17" ht="33" customHeight="1">
      <c r="A29" s="784"/>
      <c r="B29" s="2255"/>
      <c r="C29" s="2256"/>
      <c r="D29" s="2257"/>
      <c r="E29" s="2257"/>
      <c r="F29" s="3036"/>
      <c r="G29" s="3037"/>
      <c r="H29" s="3038"/>
      <c r="I29" s="2258"/>
      <c r="J29" s="2258"/>
      <c r="K29" s="2259">
        <f t="shared" si="0"/>
        <v>0</v>
      </c>
    </row>
    <row r="30" spans="1:17" ht="33" customHeight="1">
      <c r="A30" s="784"/>
      <c r="B30" s="2255"/>
      <c r="C30" s="2256"/>
      <c r="D30" s="2257"/>
      <c r="E30" s="2257"/>
      <c r="F30" s="3036"/>
      <c r="G30" s="3037"/>
      <c r="H30" s="3038"/>
      <c r="I30" s="2258"/>
      <c r="J30" s="2258"/>
      <c r="K30" s="2259">
        <f t="shared" si="0"/>
        <v>0</v>
      </c>
    </row>
    <row r="31" spans="1:17" ht="33" customHeight="1">
      <c r="A31" s="784"/>
      <c r="B31" s="2255"/>
      <c r="C31" s="2256"/>
      <c r="D31" s="2257"/>
      <c r="E31" s="2257"/>
      <c r="F31" s="3036"/>
      <c r="G31" s="3037"/>
      <c r="H31" s="3038"/>
      <c r="I31" s="2258"/>
      <c r="J31" s="2258"/>
      <c r="K31" s="2259">
        <f t="shared" si="0"/>
        <v>0</v>
      </c>
    </row>
    <row r="32" spans="1:17" ht="33" customHeight="1">
      <c r="A32" s="784"/>
      <c r="B32" s="2255"/>
      <c r="C32" s="2256"/>
      <c r="D32" s="2257"/>
      <c r="E32" s="2257"/>
      <c r="F32" s="3036"/>
      <c r="G32" s="3037"/>
      <c r="H32" s="3038"/>
      <c r="I32" s="2258"/>
      <c r="J32" s="2258"/>
      <c r="K32" s="2259">
        <f t="shared" si="0"/>
        <v>0</v>
      </c>
    </row>
    <row r="33" spans="1:11" ht="33" customHeight="1">
      <c r="A33" s="784"/>
      <c r="B33" s="2255"/>
      <c r="C33" s="2256"/>
      <c r="D33" s="2257"/>
      <c r="E33" s="2257"/>
      <c r="F33" s="3036"/>
      <c r="G33" s="3037"/>
      <c r="H33" s="3038"/>
      <c r="I33" s="2258"/>
      <c r="J33" s="2258"/>
      <c r="K33" s="2259">
        <f t="shared" si="0"/>
        <v>0</v>
      </c>
    </row>
    <row r="34" spans="1:11" ht="33" customHeight="1">
      <c r="A34" s="784"/>
      <c r="B34" s="2255"/>
      <c r="C34" s="2256"/>
      <c r="D34" s="2257"/>
      <c r="E34" s="2257"/>
      <c r="F34" s="3036"/>
      <c r="G34" s="3037"/>
      <c r="H34" s="3038"/>
      <c r="I34" s="2258"/>
      <c r="J34" s="2258"/>
      <c r="K34" s="2259">
        <f t="shared" si="0"/>
        <v>0</v>
      </c>
    </row>
    <row r="35" spans="1:11" ht="33" customHeight="1">
      <c r="A35" s="784"/>
      <c r="B35" s="2255"/>
      <c r="C35" s="2256"/>
      <c r="D35" s="2257"/>
      <c r="E35" s="2257"/>
      <c r="F35" s="3036"/>
      <c r="G35" s="3037"/>
      <c r="H35" s="3038"/>
      <c r="I35" s="2258"/>
      <c r="J35" s="2258"/>
      <c r="K35" s="2259">
        <f t="shared" si="0"/>
        <v>0</v>
      </c>
    </row>
    <row r="36" spans="1:11" ht="33" customHeight="1">
      <c r="A36" s="784"/>
      <c r="B36" s="2255"/>
      <c r="C36" s="2256"/>
      <c r="D36" s="2257"/>
      <c r="E36" s="2257"/>
      <c r="F36" s="3036"/>
      <c r="G36" s="3037"/>
      <c r="H36" s="3038"/>
      <c r="I36" s="2258"/>
      <c r="J36" s="2258"/>
      <c r="K36" s="2259">
        <f t="shared" si="0"/>
        <v>0</v>
      </c>
    </row>
    <row r="37" spans="1:11" ht="33" customHeight="1">
      <c r="A37" s="784"/>
      <c r="B37" s="2255"/>
      <c r="C37" s="2256"/>
      <c r="D37" s="2257"/>
      <c r="E37" s="2257"/>
      <c r="F37" s="3036"/>
      <c r="G37" s="3037"/>
      <c r="H37" s="3038"/>
      <c r="I37" s="2258"/>
      <c r="J37" s="2258"/>
      <c r="K37" s="2259">
        <f t="shared" si="0"/>
        <v>0</v>
      </c>
    </row>
    <row r="38" spans="1:11" ht="33" customHeight="1">
      <c r="A38" s="784"/>
      <c r="B38" s="2255"/>
      <c r="C38" s="2256"/>
      <c r="D38" s="2257"/>
      <c r="E38" s="2257"/>
      <c r="F38" s="3036"/>
      <c r="G38" s="3037"/>
      <c r="H38" s="3038"/>
      <c r="I38" s="2258"/>
      <c r="J38" s="2258"/>
      <c r="K38" s="2259">
        <f t="shared" si="0"/>
        <v>0</v>
      </c>
    </row>
    <row r="39" spans="1:11" ht="33" customHeight="1">
      <c r="A39" s="784"/>
      <c r="B39" s="2255"/>
      <c r="C39" s="2256"/>
      <c r="D39" s="2257"/>
      <c r="E39" s="2257"/>
      <c r="F39" s="3036"/>
      <c r="G39" s="3037"/>
      <c r="H39" s="3038"/>
      <c r="I39" s="2258"/>
      <c r="J39" s="2258"/>
      <c r="K39" s="2259">
        <f t="shared" si="0"/>
        <v>0</v>
      </c>
    </row>
    <row r="40" spans="1:11" ht="33" customHeight="1">
      <c r="A40" s="784"/>
      <c r="B40" s="2255"/>
      <c r="C40" s="2256"/>
      <c r="D40" s="2257"/>
      <c r="E40" s="2257"/>
      <c r="F40" s="3036"/>
      <c r="G40" s="3037"/>
      <c r="H40" s="3038"/>
      <c r="I40" s="2258"/>
      <c r="J40" s="2258"/>
      <c r="K40" s="2259">
        <f t="shared" si="0"/>
        <v>0</v>
      </c>
    </row>
    <row r="41" spans="1:11" ht="33" customHeight="1">
      <c r="A41" s="784"/>
      <c r="B41" s="2255"/>
      <c r="C41" s="2256"/>
      <c r="D41" s="2257"/>
      <c r="E41" s="2257"/>
      <c r="F41" s="3036"/>
      <c r="G41" s="3037"/>
      <c r="H41" s="3038"/>
      <c r="I41" s="2258"/>
      <c r="J41" s="2258"/>
      <c r="K41" s="2259">
        <f t="shared" si="0"/>
        <v>0</v>
      </c>
    </row>
    <row r="42" spans="1:11" ht="33" customHeight="1">
      <c r="A42" s="784"/>
      <c r="B42" s="2255"/>
      <c r="C42" s="2256"/>
      <c r="D42" s="2257"/>
      <c r="E42" s="2257"/>
      <c r="F42" s="3036"/>
      <c r="G42" s="3037"/>
      <c r="H42" s="3038"/>
      <c r="I42" s="2258"/>
      <c r="J42" s="2258"/>
      <c r="K42" s="2259">
        <f t="shared" si="0"/>
        <v>0</v>
      </c>
    </row>
    <row r="43" spans="1:11" ht="33" customHeight="1">
      <c r="A43" s="784"/>
      <c r="B43" s="2255"/>
      <c r="C43" s="2256"/>
      <c r="D43" s="2257"/>
      <c r="E43" s="2257"/>
      <c r="F43" s="3036"/>
      <c r="G43" s="3037"/>
      <c r="H43" s="3038"/>
      <c r="I43" s="2258"/>
      <c r="J43" s="2258"/>
      <c r="K43" s="2259">
        <f t="shared" si="0"/>
        <v>0</v>
      </c>
    </row>
    <row r="44" spans="1:11" ht="33" customHeight="1">
      <c r="A44" s="784"/>
      <c r="B44" s="2255"/>
      <c r="C44" s="2256"/>
      <c r="D44" s="2257"/>
      <c r="E44" s="2257"/>
      <c r="F44" s="3036"/>
      <c r="G44" s="3037"/>
      <c r="H44" s="3038"/>
      <c r="I44" s="2258"/>
      <c r="J44" s="2258"/>
      <c r="K44" s="2259">
        <f t="shared" si="0"/>
        <v>0</v>
      </c>
    </row>
    <row r="45" spans="1:11" ht="33" customHeight="1">
      <c r="A45" s="784"/>
      <c r="B45" s="2255"/>
      <c r="C45" s="2256"/>
      <c r="D45" s="2257"/>
      <c r="E45" s="2257"/>
      <c r="F45" s="3036"/>
      <c r="G45" s="3037"/>
      <c r="H45" s="3038"/>
      <c r="I45" s="2258"/>
      <c r="J45" s="2258"/>
      <c r="K45" s="2259">
        <f t="shared" si="0"/>
        <v>0</v>
      </c>
    </row>
    <row r="46" spans="1:11" ht="33" customHeight="1">
      <c r="A46" s="784"/>
      <c r="B46" s="2255"/>
      <c r="C46" s="2256"/>
      <c r="D46" s="2257"/>
      <c r="E46" s="2257"/>
      <c r="F46" s="3036"/>
      <c r="G46" s="3037"/>
      <c r="H46" s="3038"/>
      <c r="I46" s="2258"/>
      <c r="J46" s="2258"/>
      <c r="K46" s="2259">
        <f t="shared" si="0"/>
        <v>0</v>
      </c>
    </row>
    <row r="47" spans="1:11" ht="33" customHeight="1">
      <c r="A47" s="784"/>
      <c r="B47" s="2255"/>
      <c r="C47" s="2256"/>
      <c r="D47" s="2257"/>
      <c r="E47" s="2257"/>
      <c r="F47" s="3036"/>
      <c r="G47" s="3037"/>
      <c r="H47" s="3038"/>
      <c r="I47" s="2258"/>
      <c r="J47" s="2258"/>
      <c r="K47" s="2259">
        <f t="shared" si="0"/>
        <v>0</v>
      </c>
    </row>
    <row r="48" spans="1:11" ht="33" customHeight="1">
      <c r="A48" s="784"/>
      <c r="B48" s="2255"/>
      <c r="C48" s="2256"/>
      <c r="D48" s="2257"/>
      <c r="E48" s="2257"/>
      <c r="F48" s="3036"/>
      <c r="G48" s="3037"/>
      <c r="H48" s="3038"/>
      <c r="I48" s="2258"/>
      <c r="J48" s="2258"/>
      <c r="K48" s="2259">
        <f t="shared" si="0"/>
        <v>0</v>
      </c>
    </row>
    <row r="49" spans="1:11" ht="33" customHeight="1">
      <c r="A49" s="784"/>
      <c r="B49" s="2255"/>
      <c r="C49" s="2256"/>
      <c r="D49" s="2257"/>
      <c r="E49" s="2257"/>
      <c r="F49" s="3036"/>
      <c r="G49" s="3037"/>
      <c r="H49" s="3038"/>
      <c r="I49" s="2258"/>
      <c r="J49" s="2258"/>
      <c r="K49" s="2259">
        <f t="shared" si="0"/>
        <v>0</v>
      </c>
    </row>
    <row r="50" spans="1:11" ht="33" customHeight="1">
      <c r="A50" s="784"/>
      <c r="B50" s="2255"/>
      <c r="C50" s="2256"/>
      <c r="D50" s="2257"/>
      <c r="E50" s="2257"/>
      <c r="F50" s="3036"/>
      <c r="G50" s="3037"/>
      <c r="H50" s="3038"/>
      <c r="I50" s="2258"/>
      <c r="J50" s="2258"/>
      <c r="K50" s="2259">
        <f t="shared" si="0"/>
        <v>0</v>
      </c>
    </row>
    <row r="51" spans="1:11" ht="33" customHeight="1">
      <c r="A51" s="784"/>
      <c r="B51" s="2255"/>
      <c r="C51" s="2256"/>
      <c r="D51" s="2257"/>
      <c r="E51" s="2257"/>
      <c r="F51" s="3036"/>
      <c r="G51" s="3037"/>
      <c r="H51" s="3038"/>
      <c r="I51" s="2258"/>
      <c r="J51" s="2258"/>
      <c r="K51" s="2259">
        <f t="shared" si="0"/>
        <v>0</v>
      </c>
    </row>
    <row r="52" spans="1:11" ht="33" customHeight="1">
      <c r="A52" s="784"/>
      <c r="B52" s="2255"/>
      <c r="C52" s="2256"/>
      <c r="D52" s="2257"/>
      <c r="E52" s="2257"/>
      <c r="F52" s="3036"/>
      <c r="G52" s="3037"/>
      <c r="H52" s="3038"/>
      <c r="I52" s="2258"/>
      <c r="J52" s="2258"/>
      <c r="K52" s="2259">
        <f t="shared" si="0"/>
        <v>0</v>
      </c>
    </row>
    <row r="53" spans="1:11" ht="33" customHeight="1">
      <c r="A53" s="784"/>
      <c r="B53" s="2255"/>
      <c r="C53" s="2256"/>
      <c r="D53" s="2257"/>
      <c r="E53" s="2257"/>
      <c r="F53" s="3036"/>
      <c r="G53" s="3037"/>
      <c r="H53" s="3038"/>
      <c r="I53" s="2258"/>
      <c r="J53" s="2258"/>
      <c r="K53" s="2259">
        <f t="shared" si="0"/>
        <v>0</v>
      </c>
    </row>
    <row r="54" spans="1:11" ht="33" customHeight="1">
      <c r="A54" s="784"/>
      <c r="B54" s="2255"/>
      <c r="C54" s="2256"/>
      <c r="D54" s="2257"/>
      <c r="E54" s="2257"/>
      <c r="F54" s="3036"/>
      <c r="G54" s="3037"/>
      <c r="H54" s="3038"/>
      <c r="I54" s="2258"/>
      <c r="J54" s="2258"/>
      <c r="K54" s="2259">
        <f t="shared" si="0"/>
        <v>0</v>
      </c>
    </row>
    <row r="55" spans="1:11" ht="33" customHeight="1">
      <c r="A55" s="784"/>
      <c r="B55" s="2255"/>
      <c r="C55" s="2256"/>
      <c r="D55" s="2257"/>
      <c r="E55" s="2257"/>
      <c r="F55" s="3036"/>
      <c r="G55" s="3037"/>
      <c r="H55" s="3038"/>
      <c r="I55" s="2258"/>
      <c r="J55" s="2258"/>
      <c r="K55" s="2259">
        <f t="shared" si="0"/>
        <v>0</v>
      </c>
    </row>
    <row r="56" spans="1:11" ht="33" customHeight="1">
      <c r="A56" s="784"/>
      <c r="B56" s="2255"/>
      <c r="C56" s="2256"/>
      <c r="D56" s="2257"/>
      <c r="E56" s="2257"/>
      <c r="F56" s="3036"/>
      <c r="G56" s="3037"/>
      <c r="H56" s="3038"/>
      <c r="I56" s="2258"/>
      <c r="J56" s="2258"/>
      <c r="K56" s="2259">
        <f t="shared" si="0"/>
        <v>0</v>
      </c>
    </row>
    <row r="57" spans="1:11" ht="33" customHeight="1">
      <c r="A57" s="784"/>
      <c r="B57" s="2255"/>
      <c r="C57" s="2256"/>
      <c r="D57" s="2257"/>
      <c r="E57" s="2257"/>
      <c r="F57" s="3036"/>
      <c r="G57" s="3037"/>
      <c r="H57" s="3038"/>
      <c r="I57" s="2258"/>
      <c r="J57" s="2258"/>
      <c r="K57" s="2259">
        <f t="shared" si="0"/>
        <v>0</v>
      </c>
    </row>
    <row r="58" spans="1:11" ht="33" customHeight="1">
      <c r="A58" s="784"/>
      <c r="B58" s="2255"/>
      <c r="C58" s="2256"/>
      <c r="D58" s="2257"/>
      <c r="E58" s="2257"/>
      <c r="F58" s="3036"/>
      <c r="G58" s="3037"/>
      <c r="H58" s="3038"/>
      <c r="I58" s="2258"/>
      <c r="J58" s="2258"/>
      <c r="K58" s="2259">
        <f t="shared" si="0"/>
        <v>0</v>
      </c>
    </row>
    <row r="59" spans="1:11" ht="33" customHeight="1">
      <c r="A59" s="784"/>
      <c r="B59" s="2255"/>
      <c r="C59" s="2256"/>
      <c r="D59" s="2257"/>
      <c r="E59" s="2257"/>
      <c r="F59" s="3036"/>
      <c r="G59" s="3037"/>
      <c r="H59" s="3038"/>
      <c r="I59" s="2258"/>
      <c r="J59" s="2258"/>
      <c r="K59" s="2259">
        <f t="shared" si="0"/>
        <v>0</v>
      </c>
    </row>
    <row r="60" spans="1:11" ht="33" customHeight="1">
      <c r="A60" s="784"/>
      <c r="B60" s="2255"/>
      <c r="C60" s="2256"/>
      <c r="D60" s="2257"/>
      <c r="E60" s="2257"/>
      <c r="F60" s="3036"/>
      <c r="G60" s="3037"/>
      <c r="H60" s="3038"/>
      <c r="I60" s="2258"/>
      <c r="J60" s="2258"/>
      <c r="K60" s="2259">
        <f t="shared" si="0"/>
        <v>0</v>
      </c>
    </row>
    <row r="61" spans="1:11" ht="33" customHeight="1">
      <c r="A61" s="784"/>
      <c r="B61" s="2255"/>
      <c r="C61" s="2256"/>
      <c r="D61" s="2257"/>
      <c r="E61" s="2257"/>
      <c r="F61" s="3036"/>
      <c r="G61" s="3037"/>
      <c r="H61" s="3038"/>
      <c r="I61" s="2258"/>
      <c r="J61" s="2258"/>
      <c r="K61" s="2259">
        <f t="shared" si="0"/>
        <v>0</v>
      </c>
    </row>
    <row r="62" spans="1:11" ht="33" customHeight="1">
      <c r="A62" s="784"/>
      <c r="B62" s="2255"/>
      <c r="C62" s="2256"/>
      <c r="D62" s="2257"/>
      <c r="E62" s="2257"/>
      <c r="F62" s="3036"/>
      <c r="G62" s="3037"/>
      <c r="H62" s="3038"/>
      <c r="I62" s="2258"/>
      <c r="J62" s="2258"/>
      <c r="K62" s="2259">
        <f t="shared" si="0"/>
        <v>0</v>
      </c>
    </row>
    <row r="63" spans="1:11" ht="20.25" customHeight="1"/>
  </sheetData>
  <sheetProtection password="CAEF" sheet="1" formatCells="0" formatColumns="0" formatRows="0" insertRows="0"/>
  <mergeCells count="70">
    <mergeCell ref="D8:E8"/>
    <mergeCell ref="A6:A7"/>
    <mergeCell ref="E2:G2"/>
    <mergeCell ref="E3:G3"/>
    <mergeCell ref="F9:H9"/>
    <mergeCell ref="F10:H10"/>
    <mergeCell ref="F59:H59"/>
    <mergeCell ref="F49:H49"/>
    <mergeCell ref="F50:H50"/>
    <mergeCell ref="F51:H51"/>
    <mergeCell ref="F52:H52"/>
    <mergeCell ref="F53:H53"/>
    <mergeCell ref="F44:H44"/>
    <mergeCell ref="F45:H45"/>
    <mergeCell ref="F46:H46"/>
    <mergeCell ref="F47:H47"/>
    <mergeCell ref="F48:H48"/>
    <mergeCell ref="F39:H39"/>
    <mergeCell ref="F40:H40"/>
    <mergeCell ref="F41:H41"/>
    <mergeCell ref="F42:H42"/>
    <mergeCell ref="F60:H60"/>
    <mergeCell ref="F61:H61"/>
    <mergeCell ref="F62:H62"/>
    <mergeCell ref="F54:H54"/>
    <mergeCell ref="F55:H55"/>
    <mergeCell ref="F56:H56"/>
    <mergeCell ref="F57:H57"/>
    <mergeCell ref="F58:H58"/>
    <mergeCell ref="F43:H43"/>
    <mergeCell ref="F34:H34"/>
    <mergeCell ref="F35:H35"/>
    <mergeCell ref="F36:H36"/>
    <mergeCell ref="F37:H37"/>
    <mergeCell ref="F38:H38"/>
    <mergeCell ref="F29:H29"/>
    <mergeCell ref="F30:H30"/>
    <mergeCell ref="F31:H31"/>
    <mergeCell ref="F32:H32"/>
    <mergeCell ref="F33:H33"/>
    <mergeCell ref="F24:H24"/>
    <mergeCell ref="F25:H25"/>
    <mergeCell ref="F26:H26"/>
    <mergeCell ref="F27:H27"/>
    <mergeCell ref="F28:H28"/>
    <mergeCell ref="F23:H23"/>
    <mergeCell ref="F14:H14"/>
    <mergeCell ref="F15:H15"/>
    <mergeCell ref="F16:H16"/>
    <mergeCell ref="F17:H17"/>
    <mergeCell ref="F18:H18"/>
    <mergeCell ref="F19:H19"/>
    <mergeCell ref="F20:H20"/>
    <mergeCell ref="F21:H21"/>
    <mergeCell ref="M7:Q23"/>
    <mergeCell ref="Z4:AA5"/>
    <mergeCell ref="B6:B7"/>
    <mergeCell ref="C6:C7"/>
    <mergeCell ref="D6:E6"/>
    <mergeCell ref="F22:H22"/>
    <mergeCell ref="M5:Q6"/>
    <mergeCell ref="F11:H11"/>
    <mergeCell ref="F12:H12"/>
    <mergeCell ref="F13:H13"/>
    <mergeCell ref="A5:K5"/>
    <mergeCell ref="F8:H8"/>
    <mergeCell ref="J6:J7"/>
    <mergeCell ref="K6:K7"/>
    <mergeCell ref="F6:H7"/>
    <mergeCell ref="I6:I7"/>
  </mergeCells>
  <phoneticPr fontId="41" type="noConversion"/>
  <conditionalFormatting sqref="B9:B62">
    <cfRule type="expression" dxfId="14" priority="15">
      <formula>AND($A9&lt;&gt;"",$B9="")</formula>
    </cfRule>
  </conditionalFormatting>
  <conditionalFormatting sqref="C9:C62">
    <cfRule type="expression" dxfId="13" priority="16">
      <formula>AND($A9&lt;&gt;"",$B9&lt;&gt;"",$C9="")</formula>
    </cfRule>
  </conditionalFormatting>
  <conditionalFormatting sqref="D9:E62">
    <cfRule type="expression" dxfId="12" priority="18">
      <formula>AND($A9&lt;&gt;"",$B9&lt;&gt;"",$C9&lt;&gt;"",$D9="",$E9="")</formula>
    </cfRule>
  </conditionalFormatting>
  <conditionalFormatting sqref="F9:H62">
    <cfRule type="expression" dxfId="11" priority="2">
      <formula>AND($A9&lt;&gt;"",$B9&lt;&gt;"",$C9&lt;&gt;"",OR($D9&lt;&gt;"",$E9&lt;&gt;""),$F9="")</formula>
    </cfRule>
  </conditionalFormatting>
  <conditionalFormatting sqref="I9:I62">
    <cfRule type="expression" dxfId="10" priority="4">
      <formula>AND($A9&lt;&gt;"",$B9&lt;&gt;"",$C9&lt;&gt;"",OR($D9&lt;&gt;"",$E9&lt;&gt;""),$F9&lt;&gt;"",$I9="")</formula>
    </cfRule>
  </conditionalFormatting>
  <conditionalFormatting sqref="J9:J62">
    <cfRule type="expression" dxfId="9" priority="3">
      <formula>AND($A9&lt;&gt;"",$B9&lt;&gt;"",$C9&lt;&gt;"",OR($D9&lt;&gt;"",$E9&lt;&gt;""),$F9&lt;&gt;"",$I9&lt;&gt;"",$J9="")</formula>
    </cfRule>
  </conditionalFormatting>
  <conditionalFormatting sqref="K9:K62">
    <cfRule type="expression" dxfId="8" priority="1">
      <formula>AND($I9&gt;0,$J9&gt;0)</formula>
    </cfRule>
  </conditionalFormatting>
  <dataValidations count="5">
    <dataValidation type="list" allowBlank="1" showInputMessage="1" showErrorMessage="1" errorTitle="Bitte wählen Sie einen Eintrag" error="Es muss ein Eintrag aus dem DropDown Menü gewählt werden. Eigene Eingaben sind nicht zulässig." sqref="F9:H62" xr:uid="{00000000-0002-0000-1000-000000000000}">
      <formula1>$X$2:$X$4</formula1>
    </dataValidation>
    <dataValidation type="list" allowBlank="1" sqref="E9:E62" xr:uid="{00000000-0002-0000-1000-000001000000}">
      <formula1>$W$2:$W$6</formula1>
    </dataValidation>
    <dataValidation type="date" errorStyle="warning" allowBlank="1" showInputMessage="1" showErrorMessage="1" errorTitle="Datum nicht im Aufzeichnungsjahr" error="Das angeführte Datum befindet sich nicht im angeführten Aufzeichnungszeitraum. 01.01. bis 30.11. des Antragsjahres." sqref="A9:A62" xr:uid="{00000000-0002-0000-1000-000002000000}">
      <formula1>$Y$1</formula1>
      <formula2>$Y$1+333</formula2>
    </dataValidation>
    <dataValidation type="decimal" allowBlank="1" showInputMessage="1" showErrorMessage="1" errorTitle="kein Zahlenwert" error="Es muss ein Zahlenwert eingegeben werden." sqref="I9:J62" xr:uid="{00000000-0002-0000-1000-000003000000}">
      <formula1>0.01</formula1>
      <formula2>5000</formula2>
    </dataValidation>
    <dataValidation type="list" errorStyle="warning" allowBlank="1" showErrorMessage="1" errorTitle="Bitte auf Begrifflichkeit achten" error="Bitte beachten Sie, dass in der Bezeichnung der Wirtschaftsdüngerart die Tierart und die Wirschaftsdüngerart Gülle bzw. Jauche enthalten sind. Bei Mischungen ist die Mischung bspw.: Rinder-Schweinegülle anzuführen.FORTFAHREN?" sqref="D9:D62" xr:uid="{00000000-0002-0000-1000-000004000000}">
      <formula1>$V$2:$V$7</formula1>
    </dataValidation>
  </dataValidations>
  <hyperlinks>
    <hyperlink ref="M1" location="Weideblatt!A1" display="◄" xr:uid="{00000000-0004-0000-1000-000000000000}"/>
    <hyperlink ref="N1" location="Separierung!A1" display="  ►" xr:uid="{00000000-0004-0000-1000-000001000000}"/>
  </hyperlinks>
  <pageMargins left="0.39370078740157483" right="0.35433070866141736" top="0.43307086614173229" bottom="0.39370078740157483" header="0.51181102362204722" footer="0.51181102362204722"/>
  <pageSetup paperSize="9" scale="52" firstPageNumber="0" fitToHeight="0" orientation="portrait" blackAndWhite="1" horizontalDpi="300" verticalDpi="300"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1">
    <tabColor theme="9" tint="0.39997558519241921"/>
    <pageSetUpPr fitToPage="1"/>
  </sheetPr>
  <dimension ref="A1:M64"/>
  <sheetViews>
    <sheetView showZeros="0" zoomScaleNormal="100" workbookViewId="0">
      <selection activeCell="A10" sqref="A10"/>
    </sheetView>
  </sheetViews>
  <sheetFormatPr baseColWidth="10" defaultColWidth="12.28515625" defaultRowHeight="12.75"/>
  <cols>
    <col min="1" max="1" width="43.5703125" customWidth="1"/>
    <col min="2" max="2" width="58.5703125" customWidth="1"/>
    <col min="3" max="3" width="40.140625" customWidth="1"/>
    <col min="4" max="4" width="39.85546875" customWidth="1"/>
    <col min="7" max="7" width="19.85546875" customWidth="1"/>
    <col min="9" max="9" width="18" customWidth="1"/>
    <col min="13" max="13" width="22.28515625" customWidth="1"/>
  </cols>
  <sheetData>
    <row r="1" spans="1:13" ht="54" customHeight="1" thickBot="1">
      <c r="A1" s="3066" t="s">
        <v>2908</v>
      </c>
      <c r="B1" s="3066"/>
      <c r="C1" s="2264"/>
      <c r="D1" s="2264"/>
      <c r="E1" s="2271" t="s">
        <v>891</v>
      </c>
      <c r="F1" s="2274" t="s">
        <v>892</v>
      </c>
      <c r="M1">
        <f>IF(Betrieb!$D$4=2023,$M$2,IF(Betrieb!$D$4=2024,$M$3+1,IF(Betrieb!$D$4=2025,$M$4,IF(Betrieb!$D$4=2026,$M$5,IF(Betrieb!$D$4=2027,$M$6,IF(Betrieb!$D$4=2028,$M$7+1,0))))))</f>
        <v>45658</v>
      </c>
    </row>
    <row r="2" spans="1:13" ht="21.75" customHeight="1" thickBot="1">
      <c r="A2" s="2266" t="str">
        <f>CONCATENATE("MFA: ",Betrieb!$D$4)</f>
        <v>MFA: 2025</v>
      </c>
      <c r="B2" s="2272" t="str">
        <f>"Aufzeichnungsjahr "&amp;Betrieb!$D$4</f>
        <v>Aufzeichnungsjahr 2025</v>
      </c>
      <c r="G2" s="1"/>
      <c r="M2" s="2262">
        <v>44927</v>
      </c>
    </row>
    <row r="3" spans="1:13" ht="21.75" customHeight="1" thickBot="1">
      <c r="A3" s="2265" t="str">
        <f>CONCATENATE("Betriebs-Nr.: ",Betrieb!$B$3)</f>
        <v xml:space="preserve">Betriebs-Nr.: </v>
      </c>
      <c r="B3" s="2273" t="str">
        <f>CONCATENATE("von 01. Jänner ",Betrieb!$D$4," bis 30. November ",Betrieb!$D$4)</f>
        <v>von 01. Jänner 2025 bis 30. November 2025</v>
      </c>
      <c r="M3" s="2262">
        <v>45292</v>
      </c>
    </row>
    <row r="4" spans="1:13" ht="21.75" customHeight="1" thickBot="1">
      <c r="A4" s="3077" t="s">
        <v>2918</v>
      </c>
      <c r="B4" s="3078"/>
      <c r="D4" s="2254"/>
      <c r="M4" s="2262">
        <v>45658</v>
      </c>
    </row>
    <row r="5" spans="1:13" ht="27.2" customHeight="1" thickBot="1">
      <c r="A5" s="3088">
        <f>SUM($B$10:$B$46)</f>
        <v>0</v>
      </c>
      <c r="B5" s="3089"/>
      <c r="M5" s="2262">
        <v>46023</v>
      </c>
    </row>
    <row r="6" spans="1:13" ht="8.25" customHeight="1" thickBot="1">
      <c r="A6" s="158"/>
      <c r="B6" s="158"/>
      <c r="C6" s="783"/>
      <c r="D6" s="783"/>
      <c r="E6" s="2251"/>
      <c r="F6" s="2250"/>
      <c r="G6" s="2250"/>
      <c r="H6" s="2250"/>
      <c r="I6" s="2252"/>
      <c r="M6" s="2262">
        <v>46388</v>
      </c>
    </row>
    <row r="7" spans="1:13" ht="21.75" customHeight="1">
      <c r="A7" s="3076" t="s">
        <v>2911</v>
      </c>
      <c r="B7" s="3076" t="s">
        <v>2915</v>
      </c>
      <c r="C7" s="3081" t="s">
        <v>2916</v>
      </c>
      <c r="D7" s="3079" t="s">
        <v>2917</v>
      </c>
      <c r="E7" s="3083" t="s">
        <v>2909</v>
      </c>
      <c r="F7" s="3084"/>
      <c r="G7" s="3084"/>
      <c r="H7" s="3084"/>
      <c r="I7" s="3085"/>
      <c r="M7" s="2262">
        <v>46753</v>
      </c>
    </row>
    <row r="8" spans="1:13" ht="30.75" customHeight="1">
      <c r="A8" s="3076"/>
      <c r="B8" s="3076"/>
      <c r="C8" s="3082"/>
      <c r="D8" s="3080"/>
      <c r="E8" s="3086"/>
      <c r="F8" s="2519"/>
      <c r="G8" s="2519"/>
      <c r="H8" s="2519"/>
      <c r="I8" s="3087"/>
    </row>
    <row r="9" spans="1:13" ht="27.75" customHeight="1">
      <c r="A9" s="2276">
        <v>44927</v>
      </c>
      <c r="B9" s="2277">
        <v>100</v>
      </c>
      <c r="C9" s="2263" t="s">
        <v>2919</v>
      </c>
      <c r="D9" s="2263" t="s">
        <v>2920</v>
      </c>
      <c r="E9" s="3067" t="s">
        <v>2910</v>
      </c>
      <c r="F9" s="3068"/>
      <c r="G9" s="3068"/>
      <c r="H9" s="3068"/>
      <c r="I9" s="3069"/>
    </row>
    <row r="10" spans="1:13" ht="27" customHeight="1">
      <c r="A10" s="2278"/>
      <c r="B10" s="2279"/>
      <c r="C10" s="785"/>
      <c r="D10" s="2249"/>
      <c r="E10" s="3070"/>
      <c r="F10" s="3071"/>
      <c r="G10" s="3071"/>
      <c r="H10" s="3071"/>
      <c r="I10" s="3072"/>
    </row>
    <row r="11" spans="1:13" ht="24" customHeight="1">
      <c r="A11" s="2278"/>
      <c r="B11" s="2280"/>
      <c r="C11" s="785"/>
      <c r="D11" s="2249"/>
      <c r="E11" s="3070"/>
      <c r="F11" s="3071"/>
      <c r="G11" s="3071"/>
      <c r="H11" s="3071"/>
      <c r="I11" s="3072"/>
    </row>
    <row r="12" spans="1:13" ht="20.25" customHeight="1">
      <c r="A12" s="2278"/>
      <c r="B12" s="2280"/>
      <c r="C12" s="785"/>
      <c r="D12" s="2249"/>
      <c r="E12" s="3070"/>
      <c r="F12" s="3071"/>
      <c r="G12" s="3071"/>
      <c r="H12" s="3071"/>
      <c r="I12" s="3072"/>
    </row>
    <row r="13" spans="1:13" ht="20.25" customHeight="1">
      <c r="A13" s="2278"/>
      <c r="B13" s="2280"/>
      <c r="C13" s="785"/>
      <c r="D13" s="2249"/>
      <c r="E13" s="3070"/>
      <c r="F13" s="3071"/>
      <c r="G13" s="3071"/>
      <c r="H13" s="3071"/>
      <c r="I13" s="3072"/>
    </row>
    <row r="14" spans="1:13" ht="20.25" customHeight="1">
      <c r="A14" s="2278"/>
      <c r="B14" s="2280"/>
      <c r="C14" s="785"/>
      <c r="D14" s="2249"/>
      <c r="E14" s="3070"/>
      <c r="F14" s="3071"/>
      <c r="G14" s="3071"/>
      <c r="H14" s="3071"/>
      <c r="I14" s="3072"/>
    </row>
    <row r="15" spans="1:13" ht="20.25" customHeight="1">
      <c r="A15" s="2278"/>
      <c r="B15" s="2280"/>
      <c r="C15" s="785"/>
      <c r="D15" s="2249"/>
      <c r="E15" s="3070"/>
      <c r="F15" s="3071"/>
      <c r="G15" s="3071"/>
      <c r="H15" s="3071"/>
      <c r="I15" s="3072"/>
    </row>
    <row r="16" spans="1:13" ht="20.25" customHeight="1">
      <c r="A16" s="2278"/>
      <c r="B16" s="2280"/>
      <c r="C16" s="785"/>
      <c r="D16" s="2249"/>
      <c r="E16" s="3070"/>
      <c r="F16" s="3071"/>
      <c r="G16" s="3071"/>
      <c r="H16" s="3071"/>
      <c r="I16" s="3072"/>
    </row>
    <row r="17" spans="1:9" ht="20.25" customHeight="1">
      <c r="A17" s="2278"/>
      <c r="B17" s="2280"/>
      <c r="C17" s="785"/>
      <c r="D17" s="2249"/>
      <c r="E17" s="3070"/>
      <c r="F17" s="3071"/>
      <c r="G17" s="3071"/>
      <c r="H17" s="3071"/>
      <c r="I17" s="3072"/>
    </row>
    <row r="18" spans="1:9" ht="20.25" customHeight="1">
      <c r="A18" s="2278"/>
      <c r="B18" s="2280"/>
      <c r="C18" s="785"/>
      <c r="D18" s="2249"/>
      <c r="E18" s="3070"/>
      <c r="F18" s="3071"/>
      <c r="G18" s="3071"/>
      <c r="H18" s="3071"/>
      <c r="I18" s="3072"/>
    </row>
    <row r="19" spans="1:9" ht="20.25" customHeight="1">
      <c r="A19" s="2278"/>
      <c r="B19" s="2280"/>
      <c r="C19" s="785"/>
      <c r="D19" s="2249"/>
      <c r="E19" s="3070"/>
      <c r="F19" s="3071"/>
      <c r="G19" s="3071"/>
      <c r="H19" s="3071"/>
      <c r="I19" s="3072"/>
    </row>
    <row r="20" spans="1:9" ht="20.25" customHeight="1">
      <c r="A20" s="2278"/>
      <c r="B20" s="2280"/>
      <c r="C20" s="785"/>
      <c r="D20" s="2249"/>
      <c r="E20" s="3070"/>
      <c r="F20" s="3071"/>
      <c r="G20" s="3071"/>
      <c r="H20" s="3071"/>
      <c r="I20" s="3072"/>
    </row>
    <row r="21" spans="1:9" ht="20.25" customHeight="1">
      <c r="A21" s="2278"/>
      <c r="B21" s="2280"/>
      <c r="C21" s="785"/>
      <c r="D21" s="2249"/>
      <c r="E21" s="3070"/>
      <c r="F21" s="3071"/>
      <c r="G21" s="3071"/>
      <c r="H21" s="3071"/>
      <c r="I21" s="3072"/>
    </row>
    <row r="22" spans="1:9" ht="20.25" customHeight="1">
      <c r="A22" s="2278"/>
      <c r="B22" s="2280"/>
      <c r="C22" s="785"/>
      <c r="D22" s="2249"/>
      <c r="E22" s="3070"/>
      <c r="F22" s="3071"/>
      <c r="G22" s="3071"/>
      <c r="H22" s="3071"/>
      <c r="I22" s="3072"/>
    </row>
    <row r="23" spans="1:9" ht="20.25" customHeight="1">
      <c r="A23" s="2278"/>
      <c r="B23" s="2280"/>
      <c r="C23" s="785"/>
      <c r="D23" s="2249"/>
      <c r="E23" s="3070"/>
      <c r="F23" s="3071"/>
      <c r="G23" s="3071"/>
      <c r="H23" s="3071"/>
      <c r="I23" s="3072"/>
    </row>
    <row r="24" spans="1:9" ht="20.25" customHeight="1" thickBot="1">
      <c r="A24" s="2278"/>
      <c r="B24" s="2280"/>
      <c r="C24" s="785"/>
      <c r="D24" s="2249"/>
      <c r="E24" s="3073"/>
      <c r="F24" s="3074"/>
      <c r="G24" s="3074"/>
      <c r="H24" s="3074"/>
      <c r="I24" s="3075"/>
    </row>
    <row r="25" spans="1:9" ht="20.25" customHeight="1">
      <c r="A25" s="2278"/>
      <c r="B25" s="2280"/>
      <c r="C25" s="785"/>
      <c r="D25" s="2249"/>
    </row>
    <row r="26" spans="1:9" ht="20.25" customHeight="1">
      <c r="A26" s="2278"/>
      <c r="B26" s="2280"/>
      <c r="C26" s="785"/>
      <c r="D26" s="2249"/>
    </row>
    <row r="27" spans="1:9" ht="20.25" customHeight="1">
      <c r="A27" s="2278"/>
      <c r="B27" s="2280"/>
      <c r="C27" s="785"/>
      <c r="D27" s="2249"/>
    </row>
    <row r="28" spans="1:9" ht="20.25" customHeight="1">
      <c r="A28" s="2278"/>
      <c r="B28" s="2280"/>
      <c r="C28" s="785"/>
      <c r="D28" s="2249"/>
    </row>
    <row r="29" spans="1:9" ht="20.25" customHeight="1">
      <c r="A29" s="2278"/>
      <c r="B29" s="2280"/>
      <c r="C29" s="785"/>
      <c r="D29" s="2249"/>
    </row>
    <row r="30" spans="1:9" ht="20.25" customHeight="1">
      <c r="A30" s="2278"/>
      <c r="B30" s="2280"/>
      <c r="C30" s="785"/>
      <c r="D30" s="2249"/>
    </row>
    <row r="31" spans="1:9" ht="20.25" customHeight="1">
      <c r="A31" s="2278"/>
      <c r="B31" s="2280"/>
      <c r="C31" s="785"/>
      <c r="D31" s="2249"/>
    </row>
    <row r="32" spans="1:9" ht="20.25" customHeight="1">
      <c r="A32" s="2278"/>
      <c r="B32" s="2280"/>
      <c r="C32" s="785"/>
      <c r="D32" s="2249"/>
    </row>
    <row r="33" spans="1:4" ht="20.25" customHeight="1">
      <c r="A33" s="2278"/>
      <c r="B33" s="2280"/>
      <c r="C33" s="785"/>
      <c r="D33" s="2249"/>
    </row>
    <row r="34" spans="1:4" ht="20.25" customHeight="1">
      <c r="A34" s="2278"/>
      <c r="B34" s="2280"/>
      <c r="C34" s="785"/>
      <c r="D34" s="2249"/>
    </row>
    <row r="35" spans="1:4" ht="20.25" customHeight="1">
      <c r="A35" s="2278"/>
      <c r="B35" s="2280"/>
      <c r="C35" s="785"/>
      <c r="D35" s="2249"/>
    </row>
    <row r="36" spans="1:4" ht="20.25" customHeight="1">
      <c r="A36" s="2278"/>
      <c r="B36" s="2280"/>
      <c r="C36" s="785"/>
      <c r="D36" s="2249"/>
    </row>
    <row r="37" spans="1:4" ht="20.25" customHeight="1">
      <c r="A37" s="2278"/>
      <c r="B37" s="2280"/>
      <c r="C37" s="785"/>
      <c r="D37" s="2249"/>
    </row>
    <row r="38" spans="1:4" ht="20.25" customHeight="1">
      <c r="A38" s="2278"/>
      <c r="B38" s="2280"/>
      <c r="C38" s="785"/>
      <c r="D38" s="2249"/>
    </row>
    <row r="39" spans="1:4" ht="20.25" customHeight="1">
      <c r="A39" s="2278"/>
      <c r="B39" s="2280"/>
      <c r="C39" s="785"/>
      <c r="D39" s="2249"/>
    </row>
    <row r="40" spans="1:4" ht="20.25" customHeight="1">
      <c r="A40" s="2278"/>
      <c r="B40" s="2280"/>
      <c r="C40" s="785"/>
      <c r="D40" s="2249"/>
    </row>
    <row r="41" spans="1:4" ht="20.25" customHeight="1">
      <c r="A41" s="2278"/>
      <c r="B41" s="2280"/>
      <c r="C41" s="785"/>
      <c r="D41" s="2249"/>
    </row>
    <row r="42" spans="1:4" ht="20.25" customHeight="1">
      <c r="A42" s="2278"/>
      <c r="B42" s="2280"/>
      <c r="C42" s="785"/>
      <c r="D42" s="2249"/>
    </row>
    <row r="43" spans="1:4" ht="20.25" customHeight="1">
      <c r="A43" s="2278"/>
      <c r="B43" s="2280"/>
      <c r="C43" s="785"/>
      <c r="D43" s="2249"/>
    </row>
    <row r="44" spans="1:4" ht="20.25" customHeight="1">
      <c r="A44" s="2278"/>
      <c r="B44" s="2280"/>
      <c r="C44" s="785"/>
      <c r="D44" s="2249"/>
    </row>
    <row r="45" spans="1:4" ht="20.25" customHeight="1">
      <c r="A45" s="2278"/>
      <c r="B45" s="2280"/>
      <c r="C45" s="785"/>
      <c r="D45" s="2249"/>
    </row>
    <row r="46" spans="1:4" ht="20.25" customHeight="1">
      <c r="A46" s="2278"/>
      <c r="B46" s="2280"/>
      <c r="C46" s="785"/>
      <c r="D46" s="2249"/>
    </row>
    <row r="47" spans="1:4" ht="20.25" customHeight="1">
      <c r="A47" s="2267"/>
      <c r="B47" s="2268"/>
      <c r="C47" s="2268"/>
      <c r="D47" s="2268"/>
    </row>
    <row r="48" spans="1:4" ht="20.25" customHeight="1">
      <c r="A48" s="2269"/>
      <c r="B48" s="2270"/>
      <c r="C48" s="2270"/>
      <c r="D48" s="2270"/>
    </row>
    <row r="49" spans="1:4" ht="20.25" customHeight="1">
      <c r="A49" s="2269"/>
      <c r="B49" s="2270"/>
      <c r="C49" s="2270"/>
      <c r="D49" s="2270"/>
    </row>
    <row r="50" spans="1:4" ht="20.25" customHeight="1">
      <c r="A50" s="2269"/>
      <c r="B50" s="2270"/>
      <c r="C50" s="2270"/>
      <c r="D50" s="2270"/>
    </row>
    <row r="51" spans="1:4" ht="20.25" customHeight="1">
      <c r="A51" s="2269"/>
      <c r="B51" s="2270"/>
      <c r="C51" s="2270"/>
      <c r="D51" s="2270"/>
    </row>
    <row r="52" spans="1:4" ht="20.25" customHeight="1">
      <c r="A52" s="2269"/>
      <c r="B52" s="2270"/>
      <c r="C52" s="2270"/>
      <c r="D52" s="2270"/>
    </row>
    <row r="53" spans="1:4" ht="20.25" customHeight="1">
      <c r="A53" s="2269"/>
      <c r="B53" s="2270"/>
      <c r="C53" s="2270"/>
      <c r="D53" s="2270"/>
    </row>
    <row r="54" spans="1:4" ht="20.25" customHeight="1">
      <c r="A54" s="2269"/>
      <c r="B54" s="2270"/>
      <c r="C54" s="2270"/>
      <c r="D54" s="2270"/>
    </row>
    <row r="55" spans="1:4" ht="20.25" customHeight="1">
      <c r="A55" s="2269"/>
      <c r="B55" s="2270"/>
      <c r="C55" s="2270"/>
      <c r="D55" s="2270"/>
    </row>
    <row r="56" spans="1:4" ht="20.25" customHeight="1">
      <c r="A56" s="2269"/>
      <c r="B56" s="2270"/>
      <c r="C56" s="2270"/>
      <c r="D56" s="2270"/>
    </row>
    <row r="57" spans="1:4" ht="20.25" customHeight="1">
      <c r="A57" s="2269"/>
      <c r="B57" s="2270"/>
      <c r="C57" s="2270"/>
      <c r="D57" s="2270"/>
    </row>
    <row r="58" spans="1:4" ht="20.25" customHeight="1">
      <c r="A58" s="2269"/>
      <c r="B58" s="2270"/>
      <c r="C58" s="2270"/>
      <c r="D58" s="2270"/>
    </row>
    <row r="59" spans="1:4" ht="20.25" customHeight="1">
      <c r="A59" s="2269"/>
      <c r="B59" s="2270"/>
      <c r="C59" s="2270"/>
      <c r="D59" s="2270"/>
    </row>
    <row r="60" spans="1:4" ht="20.25" customHeight="1">
      <c r="A60" s="2269"/>
      <c r="B60" s="2270"/>
      <c r="C60" s="2270"/>
      <c r="D60" s="2270"/>
    </row>
    <row r="61" spans="1:4" ht="20.25" customHeight="1">
      <c r="A61" s="2269"/>
      <c r="B61" s="2270"/>
      <c r="C61" s="2270"/>
      <c r="D61" s="2270"/>
    </row>
    <row r="62" spans="1:4" ht="20.25" customHeight="1">
      <c r="A62" s="2269"/>
      <c r="B62" s="2270"/>
      <c r="C62" s="2270"/>
      <c r="D62" s="2270"/>
    </row>
    <row r="63" spans="1:4" ht="20.25" customHeight="1">
      <c r="A63" s="2269"/>
      <c r="B63" s="2270"/>
      <c r="C63" s="2270"/>
      <c r="D63" s="2270"/>
    </row>
    <row r="64" spans="1:4" ht="20.25" customHeight="1"/>
  </sheetData>
  <sheetProtection password="CAEF" sheet="1" formatCells="0" formatColumns="0" formatRows="0" insertRows="0"/>
  <mergeCells count="9">
    <mergeCell ref="A1:B1"/>
    <mergeCell ref="E9:I24"/>
    <mergeCell ref="A7:A8"/>
    <mergeCell ref="B7:B8"/>
    <mergeCell ref="A4:B4"/>
    <mergeCell ref="D7:D8"/>
    <mergeCell ref="C7:C8"/>
    <mergeCell ref="E7:I8"/>
    <mergeCell ref="A5:B5"/>
  </mergeCells>
  <conditionalFormatting sqref="B10:B63">
    <cfRule type="expression" dxfId="7" priority="4">
      <formula>AND($A10&lt;&gt;"",$B10="")</formula>
    </cfRule>
  </conditionalFormatting>
  <conditionalFormatting sqref="C10:C63">
    <cfRule type="expression" dxfId="6" priority="5">
      <formula>AND($A10&lt;&gt;"",$B10&lt;&gt;"",$C10="")</formula>
    </cfRule>
  </conditionalFormatting>
  <dataValidations count="2">
    <dataValidation type="time" errorStyle="warning" allowBlank="1" showInputMessage="1" showErrorMessage="1" errorTitle="Datum nicht im Aufzeichnungsjahr" error="Das Datum muss zwsichen 01.01. und 30.11. des Aufzeichnungsjahres liegen." sqref="A10:A63" xr:uid="{00000000-0002-0000-1100-000000000000}">
      <formula1>$M$1</formula1>
      <formula2>$M$1+333</formula2>
    </dataValidation>
    <dataValidation type="decimal" allowBlank="1" showInputMessage="1" showErrorMessage="1" errorTitle="Nur Zahlenwerte zulässig" error="Separierte Menge in Kubikmeter ohne die Einheit eingeben. Es muss eine Zahl eingegeben werden." sqref="B10:B46" xr:uid="{00000000-0002-0000-1100-000001000000}">
      <formula1>0.01</formula1>
      <formula2>100000</formula2>
    </dataValidation>
  </dataValidations>
  <hyperlinks>
    <hyperlink ref="E1" location="Bodennah!A1" display="◄" xr:uid="{00000000-0004-0000-1100-000000000000}"/>
    <hyperlink ref="F1" location="Düngeplanung!A1" display="  ►" xr:uid="{00000000-0004-0000-1100-000001000000}"/>
  </hyperlinks>
  <pageMargins left="0.39370078740157483" right="0.35433070866141736" top="0.43307086614173229" bottom="0.39370078740157483" header="0.51181102362204722" footer="0.51181102362204722"/>
  <pageSetup paperSize="9" scale="53" firstPageNumber="0" fitToHeight="0" orientation="portrait" blackAndWhite="1"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7">
    <tabColor theme="8" tint="0.39997558519241921"/>
    <pageSetUpPr fitToPage="1"/>
  </sheetPr>
  <dimension ref="A1:I30"/>
  <sheetViews>
    <sheetView showZeros="0" zoomScale="80" zoomScaleNormal="80" workbookViewId="0">
      <selection activeCell="O21" sqref="O21"/>
    </sheetView>
  </sheetViews>
  <sheetFormatPr baseColWidth="10" defaultRowHeight="12.75"/>
  <cols>
    <col min="1" max="1" width="37.85546875" customWidth="1"/>
    <col min="2" max="5" width="8.140625" customWidth="1"/>
    <col min="6" max="6" width="7.28515625" customWidth="1"/>
    <col min="7" max="8" width="7.140625" customWidth="1"/>
    <col min="9" max="9" width="9.7109375" customWidth="1"/>
    <col min="10" max="10" width="4.28515625" customWidth="1"/>
  </cols>
  <sheetData>
    <row r="1" spans="1:9" ht="31.5" customHeight="1">
      <c r="A1" s="1062" t="s">
        <v>1198</v>
      </c>
      <c r="B1" s="1063"/>
      <c r="C1" s="1063"/>
      <c r="D1" s="1063"/>
      <c r="E1" s="1063"/>
      <c r="F1" s="1063"/>
      <c r="G1" s="1063"/>
      <c r="H1" s="1063"/>
      <c r="I1" s="1063"/>
    </row>
    <row r="2" spans="1:9" ht="30" customHeight="1">
      <c r="A2" s="1100" t="s">
        <v>1199</v>
      </c>
      <c r="B2" s="1101" t="s">
        <v>1200</v>
      </c>
      <c r="C2" s="1101" t="s">
        <v>651</v>
      </c>
      <c r="D2" s="1101" t="s">
        <v>652</v>
      </c>
      <c r="E2" s="1101" t="s">
        <v>653</v>
      </c>
      <c r="F2" s="1101" t="s">
        <v>460</v>
      </c>
      <c r="G2" s="1101" t="s">
        <v>1079</v>
      </c>
      <c r="H2" s="1101" t="s">
        <v>1201</v>
      </c>
      <c r="I2" s="1102" t="s">
        <v>1138</v>
      </c>
    </row>
    <row r="3" spans="1:9" ht="27.75" customHeight="1">
      <c r="A3" s="962" t="s">
        <v>1202</v>
      </c>
      <c r="B3" s="963">
        <f>Tabelle1!AQ48</f>
        <v>0</v>
      </c>
      <c r="C3" s="963">
        <f>Tabelle1!AR48</f>
        <v>0</v>
      </c>
      <c r="D3" s="963">
        <f>Tabelle1!AS48</f>
        <v>0</v>
      </c>
      <c r="E3" s="963">
        <f>Tabelle1!AT48</f>
        <v>0</v>
      </c>
      <c r="F3" s="963">
        <f>Tabelle1!AU48</f>
        <v>0</v>
      </c>
      <c r="G3" s="964"/>
      <c r="H3" s="964"/>
      <c r="I3" s="965">
        <f>SUM(B3:H3)</f>
        <v>0</v>
      </c>
    </row>
    <row r="4" spans="1:9" ht="19.5" customHeight="1">
      <c r="A4" s="966" t="s">
        <v>1203</v>
      </c>
      <c r="B4" s="963">
        <f>Tabelle1!AQ49</f>
        <v>0</v>
      </c>
      <c r="C4" s="963">
        <f>Tabelle1!AR49</f>
        <v>0</v>
      </c>
      <c r="D4" s="963">
        <f>Tabelle1!AS49</f>
        <v>0</v>
      </c>
      <c r="E4" s="963">
        <f>Tabelle1!AT49</f>
        <v>0</v>
      </c>
      <c r="F4" s="963">
        <f>Tabelle1!AU49</f>
        <v>0</v>
      </c>
      <c r="G4" s="964"/>
      <c r="H4" s="964"/>
      <c r="I4" s="965">
        <f>SUM(B4:H4)</f>
        <v>0</v>
      </c>
    </row>
    <row r="5" spans="1:9" ht="19.5" customHeight="1">
      <c r="A5" s="967" t="s">
        <v>1204</v>
      </c>
      <c r="B5" s="968"/>
      <c r="C5" s="968"/>
      <c r="D5" s="968"/>
      <c r="E5" s="968"/>
      <c r="F5" s="968"/>
      <c r="G5" s="968"/>
      <c r="H5" s="968"/>
      <c r="I5" s="965">
        <f>-Tabelle1!AX55</f>
        <v>0</v>
      </c>
    </row>
    <row r="6" spans="1:9" ht="19.5" customHeight="1">
      <c r="A6" s="967" t="s">
        <v>1205</v>
      </c>
      <c r="B6" s="968">
        <f>Tabelle1!AQ50</f>
        <v>0</v>
      </c>
      <c r="C6" s="968">
        <f>Tabelle1!AR50</f>
        <v>0</v>
      </c>
      <c r="D6" s="968">
        <f>Tabelle1!AS50</f>
        <v>0</v>
      </c>
      <c r="E6" s="968">
        <f>Tabelle1!AT50</f>
        <v>0</v>
      </c>
      <c r="F6" s="968">
        <f>Tabelle1!AU50</f>
        <v>0</v>
      </c>
      <c r="G6" s="964"/>
      <c r="H6" s="964"/>
      <c r="I6" s="965">
        <f>SUM(B6:H6)</f>
        <v>0</v>
      </c>
    </row>
    <row r="7" spans="1:9" ht="19.5" customHeight="1">
      <c r="A7" s="966" t="s">
        <v>700</v>
      </c>
      <c r="B7" s="968">
        <f>Tabelle1!AQ51</f>
        <v>0</v>
      </c>
      <c r="C7" s="968">
        <f>Tabelle1!AR51</f>
        <v>0</v>
      </c>
      <c r="D7" s="968">
        <f>Tabelle1!AS51</f>
        <v>0</v>
      </c>
      <c r="E7" s="968">
        <f>Tabelle1!AT51</f>
        <v>0</v>
      </c>
      <c r="F7" s="964"/>
      <c r="G7" s="964"/>
      <c r="H7" s="964"/>
      <c r="I7" s="965">
        <f>SUM(B7:H7)</f>
        <v>0</v>
      </c>
    </row>
    <row r="8" spans="1:9" ht="19.5" customHeight="1">
      <c r="A8" s="966" t="s">
        <v>1206</v>
      </c>
      <c r="B8" s="964"/>
      <c r="C8" s="964"/>
      <c r="D8" s="964"/>
      <c r="E8" s="964"/>
      <c r="F8" s="968">
        <f>Tabelle1!AU52</f>
        <v>0</v>
      </c>
      <c r="G8" s="964"/>
      <c r="H8" s="964"/>
      <c r="I8" s="965">
        <f>SUM(B8:H8)</f>
        <v>0</v>
      </c>
    </row>
    <row r="9" spans="1:9" ht="30" customHeight="1">
      <c r="A9" s="966" t="s">
        <v>1207</v>
      </c>
      <c r="B9" s="968">
        <f>Tabelle1!AQ53</f>
        <v>0</v>
      </c>
      <c r="C9" s="968">
        <f>Tabelle1!AR53</f>
        <v>0</v>
      </c>
      <c r="D9" s="968">
        <f>Tabelle1!AS53</f>
        <v>0</v>
      </c>
      <c r="E9" s="968">
        <f>Tabelle1!AT53</f>
        <v>0</v>
      </c>
      <c r="F9" s="968">
        <f>Tabelle1!AU53</f>
        <v>0</v>
      </c>
      <c r="G9" s="968">
        <f>Tabelle1!AV53</f>
        <v>0</v>
      </c>
      <c r="H9" s="968">
        <f>Tabelle1!AW53</f>
        <v>0</v>
      </c>
      <c r="I9" s="965">
        <f>SUM(B9:H9)</f>
        <v>0</v>
      </c>
    </row>
    <row r="10" spans="1:9" ht="19.5" customHeight="1">
      <c r="A10" s="1100" t="s">
        <v>1208</v>
      </c>
      <c r="B10" s="1103"/>
      <c r="C10" s="1103"/>
      <c r="D10" s="1103"/>
      <c r="E10" s="1103"/>
      <c r="F10" s="1103"/>
      <c r="G10" s="1103"/>
      <c r="H10" s="1103"/>
      <c r="I10" s="1104">
        <f>SUM(I3:I9)</f>
        <v>0</v>
      </c>
    </row>
    <row r="11" spans="1:9" ht="10.5" customHeight="1">
      <c r="A11" s="227"/>
      <c r="B11" s="228"/>
      <c r="C11" s="228"/>
      <c r="D11" s="228"/>
      <c r="E11" s="228"/>
      <c r="F11" s="228"/>
      <c r="G11" s="228"/>
      <c r="H11" s="228"/>
      <c r="I11" s="229"/>
    </row>
    <row r="12" spans="1:9" ht="19.5" customHeight="1">
      <c r="A12" s="230" t="s">
        <v>1209</v>
      </c>
      <c r="B12" s="228"/>
      <c r="C12" s="228"/>
      <c r="D12" s="228"/>
      <c r="E12" s="228"/>
      <c r="F12" s="228"/>
      <c r="G12" s="228"/>
      <c r="H12" s="228"/>
      <c r="I12" s="229"/>
    </row>
    <row r="13" spans="1:9" ht="30" customHeight="1">
      <c r="A13" s="1100" t="s">
        <v>1210</v>
      </c>
      <c r="B13" s="1101" t="s">
        <v>1200</v>
      </c>
      <c r="C13" s="1101" t="s">
        <v>651</v>
      </c>
      <c r="D13" s="1101" t="s">
        <v>652</v>
      </c>
      <c r="E13" s="1101" t="s">
        <v>653</v>
      </c>
      <c r="F13" s="1101" t="s">
        <v>460</v>
      </c>
      <c r="G13" s="1101" t="s">
        <v>1079</v>
      </c>
      <c r="H13" s="1101" t="s">
        <v>655</v>
      </c>
      <c r="I13" s="1105" t="s">
        <v>1138</v>
      </c>
    </row>
    <row r="14" spans="1:9" ht="30" customHeight="1">
      <c r="A14" s="966" t="s">
        <v>1211</v>
      </c>
      <c r="B14" s="963">
        <f>Tabelle1!AQ61</f>
        <v>0</v>
      </c>
      <c r="C14" s="963">
        <f>Tabelle1!AR61</f>
        <v>0</v>
      </c>
      <c r="D14" s="963">
        <f>Tabelle1!AS61</f>
        <v>0</v>
      </c>
      <c r="E14" s="963">
        <f>Tabelle1!AT61</f>
        <v>0</v>
      </c>
      <c r="F14" s="963">
        <f>Tabelle1!AU61</f>
        <v>0</v>
      </c>
      <c r="G14" s="963">
        <f>Tabelle1!AV61</f>
        <v>0</v>
      </c>
      <c r="H14" s="963">
        <f>Tabelle1!AW61</f>
        <v>0</v>
      </c>
      <c r="I14" s="969">
        <f>SUM(B14:H14)</f>
        <v>0</v>
      </c>
    </row>
    <row r="15" spans="1:9" ht="36.75" customHeight="1">
      <c r="A15" s="966" t="s">
        <v>1212</v>
      </c>
      <c r="B15" s="963">
        <f>Tabelle1!AQ62</f>
        <v>0</v>
      </c>
      <c r="C15" s="963">
        <f>Tabelle1!AR62</f>
        <v>0</v>
      </c>
      <c r="D15" s="963">
        <f>Tabelle1!AS62</f>
        <v>0</v>
      </c>
      <c r="E15" s="963">
        <f>Tabelle1!AT62</f>
        <v>0</v>
      </c>
      <c r="F15" s="963">
        <f>Tabelle1!AU62</f>
        <v>0</v>
      </c>
      <c r="G15" s="963">
        <f>Tabelle1!AV62</f>
        <v>0</v>
      </c>
      <c r="H15" s="963">
        <f>Tabelle1!AW62</f>
        <v>0</v>
      </c>
      <c r="I15" s="969">
        <f>SUM(B15:H15)</f>
        <v>0</v>
      </c>
    </row>
    <row r="16" spans="1:9" ht="20.25" customHeight="1">
      <c r="A16" s="966" t="s">
        <v>726</v>
      </c>
      <c r="B16" s="963">
        <f>Tabelle1!AQ63</f>
        <v>0</v>
      </c>
      <c r="C16" s="963">
        <f>Tabelle1!AR63</f>
        <v>0</v>
      </c>
      <c r="D16" s="963">
        <f>Tabelle1!AS63</f>
        <v>0</v>
      </c>
      <c r="E16" s="963">
        <f>Tabelle1!AT63</f>
        <v>0</v>
      </c>
      <c r="F16" s="963">
        <f>Tabelle1!AU63</f>
        <v>0</v>
      </c>
      <c r="G16" s="963">
        <f>Tabelle1!AV63</f>
        <v>0</v>
      </c>
      <c r="H16" s="963">
        <f>Tabelle1!AW63</f>
        <v>0</v>
      </c>
      <c r="I16" s="969">
        <f>SUM(B16:H16)</f>
        <v>0</v>
      </c>
    </row>
    <row r="17" spans="1:9" ht="36" customHeight="1">
      <c r="A17" s="966" t="s">
        <v>1213</v>
      </c>
      <c r="B17" s="1106">
        <v>0.87</v>
      </c>
      <c r="C17" s="1106">
        <v>0.87</v>
      </c>
      <c r="D17" s="1106">
        <v>0.87</v>
      </c>
      <c r="E17" s="1107">
        <v>0.87</v>
      </c>
      <c r="F17" s="1106">
        <v>0.91</v>
      </c>
      <c r="G17" s="1106">
        <v>0.91</v>
      </c>
      <c r="H17" s="1106">
        <v>0.91</v>
      </c>
      <c r="I17" s="970"/>
    </row>
    <row r="18" spans="1:9" ht="21.75" customHeight="1">
      <c r="A18" s="971" t="s">
        <v>1214</v>
      </c>
      <c r="B18" s="972">
        <f>Tabelle1!AQ66</f>
        <v>0</v>
      </c>
      <c r="C18" s="972">
        <f>Tabelle1!AR66</f>
        <v>0</v>
      </c>
      <c r="D18" s="972">
        <f>Tabelle1!AS66</f>
        <v>0</v>
      </c>
      <c r="E18" s="972">
        <f>Tabelle1!AT66</f>
        <v>0</v>
      </c>
      <c r="F18" s="972">
        <f>Tabelle1!AU66</f>
        <v>0</v>
      </c>
      <c r="G18" s="972">
        <f>Tabelle1!AV66</f>
        <v>0</v>
      </c>
      <c r="H18" s="972">
        <f>Tabelle1!AW66</f>
        <v>0</v>
      </c>
      <c r="I18" s="973">
        <f>SUM(B18:H18)</f>
        <v>0</v>
      </c>
    </row>
    <row r="19" spans="1:9" ht="19.5" customHeight="1">
      <c r="A19" s="974" t="s">
        <v>1215</v>
      </c>
      <c r="B19" s="975"/>
      <c r="C19" s="975"/>
      <c r="D19" s="975"/>
      <c r="E19" s="975"/>
      <c r="F19" s="975"/>
      <c r="G19" s="975"/>
      <c r="H19" s="975"/>
      <c r="I19" s="969">
        <f>Tabelle1!AX68</f>
        <v>0</v>
      </c>
    </row>
    <row r="20" spans="1:9" ht="19.5" customHeight="1">
      <c r="A20" s="974" t="s">
        <v>736</v>
      </c>
      <c r="B20" s="975"/>
      <c r="C20" s="975"/>
      <c r="D20" s="975"/>
      <c r="E20" s="975"/>
      <c r="F20" s="975"/>
      <c r="G20" s="975"/>
      <c r="H20" s="975"/>
      <c r="I20" s="969">
        <f>Tabelle1!AX67</f>
        <v>0</v>
      </c>
    </row>
    <row r="21" spans="1:9" ht="19.5" customHeight="1">
      <c r="A21" s="1100" t="s">
        <v>1216</v>
      </c>
      <c r="B21" s="1108"/>
      <c r="C21" s="1108"/>
      <c r="D21" s="1108"/>
      <c r="E21" s="1108"/>
      <c r="F21" s="1108"/>
      <c r="G21" s="1108"/>
      <c r="H21" s="1108"/>
      <c r="I21" s="1104">
        <f>Tabelle1!AX69</f>
        <v>0</v>
      </c>
    </row>
    <row r="22" spans="1:9" ht="12" customHeight="1">
      <c r="A22" s="231"/>
      <c r="B22" s="228"/>
      <c r="C22" s="228"/>
      <c r="D22" s="228"/>
      <c r="E22" s="228"/>
      <c r="F22" s="228"/>
      <c r="G22" s="228"/>
      <c r="H22" s="228"/>
      <c r="I22" s="232"/>
    </row>
    <row r="23" spans="1:9" ht="20.25" customHeight="1">
      <c r="A23" s="384" t="s">
        <v>1217</v>
      </c>
      <c r="B23" s="228"/>
      <c r="C23" s="228"/>
      <c r="D23" s="228"/>
      <c r="E23" s="233"/>
      <c r="F23" s="228"/>
      <c r="G23" s="228"/>
      <c r="H23" s="228"/>
      <c r="I23" s="232"/>
    </row>
    <row r="24" spans="1:9" ht="26.25" customHeight="1">
      <c r="A24" s="1100" t="s">
        <v>1218</v>
      </c>
      <c r="B24" s="1101" t="s">
        <v>1200</v>
      </c>
      <c r="C24" s="1101" t="s">
        <v>1219</v>
      </c>
      <c r="D24" s="1101" t="s">
        <v>652</v>
      </c>
      <c r="E24" s="1101" t="s">
        <v>653</v>
      </c>
      <c r="F24" s="1101" t="s">
        <v>460</v>
      </c>
      <c r="G24" s="1101" t="s">
        <v>1079</v>
      </c>
      <c r="H24" s="1101" t="s">
        <v>1201</v>
      </c>
      <c r="I24" s="1105" t="s">
        <v>1138</v>
      </c>
    </row>
    <row r="25" spans="1:9" ht="21" customHeight="1">
      <c r="A25" s="962" t="s">
        <v>1220</v>
      </c>
      <c r="B25" s="963">
        <f>Tabelle1!AQ73</f>
        <v>0</v>
      </c>
      <c r="C25" s="963">
        <f>Tabelle1!AR73</f>
        <v>0</v>
      </c>
      <c r="D25" s="963">
        <f>Tabelle1!AS73</f>
        <v>0</v>
      </c>
      <c r="E25" s="963">
        <f>Tabelle1!AT73</f>
        <v>0</v>
      </c>
      <c r="F25" s="963">
        <f>Tabelle1!AU73</f>
        <v>0</v>
      </c>
      <c r="G25" s="963">
        <f>Tabelle1!AV73</f>
        <v>0</v>
      </c>
      <c r="H25" s="963">
        <f>Tabelle1!AW73</f>
        <v>0</v>
      </c>
      <c r="I25" s="969">
        <f>SUM(B25:H25)</f>
        <v>0</v>
      </c>
    </row>
    <row r="26" spans="1:9" ht="30" customHeight="1">
      <c r="A26" s="971" t="s">
        <v>1221</v>
      </c>
      <c r="B26" s="1107">
        <v>0.7</v>
      </c>
      <c r="C26" s="1107">
        <v>0.8</v>
      </c>
      <c r="D26" s="1107">
        <v>0.85</v>
      </c>
      <c r="E26" s="1107">
        <v>1</v>
      </c>
      <c r="F26" s="1107">
        <v>0.5</v>
      </c>
      <c r="G26" s="1107">
        <v>0.3</v>
      </c>
      <c r="H26" s="1107">
        <v>0.1</v>
      </c>
      <c r="I26" s="969"/>
    </row>
    <row r="27" spans="1:9" ht="30" customHeight="1">
      <c r="A27" s="967" t="s">
        <v>1222</v>
      </c>
      <c r="B27" s="963">
        <f>Tabelle1!AQ75</f>
        <v>0</v>
      </c>
      <c r="C27" s="963">
        <f>Tabelle1!AR75</f>
        <v>0</v>
      </c>
      <c r="D27" s="963">
        <f>Tabelle1!AS75</f>
        <v>0</v>
      </c>
      <c r="E27" s="963">
        <f>Tabelle1!AT75</f>
        <v>0</v>
      </c>
      <c r="F27" s="963">
        <f>Tabelle1!AU75</f>
        <v>0</v>
      </c>
      <c r="G27" s="963">
        <f>Tabelle1!AV75</f>
        <v>0</v>
      </c>
      <c r="H27" s="963">
        <f>Tabelle1!AW75</f>
        <v>0</v>
      </c>
      <c r="I27" s="969">
        <f>SUM(B27:H27)</f>
        <v>0</v>
      </c>
    </row>
    <row r="28" spans="1:9" ht="21" customHeight="1">
      <c r="A28" s="974" t="s">
        <v>752</v>
      </c>
      <c r="B28" s="975"/>
      <c r="C28" s="975"/>
      <c r="D28" s="975"/>
      <c r="E28" s="975"/>
      <c r="F28" s="975"/>
      <c r="G28" s="975"/>
      <c r="H28" s="975"/>
      <c r="I28" s="969">
        <f>Tabelle1!AX76</f>
        <v>0</v>
      </c>
    </row>
    <row r="29" spans="1:9" ht="21" customHeight="1">
      <c r="A29" s="974" t="s">
        <v>1223</v>
      </c>
      <c r="B29" s="975"/>
      <c r="C29" s="975"/>
      <c r="D29" s="975"/>
      <c r="E29" s="975"/>
      <c r="F29" s="975"/>
      <c r="G29" s="975"/>
      <c r="H29" s="975"/>
      <c r="I29" s="969">
        <f>Tabelle1!AX77</f>
        <v>0</v>
      </c>
    </row>
    <row r="30" spans="1:9" ht="25.7" customHeight="1">
      <c r="A30" s="1109" t="s">
        <v>1224</v>
      </c>
      <c r="B30" s="1108"/>
      <c r="C30" s="1108"/>
      <c r="D30" s="1108"/>
      <c r="E30" s="1110"/>
      <c r="F30" s="1108"/>
      <c r="G30" s="1108"/>
      <c r="H30" s="1108"/>
      <c r="I30" s="1104">
        <f>Tabelle1!AX78</f>
        <v>0</v>
      </c>
    </row>
  </sheetData>
  <sheetProtection password="CAEF" sheet="1" formatCells="0" formatColumns="0" formatRows="0"/>
  <phoneticPr fontId="41" type="noConversion"/>
  <pageMargins left="0.59055118110236227" right="0.39370078740157483" top="0.78740157480314965" bottom="0.78740157480314965" header="0.51181102362204722" footer="0.51181102362204722"/>
  <pageSetup paperSize="9" scale="67" firstPageNumber="0"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rgb="FFFFFF00"/>
  </sheetPr>
  <dimension ref="A1:IP67"/>
  <sheetViews>
    <sheetView showZeros="0" tabSelected="1" zoomScale="80" zoomScaleNormal="80" workbookViewId="0">
      <selection activeCell="D5" sqref="D5"/>
    </sheetView>
  </sheetViews>
  <sheetFormatPr baseColWidth="10" defaultColWidth="12.7109375" defaultRowHeight="20.25" customHeight="1"/>
  <cols>
    <col min="1" max="1" width="17" style="156" customWidth="1"/>
    <col min="2" max="2" width="48.7109375" style="156" customWidth="1"/>
    <col min="3" max="3" width="4.42578125" style="156" customWidth="1"/>
    <col min="4" max="4" width="15.7109375" style="156" customWidth="1"/>
    <col min="5" max="5" width="3.7109375" style="156" customWidth="1"/>
    <col min="6" max="6" width="47" style="156" customWidth="1"/>
    <col min="7" max="7" width="19.85546875" style="156" customWidth="1"/>
    <col min="8" max="8" width="17.85546875" style="157" customWidth="1"/>
    <col min="9" max="9" width="4.42578125" style="157" customWidth="1"/>
    <col min="10" max="10" width="73.28515625" style="157" customWidth="1"/>
    <col min="11" max="11" width="13.140625" style="156" customWidth="1"/>
    <col min="12" max="16384" width="12.7109375" style="156"/>
  </cols>
  <sheetData>
    <row r="1" spans="1:250" ht="62.25" customHeight="1">
      <c r="A1" s="2427" t="s">
        <v>2379</v>
      </c>
      <c r="B1" s="2428"/>
      <c r="C1" s="2428"/>
      <c r="D1" s="2428"/>
      <c r="E1" s="1042"/>
      <c r="F1" s="1043"/>
      <c r="G1" s="433" t="s">
        <v>891</v>
      </c>
      <c r="H1" s="433" t="s">
        <v>892</v>
      </c>
      <c r="I1" s="158"/>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row>
    <row r="2" spans="1:250" ht="14.25" customHeight="1">
      <c r="A2" s="159"/>
      <c r="B2" s="159"/>
      <c r="C2" s="159"/>
      <c r="D2" s="160"/>
      <c r="E2" s="158"/>
      <c r="F2" s="158"/>
      <c r="G2" s="158"/>
      <c r="H2"/>
      <c r="I2" s="158"/>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row>
    <row r="3" spans="1:250" ht="29.25" customHeight="1">
      <c r="A3" s="807" t="s">
        <v>423</v>
      </c>
      <c r="B3" s="1666"/>
      <c r="C3" s="161"/>
      <c r="D3" s="766" t="s">
        <v>893</v>
      </c>
      <c r="E3" s="158"/>
      <c r="F3" s="158"/>
      <c r="G3" s="158"/>
      <c r="H3" s="158"/>
      <c r="I3" s="158"/>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row>
    <row r="4" spans="1:250" ht="29.25" customHeight="1">
      <c r="A4" s="807" t="s">
        <v>1681</v>
      </c>
      <c r="B4" s="1667"/>
      <c r="C4" s="158"/>
      <c r="D4" s="919">
        <v>2025</v>
      </c>
      <c r="E4" s="158"/>
      <c r="F4" s="158"/>
      <c r="G4" s="158"/>
      <c r="H4" s="158"/>
      <c r="I4" s="158"/>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row>
    <row r="5" spans="1:250" ht="29.25" customHeight="1">
      <c r="A5" s="807" t="s">
        <v>1682</v>
      </c>
      <c r="B5" s="1667"/>
      <c r="C5" s="158"/>
      <c r="D5" s="158"/>
      <c r="E5" s="158"/>
      <c r="F5" s="158"/>
      <c r="G5" s="158"/>
      <c r="H5" s="158"/>
      <c r="I5" s="158"/>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row>
    <row r="6" spans="1:250" ht="29.25" customHeight="1">
      <c r="A6" s="807" t="s">
        <v>1683</v>
      </c>
      <c r="B6" s="1666"/>
      <c r="C6" s="158"/>
      <c r="D6" s="158"/>
      <c r="E6" s="158"/>
      <c r="F6" s="158"/>
      <c r="G6" s="158"/>
      <c r="H6" s="158"/>
      <c r="I6" s="158"/>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row>
    <row r="7" spans="1:250" ht="15" customHeight="1">
      <c r="A7" s="158"/>
      <c r="B7" s="158"/>
      <c r="C7" s="158"/>
      <c r="D7" s="158"/>
      <c r="E7" s="158"/>
      <c r="F7" s="158"/>
      <c r="G7" s="158"/>
      <c r="H7" s="158"/>
      <c r="I7" s="158"/>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row>
    <row r="8" spans="1:250" ht="39.950000000000003" customHeight="1">
      <c r="A8" s="2432" t="s">
        <v>2380</v>
      </c>
      <c r="B8" s="2432"/>
      <c r="C8" s="2432"/>
      <c r="D8" s="918" t="s">
        <v>497</v>
      </c>
      <c r="E8" s="158"/>
      <c r="F8" s="2432" t="s">
        <v>524</v>
      </c>
      <c r="G8" s="2432"/>
      <c r="H8" s="2432"/>
      <c r="I8" s="158"/>
      <c r="J8" s="1247" t="s">
        <v>901</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row>
    <row r="9" spans="1:250" ht="39.950000000000003" customHeight="1">
      <c r="A9" s="2432" t="s">
        <v>896</v>
      </c>
      <c r="B9" s="2432"/>
      <c r="C9" s="2432"/>
      <c r="D9" s="918" t="s">
        <v>499</v>
      </c>
      <c r="E9" s="158"/>
      <c r="F9" s="2436" t="s">
        <v>2848</v>
      </c>
      <c r="G9" s="2437"/>
      <c r="H9" s="2438"/>
      <c r="I9" s="158"/>
      <c r="J9" s="2424" t="s">
        <v>2851</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row>
    <row r="10" spans="1:250" ht="39.950000000000003" customHeight="1">
      <c r="A10" s="2433" t="s">
        <v>2847</v>
      </c>
      <c r="B10" s="2434"/>
      <c r="C10" s="2435"/>
      <c r="D10" s="1699" t="s">
        <v>497</v>
      </c>
      <c r="E10" s="158"/>
      <c r="F10" s="2439"/>
      <c r="G10" s="2440"/>
      <c r="H10" s="2441"/>
      <c r="I10" s="158"/>
      <c r="J10" s="2425"/>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row>
    <row r="11" spans="1:250" ht="39.950000000000003" customHeight="1">
      <c r="A11" s="2432" t="s">
        <v>523</v>
      </c>
      <c r="B11" s="2432"/>
      <c r="C11" s="2432"/>
      <c r="D11" s="918" t="s">
        <v>497</v>
      </c>
      <c r="E11" s="158"/>
      <c r="F11" s="2439"/>
      <c r="G11" s="2440"/>
      <c r="H11" s="2441"/>
      <c r="I11" s="158"/>
      <c r="J11" s="2425"/>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row>
    <row r="12" spans="1:250" ht="39.950000000000003" customHeight="1">
      <c r="A12" s="2432" t="s">
        <v>2960</v>
      </c>
      <c r="B12" s="2432"/>
      <c r="C12" s="2432"/>
      <c r="D12" s="918" t="s">
        <v>497</v>
      </c>
      <c r="E12" s="158"/>
      <c r="F12" s="2439"/>
      <c r="G12" s="2440"/>
      <c r="H12" s="2441"/>
      <c r="I12" s="158"/>
      <c r="J12" s="2425"/>
    </row>
    <row r="13" spans="1:250" ht="39.950000000000003" customHeight="1">
      <c r="A13" s="2429" t="s">
        <v>894</v>
      </c>
      <c r="B13" s="2430"/>
      <c r="C13" s="1245"/>
      <c r="D13" s="1246" t="s">
        <v>895</v>
      </c>
      <c r="E13" s="158"/>
      <c r="F13" s="2439"/>
      <c r="G13" s="2440"/>
      <c r="H13" s="2441"/>
      <c r="I13" s="158"/>
      <c r="J13" s="2425"/>
    </row>
    <row r="14" spans="1:250" ht="39.950000000000003" customHeight="1">
      <c r="A14" s="2452" t="s">
        <v>897</v>
      </c>
      <c r="B14" s="2452"/>
      <c r="C14" s="2452"/>
      <c r="D14" s="920"/>
      <c r="E14" s="158"/>
      <c r="F14" s="2439"/>
      <c r="G14" s="2440"/>
      <c r="H14" s="2441"/>
      <c r="I14" s="158"/>
      <c r="J14" s="2425"/>
    </row>
    <row r="15" spans="1:250" ht="46.5" customHeight="1">
      <c r="A15" s="2452" t="s">
        <v>898</v>
      </c>
      <c r="B15" s="2452"/>
      <c r="C15" s="2452"/>
      <c r="D15" s="920"/>
      <c r="E15"/>
      <c r="F15" s="2439"/>
      <c r="G15" s="2440"/>
      <c r="H15" s="2441"/>
      <c r="I15" s="158"/>
      <c r="J15" s="2425"/>
    </row>
    <row r="16" spans="1:250" ht="39.950000000000003" customHeight="1">
      <c r="A16" s="2453" t="s">
        <v>899</v>
      </c>
      <c r="B16" s="2453"/>
      <c r="C16" s="2453"/>
      <c r="D16" s="920"/>
      <c r="E16"/>
      <c r="F16" s="2439"/>
      <c r="G16" s="2440"/>
      <c r="H16" s="2441"/>
      <c r="I16" s="158"/>
      <c r="J16" s="2426"/>
    </row>
    <row r="17" spans="1:10" ht="39.950000000000003" customHeight="1">
      <c r="A17" s="2431" t="s">
        <v>900</v>
      </c>
      <c r="B17" s="2431"/>
      <c r="C17" s="2431"/>
      <c r="D17" s="920"/>
      <c r="E17"/>
      <c r="F17" s="2442"/>
      <c r="G17" s="2443"/>
      <c r="H17" s="2444"/>
      <c r="I17" s="158"/>
      <c r="J17" s="2172" t="s">
        <v>2850</v>
      </c>
    </row>
    <row r="18" spans="1:10" ht="39.950000000000003" customHeight="1">
      <c r="A18" s="2429" t="s">
        <v>902</v>
      </c>
      <c r="B18" s="2430"/>
      <c r="C18" s="1424"/>
      <c r="D18" s="921">
        <f>SUM(D14:D17)</f>
        <v>0</v>
      </c>
      <c r="E18"/>
      <c r="F18" s="2445" t="s">
        <v>402</v>
      </c>
      <c r="G18" s="2446"/>
      <c r="H18" s="2447"/>
      <c r="I18" s="158"/>
      <c r="J18" s="2171" t="s">
        <v>2849</v>
      </c>
    </row>
    <row r="19" spans="1:10" ht="27.2" customHeight="1">
      <c r="A19" s="2451" t="s">
        <v>397</v>
      </c>
      <c r="B19" s="2451"/>
      <c r="C19" s="2451"/>
      <c r="D19" s="2451"/>
      <c r="E19" s="157"/>
      <c r="F19" s="2448"/>
      <c r="G19" s="2449"/>
      <c r="H19" s="2450"/>
      <c r="I19" s="158"/>
    </row>
    <row r="20" spans="1:10" ht="18.75" customHeight="1">
      <c r="A20" s="2451"/>
      <c r="B20" s="2451"/>
      <c r="C20" s="2451"/>
      <c r="D20" s="2451"/>
      <c r="E20" s="157"/>
    </row>
    <row r="21" spans="1:10" ht="44.25" customHeight="1">
      <c r="A21" s="157"/>
      <c r="B21" s="157"/>
      <c r="C21" s="157"/>
      <c r="D21" s="157"/>
      <c r="E21" s="157"/>
      <c r="F21" s="157"/>
      <c r="G21" s="157"/>
      <c r="J21" s="156"/>
    </row>
    <row r="22" spans="1:10" ht="44.25" customHeight="1">
      <c r="A22" s="157"/>
      <c r="B22" s="157"/>
      <c r="C22" s="157"/>
      <c r="D22" s="157"/>
      <c r="E22" s="157"/>
      <c r="F22" s="157"/>
      <c r="G22" s="157"/>
    </row>
    <row r="23" spans="1:10" ht="44.25" customHeight="1">
      <c r="A23" s="157"/>
      <c r="B23" s="157"/>
      <c r="C23" s="157"/>
      <c r="D23" s="157"/>
      <c r="E23" s="157"/>
      <c r="F23" s="157"/>
      <c r="G23" s="157"/>
    </row>
    <row r="24" spans="1:10" ht="44.25" customHeight="1">
      <c r="A24" s="157"/>
      <c r="B24" s="157"/>
      <c r="C24" s="157"/>
      <c r="D24" s="157"/>
      <c r="E24" s="157"/>
      <c r="F24" s="157"/>
      <c r="G24" s="157"/>
    </row>
    <row r="25" spans="1:10" ht="44.25" customHeight="1">
      <c r="H25" s="156"/>
      <c r="I25" s="156"/>
      <c r="J25" s="156"/>
    </row>
    <row r="26" spans="1:10" ht="40.5" customHeight="1">
      <c r="H26" s="156"/>
      <c r="I26" s="156"/>
      <c r="J26" s="156"/>
    </row>
    <row r="27" spans="1:10" ht="28.5" customHeight="1">
      <c r="H27" s="156"/>
      <c r="I27" s="156"/>
      <c r="J27" s="156"/>
    </row>
    <row r="28" spans="1:10" ht="28.5" customHeight="1">
      <c r="H28" s="156"/>
      <c r="I28" s="156"/>
      <c r="J28" s="156"/>
    </row>
    <row r="29" spans="1:10" ht="28.5" customHeight="1">
      <c r="H29" s="156"/>
      <c r="I29" s="156"/>
      <c r="J29" s="156"/>
    </row>
    <row r="30" spans="1:10" ht="28.5" customHeight="1">
      <c r="H30" s="156"/>
      <c r="I30" s="156"/>
      <c r="J30" s="156"/>
    </row>
    <row r="31" spans="1:10" ht="20.25" customHeight="1">
      <c r="H31" s="156"/>
      <c r="I31" s="156"/>
      <c r="J31" s="156"/>
    </row>
    <row r="32" spans="1:10" ht="20.25" customHeight="1">
      <c r="H32" s="156"/>
      <c r="I32" s="156"/>
      <c r="J32" s="156"/>
    </row>
    <row r="33" s="156" customFormat="1" ht="20.25" customHeight="1"/>
    <row r="34" s="156" customFormat="1" ht="20.25" customHeight="1"/>
    <row r="35" s="156" customFormat="1" ht="20.25" customHeight="1"/>
    <row r="36" s="156" customFormat="1" ht="20.25" customHeight="1"/>
    <row r="37" s="156" customFormat="1" ht="20.25" customHeight="1"/>
    <row r="38" s="156" customFormat="1" ht="20.25" customHeight="1"/>
    <row r="39" s="156" customFormat="1" ht="20.25" customHeight="1"/>
    <row r="40" s="156" customFormat="1" ht="20.25" customHeight="1"/>
    <row r="41" s="156" customFormat="1" ht="20.25" customHeight="1"/>
    <row r="42" s="156" customFormat="1" ht="20.25" customHeight="1"/>
    <row r="43" s="156" customFormat="1" ht="20.25" customHeight="1"/>
    <row r="44" s="156" customFormat="1" ht="20.25" customHeight="1"/>
    <row r="45" s="156" customFormat="1" ht="20.25" customHeight="1"/>
    <row r="46" s="156" customFormat="1" ht="20.25" customHeight="1"/>
    <row r="47" s="156" customFormat="1" ht="20.25" customHeight="1"/>
    <row r="48" s="156" customFormat="1" ht="20.25" customHeight="1"/>
    <row r="49" s="156" customFormat="1" ht="20.25" customHeight="1"/>
    <row r="50" s="156" customFormat="1" ht="20.25" customHeight="1"/>
    <row r="51" s="156" customFormat="1" ht="20.25" customHeight="1"/>
    <row r="52" s="156" customFormat="1" ht="20.25" customHeight="1"/>
    <row r="53" s="156" customFormat="1" ht="20.25" customHeight="1"/>
    <row r="54" s="156" customFormat="1" ht="20.25" customHeight="1"/>
    <row r="55" s="156" customFormat="1" ht="20.25" customHeight="1"/>
    <row r="56" s="156" customFormat="1" ht="20.25" customHeight="1"/>
    <row r="57" s="156" customFormat="1" ht="20.25" customHeight="1"/>
    <row r="58" s="156" customFormat="1" ht="20.25" customHeight="1"/>
    <row r="59" s="156" customFormat="1" ht="20.25" customHeight="1"/>
    <row r="60" s="156" customFormat="1" ht="20.25" customHeight="1"/>
    <row r="61" s="156" customFormat="1" ht="20.25" customHeight="1"/>
    <row r="62" s="156" customFormat="1" ht="20.25" customHeight="1"/>
    <row r="63" s="156" customFormat="1" ht="20.25" customHeight="1"/>
    <row r="64" s="156" customFormat="1" ht="20.25" customHeight="1"/>
    <row r="65" s="156" customFormat="1" ht="20.25" customHeight="1"/>
    <row r="66" s="156" customFormat="1" ht="20.25" customHeight="1"/>
    <row r="67" s="156" customFormat="1" ht="20.25" customHeight="1"/>
  </sheetData>
  <sheetProtection password="CAEF" sheet="1" formatCells="0" formatRows="0"/>
  <mergeCells count="17">
    <mergeCell ref="F18:H19"/>
    <mergeCell ref="A19:D20"/>
    <mergeCell ref="A14:C14"/>
    <mergeCell ref="A15:C15"/>
    <mergeCell ref="A16:C16"/>
    <mergeCell ref="A18:B18"/>
    <mergeCell ref="J9:J16"/>
    <mergeCell ref="A1:D1"/>
    <mergeCell ref="A13:B13"/>
    <mergeCell ref="A17:C17"/>
    <mergeCell ref="A8:C8"/>
    <mergeCell ref="A9:C9"/>
    <mergeCell ref="A11:C11"/>
    <mergeCell ref="A10:C10"/>
    <mergeCell ref="F8:H8"/>
    <mergeCell ref="F9:H17"/>
    <mergeCell ref="A12:C12"/>
  </mergeCells>
  <phoneticPr fontId="41" type="noConversion"/>
  <conditionalFormatting sqref="B3">
    <cfRule type="expression" dxfId="227" priority="4">
      <formula>$B$3=""</formula>
    </cfRule>
  </conditionalFormatting>
  <conditionalFormatting sqref="B4">
    <cfRule type="expression" dxfId="226" priority="3">
      <formula>AND($B$3&lt;&gt;"",$B$4="")</formula>
    </cfRule>
  </conditionalFormatting>
  <conditionalFormatting sqref="B5">
    <cfRule type="expression" dxfId="225" priority="2">
      <formula>AND($B$3&lt;&gt;"",$B$4&lt;&gt;"",$B$5="")</formula>
    </cfRule>
  </conditionalFormatting>
  <conditionalFormatting sqref="B6">
    <cfRule type="expression" dxfId="224" priority="1">
      <formula>AND($B$3&lt;&gt;"",$B$4&lt;&gt;"",$B$5&lt;&gt;"",$B$6="")</formula>
    </cfRule>
  </conditionalFormatting>
  <conditionalFormatting sqref="D4">
    <cfRule type="expression" dxfId="223" priority="9">
      <formula>$D$4=""</formula>
    </cfRule>
  </conditionalFormatting>
  <dataValidations count="4">
    <dataValidation type="list" operator="equal" allowBlank="1" showErrorMessage="1" sqref="D11:D12" xr:uid="{00000000-0002-0000-0100-000000000000}">
      <formula1>Liste_ja</formula1>
      <formula2>0</formula2>
    </dataValidation>
    <dataValidation type="list" operator="equal" allowBlank="1" showInputMessage="1" showErrorMessage="1" sqref="D9:D10" xr:uid="{00000000-0002-0000-0100-000001000000}">
      <formula1>Liste_ja</formula1>
      <formula2>0</formula2>
    </dataValidation>
    <dataValidation type="list" operator="equal" allowBlank="1" showErrorMessage="1" sqref="D8" xr:uid="{00000000-0002-0000-0100-000002000000}">
      <formula1>Liste_ja</formula1>
    </dataValidation>
    <dataValidation type="custom" allowBlank="1" showInputMessage="1" showErrorMessage="1" errorTitle="Aufzeichnungen 2023-2026 möglich" error="Diese Version des LK Düngerrechner wurde für die Aufzeichnungen ab dem Erntejahr/Wirtschaftsjahr 2023 konzipiert und gilt voraussichtlich bis inkl. des Erntejahres 2026 (dies gilt vorbehaltlich rechlticher Änderungen)." sqref="D4" xr:uid="{00000000-0002-0000-0100-000003000000}">
      <formula1>AND($D$4&gt;=2023,$D$4&lt;=2026)</formula1>
    </dataValidation>
  </dataValidations>
  <hyperlinks>
    <hyperlink ref="H1" location="N_Bedarf!A1" display="►" xr:uid="{00000000-0004-0000-0100-000000000000}"/>
    <hyperlink ref="G1" location="Info!A3" display="◄" xr:uid="{00000000-0004-0000-0100-000001000000}"/>
    <hyperlink ref="J18" r:id="rId1" xr:uid="{00000000-0004-0000-0100-000002000000}"/>
  </hyperlinks>
  <printOptions horizontalCentered="1" verticalCentered="1"/>
  <pageMargins left="0.47244094488188981" right="0.43307086614173229" top="0.98425196850393704" bottom="0.74803149606299213" header="0.39370078740157483" footer="0.39370078740157483"/>
  <pageSetup paperSize="9" scale="110" firstPageNumber="0" orientation="portrait" blackAndWhite="1" horizontalDpi="300" verticalDpi="300" r:id="rId2"/>
  <headerFooter alignWithMargins="0">
    <oddHeader>&amp;R&amp;O</oddHeader>
    <oddFooter>&amp;L&amp;F&amp;C&amp;A&amp;R&amp;P von &amp;N</oddFooter>
  </headerFooter>
  <drawing r:id="rId3"/>
  <legacyDrawing r:id="rId4"/>
  <legacyDrawingHF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tabColor theme="8" tint="0.39997558519241921"/>
    <pageSetUpPr fitToPage="1"/>
  </sheetPr>
  <dimension ref="A1:AP110"/>
  <sheetViews>
    <sheetView showZeros="0" topLeftCell="A3" zoomScaleNormal="100" workbookViewId="0">
      <selection activeCell="Z14" sqref="Z14"/>
    </sheetView>
  </sheetViews>
  <sheetFormatPr baseColWidth="10" defaultRowHeight="12.75"/>
  <cols>
    <col min="1" max="1" width="26.28515625" customWidth="1"/>
    <col min="2" max="2" width="6.28515625" customWidth="1"/>
    <col min="3" max="3" width="7" customWidth="1"/>
    <col min="4" max="4" width="7.42578125" customWidth="1"/>
    <col min="5" max="5" width="7.7109375" customWidth="1"/>
    <col min="6" max="6" width="6.42578125" customWidth="1"/>
    <col min="7" max="23" width="6.28515625" customWidth="1"/>
    <col min="24" max="24" width="2.7109375" customWidth="1"/>
    <col min="25" max="25" width="21.28515625" customWidth="1"/>
    <col min="26" max="28" width="9.42578125" customWidth="1"/>
    <col min="29" max="29" width="7.140625" customWidth="1"/>
    <col min="30" max="30" width="7.42578125" customWidth="1"/>
    <col min="31" max="31" width="7.85546875" customWidth="1"/>
    <col min="32" max="32" width="6.7109375" customWidth="1"/>
    <col min="33" max="33" width="7.140625" customWidth="1"/>
    <col min="34" max="34" width="6.140625" hidden="1" customWidth="1"/>
    <col min="35" max="35" width="23.42578125" customWidth="1"/>
    <col min="36" max="36" width="11.85546875" customWidth="1"/>
    <col min="37" max="39" width="4.140625" customWidth="1"/>
    <col min="42" max="42" width="23.5703125" hidden="1" customWidth="1"/>
  </cols>
  <sheetData>
    <row r="1" spans="1:42" ht="26.25" customHeight="1">
      <c r="A1" s="1064" t="s">
        <v>325</v>
      </c>
      <c r="B1" s="1064"/>
      <c r="C1" s="1064"/>
      <c r="D1" s="1065"/>
      <c r="E1" s="1065"/>
      <c r="F1" s="3105" t="s">
        <v>293</v>
      </c>
      <c r="G1" s="3098">
        <f>Y8</f>
        <v>0</v>
      </c>
      <c r="H1" s="3098">
        <f>Y9</f>
        <v>0</v>
      </c>
      <c r="I1" s="3098">
        <f>Y10</f>
        <v>0</v>
      </c>
      <c r="J1" s="3098">
        <f>Y11</f>
        <v>0</v>
      </c>
      <c r="K1" s="3098">
        <f>Y12</f>
        <v>0</v>
      </c>
      <c r="L1" s="3092">
        <f>Y14</f>
        <v>0</v>
      </c>
      <c r="M1" s="3092">
        <f>Y15</f>
        <v>0</v>
      </c>
      <c r="N1" s="3092">
        <f>Y16</f>
        <v>0</v>
      </c>
      <c r="O1" s="3092">
        <f>Y17</f>
        <v>0</v>
      </c>
      <c r="P1" s="3092">
        <f>Y18</f>
        <v>0</v>
      </c>
      <c r="Q1" s="3092">
        <f>Y19</f>
        <v>0</v>
      </c>
      <c r="R1" s="3092">
        <f>Y20</f>
        <v>0</v>
      </c>
      <c r="S1" s="3092">
        <f>Y21</f>
        <v>0</v>
      </c>
      <c r="T1" s="3098">
        <f>Y23</f>
        <v>0</v>
      </c>
      <c r="U1" s="3098">
        <f>Y24</f>
        <v>0</v>
      </c>
      <c r="V1" s="3098">
        <f>Y25</f>
        <v>0</v>
      </c>
      <c r="W1" s="3098">
        <f>Y26</f>
        <v>0</v>
      </c>
      <c r="Y1" s="992" t="s">
        <v>338</v>
      </c>
      <c r="Z1" s="3099" t="s">
        <v>339</v>
      </c>
      <c r="AA1" s="3099"/>
      <c r="AB1" s="3097" t="s">
        <v>327</v>
      </c>
      <c r="AC1" s="3097"/>
      <c r="AD1" s="3097"/>
      <c r="AE1" s="3097"/>
      <c r="AF1" s="3097"/>
      <c r="AG1" s="3097"/>
      <c r="AH1" s="3097"/>
      <c r="AI1" s="3097"/>
      <c r="AJ1" s="3097"/>
      <c r="AP1" t="s">
        <v>2932</v>
      </c>
    </row>
    <row r="2" spans="1:42" ht="27.75" customHeight="1">
      <c r="A2" s="2519" t="s">
        <v>0</v>
      </c>
      <c r="B2" s="2519"/>
      <c r="C2" s="2519"/>
      <c r="D2" s="2519"/>
      <c r="E2" s="2519"/>
      <c r="F2" s="3105"/>
      <c r="G2" s="3098"/>
      <c r="H2" s="3098"/>
      <c r="I2" s="3098"/>
      <c r="J2" s="3098"/>
      <c r="K2" s="3098"/>
      <c r="L2" s="3092"/>
      <c r="M2" s="3092"/>
      <c r="N2" s="3092"/>
      <c r="O2" s="3092"/>
      <c r="P2" s="3092"/>
      <c r="Q2" s="3092"/>
      <c r="R2" s="3092"/>
      <c r="S2" s="3092"/>
      <c r="T2" s="3098"/>
      <c r="U2" s="3098"/>
      <c r="V2" s="3098"/>
      <c r="W2" s="3098"/>
      <c r="Y2" s="3094" t="s">
        <v>319</v>
      </c>
      <c r="Z2" s="3094"/>
      <c r="AA2" s="3094"/>
      <c r="AB2" s="3097"/>
      <c r="AC2" s="3097"/>
      <c r="AD2" s="3097"/>
      <c r="AE2" s="3097"/>
      <c r="AF2" s="3097"/>
      <c r="AG2" s="3097"/>
      <c r="AH2" s="3097"/>
      <c r="AI2" s="3097"/>
      <c r="AJ2" s="3097"/>
      <c r="AP2" s="2295" t="str">
        <f>Mineral!$R32</f>
        <v>eigener Dünger 1</v>
      </c>
    </row>
    <row r="3" spans="1:42" ht="22.5" customHeight="1">
      <c r="A3" s="3104">
        <f>Betrieb!B4</f>
        <v>0</v>
      </c>
      <c r="B3" s="3104"/>
      <c r="C3" s="3104"/>
      <c r="D3" s="3102" t="s">
        <v>423</v>
      </c>
      <c r="E3" s="3103"/>
      <c r="F3" s="3105"/>
      <c r="G3" s="3098"/>
      <c r="H3" s="3098"/>
      <c r="I3" s="3098"/>
      <c r="J3" s="3098"/>
      <c r="K3" s="3098"/>
      <c r="L3" s="3092"/>
      <c r="M3" s="3092"/>
      <c r="N3" s="3092"/>
      <c r="O3" s="3092"/>
      <c r="P3" s="3092"/>
      <c r="Q3" s="3092"/>
      <c r="R3" s="3092"/>
      <c r="S3" s="3092"/>
      <c r="T3" s="3098"/>
      <c r="U3" s="3098"/>
      <c r="V3" s="3098"/>
      <c r="W3" s="3098"/>
      <c r="Y3" s="3094"/>
      <c r="Z3" s="3094"/>
      <c r="AA3" s="3094"/>
      <c r="AB3" s="3097"/>
      <c r="AC3" s="3097"/>
      <c r="AD3" s="3097"/>
      <c r="AE3" s="3097"/>
      <c r="AF3" s="3097"/>
      <c r="AG3" s="3097"/>
      <c r="AH3" s="3097"/>
      <c r="AI3" s="3097"/>
      <c r="AJ3" s="3097"/>
      <c r="AP3" s="2295" t="str">
        <f>Mineral!$R33</f>
        <v>eigener Dünger 2</v>
      </c>
    </row>
    <row r="4" spans="1:42" ht="22.5" customHeight="1">
      <c r="A4" s="3104">
        <f>Betrieb!B5</f>
        <v>0</v>
      </c>
      <c r="B4" s="3104"/>
      <c r="C4" s="3104"/>
      <c r="D4" s="3100">
        <f>Betrieb!B3</f>
        <v>0</v>
      </c>
      <c r="E4" s="3101"/>
      <c r="F4" s="3105"/>
      <c r="G4" s="3098"/>
      <c r="H4" s="3098"/>
      <c r="I4" s="3098"/>
      <c r="J4" s="3098"/>
      <c r="K4" s="3098"/>
      <c r="L4" s="3092"/>
      <c r="M4" s="3092"/>
      <c r="N4" s="3092"/>
      <c r="O4" s="3092"/>
      <c r="P4" s="3092"/>
      <c r="Q4" s="3092"/>
      <c r="R4" s="3092"/>
      <c r="S4" s="3092"/>
      <c r="T4" s="3098"/>
      <c r="U4" s="3098"/>
      <c r="V4" s="3098"/>
      <c r="W4" s="3098"/>
      <c r="Y4" s="3094"/>
      <c r="Z4" s="3094"/>
      <c r="AA4" s="3094"/>
      <c r="AB4" s="3097"/>
      <c r="AC4" s="3097"/>
      <c r="AD4" s="3097"/>
      <c r="AE4" s="3097"/>
      <c r="AF4" s="3097"/>
      <c r="AG4" s="3097"/>
      <c r="AH4" s="3097"/>
      <c r="AI4" s="3097"/>
      <c r="AJ4" s="3097"/>
      <c r="AP4" s="2295" t="str">
        <f>Mineral!$R34</f>
        <v>eigener Dünger 3</v>
      </c>
    </row>
    <row r="5" spans="1:42" ht="22.5" customHeight="1">
      <c r="A5" s="3104">
        <f>Betrieb!B6</f>
        <v>0</v>
      </c>
      <c r="B5" s="3104"/>
      <c r="C5" s="3104"/>
      <c r="D5" s="1125" t="s">
        <v>424</v>
      </c>
      <c r="E5" s="1126">
        <f>Betrieb!D4</f>
        <v>2025</v>
      </c>
      <c r="F5" s="3105"/>
      <c r="G5" s="3098"/>
      <c r="H5" s="3098"/>
      <c r="I5" s="3098"/>
      <c r="J5" s="3098"/>
      <c r="K5" s="3098"/>
      <c r="L5" s="3092"/>
      <c r="M5" s="3092"/>
      <c r="N5" s="3092"/>
      <c r="O5" s="3092"/>
      <c r="P5" s="3092"/>
      <c r="Q5" s="3092"/>
      <c r="R5" s="3092"/>
      <c r="S5" s="3092"/>
      <c r="T5" s="3098"/>
      <c r="U5" s="3098"/>
      <c r="V5" s="3098"/>
      <c r="W5" s="3098"/>
      <c r="Y5" s="3094"/>
      <c r="Z5" s="3094"/>
      <c r="AA5" s="3094"/>
      <c r="AB5" s="3097"/>
      <c r="AC5" s="3097"/>
      <c r="AD5" s="3097"/>
      <c r="AE5" s="3097"/>
      <c r="AF5" s="3097"/>
      <c r="AG5" s="3097"/>
      <c r="AH5" s="3097"/>
      <c r="AI5" s="3097"/>
      <c r="AJ5" s="3097"/>
      <c r="AP5" s="2295" t="str">
        <f>Mineral!$R35</f>
        <v>eigener Dünger 4</v>
      </c>
    </row>
    <row r="6" spans="1:42" ht="6" customHeight="1">
      <c r="A6" s="767"/>
      <c r="B6" s="767"/>
      <c r="G6" s="302"/>
      <c r="H6" s="302"/>
      <c r="I6" s="302"/>
      <c r="J6" s="302"/>
      <c r="K6" s="302"/>
      <c r="L6" s="302"/>
      <c r="M6" s="302"/>
      <c r="N6" s="302"/>
      <c r="O6" s="302"/>
      <c r="P6" s="302"/>
      <c r="Q6" s="302"/>
      <c r="R6" s="302"/>
      <c r="S6" s="302"/>
      <c r="T6" s="302"/>
      <c r="U6" s="302"/>
      <c r="V6" s="302"/>
      <c r="W6" s="302"/>
      <c r="Y6" s="3094"/>
      <c r="Z6" s="3094"/>
      <c r="AA6" s="3094"/>
      <c r="AB6" s="3097"/>
      <c r="AC6" s="3097"/>
      <c r="AD6" s="3097"/>
      <c r="AE6" s="3097"/>
      <c r="AF6" s="3097"/>
      <c r="AG6" s="3097"/>
      <c r="AH6" s="3097"/>
      <c r="AI6" s="3097"/>
      <c r="AJ6" s="3097"/>
      <c r="AP6" s="2295" t="str">
        <f>Mineral!$R36</f>
        <v>eigener Dünger 5</v>
      </c>
    </row>
    <row r="7" spans="1:42" ht="41.25" customHeight="1">
      <c r="A7" s="1095" t="s">
        <v>316</v>
      </c>
      <c r="B7" s="1096" t="s">
        <v>895</v>
      </c>
      <c r="C7" s="1097" t="s">
        <v>294</v>
      </c>
      <c r="D7" s="1097" t="s">
        <v>295</v>
      </c>
      <c r="E7" s="1097" t="s">
        <v>297</v>
      </c>
      <c r="F7" s="1097" t="s">
        <v>296</v>
      </c>
      <c r="G7" s="1098" t="s">
        <v>323</v>
      </c>
      <c r="H7" s="1099"/>
      <c r="I7" s="1099"/>
      <c r="J7" s="1099"/>
      <c r="K7" s="1099"/>
      <c r="L7" s="1099"/>
      <c r="M7" s="1099"/>
      <c r="N7" s="1099"/>
      <c r="O7" s="1099"/>
      <c r="P7" s="1099"/>
      <c r="Q7" s="1099"/>
      <c r="R7" s="1099"/>
      <c r="S7" s="1099"/>
      <c r="T7" s="1099"/>
      <c r="U7" s="1099"/>
      <c r="V7" s="1099"/>
      <c r="W7" s="1099"/>
      <c r="Y7" s="1093" t="s">
        <v>326</v>
      </c>
      <c r="Z7" s="1094" t="s">
        <v>302</v>
      </c>
      <c r="AA7" s="1094" t="s">
        <v>318</v>
      </c>
      <c r="AB7" s="1087" t="s">
        <v>324</v>
      </c>
      <c r="AC7" s="1088" t="s">
        <v>299</v>
      </c>
      <c r="AD7" s="1088" t="s">
        <v>300</v>
      </c>
      <c r="AE7" s="1089" t="s">
        <v>334</v>
      </c>
      <c r="AF7" s="1089" t="s">
        <v>612</v>
      </c>
      <c r="AG7" s="1089" t="s">
        <v>613</v>
      </c>
      <c r="AH7" s="1090" t="s">
        <v>301</v>
      </c>
      <c r="AI7" s="1091" t="s">
        <v>308</v>
      </c>
      <c r="AJ7" s="1092" t="s">
        <v>311</v>
      </c>
      <c r="AP7" s="2295" t="str">
        <f>Mineral!$R37</f>
        <v>eigener Dünger 6</v>
      </c>
    </row>
    <row r="8" spans="1:42" ht="27.2" customHeight="1">
      <c r="A8" s="993">
        <f>N_Bedarf!C5</f>
        <v>0</v>
      </c>
      <c r="B8" s="994">
        <f>N_Bedarf!E5</f>
        <v>0</v>
      </c>
      <c r="C8" s="995">
        <f>N_Bedarf!F5</f>
        <v>0</v>
      </c>
      <c r="D8" s="996">
        <f>IF(AND(N_Bedarf!H5&gt;0,N_Bedarf!H5&lt;N_Bedarf!I5,N_Bedarf!I5&gt;0),N_Bedarf!H5,IF(AND(ISBLANK(N_Bedarf!I5),N_Bedarf!H5&gt;0),N_Bedarf!H5,N_Bedarf!I5))</f>
        <v>0</v>
      </c>
      <c r="E8" s="991">
        <f t="shared" ref="E8:E21" si="0">F37</f>
        <v>0</v>
      </c>
      <c r="F8" s="997">
        <f t="shared" ref="F8:F21" si="1">E8-D8</f>
        <v>0</v>
      </c>
      <c r="G8" s="998"/>
      <c r="H8" s="998"/>
      <c r="I8" s="998"/>
      <c r="J8" s="998"/>
      <c r="K8" s="998"/>
      <c r="L8" s="998"/>
      <c r="M8" s="998"/>
      <c r="N8" s="998"/>
      <c r="O8" s="998"/>
      <c r="P8" s="998"/>
      <c r="Q8" s="998"/>
      <c r="R8" s="998"/>
      <c r="S8" s="998"/>
      <c r="T8" s="998"/>
      <c r="U8" s="998"/>
      <c r="V8" s="998"/>
      <c r="W8" s="998"/>
      <c r="X8" s="440"/>
      <c r="Y8" s="976"/>
      <c r="Z8" s="977">
        <f>IF(ISNA(Tabelle1!W168),0,Tabelle1!W168)</f>
        <v>0</v>
      </c>
      <c r="AA8" s="977">
        <f>G81</f>
        <v>0</v>
      </c>
      <c r="AB8" s="978">
        <f>IF(AA8=0,0,Z8-AA8)</f>
        <v>0</v>
      </c>
      <c r="AC8" s="979">
        <f>IF(ISNA(Tabelle1!U168),0,Tabelle1!X168)</f>
        <v>0</v>
      </c>
      <c r="AD8" s="979">
        <f>IF(ISNA(Tabelle1!U168),0,Tabelle1!Y168)</f>
        <v>0</v>
      </c>
      <c r="AE8" s="980">
        <f>IF(ISNA(Tabelle1!U168),0,Tabelle1!Z168)</f>
        <v>0</v>
      </c>
      <c r="AF8" s="980">
        <f>IF(ISNA(Tabelle1!U168),0,Tabelle1!AA168)</f>
        <v>0</v>
      </c>
      <c r="AG8" s="980">
        <f>IF(ISNA(Tabelle1!U168),0,Tabelle1!AB168)</f>
        <v>0</v>
      </c>
      <c r="AH8" s="981">
        <f>IF(ISNA(Tabelle1!U168),0,Tabelle1!AC168)</f>
        <v>0</v>
      </c>
      <c r="AI8" s="982" t="str">
        <f>IF(AA8&gt;Z8,"Mehr verplant als vorhanden!",IF(AA8&lt;Z8,"Noch Dünger im Bestand!","Ok!"))</f>
        <v>Ok!</v>
      </c>
      <c r="AJ8" s="978">
        <f>G$107</f>
        <v>0</v>
      </c>
      <c r="AP8" s="2295" t="str">
        <f>Mineral!$R38</f>
        <v>eigener Dünger 7</v>
      </c>
    </row>
    <row r="9" spans="1:42" ht="27.2" customHeight="1">
      <c r="A9" s="993">
        <f>N_Bedarf!C6</f>
        <v>0</v>
      </c>
      <c r="B9" s="994">
        <f>N_Bedarf!E6</f>
        <v>0</v>
      </c>
      <c r="C9" s="995">
        <f>N_Bedarf!F6</f>
        <v>0</v>
      </c>
      <c r="D9" s="996">
        <f>IF(AND(N_Bedarf!H6&gt;0,N_Bedarf!H6&lt;N_Bedarf!I6,N_Bedarf!I6&gt;0),N_Bedarf!H6,IF(AND(ISBLANK(N_Bedarf!I6),N_Bedarf!H6&gt;0),N_Bedarf!H6,N_Bedarf!I6))</f>
        <v>0</v>
      </c>
      <c r="E9" s="991">
        <f t="shared" si="0"/>
        <v>0</v>
      </c>
      <c r="F9" s="997">
        <f t="shared" si="1"/>
        <v>0</v>
      </c>
      <c r="G9" s="998"/>
      <c r="H9" s="998"/>
      <c r="I9" s="998"/>
      <c r="J9" s="998"/>
      <c r="K9" s="998"/>
      <c r="L9" s="998"/>
      <c r="M9" s="998"/>
      <c r="N9" s="998"/>
      <c r="O9" s="998"/>
      <c r="P9" s="998"/>
      <c r="Q9" s="998"/>
      <c r="R9" s="998"/>
      <c r="S9" s="998"/>
      <c r="T9" s="998"/>
      <c r="U9" s="998"/>
      <c r="V9" s="998"/>
      <c r="W9" s="998"/>
      <c r="X9" s="440"/>
      <c r="Y9" s="976"/>
      <c r="Z9" s="977">
        <f>IF(ISNA(Tabelle1!W169),0,Tabelle1!W169)</f>
        <v>0</v>
      </c>
      <c r="AA9" s="977">
        <f>H81</f>
        <v>0</v>
      </c>
      <c r="AB9" s="978">
        <f>IF(AA9=0,0,Z9-AA9)</f>
        <v>0</v>
      </c>
      <c r="AC9" s="979">
        <f>IF(ISNA(Tabelle1!U169),0,Tabelle1!X169)</f>
        <v>0</v>
      </c>
      <c r="AD9" s="979">
        <f>IF(ISNA(Tabelle1!U169),0,Tabelle1!Y169)</f>
        <v>0</v>
      </c>
      <c r="AE9" s="980">
        <f>IF(ISNA(Tabelle1!U169),0,Tabelle1!Z169)</f>
        <v>0</v>
      </c>
      <c r="AF9" s="980">
        <f>IF(ISNA(Tabelle1!U169),0,Tabelle1!AA169)</f>
        <v>0</v>
      </c>
      <c r="AG9" s="980">
        <f>IF(ISNA(Tabelle1!U169),0,Tabelle1!AB169)</f>
        <v>0</v>
      </c>
      <c r="AH9" s="981">
        <f>IF(ISNA(Tabelle1!U169),0,Tabelle1!AC169)</f>
        <v>0</v>
      </c>
      <c r="AI9" s="982" t="str">
        <f>IF(AA9&gt;Z9,"Mehr verplant als vorhanden!",IF(AA9&lt;Z9,"Noch Dünger im Bestand!","Ok!"))</f>
        <v>Ok!</v>
      </c>
      <c r="AJ9" s="978">
        <f>H$107</f>
        <v>0</v>
      </c>
      <c r="AP9" s="2295" t="str">
        <f>Mineral!$R39</f>
        <v>eigener Dünger 8</v>
      </c>
    </row>
    <row r="10" spans="1:42" ht="27.2" customHeight="1">
      <c r="A10" s="993">
        <f>N_Bedarf!C7</f>
        <v>0</v>
      </c>
      <c r="B10" s="994">
        <f>N_Bedarf!E7</f>
        <v>0</v>
      </c>
      <c r="C10" s="995">
        <f>N_Bedarf!F7</f>
        <v>0</v>
      </c>
      <c r="D10" s="996">
        <f>IF(AND(N_Bedarf!H7&gt;0,N_Bedarf!H7&lt;N_Bedarf!I7,N_Bedarf!I7&gt;0),N_Bedarf!H7,IF(AND(ISBLANK(N_Bedarf!I7),N_Bedarf!H7&gt;0),N_Bedarf!H7,N_Bedarf!I7))</f>
        <v>0</v>
      </c>
      <c r="E10" s="991">
        <f t="shared" si="0"/>
        <v>0</v>
      </c>
      <c r="F10" s="997">
        <f t="shared" si="1"/>
        <v>0</v>
      </c>
      <c r="G10" s="998"/>
      <c r="H10" s="998"/>
      <c r="I10" s="998"/>
      <c r="J10" s="998"/>
      <c r="K10" s="998"/>
      <c r="L10" s="998"/>
      <c r="M10" s="998"/>
      <c r="N10" s="998"/>
      <c r="O10" s="998"/>
      <c r="P10" s="998"/>
      <c r="Q10" s="998"/>
      <c r="R10" s="998"/>
      <c r="S10" s="998"/>
      <c r="T10" s="998"/>
      <c r="U10" s="998"/>
      <c r="V10" s="998"/>
      <c r="W10" s="998"/>
      <c r="X10" s="440"/>
      <c r="Y10" s="976"/>
      <c r="Z10" s="977">
        <f>IF(ISNA(Tabelle1!W170),0,Tabelle1!W170)</f>
        <v>0</v>
      </c>
      <c r="AA10" s="977">
        <f>I81</f>
        <v>0</v>
      </c>
      <c r="AB10" s="978">
        <f>IF(AA10=0,0,Z10-AA10)</f>
        <v>0</v>
      </c>
      <c r="AC10" s="979">
        <f>IF(ISNA(Tabelle1!U170),0,Tabelle1!X170)</f>
        <v>0</v>
      </c>
      <c r="AD10" s="979">
        <f>IF(ISNA(Tabelle1!U170),0,Tabelle1!Y170)</f>
        <v>0</v>
      </c>
      <c r="AE10" s="980">
        <f>IF(ISNA(Tabelle1!U170),0,Tabelle1!Z170)</f>
        <v>0</v>
      </c>
      <c r="AF10" s="980">
        <f>IF(ISNA(Tabelle1!U170),0,Tabelle1!AA170)</f>
        <v>0</v>
      </c>
      <c r="AG10" s="980">
        <f>IF(ISNA(Tabelle1!U170),0,Tabelle1!AB170)</f>
        <v>0</v>
      </c>
      <c r="AH10" s="981">
        <f>IF(ISNA(Tabelle1!U170),0,Tabelle1!AC170)</f>
        <v>0</v>
      </c>
      <c r="AI10" s="982" t="str">
        <f>IF(AA10&gt;Z10,"Mehr verplant als vorhanden!",IF(AA10&lt;Z10,"Noch Dünger im Bestand!","Ok!"))</f>
        <v>Ok!</v>
      </c>
      <c r="AJ10" s="978">
        <f>I$107</f>
        <v>0</v>
      </c>
      <c r="AP10" s="2295" t="str">
        <f>Mineral!$R40</f>
        <v>eigener Dünger 9</v>
      </c>
    </row>
    <row r="11" spans="1:42" ht="27.2" customHeight="1">
      <c r="A11" s="993">
        <f>N_Bedarf!C8</f>
        <v>0</v>
      </c>
      <c r="B11" s="994">
        <f>N_Bedarf!E8</f>
        <v>0</v>
      </c>
      <c r="C11" s="995">
        <f>N_Bedarf!F8</f>
        <v>0</v>
      </c>
      <c r="D11" s="996">
        <f>IF(AND(N_Bedarf!H8&gt;0,N_Bedarf!H8&lt;N_Bedarf!I8,N_Bedarf!I8&gt;0),N_Bedarf!H8,IF(AND(ISBLANK(N_Bedarf!I8),N_Bedarf!H8&gt;0),N_Bedarf!H8,N_Bedarf!I8))</f>
        <v>0</v>
      </c>
      <c r="E11" s="991">
        <f t="shared" si="0"/>
        <v>0</v>
      </c>
      <c r="F11" s="997">
        <f t="shared" si="1"/>
        <v>0</v>
      </c>
      <c r="G11" s="998"/>
      <c r="H11" s="998"/>
      <c r="I11" s="998"/>
      <c r="J11" s="998"/>
      <c r="K11" s="998"/>
      <c r="L11" s="998"/>
      <c r="M11" s="998"/>
      <c r="N11" s="998"/>
      <c r="O11" s="998"/>
      <c r="P11" s="998"/>
      <c r="Q11" s="998"/>
      <c r="R11" s="998"/>
      <c r="S11" s="998"/>
      <c r="T11" s="998"/>
      <c r="U11" s="998"/>
      <c r="V11" s="998"/>
      <c r="W11" s="998"/>
      <c r="X11" s="440"/>
      <c r="Y11" s="976"/>
      <c r="Z11" s="977">
        <f>IF(ISNA(Tabelle1!W171),0,Tabelle1!W171)</f>
        <v>0</v>
      </c>
      <c r="AA11" s="977">
        <f>J81</f>
        <v>0</v>
      </c>
      <c r="AB11" s="978">
        <f>IF(AA11=0,0,Z11-AA11)</f>
        <v>0</v>
      </c>
      <c r="AC11" s="979">
        <f>IF(ISNA(Tabelle1!U171),0,Tabelle1!X171)</f>
        <v>0</v>
      </c>
      <c r="AD11" s="979">
        <f>IF(ISNA(Tabelle1!U171),0,Tabelle1!Y171)</f>
        <v>0</v>
      </c>
      <c r="AE11" s="980">
        <f>IF(ISNA(Tabelle1!U171),0,Tabelle1!Z171)</f>
        <v>0</v>
      </c>
      <c r="AF11" s="980">
        <f>IF(ISNA(Tabelle1!U171),0,Tabelle1!AA171)</f>
        <v>0</v>
      </c>
      <c r="AG11" s="980">
        <f>IF(ISNA(Tabelle1!U171),0,Tabelle1!AB171)</f>
        <v>0</v>
      </c>
      <c r="AH11" s="981">
        <f>IF(ISNA(Tabelle1!U171),0,Tabelle1!AC171)</f>
        <v>0</v>
      </c>
      <c r="AI11" s="982" t="str">
        <f>IF(AA11&gt;Z11,"Mehr verplant als vorhanden!",IF(AA11&lt;Z11,"Noch Dünger im Bestand!","Ok!"))</f>
        <v>Ok!</v>
      </c>
      <c r="AJ11" s="978">
        <f>J$107</f>
        <v>0</v>
      </c>
      <c r="AP11" s="2295" t="str">
        <f>Mineral!$R41</f>
        <v>eigener Dünger 10</v>
      </c>
    </row>
    <row r="12" spans="1:42" ht="27.2" customHeight="1">
      <c r="A12" s="993">
        <f>N_Bedarf!C9</f>
        <v>0</v>
      </c>
      <c r="B12" s="994">
        <f>N_Bedarf!E9</f>
        <v>0</v>
      </c>
      <c r="C12" s="995">
        <f>N_Bedarf!F9</f>
        <v>0</v>
      </c>
      <c r="D12" s="996">
        <f>IF(AND(N_Bedarf!H9&gt;0,N_Bedarf!H9&lt;N_Bedarf!I9,N_Bedarf!I9&gt;0),N_Bedarf!H9,IF(AND(ISBLANK(N_Bedarf!I9),N_Bedarf!H9&gt;0),N_Bedarf!H9,N_Bedarf!I9))</f>
        <v>0</v>
      </c>
      <c r="E12" s="991">
        <f t="shared" si="0"/>
        <v>0</v>
      </c>
      <c r="F12" s="997">
        <f t="shared" si="1"/>
        <v>0</v>
      </c>
      <c r="G12" s="998"/>
      <c r="H12" s="998"/>
      <c r="I12" s="998"/>
      <c r="J12" s="998"/>
      <c r="K12" s="998"/>
      <c r="L12" s="998"/>
      <c r="M12" s="998"/>
      <c r="N12" s="998"/>
      <c r="O12" s="998"/>
      <c r="P12" s="998"/>
      <c r="Q12" s="998"/>
      <c r="R12" s="998"/>
      <c r="S12" s="998"/>
      <c r="T12" s="998"/>
      <c r="U12" s="998"/>
      <c r="V12" s="998"/>
      <c r="W12" s="998"/>
      <c r="X12" s="440"/>
      <c r="Y12" s="976"/>
      <c r="Z12" s="977">
        <f>IF(ISNA(Tabelle1!W172),0,Tabelle1!W172)</f>
        <v>0</v>
      </c>
      <c r="AA12" s="977">
        <f>K81</f>
        <v>0</v>
      </c>
      <c r="AB12" s="978">
        <f>IF(AA12=0,0,Z12-AA12)</f>
        <v>0</v>
      </c>
      <c r="AC12" s="979">
        <f>IF(ISNA(Tabelle1!U172),0,Tabelle1!X172)</f>
        <v>0</v>
      </c>
      <c r="AD12" s="979">
        <f>IF(ISNA(Tabelle1!U172),0,Tabelle1!Y172)</f>
        <v>0</v>
      </c>
      <c r="AE12" s="980">
        <f>IF(ISNA(Tabelle1!U172),0,Tabelle1!Z172)</f>
        <v>0</v>
      </c>
      <c r="AF12" s="980">
        <f>IF(ISNA(Tabelle1!U172),0,Tabelle1!AA172)</f>
        <v>0</v>
      </c>
      <c r="AG12" s="980">
        <f>IF(ISNA(Tabelle1!U172),0,Tabelle1!AB172)</f>
        <v>0</v>
      </c>
      <c r="AH12" s="981">
        <f>IF(ISNA(Tabelle1!U172),0,Tabelle1!AC172)</f>
        <v>0</v>
      </c>
      <c r="AI12" s="982" t="str">
        <f>IF(AA12&gt;Z12,"Mehr verplant als vorhanden!",IF(AA12&lt;Z12,"Noch Dünger im Bestand!","Ok!"))</f>
        <v>Ok!</v>
      </c>
      <c r="AJ12" s="978">
        <f>J$107</f>
        <v>0</v>
      </c>
      <c r="AP12" s="2295" t="str">
        <f>Mineral!$R42</f>
        <v/>
      </c>
    </row>
    <row r="13" spans="1:42" ht="27.2" customHeight="1">
      <c r="A13" s="993">
        <f>N_Bedarf!C10</f>
        <v>0</v>
      </c>
      <c r="B13" s="994">
        <f>N_Bedarf!E10</f>
        <v>0</v>
      </c>
      <c r="C13" s="995">
        <f>N_Bedarf!F10</f>
        <v>0</v>
      </c>
      <c r="D13" s="996">
        <f>IF(AND(N_Bedarf!H10&gt;0,N_Bedarf!H10&lt;N_Bedarf!I10,N_Bedarf!I10&gt;0),N_Bedarf!H10,IF(AND(ISBLANK(N_Bedarf!I10),N_Bedarf!H10&gt;0),N_Bedarf!H10,N_Bedarf!I10))</f>
        <v>0</v>
      </c>
      <c r="E13" s="991">
        <f t="shared" si="0"/>
        <v>0</v>
      </c>
      <c r="F13" s="997">
        <f t="shared" si="1"/>
        <v>0</v>
      </c>
      <c r="G13" s="998"/>
      <c r="H13" s="998"/>
      <c r="I13" s="998"/>
      <c r="J13" s="998"/>
      <c r="K13" s="998"/>
      <c r="L13" s="998"/>
      <c r="M13" s="998"/>
      <c r="N13" s="998"/>
      <c r="O13" s="998"/>
      <c r="P13" s="998"/>
      <c r="Q13" s="998"/>
      <c r="R13" s="998"/>
      <c r="S13" s="998"/>
      <c r="T13" s="998"/>
      <c r="U13" s="998"/>
      <c r="V13" s="998"/>
      <c r="W13" s="998"/>
      <c r="X13" s="440"/>
      <c r="Y13" s="983" t="s">
        <v>307</v>
      </c>
      <c r="Z13" s="984"/>
      <c r="AA13" s="984"/>
      <c r="AB13" s="984"/>
      <c r="AC13" s="984"/>
      <c r="AD13" s="984"/>
      <c r="AE13" s="984"/>
      <c r="AF13" s="984"/>
      <c r="AG13" s="984"/>
      <c r="AH13" s="984"/>
      <c r="AI13" s="985"/>
      <c r="AJ13" s="984"/>
      <c r="AP13" s="2295" t="str">
        <f>Mineral!$R43</f>
        <v/>
      </c>
    </row>
    <row r="14" spans="1:42" ht="27.2" customHeight="1">
      <c r="A14" s="993">
        <f>N_Bedarf!C11</f>
        <v>0</v>
      </c>
      <c r="B14" s="994">
        <f>N_Bedarf!E11</f>
        <v>0</v>
      </c>
      <c r="C14" s="995">
        <f>N_Bedarf!F11</f>
        <v>0</v>
      </c>
      <c r="D14" s="996">
        <f>IF(AND(N_Bedarf!H11&gt;0,N_Bedarf!H11&lt;N_Bedarf!I11,N_Bedarf!I11&gt;0),N_Bedarf!H11,IF(AND(ISBLANK(N_Bedarf!I11),N_Bedarf!H11&gt;0),N_Bedarf!H11,N_Bedarf!I11))</f>
        <v>0</v>
      </c>
      <c r="E14" s="991">
        <f t="shared" si="0"/>
        <v>0</v>
      </c>
      <c r="F14" s="997">
        <f t="shared" si="1"/>
        <v>0</v>
      </c>
      <c r="G14" s="998"/>
      <c r="H14" s="998"/>
      <c r="I14" s="998"/>
      <c r="J14" s="998"/>
      <c r="K14" s="998"/>
      <c r="L14" s="998"/>
      <c r="M14" s="998"/>
      <c r="N14" s="998"/>
      <c r="O14" s="998"/>
      <c r="P14" s="998"/>
      <c r="Q14" s="998"/>
      <c r="R14" s="998"/>
      <c r="S14" s="998"/>
      <c r="T14" s="998"/>
      <c r="U14" s="998"/>
      <c r="V14" s="998"/>
      <c r="W14" s="998"/>
      <c r="X14" s="440"/>
      <c r="Y14" s="986"/>
      <c r="Z14" s="977">
        <f>IF(ISNA(VLOOKUP(Y14,Tabelle1!$C$188:$Q$212,2,0)),0,VLOOKUP(Y14,Tabelle1!$C$188:$Q$212,2,0))</f>
        <v>0</v>
      </c>
      <c r="AA14" s="977">
        <f>L81</f>
        <v>0</v>
      </c>
      <c r="AB14" s="978">
        <f>IF(AA14=0,0,Z14-AA14)</f>
        <v>0</v>
      </c>
      <c r="AC14" s="979">
        <f>IF(ISNA(Tabelle1!U174),0,Tabelle1!X174)</f>
        <v>0</v>
      </c>
      <c r="AD14" s="979">
        <f>IF(ISNA(Tabelle1!U174),0,Tabelle1!Y174)</f>
        <v>0</v>
      </c>
      <c r="AE14" s="987">
        <f>IF(ISNA(Tabelle1!U174),0,Tabelle1!Z174)</f>
        <v>0</v>
      </c>
      <c r="AF14" s="987">
        <f>IF(ISNA(Tabelle1!U174),0,Tabelle1!AA174)</f>
        <v>0</v>
      </c>
      <c r="AG14" s="987">
        <f>IF(ISNA(Tabelle1!U174),0,Tabelle1!AB174)</f>
        <v>0</v>
      </c>
      <c r="AH14" s="981">
        <f>IF(ISNA(Tabelle1!U174),0,Tabelle1!AC174)</f>
        <v>0</v>
      </c>
      <c r="AI14" s="982" t="str">
        <f t="shared" ref="AI14:AI21" si="2">IF(AA14&gt;Z14,"Mehr verplant als vorhanden!",IF(AA14&lt;Z14,"Noch Dünger im Bestand!","Ok!"))</f>
        <v>Ok!</v>
      </c>
      <c r="AJ14" s="978">
        <f>L$107</f>
        <v>0</v>
      </c>
      <c r="AP14" s="2295" t="str">
        <f>Mineral!$R44</f>
        <v/>
      </c>
    </row>
    <row r="15" spans="1:42" ht="27.2" customHeight="1">
      <c r="A15" s="993">
        <f>N_Bedarf!C12</f>
        <v>0</v>
      </c>
      <c r="B15" s="994">
        <f>N_Bedarf!E12</f>
        <v>0</v>
      </c>
      <c r="C15" s="995">
        <f>N_Bedarf!F12</f>
        <v>0</v>
      </c>
      <c r="D15" s="996">
        <f>IF(AND(N_Bedarf!H12&gt;0,N_Bedarf!H12&lt;N_Bedarf!I12,N_Bedarf!I12&gt;0),N_Bedarf!H12,IF(AND(ISBLANK(N_Bedarf!I12),N_Bedarf!H12&gt;0),N_Bedarf!H12,N_Bedarf!I12))</f>
        <v>0</v>
      </c>
      <c r="E15" s="991">
        <f t="shared" si="0"/>
        <v>0</v>
      </c>
      <c r="F15" s="997">
        <f t="shared" si="1"/>
        <v>0</v>
      </c>
      <c r="G15" s="998"/>
      <c r="H15" s="998"/>
      <c r="I15" s="998"/>
      <c r="J15" s="998"/>
      <c r="K15" s="998"/>
      <c r="L15" s="998"/>
      <c r="M15" s="998"/>
      <c r="N15" s="998"/>
      <c r="O15" s="998"/>
      <c r="P15" s="998"/>
      <c r="Q15" s="998"/>
      <c r="R15" s="998"/>
      <c r="S15" s="998"/>
      <c r="T15" s="998"/>
      <c r="U15" s="998"/>
      <c r="V15" s="998"/>
      <c r="W15" s="998"/>
      <c r="X15" s="440"/>
      <c r="Y15" s="986"/>
      <c r="Z15" s="977">
        <f>IF(ISNA(VLOOKUP(Y15,Tabelle1!$C$188:$Q$212,2,0)),0,VLOOKUP(Y15,Tabelle1!$C$188:$Q$212,2,0))</f>
        <v>0</v>
      </c>
      <c r="AA15" s="977">
        <f>M81</f>
        <v>0</v>
      </c>
      <c r="AB15" s="978">
        <f t="shared" ref="AB15:AB21" si="3">IF(AA15=0,0,Z15-AA15)</f>
        <v>0</v>
      </c>
      <c r="AC15" s="979">
        <f>IF(ISNA(Tabelle1!U175),0,Tabelle1!X175)</f>
        <v>0</v>
      </c>
      <c r="AD15" s="979">
        <f>IF(ISNA(Tabelle1!U175),0,Tabelle1!Y175)</f>
        <v>0</v>
      </c>
      <c r="AE15" s="987">
        <f>IF(ISNA(Tabelle1!U175),0,Tabelle1!Z175)</f>
        <v>0</v>
      </c>
      <c r="AF15" s="987">
        <f>IF(ISNA(Tabelle1!U175),0,Tabelle1!AA175)</f>
        <v>0</v>
      </c>
      <c r="AG15" s="987">
        <f>IF(ISNA(Tabelle1!U175),0,Tabelle1!AB175)</f>
        <v>0</v>
      </c>
      <c r="AH15" s="981">
        <f>IF(ISNA(Tabelle1!U175),0,Tabelle1!AC175)</f>
        <v>0</v>
      </c>
      <c r="AI15" s="982" t="str">
        <f t="shared" si="2"/>
        <v>Ok!</v>
      </c>
      <c r="AJ15" s="978">
        <f>M$107</f>
        <v>0</v>
      </c>
      <c r="AP15" s="2295" t="str">
        <f>Mineral!$R45</f>
        <v/>
      </c>
    </row>
    <row r="16" spans="1:42" ht="27.2" customHeight="1">
      <c r="A16" s="993">
        <f>N_Bedarf!C13</f>
        <v>0</v>
      </c>
      <c r="B16" s="994">
        <f>N_Bedarf!E13</f>
        <v>0</v>
      </c>
      <c r="C16" s="995">
        <f>N_Bedarf!F13</f>
        <v>0</v>
      </c>
      <c r="D16" s="996">
        <f>IF(AND(N_Bedarf!H13&gt;0,N_Bedarf!H13&lt;N_Bedarf!I13,N_Bedarf!I13&gt;0),N_Bedarf!H13,IF(AND(ISBLANK(N_Bedarf!I13),N_Bedarf!H13&gt;0),N_Bedarf!H13,N_Bedarf!I13))</f>
        <v>0</v>
      </c>
      <c r="E16" s="991">
        <f t="shared" si="0"/>
        <v>0</v>
      </c>
      <c r="F16" s="997">
        <f t="shared" si="1"/>
        <v>0</v>
      </c>
      <c r="G16" s="998"/>
      <c r="H16" s="998"/>
      <c r="I16" s="998"/>
      <c r="J16" s="998"/>
      <c r="K16" s="998"/>
      <c r="L16" s="998"/>
      <c r="M16" s="998"/>
      <c r="N16" s="998"/>
      <c r="O16" s="998"/>
      <c r="P16" s="998"/>
      <c r="Q16" s="998"/>
      <c r="R16" s="998"/>
      <c r="S16" s="998"/>
      <c r="T16" s="998"/>
      <c r="U16" s="998"/>
      <c r="V16" s="998"/>
      <c r="W16" s="998"/>
      <c r="X16" s="440"/>
      <c r="Y16" s="986"/>
      <c r="Z16" s="977">
        <f>IF(ISNA(VLOOKUP(Y16,Tabelle1!$C$188:$Q$212,2,0)),0,VLOOKUP(Y16,Tabelle1!$C$188:$Q$212,2,0))</f>
        <v>0</v>
      </c>
      <c r="AA16" s="977">
        <f>N81</f>
        <v>0</v>
      </c>
      <c r="AB16" s="978">
        <f t="shared" si="3"/>
        <v>0</v>
      </c>
      <c r="AC16" s="979">
        <f>IF(ISNA(Tabelle1!U176),0,Tabelle1!X176)</f>
        <v>0</v>
      </c>
      <c r="AD16" s="979">
        <f>IF(ISNA(Tabelle1!U176),0,Tabelle1!Y176)</f>
        <v>0</v>
      </c>
      <c r="AE16" s="987">
        <f>IF(ISNA(Tabelle1!U176),0,Tabelle1!Z176)</f>
        <v>0</v>
      </c>
      <c r="AF16" s="987">
        <f>IF(ISNA(Tabelle1!U176),0,Tabelle1!AA176)</f>
        <v>0</v>
      </c>
      <c r="AG16" s="987">
        <f>IF(ISNA(Tabelle1!U176),0,Tabelle1!AB176)</f>
        <v>0</v>
      </c>
      <c r="AH16" s="981">
        <f>IF(ISNA(Tabelle1!U176),0,Tabelle1!AC176)</f>
        <v>0</v>
      </c>
      <c r="AI16" s="982" t="str">
        <f t="shared" si="2"/>
        <v>Ok!</v>
      </c>
      <c r="AJ16" s="978">
        <f>N$107</f>
        <v>0</v>
      </c>
      <c r="AP16" s="2295" t="str">
        <f>Mineral!$R46</f>
        <v/>
      </c>
    </row>
    <row r="17" spans="1:42" ht="27.2" customHeight="1">
      <c r="A17" s="993">
        <f>N_Bedarf!C14</f>
        <v>0</v>
      </c>
      <c r="B17" s="994">
        <f>N_Bedarf!E14</f>
        <v>0</v>
      </c>
      <c r="C17" s="995">
        <f>N_Bedarf!F14</f>
        <v>0</v>
      </c>
      <c r="D17" s="996">
        <f>IF(AND(N_Bedarf!H14&gt;0,N_Bedarf!H14&lt;N_Bedarf!I14,N_Bedarf!I14&gt;0),N_Bedarf!H14,IF(AND(ISBLANK(N_Bedarf!I14),N_Bedarf!H14&gt;0),N_Bedarf!H14,N_Bedarf!I14))</f>
        <v>0</v>
      </c>
      <c r="E17" s="991">
        <f t="shared" si="0"/>
        <v>0</v>
      </c>
      <c r="F17" s="997">
        <f t="shared" si="1"/>
        <v>0</v>
      </c>
      <c r="G17" s="998"/>
      <c r="H17" s="998"/>
      <c r="I17" s="998"/>
      <c r="J17" s="998"/>
      <c r="K17" s="998"/>
      <c r="L17" s="998"/>
      <c r="M17" s="998"/>
      <c r="N17" s="998"/>
      <c r="O17" s="998"/>
      <c r="P17" s="998"/>
      <c r="Q17" s="998"/>
      <c r="R17" s="998"/>
      <c r="S17" s="998"/>
      <c r="T17" s="998"/>
      <c r="U17" s="998"/>
      <c r="V17" s="998"/>
      <c r="W17" s="998"/>
      <c r="X17" s="440"/>
      <c r="Y17" s="986"/>
      <c r="Z17" s="977">
        <f>IF(ISNA(VLOOKUP(Y17,Tabelle1!$C$188:$Q$212,2,0)),0,VLOOKUP(Y17,Tabelle1!$C$188:$Q$212,2,0))</f>
        <v>0</v>
      </c>
      <c r="AA17" s="977">
        <f>O81</f>
        <v>0</v>
      </c>
      <c r="AB17" s="978">
        <f t="shared" si="3"/>
        <v>0</v>
      </c>
      <c r="AC17" s="979">
        <f>IF(ISNA(Tabelle1!U177),0,Tabelle1!X177)</f>
        <v>0</v>
      </c>
      <c r="AD17" s="979">
        <f>IF(ISNA(Tabelle1!U177),0,Tabelle1!Y177)</f>
        <v>0</v>
      </c>
      <c r="AE17" s="987">
        <f>IF(ISNA(Tabelle1!U177),0,Tabelle1!Z177)</f>
        <v>0</v>
      </c>
      <c r="AF17" s="987">
        <f>IF(ISNA(Tabelle1!U177),0,Tabelle1!AA177)</f>
        <v>0</v>
      </c>
      <c r="AG17" s="987">
        <f>IF(ISNA(Tabelle1!U177),0,Tabelle1!AB177)</f>
        <v>0</v>
      </c>
      <c r="AH17" s="981">
        <f>IF(ISNA(Tabelle1!U177),0,Tabelle1!AC177)</f>
        <v>0</v>
      </c>
      <c r="AI17" s="982" t="str">
        <f t="shared" si="2"/>
        <v>Ok!</v>
      </c>
      <c r="AJ17" s="978">
        <f>O$107</f>
        <v>0</v>
      </c>
      <c r="AP17" s="2295" t="str">
        <f>Mineral!$R47</f>
        <v/>
      </c>
    </row>
    <row r="18" spans="1:42" ht="27.2" customHeight="1">
      <c r="A18" s="993">
        <f>N_Bedarf!C15</f>
        <v>0</v>
      </c>
      <c r="B18" s="994">
        <f>N_Bedarf!E15</f>
        <v>0</v>
      </c>
      <c r="C18" s="995">
        <f>N_Bedarf!F15</f>
        <v>0</v>
      </c>
      <c r="D18" s="996">
        <f>IF(AND(N_Bedarf!H15&gt;0,N_Bedarf!H15&lt;N_Bedarf!I15,N_Bedarf!I15&gt;0),N_Bedarf!H15,IF(AND(ISBLANK(N_Bedarf!I15),N_Bedarf!H15&gt;0),N_Bedarf!H15,N_Bedarf!I15))</f>
        <v>0</v>
      </c>
      <c r="E18" s="991">
        <f t="shared" si="0"/>
        <v>0</v>
      </c>
      <c r="F18" s="997">
        <f t="shared" si="1"/>
        <v>0</v>
      </c>
      <c r="G18" s="998"/>
      <c r="H18" s="998"/>
      <c r="I18" s="998"/>
      <c r="J18" s="998"/>
      <c r="K18" s="998"/>
      <c r="L18" s="998"/>
      <c r="M18" s="998"/>
      <c r="N18" s="998"/>
      <c r="O18" s="998"/>
      <c r="P18" s="998"/>
      <c r="Q18" s="998"/>
      <c r="R18" s="998"/>
      <c r="S18" s="998"/>
      <c r="T18" s="998"/>
      <c r="U18" s="998"/>
      <c r="V18" s="998"/>
      <c r="W18" s="998"/>
      <c r="X18" s="440"/>
      <c r="Y18" s="986"/>
      <c r="Z18" s="977">
        <f>IF(ISNA(VLOOKUP(Y18,Tabelle1!$C$188:$Q$212,2,0)),0,VLOOKUP(Y18,Tabelle1!$C$188:$Q$212,2,0))</f>
        <v>0</v>
      </c>
      <c r="AA18" s="977">
        <f>P81</f>
        <v>0</v>
      </c>
      <c r="AB18" s="978">
        <f t="shared" si="3"/>
        <v>0</v>
      </c>
      <c r="AC18" s="979">
        <f>IF(ISNA(Tabelle1!U178),0,Tabelle1!X178)</f>
        <v>0</v>
      </c>
      <c r="AD18" s="979">
        <f>IF(ISNA(Tabelle1!U178),0,Tabelle1!Y178)</f>
        <v>0</v>
      </c>
      <c r="AE18" s="987">
        <f>IF(ISNA(Tabelle1!U178),0,Tabelle1!Z178)</f>
        <v>0</v>
      </c>
      <c r="AF18" s="987">
        <f>IF(ISNA(Tabelle1!U178),0,Tabelle1!AA178)</f>
        <v>0</v>
      </c>
      <c r="AG18" s="987">
        <f>IF(ISNA(Tabelle1!U178),0,Tabelle1!AB178)</f>
        <v>0</v>
      </c>
      <c r="AH18" s="981">
        <f>IF(ISNA(Tabelle1!U178),0,Tabelle1!AC178)</f>
        <v>0</v>
      </c>
      <c r="AI18" s="982" t="str">
        <f t="shared" si="2"/>
        <v>Ok!</v>
      </c>
      <c r="AJ18" s="978">
        <f>P$107</f>
        <v>0</v>
      </c>
      <c r="AP18" s="2295" t="str">
        <f>Mineral!$R48</f>
        <v/>
      </c>
    </row>
    <row r="19" spans="1:42" ht="27.2" customHeight="1">
      <c r="A19" s="993">
        <f>N_Bedarf!C16</f>
        <v>0</v>
      </c>
      <c r="B19" s="994">
        <f>N_Bedarf!E16</f>
        <v>0</v>
      </c>
      <c r="C19" s="995">
        <f>N_Bedarf!F16</f>
        <v>0</v>
      </c>
      <c r="D19" s="996">
        <f>IF(AND(N_Bedarf!H16&gt;0,N_Bedarf!H16&lt;N_Bedarf!I16,N_Bedarf!I16&gt;0),N_Bedarf!H16,IF(AND(ISBLANK(N_Bedarf!I16),N_Bedarf!H16&gt;0),N_Bedarf!H16,N_Bedarf!I16))</f>
        <v>0</v>
      </c>
      <c r="E19" s="991">
        <f t="shared" si="0"/>
        <v>0</v>
      </c>
      <c r="F19" s="997">
        <f t="shared" si="1"/>
        <v>0</v>
      </c>
      <c r="G19" s="998"/>
      <c r="H19" s="998"/>
      <c r="I19" s="998"/>
      <c r="J19" s="998"/>
      <c r="K19" s="998"/>
      <c r="L19" s="998"/>
      <c r="M19" s="998"/>
      <c r="N19" s="998"/>
      <c r="O19" s="998"/>
      <c r="P19" s="998"/>
      <c r="Q19" s="998"/>
      <c r="R19" s="998"/>
      <c r="S19" s="998"/>
      <c r="T19" s="998"/>
      <c r="U19" s="998"/>
      <c r="V19" s="998"/>
      <c r="W19" s="998"/>
      <c r="X19" s="440"/>
      <c r="Y19" s="986"/>
      <c r="Z19" s="977">
        <f>IF(ISNA(VLOOKUP(Y19,Tabelle1!$C$188:$Q$212,2,0)),0,VLOOKUP(Y19,Tabelle1!$C$188:$Q$212,2,0))</f>
        <v>0</v>
      </c>
      <c r="AA19" s="977">
        <f>Q81</f>
        <v>0</v>
      </c>
      <c r="AB19" s="978">
        <f t="shared" si="3"/>
        <v>0</v>
      </c>
      <c r="AC19" s="979">
        <f>IF(ISNA(Tabelle1!U179),0,Tabelle1!X179)</f>
        <v>0</v>
      </c>
      <c r="AD19" s="979">
        <f>IF(ISNA(Tabelle1!U179),0,Tabelle1!Y179)</f>
        <v>0</v>
      </c>
      <c r="AE19" s="987">
        <f>IF(ISNA(Tabelle1!U179),0,Tabelle1!Z179)</f>
        <v>0</v>
      </c>
      <c r="AF19" s="987">
        <f>IF(ISNA(Tabelle1!U179),0,Tabelle1!AA179)</f>
        <v>0</v>
      </c>
      <c r="AG19" s="987">
        <f>IF(ISNA(Tabelle1!U179),0,Tabelle1!AB179)</f>
        <v>0</v>
      </c>
      <c r="AH19" s="981">
        <f>IF(ISNA(Tabelle1!U179),0,Tabelle1!AC179)</f>
        <v>0</v>
      </c>
      <c r="AI19" s="982" t="str">
        <f t="shared" si="2"/>
        <v>Ok!</v>
      </c>
      <c r="AJ19" s="978">
        <f>Q$107</f>
        <v>0</v>
      </c>
      <c r="AP19" s="2295" t="str">
        <f>Mineral!$R49</f>
        <v/>
      </c>
    </row>
    <row r="20" spans="1:42" ht="27.2" customHeight="1">
      <c r="A20" s="993">
        <f>N_Bedarf!C17</f>
        <v>0</v>
      </c>
      <c r="B20" s="994">
        <f>N_Bedarf!E17</f>
        <v>0</v>
      </c>
      <c r="C20" s="995">
        <f>N_Bedarf!F17</f>
        <v>0</v>
      </c>
      <c r="D20" s="996">
        <f>IF(AND(N_Bedarf!H17&gt;0,N_Bedarf!H17&lt;N_Bedarf!I17,N_Bedarf!I17&gt;0),N_Bedarf!H17,IF(AND(ISBLANK(N_Bedarf!I17),N_Bedarf!H17&gt;0),N_Bedarf!H17,N_Bedarf!I17))</f>
        <v>0</v>
      </c>
      <c r="E20" s="991">
        <f t="shared" si="0"/>
        <v>0</v>
      </c>
      <c r="F20" s="997">
        <f t="shared" si="1"/>
        <v>0</v>
      </c>
      <c r="G20" s="998"/>
      <c r="H20" s="998"/>
      <c r="I20" s="998"/>
      <c r="J20" s="998"/>
      <c r="K20" s="998"/>
      <c r="L20" s="998"/>
      <c r="M20" s="998"/>
      <c r="N20" s="998"/>
      <c r="O20" s="998"/>
      <c r="P20" s="998"/>
      <c r="Q20" s="998"/>
      <c r="R20" s="998"/>
      <c r="S20" s="998"/>
      <c r="T20" s="998"/>
      <c r="U20" s="998"/>
      <c r="V20" s="998"/>
      <c r="W20" s="998"/>
      <c r="X20" s="440"/>
      <c r="Y20" s="986"/>
      <c r="Z20" s="977">
        <f>IF(ISNA(VLOOKUP(Y20,Tabelle1!$C$188:$Q$212,2,0)),0,VLOOKUP(Y20,Tabelle1!$C$188:$Q$212,2,0))</f>
        <v>0</v>
      </c>
      <c r="AA20" s="977">
        <f>R81</f>
        <v>0</v>
      </c>
      <c r="AB20" s="978">
        <f t="shared" si="3"/>
        <v>0</v>
      </c>
      <c r="AC20" s="979">
        <f>IF(ISNA(Tabelle1!U180),0,Tabelle1!X180)</f>
        <v>0</v>
      </c>
      <c r="AD20" s="979">
        <f>IF(ISNA(Tabelle1!U180),0,Tabelle1!Y180)</f>
        <v>0</v>
      </c>
      <c r="AE20" s="987">
        <f>IF(ISNA(Tabelle1!U180),0,Tabelle1!Z180)</f>
        <v>0</v>
      </c>
      <c r="AF20" s="987">
        <f>IF(ISNA(Tabelle1!U180),0,Tabelle1!AA180)</f>
        <v>0</v>
      </c>
      <c r="AG20" s="987">
        <f>IF(ISNA(Tabelle1!U180),0,Tabelle1!AB180)</f>
        <v>0</v>
      </c>
      <c r="AH20" s="981">
        <f>IF(ISNA(Tabelle1!U180),0,Tabelle1!AC180)</f>
        <v>0</v>
      </c>
      <c r="AI20" s="982" t="str">
        <f t="shared" si="2"/>
        <v>Ok!</v>
      </c>
      <c r="AJ20" s="978">
        <f>R$107</f>
        <v>0</v>
      </c>
      <c r="AP20" s="2295" t="str">
        <f>Mineral!$R50</f>
        <v/>
      </c>
    </row>
    <row r="21" spans="1:42" ht="27.2" customHeight="1">
      <c r="A21" s="993" t="str">
        <f>N_Bedarf!C55</f>
        <v>diverse Grünbrachen zB Biodiv.</v>
      </c>
      <c r="B21" s="994">
        <f>N_Bedarf!E55</f>
        <v>0</v>
      </c>
      <c r="C21" s="995">
        <f>N_Bedarf!F55</f>
        <v>0</v>
      </c>
      <c r="D21" s="996">
        <f>IF(AND(N_Bedarf!H55&gt;0,N_Bedarf!H55&lt;N_Bedarf!I55,N_Bedarf!I55&gt;0),N_Bedarf!H55,IF(AND(ISBLANK(N_Bedarf!I55),N_Bedarf!H55&gt;0),N_Bedarf!H55,N_Bedarf!I55))</f>
        <v>0</v>
      </c>
      <c r="E21" s="991">
        <f t="shared" si="0"/>
        <v>0</v>
      </c>
      <c r="F21" s="997">
        <f t="shared" si="1"/>
        <v>0</v>
      </c>
      <c r="G21" s="998"/>
      <c r="H21" s="998"/>
      <c r="I21" s="998"/>
      <c r="J21" s="998"/>
      <c r="K21" s="998"/>
      <c r="L21" s="998"/>
      <c r="M21" s="998"/>
      <c r="N21" s="998"/>
      <c r="O21" s="998"/>
      <c r="P21" s="998"/>
      <c r="Q21" s="998"/>
      <c r="R21" s="998"/>
      <c r="S21" s="998"/>
      <c r="T21" s="998"/>
      <c r="U21" s="998"/>
      <c r="V21" s="998"/>
      <c r="W21" s="998"/>
      <c r="X21" s="440"/>
      <c r="Y21" s="986"/>
      <c r="Z21" s="977">
        <f>IF(ISNA(VLOOKUP(Y21,Tabelle1!$C$188:$Q$212,2,0)),0,VLOOKUP(Y21,Tabelle1!$C$188:$Q$212,2,0))</f>
        <v>0</v>
      </c>
      <c r="AA21" s="977">
        <f>S81</f>
        <v>0</v>
      </c>
      <c r="AB21" s="978">
        <f t="shared" si="3"/>
        <v>0</v>
      </c>
      <c r="AC21" s="979">
        <f>IF(ISNA(Tabelle1!U181),0,Tabelle1!X181)</f>
        <v>0</v>
      </c>
      <c r="AD21" s="979">
        <f>IF(ISNA(Tabelle1!U181),0,Tabelle1!Y181)</f>
        <v>0</v>
      </c>
      <c r="AE21" s="987">
        <f>IF(ISNA(Tabelle1!U181),0,Tabelle1!Z181)</f>
        <v>0</v>
      </c>
      <c r="AF21" s="987">
        <f>IF(ISNA(Tabelle1!U181),0,Tabelle1!AA181)</f>
        <v>0</v>
      </c>
      <c r="AG21" s="987">
        <f>IF(ISNA(Tabelle1!U181),0,Tabelle1!AB181)</f>
        <v>0</v>
      </c>
      <c r="AH21" s="981">
        <f>IF(ISNA(Tabelle1!U181),0,Tabelle1!AC181)</f>
        <v>0</v>
      </c>
      <c r="AI21" s="982" t="str">
        <f t="shared" si="2"/>
        <v>Ok!</v>
      </c>
      <c r="AJ21" s="978">
        <f>S$107</f>
        <v>0</v>
      </c>
      <c r="AP21" s="2295" t="str">
        <f>Mineral!$R51</f>
        <v/>
      </c>
    </row>
    <row r="22" spans="1:42" ht="22.5" customHeight="1">
      <c r="A22" s="999" t="s">
        <v>1276</v>
      </c>
      <c r="B22" s="1000"/>
      <c r="C22" s="1001"/>
      <c r="D22" s="1002"/>
      <c r="E22" s="1003"/>
      <c r="F22" s="1004"/>
      <c r="G22" s="1005"/>
      <c r="H22" s="1005"/>
      <c r="I22" s="1005"/>
      <c r="J22" s="1005"/>
      <c r="K22" s="1005"/>
      <c r="L22" s="1005"/>
      <c r="M22" s="1005"/>
      <c r="N22" s="1005"/>
      <c r="O22" s="1005"/>
      <c r="P22" s="1005"/>
      <c r="Q22" s="1005"/>
      <c r="R22" s="1005"/>
      <c r="S22" s="1005"/>
      <c r="T22" s="1005"/>
      <c r="U22" s="1005"/>
      <c r="V22" s="1005"/>
      <c r="W22" s="1005"/>
      <c r="X22" s="440"/>
      <c r="Y22" s="988" t="s">
        <v>298</v>
      </c>
      <c r="Z22" s="984"/>
      <c r="AA22" s="984"/>
      <c r="AB22" s="984"/>
      <c r="AC22" s="984"/>
      <c r="AD22" s="984"/>
      <c r="AE22" s="984"/>
      <c r="AF22" s="984"/>
      <c r="AG22" s="984"/>
      <c r="AH22" s="984"/>
      <c r="AI22" s="985"/>
      <c r="AJ22" s="984"/>
      <c r="AP22" s="2295" t="str">
        <f>Mineral!$R52</f>
        <v/>
      </c>
    </row>
    <row r="23" spans="1:42" ht="29.25" customHeight="1">
      <c r="A23" s="1006">
        <f>N_Bedarf!C57</f>
        <v>0</v>
      </c>
      <c r="B23" s="994">
        <f>N_Bedarf!E57</f>
        <v>0</v>
      </c>
      <c r="C23" s="995">
        <f>N_Bedarf!F57</f>
        <v>0</v>
      </c>
      <c r="D23" s="996">
        <f>IF(AND(N_Bedarf!H57&gt;0,N_Bedarf!H57&lt;N_Bedarf!I57,N_Bedarf!I57&gt;0),N_Bedarf!H57,IF(AND(ISBLANK(N_Bedarf!I57),N_Bedarf!H57&gt;0),N_Bedarf!H57,N_Bedarf!I57))</f>
        <v>0</v>
      </c>
      <c r="E23" s="991">
        <f t="shared" ref="E23:E28" si="4">F52</f>
        <v>0</v>
      </c>
      <c r="F23" s="997">
        <f t="shared" ref="F23:F28" si="5">E23-D23</f>
        <v>0</v>
      </c>
      <c r="G23" s="998"/>
      <c r="H23" s="998"/>
      <c r="I23" s="998"/>
      <c r="J23" s="998"/>
      <c r="K23" s="998"/>
      <c r="L23" s="998"/>
      <c r="M23" s="998"/>
      <c r="N23" s="998"/>
      <c r="O23" s="998"/>
      <c r="P23" s="998"/>
      <c r="Q23" s="998"/>
      <c r="R23" s="998"/>
      <c r="S23" s="998"/>
      <c r="T23" s="998"/>
      <c r="U23" s="998"/>
      <c r="V23" s="998"/>
      <c r="W23" s="998"/>
      <c r="X23" s="440"/>
      <c r="Y23" s="989"/>
      <c r="Z23" s="977">
        <f>IF(ISNA(Tabelle1!W183),0,Tabelle1!W183)</f>
        <v>0</v>
      </c>
      <c r="AA23" s="977">
        <f>T81</f>
        <v>0</v>
      </c>
      <c r="AB23" s="978">
        <f>IF(AA23=0,0,Z23-AA23)</f>
        <v>0</v>
      </c>
      <c r="AC23" s="979">
        <f>IF(ISNA(Tabelle1!U183),0,Tabelle1!X183)</f>
        <v>0</v>
      </c>
      <c r="AD23" s="979">
        <f>IF(ISNA(Tabelle1!U183),0,Tabelle1!Y183)</f>
        <v>0</v>
      </c>
      <c r="AE23" s="987">
        <f>IF(ISNA(Tabelle1!U183),0,Tabelle1!Z183)</f>
        <v>0</v>
      </c>
      <c r="AF23" s="987">
        <f>IF(ISNA(Tabelle1!U183),0,Tabelle1!AA183)</f>
        <v>0</v>
      </c>
      <c r="AG23" s="987">
        <f>IF(ISNA(Tabelle1!U183),0,Tabelle1!AB183)</f>
        <v>0</v>
      </c>
      <c r="AH23" s="981">
        <f>IF(ISNA(Tabelle1!U183),0,Tabelle1!AC183)</f>
        <v>0</v>
      </c>
      <c r="AI23" s="982" t="str">
        <f>IF(AA23&gt;Z23,"Mehr verplant als vorhanden!",IF(AA23&lt;Z23,"Noch Dünger im Bestand!","Ok!"))</f>
        <v>Ok!</v>
      </c>
      <c r="AJ23" s="978">
        <f>T$107</f>
        <v>0</v>
      </c>
      <c r="AP23" s="2295" t="str">
        <f>Mineral!$R53</f>
        <v/>
      </c>
    </row>
    <row r="24" spans="1:42" ht="29.25" customHeight="1">
      <c r="A24" s="1006">
        <f>N_Bedarf!C58</f>
        <v>0</v>
      </c>
      <c r="B24" s="994">
        <f>N_Bedarf!E58</f>
        <v>0</v>
      </c>
      <c r="C24" s="995">
        <f>N_Bedarf!F58</f>
        <v>0</v>
      </c>
      <c r="D24" s="996">
        <f>IF(AND(N_Bedarf!H58&gt;0,N_Bedarf!H58&lt;N_Bedarf!I58,N_Bedarf!I58&gt;0),N_Bedarf!H58,IF(AND(ISBLANK(N_Bedarf!I58),N_Bedarf!H58&gt;0),N_Bedarf!H58,N_Bedarf!I58))</f>
        <v>0</v>
      </c>
      <c r="E24" s="991">
        <f t="shared" si="4"/>
        <v>0</v>
      </c>
      <c r="F24" s="997">
        <f t="shared" si="5"/>
        <v>0</v>
      </c>
      <c r="G24" s="998"/>
      <c r="H24" s="998"/>
      <c r="I24" s="998"/>
      <c r="J24" s="998"/>
      <c r="K24" s="998"/>
      <c r="L24" s="998"/>
      <c r="M24" s="998"/>
      <c r="N24" s="998"/>
      <c r="O24" s="998"/>
      <c r="P24" s="998"/>
      <c r="Q24" s="998"/>
      <c r="R24" s="998"/>
      <c r="S24" s="998"/>
      <c r="T24" s="998"/>
      <c r="U24" s="998"/>
      <c r="V24" s="998"/>
      <c r="W24" s="998"/>
      <c r="X24" s="440"/>
      <c r="Y24" s="989"/>
      <c r="Z24" s="977">
        <f>IF(ISNA(Tabelle1!W184),0,Tabelle1!W184)</f>
        <v>0</v>
      </c>
      <c r="AA24" s="977">
        <f>U81</f>
        <v>0</v>
      </c>
      <c r="AB24" s="978">
        <f>IF(AA24=0,0,Z24-AA24)</f>
        <v>0</v>
      </c>
      <c r="AC24" s="990">
        <f>Tabelle1!X184</f>
        <v>0</v>
      </c>
      <c r="AD24" s="979">
        <f>Tabelle1!Y184</f>
        <v>0</v>
      </c>
      <c r="AE24" s="987">
        <f>Tabelle1!Z184</f>
        <v>0</v>
      </c>
      <c r="AF24" s="987">
        <f>Tabelle1!AA184</f>
        <v>0</v>
      </c>
      <c r="AG24" s="987">
        <f>Tabelle1!AB184</f>
        <v>0</v>
      </c>
      <c r="AH24" s="981">
        <f>Tabelle1!AC184</f>
        <v>0</v>
      </c>
      <c r="AI24" s="982" t="str">
        <f>IF(AA24&gt;Z24,"Mehr verplant als vorhanden!",IF(AA24&lt;Z24,"Noch Dünger im Bestand!","Ok!"))</f>
        <v>Ok!</v>
      </c>
      <c r="AJ24" s="978">
        <f>U$107</f>
        <v>0</v>
      </c>
      <c r="AP24" s="2295" t="str">
        <f>Mineral!$R54</f>
        <v/>
      </c>
    </row>
    <row r="25" spans="1:42" ht="29.25" customHeight="1">
      <c r="A25" s="1006">
        <f>N_Bedarf!C59</f>
        <v>0</v>
      </c>
      <c r="B25" s="994">
        <f>N_Bedarf!E59</f>
        <v>0</v>
      </c>
      <c r="C25" s="995">
        <f>N_Bedarf!F59</f>
        <v>0</v>
      </c>
      <c r="D25" s="996">
        <f>IF(AND(N_Bedarf!H59&gt;0,N_Bedarf!H59&lt;N_Bedarf!I59,N_Bedarf!I59&gt;0),N_Bedarf!H59,IF(AND(ISBLANK(N_Bedarf!I59),N_Bedarf!H59&gt;0),N_Bedarf!H59,N_Bedarf!I59))</f>
        <v>0</v>
      </c>
      <c r="E25" s="991">
        <f t="shared" si="4"/>
        <v>0</v>
      </c>
      <c r="F25" s="997">
        <f t="shared" si="5"/>
        <v>0</v>
      </c>
      <c r="G25" s="998"/>
      <c r="H25" s="998"/>
      <c r="I25" s="998"/>
      <c r="J25" s="998"/>
      <c r="K25" s="998"/>
      <c r="L25" s="998"/>
      <c r="M25" s="998"/>
      <c r="N25" s="998"/>
      <c r="O25" s="998"/>
      <c r="P25" s="998"/>
      <c r="Q25" s="998"/>
      <c r="R25" s="998"/>
      <c r="S25" s="998"/>
      <c r="T25" s="998"/>
      <c r="U25" s="998"/>
      <c r="V25" s="998"/>
      <c r="W25" s="998"/>
      <c r="X25" s="440"/>
      <c r="Y25" s="989"/>
      <c r="Z25" s="977">
        <f>IF(ISNA(Tabelle1!W185),0,Tabelle1!W185)</f>
        <v>0</v>
      </c>
      <c r="AA25" s="977">
        <f>V81</f>
        <v>0</v>
      </c>
      <c r="AB25" s="978">
        <f>IF(AA25=0,0,Z25-AA25)</f>
        <v>0</v>
      </c>
      <c r="AC25" s="990">
        <f>Tabelle1!X185</f>
        <v>0</v>
      </c>
      <c r="AD25" s="979">
        <f>Tabelle1!Y185</f>
        <v>0</v>
      </c>
      <c r="AE25" s="987">
        <f>Tabelle1!Z185</f>
        <v>0</v>
      </c>
      <c r="AF25" s="987">
        <f>Tabelle1!AA185</f>
        <v>0</v>
      </c>
      <c r="AG25" s="987">
        <f>Tabelle1!AB185</f>
        <v>0</v>
      </c>
      <c r="AH25" s="981">
        <f>Tabelle1!AC185</f>
        <v>0</v>
      </c>
      <c r="AI25" s="982" t="str">
        <f>IF(AA25&gt;Z25,"Mehr verplant als vorhanden!",IF(AA25&lt;Z25,"Noch Dünger im Bestand!","Ok!"))</f>
        <v>Ok!</v>
      </c>
      <c r="AJ25" s="978">
        <f>V$107</f>
        <v>0</v>
      </c>
      <c r="AP25" s="2295" t="str">
        <f>Mineral!$R55</f>
        <v/>
      </c>
    </row>
    <row r="26" spans="1:42" ht="29.25" customHeight="1">
      <c r="A26" s="1006">
        <f>N_Bedarf!C60</f>
        <v>0</v>
      </c>
      <c r="B26" s="994">
        <f>N_Bedarf!E60</f>
        <v>0</v>
      </c>
      <c r="C26" s="995">
        <f>N_Bedarf!F60</f>
        <v>0</v>
      </c>
      <c r="D26" s="996">
        <f>IF(AND(N_Bedarf!H60&gt;0,N_Bedarf!H60&lt;N_Bedarf!I60,N_Bedarf!I60&gt;0),N_Bedarf!H60,IF(AND(ISBLANK(N_Bedarf!I60),N_Bedarf!H60&gt;0),N_Bedarf!H60,N_Bedarf!I60))</f>
        <v>0</v>
      </c>
      <c r="E26" s="991">
        <f t="shared" si="4"/>
        <v>0</v>
      </c>
      <c r="F26" s="997">
        <f t="shared" si="5"/>
        <v>0</v>
      </c>
      <c r="G26" s="998"/>
      <c r="H26" s="998"/>
      <c r="I26" s="998"/>
      <c r="J26" s="998"/>
      <c r="K26" s="998"/>
      <c r="L26" s="998"/>
      <c r="M26" s="998"/>
      <c r="N26" s="998"/>
      <c r="O26" s="998"/>
      <c r="P26" s="998"/>
      <c r="Q26" s="998"/>
      <c r="R26" s="998"/>
      <c r="S26" s="998"/>
      <c r="T26" s="998"/>
      <c r="U26" s="998"/>
      <c r="V26" s="998"/>
      <c r="W26" s="998"/>
      <c r="X26" s="440"/>
      <c r="Y26" s="989"/>
      <c r="Z26" s="977">
        <f>IF(ISNA(Tabelle1!W186),0,Tabelle1!W186)</f>
        <v>0</v>
      </c>
      <c r="AA26" s="977">
        <f>W81</f>
        <v>0</v>
      </c>
      <c r="AB26" s="978">
        <f>IF(AA26=0,0,Z26-AA26)</f>
        <v>0</v>
      </c>
      <c r="AC26" s="990">
        <f>Tabelle1!X186</f>
        <v>0</v>
      </c>
      <c r="AD26" s="979">
        <f>Tabelle1!Y186</f>
        <v>0</v>
      </c>
      <c r="AE26" s="987">
        <f>Tabelle1!Z186</f>
        <v>0</v>
      </c>
      <c r="AF26" s="987">
        <f>Tabelle1!AA186</f>
        <v>0</v>
      </c>
      <c r="AG26" s="987">
        <f>Tabelle1!AB186</f>
        <v>0</v>
      </c>
      <c r="AH26" s="981">
        <f>Tabelle1!AC186</f>
        <v>0</v>
      </c>
      <c r="AI26" s="982" t="str">
        <f>IF(AA26&gt;Z26,"Mehr verplant als vorhanden!",IF(AA26&lt;Z26,"Noch Dünger im Bestand!","Ok!"))</f>
        <v>Ok!</v>
      </c>
      <c r="AJ26" s="978">
        <f>W$107</f>
        <v>0</v>
      </c>
      <c r="AP26" s="2295" t="str">
        <f>Mineral!$R56</f>
        <v/>
      </c>
    </row>
    <row r="27" spans="1:42" ht="29.25" customHeight="1">
      <c r="A27" s="1006">
        <f>N_Bedarf!C61</f>
        <v>0</v>
      </c>
      <c r="B27" s="994">
        <f>N_Bedarf!E61</f>
        <v>0</v>
      </c>
      <c r="C27" s="995">
        <f>N_Bedarf!F61</f>
        <v>0</v>
      </c>
      <c r="D27" s="996">
        <f>IF(AND(N_Bedarf!H61&gt;0,N_Bedarf!H61&lt;N_Bedarf!I61,N_Bedarf!I61&gt;0),N_Bedarf!H61,IF(AND(ISBLANK(N_Bedarf!I61),N_Bedarf!H61&gt;0),N_Bedarf!H61,N_Bedarf!I61))</f>
        <v>0</v>
      </c>
      <c r="E27" s="991">
        <f t="shared" si="4"/>
        <v>0</v>
      </c>
      <c r="F27" s="997">
        <f t="shared" si="5"/>
        <v>0</v>
      </c>
      <c r="G27" s="998"/>
      <c r="H27" s="998"/>
      <c r="I27" s="998"/>
      <c r="J27" s="998"/>
      <c r="K27" s="998"/>
      <c r="L27" s="998"/>
      <c r="M27" s="998"/>
      <c r="N27" s="998"/>
      <c r="O27" s="998"/>
      <c r="P27" s="998"/>
      <c r="Q27" s="998"/>
      <c r="R27" s="998"/>
      <c r="S27" s="998"/>
      <c r="T27" s="998"/>
      <c r="U27" s="998"/>
      <c r="V27" s="998"/>
      <c r="W27" s="998"/>
      <c r="X27" s="440"/>
      <c r="Y27" s="1081"/>
      <c r="Z27" s="1081"/>
      <c r="AA27" s="1081"/>
      <c r="AB27" s="1081"/>
      <c r="AC27" s="1082"/>
      <c r="AD27" s="1082"/>
      <c r="AE27" s="1082"/>
      <c r="AF27" s="1083" t="s">
        <v>322</v>
      </c>
      <c r="AG27" s="3095">
        <f>N_Bedarf!M63</f>
        <v>0</v>
      </c>
      <c r="AH27" s="3096"/>
      <c r="AI27" s="1086" t="s">
        <v>329</v>
      </c>
      <c r="AJ27" s="991">
        <f>Y107</f>
        <v>0</v>
      </c>
    </row>
    <row r="28" spans="1:42" ht="29.25" customHeight="1">
      <c r="A28" s="1006">
        <f>N_Bedarf!C62</f>
        <v>0</v>
      </c>
      <c r="B28" s="994">
        <f>N_Bedarf!E62</f>
        <v>0</v>
      </c>
      <c r="C28" s="995">
        <f>N_Bedarf!F62</f>
        <v>0</v>
      </c>
      <c r="D28" s="996">
        <f>IF(AND(N_Bedarf!H62&gt;0,N_Bedarf!H62&lt;N_Bedarf!I62,N_Bedarf!I62&gt;0),N_Bedarf!H62,IF(AND(ISBLANK(N_Bedarf!I62),N_Bedarf!H62&gt;0),N_Bedarf!H62,N_Bedarf!I62))</f>
        <v>0</v>
      </c>
      <c r="E28" s="991">
        <f t="shared" si="4"/>
        <v>0</v>
      </c>
      <c r="F28" s="997">
        <f t="shared" si="5"/>
        <v>0</v>
      </c>
      <c r="G28" s="998"/>
      <c r="H28" s="998"/>
      <c r="I28" s="998"/>
      <c r="J28" s="998"/>
      <c r="K28" s="998"/>
      <c r="L28" s="998"/>
      <c r="M28" s="998"/>
      <c r="N28" s="998"/>
      <c r="O28" s="998"/>
      <c r="P28" s="998"/>
      <c r="Q28" s="998"/>
      <c r="R28" s="998"/>
      <c r="S28" s="998"/>
      <c r="T28" s="998"/>
      <c r="U28" s="998"/>
      <c r="V28" s="998"/>
      <c r="W28" s="998"/>
      <c r="X28" s="440"/>
      <c r="Y28" s="1084"/>
      <c r="Z28" s="1084"/>
      <c r="AA28" s="1084"/>
      <c r="AB28" s="1084"/>
      <c r="AC28" s="1082"/>
      <c r="AD28" s="1082"/>
      <c r="AE28" s="1082"/>
      <c r="AF28" s="1085" t="s">
        <v>320</v>
      </c>
      <c r="AG28" s="3095">
        <f>N_Bedarf!J65</f>
        <v>0</v>
      </c>
      <c r="AH28" s="3096"/>
      <c r="AI28" s="1086" t="s">
        <v>328</v>
      </c>
      <c r="AJ28" s="991">
        <f>Y58-N_Bedarf!J63</f>
        <v>0</v>
      </c>
    </row>
    <row r="29" spans="1:42" ht="30" customHeight="1">
      <c r="AA29" s="3093" t="str">
        <f>IF(AND(Z107=0,AJ27&gt;AG27),"* Der P-Mindeststandard ist ok, weil kein mineralischer Phosphor im Einsatz!",IF(AND(Z107&gt;0,AJ27&gt;AG27),"* Mehr Phosphordünger ist geplant als der P-Bedarf!",""))</f>
        <v/>
      </c>
      <c r="AB29" s="3093"/>
      <c r="AC29" s="3093"/>
      <c r="AD29" s="3093"/>
      <c r="AE29" s="3093"/>
      <c r="AF29" s="3093"/>
      <c r="AG29" s="3093"/>
      <c r="AH29" s="3093"/>
      <c r="AI29" s="3093"/>
      <c r="AJ29" s="3093"/>
    </row>
    <row r="30" spans="1:42" ht="24.75" customHeight="1"/>
    <row r="31" spans="1:42" ht="54.75" hidden="1" customHeight="1">
      <c r="G31" s="496">
        <f t="shared" ref="G31:W31" si="6">G1</f>
        <v>0</v>
      </c>
      <c r="H31" s="496">
        <f t="shared" si="6"/>
        <v>0</v>
      </c>
      <c r="I31" s="496">
        <f t="shared" si="6"/>
        <v>0</v>
      </c>
      <c r="J31" s="496">
        <f t="shared" si="6"/>
        <v>0</v>
      </c>
      <c r="K31" s="496">
        <f t="shared" si="6"/>
        <v>0</v>
      </c>
      <c r="L31" s="496">
        <f t="shared" si="6"/>
        <v>0</v>
      </c>
      <c r="M31" s="496">
        <f t="shared" si="6"/>
        <v>0</v>
      </c>
      <c r="N31" s="496">
        <f t="shared" si="6"/>
        <v>0</v>
      </c>
      <c r="O31" s="496">
        <f t="shared" si="6"/>
        <v>0</v>
      </c>
      <c r="P31" s="496">
        <f t="shared" si="6"/>
        <v>0</v>
      </c>
      <c r="Q31" s="496">
        <f t="shared" si="6"/>
        <v>0</v>
      </c>
      <c r="R31" s="496">
        <f t="shared" si="6"/>
        <v>0</v>
      </c>
      <c r="S31" s="496">
        <f t="shared" si="6"/>
        <v>0</v>
      </c>
      <c r="T31" s="496">
        <f t="shared" si="6"/>
        <v>0</v>
      </c>
      <c r="U31" s="496">
        <f t="shared" si="6"/>
        <v>0</v>
      </c>
      <c r="V31" s="496">
        <f t="shared" si="6"/>
        <v>0</v>
      </c>
      <c r="W31" s="496">
        <f t="shared" si="6"/>
        <v>0</v>
      </c>
    </row>
    <row r="32" spans="1:42" ht="19.5" hidden="1" customHeight="1">
      <c r="F32" s="81" t="s">
        <v>656</v>
      </c>
      <c r="G32" s="497">
        <f>Z8</f>
        <v>0</v>
      </c>
      <c r="H32" s="497">
        <f>Z9</f>
        <v>0</v>
      </c>
      <c r="I32" s="497">
        <f>Z10</f>
        <v>0</v>
      </c>
      <c r="J32" s="497">
        <f>Z11</f>
        <v>0</v>
      </c>
      <c r="K32" s="497">
        <f>Z12</f>
        <v>0</v>
      </c>
      <c r="L32" s="497">
        <f>Z14</f>
        <v>0</v>
      </c>
      <c r="M32" s="497">
        <f>Z15</f>
        <v>0</v>
      </c>
      <c r="N32" s="497">
        <f>Z16</f>
        <v>0</v>
      </c>
      <c r="O32" s="497">
        <f>Z17</f>
        <v>0</v>
      </c>
      <c r="P32" s="497">
        <f>Z18</f>
        <v>0</v>
      </c>
      <c r="Q32" s="497">
        <f>Z19</f>
        <v>0</v>
      </c>
      <c r="R32" s="497">
        <f>Z20</f>
        <v>0</v>
      </c>
      <c r="S32" s="497">
        <f>Z21</f>
        <v>0</v>
      </c>
      <c r="T32" s="497">
        <f>Z23</f>
        <v>0</v>
      </c>
      <c r="U32" s="497">
        <f>Z24</f>
        <v>0</v>
      </c>
      <c r="V32" s="497">
        <f>Z25</f>
        <v>0</v>
      </c>
      <c r="W32" s="497">
        <f>Z26</f>
        <v>0</v>
      </c>
    </row>
    <row r="33" spans="3:28" ht="19.5" hidden="1" customHeight="1">
      <c r="F33" s="81" t="s">
        <v>864</v>
      </c>
      <c r="G33" s="498">
        <f>AE8</f>
        <v>0</v>
      </c>
      <c r="H33" s="498">
        <f>AE9</f>
        <v>0</v>
      </c>
      <c r="I33" s="498">
        <f>AE10</f>
        <v>0</v>
      </c>
      <c r="J33" s="498">
        <f>AE11</f>
        <v>0</v>
      </c>
      <c r="K33" s="498">
        <f>AE12</f>
        <v>0</v>
      </c>
      <c r="L33" s="498">
        <f>AE14</f>
        <v>0</v>
      </c>
      <c r="M33" s="498">
        <f>AE15</f>
        <v>0</v>
      </c>
      <c r="N33" s="498">
        <f>AE16</f>
        <v>0</v>
      </c>
      <c r="O33" s="498">
        <f>AE17</f>
        <v>0</v>
      </c>
      <c r="P33" s="498">
        <f>AE18</f>
        <v>0</v>
      </c>
      <c r="Q33" s="498">
        <f>AE19</f>
        <v>0</v>
      </c>
      <c r="R33" s="498">
        <f>AE20</f>
        <v>0</v>
      </c>
      <c r="S33" s="498">
        <f>AE21</f>
        <v>0</v>
      </c>
      <c r="T33" s="498">
        <f>AE23</f>
        <v>0</v>
      </c>
      <c r="U33" s="498">
        <f>AE24</f>
        <v>0</v>
      </c>
      <c r="V33" s="497">
        <f>AE25</f>
        <v>0</v>
      </c>
      <c r="W33" s="497">
        <f>AE26</f>
        <v>0</v>
      </c>
    </row>
    <row r="34" spans="3:28" ht="19.5" hidden="1" customHeight="1">
      <c r="F34" s="81" t="s">
        <v>304</v>
      </c>
      <c r="G34" s="425">
        <f t="shared" ref="G34:W34" si="7">SUM(G60:G80)</f>
        <v>0</v>
      </c>
      <c r="H34" s="425">
        <f t="shared" si="7"/>
        <v>0</v>
      </c>
      <c r="I34" s="425">
        <f t="shared" si="7"/>
        <v>0</v>
      </c>
      <c r="J34" s="425">
        <f t="shared" si="7"/>
        <v>0</v>
      </c>
      <c r="K34" s="425">
        <f t="shared" si="7"/>
        <v>0</v>
      </c>
      <c r="L34" s="425">
        <f t="shared" si="7"/>
        <v>0</v>
      </c>
      <c r="M34" s="425">
        <f t="shared" si="7"/>
        <v>0</v>
      </c>
      <c r="N34" s="425">
        <f t="shared" si="7"/>
        <v>0</v>
      </c>
      <c r="O34" s="425">
        <f t="shared" si="7"/>
        <v>0</v>
      </c>
      <c r="P34" s="425">
        <f t="shared" si="7"/>
        <v>0</v>
      </c>
      <c r="Q34" s="425">
        <f t="shared" si="7"/>
        <v>0</v>
      </c>
      <c r="R34" s="425">
        <f t="shared" si="7"/>
        <v>0</v>
      </c>
      <c r="S34" s="425">
        <f t="shared" si="7"/>
        <v>0</v>
      </c>
      <c r="T34" s="425">
        <f t="shared" si="7"/>
        <v>0</v>
      </c>
      <c r="U34" s="425">
        <f t="shared" si="7"/>
        <v>0</v>
      </c>
      <c r="V34" s="425">
        <f t="shared" si="7"/>
        <v>0</v>
      </c>
      <c r="W34" s="425">
        <f t="shared" si="7"/>
        <v>0</v>
      </c>
    </row>
    <row r="35" spans="3:28" hidden="1">
      <c r="G35" s="499"/>
      <c r="H35" s="499"/>
      <c r="I35" s="499"/>
      <c r="J35" s="499"/>
      <c r="K35" s="499"/>
      <c r="L35" s="499"/>
      <c r="M35" s="499"/>
      <c r="N35" s="499"/>
      <c r="O35" s="499"/>
      <c r="P35" s="499"/>
      <c r="Q35" s="499"/>
      <c r="R35" s="499"/>
      <c r="S35" s="499"/>
      <c r="T35" s="499"/>
      <c r="U35" s="499"/>
      <c r="V35" s="499"/>
      <c r="W35" s="499"/>
    </row>
    <row r="36" spans="3:28" ht="21" hidden="1" customHeight="1">
      <c r="F36" s="500" t="s">
        <v>845</v>
      </c>
      <c r="G36" s="501" t="s">
        <v>305</v>
      </c>
      <c r="H36" s="502"/>
      <c r="I36" s="502"/>
      <c r="J36" s="502"/>
      <c r="K36" s="502"/>
      <c r="L36" s="503"/>
      <c r="M36" s="503"/>
      <c r="N36" s="503"/>
      <c r="O36" s="502"/>
      <c r="P36" s="502"/>
      <c r="Q36" s="502"/>
      <c r="R36" s="502"/>
      <c r="S36" s="502"/>
      <c r="T36" s="502"/>
      <c r="U36" s="502"/>
      <c r="V36" s="502"/>
      <c r="W36" s="504"/>
      <c r="Y36" s="505" t="s">
        <v>321</v>
      </c>
      <c r="Z36" s="506"/>
      <c r="AA36" s="506"/>
      <c r="AB36" s="506"/>
    </row>
    <row r="37" spans="3:28" ht="17.45" hidden="1" customHeight="1">
      <c r="E37" s="507">
        <f t="shared" ref="E37:E50" si="8">A8</f>
        <v>0</v>
      </c>
      <c r="F37" s="508">
        <f>SUM(G37:W37)</f>
        <v>0</v>
      </c>
      <c r="G37" s="374">
        <f t="shared" ref="G37:W37" si="9">G8*G$33</f>
        <v>0</v>
      </c>
      <c r="H37" s="374">
        <f t="shared" si="9"/>
        <v>0</v>
      </c>
      <c r="I37" s="374">
        <f t="shared" si="9"/>
        <v>0</v>
      </c>
      <c r="J37" s="374">
        <f t="shared" si="9"/>
        <v>0</v>
      </c>
      <c r="K37" s="374">
        <f t="shared" si="9"/>
        <v>0</v>
      </c>
      <c r="L37" s="374">
        <f t="shared" si="9"/>
        <v>0</v>
      </c>
      <c r="M37" s="374">
        <f t="shared" si="9"/>
        <v>0</v>
      </c>
      <c r="N37" s="374">
        <f t="shared" si="9"/>
        <v>0</v>
      </c>
      <c r="O37" s="374">
        <f t="shared" si="9"/>
        <v>0</v>
      </c>
      <c r="P37" s="374">
        <f t="shared" si="9"/>
        <v>0</v>
      </c>
      <c r="Q37" s="374">
        <f t="shared" si="9"/>
        <v>0</v>
      </c>
      <c r="R37" s="374">
        <f t="shared" si="9"/>
        <v>0</v>
      </c>
      <c r="S37" s="374">
        <f t="shared" si="9"/>
        <v>0</v>
      </c>
      <c r="T37" s="374">
        <f t="shared" si="9"/>
        <v>0</v>
      </c>
      <c r="U37" s="374">
        <f t="shared" si="9"/>
        <v>0</v>
      </c>
      <c r="V37" s="374">
        <f t="shared" si="9"/>
        <v>0</v>
      </c>
      <c r="W37" s="374">
        <f t="shared" si="9"/>
        <v>0</v>
      </c>
      <c r="Y37" s="374">
        <f t="shared" ref="Y37:Y50" si="10">F37*B8</f>
        <v>0</v>
      </c>
      <c r="Z37" s="380"/>
      <c r="AA37" s="380"/>
      <c r="AB37" s="380"/>
    </row>
    <row r="38" spans="3:28" ht="17.45" hidden="1" customHeight="1">
      <c r="E38" s="507">
        <f t="shared" si="8"/>
        <v>0</v>
      </c>
      <c r="F38" s="508">
        <f t="shared" ref="F38:F50" si="11">SUM(G38:W38)</f>
        <v>0</v>
      </c>
      <c r="G38" s="374">
        <f t="shared" ref="G38:W38" si="12">G9*G$33</f>
        <v>0</v>
      </c>
      <c r="H38" s="374">
        <f t="shared" si="12"/>
        <v>0</v>
      </c>
      <c r="I38" s="374">
        <f t="shared" si="12"/>
        <v>0</v>
      </c>
      <c r="J38" s="374">
        <f t="shared" si="12"/>
        <v>0</v>
      </c>
      <c r="K38" s="374">
        <f t="shared" si="12"/>
        <v>0</v>
      </c>
      <c r="L38" s="374">
        <f t="shared" si="12"/>
        <v>0</v>
      </c>
      <c r="M38" s="374">
        <f t="shared" si="12"/>
        <v>0</v>
      </c>
      <c r="N38" s="374">
        <f t="shared" si="12"/>
        <v>0</v>
      </c>
      <c r="O38" s="374">
        <f t="shared" si="12"/>
        <v>0</v>
      </c>
      <c r="P38" s="374">
        <f t="shared" si="12"/>
        <v>0</v>
      </c>
      <c r="Q38" s="374">
        <f t="shared" si="12"/>
        <v>0</v>
      </c>
      <c r="R38" s="374">
        <f t="shared" si="12"/>
        <v>0</v>
      </c>
      <c r="S38" s="374">
        <f t="shared" si="12"/>
        <v>0</v>
      </c>
      <c r="T38" s="374">
        <f t="shared" si="12"/>
        <v>0</v>
      </c>
      <c r="U38" s="374">
        <f t="shared" si="12"/>
        <v>0</v>
      </c>
      <c r="V38" s="374">
        <f t="shared" si="12"/>
        <v>0</v>
      </c>
      <c r="W38" s="374">
        <f t="shared" si="12"/>
        <v>0</v>
      </c>
      <c r="Y38" s="374">
        <f t="shared" si="10"/>
        <v>0</v>
      </c>
      <c r="Z38" s="380"/>
      <c r="AA38" s="380"/>
      <c r="AB38" s="380"/>
    </row>
    <row r="39" spans="3:28" ht="17.45" hidden="1" customHeight="1">
      <c r="E39" s="507">
        <f t="shared" si="8"/>
        <v>0</v>
      </c>
      <c r="F39" s="508">
        <f t="shared" si="11"/>
        <v>0</v>
      </c>
      <c r="G39" s="374">
        <f t="shared" ref="G39:W39" si="13">G10*G$33</f>
        <v>0</v>
      </c>
      <c r="H39" s="374">
        <f t="shared" si="13"/>
        <v>0</v>
      </c>
      <c r="I39" s="374">
        <f t="shared" si="13"/>
        <v>0</v>
      </c>
      <c r="J39" s="374">
        <f t="shared" si="13"/>
        <v>0</v>
      </c>
      <c r="K39" s="374">
        <f t="shared" si="13"/>
        <v>0</v>
      </c>
      <c r="L39" s="374">
        <f t="shared" si="13"/>
        <v>0</v>
      </c>
      <c r="M39" s="374">
        <f t="shared" si="13"/>
        <v>0</v>
      </c>
      <c r="N39" s="374">
        <f t="shared" si="13"/>
        <v>0</v>
      </c>
      <c r="O39" s="374">
        <f t="shared" si="13"/>
        <v>0</v>
      </c>
      <c r="P39" s="374">
        <f t="shared" si="13"/>
        <v>0</v>
      </c>
      <c r="Q39" s="374">
        <f t="shared" si="13"/>
        <v>0</v>
      </c>
      <c r="R39" s="374">
        <f t="shared" si="13"/>
        <v>0</v>
      </c>
      <c r="S39" s="374">
        <f t="shared" si="13"/>
        <v>0</v>
      </c>
      <c r="T39" s="374">
        <f t="shared" si="13"/>
        <v>0</v>
      </c>
      <c r="U39" s="374">
        <f t="shared" si="13"/>
        <v>0</v>
      </c>
      <c r="V39" s="374">
        <f t="shared" si="13"/>
        <v>0</v>
      </c>
      <c r="W39" s="374">
        <f t="shared" si="13"/>
        <v>0</v>
      </c>
      <c r="Y39" s="374">
        <f t="shared" si="10"/>
        <v>0</v>
      </c>
      <c r="Z39" s="380"/>
      <c r="AA39" s="380"/>
      <c r="AB39" s="380"/>
    </row>
    <row r="40" spans="3:28" ht="17.45" hidden="1" customHeight="1">
      <c r="E40" s="507">
        <f t="shared" si="8"/>
        <v>0</v>
      </c>
      <c r="F40" s="508">
        <f t="shared" si="11"/>
        <v>0</v>
      </c>
      <c r="G40" s="374">
        <f t="shared" ref="G40:W40" si="14">G11*G$33</f>
        <v>0</v>
      </c>
      <c r="H40" s="374">
        <f t="shared" si="14"/>
        <v>0</v>
      </c>
      <c r="I40" s="374">
        <f t="shared" si="14"/>
        <v>0</v>
      </c>
      <c r="J40" s="374">
        <f t="shared" si="14"/>
        <v>0</v>
      </c>
      <c r="K40" s="374">
        <f t="shared" si="14"/>
        <v>0</v>
      </c>
      <c r="L40" s="374">
        <f t="shared" si="14"/>
        <v>0</v>
      </c>
      <c r="M40" s="374">
        <f t="shared" si="14"/>
        <v>0</v>
      </c>
      <c r="N40" s="374">
        <f t="shared" si="14"/>
        <v>0</v>
      </c>
      <c r="O40" s="374">
        <f t="shared" si="14"/>
        <v>0</v>
      </c>
      <c r="P40" s="374">
        <f t="shared" si="14"/>
        <v>0</v>
      </c>
      <c r="Q40" s="374">
        <f t="shared" si="14"/>
        <v>0</v>
      </c>
      <c r="R40" s="374">
        <f t="shared" si="14"/>
        <v>0</v>
      </c>
      <c r="S40" s="374">
        <f t="shared" si="14"/>
        <v>0</v>
      </c>
      <c r="T40" s="374">
        <f t="shared" si="14"/>
        <v>0</v>
      </c>
      <c r="U40" s="374">
        <f t="shared" si="14"/>
        <v>0</v>
      </c>
      <c r="V40" s="374">
        <f t="shared" si="14"/>
        <v>0</v>
      </c>
      <c r="W40" s="374">
        <f t="shared" si="14"/>
        <v>0</v>
      </c>
      <c r="Y40" s="374">
        <f t="shared" si="10"/>
        <v>0</v>
      </c>
      <c r="Z40" s="380"/>
      <c r="AA40" s="380"/>
      <c r="AB40" s="380"/>
    </row>
    <row r="41" spans="3:28" ht="17.45" hidden="1" customHeight="1">
      <c r="E41" s="507">
        <f t="shared" si="8"/>
        <v>0</v>
      </c>
      <c r="F41" s="508">
        <f t="shared" si="11"/>
        <v>0</v>
      </c>
      <c r="G41" s="374">
        <f t="shared" ref="G41:W41" si="15">G12*G$33</f>
        <v>0</v>
      </c>
      <c r="H41" s="374">
        <f t="shared" si="15"/>
        <v>0</v>
      </c>
      <c r="I41" s="374">
        <f t="shared" si="15"/>
        <v>0</v>
      </c>
      <c r="J41" s="374">
        <f t="shared" si="15"/>
        <v>0</v>
      </c>
      <c r="K41" s="374">
        <f t="shared" si="15"/>
        <v>0</v>
      </c>
      <c r="L41" s="374">
        <f t="shared" si="15"/>
        <v>0</v>
      </c>
      <c r="M41" s="374">
        <f t="shared" si="15"/>
        <v>0</v>
      </c>
      <c r="N41" s="374">
        <f t="shared" si="15"/>
        <v>0</v>
      </c>
      <c r="O41" s="374">
        <f t="shared" si="15"/>
        <v>0</v>
      </c>
      <c r="P41" s="374">
        <f t="shared" si="15"/>
        <v>0</v>
      </c>
      <c r="Q41" s="374">
        <f t="shared" si="15"/>
        <v>0</v>
      </c>
      <c r="R41" s="374">
        <f t="shared" si="15"/>
        <v>0</v>
      </c>
      <c r="S41" s="374">
        <f t="shared" si="15"/>
        <v>0</v>
      </c>
      <c r="T41" s="374">
        <f t="shared" si="15"/>
        <v>0</v>
      </c>
      <c r="U41" s="374">
        <f t="shared" si="15"/>
        <v>0</v>
      </c>
      <c r="V41" s="374">
        <f t="shared" si="15"/>
        <v>0</v>
      </c>
      <c r="W41" s="374">
        <f t="shared" si="15"/>
        <v>0</v>
      </c>
      <c r="Y41" s="374">
        <f t="shared" si="10"/>
        <v>0</v>
      </c>
      <c r="Z41" s="380"/>
      <c r="AA41" s="380"/>
      <c r="AB41" s="380"/>
    </row>
    <row r="42" spans="3:28" ht="17.45" hidden="1" customHeight="1">
      <c r="E42" s="507">
        <f t="shared" si="8"/>
        <v>0</v>
      </c>
      <c r="F42" s="508">
        <f t="shared" si="11"/>
        <v>0</v>
      </c>
      <c r="G42" s="374">
        <f t="shared" ref="G42:W42" si="16">G13*G$33</f>
        <v>0</v>
      </c>
      <c r="H42" s="374">
        <f t="shared" si="16"/>
        <v>0</v>
      </c>
      <c r="I42" s="374">
        <f t="shared" si="16"/>
        <v>0</v>
      </c>
      <c r="J42" s="374">
        <f t="shared" si="16"/>
        <v>0</v>
      </c>
      <c r="K42" s="374">
        <f t="shared" si="16"/>
        <v>0</v>
      </c>
      <c r="L42" s="374">
        <f t="shared" si="16"/>
        <v>0</v>
      </c>
      <c r="M42" s="374">
        <f t="shared" si="16"/>
        <v>0</v>
      </c>
      <c r="N42" s="374">
        <f t="shared" si="16"/>
        <v>0</v>
      </c>
      <c r="O42" s="374">
        <f t="shared" si="16"/>
        <v>0</v>
      </c>
      <c r="P42" s="374">
        <f t="shared" si="16"/>
        <v>0</v>
      </c>
      <c r="Q42" s="374">
        <f t="shared" si="16"/>
        <v>0</v>
      </c>
      <c r="R42" s="374">
        <f t="shared" si="16"/>
        <v>0</v>
      </c>
      <c r="S42" s="374">
        <f t="shared" si="16"/>
        <v>0</v>
      </c>
      <c r="T42" s="374">
        <f t="shared" si="16"/>
        <v>0</v>
      </c>
      <c r="U42" s="374">
        <f t="shared" si="16"/>
        <v>0</v>
      </c>
      <c r="V42" s="374">
        <f t="shared" si="16"/>
        <v>0</v>
      </c>
      <c r="W42" s="374">
        <f t="shared" si="16"/>
        <v>0</v>
      </c>
      <c r="Y42" s="374">
        <f t="shared" si="10"/>
        <v>0</v>
      </c>
      <c r="Z42" s="380"/>
      <c r="AA42" s="380"/>
      <c r="AB42" s="380"/>
    </row>
    <row r="43" spans="3:28" ht="17.45" hidden="1" customHeight="1">
      <c r="E43" s="507">
        <f t="shared" si="8"/>
        <v>0</v>
      </c>
      <c r="F43" s="508">
        <f t="shared" si="11"/>
        <v>0</v>
      </c>
      <c r="G43" s="374">
        <f t="shared" ref="G43:W43" si="17">G14*G$33</f>
        <v>0</v>
      </c>
      <c r="H43" s="374">
        <f t="shared" si="17"/>
        <v>0</v>
      </c>
      <c r="I43" s="374">
        <f t="shared" si="17"/>
        <v>0</v>
      </c>
      <c r="J43" s="374">
        <f t="shared" si="17"/>
        <v>0</v>
      </c>
      <c r="K43" s="374">
        <f t="shared" si="17"/>
        <v>0</v>
      </c>
      <c r="L43" s="374">
        <f t="shared" si="17"/>
        <v>0</v>
      </c>
      <c r="M43" s="374">
        <f t="shared" si="17"/>
        <v>0</v>
      </c>
      <c r="N43" s="374">
        <f t="shared" si="17"/>
        <v>0</v>
      </c>
      <c r="O43" s="374">
        <f t="shared" si="17"/>
        <v>0</v>
      </c>
      <c r="P43" s="374">
        <f t="shared" si="17"/>
        <v>0</v>
      </c>
      <c r="Q43" s="374">
        <f t="shared" si="17"/>
        <v>0</v>
      </c>
      <c r="R43" s="374">
        <f t="shared" si="17"/>
        <v>0</v>
      </c>
      <c r="S43" s="374">
        <f t="shared" si="17"/>
        <v>0</v>
      </c>
      <c r="T43" s="374">
        <f t="shared" si="17"/>
        <v>0</v>
      </c>
      <c r="U43" s="374">
        <f t="shared" si="17"/>
        <v>0</v>
      </c>
      <c r="V43" s="374">
        <f t="shared" si="17"/>
        <v>0</v>
      </c>
      <c r="W43" s="374">
        <f t="shared" si="17"/>
        <v>0</v>
      </c>
      <c r="Y43" s="374">
        <f t="shared" si="10"/>
        <v>0</v>
      </c>
      <c r="Z43" s="380"/>
      <c r="AA43" s="380"/>
      <c r="AB43" s="380"/>
    </row>
    <row r="44" spans="3:28" ht="17.45" hidden="1" customHeight="1">
      <c r="E44" s="507">
        <f t="shared" si="8"/>
        <v>0</v>
      </c>
      <c r="F44" s="508">
        <f t="shared" si="11"/>
        <v>0</v>
      </c>
      <c r="G44" s="374">
        <f t="shared" ref="G44:W44" si="18">G15*G$33</f>
        <v>0</v>
      </c>
      <c r="H44" s="374">
        <f t="shared" si="18"/>
        <v>0</v>
      </c>
      <c r="I44" s="374">
        <f t="shared" si="18"/>
        <v>0</v>
      </c>
      <c r="J44" s="374">
        <f t="shared" si="18"/>
        <v>0</v>
      </c>
      <c r="K44" s="374">
        <f t="shared" si="18"/>
        <v>0</v>
      </c>
      <c r="L44" s="374">
        <f t="shared" si="18"/>
        <v>0</v>
      </c>
      <c r="M44" s="374">
        <f t="shared" si="18"/>
        <v>0</v>
      </c>
      <c r="N44" s="374">
        <f t="shared" si="18"/>
        <v>0</v>
      </c>
      <c r="O44" s="374">
        <f t="shared" si="18"/>
        <v>0</v>
      </c>
      <c r="P44" s="374">
        <f t="shared" si="18"/>
        <v>0</v>
      </c>
      <c r="Q44" s="374">
        <f t="shared" si="18"/>
        <v>0</v>
      </c>
      <c r="R44" s="374">
        <f t="shared" si="18"/>
        <v>0</v>
      </c>
      <c r="S44" s="374">
        <f t="shared" si="18"/>
        <v>0</v>
      </c>
      <c r="T44" s="374">
        <f t="shared" si="18"/>
        <v>0</v>
      </c>
      <c r="U44" s="374">
        <f t="shared" si="18"/>
        <v>0</v>
      </c>
      <c r="V44" s="374">
        <f t="shared" si="18"/>
        <v>0</v>
      </c>
      <c r="W44" s="374">
        <f t="shared" si="18"/>
        <v>0</v>
      </c>
      <c r="Y44" s="374">
        <f t="shared" si="10"/>
        <v>0</v>
      </c>
      <c r="Z44" s="380"/>
      <c r="AA44" s="380"/>
      <c r="AB44" s="380"/>
    </row>
    <row r="45" spans="3:28" ht="17.45" hidden="1" customHeight="1">
      <c r="E45" s="507">
        <f t="shared" si="8"/>
        <v>0</v>
      </c>
      <c r="F45" s="508">
        <f t="shared" si="11"/>
        <v>0</v>
      </c>
      <c r="G45" s="374">
        <f t="shared" ref="G45:W45" si="19">G16*G$33</f>
        <v>0</v>
      </c>
      <c r="H45" s="374">
        <f t="shared" si="19"/>
        <v>0</v>
      </c>
      <c r="I45" s="374">
        <f t="shared" si="19"/>
        <v>0</v>
      </c>
      <c r="J45" s="374">
        <f t="shared" si="19"/>
        <v>0</v>
      </c>
      <c r="K45" s="374">
        <f t="shared" si="19"/>
        <v>0</v>
      </c>
      <c r="L45" s="374">
        <f t="shared" si="19"/>
        <v>0</v>
      </c>
      <c r="M45" s="374">
        <f t="shared" si="19"/>
        <v>0</v>
      </c>
      <c r="N45" s="374">
        <f t="shared" si="19"/>
        <v>0</v>
      </c>
      <c r="O45" s="374">
        <f t="shared" si="19"/>
        <v>0</v>
      </c>
      <c r="P45" s="374">
        <f t="shared" si="19"/>
        <v>0</v>
      </c>
      <c r="Q45" s="374">
        <f t="shared" si="19"/>
        <v>0</v>
      </c>
      <c r="R45" s="374">
        <f t="shared" si="19"/>
        <v>0</v>
      </c>
      <c r="S45" s="374">
        <f t="shared" si="19"/>
        <v>0</v>
      </c>
      <c r="T45" s="374">
        <f t="shared" si="19"/>
        <v>0</v>
      </c>
      <c r="U45" s="374">
        <f t="shared" si="19"/>
        <v>0</v>
      </c>
      <c r="V45" s="374">
        <f t="shared" si="19"/>
        <v>0</v>
      </c>
      <c r="W45" s="374">
        <f t="shared" si="19"/>
        <v>0</v>
      </c>
      <c r="Y45" s="374">
        <f t="shared" si="10"/>
        <v>0</v>
      </c>
      <c r="Z45" s="380"/>
      <c r="AA45" s="380"/>
      <c r="AB45" s="380"/>
    </row>
    <row r="46" spans="3:28" ht="17.45" hidden="1" customHeight="1">
      <c r="E46" s="507">
        <f t="shared" si="8"/>
        <v>0</v>
      </c>
      <c r="F46" s="508">
        <f t="shared" si="11"/>
        <v>0</v>
      </c>
      <c r="G46" s="374">
        <f t="shared" ref="G46:W46" si="20">G17*G$33</f>
        <v>0</v>
      </c>
      <c r="H46" s="374">
        <f t="shared" si="20"/>
        <v>0</v>
      </c>
      <c r="I46" s="374">
        <f t="shared" si="20"/>
        <v>0</v>
      </c>
      <c r="J46" s="374">
        <f t="shared" si="20"/>
        <v>0</v>
      </c>
      <c r="K46" s="374">
        <f t="shared" si="20"/>
        <v>0</v>
      </c>
      <c r="L46" s="374">
        <f t="shared" si="20"/>
        <v>0</v>
      </c>
      <c r="M46" s="374">
        <f t="shared" si="20"/>
        <v>0</v>
      </c>
      <c r="N46" s="374">
        <f t="shared" si="20"/>
        <v>0</v>
      </c>
      <c r="O46" s="374">
        <f t="shared" si="20"/>
        <v>0</v>
      </c>
      <c r="P46" s="374">
        <f t="shared" si="20"/>
        <v>0</v>
      </c>
      <c r="Q46" s="374">
        <f t="shared" si="20"/>
        <v>0</v>
      </c>
      <c r="R46" s="374">
        <f t="shared" si="20"/>
        <v>0</v>
      </c>
      <c r="S46" s="374">
        <f t="shared" si="20"/>
        <v>0</v>
      </c>
      <c r="T46" s="374">
        <f t="shared" si="20"/>
        <v>0</v>
      </c>
      <c r="U46" s="374">
        <f t="shared" si="20"/>
        <v>0</v>
      </c>
      <c r="V46" s="374">
        <f t="shared" si="20"/>
        <v>0</v>
      </c>
      <c r="W46" s="374">
        <f t="shared" si="20"/>
        <v>0</v>
      </c>
      <c r="Y46" s="374">
        <f t="shared" si="10"/>
        <v>0</v>
      </c>
      <c r="Z46" s="380"/>
      <c r="AA46" s="380"/>
      <c r="AB46" s="380"/>
    </row>
    <row r="47" spans="3:28" ht="17.45" hidden="1" customHeight="1">
      <c r="C47" s="509"/>
      <c r="E47" s="507">
        <f t="shared" si="8"/>
        <v>0</v>
      </c>
      <c r="F47" s="508">
        <f t="shared" si="11"/>
        <v>0</v>
      </c>
      <c r="G47" s="374">
        <f t="shared" ref="G47:W47" si="21">G18*G$33</f>
        <v>0</v>
      </c>
      <c r="H47" s="374">
        <f t="shared" si="21"/>
        <v>0</v>
      </c>
      <c r="I47" s="374">
        <f t="shared" si="21"/>
        <v>0</v>
      </c>
      <c r="J47" s="374">
        <f t="shared" si="21"/>
        <v>0</v>
      </c>
      <c r="K47" s="374">
        <f t="shared" si="21"/>
        <v>0</v>
      </c>
      <c r="L47" s="374">
        <f t="shared" si="21"/>
        <v>0</v>
      </c>
      <c r="M47" s="374">
        <f t="shared" si="21"/>
        <v>0</v>
      </c>
      <c r="N47" s="374">
        <f t="shared" si="21"/>
        <v>0</v>
      </c>
      <c r="O47" s="374">
        <f t="shared" si="21"/>
        <v>0</v>
      </c>
      <c r="P47" s="374">
        <f t="shared" si="21"/>
        <v>0</v>
      </c>
      <c r="Q47" s="374">
        <f t="shared" si="21"/>
        <v>0</v>
      </c>
      <c r="R47" s="374">
        <f t="shared" si="21"/>
        <v>0</v>
      </c>
      <c r="S47" s="374">
        <f t="shared" si="21"/>
        <v>0</v>
      </c>
      <c r="T47" s="374">
        <f t="shared" si="21"/>
        <v>0</v>
      </c>
      <c r="U47" s="374">
        <f t="shared" si="21"/>
        <v>0</v>
      </c>
      <c r="V47" s="374">
        <f t="shared" si="21"/>
        <v>0</v>
      </c>
      <c r="W47" s="374">
        <f t="shared" si="21"/>
        <v>0</v>
      </c>
      <c r="Y47" s="374">
        <f t="shared" si="10"/>
        <v>0</v>
      </c>
      <c r="Z47" s="380"/>
      <c r="AA47" s="380"/>
      <c r="AB47" s="380"/>
    </row>
    <row r="48" spans="3:28" ht="17.45" hidden="1" customHeight="1">
      <c r="E48" s="507">
        <f t="shared" si="8"/>
        <v>0</v>
      </c>
      <c r="F48" s="508">
        <f t="shared" si="11"/>
        <v>0</v>
      </c>
      <c r="G48" s="374">
        <f t="shared" ref="G48:W48" si="22">G19*G$33</f>
        <v>0</v>
      </c>
      <c r="H48" s="374">
        <f t="shared" si="22"/>
        <v>0</v>
      </c>
      <c r="I48" s="374">
        <f t="shared" si="22"/>
        <v>0</v>
      </c>
      <c r="J48" s="374">
        <f t="shared" si="22"/>
        <v>0</v>
      </c>
      <c r="K48" s="374">
        <f t="shared" si="22"/>
        <v>0</v>
      </c>
      <c r="L48" s="374">
        <f t="shared" si="22"/>
        <v>0</v>
      </c>
      <c r="M48" s="374">
        <f t="shared" si="22"/>
        <v>0</v>
      </c>
      <c r="N48" s="374">
        <f t="shared" si="22"/>
        <v>0</v>
      </c>
      <c r="O48" s="374">
        <f t="shared" si="22"/>
        <v>0</v>
      </c>
      <c r="P48" s="374">
        <f t="shared" si="22"/>
        <v>0</v>
      </c>
      <c r="Q48" s="374">
        <f t="shared" si="22"/>
        <v>0</v>
      </c>
      <c r="R48" s="374">
        <f t="shared" si="22"/>
        <v>0</v>
      </c>
      <c r="S48" s="374">
        <f t="shared" si="22"/>
        <v>0</v>
      </c>
      <c r="T48" s="374">
        <f t="shared" si="22"/>
        <v>0</v>
      </c>
      <c r="U48" s="374">
        <f t="shared" si="22"/>
        <v>0</v>
      </c>
      <c r="V48" s="374">
        <f t="shared" si="22"/>
        <v>0</v>
      </c>
      <c r="W48" s="374">
        <f t="shared" si="22"/>
        <v>0</v>
      </c>
      <c r="Y48" s="374">
        <f t="shared" si="10"/>
        <v>0</v>
      </c>
      <c r="Z48" s="380"/>
      <c r="AA48" s="380"/>
      <c r="AB48" s="380"/>
    </row>
    <row r="49" spans="5:28" ht="17.45" hidden="1" customHeight="1">
      <c r="E49" s="507">
        <f t="shared" si="8"/>
        <v>0</v>
      </c>
      <c r="F49" s="508">
        <f t="shared" si="11"/>
        <v>0</v>
      </c>
      <c r="G49" s="374">
        <f t="shared" ref="G49:W49" si="23">G20*G$33</f>
        <v>0</v>
      </c>
      <c r="H49" s="374">
        <f t="shared" si="23"/>
        <v>0</v>
      </c>
      <c r="I49" s="374">
        <f t="shared" si="23"/>
        <v>0</v>
      </c>
      <c r="J49" s="374">
        <f t="shared" si="23"/>
        <v>0</v>
      </c>
      <c r="K49" s="374">
        <f t="shared" si="23"/>
        <v>0</v>
      </c>
      <c r="L49" s="374">
        <f t="shared" si="23"/>
        <v>0</v>
      </c>
      <c r="M49" s="374">
        <f t="shared" si="23"/>
        <v>0</v>
      </c>
      <c r="N49" s="374">
        <f t="shared" si="23"/>
        <v>0</v>
      </c>
      <c r="O49" s="374">
        <f t="shared" si="23"/>
        <v>0</v>
      </c>
      <c r="P49" s="374">
        <f t="shared" si="23"/>
        <v>0</v>
      </c>
      <c r="Q49" s="374">
        <f t="shared" si="23"/>
        <v>0</v>
      </c>
      <c r="R49" s="374">
        <f t="shared" si="23"/>
        <v>0</v>
      </c>
      <c r="S49" s="374">
        <f t="shared" si="23"/>
        <v>0</v>
      </c>
      <c r="T49" s="374">
        <f t="shared" si="23"/>
        <v>0</v>
      </c>
      <c r="U49" s="374">
        <f t="shared" si="23"/>
        <v>0</v>
      </c>
      <c r="V49" s="374">
        <f t="shared" si="23"/>
        <v>0</v>
      </c>
      <c r="W49" s="374">
        <f t="shared" si="23"/>
        <v>0</v>
      </c>
      <c r="Y49" s="374">
        <f t="shared" si="10"/>
        <v>0</v>
      </c>
      <c r="Z49" s="380"/>
      <c r="AA49" s="380"/>
      <c r="AB49" s="380"/>
    </row>
    <row r="50" spans="5:28" ht="17.45" hidden="1" customHeight="1">
      <c r="E50" s="507" t="str">
        <f t="shared" si="8"/>
        <v>diverse Grünbrachen zB Biodiv.</v>
      </c>
      <c r="F50" s="508">
        <f t="shared" si="11"/>
        <v>0</v>
      </c>
      <c r="G50" s="374">
        <f t="shared" ref="G50:W50" si="24">G21*G$33</f>
        <v>0</v>
      </c>
      <c r="H50" s="374">
        <f t="shared" si="24"/>
        <v>0</v>
      </c>
      <c r="I50" s="374">
        <f t="shared" si="24"/>
        <v>0</v>
      </c>
      <c r="J50" s="374">
        <f t="shared" si="24"/>
        <v>0</v>
      </c>
      <c r="K50" s="374">
        <f t="shared" si="24"/>
        <v>0</v>
      </c>
      <c r="L50" s="374">
        <f t="shared" si="24"/>
        <v>0</v>
      </c>
      <c r="M50" s="374">
        <f t="shared" si="24"/>
        <v>0</v>
      </c>
      <c r="N50" s="374">
        <f t="shared" si="24"/>
        <v>0</v>
      </c>
      <c r="O50" s="374">
        <f t="shared" si="24"/>
        <v>0</v>
      </c>
      <c r="P50" s="374">
        <f t="shared" si="24"/>
        <v>0</v>
      </c>
      <c r="Q50" s="374">
        <f t="shared" si="24"/>
        <v>0</v>
      </c>
      <c r="R50" s="374">
        <f t="shared" si="24"/>
        <v>0</v>
      </c>
      <c r="S50" s="374">
        <f t="shared" si="24"/>
        <v>0</v>
      </c>
      <c r="T50" s="374">
        <f t="shared" si="24"/>
        <v>0</v>
      </c>
      <c r="U50" s="374">
        <f t="shared" si="24"/>
        <v>0</v>
      </c>
      <c r="V50" s="374">
        <f t="shared" si="24"/>
        <v>0</v>
      </c>
      <c r="W50" s="374">
        <f t="shared" si="24"/>
        <v>0</v>
      </c>
      <c r="Y50" s="374">
        <f t="shared" si="10"/>
        <v>0</v>
      </c>
      <c r="Z50" s="380"/>
      <c r="AA50" s="380"/>
      <c r="AB50" s="380"/>
    </row>
    <row r="51" spans="5:28" ht="8.25" hidden="1" customHeight="1">
      <c r="E51" s="507"/>
      <c r="F51" s="510"/>
      <c r="G51" s="511"/>
      <c r="H51" s="511"/>
      <c r="I51" s="511"/>
      <c r="J51" s="511"/>
      <c r="K51" s="511"/>
      <c r="L51" s="511"/>
      <c r="M51" s="511"/>
      <c r="N51" s="511"/>
      <c r="O51" s="511"/>
      <c r="P51" s="511"/>
      <c r="Q51" s="511"/>
      <c r="R51" s="511"/>
      <c r="S51" s="511"/>
      <c r="T51" s="511"/>
      <c r="U51" s="511"/>
      <c r="V51" s="511"/>
      <c r="W51" s="511"/>
      <c r="Y51" s="3"/>
      <c r="Z51" s="3"/>
      <c r="AA51" s="3"/>
      <c r="AB51" s="3"/>
    </row>
    <row r="52" spans="5:28" ht="17.45" hidden="1" customHeight="1">
      <c r="E52" s="507">
        <f t="shared" ref="E52:E57" si="25">A23</f>
        <v>0</v>
      </c>
      <c r="F52" s="508">
        <f t="shared" ref="F52:F57" si="26">SUM(G52:W52)</f>
        <v>0</v>
      </c>
      <c r="G52" s="374">
        <f t="shared" ref="G52:W52" si="27">G23*G$33</f>
        <v>0</v>
      </c>
      <c r="H52" s="374">
        <f t="shared" si="27"/>
        <v>0</v>
      </c>
      <c r="I52" s="374">
        <f t="shared" si="27"/>
        <v>0</v>
      </c>
      <c r="J52" s="374">
        <f t="shared" si="27"/>
        <v>0</v>
      </c>
      <c r="K52" s="374">
        <f t="shared" si="27"/>
        <v>0</v>
      </c>
      <c r="L52" s="374">
        <f t="shared" si="27"/>
        <v>0</v>
      </c>
      <c r="M52" s="374">
        <f t="shared" si="27"/>
        <v>0</v>
      </c>
      <c r="N52" s="374">
        <f t="shared" si="27"/>
        <v>0</v>
      </c>
      <c r="O52" s="374">
        <f t="shared" si="27"/>
        <v>0</v>
      </c>
      <c r="P52" s="374">
        <f t="shared" si="27"/>
        <v>0</v>
      </c>
      <c r="Q52" s="374">
        <f t="shared" si="27"/>
        <v>0</v>
      </c>
      <c r="R52" s="374">
        <f t="shared" si="27"/>
        <v>0</v>
      </c>
      <c r="S52" s="374">
        <f t="shared" si="27"/>
        <v>0</v>
      </c>
      <c r="T52" s="374">
        <f t="shared" si="27"/>
        <v>0</v>
      </c>
      <c r="U52" s="374">
        <f t="shared" si="27"/>
        <v>0</v>
      </c>
      <c r="V52" s="374">
        <f t="shared" si="27"/>
        <v>0</v>
      </c>
      <c r="W52" s="374">
        <f t="shared" si="27"/>
        <v>0</v>
      </c>
      <c r="Y52" s="374">
        <f t="shared" ref="Y52:Y57" si="28">F52*B23</f>
        <v>0</v>
      </c>
      <c r="Z52" s="380"/>
      <c r="AA52" s="380"/>
      <c r="AB52" s="380"/>
    </row>
    <row r="53" spans="5:28" ht="17.45" hidden="1" customHeight="1">
      <c r="E53" s="507">
        <f t="shared" si="25"/>
        <v>0</v>
      </c>
      <c r="F53" s="508">
        <f t="shared" si="26"/>
        <v>0</v>
      </c>
      <c r="G53" s="374">
        <f t="shared" ref="G53:W53" si="29">G24*G$33</f>
        <v>0</v>
      </c>
      <c r="H53" s="374">
        <f t="shared" si="29"/>
        <v>0</v>
      </c>
      <c r="I53" s="374">
        <f t="shared" si="29"/>
        <v>0</v>
      </c>
      <c r="J53" s="374">
        <f t="shared" si="29"/>
        <v>0</v>
      </c>
      <c r="K53" s="374">
        <f t="shared" si="29"/>
        <v>0</v>
      </c>
      <c r="L53" s="374">
        <f t="shared" si="29"/>
        <v>0</v>
      </c>
      <c r="M53" s="374">
        <f t="shared" si="29"/>
        <v>0</v>
      </c>
      <c r="N53" s="374">
        <f t="shared" si="29"/>
        <v>0</v>
      </c>
      <c r="O53" s="374">
        <f t="shared" si="29"/>
        <v>0</v>
      </c>
      <c r="P53" s="374">
        <f t="shared" si="29"/>
        <v>0</v>
      </c>
      <c r="Q53" s="374">
        <f t="shared" si="29"/>
        <v>0</v>
      </c>
      <c r="R53" s="374">
        <f t="shared" si="29"/>
        <v>0</v>
      </c>
      <c r="S53" s="374">
        <f t="shared" si="29"/>
        <v>0</v>
      </c>
      <c r="T53" s="374">
        <f t="shared" si="29"/>
        <v>0</v>
      </c>
      <c r="U53" s="374">
        <f t="shared" si="29"/>
        <v>0</v>
      </c>
      <c r="V53" s="374">
        <f t="shared" si="29"/>
        <v>0</v>
      </c>
      <c r="W53" s="374">
        <f t="shared" si="29"/>
        <v>0</v>
      </c>
      <c r="Y53" s="374">
        <f t="shared" si="28"/>
        <v>0</v>
      </c>
      <c r="Z53" s="380"/>
      <c r="AA53" s="380"/>
      <c r="AB53" s="380"/>
    </row>
    <row r="54" spans="5:28" ht="17.45" hidden="1" customHeight="1">
      <c r="E54" s="507">
        <f t="shared" si="25"/>
        <v>0</v>
      </c>
      <c r="F54" s="508">
        <f t="shared" si="26"/>
        <v>0</v>
      </c>
      <c r="G54" s="374">
        <f t="shared" ref="G54:W54" si="30">G25*G$33</f>
        <v>0</v>
      </c>
      <c r="H54" s="374">
        <f t="shared" si="30"/>
        <v>0</v>
      </c>
      <c r="I54" s="374">
        <f t="shared" si="30"/>
        <v>0</v>
      </c>
      <c r="J54" s="374">
        <f t="shared" si="30"/>
        <v>0</v>
      </c>
      <c r="K54" s="374">
        <f t="shared" si="30"/>
        <v>0</v>
      </c>
      <c r="L54" s="374">
        <f t="shared" si="30"/>
        <v>0</v>
      </c>
      <c r="M54" s="374">
        <f t="shared" si="30"/>
        <v>0</v>
      </c>
      <c r="N54" s="374">
        <f t="shared" si="30"/>
        <v>0</v>
      </c>
      <c r="O54" s="374">
        <f t="shared" si="30"/>
        <v>0</v>
      </c>
      <c r="P54" s="374">
        <f t="shared" si="30"/>
        <v>0</v>
      </c>
      <c r="Q54" s="374">
        <f t="shared" si="30"/>
        <v>0</v>
      </c>
      <c r="R54" s="374">
        <f t="shared" si="30"/>
        <v>0</v>
      </c>
      <c r="S54" s="374">
        <f t="shared" si="30"/>
        <v>0</v>
      </c>
      <c r="T54" s="374">
        <f t="shared" si="30"/>
        <v>0</v>
      </c>
      <c r="U54" s="374">
        <f t="shared" si="30"/>
        <v>0</v>
      </c>
      <c r="V54" s="374">
        <f t="shared" si="30"/>
        <v>0</v>
      </c>
      <c r="W54" s="374">
        <f t="shared" si="30"/>
        <v>0</v>
      </c>
      <c r="Y54" s="374">
        <f t="shared" si="28"/>
        <v>0</v>
      </c>
      <c r="Z54" s="380"/>
      <c r="AA54" s="380"/>
      <c r="AB54" s="380"/>
    </row>
    <row r="55" spans="5:28" ht="17.45" hidden="1" customHeight="1">
      <c r="E55" s="507">
        <f t="shared" si="25"/>
        <v>0</v>
      </c>
      <c r="F55" s="508">
        <f t="shared" si="26"/>
        <v>0</v>
      </c>
      <c r="G55" s="374">
        <f t="shared" ref="G55:W55" si="31">G26*G$33</f>
        <v>0</v>
      </c>
      <c r="H55" s="374">
        <f t="shared" si="31"/>
        <v>0</v>
      </c>
      <c r="I55" s="374">
        <f t="shared" si="31"/>
        <v>0</v>
      </c>
      <c r="J55" s="374">
        <f t="shared" si="31"/>
        <v>0</v>
      </c>
      <c r="K55" s="374">
        <f t="shared" si="31"/>
        <v>0</v>
      </c>
      <c r="L55" s="374">
        <f t="shared" si="31"/>
        <v>0</v>
      </c>
      <c r="M55" s="374">
        <f t="shared" si="31"/>
        <v>0</v>
      </c>
      <c r="N55" s="374">
        <f t="shared" si="31"/>
        <v>0</v>
      </c>
      <c r="O55" s="374">
        <f t="shared" si="31"/>
        <v>0</v>
      </c>
      <c r="P55" s="374">
        <f t="shared" si="31"/>
        <v>0</v>
      </c>
      <c r="Q55" s="374">
        <f t="shared" si="31"/>
        <v>0</v>
      </c>
      <c r="R55" s="374">
        <f t="shared" si="31"/>
        <v>0</v>
      </c>
      <c r="S55" s="374">
        <f t="shared" si="31"/>
        <v>0</v>
      </c>
      <c r="T55" s="374">
        <f t="shared" si="31"/>
        <v>0</v>
      </c>
      <c r="U55" s="374">
        <f t="shared" si="31"/>
        <v>0</v>
      </c>
      <c r="V55" s="374">
        <f t="shared" si="31"/>
        <v>0</v>
      </c>
      <c r="W55" s="374">
        <f t="shared" si="31"/>
        <v>0</v>
      </c>
      <c r="Y55" s="374">
        <f t="shared" si="28"/>
        <v>0</v>
      </c>
      <c r="Z55" s="380"/>
      <c r="AA55" s="380"/>
      <c r="AB55" s="380"/>
    </row>
    <row r="56" spans="5:28" ht="17.45" hidden="1" customHeight="1">
      <c r="E56" s="507">
        <f t="shared" si="25"/>
        <v>0</v>
      </c>
      <c r="F56" s="508">
        <f t="shared" si="26"/>
        <v>0</v>
      </c>
      <c r="G56" s="374">
        <f t="shared" ref="G56:W56" si="32">G27*G$33</f>
        <v>0</v>
      </c>
      <c r="H56" s="374">
        <f t="shared" si="32"/>
        <v>0</v>
      </c>
      <c r="I56" s="374">
        <f t="shared" si="32"/>
        <v>0</v>
      </c>
      <c r="J56" s="374">
        <f t="shared" si="32"/>
        <v>0</v>
      </c>
      <c r="K56" s="374">
        <f t="shared" si="32"/>
        <v>0</v>
      </c>
      <c r="L56" s="374">
        <f t="shared" si="32"/>
        <v>0</v>
      </c>
      <c r="M56" s="374">
        <f t="shared" si="32"/>
        <v>0</v>
      </c>
      <c r="N56" s="374">
        <f t="shared" si="32"/>
        <v>0</v>
      </c>
      <c r="O56" s="374">
        <f t="shared" si="32"/>
        <v>0</v>
      </c>
      <c r="P56" s="374">
        <f t="shared" si="32"/>
        <v>0</v>
      </c>
      <c r="Q56" s="374">
        <f t="shared" si="32"/>
        <v>0</v>
      </c>
      <c r="R56" s="374">
        <f t="shared" si="32"/>
        <v>0</v>
      </c>
      <c r="S56" s="374">
        <f t="shared" si="32"/>
        <v>0</v>
      </c>
      <c r="T56" s="374">
        <f t="shared" si="32"/>
        <v>0</v>
      </c>
      <c r="U56" s="374">
        <f t="shared" si="32"/>
        <v>0</v>
      </c>
      <c r="V56" s="374">
        <f t="shared" si="32"/>
        <v>0</v>
      </c>
      <c r="W56" s="374">
        <f t="shared" si="32"/>
        <v>0</v>
      </c>
      <c r="Y56" s="374">
        <f t="shared" si="28"/>
        <v>0</v>
      </c>
      <c r="Z56" s="380"/>
      <c r="AA56" s="380"/>
      <c r="AB56" s="380"/>
    </row>
    <row r="57" spans="5:28" ht="17.45" hidden="1" customHeight="1">
      <c r="E57" s="507">
        <f t="shared" si="25"/>
        <v>0</v>
      </c>
      <c r="F57" s="508">
        <f t="shared" si="26"/>
        <v>0</v>
      </c>
      <c r="G57" s="374">
        <f t="shared" ref="G57:W57" si="33">G28*G$33</f>
        <v>0</v>
      </c>
      <c r="H57" s="374">
        <f t="shared" si="33"/>
        <v>0</v>
      </c>
      <c r="I57" s="374">
        <f t="shared" si="33"/>
        <v>0</v>
      </c>
      <c r="J57" s="374">
        <f t="shared" si="33"/>
        <v>0</v>
      </c>
      <c r="K57" s="374">
        <f t="shared" si="33"/>
        <v>0</v>
      </c>
      <c r="L57" s="374">
        <f t="shared" si="33"/>
        <v>0</v>
      </c>
      <c r="M57" s="374">
        <f t="shared" si="33"/>
        <v>0</v>
      </c>
      <c r="N57" s="374">
        <f t="shared" si="33"/>
        <v>0</v>
      </c>
      <c r="O57" s="374">
        <f t="shared" si="33"/>
        <v>0</v>
      </c>
      <c r="P57" s="374">
        <f t="shared" si="33"/>
        <v>0</v>
      </c>
      <c r="Q57" s="374">
        <f t="shared" si="33"/>
        <v>0</v>
      </c>
      <c r="R57" s="374">
        <f t="shared" si="33"/>
        <v>0</v>
      </c>
      <c r="S57" s="374">
        <f t="shared" si="33"/>
        <v>0</v>
      </c>
      <c r="T57" s="374">
        <f t="shared" si="33"/>
        <v>0</v>
      </c>
      <c r="U57" s="374">
        <f t="shared" si="33"/>
        <v>0</v>
      </c>
      <c r="V57" s="374">
        <f t="shared" si="33"/>
        <v>0</v>
      </c>
      <c r="W57" s="374">
        <f t="shared" si="33"/>
        <v>0</v>
      </c>
      <c r="Y57" s="374">
        <f t="shared" si="28"/>
        <v>0</v>
      </c>
      <c r="Z57" s="380"/>
      <c r="AA57" s="380"/>
      <c r="AB57" s="380"/>
    </row>
    <row r="58" spans="5:28" ht="20.25" hidden="1" customHeight="1">
      <c r="Y58" s="512">
        <f>SUM(Y37:Y57)</f>
        <v>0</v>
      </c>
      <c r="Z58" s="513"/>
      <c r="AA58" s="513"/>
      <c r="AB58" s="513"/>
    </row>
    <row r="59" spans="5:28" ht="15" hidden="1">
      <c r="E59" s="502"/>
      <c r="F59" s="502"/>
      <c r="G59" s="514" t="s">
        <v>303</v>
      </c>
      <c r="H59" s="502"/>
      <c r="I59" s="502"/>
      <c r="J59" s="502"/>
      <c r="K59" s="502"/>
      <c r="L59" s="502"/>
      <c r="M59" s="502"/>
      <c r="N59" s="502"/>
      <c r="O59" s="502"/>
      <c r="P59" s="502"/>
      <c r="Q59" s="502"/>
      <c r="R59" s="502"/>
      <c r="S59" s="502"/>
      <c r="T59" s="502"/>
      <c r="U59" s="502"/>
      <c r="V59" s="502"/>
      <c r="W59" s="504"/>
    </row>
    <row r="60" spans="5:28" hidden="1">
      <c r="F60" s="515">
        <f t="shared" ref="F60:F73" si="34">A8</f>
        <v>0</v>
      </c>
      <c r="G60" s="376">
        <f t="shared" ref="G60:W60" si="35">G8*$B8</f>
        <v>0</v>
      </c>
      <c r="H60" s="376">
        <f t="shared" si="35"/>
        <v>0</v>
      </c>
      <c r="I60" s="376">
        <f t="shared" si="35"/>
        <v>0</v>
      </c>
      <c r="J60" s="376">
        <f t="shared" si="35"/>
        <v>0</v>
      </c>
      <c r="K60" s="376">
        <f t="shared" si="35"/>
        <v>0</v>
      </c>
      <c r="L60" s="376">
        <f t="shared" si="35"/>
        <v>0</v>
      </c>
      <c r="M60" s="376">
        <f t="shared" si="35"/>
        <v>0</v>
      </c>
      <c r="N60" s="376">
        <f t="shared" si="35"/>
        <v>0</v>
      </c>
      <c r="O60" s="376">
        <f t="shared" si="35"/>
        <v>0</v>
      </c>
      <c r="P60" s="376">
        <f t="shared" si="35"/>
        <v>0</v>
      </c>
      <c r="Q60" s="376">
        <f t="shared" si="35"/>
        <v>0</v>
      </c>
      <c r="R60" s="376">
        <f t="shared" si="35"/>
        <v>0</v>
      </c>
      <c r="S60" s="376">
        <f t="shared" si="35"/>
        <v>0</v>
      </c>
      <c r="T60" s="376">
        <f t="shared" si="35"/>
        <v>0</v>
      </c>
      <c r="U60" s="376">
        <f t="shared" si="35"/>
        <v>0</v>
      </c>
      <c r="V60" s="376">
        <f t="shared" si="35"/>
        <v>0</v>
      </c>
      <c r="W60" s="376">
        <f t="shared" si="35"/>
        <v>0</v>
      </c>
    </row>
    <row r="61" spans="5:28" hidden="1">
      <c r="F61" s="515">
        <f t="shared" si="34"/>
        <v>0</v>
      </c>
      <c r="G61" s="376">
        <f t="shared" ref="G61:W61" si="36">G9*$B9</f>
        <v>0</v>
      </c>
      <c r="H61" s="376">
        <f t="shared" si="36"/>
        <v>0</v>
      </c>
      <c r="I61" s="376">
        <f t="shared" si="36"/>
        <v>0</v>
      </c>
      <c r="J61" s="376">
        <f t="shared" si="36"/>
        <v>0</v>
      </c>
      <c r="K61" s="376">
        <f t="shared" si="36"/>
        <v>0</v>
      </c>
      <c r="L61" s="376">
        <f t="shared" si="36"/>
        <v>0</v>
      </c>
      <c r="M61" s="376">
        <f t="shared" si="36"/>
        <v>0</v>
      </c>
      <c r="N61" s="376">
        <f t="shared" si="36"/>
        <v>0</v>
      </c>
      <c r="O61" s="376">
        <f t="shared" si="36"/>
        <v>0</v>
      </c>
      <c r="P61" s="376">
        <f t="shared" si="36"/>
        <v>0</v>
      </c>
      <c r="Q61" s="376">
        <f t="shared" si="36"/>
        <v>0</v>
      </c>
      <c r="R61" s="376">
        <f t="shared" si="36"/>
        <v>0</v>
      </c>
      <c r="S61" s="376">
        <f t="shared" si="36"/>
        <v>0</v>
      </c>
      <c r="T61" s="376">
        <f t="shared" si="36"/>
        <v>0</v>
      </c>
      <c r="U61" s="376">
        <f t="shared" si="36"/>
        <v>0</v>
      </c>
      <c r="V61" s="376">
        <f t="shared" si="36"/>
        <v>0</v>
      </c>
      <c r="W61" s="376">
        <f t="shared" si="36"/>
        <v>0</v>
      </c>
    </row>
    <row r="62" spans="5:28" hidden="1">
      <c r="F62" s="515">
        <f t="shared" si="34"/>
        <v>0</v>
      </c>
      <c r="G62" s="376">
        <f t="shared" ref="G62:W62" si="37">G10*$B10</f>
        <v>0</v>
      </c>
      <c r="H62" s="376">
        <f t="shared" si="37"/>
        <v>0</v>
      </c>
      <c r="I62" s="376">
        <f t="shared" si="37"/>
        <v>0</v>
      </c>
      <c r="J62" s="376">
        <f t="shared" si="37"/>
        <v>0</v>
      </c>
      <c r="K62" s="376">
        <f t="shared" si="37"/>
        <v>0</v>
      </c>
      <c r="L62" s="376">
        <f t="shared" si="37"/>
        <v>0</v>
      </c>
      <c r="M62" s="376">
        <f t="shared" si="37"/>
        <v>0</v>
      </c>
      <c r="N62" s="376">
        <f t="shared" si="37"/>
        <v>0</v>
      </c>
      <c r="O62" s="376">
        <f t="shared" si="37"/>
        <v>0</v>
      </c>
      <c r="P62" s="376">
        <f t="shared" si="37"/>
        <v>0</v>
      </c>
      <c r="Q62" s="376">
        <f t="shared" si="37"/>
        <v>0</v>
      </c>
      <c r="R62" s="376">
        <f t="shared" si="37"/>
        <v>0</v>
      </c>
      <c r="S62" s="376">
        <f t="shared" si="37"/>
        <v>0</v>
      </c>
      <c r="T62" s="376">
        <f t="shared" si="37"/>
        <v>0</v>
      </c>
      <c r="U62" s="376">
        <f t="shared" si="37"/>
        <v>0</v>
      </c>
      <c r="V62" s="376">
        <f t="shared" si="37"/>
        <v>0</v>
      </c>
      <c r="W62" s="376">
        <f t="shared" si="37"/>
        <v>0</v>
      </c>
    </row>
    <row r="63" spans="5:28" hidden="1">
      <c r="F63" s="515">
        <f t="shared" si="34"/>
        <v>0</v>
      </c>
      <c r="G63" s="376">
        <f t="shared" ref="G63:W63" si="38">G11*$B11</f>
        <v>0</v>
      </c>
      <c r="H63" s="376">
        <f t="shared" si="38"/>
        <v>0</v>
      </c>
      <c r="I63" s="376">
        <f t="shared" si="38"/>
        <v>0</v>
      </c>
      <c r="J63" s="376">
        <f t="shared" si="38"/>
        <v>0</v>
      </c>
      <c r="K63" s="376">
        <f t="shared" si="38"/>
        <v>0</v>
      </c>
      <c r="L63" s="376">
        <f t="shared" si="38"/>
        <v>0</v>
      </c>
      <c r="M63" s="376">
        <f t="shared" si="38"/>
        <v>0</v>
      </c>
      <c r="N63" s="376">
        <f t="shared" si="38"/>
        <v>0</v>
      </c>
      <c r="O63" s="376">
        <f t="shared" si="38"/>
        <v>0</v>
      </c>
      <c r="P63" s="376">
        <f t="shared" si="38"/>
        <v>0</v>
      </c>
      <c r="Q63" s="376">
        <f t="shared" si="38"/>
        <v>0</v>
      </c>
      <c r="R63" s="376">
        <f t="shared" si="38"/>
        <v>0</v>
      </c>
      <c r="S63" s="376">
        <f t="shared" si="38"/>
        <v>0</v>
      </c>
      <c r="T63" s="376">
        <f t="shared" si="38"/>
        <v>0</v>
      </c>
      <c r="U63" s="376">
        <f t="shared" si="38"/>
        <v>0</v>
      </c>
      <c r="V63" s="376">
        <f t="shared" si="38"/>
        <v>0</v>
      </c>
      <c r="W63" s="376">
        <f t="shared" si="38"/>
        <v>0</v>
      </c>
    </row>
    <row r="64" spans="5:28" hidden="1">
      <c r="F64" s="515">
        <f t="shared" si="34"/>
        <v>0</v>
      </c>
      <c r="G64" s="376">
        <f t="shared" ref="G64:W64" si="39">G12*$B12</f>
        <v>0</v>
      </c>
      <c r="H64" s="376">
        <f t="shared" si="39"/>
        <v>0</v>
      </c>
      <c r="I64" s="376">
        <f t="shared" si="39"/>
        <v>0</v>
      </c>
      <c r="J64" s="376">
        <f t="shared" si="39"/>
        <v>0</v>
      </c>
      <c r="K64" s="376">
        <f t="shared" si="39"/>
        <v>0</v>
      </c>
      <c r="L64" s="376">
        <f t="shared" si="39"/>
        <v>0</v>
      </c>
      <c r="M64" s="376">
        <f t="shared" si="39"/>
        <v>0</v>
      </c>
      <c r="N64" s="376">
        <f t="shared" si="39"/>
        <v>0</v>
      </c>
      <c r="O64" s="376">
        <f t="shared" si="39"/>
        <v>0</v>
      </c>
      <c r="P64" s="376">
        <f t="shared" si="39"/>
        <v>0</v>
      </c>
      <c r="Q64" s="376">
        <f t="shared" si="39"/>
        <v>0</v>
      </c>
      <c r="R64" s="376">
        <f t="shared" si="39"/>
        <v>0</v>
      </c>
      <c r="S64" s="376">
        <f t="shared" si="39"/>
        <v>0</v>
      </c>
      <c r="T64" s="376">
        <f t="shared" si="39"/>
        <v>0</v>
      </c>
      <c r="U64" s="376">
        <f t="shared" si="39"/>
        <v>0</v>
      </c>
      <c r="V64" s="376">
        <f t="shared" si="39"/>
        <v>0</v>
      </c>
      <c r="W64" s="376">
        <f t="shared" si="39"/>
        <v>0</v>
      </c>
    </row>
    <row r="65" spans="6:23" hidden="1">
      <c r="F65" s="515">
        <f t="shared" si="34"/>
        <v>0</v>
      </c>
      <c r="G65" s="376">
        <f t="shared" ref="G65:W65" si="40">G13*$B13</f>
        <v>0</v>
      </c>
      <c r="H65" s="376">
        <f t="shared" si="40"/>
        <v>0</v>
      </c>
      <c r="I65" s="376">
        <f t="shared" si="40"/>
        <v>0</v>
      </c>
      <c r="J65" s="376">
        <f t="shared" si="40"/>
        <v>0</v>
      </c>
      <c r="K65" s="376">
        <f t="shared" si="40"/>
        <v>0</v>
      </c>
      <c r="L65" s="376">
        <f t="shared" si="40"/>
        <v>0</v>
      </c>
      <c r="M65" s="376">
        <f t="shared" si="40"/>
        <v>0</v>
      </c>
      <c r="N65" s="376">
        <f t="shared" si="40"/>
        <v>0</v>
      </c>
      <c r="O65" s="376">
        <f t="shared" si="40"/>
        <v>0</v>
      </c>
      <c r="P65" s="376">
        <f t="shared" si="40"/>
        <v>0</v>
      </c>
      <c r="Q65" s="376">
        <f t="shared" si="40"/>
        <v>0</v>
      </c>
      <c r="R65" s="376">
        <f t="shared" si="40"/>
        <v>0</v>
      </c>
      <c r="S65" s="376">
        <f t="shared" si="40"/>
        <v>0</v>
      </c>
      <c r="T65" s="376">
        <f t="shared" si="40"/>
        <v>0</v>
      </c>
      <c r="U65" s="376">
        <f t="shared" si="40"/>
        <v>0</v>
      </c>
      <c r="V65" s="376">
        <f t="shared" si="40"/>
        <v>0</v>
      </c>
      <c r="W65" s="376">
        <f t="shared" si="40"/>
        <v>0</v>
      </c>
    </row>
    <row r="66" spans="6:23" hidden="1">
      <c r="F66" s="515">
        <f t="shared" si="34"/>
        <v>0</v>
      </c>
      <c r="G66" s="376">
        <f t="shared" ref="G66:W66" si="41">G14*$B14</f>
        <v>0</v>
      </c>
      <c r="H66" s="376">
        <f t="shared" si="41"/>
        <v>0</v>
      </c>
      <c r="I66" s="376">
        <f t="shared" si="41"/>
        <v>0</v>
      </c>
      <c r="J66" s="376">
        <f t="shared" si="41"/>
        <v>0</v>
      </c>
      <c r="K66" s="376">
        <f t="shared" si="41"/>
        <v>0</v>
      </c>
      <c r="L66" s="376">
        <f t="shared" si="41"/>
        <v>0</v>
      </c>
      <c r="M66" s="376">
        <f t="shared" si="41"/>
        <v>0</v>
      </c>
      <c r="N66" s="376">
        <f t="shared" si="41"/>
        <v>0</v>
      </c>
      <c r="O66" s="376">
        <f t="shared" si="41"/>
        <v>0</v>
      </c>
      <c r="P66" s="376">
        <f t="shared" si="41"/>
        <v>0</v>
      </c>
      <c r="Q66" s="376">
        <f t="shared" si="41"/>
        <v>0</v>
      </c>
      <c r="R66" s="376">
        <f t="shared" si="41"/>
        <v>0</v>
      </c>
      <c r="S66" s="376">
        <f t="shared" si="41"/>
        <v>0</v>
      </c>
      <c r="T66" s="376">
        <f t="shared" si="41"/>
        <v>0</v>
      </c>
      <c r="U66" s="376">
        <f t="shared" si="41"/>
        <v>0</v>
      </c>
      <c r="V66" s="376">
        <f t="shared" si="41"/>
        <v>0</v>
      </c>
      <c r="W66" s="376">
        <f t="shared" si="41"/>
        <v>0</v>
      </c>
    </row>
    <row r="67" spans="6:23" hidden="1">
      <c r="F67" s="515">
        <f t="shared" si="34"/>
        <v>0</v>
      </c>
      <c r="G67" s="376">
        <f t="shared" ref="G67:W67" si="42">G15*$B15</f>
        <v>0</v>
      </c>
      <c r="H67" s="376">
        <f t="shared" si="42"/>
        <v>0</v>
      </c>
      <c r="I67" s="376">
        <f t="shared" si="42"/>
        <v>0</v>
      </c>
      <c r="J67" s="376">
        <f t="shared" si="42"/>
        <v>0</v>
      </c>
      <c r="K67" s="376">
        <f t="shared" si="42"/>
        <v>0</v>
      </c>
      <c r="L67" s="376">
        <f t="shared" si="42"/>
        <v>0</v>
      </c>
      <c r="M67" s="376">
        <f t="shared" si="42"/>
        <v>0</v>
      </c>
      <c r="N67" s="376">
        <f t="shared" si="42"/>
        <v>0</v>
      </c>
      <c r="O67" s="376">
        <f t="shared" si="42"/>
        <v>0</v>
      </c>
      <c r="P67" s="376">
        <f t="shared" si="42"/>
        <v>0</v>
      </c>
      <c r="Q67" s="376">
        <f t="shared" si="42"/>
        <v>0</v>
      </c>
      <c r="R67" s="376">
        <f t="shared" si="42"/>
        <v>0</v>
      </c>
      <c r="S67" s="376">
        <f t="shared" si="42"/>
        <v>0</v>
      </c>
      <c r="T67" s="376">
        <f t="shared" si="42"/>
        <v>0</v>
      </c>
      <c r="U67" s="376">
        <f t="shared" si="42"/>
        <v>0</v>
      </c>
      <c r="V67" s="376">
        <f t="shared" si="42"/>
        <v>0</v>
      </c>
      <c r="W67" s="376">
        <f t="shared" si="42"/>
        <v>0</v>
      </c>
    </row>
    <row r="68" spans="6:23" hidden="1">
      <c r="F68" s="515">
        <f t="shared" si="34"/>
        <v>0</v>
      </c>
      <c r="G68" s="376">
        <f t="shared" ref="G68:W68" si="43">G16*$B16</f>
        <v>0</v>
      </c>
      <c r="H68" s="376">
        <f t="shared" si="43"/>
        <v>0</v>
      </c>
      <c r="I68" s="376">
        <f t="shared" si="43"/>
        <v>0</v>
      </c>
      <c r="J68" s="376">
        <f t="shared" si="43"/>
        <v>0</v>
      </c>
      <c r="K68" s="376">
        <f t="shared" si="43"/>
        <v>0</v>
      </c>
      <c r="L68" s="376">
        <f t="shared" si="43"/>
        <v>0</v>
      </c>
      <c r="M68" s="376">
        <f t="shared" si="43"/>
        <v>0</v>
      </c>
      <c r="N68" s="376">
        <f t="shared" si="43"/>
        <v>0</v>
      </c>
      <c r="O68" s="376">
        <f t="shared" si="43"/>
        <v>0</v>
      </c>
      <c r="P68" s="376">
        <f t="shared" si="43"/>
        <v>0</v>
      </c>
      <c r="Q68" s="376">
        <f t="shared" si="43"/>
        <v>0</v>
      </c>
      <c r="R68" s="376">
        <f t="shared" si="43"/>
        <v>0</v>
      </c>
      <c r="S68" s="376">
        <f t="shared" si="43"/>
        <v>0</v>
      </c>
      <c r="T68" s="376">
        <f t="shared" si="43"/>
        <v>0</v>
      </c>
      <c r="U68" s="376">
        <f t="shared" si="43"/>
        <v>0</v>
      </c>
      <c r="V68" s="376">
        <f t="shared" si="43"/>
        <v>0</v>
      </c>
      <c r="W68" s="376">
        <f t="shared" si="43"/>
        <v>0</v>
      </c>
    </row>
    <row r="69" spans="6:23" hidden="1">
      <c r="F69" s="515">
        <f t="shared" si="34"/>
        <v>0</v>
      </c>
      <c r="G69" s="376">
        <f t="shared" ref="G69:W69" si="44">G17*$B17</f>
        <v>0</v>
      </c>
      <c r="H69" s="376">
        <f t="shared" si="44"/>
        <v>0</v>
      </c>
      <c r="I69" s="376">
        <f t="shared" si="44"/>
        <v>0</v>
      </c>
      <c r="J69" s="376">
        <f t="shared" si="44"/>
        <v>0</v>
      </c>
      <c r="K69" s="376">
        <f t="shared" si="44"/>
        <v>0</v>
      </c>
      <c r="L69" s="376">
        <f t="shared" si="44"/>
        <v>0</v>
      </c>
      <c r="M69" s="376">
        <f t="shared" si="44"/>
        <v>0</v>
      </c>
      <c r="N69" s="376">
        <f t="shared" si="44"/>
        <v>0</v>
      </c>
      <c r="O69" s="376">
        <f t="shared" si="44"/>
        <v>0</v>
      </c>
      <c r="P69" s="376">
        <f t="shared" si="44"/>
        <v>0</v>
      </c>
      <c r="Q69" s="376">
        <f t="shared" si="44"/>
        <v>0</v>
      </c>
      <c r="R69" s="376">
        <f t="shared" si="44"/>
        <v>0</v>
      </c>
      <c r="S69" s="376">
        <f t="shared" si="44"/>
        <v>0</v>
      </c>
      <c r="T69" s="376">
        <f t="shared" si="44"/>
        <v>0</v>
      </c>
      <c r="U69" s="376">
        <f t="shared" si="44"/>
        <v>0</v>
      </c>
      <c r="V69" s="376">
        <f t="shared" si="44"/>
        <v>0</v>
      </c>
      <c r="W69" s="376">
        <f t="shared" si="44"/>
        <v>0</v>
      </c>
    </row>
    <row r="70" spans="6:23" hidden="1">
      <c r="F70" s="515">
        <f t="shared" si="34"/>
        <v>0</v>
      </c>
      <c r="G70" s="376">
        <f t="shared" ref="G70:W70" si="45">G18*$B18</f>
        <v>0</v>
      </c>
      <c r="H70" s="376">
        <f t="shared" si="45"/>
        <v>0</v>
      </c>
      <c r="I70" s="376">
        <f t="shared" si="45"/>
        <v>0</v>
      </c>
      <c r="J70" s="376">
        <f t="shared" si="45"/>
        <v>0</v>
      </c>
      <c r="K70" s="376">
        <f t="shared" si="45"/>
        <v>0</v>
      </c>
      <c r="L70" s="376">
        <f t="shared" si="45"/>
        <v>0</v>
      </c>
      <c r="M70" s="376">
        <f t="shared" si="45"/>
        <v>0</v>
      </c>
      <c r="N70" s="376">
        <f t="shared" si="45"/>
        <v>0</v>
      </c>
      <c r="O70" s="376">
        <f t="shared" si="45"/>
        <v>0</v>
      </c>
      <c r="P70" s="376">
        <f t="shared" si="45"/>
        <v>0</v>
      </c>
      <c r="Q70" s="376">
        <f t="shared" si="45"/>
        <v>0</v>
      </c>
      <c r="R70" s="376">
        <f t="shared" si="45"/>
        <v>0</v>
      </c>
      <c r="S70" s="376">
        <f t="shared" si="45"/>
        <v>0</v>
      </c>
      <c r="T70" s="376">
        <f t="shared" si="45"/>
        <v>0</v>
      </c>
      <c r="U70" s="376">
        <f t="shared" si="45"/>
        <v>0</v>
      </c>
      <c r="V70" s="376">
        <f t="shared" si="45"/>
        <v>0</v>
      </c>
      <c r="W70" s="376">
        <f t="shared" si="45"/>
        <v>0</v>
      </c>
    </row>
    <row r="71" spans="6:23" hidden="1">
      <c r="F71" s="515">
        <f t="shared" si="34"/>
        <v>0</v>
      </c>
      <c r="G71" s="376">
        <f t="shared" ref="G71:W71" si="46">G19*$B19</f>
        <v>0</v>
      </c>
      <c r="H71" s="376">
        <f t="shared" si="46"/>
        <v>0</v>
      </c>
      <c r="I71" s="376">
        <f t="shared" si="46"/>
        <v>0</v>
      </c>
      <c r="J71" s="376">
        <f t="shared" si="46"/>
        <v>0</v>
      </c>
      <c r="K71" s="376">
        <f t="shared" si="46"/>
        <v>0</v>
      </c>
      <c r="L71" s="376">
        <f t="shared" si="46"/>
        <v>0</v>
      </c>
      <c r="M71" s="376">
        <f t="shared" si="46"/>
        <v>0</v>
      </c>
      <c r="N71" s="376">
        <f t="shared" si="46"/>
        <v>0</v>
      </c>
      <c r="O71" s="376">
        <f t="shared" si="46"/>
        <v>0</v>
      </c>
      <c r="P71" s="376">
        <f t="shared" si="46"/>
        <v>0</v>
      </c>
      <c r="Q71" s="376">
        <f t="shared" si="46"/>
        <v>0</v>
      </c>
      <c r="R71" s="376">
        <f t="shared" si="46"/>
        <v>0</v>
      </c>
      <c r="S71" s="376">
        <f t="shared" si="46"/>
        <v>0</v>
      </c>
      <c r="T71" s="376">
        <f t="shared" si="46"/>
        <v>0</v>
      </c>
      <c r="U71" s="376">
        <f t="shared" si="46"/>
        <v>0</v>
      </c>
      <c r="V71" s="376">
        <f t="shared" si="46"/>
        <v>0</v>
      </c>
      <c r="W71" s="376">
        <f t="shared" si="46"/>
        <v>0</v>
      </c>
    </row>
    <row r="72" spans="6:23" hidden="1">
      <c r="F72" s="515">
        <f t="shared" si="34"/>
        <v>0</v>
      </c>
      <c r="G72" s="376">
        <f t="shared" ref="G72:W72" si="47">G20*$B20</f>
        <v>0</v>
      </c>
      <c r="H72" s="376">
        <f t="shared" si="47"/>
        <v>0</v>
      </c>
      <c r="I72" s="376">
        <f t="shared" si="47"/>
        <v>0</v>
      </c>
      <c r="J72" s="376">
        <f t="shared" si="47"/>
        <v>0</v>
      </c>
      <c r="K72" s="376">
        <f t="shared" si="47"/>
        <v>0</v>
      </c>
      <c r="L72" s="376">
        <f t="shared" si="47"/>
        <v>0</v>
      </c>
      <c r="M72" s="376">
        <f t="shared" si="47"/>
        <v>0</v>
      </c>
      <c r="N72" s="376">
        <f t="shared" si="47"/>
        <v>0</v>
      </c>
      <c r="O72" s="376">
        <f t="shared" si="47"/>
        <v>0</v>
      </c>
      <c r="P72" s="376">
        <f t="shared" si="47"/>
        <v>0</v>
      </c>
      <c r="Q72" s="376">
        <f t="shared" si="47"/>
        <v>0</v>
      </c>
      <c r="R72" s="376">
        <f t="shared" si="47"/>
        <v>0</v>
      </c>
      <c r="S72" s="376">
        <f t="shared" si="47"/>
        <v>0</v>
      </c>
      <c r="T72" s="376">
        <f t="shared" si="47"/>
        <v>0</v>
      </c>
      <c r="U72" s="376">
        <f t="shared" si="47"/>
        <v>0</v>
      </c>
      <c r="V72" s="376">
        <f t="shared" si="47"/>
        <v>0</v>
      </c>
      <c r="W72" s="376">
        <f t="shared" si="47"/>
        <v>0</v>
      </c>
    </row>
    <row r="73" spans="6:23" hidden="1">
      <c r="F73" s="515" t="str">
        <f t="shared" si="34"/>
        <v>diverse Grünbrachen zB Biodiv.</v>
      </c>
      <c r="G73" s="376">
        <f t="shared" ref="G73:W73" si="48">G21*$B21</f>
        <v>0</v>
      </c>
      <c r="H73" s="376">
        <f t="shared" si="48"/>
        <v>0</v>
      </c>
      <c r="I73" s="376">
        <f t="shared" si="48"/>
        <v>0</v>
      </c>
      <c r="J73" s="376">
        <f t="shared" si="48"/>
        <v>0</v>
      </c>
      <c r="K73" s="376">
        <f t="shared" si="48"/>
        <v>0</v>
      </c>
      <c r="L73" s="376">
        <f t="shared" si="48"/>
        <v>0</v>
      </c>
      <c r="M73" s="376">
        <f t="shared" si="48"/>
        <v>0</v>
      </c>
      <c r="N73" s="376">
        <f t="shared" si="48"/>
        <v>0</v>
      </c>
      <c r="O73" s="376">
        <f t="shared" si="48"/>
        <v>0</v>
      </c>
      <c r="P73" s="376">
        <f t="shared" si="48"/>
        <v>0</v>
      </c>
      <c r="Q73" s="376">
        <f t="shared" si="48"/>
        <v>0</v>
      </c>
      <c r="R73" s="376">
        <f t="shared" si="48"/>
        <v>0</v>
      </c>
      <c r="S73" s="376">
        <f t="shared" si="48"/>
        <v>0</v>
      </c>
      <c r="T73" s="376">
        <f t="shared" si="48"/>
        <v>0</v>
      </c>
      <c r="U73" s="376">
        <f t="shared" si="48"/>
        <v>0</v>
      </c>
      <c r="V73" s="376">
        <f t="shared" si="48"/>
        <v>0</v>
      </c>
      <c r="W73" s="376">
        <f t="shared" si="48"/>
        <v>0</v>
      </c>
    </row>
    <row r="74" spans="6:23" ht="6.75" hidden="1" customHeight="1">
      <c r="F74" s="515"/>
    </row>
    <row r="75" spans="6:23" hidden="1">
      <c r="F75" s="515">
        <f t="shared" ref="F75:F80" si="49">A23</f>
        <v>0</v>
      </c>
      <c r="G75" s="376">
        <f t="shared" ref="G75:W75" si="50">G23*$B23</f>
        <v>0</v>
      </c>
      <c r="H75" s="376">
        <f t="shared" si="50"/>
        <v>0</v>
      </c>
      <c r="I75" s="376">
        <f t="shared" si="50"/>
        <v>0</v>
      </c>
      <c r="J75" s="376">
        <f t="shared" si="50"/>
        <v>0</v>
      </c>
      <c r="K75" s="376">
        <f t="shared" si="50"/>
        <v>0</v>
      </c>
      <c r="L75" s="376">
        <f t="shared" si="50"/>
        <v>0</v>
      </c>
      <c r="M75" s="376">
        <f t="shared" si="50"/>
        <v>0</v>
      </c>
      <c r="N75" s="376">
        <f t="shared" si="50"/>
        <v>0</v>
      </c>
      <c r="O75" s="376">
        <f t="shared" si="50"/>
        <v>0</v>
      </c>
      <c r="P75" s="376">
        <f t="shared" si="50"/>
        <v>0</v>
      </c>
      <c r="Q75" s="376">
        <f t="shared" si="50"/>
        <v>0</v>
      </c>
      <c r="R75" s="376">
        <f t="shared" si="50"/>
        <v>0</v>
      </c>
      <c r="S75" s="376">
        <f t="shared" si="50"/>
        <v>0</v>
      </c>
      <c r="T75" s="376">
        <f t="shared" si="50"/>
        <v>0</v>
      </c>
      <c r="U75" s="376">
        <f t="shared" si="50"/>
        <v>0</v>
      </c>
      <c r="V75" s="376">
        <f t="shared" si="50"/>
        <v>0</v>
      </c>
      <c r="W75" s="376">
        <f t="shared" si="50"/>
        <v>0</v>
      </c>
    </row>
    <row r="76" spans="6:23" hidden="1">
      <c r="F76" s="515">
        <f t="shared" si="49"/>
        <v>0</v>
      </c>
      <c r="G76" s="376">
        <f t="shared" ref="G76:W76" si="51">G24*$B24</f>
        <v>0</v>
      </c>
      <c r="H76" s="376">
        <f t="shared" si="51"/>
        <v>0</v>
      </c>
      <c r="I76" s="376">
        <f t="shared" si="51"/>
        <v>0</v>
      </c>
      <c r="J76" s="376">
        <f t="shared" si="51"/>
        <v>0</v>
      </c>
      <c r="K76" s="376">
        <f t="shared" si="51"/>
        <v>0</v>
      </c>
      <c r="L76" s="376">
        <f t="shared" si="51"/>
        <v>0</v>
      </c>
      <c r="M76" s="376">
        <f t="shared" si="51"/>
        <v>0</v>
      </c>
      <c r="N76" s="376">
        <f t="shared" si="51"/>
        <v>0</v>
      </c>
      <c r="O76" s="376">
        <f t="shared" si="51"/>
        <v>0</v>
      </c>
      <c r="P76" s="376">
        <f t="shared" si="51"/>
        <v>0</v>
      </c>
      <c r="Q76" s="376">
        <f t="shared" si="51"/>
        <v>0</v>
      </c>
      <c r="R76" s="376">
        <f t="shared" si="51"/>
        <v>0</v>
      </c>
      <c r="S76" s="376">
        <f t="shared" si="51"/>
        <v>0</v>
      </c>
      <c r="T76" s="376">
        <f t="shared" si="51"/>
        <v>0</v>
      </c>
      <c r="U76" s="376">
        <f t="shared" si="51"/>
        <v>0</v>
      </c>
      <c r="V76" s="376">
        <f t="shared" si="51"/>
        <v>0</v>
      </c>
      <c r="W76" s="376">
        <f t="shared" si="51"/>
        <v>0</v>
      </c>
    </row>
    <row r="77" spans="6:23" hidden="1">
      <c r="F77" s="515">
        <f t="shared" si="49"/>
        <v>0</v>
      </c>
      <c r="G77" s="376">
        <f t="shared" ref="G77:W77" si="52">G25*$B25</f>
        <v>0</v>
      </c>
      <c r="H77" s="376">
        <f t="shared" si="52"/>
        <v>0</v>
      </c>
      <c r="I77" s="376">
        <f t="shared" si="52"/>
        <v>0</v>
      </c>
      <c r="J77" s="376">
        <f t="shared" si="52"/>
        <v>0</v>
      </c>
      <c r="K77" s="376">
        <f t="shared" si="52"/>
        <v>0</v>
      </c>
      <c r="L77" s="376">
        <f t="shared" si="52"/>
        <v>0</v>
      </c>
      <c r="M77" s="376">
        <f t="shared" si="52"/>
        <v>0</v>
      </c>
      <c r="N77" s="376">
        <f t="shared" si="52"/>
        <v>0</v>
      </c>
      <c r="O77" s="376">
        <f t="shared" si="52"/>
        <v>0</v>
      </c>
      <c r="P77" s="376">
        <f t="shared" si="52"/>
        <v>0</v>
      </c>
      <c r="Q77" s="376">
        <f t="shared" si="52"/>
        <v>0</v>
      </c>
      <c r="R77" s="376">
        <f t="shared" si="52"/>
        <v>0</v>
      </c>
      <c r="S77" s="376">
        <f t="shared" si="52"/>
        <v>0</v>
      </c>
      <c r="T77" s="376">
        <f t="shared" si="52"/>
        <v>0</v>
      </c>
      <c r="U77" s="376">
        <f t="shared" si="52"/>
        <v>0</v>
      </c>
      <c r="V77" s="376">
        <f t="shared" si="52"/>
        <v>0</v>
      </c>
      <c r="W77" s="376">
        <f t="shared" si="52"/>
        <v>0</v>
      </c>
    </row>
    <row r="78" spans="6:23" hidden="1">
      <c r="F78" s="515">
        <f t="shared" si="49"/>
        <v>0</v>
      </c>
      <c r="G78" s="376">
        <f t="shared" ref="G78:W78" si="53">G26*$B26</f>
        <v>0</v>
      </c>
      <c r="H78" s="376">
        <f t="shared" si="53"/>
        <v>0</v>
      </c>
      <c r="I78" s="376">
        <f t="shared" si="53"/>
        <v>0</v>
      </c>
      <c r="J78" s="376">
        <f t="shared" si="53"/>
        <v>0</v>
      </c>
      <c r="K78" s="376">
        <f t="shared" si="53"/>
        <v>0</v>
      </c>
      <c r="L78" s="376">
        <f t="shared" si="53"/>
        <v>0</v>
      </c>
      <c r="M78" s="376">
        <f t="shared" si="53"/>
        <v>0</v>
      </c>
      <c r="N78" s="376">
        <f t="shared" si="53"/>
        <v>0</v>
      </c>
      <c r="O78" s="376">
        <f t="shared" si="53"/>
        <v>0</v>
      </c>
      <c r="P78" s="376">
        <f t="shared" si="53"/>
        <v>0</v>
      </c>
      <c r="Q78" s="376">
        <f t="shared" si="53"/>
        <v>0</v>
      </c>
      <c r="R78" s="376">
        <f t="shared" si="53"/>
        <v>0</v>
      </c>
      <c r="S78" s="376">
        <f t="shared" si="53"/>
        <v>0</v>
      </c>
      <c r="T78" s="376">
        <f t="shared" si="53"/>
        <v>0</v>
      </c>
      <c r="U78" s="376">
        <f t="shared" si="53"/>
        <v>0</v>
      </c>
      <c r="V78" s="376">
        <f t="shared" si="53"/>
        <v>0</v>
      </c>
      <c r="W78" s="376">
        <f t="shared" si="53"/>
        <v>0</v>
      </c>
    </row>
    <row r="79" spans="6:23" hidden="1">
      <c r="F79" s="515">
        <f t="shared" si="49"/>
        <v>0</v>
      </c>
      <c r="G79" s="376">
        <f t="shared" ref="G79:W79" si="54">G27*$B27</f>
        <v>0</v>
      </c>
      <c r="H79" s="376">
        <f t="shared" si="54"/>
        <v>0</v>
      </c>
      <c r="I79" s="376">
        <f t="shared" si="54"/>
        <v>0</v>
      </c>
      <c r="J79" s="376">
        <f t="shared" si="54"/>
        <v>0</v>
      </c>
      <c r="K79" s="376">
        <f t="shared" si="54"/>
        <v>0</v>
      </c>
      <c r="L79" s="376">
        <f t="shared" si="54"/>
        <v>0</v>
      </c>
      <c r="M79" s="376">
        <f t="shared" si="54"/>
        <v>0</v>
      </c>
      <c r="N79" s="376">
        <f t="shared" si="54"/>
        <v>0</v>
      </c>
      <c r="O79" s="376">
        <f t="shared" si="54"/>
        <v>0</v>
      </c>
      <c r="P79" s="376">
        <f t="shared" si="54"/>
        <v>0</v>
      </c>
      <c r="Q79" s="376">
        <f t="shared" si="54"/>
        <v>0</v>
      </c>
      <c r="R79" s="376">
        <f t="shared" si="54"/>
        <v>0</v>
      </c>
      <c r="S79" s="376">
        <f t="shared" si="54"/>
        <v>0</v>
      </c>
      <c r="T79" s="376">
        <f t="shared" si="54"/>
        <v>0</v>
      </c>
      <c r="U79" s="376">
        <f t="shared" si="54"/>
        <v>0</v>
      </c>
      <c r="V79" s="376">
        <f t="shared" si="54"/>
        <v>0</v>
      </c>
      <c r="W79" s="376">
        <f t="shared" si="54"/>
        <v>0</v>
      </c>
    </row>
    <row r="80" spans="6:23" hidden="1">
      <c r="F80" s="515">
        <f t="shared" si="49"/>
        <v>0</v>
      </c>
      <c r="G80" s="376">
        <f t="shared" ref="G80:W80" si="55">G28*$B28</f>
        <v>0</v>
      </c>
      <c r="H80" s="376">
        <f t="shared" si="55"/>
        <v>0</v>
      </c>
      <c r="I80" s="376">
        <f t="shared" si="55"/>
        <v>0</v>
      </c>
      <c r="J80" s="376">
        <f t="shared" si="55"/>
        <v>0</v>
      </c>
      <c r="K80" s="376">
        <f t="shared" si="55"/>
        <v>0</v>
      </c>
      <c r="L80" s="376">
        <f t="shared" si="55"/>
        <v>0</v>
      </c>
      <c r="M80" s="376">
        <f t="shared" si="55"/>
        <v>0</v>
      </c>
      <c r="N80" s="376">
        <f t="shared" si="55"/>
        <v>0</v>
      </c>
      <c r="O80" s="376">
        <f t="shared" si="55"/>
        <v>0</v>
      </c>
      <c r="P80" s="376">
        <f t="shared" si="55"/>
        <v>0</v>
      </c>
      <c r="Q80" s="376">
        <f t="shared" si="55"/>
        <v>0</v>
      </c>
      <c r="R80" s="376">
        <f t="shared" si="55"/>
        <v>0</v>
      </c>
      <c r="S80" s="376">
        <f t="shared" si="55"/>
        <v>0</v>
      </c>
      <c r="T80" s="376">
        <f t="shared" si="55"/>
        <v>0</v>
      </c>
      <c r="U80" s="376">
        <f t="shared" si="55"/>
        <v>0</v>
      </c>
      <c r="V80" s="376">
        <f t="shared" si="55"/>
        <v>0</v>
      </c>
      <c r="W80" s="376">
        <f t="shared" si="55"/>
        <v>0</v>
      </c>
    </row>
    <row r="81" spans="5:28" ht="20.25" hidden="1" customHeight="1">
      <c r="F81" s="500" t="s">
        <v>306</v>
      </c>
      <c r="G81" s="516">
        <f t="shared" ref="G81:W81" si="56">SUM(G60:G80)</f>
        <v>0</v>
      </c>
      <c r="H81" s="516">
        <f t="shared" si="56"/>
        <v>0</v>
      </c>
      <c r="I81" s="516">
        <f t="shared" si="56"/>
        <v>0</v>
      </c>
      <c r="J81" s="516">
        <f t="shared" si="56"/>
        <v>0</v>
      </c>
      <c r="K81" s="516">
        <f>SUM(K60:K80)</f>
        <v>0</v>
      </c>
      <c r="L81" s="516">
        <f t="shared" si="56"/>
        <v>0</v>
      </c>
      <c r="M81" s="516">
        <f t="shared" si="56"/>
        <v>0</v>
      </c>
      <c r="N81" s="516">
        <f t="shared" si="56"/>
        <v>0</v>
      </c>
      <c r="O81" s="516">
        <f t="shared" si="56"/>
        <v>0</v>
      </c>
      <c r="P81" s="516">
        <f t="shared" si="56"/>
        <v>0</v>
      </c>
      <c r="Q81" s="516">
        <f t="shared" si="56"/>
        <v>0</v>
      </c>
      <c r="R81" s="516">
        <f t="shared" si="56"/>
        <v>0</v>
      </c>
      <c r="S81" s="516">
        <f t="shared" si="56"/>
        <v>0</v>
      </c>
      <c r="T81" s="516">
        <f t="shared" si="56"/>
        <v>0</v>
      </c>
      <c r="U81" s="516">
        <f t="shared" si="56"/>
        <v>0</v>
      </c>
      <c r="V81" s="516">
        <f t="shared" si="56"/>
        <v>0</v>
      </c>
      <c r="W81" s="516">
        <f t="shared" si="56"/>
        <v>0</v>
      </c>
    </row>
    <row r="82" spans="5:28" hidden="1"/>
    <row r="83" spans="5:28" ht="13.5" hidden="1" thickBot="1"/>
    <row r="84" spans="5:28" ht="14.25" hidden="1">
      <c r="F84" s="500" t="s">
        <v>846</v>
      </c>
      <c r="G84" s="517" t="s">
        <v>309</v>
      </c>
      <c r="H84" s="518"/>
      <c r="I84" s="518"/>
      <c r="J84" s="518"/>
      <c r="K84" s="518"/>
      <c r="L84" s="518"/>
      <c r="M84" s="518"/>
      <c r="N84" s="518"/>
      <c r="O84" s="518"/>
      <c r="P84" s="518"/>
      <c r="Q84" s="518"/>
      <c r="R84" s="518"/>
      <c r="S84" s="518"/>
      <c r="T84" s="518"/>
      <c r="U84" s="518"/>
      <c r="V84" s="518"/>
      <c r="W84" s="518"/>
      <c r="X84" s="495"/>
    </row>
    <row r="85" spans="5:28" ht="14.25" hidden="1">
      <c r="F85" s="500"/>
      <c r="G85" s="519">
        <f>AF8</f>
        <v>0</v>
      </c>
      <c r="H85" s="520">
        <f>AF9</f>
        <v>0</v>
      </c>
      <c r="I85" s="520">
        <f>AF10</f>
        <v>0</v>
      </c>
      <c r="J85" s="520">
        <f>AF11</f>
        <v>0</v>
      </c>
      <c r="K85" s="520">
        <f>AF12</f>
        <v>0</v>
      </c>
      <c r="L85" s="521">
        <f>AF14</f>
        <v>0</v>
      </c>
      <c r="M85" s="520">
        <f>AF15</f>
        <v>0</v>
      </c>
      <c r="N85" s="520">
        <f>AF16</f>
        <v>0</v>
      </c>
      <c r="O85" s="520">
        <f>AF17</f>
        <v>0</v>
      </c>
      <c r="P85" s="520">
        <f>AF18</f>
        <v>0</v>
      </c>
      <c r="Q85" s="520">
        <f>AF19</f>
        <v>0</v>
      </c>
      <c r="R85" s="520">
        <f>AF20</f>
        <v>0</v>
      </c>
      <c r="S85" s="520">
        <f>AF21</f>
        <v>0</v>
      </c>
      <c r="T85" s="520">
        <f>AF23</f>
        <v>0</v>
      </c>
      <c r="U85" s="520">
        <f>AF24</f>
        <v>0</v>
      </c>
      <c r="V85" s="520">
        <f>AF25</f>
        <v>0</v>
      </c>
      <c r="W85" s="520">
        <f>AF26</f>
        <v>0</v>
      </c>
      <c r="X85" s="495"/>
    </row>
    <row r="86" spans="5:28" ht="17.45" hidden="1" customHeight="1">
      <c r="E86" s="507">
        <f>A36</f>
        <v>0</v>
      </c>
      <c r="F86" s="522">
        <f>SUM(G86:W86)</f>
        <v>0</v>
      </c>
      <c r="G86" s="374">
        <f t="shared" ref="G86:W86" si="57">G8*G$85*$B8</f>
        <v>0</v>
      </c>
      <c r="H86" s="374">
        <f t="shared" si="57"/>
        <v>0</v>
      </c>
      <c r="I86" s="374">
        <f t="shared" si="57"/>
        <v>0</v>
      </c>
      <c r="J86" s="374">
        <f t="shared" si="57"/>
        <v>0</v>
      </c>
      <c r="K86" s="374">
        <f t="shared" si="57"/>
        <v>0</v>
      </c>
      <c r="L86" s="374">
        <f t="shared" si="57"/>
        <v>0</v>
      </c>
      <c r="M86" s="374">
        <f t="shared" si="57"/>
        <v>0</v>
      </c>
      <c r="N86" s="374">
        <f t="shared" si="57"/>
        <v>0</v>
      </c>
      <c r="O86" s="374">
        <f t="shared" si="57"/>
        <v>0</v>
      </c>
      <c r="P86" s="374">
        <f t="shared" si="57"/>
        <v>0</v>
      </c>
      <c r="Q86" s="374">
        <f t="shared" si="57"/>
        <v>0</v>
      </c>
      <c r="R86" s="374">
        <f t="shared" si="57"/>
        <v>0</v>
      </c>
      <c r="S86" s="374">
        <f t="shared" si="57"/>
        <v>0</v>
      </c>
      <c r="T86" s="374">
        <f t="shared" si="57"/>
        <v>0</v>
      </c>
      <c r="U86" s="374">
        <f t="shared" si="57"/>
        <v>0</v>
      </c>
      <c r="V86" s="374">
        <f t="shared" si="57"/>
        <v>0</v>
      </c>
      <c r="W86" s="374">
        <f t="shared" si="57"/>
        <v>0</v>
      </c>
      <c r="Y86" s="375">
        <f t="shared" ref="Y86:Y106" si="58">A8</f>
        <v>0</v>
      </c>
      <c r="Z86" s="381"/>
      <c r="AA86" s="381"/>
      <c r="AB86" s="381"/>
    </row>
    <row r="87" spans="5:28" ht="17.45" hidden="1" customHeight="1">
      <c r="E87" s="507">
        <f t="shared" ref="E87:E97" si="59">A37</f>
        <v>0</v>
      </c>
      <c r="F87" s="522">
        <f t="shared" ref="F87:F99" si="60">SUM(G87:W87)</f>
        <v>0</v>
      </c>
      <c r="G87" s="374">
        <f t="shared" ref="G87:W87" si="61">G9*G$85*$B9</f>
        <v>0</v>
      </c>
      <c r="H87" s="374">
        <f t="shared" si="61"/>
        <v>0</v>
      </c>
      <c r="I87" s="374">
        <f t="shared" si="61"/>
        <v>0</v>
      </c>
      <c r="J87" s="374">
        <f t="shared" si="61"/>
        <v>0</v>
      </c>
      <c r="K87" s="374">
        <f t="shared" si="61"/>
        <v>0</v>
      </c>
      <c r="L87" s="374">
        <f t="shared" si="61"/>
        <v>0</v>
      </c>
      <c r="M87" s="374">
        <f t="shared" si="61"/>
        <v>0</v>
      </c>
      <c r="N87" s="374">
        <f t="shared" si="61"/>
        <v>0</v>
      </c>
      <c r="O87" s="374">
        <f t="shared" si="61"/>
        <v>0</v>
      </c>
      <c r="P87" s="374">
        <f t="shared" si="61"/>
        <v>0</v>
      </c>
      <c r="Q87" s="374">
        <f t="shared" si="61"/>
        <v>0</v>
      </c>
      <c r="R87" s="374">
        <f t="shared" si="61"/>
        <v>0</v>
      </c>
      <c r="S87" s="374">
        <f t="shared" si="61"/>
        <v>0</v>
      </c>
      <c r="T87" s="374">
        <f t="shared" si="61"/>
        <v>0</v>
      </c>
      <c r="U87" s="374">
        <f t="shared" si="61"/>
        <v>0</v>
      </c>
      <c r="V87" s="374">
        <f t="shared" si="61"/>
        <v>0</v>
      </c>
      <c r="W87" s="374">
        <f t="shared" si="61"/>
        <v>0</v>
      </c>
      <c r="Y87" s="375">
        <f t="shared" si="58"/>
        <v>0</v>
      </c>
      <c r="Z87" s="381"/>
      <c r="AA87" s="381"/>
      <c r="AB87" s="381"/>
    </row>
    <row r="88" spans="5:28" ht="17.45" hidden="1" customHeight="1">
      <c r="E88" s="507">
        <f t="shared" si="59"/>
        <v>0</v>
      </c>
      <c r="F88" s="522">
        <f t="shared" si="60"/>
        <v>0</v>
      </c>
      <c r="G88" s="374">
        <f t="shared" ref="G88:W88" si="62">G10*G$85*$B10</f>
        <v>0</v>
      </c>
      <c r="H88" s="374">
        <f t="shared" si="62"/>
        <v>0</v>
      </c>
      <c r="I88" s="374">
        <f t="shared" si="62"/>
        <v>0</v>
      </c>
      <c r="J88" s="374">
        <f t="shared" si="62"/>
        <v>0</v>
      </c>
      <c r="K88" s="374">
        <f t="shared" si="62"/>
        <v>0</v>
      </c>
      <c r="L88" s="374">
        <f t="shared" si="62"/>
        <v>0</v>
      </c>
      <c r="M88" s="374">
        <f t="shared" si="62"/>
        <v>0</v>
      </c>
      <c r="N88" s="374">
        <f t="shared" si="62"/>
        <v>0</v>
      </c>
      <c r="O88" s="374">
        <f t="shared" si="62"/>
        <v>0</v>
      </c>
      <c r="P88" s="374">
        <f t="shared" si="62"/>
        <v>0</v>
      </c>
      <c r="Q88" s="374">
        <f t="shared" si="62"/>
        <v>0</v>
      </c>
      <c r="R88" s="374">
        <f t="shared" si="62"/>
        <v>0</v>
      </c>
      <c r="S88" s="374">
        <f t="shared" si="62"/>
        <v>0</v>
      </c>
      <c r="T88" s="374">
        <f t="shared" si="62"/>
        <v>0</v>
      </c>
      <c r="U88" s="374">
        <f t="shared" si="62"/>
        <v>0</v>
      </c>
      <c r="V88" s="374">
        <f t="shared" si="62"/>
        <v>0</v>
      </c>
      <c r="W88" s="374">
        <f t="shared" si="62"/>
        <v>0</v>
      </c>
      <c r="Y88" s="375">
        <f t="shared" si="58"/>
        <v>0</v>
      </c>
      <c r="Z88" s="381"/>
      <c r="AA88" s="381"/>
      <c r="AB88" s="381"/>
    </row>
    <row r="89" spans="5:28" ht="17.45" hidden="1" customHeight="1">
      <c r="E89" s="507">
        <f t="shared" si="59"/>
        <v>0</v>
      </c>
      <c r="F89" s="522">
        <f t="shared" si="60"/>
        <v>0</v>
      </c>
      <c r="G89" s="374">
        <f t="shared" ref="G89:W89" si="63">G11*G$85*$B11</f>
        <v>0</v>
      </c>
      <c r="H89" s="374">
        <f t="shared" si="63"/>
        <v>0</v>
      </c>
      <c r="I89" s="374">
        <f t="shared" si="63"/>
        <v>0</v>
      </c>
      <c r="J89" s="374">
        <f t="shared" si="63"/>
        <v>0</v>
      </c>
      <c r="K89" s="374">
        <f t="shared" si="63"/>
        <v>0</v>
      </c>
      <c r="L89" s="374">
        <f t="shared" si="63"/>
        <v>0</v>
      </c>
      <c r="M89" s="374">
        <f t="shared" si="63"/>
        <v>0</v>
      </c>
      <c r="N89" s="374">
        <f t="shared" si="63"/>
        <v>0</v>
      </c>
      <c r="O89" s="374">
        <f t="shared" si="63"/>
        <v>0</v>
      </c>
      <c r="P89" s="374">
        <f t="shared" si="63"/>
        <v>0</v>
      </c>
      <c r="Q89" s="374">
        <f t="shared" si="63"/>
        <v>0</v>
      </c>
      <c r="R89" s="374">
        <f t="shared" si="63"/>
        <v>0</v>
      </c>
      <c r="S89" s="374">
        <f t="shared" si="63"/>
        <v>0</v>
      </c>
      <c r="T89" s="374">
        <f t="shared" si="63"/>
        <v>0</v>
      </c>
      <c r="U89" s="374">
        <f t="shared" si="63"/>
        <v>0</v>
      </c>
      <c r="V89" s="374">
        <f t="shared" si="63"/>
        <v>0</v>
      </c>
      <c r="W89" s="374">
        <f t="shared" si="63"/>
        <v>0</v>
      </c>
      <c r="Y89" s="375">
        <f t="shared" si="58"/>
        <v>0</v>
      </c>
      <c r="Z89" s="381"/>
      <c r="AA89" s="381"/>
      <c r="AB89" s="381"/>
    </row>
    <row r="90" spans="5:28" ht="17.45" hidden="1" customHeight="1">
      <c r="E90" s="507">
        <f t="shared" si="59"/>
        <v>0</v>
      </c>
      <c r="F90" s="522">
        <f t="shared" si="60"/>
        <v>0</v>
      </c>
      <c r="G90" s="374">
        <f t="shared" ref="G90:W90" si="64">G12*G$85*$B12</f>
        <v>0</v>
      </c>
      <c r="H90" s="374">
        <f t="shared" si="64"/>
        <v>0</v>
      </c>
      <c r="I90" s="374">
        <f t="shared" si="64"/>
        <v>0</v>
      </c>
      <c r="J90" s="374">
        <f t="shared" si="64"/>
        <v>0</v>
      </c>
      <c r="K90" s="374">
        <f t="shared" si="64"/>
        <v>0</v>
      </c>
      <c r="L90" s="374">
        <f t="shared" si="64"/>
        <v>0</v>
      </c>
      <c r="M90" s="374">
        <f t="shared" si="64"/>
        <v>0</v>
      </c>
      <c r="N90" s="374">
        <f t="shared" si="64"/>
        <v>0</v>
      </c>
      <c r="O90" s="374">
        <f t="shared" si="64"/>
        <v>0</v>
      </c>
      <c r="P90" s="374">
        <f t="shared" si="64"/>
        <v>0</v>
      </c>
      <c r="Q90" s="374">
        <f t="shared" si="64"/>
        <v>0</v>
      </c>
      <c r="R90" s="374">
        <f t="shared" si="64"/>
        <v>0</v>
      </c>
      <c r="S90" s="374">
        <f t="shared" si="64"/>
        <v>0</v>
      </c>
      <c r="T90" s="374">
        <f t="shared" si="64"/>
        <v>0</v>
      </c>
      <c r="U90" s="374">
        <f t="shared" si="64"/>
        <v>0</v>
      </c>
      <c r="V90" s="374">
        <f t="shared" si="64"/>
        <v>0</v>
      </c>
      <c r="W90" s="374">
        <f t="shared" si="64"/>
        <v>0</v>
      </c>
      <c r="Y90" s="375">
        <f t="shared" si="58"/>
        <v>0</v>
      </c>
      <c r="Z90" s="381"/>
      <c r="AA90" s="381"/>
      <c r="AB90" s="381"/>
    </row>
    <row r="91" spans="5:28" ht="17.45" hidden="1" customHeight="1">
      <c r="E91" s="507">
        <f t="shared" si="59"/>
        <v>0</v>
      </c>
      <c r="F91" s="522">
        <f t="shared" si="60"/>
        <v>0</v>
      </c>
      <c r="G91" s="374">
        <f t="shared" ref="G91:W91" si="65">G13*G$85*$B13</f>
        <v>0</v>
      </c>
      <c r="H91" s="374">
        <f t="shared" si="65"/>
        <v>0</v>
      </c>
      <c r="I91" s="374">
        <f t="shared" si="65"/>
        <v>0</v>
      </c>
      <c r="J91" s="374">
        <f t="shared" si="65"/>
        <v>0</v>
      </c>
      <c r="K91" s="374">
        <f t="shared" si="65"/>
        <v>0</v>
      </c>
      <c r="L91" s="374">
        <f t="shared" si="65"/>
        <v>0</v>
      </c>
      <c r="M91" s="374">
        <f t="shared" si="65"/>
        <v>0</v>
      </c>
      <c r="N91" s="374">
        <f t="shared" si="65"/>
        <v>0</v>
      </c>
      <c r="O91" s="374">
        <f t="shared" si="65"/>
        <v>0</v>
      </c>
      <c r="P91" s="374">
        <f t="shared" si="65"/>
        <v>0</v>
      </c>
      <c r="Q91" s="374">
        <f t="shared" si="65"/>
        <v>0</v>
      </c>
      <c r="R91" s="374">
        <f t="shared" si="65"/>
        <v>0</v>
      </c>
      <c r="S91" s="374">
        <f t="shared" si="65"/>
        <v>0</v>
      </c>
      <c r="T91" s="374">
        <f t="shared" si="65"/>
        <v>0</v>
      </c>
      <c r="U91" s="374">
        <f t="shared" si="65"/>
        <v>0</v>
      </c>
      <c r="V91" s="374">
        <f t="shared" si="65"/>
        <v>0</v>
      </c>
      <c r="W91" s="374">
        <f t="shared" si="65"/>
        <v>0</v>
      </c>
      <c r="Y91" s="375">
        <f t="shared" si="58"/>
        <v>0</v>
      </c>
      <c r="Z91" s="381"/>
      <c r="AA91" s="381"/>
      <c r="AB91" s="381"/>
    </row>
    <row r="92" spans="5:28" ht="17.45" hidden="1" customHeight="1">
      <c r="E92" s="507">
        <f t="shared" si="59"/>
        <v>0</v>
      </c>
      <c r="F92" s="522">
        <f t="shared" si="60"/>
        <v>0</v>
      </c>
      <c r="G92" s="374">
        <f t="shared" ref="G92:W92" si="66">G14*G$85*$B14</f>
        <v>0</v>
      </c>
      <c r="H92" s="374">
        <f t="shared" si="66"/>
        <v>0</v>
      </c>
      <c r="I92" s="374">
        <f t="shared" si="66"/>
        <v>0</v>
      </c>
      <c r="J92" s="374">
        <f t="shared" si="66"/>
        <v>0</v>
      </c>
      <c r="K92" s="374">
        <f t="shared" si="66"/>
        <v>0</v>
      </c>
      <c r="L92" s="374">
        <f t="shared" si="66"/>
        <v>0</v>
      </c>
      <c r="M92" s="374">
        <f t="shared" si="66"/>
        <v>0</v>
      </c>
      <c r="N92" s="374">
        <f t="shared" si="66"/>
        <v>0</v>
      </c>
      <c r="O92" s="374">
        <f t="shared" si="66"/>
        <v>0</v>
      </c>
      <c r="P92" s="374">
        <f t="shared" si="66"/>
        <v>0</v>
      </c>
      <c r="Q92" s="374">
        <f t="shared" si="66"/>
        <v>0</v>
      </c>
      <c r="R92" s="374">
        <f t="shared" si="66"/>
        <v>0</v>
      </c>
      <c r="S92" s="374">
        <f t="shared" si="66"/>
        <v>0</v>
      </c>
      <c r="T92" s="374">
        <f t="shared" si="66"/>
        <v>0</v>
      </c>
      <c r="U92" s="374">
        <f t="shared" si="66"/>
        <v>0</v>
      </c>
      <c r="V92" s="374">
        <f t="shared" si="66"/>
        <v>0</v>
      </c>
      <c r="W92" s="374">
        <f t="shared" si="66"/>
        <v>0</v>
      </c>
      <c r="Y92" s="375">
        <f t="shared" si="58"/>
        <v>0</v>
      </c>
      <c r="Z92" s="381"/>
      <c r="AA92" s="381"/>
      <c r="AB92" s="381"/>
    </row>
    <row r="93" spans="5:28" ht="17.45" hidden="1" customHeight="1">
      <c r="E93" s="507">
        <f t="shared" si="59"/>
        <v>0</v>
      </c>
      <c r="F93" s="522">
        <f t="shared" si="60"/>
        <v>0</v>
      </c>
      <c r="G93" s="374">
        <f t="shared" ref="G93:W93" si="67">G15*G$85*$B15</f>
        <v>0</v>
      </c>
      <c r="H93" s="374">
        <f t="shared" si="67"/>
        <v>0</v>
      </c>
      <c r="I93" s="374">
        <f t="shared" si="67"/>
        <v>0</v>
      </c>
      <c r="J93" s="374">
        <f t="shared" si="67"/>
        <v>0</v>
      </c>
      <c r="K93" s="374">
        <f t="shared" si="67"/>
        <v>0</v>
      </c>
      <c r="L93" s="374">
        <f t="shared" si="67"/>
        <v>0</v>
      </c>
      <c r="M93" s="374">
        <f t="shared" si="67"/>
        <v>0</v>
      </c>
      <c r="N93" s="374">
        <f t="shared" si="67"/>
        <v>0</v>
      </c>
      <c r="O93" s="374">
        <f t="shared" si="67"/>
        <v>0</v>
      </c>
      <c r="P93" s="374">
        <f t="shared" si="67"/>
        <v>0</v>
      </c>
      <c r="Q93" s="374">
        <f t="shared" si="67"/>
        <v>0</v>
      </c>
      <c r="R93" s="374">
        <f t="shared" si="67"/>
        <v>0</v>
      </c>
      <c r="S93" s="374">
        <f t="shared" si="67"/>
        <v>0</v>
      </c>
      <c r="T93" s="374">
        <f t="shared" si="67"/>
        <v>0</v>
      </c>
      <c r="U93" s="374">
        <f t="shared" si="67"/>
        <v>0</v>
      </c>
      <c r="V93" s="374">
        <f t="shared" si="67"/>
        <v>0</v>
      </c>
      <c r="W93" s="374">
        <f t="shared" si="67"/>
        <v>0</v>
      </c>
      <c r="Y93" s="375">
        <f t="shared" si="58"/>
        <v>0</v>
      </c>
      <c r="Z93" s="381"/>
      <c r="AA93" s="381"/>
      <c r="AB93" s="381"/>
    </row>
    <row r="94" spans="5:28" ht="17.45" hidden="1" customHeight="1">
      <c r="E94" s="507">
        <f t="shared" si="59"/>
        <v>0</v>
      </c>
      <c r="F94" s="522">
        <f t="shared" si="60"/>
        <v>0</v>
      </c>
      <c r="G94" s="374">
        <f t="shared" ref="G94:W94" si="68">G16*G$85*$B16</f>
        <v>0</v>
      </c>
      <c r="H94" s="374">
        <f t="shared" si="68"/>
        <v>0</v>
      </c>
      <c r="I94" s="374">
        <f t="shared" si="68"/>
        <v>0</v>
      </c>
      <c r="J94" s="374">
        <f t="shared" si="68"/>
        <v>0</v>
      </c>
      <c r="K94" s="374">
        <f t="shared" si="68"/>
        <v>0</v>
      </c>
      <c r="L94" s="374">
        <f t="shared" si="68"/>
        <v>0</v>
      </c>
      <c r="M94" s="374">
        <f t="shared" si="68"/>
        <v>0</v>
      </c>
      <c r="N94" s="374">
        <f t="shared" si="68"/>
        <v>0</v>
      </c>
      <c r="O94" s="374">
        <f t="shared" si="68"/>
        <v>0</v>
      </c>
      <c r="P94" s="374">
        <f t="shared" si="68"/>
        <v>0</v>
      </c>
      <c r="Q94" s="374">
        <f t="shared" si="68"/>
        <v>0</v>
      </c>
      <c r="R94" s="374">
        <f t="shared" si="68"/>
        <v>0</v>
      </c>
      <c r="S94" s="374">
        <f t="shared" si="68"/>
        <v>0</v>
      </c>
      <c r="T94" s="374">
        <f t="shared" si="68"/>
        <v>0</v>
      </c>
      <c r="U94" s="374">
        <f t="shared" si="68"/>
        <v>0</v>
      </c>
      <c r="V94" s="374">
        <f t="shared" si="68"/>
        <v>0</v>
      </c>
      <c r="W94" s="374">
        <f t="shared" si="68"/>
        <v>0</v>
      </c>
      <c r="Y94" s="375">
        <f t="shared" si="58"/>
        <v>0</v>
      </c>
      <c r="Z94" s="381"/>
      <c r="AA94" s="381"/>
      <c r="AB94" s="381"/>
    </row>
    <row r="95" spans="5:28" ht="17.45" hidden="1" customHeight="1">
      <c r="E95" s="507">
        <f t="shared" si="59"/>
        <v>0</v>
      </c>
      <c r="F95" s="522">
        <f t="shared" si="60"/>
        <v>0</v>
      </c>
      <c r="G95" s="374">
        <f t="shared" ref="G95:W95" si="69">G17*G$85*$B17</f>
        <v>0</v>
      </c>
      <c r="H95" s="374">
        <f t="shared" si="69"/>
        <v>0</v>
      </c>
      <c r="I95" s="374">
        <f t="shared" si="69"/>
        <v>0</v>
      </c>
      <c r="J95" s="374">
        <f t="shared" si="69"/>
        <v>0</v>
      </c>
      <c r="K95" s="374">
        <f t="shared" si="69"/>
        <v>0</v>
      </c>
      <c r="L95" s="374">
        <f t="shared" si="69"/>
        <v>0</v>
      </c>
      <c r="M95" s="374">
        <f t="shared" si="69"/>
        <v>0</v>
      </c>
      <c r="N95" s="374">
        <f t="shared" si="69"/>
        <v>0</v>
      </c>
      <c r="O95" s="374">
        <f t="shared" si="69"/>
        <v>0</v>
      </c>
      <c r="P95" s="374">
        <f t="shared" si="69"/>
        <v>0</v>
      </c>
      <c r="Q95" s="374">
        <f t="shared" si="69"/>
        <v>0</v>
      </c>
      <c r="R95" s="374">
        <f t="shared" si="69"/>
        <v>0</v>
      </c>
      <c r="S95" s="374">
        <f t="shared" si="69"/>
        <v>0</v>
      </c>
      <c r="T95" s="374">
        <f t="shared" si="69"/>
        <v>0</v>
      </c>
      <c r="U95" s="374">
        <f t="shared" si="69"/>
        <v>0</v>
      </c>
      <c r="V95" s="374">
        <f t="shared" si="69"/>
        <v>0</v>
      </c>
      <c r="W95" s="374">
        <f t="shared" si="69"/>
        <v>0</v>
      </c>
      <c r="Y95" s="375">
        <f t="shared" si="58"/>
        <v>0</v>
      </c>
      <c r="Z95" s="381"/>
      <c r="AA95" s="381"/>
      <c r="AB95" s="381"/>
    </row>
    <row r="96" spans="5:28" ht="17.45" hidden="1" customHeight="1">
      <c r="E96" s="507">
        <f t="shared" si="59"/>
        <v>0</v>
      </c>
      <c r="F96" s="522">
        <f t="shared" si="60"/>
        <v>0</v>
      </c>
      <c r="G96" s="374">
        <f t="shared" ref="G96:W96" si="70">G18*G$85*$B18</f>
        <v>0</v>
      </c>
      <c r="H96" s="374">
        <f t="shared" si="70"/>
        <v>0</v>
      </c>
      <c r="I96" s="374">
        <f t="shared" si="70"/>
        <v>0</v>
      </c>
      <c r="J96" s="374">
        <f t="shared" si="70"/>
        <v>0</v>
      </c>
      <c r="K96" s="374">
        <f t="shared" si="70"/>
        <v>0</v>
      </c>
      <c r="L96" s="374">
        <f t="shared" si="70"/>
        <v>0</v>
      </c>
      <c r="M96" s="374">
        <f t="shared" si="70"/>
        <v>0</v>
      </c>
      <c r="N96" s="374">
        <f t="shared" si="70"/>
        <v>0</v>
      </c>
      <c r="O96" s="374">
        <f t="shared" si="70"/>
        <v>0</v>
      </c>
      <c r="P96" s="374">
        <f t="shared" si="70"/>
        <v>0</v>
      </c>
      <c r="Q96" s="374">
        <f t="shared" si="70"/>
        <v>0</v>
      </c>
      <c r="R96" s="374">
        <f t="shared" si="70"/>
        <v>0</v>
      </c>
      <c r="S96" s="374">
        <f t="shared" si="70"/>
        <v>0</v>
      </c>
      <c r="T96" s="374">
        <f t="shared" si="70"/>
        <v>0</v>
      </c>
      <c r="U96" s="374">
        <f t="shared" si="70"/>
        <v>0</v>
      </c>
      <c r="V96" s="374">
        <f t="shared" si="70"/>
        <v>0</v>
      </c>
      <c r="W96" s="374">
        <f t="shared" si="70"/>
        <v>0</v>
      </c>
      <c r="Y96" s="375">
        <f t="shared" si="58"/>
        <v>0</v>
      </c>
      <c r="Z96" s="381"/>
      <c r="AA96" s="381"/>
      <c r="AB96" s="381"/>
    </row>
    <row r="97" spans="2:28" ht="17.45" hidden="1" customHeight="1">
      <c r="E97" s="507">
        <f t="shared" si="59"/>
        <v>0</v>
      </c>
      <c r="F97" s="522">
        <f t="shared" si="60"/>
        <v>0</v>
      </c>
      <c r="G97" s="374">
        <f t="shared" ref="G97:W97" si="71">G19*G$85*$B19</f>
        <v>0</v>
      </c>
      <c r="H97" s="374">
        <f t="shared" si="71"/>
        <v>0</v>
      </c>
      <c r="I97" s="374">
        <f t="shared" si="71"/>
        <v>0</v>
      </c>
      <c r="J97" s="374">
        <f t="shared" si="71"/>
        <v>0</v>
      </c>
      <c r="K97" s="374">
        <f t="shared" si="71"/>
        <v>0</v>
      </c>
      <c r="L97" s="374">
        <f t="shared" si="71"/>
        <v>0</v>
      </c>
      <c r="M97" s="374">
        <f t="shared" si="71"/>
        <v>0</v>
      </c>
      <c r="N97" s="374">
        <f t="shared" si="71"/>
        <v>0</v>
      </c>
      <c r="O97" s="374">
        <f t="shared" si="71"/>
        <v>0</v>
      </c>
      <c r="P97" s="374">
        <f t="shared" si="71"/>
        <v>0</v>
      </c>
      <c r="Q97" s="374">
        <f t="shared" si="71"/>
        <v>0</v>
      </c>
      <c r="R97" s="374">
        <f t="shared" si="71"/>
        <v>0</v>
      </c>
      <c r="S97" s="374">
        <f t="shared" si="71"/>
        <v>0</v>
      </c>
      <c r="T97" s="374">
        <f t="shared" si="71"/>
        <v>0</v>
      </c>
      <c r="U97" s="374">
        <f t="shared" si="71"/>
        <v>0</v>
      </c>
      <c r="V97" s="374">
        <f t="shared" si="71"/>
        <v>0</v>
      </c>
      <c r="W97" s="374">
        <f t="shared" si="71"/>
        <v>0</v>
      </c>
      <c r="Y97" s="375">
        <f t="shared" si="58"/>
        <v>0</v>
      </c>
      <c r="Z97" s="381"/>
      <c r="AA97" s="381"/>
      <c r="AB97" s="381"/>
    </row>
    <row r="98" spans="2:28" ht="17.45" hidden="1" customHeight="1">
      <c r="E98" s="507">
        <f>A48</f>
        <v>0</v>
      </c>
      <c r="F98" s="522">
        <f t="shared" si="60"/>
        <v>0</v>
      </c>
      <c r="G98" s="374">
        <f t="shared" ref="G98:W98" si="72">G20*G$85*$B20</f>
        <v>0</v>
      </c>
      <c r="H98" s="374">
        <f t="shared" si="72"/>
        <v>0</v>
      </c>
      <c r="I98" s="374">
        <f t="shared" si="72"/>
        <v>0</v>
      </c>
      <c r="J98" s="374">
        <f t="shared" si="72"/>
        <v>0</v>
      </c>
      <c r="K98" s="374">
        <f t="shared" si="72"/>
        <v>0</v>
      </c>
      <c r="L98" s="374">
        <f t="shared" si="72"/>
        <v>0</v>
      </c>
      <c r="M98" s="374">
        <f t="shared" si="72"/>
        <v>0</v>
      </c>
      <c r="N98" s="374">
        <f t="shared" si="72"/>
        <v>0</v>
      </c>
      <c r="O98" s="374">
        <f t="shared" si="72"/>
        <v>0</v>
      </c>
      <c r="P98" s="374">
        <f t="shared" si="72"/>
        <v>0</v>
      </c>
      <c r="Q98" s="374">
        <f t="shared" si="72"/>
        <v>0</v>
      </c>
      <c r="R98" s="374">
        <f t="shared" si="72"/>
        <v>0</v>
      </c>
      <c r="S98" s="374">
        <f t="shared" si="72"/>
        <v>0</v>
      </c>
      <c r="T98" s="374">
        <f t="shared" si="72"/>
        <v>0</v>
      </c>
      <c r="U98" s="374">
        <f t="shared" si="72"/>
        <v>0</v>
      </c>
      <c r="V98" s="374">
        <f t="shared" si="72"/>
        <v>0</v>
      </c>
      <c r="W98" s="374">
        <f t="shared" si="72"/>
        <v>0</v>
      </c>
      <c r="Y98" s="375">
        <f t="shared" si="58"/>
        <v>0</v>
      </c>
      <c r="Z98" s="381"/>
      <c r="AA98" s="381"/>
      <c r="AB98" s="381"/>
    </row>
    <row r="99" spans="2:28" ht="17.45" hidden="1" customHeight="1">
      <c r="E99" s="507">
        <f>A49</f>
        <v>0</v>
      </c>
      <c r="F99" s="522">
        <f t="shared" si="60"/>
        <v>0</v>
      </c>
      <c r="G99" s="374">
        <f t="shared" ref="G99:W99" si="73">G21*G$85*$B21</f>
        <v>0</v>
      </c>
      <c r="H99" s="374">
        <f t="shared" si="73"/>
        <v>0</v>
      </c>
      <c r="I99" s="374">
        <f t="shared" si="73"/>
        <v>0</v>
      </c>
      <c r="J99" s="374">
        <f t="shared" si="73"/>
        <v>0</v>
      </c>
      <c r="K99" s="374">
        <f t="shared" si="73"/>
        <v>0</v>
      </c>
      <c r="L99" s="374">
        <f t="shared" si="73"/>
        <v>0</v>
      </c>
      <c r="M99" s="374">
        <f t="shared" si="73"/>
        <v>0</v>
      </c>
      <c r="N99" s="374">
        <f t="shared" si="73"/>
        <v>0</v>
      </c>
      <c r="O99" s="374">
        <f t="shared" si="73"/>
        <v>0</v>
      </c>
      <c r="P99" s="374">
        <f t="shared" si="73"/>
        <v>0</v>
      </c>
      <c r="Q99" s="374">
        <f t="shared" si="73"/>
        <v>0</v>
      </c>
      <c r="R99" s="374">
        <f t="shared" si="73"/>
        <v>0</v>
      </c>
      <c r="S99" s="374">
        <f t="shared" si="73"/>
        <v>0</v>
      </c>
      <c r="T99" s="374">
        <f t="shared" si="73"/>
        <v>0</v>
      </c>
      <c r="U99" s="374">
        <f t="shared" si="73"/>
        <v>0</v>
      </c>
      <c r="V99" s="374">
        <f t="shared" si="73"/>
        <v>0</v>
      </c>
      <c r="W99" s="374">
        <f t="shared" si="73"/>
        <v>0</v>
      </c>
      <c r="Y99" s="375" t="str">
        <f t="shared" si="58"/>
        <v>diverse Grünbrachen zB Biodiv.</v>
      </c>
      <c r="Z99" s="381"/>
      <c r="AA99" s="381"/>
      <c r="AB99" s="381"/>
    </row>
    <row r="100" spans="2:28" ht="17.45" hidden="1" customHeight="1">
      <c r="E100" s="507"/>
      <c r="F100" s="523"/>
      <c r="G100" s="510"/>
      <c r="H100" s="510"/>
      <c r="I100" s="510"/>
      <c r="J100" s="510"/>
      <c r="K100" s="510"/>
      <c r="L100" s="510"/>
      <c r="M100" s="510"/>
      <c r="N100" s="510"/>
      <c r="O100" s="510"/>
      <c r="P100" s="510"/>
      <c r="Q100" s="510"/>
      <c r="R100" s="510"/>
      <c r="S100" s="510"/>
      <c r="T100" s="510"/>
      <c r="U100" s="510"/>
      <c r="V100" s="510"/>
      <c r="W100" s="510"/>
      <c r="Y100" s="524" t="str">
        <f t="shared" si="58"/>
        <v>Grünland</v>
      </c>
      <c r="Z100" s="524"/>
      <c r="AA100" s="524"/>
      <c r="AB100" s="524"/>
    </row>
    <row r="101" spans="2:28" ht="17.45" hidden="1" customHeight="1">
      <c r="E101" s="507">
        <f t="shared" ref="E101:E106" si="74">A51</f>
        <v>0</v>
      </c>
      <c r="F101" s="522">
        <f t="shared" ref="F101:F106" si="75">SUM(G101:W101)</f>
        <v>0</v>
      </c>
      <c r="G101" s="374">
        <f t="shared" ref="G101:W101" si="76">G23*G$85*$B23</f>
        <v>0</v>
      </c>
      <c r="H101" s="374">
        <f t="shared" si="76"/>
        <v>0</v>
      </c>
      <c r="I101" s="374">
        <f t="shared" si="76"/>
        <v>0</v>
      </c>
      <c r="J101" s="374">
        <f t="shared" si="76"/>
        <v>0</v>
      </c>
      <c r="K101" s="374">
        <f t="shared" si="76"/>
        <v>0</v>
      </c>
      <c r="L101" s="374">
        <f t="shared" si="76"/>
        <v>0</v>
      </c>
      <c r="M101" s="374">
        <f t="shared" si="76"/>
        <v>0</v>
      </c>
      <c r="N101" s="374">
        <f t="shared" si="76"/>
        <v>0</v>
      </c>
      <c r="O101" s="374">
        <f t="shared" si="76"/>
        <v>0</v>
      </c>
      <c r="P101" s="374">
        <f t="shared" si="76"/>
        <v>0</v>
      </c>
      <c r="Q101" s="374">
        <f t="shared" si="76"/>
        <v>0</v>
      </c>
      <c r="R101" s="374">
        <f t="shared" si="76"/>
        <v>0</v>
      </c>
      <c r="S101" s="374">
        <f t="shared" si="76"/>
        <v>0</v>
      </c>
      <c r="T101" s="374">
        <f t="shared" si="76"/>
        <v>0</v>
      </c>
      <c r="U101" s="374">
        <f t="shared" si="76"/>
        <v>0</v>
      </c>
      <c r="V101" s="374">
        <f t="shared" si="76"/>
        <v>0</v>
      </c>
      <c r="W101" s="374">
        <f t="shared" si="76"/>
        <v>0</v>
      </c>
      <c r="Y101" s="375">
        <f t="shared" si="58"/>
        <v>0</v>
      </c>
      <c r="Z101" s="381"/>
      <c r="AA101" s="381"/>
      <c r="AB101" s="381"/>
    </row>
    <row r="102" spans="2:28" ht="17.45" hidden="1" customHeight="1">
      <c r="E102" s="507">
        <f t="shared" si="74"/>
        <v>0</v>
      </c>
      <c r="F102" s="522">
        <f t="shared" si="75"/>
        <v>0</v>
      </c>
      <c r="G102" s="374">
        <f t="shared" ref="G102:W102" si="77">G24*G$85*$B24</f>
        <v>0</v>
      </c>
      <c r="H102" s="374">
        <f t="shared" si="77"/>
        <v>0</v>
      </c>
      <c r="I102" s="374">
        <f t="shared" si="77"/>
        <v>0</v>
      </c>
      <c r="J102" s="374">
        <f t="shared" si="77"/>
        <v>0</v>
      </c>
      <c r="K102" s="374">
        <f t="shared" si="77"/>
        <v>0</v>
      </c>
      <c r="L102" s="374">
        <f t="shared" si="77"/>
        <v>0</v>
      </c>
      <c r="M102" s="374">
        <f t="shared" si="77"/>
        <v>0</v>
      </c>
      <c r="N102" s="374">
        <f t="shared" si="77"/>
        <v>0</v>
      </c>
      <c r="O102" s="374">
        <f t="shared" si="77"/>
        <v>0</v>
      </c>
      <c r="P102" s="374">
        <f t="shared" si="77"/>
        <v>0</v>
      </c>
      <c r="Q102" s="374">
        <f t="shared" si="77"/>
        <v>0</v>
      </c>
      <c r="R102" s="374">
        <f t="shared" si="77"/>
        <v>0</v>
      </c>
      <c r="S102" s="374">
        <f t="shared" si="77"/>
        <v>0</v>
      </c>
      <c r="T102" s="374">
        <f t="shared" si="77"/>
        <v>0</v>
      </c>
      <c r="U102" s="374">
        <f t="shared" si="77"/>
        <v>0</v>
      </c>
      <c r="V102" s="374">
        <f t="shared" si="77"/>
        <v>0</v>
      </c>
      <c r="W102" s="374">
        <f t="shared" si="77"/>
        <v>0</v>
      </c>
      <c r="Y102" s="375">
        <f t="shared" si="58"/>
        <v>0</v>
      </c>
      <c r="Z102" s="381"/>
      <c r="AA102" s="381"/>
      <c r="AB102" s="381"/>
    </row>
    <row r="103" spans="2:28" ht="17.45" hidden="1" customHeight="1">
      <c r="E103" s="507">
        <f t="shared" si="74"/>
        <v>0</v>
      </c>
      <c r="F103" s="522">
        <f t="shared" si="75"/>
        <v>0</v>
      </c>
      <c r="G103" s="374">
        <f t="shared" ref="G103:W103" si="78">G25*G$85*$B25</f>
        <v>0</v>
      </c>
      <c r="H103" s="374">
        <f t="shared" si="78"/>
        <v>0</v>
      </c>
      <c r="I103" s="374">
        <f t="shared" si="78"/>
        <v>0</v>
      </c>
      <c r="J103" s="374">
        <f t="shared" si="78"/>
        <v>0</v>
      </c>
      <c r="K103" s="374">
        <f t="shared" si="78"/>
        <v>0</v>
      </c>
      <c r="L103" s="374">
        <f t="shared" si="78"/>
        <v>0</v>
      </c>
      <c r="M103" s="374">
        <f t="shared" si="78"/>
        <v>0</v>
      </c>
      <c r="N103" s="374">
        <f t="shared" si="78"/>
        <v>0</v>
      </c>
      <c r="O103" s="374">
        <f t="shared" si="78"/>
        <v>0</v>
      </c>
      <c r="P103" s="374">
        <f t="shared" si="78"/>
        <v>0</v>
      </c>
      <c r="Q103" s="374">
        <f t="shared" si="78"/>
        <v>0</v>
      </c>
      <c r="R103" s="374">
        <f t="shared" si="78"/>
        <v>0</v>
      </c>
      <c r="S103" s="374">
        <f t="shared" si="78"/>
        <v>0</v>
      </c>
      <c r="T103" s="374">
        <f t="shared" si="78"/>
        <v>0</v>
      </c>
      <c r="U103" s="374">
        <f t="shared" si="78"/>
        <v>0</v>
      </c>
      <c r="V103" s="374">
        <f t="shared" si="78"/>
        <v>0</v>
      </c>
      <c r="W103" s="374">
        <f t="shared" si="78"/>
        <v>0</v>
      </c>
      <c r="Y103" s="375">
        <f t="shared" si="58"/>
        <v>0</v>
      </c>
      <c r="Z103" s="381"/>
      <c r="AA103" s="381"/>
      <c r="AB103" s="381"/>
    </row>
    <row r="104" spans="2:28" ht="17.45" hidden="1" customHeight="1">
      <c r="E104" s="507">
        <f t="shared" si="74"/>
        <v>0</v>
      </c>
      <c r="F104" s="522">
        <f t="shared" si="75"/>
        <v>0</v>
      </c>
      <c r="G104" s="374">
        <f t="shared" ref="G104:W104" si="79">G26*G$85*$B26</f>
        <v>0</v>
      </c>
      <c r="H104" s="374">
        <f t="shared" si="79"/>
        <v>0</v>
      </c>
      <c r="I104" s="374">
        <f t="shared" si="79"/>
        <v>0</v>
      </c>
      <c r="J104" s="374">
        <f t="shared" si="79"/>
        <v>0</v>
      </c>
      <c r="K104" s="374">
        <f t="shared" si="79"/>
        <v>0</v>
      </c>
      <c r="L104" s="374">
        <f t="shared" si="79"/>
        <v>0</v>
      </c>
      <c r="M104" s="374">
        <f t="shared" si="79"/>
        <v>0</v>
      </c>
      <c r="N104" s="374">
        <f t="shared" si="79"/>
        <v>0</v>
      </c>
      <c r="O104" s="374">
        <f t="shared" si="79"/>
        <v>0</v>
      </c>
      <c r="P104" s="374">
        <f t="shared" si="79"/>
        <v>0</v>
      </c>
      <c r="Q104" s="374">
        <f t="shared" si="79"/>
        <v>0</v>
      </c>
      <c r="R104" s="374">
        <f t="shared" si="79"/>
        <v>0</v>
      </c>
      <c r="S104" s="374">
        <f t="shared" si="79"/>
        <v>0</v>
      </c>
      <c r="T104" s="374">
        <f t="shared" si="79"/>
        <v>0</v>
      </c>
      <c r="U104" s="374">
        <f t="shared" si="79"/>
        <v>0</v>
      </c>
      <c r="V104" s="374">
        <f t="shared" si="79"/>
        <v>0</v>
      </c>
      <c r="W104" s="374">
        <f t="shared" si="79"/>
        <v>0</v>
      </c>
      <c r="Y104" s="375">
        <f t="shared" si="58"/>
        <v>0</v>
      </c>
      <c r="Z104" s="381"/>
      <c r="AA104" s="381"/>
      <c r="AB104" s="381"/>
    </row>
    <row r="105" spans="2:28" ht="17.45" hidden="1" customHeight="1">
      <c r="E105" s="507">
        <f t="shared" si="74"/>
        <v>0</v>
      </c>
      <c r="F105" s="522">
        <f t="shared" si="75"/>
        <v>0</v>
      </c>
      <c r="G105" s="374">
        <f t="shared" ref="G105:W105" si="80">G27*G$85*$B27</f>
        <v>0</v>
      </c>
      <c r="H105" s="374">
        <f t="shared" si="80"/>
        <v>0</v>
      </c>
      <c r="I105" s="374">
        <f t="shared" si="80"/>
        <v>0</v>
      </c>
      <c r="J105" s="374">
        <f t="shared" si="80"/>
        <v>0</v>
      </c>
      <c r="K105" s="374">
        <f t="shared" si="80"/>
        <v>0</v>
      </c>
      <c r="L105" s="374">
        <f t="shared" si="80"/>
        <v>0</v>
      </c>
      <c r="M105" s="374">
        <f t="shared" si="80"/>
        <v>0</v>
      </c>
      <c r="N105" s="374">
        <f t="shared" si="80"/>
        <v>0</v>
      </c>
      <c r="O105" s="374">
        <f t="shared" si="80"/>
        <v>0</v>
      </c>
      <c r="P105" s="374">
        <f t="shared" si="80"/>
        <v>0</v>
      </c>
      <c r="Q105" s="374">
        <f t="shared" si="80"/>
        <v>0</v>
      </c>
      <c r="R105" s="374">
        <f t="shared" si="80"/>
        <v>0</v>
      </c>
      <c r="S105" s="374">
        <f t="shared" si="80"/>
        <v>0</v>
      </c>
      <c r="T105" s="374">
        <f t="shared" si="80"/>
        <v>0</v>
      </c>
      <c r="U105" s="374">
        <f t="shared" si="80"/>
        <v>0</v>
      </c>
      <c r="V105" s="374">
        <f t="shared" si="80"/>
        <v>0</v>
      </c>
      <c r="W105" s="374">
        <f t="shared" si="80"/>
        <v>0</v>
      </c>
      <c r="Y105" s="375">
        <f t="shared" si="58"/>
        <v>0</v>
      </c>
      <c r="Z105" s="381"/>
      <c r="AA105" s="381"/>
      <c r="AB105" s="381"/>
    </row>
    <row r="106" spans="2:28" ht="17.45" hidden="1" customHeight="1" thickBot="1">
      <c r="E106" s="507">
        <f t="shared" si="74"/>
        <v>0</v>
      </c>
      <c r="F106" s="522">
        <f t="shared" si="75"/>
        <v>0</v>
      </c>
      <c r="G106" s="374">
        <f t="shared" ref="G106:W106" si="81">G28*G$85*$B28</f>
        <v>0</v>
      </c>
      <c r="H106" s="374">
        <f t="shared" si="81"/>
        <v>0</v>
      </c>
      <c r="I106" s="374">
        <f t="shared" si="81"/>
        <v>0</v>
      </c>
      <c r="J106" s="374">
        <f t="shared" si="81"/>
        <v>0</v>
      </c>
      <c r="K106" s="374">
        <f t="shared" si="81"/>
        <v>0</v>
      </c>
      <c r="L106" s="374">
        <f t="shared" si="81"/>
        <v>0</v>
      </c>
      <c r="M106" s="374">
        <f t="shared" si="81"/>
        <v>0</v>
      </c>
      <c r="N106" s="374">
        <f t="shared" si="81"/>
        <v>0</v>
      </c>
      <c r="O106" s="374">
        <f t="shared" si="81"/>
        <v>0</v>
      </c>
      <c r="P106" s="374">
        <f t="shared" si="81"/>
        <v>0</v>
      </c>
      <c r="Q106" s="374">
        <f t="shared" si="81"/>
        <v>0</v>
      </c>
      <c r="R106" s="374">
        <f t="shared" si="81"/>
        <v>0</v>
      </c>
      <c r="S106" s="374">
        <f t="shared" si="81"/>
        <v>0</v>
      </c>
      <c r="T106" s="374">
        <f t="shared" si="81"/>
        <v>0</v>
      </c>
      <c r="U106" s="374">
        <f t="shared" si="81"/>
        <v>0</v>
      </c>
      <c r="V106" s="374">
        <f t="shared" si="81"/>
        <v>0</v>
      </c>
      <c r="W106" s="374">
        <f t="shared" si="81"/>
        <v>0</v>
      </c>
      <c r="Y106" s="377">
        <f t="shared" si="58"/>
        <v>0</v>
      </c>
      <c r="Z106" s="525" t="s">
        <v>335</v>
      </c>
      <c r="AA106" s="381"/>
      <c r="AB106" s="381"/>
    </row>
    <row r="107" spans="2:28" ht="20.25" hidden="1" customHeight="1" thickBot="1">
      <c r="B107" s="526"/>
      <c r="C107" s="526"/>
      <c r="D107" s="526"/>
      <c r="E107" s="526" t="s">
        <v>310</v>
      </c>
      <c r="F107" s="527">
        <f>SUM(F86:F106)</f>
        <v>0</v>
      </c>
      <c r="G107" s="497">
        <f>SUM(G86:G106)</f>
        <v>0</v>
      </c>
      <c r="H107" s="497">
        <f t="shared" ref="H107:W107" si="82">SUM(H86:H106)</f>
        <v>0</v>
      </c>
      <c r="I107" s="497">
        <f t="shared" si="82"/>
        <v>0</v>
      </c>
      <c r="J107" s="497">
        <f t="shared" si="82"/>
        <v>0</v>
      </c>
      <c r="K107" s="497">
        <f>SUM(K86:K106)</f>
        <v>0</v>
      </c>
      <c r="L107" s="497">
        <f t="shared" si="82"/>
        <v>0</v>
      </c>
      <c r="M107" s="497">
        <f t="shared" si="82"/>
        <v>0</v>
      </c>
      <c r="N107" s="497">
        <f t="shared" si="82"/>
        <v>0</v>
      </c>
      <c r="O107" s="497">
        <f t="shared" si="82"/>
        <v>0</v>
      </c>
      <c r="P107" s="497">
        <f t="shared" si="82"/>
        <v>0</v>
      </c>
      <c r="Q107" s="497">
        <f t="shared" si="82"/>
        <v>0</v>
      </c>
      <c r="R107" s="497">
        <f t="shared" si="82"/>
        <v>0</v>
      </c>
      <c r="S107" s="497">
        <f t="shared" si="82"/>
        <v>0</v>
      </c>
      <c r="T107" s="497">
        <f t="shared" si="82"/>
        <v>0</v>
      </c>
      <c r="U107" s="497">
        <f t="shared" si="82"/>
        <v>0</v>
      </c>
      <c r="V107" s="497">
        <f t="shared" si="82"/>
        <v>0</v>
      </c>
      <c r="W107" s="528">
        <f t="shared" si="82"/>
        <v>0</v>
      </c>
      <c r="Y107" s="378">
        <f>SUM(G107:W107)</f>
        <v>0</v>
      </c>
      <c r="Z107" s="3090">
        <f>SUM(L107:S107)</f>
        <v>0</v>
      </c>
      <c r="AA107" s="3091"/>
      <c r="AB107" s="382"/>
    </row>
    <row r="108" spans="2:28" ht="21" customHeight="1"/>
    <row r="110" spans="2:28">
      <c r="Y110" s="2"/>
      <c r="Z110" s="2"/>
      <c r="AA110" s="2"/>
      <c r="AB110" s="2"/>
    </row>
  </sheetData>
  <sheetProtection password="CAEF" sheet="1" formatCells="0" formatColumns="0" formatRows="0" insertColumns="0" insertRows="0"/>
  <mergeCells count="31">
    <mergeCell ref="D4:E4"/>
    <mergeCell ref="U1:U5"/>
    <mergeCell ref="S1:S5"/>
    <mergeCell ref="O1:O5"/>
    <mergeCell ref="P1:P5"/>
    <mergeCell ref="A2:E2"/>
    <mergeCell ref="M1:M5"/>
    <mergeCell ref="K1:K5"/>
    <mergeCell ref="D3:E3"/>
    <mergeCell ref="A4:C4"/>
    <mergeCell ref="H1:H5"/>
    <mergeCell ref="I1:I5"/>
    <mergeCell ref="F1:F5"/>
    <mergeCell ref="G1:G5"/>
    <mergeCell ref="A3:C3"/>
    <mergeCell ref="A5:C5"/>
    <mergeCell ref="N1:N5"/>
    <mergeCell ref="V1:V5"/>
    <mergeCell ref="T1:T5"/>
    <mergeCell ref="Q1:Q5"/>
    <mergeCell ref="J1:J5"/>
    <mergeCell ref="L1:L5"/>
    <mergeCell ref="Z107:AA107"/>
    <mergeCell ref="R1:R5"/>
    <mergeCell ref="AA29:AJ29"/>
    <mergeCell ref="Y2:AA6"/>
    <mergeCell ref="AG27:AH27"/>
    <mergeCell ref="AG28:AH28"/>
    <mergeCell ref="AB1:AJ6"/>
    <mergeCell ref="W1:W5"/>
    <mergeCell ref="Z1:AA1"/>
  </mergeCells>
  <phoneticPr fontId="41" type="noConversion"/>
  <conditionalFormatting sqref="F8:F28">
    <cfRule type="cellIs" dxfId="5" priority="29" operator="greaterThan">
      <formula>0</formula>
    </cfRule>
  </conditionalFormatting>
  <conditionalFormatting sqref="AA29">
    <cfRule type="cellIs" dxfId="4" priority="1" operator="equal">
      <formula>"* Der P-Mindeststandard ist ok, weil kein mineralischer Phosphor im Einsatz!"</formula>
    </cfRule>
  </conditionalFormatting>
  <conditionalFormatting sqref="AB8:AB12 AB14:AB21 AB23:AB26">
    <cfRule type="expression" dxfId="3" priority="36">
      <formula>$AB8&lt;0</formula>
    </cfRule>
  </conditionalFormatting>
  <conditionalFormatting sqref="AI8:AI12">
    <cfRule type="cellIs" dxfId="2" priority="14" operator="equal">
      <formula>"Mehr verplant als vorhanden!"</formula>
    </cfRule>
  </conditionalFormatting>
  <conditionalFormatting sqref="AI14:AI21">
    <cfRule type="cellIs" dxfId="1" priority="5" operator="equal">
      <formula>"Mehr verplant als vorhanden!"</formula>
    </cfRule>
  </conditionalFormatting>
  <conditionalFormatting sqref="AI23:AI26">
    <cfRule type="cellIs" dxfId="0" priority="4" operator="equal">
      <formula>"Mehr verplant als vorhanden!"</formula>
    </cfRule>
  </conditionalFormatting>
  <dataValidations count="3">
    <dataValidation type="list" allowBlank="1" showInputMessage="1" showErrorMessage="1" sqref="Y14:Y21" xr:uid="{00000000-0002-0000-1300-000000000000}">
      <formula1>Liste_MD</formula1>
    </dataValidation>
    <dataValidation type="list" allowBlank="1" showInputMessage="1" showErrorMessage="1" sqref="Y8:Y12" xr:uid="{00000000-0002-0000-1300-000001000000}">
      <formula1>Liste_WD</formula1>
    </dataValidation>
    <dataValidation type="list" allowBlank="1" showInputMessage="1" showErrorMessage="1" sqref="Y23:Y26" xr:uid="{00000000-0002-0000-1300-000002000000}">
      <formula1>Liste_OD</formula1>
    </dataValidation>
  </dataValidations>
  <hyperlinks>
    <hyperlink ref="Y1" location="Hofdung!A1" display="zu &quot;Hofdung&quot;" xr:uid="{00000000-0004-0000-1300-000000000000}"/>
    <hyperlink ref="Z1" location="Mineral!A1" display="►" xr:uid="{00000000-0004-0000-1300-000001000000}"/>
  </hyperlinks>
  <pageMargins left="0.55000000000000004" right="0.52" top="0.33" bottom="0.31" header="0.23" footer="0.24"/>
  <pageSetup paperSize="9" scale="75" fitToWidth="2" orientation="landscape" blackAndWhite="1" r:id="rId1"/>
  <rowBreaks count="1" manualBreakCount="1">
    <brk id="28" max="16383" man="1"/>
  </rowBreaks>
  <colBreaks count="1" manualBreakCount="1">
    <brk id="23"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Q183"/>
  <sheetViews>
    <sheetView zoomScale="80" zoomScaleNormal="80" workbookViewId="0">
      <selection activeCell="F1" sqref="F1"/>
    </sheetView>
  </sheetViews>
  <sheetFormatPr baseColWidth="10" defaultColWidth="12" defaultRowHeight="12.75"/>
  <cols>
    <col min="1" max="1" width="48.42578125" customWidth="1"/>
    <col min="2" max="4" width="10.85546875" customWidth="1"/>
    <col min="5" max="5" width="11.140625" customWidth="1"/>
    <col min="6" max="6" width="20.28515625" customWidth="1"/>
    <col min="7" max="7" width="19.85546875" customWidth="1"/>
    <col min="8" max="11" width="8.85546875" customWidth="1"/>
    <col min="12" max="12" width="4.42578125" customWidth="1"/>
    <col min="13" max="16" width="9.42578125" customWidth="1"/>
    <col min="17" max="17" width="44.42578125" customWidth="1"/>
  </cols>
  <sheetData>
    <row r="1" spans="1:17" ht="39.75" customHeight="1" thickBot="1">
      <c r="A1" s="1071" t="s">
        <v>154</v>
      </c>
      <c r="B1" s="1056"/>
      <c r="C1" s="1057"/>
      <c r="D1" s="1057"/>
      <c r="E1" s="1057"/>
      <c r="F1" s="806" t="s">
        <v>891</v>
      </c>
      <c r="G1" s="435"/>
      <c r="H1" s="3108" t="s">
        <v>382</v>
      </c>
      <c r="I1" s="3109"/>
      <c r="J1" s="3109"/>
      <c r="K1" s="3109"/>
      <c r="M1" s="3109" t="s">
        <v>383</v>
      </c>
      <c r="N1" s="3109"/>
      <c r="O1" s="3109"/>
      <c r="P1" s="3109"/>
      <c r="Q1" s="3109"/>
    </row>
    <row r="2" spans="1:17" ht="30.75" customHeight="1" thickBot="1">
      <c r="A2" s="1303" t="s">
        <v>155</v>
      </c>
      <c r="B2" s="1304" t="s">
        <v>461</v>
      </c>
      <c r="C2" s="1304" t="s">
        <v>156</v>
      </c>
      <c r="D2" s="1304" t="s">
        <v>653</v>
      </c>
      <c r="E2" s="1305" t="s">
        <v>157</v>
      </c>
      <c r="F2" s="3110" t="s">
        <v>904</v>
      </c>
      <c r="G2" s="3110"/>
      <c r="H2" s="1304" t="s">
        <v>461</v>
      </c>
      <c r="I2" s="1304" t="s">
        <v>158</v>
      </c>
      <c r="J2" s="1304" t="s">
        <v>653</v>
      </c>
      <c r="K2" s="1304" t="s">
        <v>159</v>
      </c>
      <c r="L2" s="891"/>
      <c r="M2" s="1304" t="s">
        <v>160</v>
      </c>
      <c r="N2" s="1304" t="s">
        <v>161</v>
      </c>
      <c r="O2" s="1304" t="s">
        <v>162</v>
      </c>
      <c r="P2" s="1304" t="s">
        <v>163</v>
      </c>
      <c r="Q2" s="1316" t="s">
        <v>155</v>
      </c>
    </row>
    <row r="3" spans="1:17" ht="18">
      <c r="A3" s="1306" t="s">
        <v>440</v>
      </c>
      <c r="B3" s="1307"/>
      <c r="C3" s="1307"/>
      <c r="D3" s="1307"/>
      <c r="E3" s="1308"/>
      <c r="F3" s="287"/>
      <c r="G3" s="287"/>
      <c r="H3" s="1312"/>
      <c r="I3" s="1312"/>
      <c r="J3" s="1312"/>
      <c r="K3" s="1313"/>
      <c r="L3" s="891"/>
      <c r="M3" s="1317"/>
      <c r="N3" s="1318"/>
      <c r="O3" s="1319"/>
      <c r="P3" s="1320"/>
      <c r="Q3" s="1321" t="s">
        <v>440</v>
      </c>
    </row>
    <row r="4" spans="1:17" ht="18" customHeight="1">
      <c r="A4" s="1309" t="s">
        <v>164</v>
      </c>
      <c r="B4" s="1310"/>
      <c r="C4" s="1310"/>
      <c r="D4" s="1310"/>
      <c r="E4" s="1311"/>
      <c r="F4" s="3111" t="s">
        <v>289</v>
      </c>
      <c r="G4" s="3111"/>
      <c r="H4" s="1314"/>
      <c r="I4" s="1314"/>
      <c r="J4" s="1314"/>
      <c r="K4" s="1315"/>
      <c r="M4" s="1322"/>
      <c r="N4" s="1323"/>
      <c r="O4" s="1324"/>
      <c r="P4" s="1325"/>
      <c r="Q4" s="1309" t="s">
        <v>164</v>
      </c>
    </row>
    <row r="5" spans="1:17" ht="15.75">
      <c r="A5" s="288" t="s">
        <v>165</v>
      </c>
      <c r="B5" s="289">
        <v>12.7</v>
      </c>
      <c r="C5" s="289">
        <v>5.2</v>
      </c>
      <c r="D5" s="289">
        <v>5.2</v>
      </c>
      <c r="E5" s="290">
        <v>10.4</v>
      </c>
      <c r="F5" s="3111"/>
      <c r="G5" s="3111"/>
      <c r="H5" s="291">
        <v>11.048999999999999</v>
      </c>
      <c r="I5" s="291">
        <v>4.7320000000000002</v>
      </c>
      <c r="J5" s="291">
        <v>4.524</v>
      </c>
      <c r="K5" s="292">
        <v>9.4640000000000004</v>
      </c>
      <c r="M5" s="293">
        <v>1.3</v>
      </c>
      <c r="N5" s="294">
        <v>0.65</v>
      </c>
      <c r="O5" s="295">
        <v>0.75</v>
      </c>
      <c r="P5" s="296">
        <v>1.7</v>
      </c>
      <c r="Q5" s="297" t="s">
        <v>166</v>
      </c>
    </row>
    <row r="6" spans="1:17" ht="15.75">
      <c r="A6" s="288" t="s">
        <v>167</v>
      </c>
      <c r="B6" s="289">
        <v>34.4</v>
      </c>
      <c r="C6" s="289">
        <v>14.2</v>
      </c>
      <c r="D6" s="289">
        <v>14.2</v>
      </c>
      <c r="E6" s="290">
        <v>28.4</v>
      </c>
      <c r="F6" s="298" t="s">
        <v>168</v>
      </c>
      <c r="G6" s="298"/>
      <c r="H6" s="291">
        <v>29.928000000000001</v>
      </c>
      <c r="I6" s="291">
        <v>12.922000000000001</v>
      </c>
      <c r="J6" s="291">
        <v>12.353999999999999</v>
      </c>
      <c r="K6" s="292">
        <v>25.844000000000001</v>
      </c>
      <c r="M6" s="293">
        <v>3.4</v>
      </c>
      <c r="N6" s="294">
        <v>1.7</v>
      </c>
      <c r="O6" s="295">
        <v>1.78</v>
      </c>
      <c r="P6" s="296">
        <v>3.9</v>
      </c>
      <c r="Q6" s="299" t="s">
        <v>167</v>
      </c>
    </row>
    <row r="7" spans="1:17" ht="12.75" customHeight="1">
      <c r="A7" s="288" t="s">
        <v>169</v>
      </c>
      <c r="B7" s="289">
        <v>45.6</v>
      </c>
      <c r="C7" s="289">
        <v>18.8</v>
      </c>
      <c r="D7" s="289">
        <v>18.7</v>
      </c>
      <c r="E7" s="290">
        <v>37.5</v>
      </c>
      <c r="F7" s="3107" t="s">
        <v>290</v>
      </c>
      <c r="G7" s="3107"/>
      <c r="H7" s="291">
        <v>39.671999999999997</v>
      </c>
      <c r="I7" s="291">
        <v>17.108000000000001</v>
      </c>
      <c r="J7" s="291">
        <v>16.268999999999998</v>
      </c>
      <c r="K7" s="292">
        <v>34.125</v>
      </c>
      <c r="M7" s="293">
        <v>5.8</v>
      </c>
      <c r="N7" s="294">
        <v>2.9</v>
      </c>
      <c r="O7" s="295">
        <v>2.95</v>
      </c>
      <c r="P7" s="296">
        <v>6.2</v>
      </c>
      <c r="Q7" s="299" t="s">
        <v>169</v>
      </c>
    </row>
    <row r="8" spans="1:17" ht="18">
      <c r="A8" s="1309" t="s">
        <v>170</v>
      </c>
      <c r="B8" s="1326"/>
      <c r="C8" s="1327"/>
      <c r="D8" s="1327"/>
      <c r="E8" s="1328"/>
      <c r="F8" s="3107"/>
      <c r="G8" s="3107"/>
      <c r="H8" s="1338"/>
      <c r="I8" s="1338"/>
      <c r="J8" s="1338"/>
      <c r="K8" s="1339"/>
      <c r="M8" s="1346"/>
      <c r="N8" s="1359"/>
      <c r="O8" s="1360"/>
      <c r="P8" s="1349"/>
      <c r="Q8" s="1361" t="s">
        <v>170</v>
      </c>
    </row>
    <row r="9" spans="1:17" ht="15.75">
      <c r="A9" s="288" t="s">
        <v>171</v>
      </c>
      <c r="B9" s="289">
        <v>54.7</v>
      </c>
      <c r="C9" s="289">
        <v>22.6</v>
      </c>
      <c r="D9" s="289">
        <v>22.5</v>
      </c>
      <c r="E9" s="290">
        <v>45.1</v>
      </c>
      <c r="F9" s="287"/>
      <c r="G9" s="287"/>
      <c r="H9" s="291">
        <v>47.588999999999999</v>
      </c>
      <c r="I9" s="291">
        <v>20.565999999999999</v>
      </c>
      <c r="J9" s="291">
        <v>19.574999999999999</v>
      </c>
      <c r="K9" s="292">
        <v>41.040999999999997</v>
      </c>
      <c r="M9" s="293">
        <v>7.1</v>
      </c>
      <c r="N9" s="294">
        <v>3.5</v>
      </c>
      <c r="O9" s="295">
        <v>3.54</v>
      </c>
      <c r="P9" s="296">
        <v>7.7</v>
      </c>
      <c r="Q9" s="299" t="s">
        <v>171</v>
      </c>
    </row>
    <row r="10" spans="1:17" ht="15.75">
      <c r="A10" s="288" t="s">
        <v>172</v>
      </c>
      <c r="B10" s="289">
        <v>58.9</v>
      </c>
      <c r="C10" s="289">
        <v>24.3</v>
      </c>
      <c r="D10" s="289">
        <v>24.2</v>
      </c>
      <c r="E10" s="290">
        <v>48.5</v>
      </c>
      <c r="F10" s="287"/>
      <c r="G10" s="287"/>
      <c r="H10" s="291">
        <v>51.243000000000002</v>
      </c>
      <c r="I10" s="291">
        <v>22.113</v>
      </c>
      <c r="J10" s="291">
        <v>21.053999999999998</v>
      </c>
      <c r="K10" s="292">
        <v>44.134999999999998</v>
      </c>
      <c r="M10" s="293">
        <v>7.7</v>
      </c>
      <c r="N10" s="294">
        <v>3.83</v>
      </c>
      <c r="O10" s="295">
        <v>3.8</v>
      </c>
      <c r="P10" s="296">
        <v>8.1999999999999993</v>
      </c>
      <c r="Q10" s="299" t="s">
        <v>172</v>
      </c>
    </row>
    <row r="11" spans="1:17" ht="18">
      <c r="A11" s="1309" t="s">
        <v>173</v>
      </c>
      <c r="B11" s="1326"/>
      <c r="C11" s="1327"/>
      <c r="D11" s="1327"/>
      <c r="E11" s="1328"/>
      <c r="F11" s="3112" t="s">
        <v>174</v>
      </c>
      <c r="G11" s="3112"/>
      <c r="H11" s="1338"/>
      <c r="I11" s="1338"/>
      <c r="J11" s="1338"/>
      <c r="K11" s="1339"/>
      <c r="M11" s="1346"/>
      <c r="N11" s="1347"/>
      <c r="O11" s="1348"/>
      <c r="P11" s="1349"/>
      <c r="Q11" s="1362" t="s">
        <v>173</v>
      </c>
    </row>
    <row r="12" spans="1:17" ht="15.75">
      <c r="A12" s="288" t="s">
        <v>175</v>
      </c>
      <c r="B12" s="289">
        <v>59.1</v>
      </c>
      <c r="C12" s="289">
        <v>32.5</v>
      </c>
      <c r="D12" s="289">
        <v>16.2</v>
      </c>
      <c r="E12" s="290">
        <v>48.7</v>
      </c>
      <c r="F12" s="3112"/>
      <c r="G12" s="3112"/>
      <c r="H12" s="291">
        <v>51.417000000000002</v>
      </c>
      <c r="I12" s="291">
        <v>29.484000000000002</v>
      </c>
      <c r="J12" s="291">
        <v>14.093999999999999</v>
      </c>
      <c r="K12" s="292">
        <v>44.317</v>
      </c>
      <c r="M12" s="293">
        <v>11.5</v>
      </c>
      <c r="N12" s="294">
        <v>3.8</v>
      </c>
      <c r="O12" s="295">
        <v>7.4</v>
      </c>
      <c r="P12" s="296">
        <v>11.9</v>
      </c>
      <c r="Q12" s="300" t="s">
        <v>176</v>
      </c>
    </row>
    <row r="13" spans="1:17" ht="15.75">
      <c r="A13" s="288" t="s">
        <v>177</v>
      </c>
      <c r="B13" s="289">
        <v>66.7</v>
      </c>
      <c r="C13" s="289">
        <v>36.6</v>
      </c>
      <c r="D13" s="289">
        <v>18.399999999999999</v>
      </c>
      <c r="E13" s="301">
        <v>55</v>
      </c>
      <c r="F13" s="302" t="s">
        <v>178</v>
      </c>
      <c r="G13" s="302"/>
      <c r="H13" s="291">
        <v>58.029000000000003</v>
      </c>
      <c r="I13" s="291">
        <v>33.305999999999997</v>
      </c>
      <c r="J13" s="291">
        <v>16.007999999999999</v>
      </c>
      <c r="K13" s="292">
        <v>50.05</v>
      </c>
      <c r="M13" s="293">
        <v>11.8</v>
      </c>
      <c r="N13" s="294">
        <v>3.9</v>
      </c>
      <c r="O13" s="295">
        <v>7.6</v>
      </c>
      <c r="P13" s="296">
        <v>12.1</v>
      </c>
      <c r="Q13" s="303" t="s">
        <v>179</v>
      </c>
    </row>
    <row r="14" spans="1:17" ht="15.75">
      <c r="A14" s="288" t="s">
        <v>176</v>
      </c>
      <c r="B14" s="289">
        <v>74.400000000000006</v>
      </c>
      <c r="C14" s="289">
        <v>40.9</v>
      </c>
      <c r="D14" s="289">
        <v>20.399999999999999</v>
      </c>
      <c r="E14" s="290">
        <v>61.3</v>
      </c>
      <c r="F14" s="302" t="s">
        <v>180</v>
      </c>
      <c r="G14" s="302"/>
      <c r="H14" s="291">
        <v>64.727999999999994</v>
      </c>
      <c r="I14" s="291">
        <v>37.128</v>
      </c>
      <c r="J14" s="291">
        <v>17.748000000000001</v>
      </c>
      <c r="K14" s="292">
        <v>55.783000000000001</v>
      </c>
      <c r="M14" s="293">
        <v>11.7</v>
      </c>
      <c r="N14" s="294">
        <v>3.9</v>
      </c>
      <c r="O14" s="295">
        <v>7.5</v>
      </c>
      <c r="P14" s="296">
        <v>12</v>
      </c>
      <c r="Q14" s="303" t="s">
        <v>181</v>
      </c>
    </row>
    <row r="15" spans="1:17" ht="15.75">
      <c r="A15" s="288" t="s">
        <v>179</v>
      </c>
      <c r="B15" s="304">
        <v>82</v>
      </c>
      <c r="C15" s="304">
        <v>45.1</v>
      </c>
      <c r="D15" s="289">
        <v>22.5</v>
      </c>
      <c r="E15" s="290">
        <v>67.599999999999994</v>
      </c>
      <c r="F15" s="302" t="s">
        <v>182</v>
      </c>
      <c r="G15" s="302"/>
      <c r="H15" s="291">
        <v>71.34</v>
      </c>
      <c r="I15" s="291">
        <v>40.950000000000003</v>
      </c>
      <c r="J15" s="291">
        <v>19.574999999999999</v>
      </c>
      <c r="K15" s="292">
        <v>61.515999999999998</v>
      </c>
      <c r="M15" s="293">
        <v>12</v>
      </c>
      <c r="N15" s="294">
        <v>4</v>
      </c>
      <c r="O15" s="295">
        <v>7.6</v>
      </c>
      <c r="P15" s="296">
        <v>12.3</v>
      </c>
      <c r="Q15" s="303" t="s">
        <v>183</v>
      </c>
    </row>
    <row r="16" spans="1:17" ht="15.75">
      <c r="A16" s="288" t="s">
        <v>181</v>
      </c>
      <c r="B16" s="289">
        <v>89.7</v>
      </c>
      <c r="C16" s="289">
        <v>49.3</v>
      </c>
      <c r="D16" s="289">
        <v>24.6</v>
      </c>
      <c r="E16" s="290">
        <v>73.900000000000006</v>
      </c>
      <c r="F16" s="302" t="s">
        <v>184</v>
      </c>
      <c r="G16" s="302"/>
      <c r="H16" s="291">
        <v>78.039000000000001</v>
      </c>
      <c r="I16" s="291">
        <v>44.771999999999998</v>
      </c>
      <c r="J16" s="291">
        <v>21.402000000000001</v>
      </c>
      <c r="K16" s="292">
        <v>67.248999999999995</v>
      </c>
      <c r="M16" s="293">
        <v>12.3</v>
      </c>
      <c r="N16" s="294">
        <v>4.0999999999999996</v>
      </c>
      <c r="O16" s="295">
        <v>7.9</v>
      </c>
      <c r="P16" s="296">
        <v>12.6</v>
      </c>
      <c r="Q16" s="303" t="s">
        <v>185</v>
      </c>
    </row>
    <row r="17" spans="1:17" ht="15.75">
      <c r="A17" s="288" t="s">
        <v>183</v>
      </c>
      <c r="B17" s="289">
        <v>97.3</v>
      </c>
      <c r="C17" s="289">
        <v>53.5</v>
      </c>
      <c r="D17" s="289">
        <v>26.7</v>
      </c>
      <c r="E17" s="290">
        <v>80.2</v>
      </c>
      <c r="F17" s="302" t="s">
        <v>186</v>
      </c>
      <c r="G17" s="302"/>
      <c r="H17" s="291">
        <v>84.650999999999996</v>
      </c>
      <c r="I17" s="291">
        <v>48.594000000000001</v>
      </c>
      <c r="J17" s="291">
        <v>23.228999999999999</v>
      </c>
      <c r="K17" s="292">
        <v>72.981999999999999</v>
      </c>
      <c r="M17" s="293">
        <v>12.7</v>
      </c>
      <c r="N17" s="294">
        <v>4.2</v>
      </c>
      <c r="O17" s="295">
        <v>8.1</v>
      </c>
      <c r="P17" s="296">
        <v>13</v>
      </c>
      <c r="Q17" s="303" t="s">
        <v>187</v>
      </c>
    </row>
    <row r="18" spans="1:17" ht="15.75">
      <c r="A18" s="288" t="s">
        <v>185</v>
      </c>
      <c r="B18" s="304">
        <v>105</v>
      </c>
      <c r="C18" s="289">
        <v>57.7</v>
      </c>
      <c r="D18" s="289">
        <v>28.8</v>
      </c>
      <c r="E18" s="290">
        <v>86.5</v>
      </c>
      <c r="F18" s="302" t="s">
        <v>188</v>
      </c>
      <c r="G18" s="302"/>
      <c r="H18" s="291">
        <v>91.35</v>
      </c>
      <c r="I18" s="291">
        <v>52.415999999999997</v>
      </c>
      <c r="J18" s="291">
        <v>25.056000000000001</v>
      </c>
      <c r="K18" s="292">
        <v>78.715000000000003</v>
      </c>
      <c r="M18" s="293"/>
      <c r="N18" s="294"/>
      <c r="O18" s="295"/>
      <c r="P18" s="296"/>
      <c r="Q18" s="303" t="s">
        <v>189</v>
      </c>
    </row>
    <row r="19" spans="1:17" ht="15.75">
      <c r="A19" s="288" t="s">
        <v>187</v>
      </c>
      <c r="B19" s="289">
        <v>112.6</v>
      </c>
      <c r="C19" s="289">
        <v>61.9</v>
      </c>
      <c r="D19" s="289">
        <v>30.9</v>
      </c>
      <c r="E19" s="290">
        <v>92.8</v>
      </c>
      <c r="F19" s="302" t="s">
        <v>190</v>
      </c>
      <c r="G19" s="302"/>
      <c r="H19" s="291">
        <v>97.962000000000003</v>
      </c>
      <c r="I19" s="291">
        <v>56.238</v>
      </c>
      <c r="J19" s="291">
        <v>26.882999999999999</v>
      </c>
      <c r="K19" s="292">
        <v>84.447999999999993</v>
      </c>
      <c r="M19" s="293">
        <v>11.25</v>
      </c>
      <c r="N19" s="294">
        <v>3.7</v>
      </c>
      <c r="O19" s="295">
        <v>7.2</v>
      </c>
      <c r="P19" s="296">
        <v>11.6</v>
      </c>
      <c r="Q19" s="305" t="s">
        <v>191</v>
      </c>
    </row>
    <row r="20" spans="1:17" ht="18">
      <c r="A20" s="1306" t="s">
        <v>679</v>
      </c>
      <c r="B20" s="1329"/>
      <c r="C20" s="1329"/>
      <c r="D20" s="1329"/>
      <c r="E20" s="1330"/>
      <c r="F20" s="287"/>
      <c r="G20" s="287"/>
      <c r="H20" s="1336"/>
      <c r="I20" s="1336"/>
      <c r="J20" s="1336"/>
      <c r="K20" s="1337"/>
      <c r="M20" s="1342"/>
      <c r="N20" s="1343"/>
      <c r="O20" s="1344"/>
      <c r="P20" s="1345"/>
      <c r="Q20" s="1306" t="s">
        <v>679</v>
      </c>
    </row>
    <row r="21" spans="1:17" ht="18">
      <c r="A21" s="1309" t="s">
        <v>192</v>
      </c>
      <c r="B21" s="1331"/>
      <c r="C21" s="1331"/>
      <c r="D21" s="1331"/>
      <c r="E21" s="1332"/>
      <c r="F21" s="306" t="s">
        <v>193</v>
      </c>
      <c r="G21" s="306"/>
      <c r="H21" s="1338"/>
      <c r="I21" s="1338"/>
      <c r="J21" s="1338"/>
      <c r="K21" s="1339"/>
      <c r="M21" s="1346"/>
      <c r="N21" s="1347"/>
      <c r="O21" s="1348"/>
      <c r="P21" s="1349"/>
      <c r="Q21" s="1350" t="s">
        <v>192</v>
      </c>
    </row>
    <row r="22" spans="1:17" ht="26.25">
      <c r="A22" s="288" t="s">
        <v>194</v>
      </c>
      <c r="B22" s="289">
        <v>2.5</v>
      </c>
      <c r="C22" s="289">
        <v>1.6</v>
      </c>
      <c r="D22" s="289">
        <v>0.8</v>
      </c>
      <c r="E22" s="290">
        <v>2.2999999999999998</v>
      </c>
      <c r="F22" s="307" t="s">
        <v>195</v>
      </c>
      <c r="G22" s="307"/>
      <c r="H22" s="291">
        <v>2.1749999999999998</v>
      </c>
      <c r="I22" s="291">
        <v>1.456</v>
      </c>
      <c r="J22" s="291">
        <v>0.69600000000000006</v>
      </c>
      <c r="K22" s="292">
        <v>2.093</v>
      </c>
      <c r="M22" s="308">
        <v>0.3</v>
      </c>
      <c r="N22" s="309">
        <v>4.9500000000000002E-2</v>
      </c>
      <c r="O22" s="310">
        <v>0.13</v>
      </c>
      <c r="P22" s="311">
        <v>0.33</v>
      </c>
      <c r="Q22" s="312" t="s">
        <v>194</v>
      </c>
    </row>
    <row r="23" spans="1:17" ht="26.25">
      <c r="A23" s="313" t="s">
        <v>196</v>
      </c>
      <c r="B23" s="289">
        <v>2.4</v>
      </c>
      <c r="C23" s="289">
        <v>1.5</v>
      </c>
      <c r="D23" s="289">
        <v>0.7</v>
      </c>
      <c r="E23" s="290">
        <v>2.2000000000000002</v>
      </c>
      <c r="F23" s="307" t="s">
        <v>197</v>
      </c>
      <c r="G23" s="307"/>
      <c r="H23" s="291">
        <v>2.0880000000000001</v>
      </c>
      <c r="I23" s="291">
        <v>1.365</v>
      </c>
      <c r="J23" s="291">
        <v>0.60899999999999999</v>
      </c>
      <c r="K23" s="292">
        <v>2.0019999999999998</v>
      </c>
      <c r="M23" s="308">
        <v>0.3</v>
      </c>
      <c r="N23" s="309">
        <v>4.9500000000000002E-2</v>
      </c>
      <c r="O23" s="310">
        <v>0.13</v>
      </c>
      <c r="P23" s="311">
        <v>0.33</v>
      </c>
      <c r="Q23" s="312" t="s">
        <v>196</v>
      </c>
    </row>
    <row r="24" spans="1:17" ht="18">
      <c r="A24" s="1309" t="s">
        <v>198</v>
      </c>
      <c r="B24" s="1309"/>
      <c r="C24" s="1309"/>
      <c r="D24" s="1309"/>
      <c r="E24" s="1309"/>
      <c r="F24" s="307" t="s">
        <v>199</v>
      </c>
      <c r="G24" s="307"/>
      <c r="H24" s="1340"/>
      <c r="I24" s="1340"/>
      <c r="J24" s="1340"/>
      <c r="K24" s="1341"/>
      <c r="M24" s="1351"/>
      <c r="N24" s="1352"/>
      <c r="O24" s="1353"/>
      <c r="P24" s="1354"/>
      <c r="Q24" s="1355" t="s">
        <v>200</v>
      </c>
    </row>
    <row r="25" spans="1:17" ht="15.75">
      <c r="A25" s="288" t="s">
        <v>201</v>
      </c>
      <c r="B25" s="289">
        <v>7.5</v>
      </c>
      <c r="C25" s="289">
        <v>4.5999999999999996</v>
      </c>
      <c r="D25" s="289">
        <v>2.2999999999999998</v>
      </c>
      <c r="E25" s="290">
        <v>7</v>
      </c>
      <c r="F25" s="287" t="s">
        <v>202</v>
      </c>
      <c r="G25" s="287"/>
      <c r="H25" s="291">
        <v>6.5250000000000004</v>
      </c>
      <c r="I25" s="291">
        <v>4.1859999999999999</v>
      </c>
      <c r="J25" s="291">
        <v>2.0009999999999999</v>
      </c>
      <c r="K25" s="292">
        <v>6.37</v>
      </c>
      <c r="M25" s="308">
        <v>0.7</v>
      </c>
      <c r="N25" s="309">
        <v>0.23100000000000001</v>
      </c>
      <c r="O25" s="310">
        <v>0.47557967032967002</v>
      </c>
      <c r="P25" s="314">
        <v>0.77</v>
      </c>
      <c r="Q25" s="312" t="s">
        <v>201</v>
      </c>
    </row>
    <row r="26" spans="1:17" ht="26.25">
      <c r="A26" s="313" t="s">
        <v>203</v>
      </c>
      <c r="B26" s="289">
        <v>6.9</v>
      </c>
      <c r="C26" s="289">
        <v>4.2</v>
      </c>
      <c r="D26" s="289">
        <v>2.1</v>
      </c>
      <c r="E26" s="290">
        <v>6.4</v>
      </c>
      <c r="F26" s="287" t="s">
        <v>202</v>
      </c>
      <c r="G26" s="287"/>
      <c r="H26" s="291">
        <v>6.0030000000000001</v>
      </c>
      <c r="I26" s="291">
        <v>3.8220000000000001</v>
      </c>
      <c r="J26" s="291">
        <v>1.827</v>
      </c>
      <c r="K26" s="292">
        <v>5.8239999999999998</v>
      </c>
      <c r="M26" s="308">
        <v>0.7</v>
      </c>
      <c r="N26" s="309">
        <v>0.23100000000000001</v>
      </c>
      <c r="O26" s="310">
        <v>0.47557967032967002</v>
      </c>
      <c r="P26" s="314">
        <v>0.77</v>
      </c>
      <c r="Q26" s="312" t="s">
        <v>203</v>
      </c>
    </row>
    <row r="27" spans="1:17" ht="26.25">
      <c r="A27" s="315" t="s">
        <v>204</v>
      </c>
      <c r="B27" s="289">
        <v>6.7</v>
      </c>
      <c r="C27" s="289">
        <v>4.0999999999999996</v>
      </c>
      <c r="D27" s="289">
        <v>2.1</v>
      </c>
      <c r="E27" s="290">
        <v>6.2</v>
      </c>
      <c r="F27" s="287" t="s">
        <v>202</v>
      </c>
      <c r="G27" s="287"/>
      <c r="H27" s="291">
        <v>5.8289999999999997</v>
      </c>
      <c r="I27" s="291">
        <v>3.7309999999999999</v>
      </c>
      <c r="J27" s="291">
        <v>1.827</v>
      </c>
      <c r="K27" s="292">
        <v>5.6420000000000003</v>
      </c>
      <c r="M27" s="308">
        <v>0.7</v>
      </c>
      <c r="N27" s="309">
        <v>0.23100000000000001</v>
      </c>
      <c r="O27" s="310">
        <v>0.47557967032967002</v>
      </c>
      <c r="P27" s="314">
        <v>0.77</v>
      </c>
      <c r="Q27" s="312" t="s">
        <v>204</v>
      </c>
    </row>
    <row r="28" spans="1:17" ht="16.5" customHeight="1">
      <c r="A28" s="1309" t="s">
        <v>205</v>
      </c>
      <c r="B28" s="1333"/>
      <c r="C28" s="1334"/>
      <c r="D28" s="1334"/>
      <c r="E28" s="1335"/>
      <c r="H28" s="1340"/>
      <c r="I28" s="1340"/>
      <c r="J28" s="1340"/>
      <c r="K28" s="1341"/>
      <c r="M28" s="1351"/>
      <c r="N28" s="1352"/>
      <c r="O28" s="1353"/>
      <c r="P28" s="1354"/>
      <c r="Q28" s="1356" t="s">
        <v>205</v>
      </c>
    </row>
    <row r="29" spans="1:17" ht="15.75">
      <c r="A29" s="288" t="s">
        <v>206</v>
      </c>
      <c r="B29" s="289">
        <v>14.4</v>
      </c>
      <c r="C29" s="289">
        <v>8.9</v>
      </c>
      <c r="D29" s="289">
        <v>4.5</v>
      </c>
      <c r="E29" s="290">
        <v>13.4</v>
      </c>
      <c r="H29" s="291">
        <v>12.528</v>
      </c>
      <c r="I29" s="291">
        <v>8.0990000000000002</v>
      </c>
      <c r="J29" s="291">
        <v>3.915</v>
      </c>
      <c r="K29" s="292">
        <v>12.194000000000001</v>
      </c>
      <c r="M29" s="316">
        <v>2.5499999999999998</v>
      </c>
      <c r="N29" s="309">
        <v>0.84150000000000003</v>
      </c>
      <c r="O29" s="310">
        <v>1.73222527472527</v>
      </c>
      <c r="P29" s="311">
        <v>2.72</v>
      </c>
      <c r="Q29" s="312" t="s">
        <v>206</v>
      </c>
    </row>
    <row r="30" spans="1:17" ht="15.75">
      <c r="A30" s="288" t="s">
        <v>207</v>
      </c>
      <c r="B30" s="289">
        <v>12.8</v>
      </c>
      <c r="C30" s="289">
        <v>7.9</v>
      </c>
      <c r="D30" s="289">
        <v>4</v>
      </c>
      <c r="E30" s="290">
        <v>11.9</v>
      </c>
      <c r="F30" s="317"/>
      <c r="G30" s="317"/>
      <c r="H30" s="291">
        <v>11.135999999999999</v>
      </c>
      <c r="I30" s="291">
        <v>7.1890000000000001</v>
      </c>
      <c r="J30" s="291">
        <v>3.48</v>
      </c>
      <c r="K30" s="292">
        <v>10.829000000000001</v>
      </c>
      <c r="M30" s="316">
        <v>2.5499999999999998</v>
      </c>
      <c r="N30" s="309">
        <v>0.84150000000000003</v>
      </c>
      <c r="O30" s="310">
        <v>1.73222527472527</v>
      </c>
      <c r="P30" s="311">
        <v>2.72</v>
      </c>
      <c r="Q30" s="312" t="s">
        <v>207</v>
      </c>
    </row>
    <row r="31" spans="1:17" ht="18">
      <c r="A31" s="1333" t="s">
        <v>208</v>
      </c>
      <c r="B31" s="1334"/>
      <c r="C31" s="1334"/>
      <c r="D31" s="1334"/>
      <c r="E31" s="1335"/>
      <c r="F31" s="1"/>
      <c r="G31" s="1"/>
      <c r="H31" s="1338"/>
      <c r="I31" s="1338"/>
      <c r="J31" s="1338"/>
      <c r="K31" s="1339"/>
      <c r="M31" s="1351"/>
      <c r="N31" s="1352"/>
      <c r="O31" s="1353"/>
      <c r="P31" s="1354"/>
      <c r="Q31" s="1355" t="s">
        <v>208</v>
      </c>
    </row>
    <row r="32" spans="1:17" ht="15.75">
      <c r="A32" s="288" t="s">
        <v>209</v>
      </c>
      <c r="B32" s="289">
        <v>17.7</v>
      </c>
      <c r="C32" s="289">
        <v>11</v>
      </c>
      <c r="D32" s="289">
        <v>5.5</v>
      </c>
      <c r="E32" s="290">
        <v>16.399999999999999</v>
      </c>
      <c r="F32" s="317"/>
      <c r="G32" s="317"/>
      <c r="H32" s="291">
        <v>15.399000000000001</v>
      </c>
      <c r="I32" s="291">
        <v>10.01</v>
      </c>
      <c r="J32" s="291">
        <v>4.7850000000000001</v>
      </c>
      <c r="K32" s="292">
        <v>14.923999999999999</v>
      </c>
      <c r="M32" s="316">
        <v>2.5499999999999998</v>
      </c>
      <c r="N32" s="309">
        <v>0.84150000000000003</v>
      </c>
      <c r="O32" s="310">
        <v>1.73222527472527</v>
      </c>
      <c r="P32" s="311">
        <v>2.72</v>
      </c>
      <c r="Q32" s="312" t="s">
        <v>209</v>
      </c>
    </row>
    <row r="33" spans="1:17" ht="15.75">
      <c r="A33" s="288" t="s">
        <v>210</v>
      </c>
      <c r="B33" s="289">
        <v>16.7</v>
      </c>
      <c r="C33" s="289">
        <v>10.4</v>
      </c>
      <c r="D33" s="289">
        <v>5.2</v>
      </c>
      <c r="E33" s="290">
        <v>15.5</v>
      </c>
      <c r="F33" s="287"/>
      <c r="G33" s="287"/>
      <c r="H33" s="291">
        <v>14.529</v>
      </c>
      <c r="I33" s="291">
        <v>9.4640000000000004</v>
      </c>
      <c r="J33" s="291">
        <v>4.524</v>
      </c>
      <c r="K33" s="292">
        <v>14.105</v>
      </c>
      <c r="M33" s="316">
        <v>2.5499999999999998</v>
      </c>
      <c r="N33" s="309">
        <v>0.84150000000000003</v>
      </c>
      <c r="O33" s="310">
        <v>1.73222527472527</v>
      </c>
      <c r="P33" s="311">
        <v>2.72</v>
      </c>
      <c r="Q33" s="312" t="s">
        <v>210</v>
      </c>
    </row>
    <row r="34" spans="1:17" ht="18">
      <c r="A34" s="1306" t="s">
        <v>746</v>
      </c>
      <c r="B34" s="1329"/>
      <c r="C34" s="1329"/>
      <c r="D34" s="1329"/>
      <c r="E34" s="1330"/>
      <c r="F34" s="287"/>
      <c r="G34" s="287"/>
      <c r="H34" s="1336"/>
      <c r="I34" s="1336"/>
      <c r="J34" s="1336"/>
      <c r="K34" s="1337"/>
      <c r="M34" s="1357" t="s">
        <v>211</v>
      </c>
      <c r="N34" s="1343"/>
      <c r="O34" s="1344"/>
      <c r="P34" s="1358" t="s">
        <v>1186</v>
      </c>
      <c r="Q34" s="1306" t="s">
        <v>746</v>
      </c>
    </row>
    <row r="35" spans="1:17" ht="15.75">
      <c r="A35" s="288" t="s">
        <v>426</v>
      </c>
      <c r="B35" s="289">
        <v>0.13</v>
      </c>
      <c r="C35" s="289"/>
      <c r="D35" s="289"/>
      <c r="E35" s="290">
        <v>0.11</v>
      </c>
      <c r="F35" s="287" t="s">
        <v>212</v>
      </c>
      <c r="G35" s="287"/>
      <c r="H35" s="383">
        <v>0.11310000000000001</v>
      </c>
      <c r="I35" s="383"/>
      <c r="J35" s="383"/>
      <c r="K35" s="324">
        <v>0.10010000000000001</v>
      </c>
      <c r="M35" s="318">
        <v>1.2E-2</v>
      </c>
      <c r="N35" s="319"/>
      <c r="O35" s="320"/>
      <c r="P35" s="321">
        <v>8.5000000000000006E-3</v>
      </c>
      <c r="Q35" s="312" t="s">
        <v>426</v>
      </c>
    </row>
    <row r="36" spans="1:17" ht="15.75">
      <c r="A36" s="288" t="s">
        <v>330</v>
      </c>
      <c r="B36" s="289"/>
      <c r="C36" s="289"/>
      <c r="D36" s="289"/>
      <c r="E36" s="290">
        <v>5.2999999999999999E-2</v>
      </c>
      <c r="F36" s="287" t="s">
        <v>331</v>
      </c>
      <c r="G36" s="287"/>
      <c r="H36" s="383"/>
      <c r="I36" s="383"/>
      <c r="J36" s="383"/>
      <c r="K36" s="324">
        <v>4.8000000000000001E-2</v>
      </c>
      <c r="M36" s="318"/>
      <c r="N36" s="319"/>
      <c r="O36" s="320"/>
      <c r="P36" s="321">
        <v>4.0000000000000001E-3</v>
      </c>
      <c r="Q36" s="312" t="s">
        <v>330</v>
      </c>
    </row>
    <row r="37" spans="1:17" ht="27.2" customHeight="1">
      <c r="A37" s="288" t="s">
        <v>213</v>
      </c>
      <c r="B37" s="289">
        <v>0.51</v>
      </c>
      <c r="C37" s="289"/>
      <c r="D37" s="289"/>
      <c r="E37" s="290">
        <v>0.43</v>
      </c>
      <c r="F37" s="3113" t="s">
        <v>291</v>
      </c>
      <c r="G37" s="3114"/>
      <c r="H37" s="383">
        <v>0.44370000000000004</v>
      </c>
      <c r="I37" s="383"/>
      <c r="J37" s="383"/>
      <c r="K37" s="324">
        <v>0.39130000000000004</v>
      </c>
      <c r="M37" s="318">
        <v>3.3000000000000002E-2</v>
      </c>
      <c r="N37" s="322"/>
      <c r="O37" s="323"/>
      <c r="P37" s="321">
        <v>1.6E-2</v>
      </c>
      <c r="Q37" s="312" t="s">
        <v>213</v>
      </c>
    </row>
    <row r="38" spans="1:17" ht="26.25">
      <c r="A38" s="288" t="s">
        <v>427</v>
      </c>
      <c r="B38" s="289"/>
      <c r="C38" s="289"/>
      <c r="D38" s="289"/>
      <c r="E38" s="290">
        <v>0.17</v>
      </c>
      <c r="F38" s="287" t="s">
        <v>214</v>
      </c>
      <c r="G38" s="287"/>
      <c r="H38" s="383"/>
      <c r="I38" s="383"/>
      <c r="J38" s="383"/>
      <c r="K38" s="324">
        <v>0.1547</v>
      </c>
      <c r="M38" s="325"/>
      <c r="N38" s="319"/>
      <c r="O38" s="320"/>
      <c r="P38" s="321">
        <v>6.0000000000000001E-3</v>
      </c>
      <c r="Q38" s="312" t="s">
        <v>280</v>
      </c>
    </row>
    <row r="39" spans="1:17" ht="15.75">
      <c r="A39" s="288" t="s">
        <v>759</v>
      </c>
      <c r="B39" s="289"/>
      <c r="C39" s="289"/>
      <c r="D39" s="289"/>
      <c r="E39" s="326">
        <v>0.1</v>
      </c>
      <c r="F39" s="287"/>
      <c r="G39" s="287"/>
      <c r="H39" s="383"/>
      <c r="I39" s="383"/>
      <c r="J39" s="383"/>
      <c r="K39" s="324">
        <v>9.0999999999999998E-2</v>
      </c>
      <c r="M39" s="325"/>
      <c r="N39" s="319"/>
      <c r="O39" s="320"/>
      <c r="P39" s="321">
        <v>3.0000000000000001E-3</v>
      </c>
      <c r="Q39" s="312" t="s">
        <v>759</v>
      </c>
    </row>
    <row r="40" spans="1:17" ht="15.75">
      <c r="A40" s="288" t="s">
        <v>761</v>
      </c>
      <c r="B40" s="289"/>
      <c r="C40" s="289"/>
      <c r="D40" s="289"/>
      <c r="E40" s="290">
        <v>0.28999999999999998</v>
      </c>
      <c r="F40" s="287"/>
      <c r="G40" s="287"/>
      <c r="H40" s="383"/>
      <c r="I40" s="383"/>
      <c r="J40" s="383"/>
      <c r="K40" s="324">
        <v>0.26390000000000002</v>
      </c>
      <c r="M40" s="325"/>
      <c r="N40" s="319"/>
      <c r="O40" s="320"/>
      <c r="P40" s="321">
        <v>2.9000000000000001E-2</v>
      </c>
      <c r="Q40" s="312" t="s">
        <v>761</v>
      </c>
    </row>
    <row r="41" spans="1:17" ht="15.75">
      <c r="A41" s="288" t="s">
        <v>762</v>
      </c>
      <c r="B41" s="289"/>
      <c r="C41" s="289"/>
      <c r="D41" s="289"/>
      <c r="E41" s="290">
        <v>0.28999999999999998</v>
      </c>
      <c r="F41" s="287"/>
      <c r="G41" s="287"/>
      <c r="H41" s="383"/>
      <c r="I41" s="383"/>
      <c r="J41" s="383"/>
      <c r="K41" s="324">
        <v>0.26390000000000002</v>
      </c>
      <c r="M41" s="325"/>
      <c r="N41" s="319"/>
      <c r="O41" s="320"/>
      <c r="P41" s="321">
        <v>1.4E-2</v>
      </c>
      <c r="Q41" s="312" t="s">
        <v>762</v>
      </c>
    </row>
    <row r="42" spans="1:17" ht="15.75">
      <c r="A42" s="288" t="s">
        <v>215</v>
      </c>
      <c r="B42" s="289"/>
      <c r="C42" s="289"/>
      <c r="D42" s="289"/>
      <c r="E42" s="290">
        <v>0.65</v>
      </c>
      <c r="F42" s="287" t="s">
        <v>216</v>
      </c>
      <c r="G42" s="287"/>
      <c r="H42" s="383"/>
      <c r="I42" s="383"/>
      <c r="J42" s="383"/>
      <c r="K42" s="324">
        <v>0.59150000000000003</v>
      </c>
      <c r="M42" s="325"/>
      <c r="N42" s="319"/>
      <c r="O42" s="320"/>
      <c r="P42" s="321">
        <v>0.03</v>
      </c>
      <c r="Q42" s="312" t="s">
        <v>215</v>
      </c>
    </row>
    <row r="43" spans="1:17" ht="18">
      <c r="A43" s="1306" t="s">
        <v>1178</v>
      </c>
      <c r="B43" s="1329"/>
      <c r="C43" s="1329"/>
      <c r="D43" s="1329"/>
      <c r="E43" s="1330"/>
      <c r="F43" s="287"/>
      <c r="G43" s="287"/>
      <c r="H43" s="1363"/>
      <c r="I43" s="1363"/>
      <c r="J43" s="1363"/>
      <c r="K43" s="1337"/>
      <c r="M43" s="1342"/>
      <c r="N43" s="1343"/>
      <c r="O43" s="1344"/>
      <c r="P43" s="1345"/>
      <c r="Q43" s="1306" t="s">
        <v>1178</v>
      </c>
    </row>
    <row r="44" spans="1:17" ht="18" customHeight="1">
      <c r="A44" s="1333" t="s">
        <v>217</v>
      </c>
      <c r="B44" s="1334"/>
      <c r="C44" s="1334"/>
      <c r="D44" s="1334"/>
      <c r="E44" s="1335"/>
      <c r="F44" s="287"/>
      <c r="G44" s="287"/>
      <c r="H44" s="1340"/>
      <c r="I44" s="1340"/>
      <c r="J44" s="1340"/>
      <c r="K44" s="1341"/>
      <c r="M44" s="1346"/>
      <c r="N44" s="1347"/>
      <c r="O44" s="1348"/>
      <c r="P44" s="1349"/>
      <c r="Q44" s="1367" t="s">
        <v>218</v>
      </c>
    </row>
    <row r="45" spans="1:17" ht="15.75">
      <c r="A45" s="288" t="s">
        <v>219</v>
      </c>
      <c r="B45" s="327"/>
      <c r="C45" s="327"/>
      <c r="D45" s="327"/>
      <c r="E45" s="290">
        <v>8.9</v>
      </c>
      <c r="F45" s="287"/>
      <c r="G45" s="287"/>
      <c r="H45" s="328"/>
      <c r="I45" s="328"/>
      <c r="J45" s="399"/>
      <c r="K45" s="292">
        <v>8.0990000000000002</v>
      </c>
      <c r="M45" s="325"/>
      <c r="N45" s="319"/>
      <c r="O45" s="320"/>
      <c r="P45" s="329">
        <v>2</v>
      </c>
      <c r="Q45" s="312" t="s">
        <v>219</v>
      </c>
    </row>
    <row r="46" spans="1:17" ht="15.75">
      <c r="A46" s="288" t="s">
        <v>220</v>
      </c>
      <c r="B46" s="327"/>
      <c r="C46" s="327"/>
      <c r="D46" s="327"/>
      <c r="E46" s="290">
        <v>10.5</v>
      </c>
      <c r="F46" s="287"/>
      <c r="G46" s="287"/>
      <c r="H46" s="328"/>
      <c r="I46" s="328"/>
      <c r="J46" s="399"/>
      <c r="K46" s="292">
        <v>9.5549999999999997</v>
      </c>
      <c r="M46" s="325"/>
      <c r="N46" s="319"/>
      <c r="O46" s="320"/>
      <c r="P46" s="329">
        <v>2.5</v>
      </c>
      <c r="Q46" s="312" t="s">
        <v>220</v>
      </c>
    </row>
    <row r="47" spans="1:17" ht="18" customHeight="1">
      <c r="A47" s="902" t="s">
        <v>221</v>
      </c>
      <c r="B47" s="1334"/>
      <c r="C47" s="1334"/>
      <c r="D47" s="1334"/>
      <c r="E47" s="1335"/>
      <c r="F47" s="287"/>
      <c r="G47" s="287"/>
      <c r="H47" s="1340"/>
      <c r="I47" s="1340"/>
      <c r="J47" s="1364"/>
      <c r="K47" s="1341"/>
      <c r="M47" s="1346"/>
      <c r="N47" s="1347"/>
      <c r="O47" s="1348"/>
      <c r="P47" s="1366"/>
      <c r="Q47" s="1367" t="s">
        <v>222</v>
      </c>
    </row>
    <row r="48" spans="1:17" ht="15.75">
      <c r="A48" s="288" t="s">
        <v>219</v>
      </c>
      <c r="B48" s="327"/>
      <c r="C48" s="327"/>
      <c r="D48" s="327"/>
      <c r="E48" s="290">
        <v>17.399999999999999</v>
      </c>
      <c r="F48" s="287"/>
      <c r="G48" s="287"/>
      <c r="H48" s="328"/>
      <c r="I48" s="328"/>
      <c r="J48" s="399"/>
      <c r="K48" s="292">
        <v>15.834</v>
      </c>
      <c r="M48" s="325"/>
      <c r="N48" s="319"/>
      <c r="O48" s="320"/>
      <c r="P48" s="329">
        <v>3</v>
      </c>
      <c r="Q48" s="312" t="s">
        <v>219</v>
      </c>
    </row>
    <row r="49" spans="1:17" ht="15.75">
      <c r="A49" s="288" t="s">
        <v>220</v>
      </c>
      <c r="B49" s="327"/>
      <c r="C49" s="327"/>
      <c r="D49" s="327"/>
      <c r="E49" s="290">
        <v>20.5</v>
      </c>
      <c r="F49" s="287"/>
      <c r="G49" s="287"/>
      <c r="H49" s="328"/>
      <c r="I49" s="328"/>
      <c r="J49" s="399"/>
      <c r="K49" s="292">
        <v>18.655000000000001</v>
      </c>
      <c r="M49" s="325"/>
      <c r="N49" s="319"/>
      <c r="O49" s="320"/>
      <c r="P49" s="329">
        <v>3.77</v>
      </c>
      <c r="Q49" s="312" t="s">
        <v>220</v>
      </c>
    </row>
    <row r="50" spans="1:17" ht="18">
      <c r="A50" s="1333" t="s">
        <v>223</v>
      </c>
      <c r="B50" s="1334"/>
      <c r="C50" s="1334"/>
      <c r="D50" s="1334"/>
      <c r="E50" s="1335"/>
      <c r="F50" s="287"/>
      <c r="G50" s="287"/>
      <c r="H50" s="1340"/>
      <c r="I50" s="1340"/>
      <c r="J50" s="1364"/>
      <c r="K50" s="1341"/>
      <c r="M50" s="1346"/>
      <c r="N50" s="1347"/>
      <c r="O50" s="1348"/>
      <c r="P50" s="1366"/>
      <c r="Q50" s="1367" t="s">
        <v>224</v>
      </c>
    </row>
    <row r="51" spans="1:17" ht="15.75">
      <c r="A51" s="288" t="s">
        <v>219</v>
      </c>
      <c r="B51" s="327"/>
      <c r="C51" s="327"/>
      <c r="D51" s="327"/>
      <c r="E51" s="290">
        <v>31.2</v>
      </c>
      <c r="F51" s="287"/>
      <c r="G51" s="287"/>
      <c r="H51" s="328"/>
      <c r="I51" s="328"/>
      <c r="J51" s="399"/>
      <c r="K51" s="292">
        <v>28.391999999999999</v>
      </c>
      <c r="M51" s="325"/>
      <c r="N51" s="319"/>
      <c r="O51" s="320"/>
      <c r="P51" s="329">
        <v>6</v>
      </c>
      <c r="Q51" s="312" t="s">
        <v>219</v>
      </c>
    </row>
    <row r="52" spans="1:17" ht="15.75">
      <c r="A52" s="288" t="s">
        <v>220</v>
      </c>
      <c r="B52" s="327"/>
      <c r="C52" s="327"/>
      <c r="D52" s="327"/>
      <c r="E52" s="290">
        <v>36.799999999999997</v>
      </c>
      <c r="F52" s="287"/>
      <c r="G52" s="287"/>
      <c r="H52" s="328"/>
      <c r="I52" s="328"/>
      <c r="J52" s="399"/>
      <c r="K52" s="292">
        <v>33.488</v>
      </c>
      <c r="M52" s="325"/>
      <c r="N52" s="319"/>
      <c r="O52" s="320"/>
      <c r="P52" s="329">
        <v>6.7</v>
      </c>
      <c r="Q52" s="312" t="s">
        <v>220</v>
      </c>
    </row>
    <row r="53" spans="1:17" ht="16.5" customHeight="1">
      <c r="A53" s="892" t="s">
        <v>225</v>
      </c>
      <c r="B53" s="900"/>
      <c r="C53" s="900"/>
      <c r="D53" s="900"/>
      <c r="E53" s="901"/>
      <c r="F53" s="3111" t="s">
        <v>226</v>
      </c>
      <c r="G53" s="3111"/>
      <c r="H53" s="1363"/>
      <c r="I53" s="1363"/>
      <c r="J53" s="1364"/>
      <c r="K53" s="1337"/>
      <c r="M53" s="1342"/>
      <c r="N53" s="1343"/>
      <c r="O53" s="1344"/>
      <c r="P53" s="1365"/>
      <c r="Q53" s="1306" t="s">
        <v>225</v>
      </c>
    </row>
    <row r="54" spans="1:17" ht="15.75">
      <c r="A54" s="288" t="s">
        <v>227</v>
      </c>
      <c r="B54" s="327"/>
      <c r="C54" s="327"/>
      <c r="D54" s="327"/>
      <c r="E54" s="290">
        <v>5.4</v>
      </c>
      <c r="F54" s="3111"/>
      <c r="G54" s="3111"/>
      <c r="H54" s="328"/>
      <c r="I54" s="328"/>
      <c r="J54" s="399"/>
      <c r="K54" s="292">
        <v>4.9139999999999997</v>
      </c>
      <c r="M54" s="325"/>
      <c r="N54" s="319"/>
      <c r="O54" s="320"/>
      <c r="P54" s="311">
        <v>0.22</v>
      </c>
      <c r="Q54" s="330" t="s">
        <v>227</v>
      </c>
    </row>
    <row r="55" spans="1:17" ht="15.75">
      <c r="A55" s="288" t="s">
        <v>228</v>
      </c>
      <c r="B55" s="327"/>
      <c r="C55" s="327"/>
      <c r="D55" s="327"/>
      <c r="E55" s="290">
        <v>7.3</v>
      </c>
      <c r="F55" s="287" t="s">
        <v>229</v>
      </c>
      <c r="G55" s="287"/>
      <c r="H55" s="328"/>
      <c r="I55" s="328"/>
      <c r="J55" s="399"/>
      <c r="K55" s="292">
        <v>6.6429999999999998</v>
      </c>
      <c r="M55" s="325"/>
      <c r="N55" s="319"/>
      <c r="O55" s="320"/>
      <c r="P55" s="311">
        <v>0.52</v>
      </c>
      <c r="Q55" s="330" t="s">
        <v>228</v>
      </c>
    </row>
    <row r="56" spans="1:17" ht="15.75">
      <c r="A56" s="288" t="s">
        <v>776</v>
      </c>
      <c r="B56" s="327"/>
      <c r="C56" s="327"/>
      <c r="D56" s="327"/>
      <c r="E56" s="290">
        <v>7.7</v>
      </c>
      <c r="F56" s="287"/>
      <c r="G56" s="287"/>
      <c r="H56" s="328"/>
      <c r="I56" s="328"/>
      <c r="J56" s="399"/>
      <c r="K56" s="292">
        <v>7.0069999999999997</v>
      </c>
      <c r="M56" s="325"/>
      <c r="N56" s="319"/>
      <c r="O56" s="320"/>
      <c r="P56" s="311">
        <v>0.52</v>
      </c>
      <c r="Q56" s="330" t="s">
        <v>776</v>
      </c>
    </row>
    <row r="57" spans="1:17" ht="18">
      <c r="A57" s="1306" t="s">
        <v>230</v>
      </c>
      <c r="B57" s="1329"/>
      <c r="C57" s="1329"/>
      <c r="D57" s="1329"/>
      <c r="E57" s="1330"/>
      <c r="F57" s="287"/>
      <c r="G57" s="287"/>
      <c r="H57" s="1363"/>
      <c r="I57" s="1363"/>
      <c r="J57" s="1363"/>
      <c r="K57" s="1337"/>
      <c r="M57" s="1342"/>
      <c r="N57" s="1343"/>
      <c r="O57" s="1344"/>
      <c r="P57" s="1345"/>
      <c r="Q57" s="1306" t="s">
        <v>230</v>
      </c>
    </row>
    <row r="58" spans="1:17" ht="15.75">
      <c r="A58" s="288" t="s">
        <v>231</v>
      </c>
      <c r="B58" s="327"/>
      <c r="C58" s="327"/>
      <c r="D58" s="327"/>
      <c r="E58" s="301">
        <v>5</v>
      </c>
      <c r="F58" s="287" t="s">
        <v>232</v>
      </c>
      <c r="G58" s="287"/>
      <c r="H58" s="328"/>
      <c r="I58" s="328"/>
      <c r="J58" s="399"/>
      <c r="K58" s="292">
        <v>4.55</v>
      </c>
      <c r="M58" s="325"/>
      <c r="N58" s="319"/>
      <c r="O58" s="320"/>
      <c r="P58" s="311">
        <v>0.16</v>
      </c>
      <c r="Q58" s="330" t="s">
        <v>231</v>
      </c>
    </row>
    <row r="59" spans="1:17" ht="15.75">
      <c r="A59" s="288" t="s">
        <v>228</v>
      </c>
      <c r="B59" s="327"/>
      <c r="C59" s="327"/>
      <c r="D59" s="327"/>
      <c r="E59" s="290">
        <v>6.6</v>
      </c>
      <c r="H59" s="328"/>
      <c r="I59" s="328"/>
      <c r="J59" s="399"/>
      <c r="K59" s="292">
        <v>6.0060000000000002</v>
      </c>
      <c r="M59" s="325"/>
      <c r="N59" s="319"/>
      <c r="O59" s="320"/>
      <c r="P59" s="311">
        <v>0.38</v>
      </c>
      <c r="Q59" s="330" t="s">
        <v>228</v>
      </c>
    </row>
    <row r="60" spans="1:17" ht="15.75">
      <c r="A60" s="312" t="s">
        <v>779</v>
      </c>
      <c r="B60" s="331"/>
      <c r="C60" s="331"/>
      <c r="D60" s="331"/>
      <c r="E60" s="332">
        <v>7.2</v>
      </c>
      <c r="H60" s="328"/>
      <c r="I60" s="328"/>
      <c r="J60" s="399"/>
      <c r="K60" s="292">
        <v>6.5519999999999996</v>
      </c>
      <c r="M60" s="333"/>
      <c r="N60" s="334"/>
      <c r="O60" s="335"/>
      <c r="P60" s="336">
        <v>0.38</v>
      </c>
      <c r="Q60" s="337" t="s">
        <v>779</v>
      </c>
    </row>
    <row r="61" spans="1:17">
      <c r="M61" s="338"/>
      <c r="N61" s="338"/>
      <c r="O61" s="338"/>
    </row>
    <row r="62" spans="1:17" ht="18">
      <c r="A62" s="1306" t="s">
        <v>233</v>
      </c>
      <c r="B62" s="1329"/>
      <c r="C62" s="1329"/>
      <c r="D62" s="1329"/>
      <c r="E62" s="1330"/>
      <c r="F62" s="287"/>
      <c r="G62" s="287"/>
      <c r="H62" s="1363"/>
      <c r="I62" s="1363"/>
      <c r="J62" s="1363"/>
      <c r="K62" s="1337"/>
      <c r="M62" s="1342"/>
      <c r="N62" s="1343"/>
      <c r="O62" s="1344"/>
      <c r="P62" s="1345"/>
      <c r="Q62" s="1306" t="s">
        <v>233</v>
      </c>
    </row>
    <row r="63" spans="1:17" ht="15.75">
      <c r="A63" s="288" t="s">
        <v>234</v>
      </c>
      <c r="B63" s="327"/>
      <c r="C63" s="327"/>
      <c r="D63" s="327"/>
      <c r="E63" s="301">
        <v>10.1</v>
      </c>
      <c r="H63" s="339"/>
      <c r="I63" s="339"/>
      <c r="J63" s="339"/>
      <c r="K63" s="301">
        <v>9.1910000000000007</v>
      </c>
      <c r="M63" s="318"/>
      <c r="N63" s="319"/>
      <c r="O63" s="320"/>
      <c r="P63" s="321"/>
      <c r="Q63" s="288" t="s">
        <v>234</v>
      </c>
    </row>
    <row r="64" spans="1:17" ht="15.75">
      <c r="A64" s="288" t="s">
        <v>235</v>
      </c>
      <c r="B64" s="327"/>
      <c r="C64" s="327"/>
      <c r="D64" s="327"/>
      <c r="E64" s="301">
        <v>7.1</v>
      </c>
      <c r="H64" s="328"/>
      <c r="I64" s="328"/>
      <c r="J64" s="328"/>
      <c r="K64" s="301">
        <v>6.4610000000000003</v>
      </c>
      <c r="M64" s="318"/>
      <c r="N64" s="322"/>
      <c r="O64" s="323"/>
      <c r="P64" s="321"/>
      <c r="Q64" s="288" t="s">
        <v>235</v>
      </c>
    </row>
    <row r="65" spans="1:17" ht="18">
      <c r="A65" s="1306" t="s">
        <v>236</v>
      </c>
      <c r="B65" s="1329"/>
      <c r="C65" s="1329"/>
      <c r="D65" s="1329"/>
      <c r="E65" s="1330"/>
      <c r="F65" s="287"/>
      <c r="G65" s="287"/>
      <c r="H65" s="1363"/>
      <c r="I65" s="1363"/>
      <c r="J65" s="1363"/>
      <c r="K65" s="1337"/>
      <c r="M65" s="1342"/>
      <c r="N65" s="1343"/>
      <c r="O65" s="1344"/>
      <c r="P65" s="1345"/>
      <c r="Q65" s="1306" t="s">
        <v>236</v>
      </c>
    </row>
    <row r="66" spans="1:17" ht="15.75">
      <c r="A66" s="288" t="s">
        <v>234</v>
      </c>
      <c r="B66" s="327"/>
      <c r="C66" s="327"/>
      <c r="D66" s="327"/>
      <c r="E66" s="301">
        <v>20.9</v>
      </c>
      <c r="H66" s="328"/>
      <c r="I66" s="328"/>
      <c r="J66" s="328"/>
      <c r="K66" s="301">
        <v>19.018999999999998</v>
      </c>
      <c r="M66" s="318"/>
      <c r="N66" s="319"/>
      <c r="O66" s="320"/>
      <c r="P66" s="321"/>
      <c r="Q66" s="288" t="s">
        <v>234</v>
      </c>
    </row>
    <row r="67" spans="1:17" ht="15.75">
      <c r="A67" s="288" t="s">
        <v>237</v>
      </c>
      <c r="B67" s="327"/>
      <c r="C67" s="327"/>
      <c r="D67" s="327"/>
      <c r="E67" s="301">
        <v>17</v>
      </c>
      <c r="H67" s="328"/>
      <c r="I67" s="328"/>
      <c r="J67" s="328"/>
      <c r="K67" s="301">
        <v>15.47</v>
      </c>
      <c r="M67" s="318"/>
      <c r="N67" s="322"/>
      <c r="O67" s="323"/>
      <c r="P67" s="321"/>
      <c r="Q67" s="288" t="s">
        <v>237</v>
      </c>
    </row>
    <row r="68" spans="1:17" ht="18">
      <c r="A68" s="1306" t="s">
        <v>238</v>
      </c>
      <c r="B68" s="1329"/>
      <c r="C68" s="1329"/>
      <c r="D68" s="1329"/>
      <c r="E68" s="1330"/>
      <c r="F68" s="287"/>
      <c r="G68" s="287"/>
      <c r="H68" s="1363"/>
      <c r="I68" s="1363"/>
      <c r="J68" s="1363"/>
      <c r="K68" s="1337"/>
      <c r="M68" s="1342"/>
      <c r="N68" s="1343"/>
      <c r="O68" s="1344"/>
      <c r="P68" s="1345"/>
      <c r="Q68" s="1306" t="s">
        <v>238</v>
      </c>
    </row>
    <row r="69" spans="1:17" ht="15.75">
      <c r="A69" s="288" t="s">
        <v>239</v>
      </c>
      <c r="B69" s="340">
        <v>0.72310000000000008</v>
      </c>
      <c r="C69" s="327"/>
      <c r="D69" s="327"/>
      <c r="E69" s="301">
        <v>0.61980000000000002</v>
      </c>
      <c r="F69" s="341" t="s">
        <v>240</v>
      </c>
      <c r="G69" s="341"/>
      <c r="H69" s="328"/>
      <c r="I69" s="328"/>
      <c r="J69" s="328"/>
      <c r="K69" s="301">
        <v>0.56401800000000002</v>
      </c>
      <c r="M69" s="318"/>
      <c r="N69" s="319"/>
      <c r="O69" s="320"/>
      <c r="P69" s="321"/>
      <c r="Q69" s="288" t="s">
        <v>239</v>
      </c>
    </row>
    <row r="70" spans="1:17" ht="15.75">
      <c r="A70" s="288" t="s">
        <v>241</v>
      </c>
      <c r="B70" s="340">
        <v>1.5672999999999999</v>
      </c>
      <c r="C70" s="327"/>
      <c r="D70" s="327"/>
      <c r="E70" s="301">
        <v>1.3433999999999999</v>
      </c>
      <c r="H70" s="328"/>
      <c r="I70" s="328"/>
      <c r="J70" s="328"/>
      <c r="K70" s="301">
        <v>1.222494</v>
      </c>
      <c r="M70" s="318"/>
      <c r="N70" s="322"/>
      <c r="O70" s="323"/>
      <c r="P70" s="321"/>
      <c r="Q70" s="288" t="s">
        <v>241</v>
      </c>
    </row>
    <row r="71" spans="1:17" ht="18">
      <c r="A71" s="1306" t="s">
        <v>242</v>
      </c>
      <c r="B71" s="1329"/>
      <c r="C71" s="1329"/>
      <c r="D71" s="1329"/>
      <c r="E71" s="1330"/>
      <c r="F71" s="287"/>
      <c r="G71" s="287"/>
      <c r="H71" s="1363"/>
      <c r="I71" s="1363"/>
      <c r="J71" s="1363"/>
      <c r="K71" s="1337"/>
      <c r="M71" s="1342"/>
      <c r="N71" s="1343"/>
      <c r="O71" s="1344"/>
      <c r="P71" s="1345"/>
      <c r="Q71" s="1306" t="s">
        <v>242</v>
      </c>
    </row>
    <row r="72" spans="1:17" ht="15.75">
      <c r="A72" s="288" t="s">
        <v>243</v>
      </c>
      <c r="B72" s="340">
        <v>1.2411000000000001</v>
      </c>
      <c r="C72" s="327"/>
      <c r="D72" s="327"/>
      <c r="E72" s="301">
        <v>1.0638000000000001</v>
      </c>
      <c r="H72" s="328"/>
      <c r="I72" s="328"/>
      <c r="J72" s="328"/>
      <c r="K72" s="301">
        <v>0.96805800000000009</v>
      </c>
      <c r="M72" s="318"/>
      <c r="N72" s="319"/>
      <c r="O72" s="320"/>
      <c r="P72" s="321"/>
      <c r="Q72" s="288" t="s">
        <v>243</v>
      </c>
    </row>
    <row r="73" spans="1:17" ht="15.75">
      <c r="A73" s="288" t="s">
        <v>244</v>
      </c>
      <c r="B73" s="340">
        <v>3.1863999999999999</v>
      </c>
      <c r="C73" s="327"/>
      <c r="D73" s="327"/>
      <c r="E73" s="301">
        <v>2.7312000000000003</v>
      </c>
      <c r="H73" s="328"/>
      <c r="I73" s="328"/>
      <c r="J73" s="328"/>
      <c r="K73" s="301">
        <v>2.4853920000000005</v>
      </c>
      <c r="M73" s="318"/>
      <c r="N73" s="322"/>
      <c r="O73" s="323"/>
      <c r="P73" s="321"/>
      <c r="Q73" s="288" t="s">
        <v>244</v>
      </c>
    </row>
    <row r="74" spans="1:17" ht="15.75">
      <c r="A74" s="288" t="s">
        <v>245</v>
      </c>
      <c r="B74" s="340">
        <v>4.1033999999999997</v>
      </c>
      <c r="C74" s="327"/>
      <c r="D74" s="327"/>
      <c r="E74" s="301">
        <v>3.5171999999999999</v>
      </c>
      <c r="H74" s="328"/>
      <c r="I74" s="328"/>
      <c r="J74" s="328"/>
      <c r="K74" s="301">
        <v>3.2006519999999998</v>
      </c>
      <c r="M74" s="318"/>
      <c r="N74" s="322"/>
      <c r="O74" s="323"/>
      <c r="P74" s="321"/>
      <c r="Q74" s="288" t="s">
        <v>245</v>
      </c>
    </row>
    <row r="75" spans="1:17" ht="15.75">
      <c r="A75" s="288" t="s">
        <v>246</v>
      </c>
      <c r="B75" s="340">
        <v>4.9013999999999998</v>
      </c>
      <c r="C75" s="327"/>
      <c r="D75" s="327"/>
      <c r="E75" s="301">
        <v>4.2012</v>
      </c>
      <c r="H75" s="328"/>
      <c r="I75" s="328"/>
      <c r="J75" s="328"/>
      <c r="K75" s="301">
        <v>3.8230920000000004</v>
      </c>
      <c r="M75" s="318"/>
      <c r="N75" s="322"/>
      <c r="O75" s="323"/>
      <c r="P75" s="321"/>
      <c r="Q75" s="288" t="s">
        <v>246</v>
      </c>
    </row>
    <row r="76" spans="1:17" ht="18">
      <c r="A76" s="1306" t="s">
        <v>247</v>
      </c>
      <c r="B76" s="1329"/>
      <c r="C76" s="1329"/>
      <c r="D76" s="1329"/>
      <c r="E76" s="1330"/>
      <c r="F76" s="287"/>
      <c r="G76" s="287"/>
      <c r="H76" s="1363"/>
      <c r="I76" s="1363"/>
      <c r="J76" s="1363"/>
      <c r="K76" s="1337"/>
      <c r="M76" s="1342"/>
      <c r="N76" s="1343"/>
      <c r="O76" s="1344"/>
      <c r="P76" s="1345"/>
      <c r="Q76" s="1306" t="s">
        <v>247</v>
      </c>
    </row>
    <row r="77" spans="1:17" ht="15">
      <c r="A77" s="416" t="s">
        <v>360</v>
      </c>
      <c r="B77" s="410">
        <v>6.35</v>
      </c>
      <c r="C77" s="409">
        <v>2.6</v>
      </c>
      <c r="D77" s="410">
        <v>2.6</v>
      </c>
      <c r="E77" s="411">
        <v>5.2</v>
      </c>
      <c r="F77" s="395"/>
      <c r="G77" s="395"/>
      <c r="H77" s="407">
        <f>B77*0.87</f>
        <v>5.5244999999999997</v>
      </c>
      <c r="I77" s="407">
        <f>C77*0.91</f>
        <v>2.3660000000000001</v>
      </c>
      <c r="J77" s="407">
        <f>D77*0.87</f>
        <v>2.262</v>
      </c>
      <c r="K77" s="406">
        <f>E77*0.91</f>
        <v>4.7320000000000002</v>
      </c>
      <c r="M77" s="342">
        <v>0.65</v>
      </c>
      <c r="N77" s="343">
        <v>0.32500000000000001</v>
      </c>
      <c r="O77" s="344">
        <v>0.375</v>
      </c>
      <c r="P77" s="345">
        <v>0.85</v>
      </c>
      <c r="Q77" s="288" t="s">
        <v>361</v>
      </c>
    </row>
    <row r="78" spans="1:17" ht="15">
      <c r="A78" s="288" t="s">
        <v>249</v>
      </c>
      <c r="B78" s="410">
        <v>17.2</v>
      </c>
      <c r="C78" s="409">
        <v>7.1</v>
      </c>
      <c r="D78" s="410">
        <v>7.1</v>
      </c>
      <c r="E78" s="411">
        <v>14.2</v>
      </c>
      <c r="F78" s="395"/>
      <c r="G78" s="395"/>
      <c r="H78" s="407">
        <f t="shared" ref="H78:H89" si="0">B78*0.87</f>
        <v>14.963999999999999</v>
      </c>
      <c r="I78" s="407">
        <f t="shared" ref="I78:I89" si="1">C78*0.91</f>
        <v>6.4610000000000003</v>
      </c>
      <c r="J78" s="407">
        <f t="shared" ref="J78:J89" si="2">D78*0.87</f>
        <v>6.1769999999999996</v>
      </c>
      <c r="K78" s="406">
        <f t="shared" ref="K78:K89" si="3">E78*0.91</f>
        <v>12.922000000000001</v>
      </c>
      <c r="M78" s="346">
        <v>1.7</v>
      </c>
      <c r="N78" s="347">
        <v>0.85</v>
      </c>
      <c r="O78" s="348">
        <v>0.89</v>
      </c>
      <c r="P78" s="345">
        <v>1.95</v>
      </c>
      <c r="Q78" s="288" t="s">
        <v>249</v>
      </c>
    </row>
    <row r="79" spans="1:17" ht="15">
      <c r="A79" s="288" t="s">
        <v>250</v>
      </c>
      <c r="B79" s="410">
        <v>22.8</v>
      </c>
      <c r="C79" s="409">
        <v>9.4</v>
      </c>
      <c r="D79" s="410">
        <v>9.35</v>
      </c>
      <c r="E79" s="411">
        <v>18.75</v>
      </c>
      <c r="F79" s="395"/>
      <c r="G79" s="395"/>
      <c r="H79" s="407">
        <f t="shared" si="0"/>
        <v>19.836000000000002</v>
      </c>
      <c r="I79" s="407">
        <f t="shared" si="1"/>
        <v>8.5540000000000003</v>
      </c>
      <c r="J79" s="407">
        <f t="shared" si="2"/>
        <v>8.1344999999999992</v>
      </c>
      <c r="K79" s="406">
        <f t="shared" si="3"/>
        <v>17.0625</v>
      </c>
      <c r="M79" s="346">
        <v>2.9</v>
      </c>
      <c r="N79" s="347">
        <v>1.45</v>
      </c>
      <c r="O79" s="344">
        <v>1.4750000000000001</v>
      </c>
      <c r="P79" s="349">
        <v>3.1</v>
      </c>
      <c r="Q79" s="288" t="s">
        <v>250</v>
      </c>
    </row>
    <row r="80" spans="1:17" ht="15">
      <c r="A80" s="288" t="s">
        <v>251</v>
      </c>
      <c r="B80" s="410">
        <v>27.35</v>
      </c>
      <c r="C80" s="409">
        <v>11.3</v>
      </c>
      <c r="D80" s="410">
        <v>11.25</v>
      </c>
      <c r="E80" s="411">
        <v>22.55</v>
      </c>
      <c r="F80" s="395"/>
      <c r="G80" s="395"/>
      <c r="H80" s="407">
        <f t="shared" si="0"/>
        <v>23.794500000000003</v>
      </c>
      <c r="I80" s="407">
        <f t="shared" si="1"/>
        <v>10.283000000000001</v>
      </c>
      <c r="J80" s="407">
        <f t="shared" si="2"/>
        <v>9.7874999999999996</v>
      </c>
      <c r="K80" s="406">
        <f t="shared" si="3"/>
        <v>20.520500000000002</v>
      </c>
      <c r="M80" s="342">
        <v>3.55</v>
      </c>
      <c r="N80" s="347">
        <v>1.75</v>
      </c>
      <c r="O80" s="348">
        <v>1.77</v>
      </c>
      <c r="P80" s="345">
        <v>3.85</v>
      </c>
      <c r="Q80" s="288" t="s">
        <v>251</v>
      </c>
    </row>
    <row r="81" spans="1:17" ht="15">
      <c r="A81" s="288" t="s">
        <v>252</v>
      </c>
      <c r="B81" s="410">
        <v>29.45</v>
      </c>
      <c r="C81" s="409">
        <v>12.15</v>
      </c>
      <c r="D81" s="410">
        <v>12.1</v>
      </c>
      <c r="E81" s="411">
        <v>24.25</v>
      </c>
      <c r="F81" s="395"/>
      <c r="G81" s="395"/>
      <c r="H81" s="407">
        <f t="shared" si="0"/>
        <v>25.621499999999997</v>
      </c>
      <c r="I81" s="407">
        <f t="shared" si="1"/>
        <v>11.056500000000002</v>
      </c>
      <c r="J81" s="407">
        <f t="shared" si="2"/>
        <v>10.526999999999999</v>
      </c>
      <c r="K81" s="406">
        <f t="shared" si="3"/>
        <v>22.067499999999999</v>
      </c>
      <c r="M81" s="342">
        <v>3.8250000000000002</v>
      </c>
      <c r="N81" s="343">
        <v>1.915</v>
      </c>
      <c r="O81" s="344">
        <v>1.895</v>
      </c>
      <c r="P81" s="349">
        <v>4.0999999999999996</v>
      </c>
      <c r="Q81" s="288" t="s">
        <v>252</v>
      </c>
    </row>
    <row r="82" spans="1:17" ht="15">
      <c r="A82" s="288" t="s">
        <v>253</v>
      </c>
      <c r="B82" s="410">
        <v>29.55</v>
      </c>
      <c r="C82" s="409">
        <v>16.25</v>
      </c>
      <c r="D82" s="410">
        <v>8.1</v>
      </c>
      <c r="E82" s="411">
        <v>24.35</v>
      </c>
      <c r="F82" s="395"/>
      <c r="G82" s="395"/>
      <c r="H82" s="407">
        <f t="shared" si="0"/>
        <v>25.708500000000001</v>
      </c>
      <c r="I82" s="407">
        <f t="shared" si="1"/>
        <v>14.7875</v>
      </c>
      <c r="J82" s="407">
        <f t="shared" si="2"/>
        <v>7.0469999999999997</v>
      </c>
      <c r="K82" s="406">
        <f t="shared" si="3"/>
        <v>22.158500000000004</v>
      </c>
      <c r="M82" s="342">
        <v>11.25</v>
      </c>
      <c r="N82" s="350">
        <v>3.7</v>
      </c>
      <c r="O82" s="351">
        <v>7.2</v>
      </c>
      <c r="P82" s="349">
        <v>11.6</v>
      </c>
      <c r="Q82" s="288" t="s">
        <v>254</v>
      </c>
    </row>
    <row r="83" spans="1:17" ht="15">
      <c r="A83" s="288" t="s">
        <v>255</v>
      </c>
      <c r="B83" s="410">
        <v>33.35</v>
      </c>
      <c r="C83" s="409">
        <v>18.3</v>
      </c>
      <c r="D83" s="410">
        <v>9.1999999999999993</v>
      </c>
      <c r="E83" s="411">
        <v>27.5</v>
      </c>
      <c r="F83" s="395"/>
      <c r="G83" s="395"/>
      <c r="H83" s="407">
        <f t="shared" si="0"/>
        <v>29.014500000000002</v>
      </c>
      <c r="I83" s="407">
        <f t="shared" si="1"/>
        <v>16.653000000000002</v>
      </c>
      <c r="J83" s="407">
        <f t="shared" si="2"/>
        <v>8.0039999999999996</v>
      </c>
      <c r="K83" s="406">
        <f t="shared" si="3"/>
        <v>25.025000000000002</v>
      </c>
      <c r="M83" s="346">
        <v>11.5</v>
      </c>
      <c r="N83" s="350">
        <v>3.8</v>
      </c>
      <c r="O83" s="351">
        <v>7.4</v>
      </c>
      <c r="P83" s="349">
        <v>11.9</v>
      </c>
      <c r="Q83" s="288" t="s">
        <v>256</v>
      </c>
    </row>
    <row r="84" spans="1:17" ht="15">
      <c r="A84" s="288" t="s">
        <v>256</v>
      </c>
      <c r="B84" s="410">
        <v>37.200000000000003</v>
      </c>
      <c r="C84" s="409">
        <v>20.45</v>
      </c>
      <c r="D84" s="410">
        <v>10.199999999999999</v>
      </c>
      <c r="E84" s="411">
        <v>30.65</v>
      </c>
      <c r="F84" s="395"/>
      <c r="G84" s="395"/>
      <c r="H84" s="407">
        <f t="shared" si="0"/>
        <v>32.364000000000004</v>
      </c>
      <c r="I84" s="407">
        <f t="shared" si="1"/>
        <v>18.609500000000001</v>
      </c>
      <c r="J84" s="407">
        <f t="shared" si="2"/>
        <v>8.8739999999999988</v>
      </c>
      <c r="K84" s="406">
        <f t="shared" si="3"/>
        <v>27.891500000000001</v>
      </c>
      <c r="M84" s="346">
        <v>11.8</v>
      </c>
      <c r="N84" s="350">
        <v>3.9</v>
      </c>
      <c r="O84" s="351">
        <v>7.6</v>
      </c>
      <c r="P84" s="349">
        <v>12.1</v>
      </c>
      <c r="Q84" s="288" t="s">
        <v>257</v>
      </c>
    </row>
    <row r="85" spans="1:17" ht="15">
      <c r="A85" s="288" t="s">
        <v>257</v>
      </c>
      <c r="B85" s="410">
        <v>41</v>
      </c>
      <c r="C85" s="409">
        <v>22.55</v>
      </c>
      <c r="D85" s="410">
        <v>11.25</v>
      </c>
      <c r="E85" s="411">
        <v>33.799999999999997</v>
      </c>
      <c r="F85" s="395"/>
      <c r="G85" s="395"/>
      <c r="H85" s="407">
        <f t="shared" si="0"/>
        <v>35.67</v>
      </c>
      <c r="I85" s="407">
        <f t="shared" si="1"/>
        <v>20.520500000000002</v>
      </c>
      <c r="J85" s="407">
        <f t="shared" si="2"/>
        <v>9.7874999999999996</v>
      </c>
      <c r="K85" s="406">
        <f t="shared" si="3"/>
        <v>30.757999999999999</v>
      </c>
      <c r="M85" s="342">
        <v>11.65</v>
      </c>
      <c r="N85" s="347">
        <v>3.85</v>
      </c>
      <c r="O85" s="351">
        <v>7.5</v>
      </c>
      <c r="P85" s="349">
        <v>12</v>
      </c>
      <c r="Q85" s="288" t="s">
        <v>258</v>
      </c>
    </row>
    <row r="86" spans="1:17" ht="15">
      <c r="A86" s="288" t="s">
        <v>258</v>
      </c>
      <c r="B86" s="410">
        <v>44.85</v>
      </c>
      <c r="C86" s="409">
        <v>24.65</v>
      </c>
      <c r="D86" s="410">
        <v>12.3</v>
      </c>
      <c r="E86" s="411">
        <v>36.950000000000003</v>
      </c>
      <c r="F86" s="395"/>
      <c r="G86" s="395"/>
      <c r="H86" s="407">
        <f t="shared" si="0"/>
        <v>39.019500000000001</v>
      </c>
      <c r="I86" s="407">
        <f t="shared" si="1"/>
        <v>22.4315</v>
      </c>
      <c r="J86" s="407">
        <f t="shared" si="2"/>
        <v>10.701000000000001</v>
      </c>
      <c r="K86" s="406">
        <f t="shared" si="3"/>
        <v>33.624500000000005</v>
      </c>
      <c r="M86" s="342">
        <v>11.95</v>
      </c>
      <c r="N86" s="347">
        <v>3.95</v>
      </c>
      <c r="O86" s="351">
        <v>7.6</v>
      </c>
      <c r="P86" s="349">
        <v>12.3</v>
      </c>
      <c r="Q86" s="288" t="s">
        <v>259</v>
      </c>
    </row>
    <row r="87" spans="1:17" ht="15">
      <c r="A87" s="288" t="s">
        <v>259</v>
      </c>
      <c r="B87" s="410">
        <v>48.65</v>
      </c>
      <c r="C87" s="409">
        <v>26.75</v>
      </c>
      <c r="D87" s="410">
        <v>13.35</v>
      </c>
      <c r="E87" s="411">
        <v>40.1</v>
      </c>
      <c r="F87" s="395"/>
      <c r="G87" s="395"/>
      <c r="H87" s="407">
        <f t="shared" si="0"/>
        <v>42.325499999999998</v>
      </c>
      <c r="I87" s="407">
        <f t="shared" si="1"/>
        <v>24.342500000000001</v>
      </c>
      <c r="J87" s="407">
        <f t="shared" si="2"/>
        <v>11.6145</v>
      </c>
      <c r="K87" s="406">
        <f t="shared" si="3"/>
        <v>36.491</v>
      </c>
      <c r="M87" s="346">
        <v>12.3</v>
      </c>
      <c r="N87" s="347">
        <v>4.05</v>
      </c>
      <c r="O87" s="351">
        <v>7.9</v>
      </c>
      <c r="P87" s="349">
        <v>12.6</v>
      </c>
      <c r="Q87" s="288" t="s">
        <v>260</v>
      </c>
    </row>
    <row r="88" spans="1:17" ht="12.75" customHeight="1">
      <c r="A88" s="288" t="s">
        <v>260</v>
      </c>
      <c r="B88" s="410">
        <v>52.5</v>
      </c>
      <c r="C88" s="409">
        <v>28.85</v>
      </c>
      <c r="D88" s="410">
        <v>14.4</v>
      </c>
      <c r="E88" s="411">
        <v>43.25</v>
      </c>
      <c r="F88" s="395"/>
      <c r="G88" s="395"/>
      <c r="H88" s="407">
        <f t="shared" si="0"/>
        <v>45.674999999999997</v>
      </c>
      <c r="I88" s="407">
        <f t="shared" si="1"/>
        <v>26.253500000000003</v>
      </c>
      <c r="J88" s="407">
        <f t="shared" si="2"/>
        <v>12.528</v>
      </c>
      <c r="K88" s="406">
        <f t="shared" si="3"/>
        <v>39.357500000000002</v>
      </c>
    </row>
    <row r="89" spans="1:17" ht="12.75" customHeight="1" thickBot="1">
      <c r="A89" s="352"/>
      <c r="B89" s="415">
        <v>56.3</v>
      </c>
      <c r="C89" s="412">
        <v>30.95</v>
      </c>
      <c r="D89" s="415">
        <v>15.45</v>
      </c>
      <c r="E89" s="408">
        <v>46.4</v>
      </c>
      <c r="F89" s="395"/>
      <c r="G89" s="395"/>
      <c r="H89" s="413">
        <f t="shared" si="0"/>
        <v>48.980999999999995</v>
      </c>
      <c r="I89" s="407">
        <f t="shared" si="1"/>
        <v>28.1645</v>
      </c>
      <c r="J89" s="413">
        <f t="shared" si="2"/>
        <v>13.4415</v>
      </c>
      <c r="K89" s="414">
        <f t="shared" si="3"/>
        <v>42.223999999999997</v>
      </c>
    </row>
    <row r="90" spans="1:17" ht="12.75" customHeight="1"/>
    <row r="91" spans="1:17" ht="15.95" customHeight="1">
      <c r="A91" s="3106" t="s">
        <v>384</v>
      </c>
      <c r="B91" s="3106"/>
      <c r="C91" s="3106"/>
      <c r="M91" s="3115" t="s">
        <v>261</v>
      </c>
      <c r="N91" s="3115"/>
      <c r="O91" s="3115"/>
      <c r="P91" s="3115"/>
      <c r="Q91" s="3115"/>
    </row>
    <row r="92" spans="1:17" ht="15.95" customHeight="1">
      <c r="A92" s="3106"/>
      <c r="B92" s="3106"/>
      <c r="C92" s="3106"/>
      <c r="M92" s="3115"/>
      <c r="N92" s="3115"/>
      <c r="O92" s="3115"/>
      <c r="P92" s="3115"/>
      <c r="Q92" s="3115"/>
    </row>
    <row r="93" spans="1:17" ht="16.5" customHeight="1">
      <c r="A93" s="353" t="s">
        <v>155</v>
      </c>
      <c r="B93" s="354" t="s">
        <v>482</v>
      </c>
      <c r="C93" s="355" t="s">
        <v>481</v>
      </c>
      <c r="M93" s="2758" t="s">
        <v>262</v>
      </c>
      <c r="N93" s="2758"/>
      <c r="O93" s="2758"/>
      <c r="P93" s="2758"/>
      <c r="Q93" s="2758"/>
    </row>
    <row r="94" spans="1:17" ht="16.5" customHeight="1">
      <c r="A94" s="893" t="s">
        <v>440</v>
      </c>
      <c r="B94" s="894"/>
      <c r="C94" s="895"/>
      <c r="M94" s="2758"/>
      <c r="N94" s="2758"/>
      <c r="O94" s="2758"/>
      <c r="P94" s="2758"/>
      <c r="Q94" s="2758"/>
    </row>
    <row r="95" spans="1:17" ht="16.5" customHeight="1">
      <c r="A95" s="903" t="s">
        <v>164</v>
      </c>
      <c r="B95" s="904"/>
      <c r="C95" s="905"/>
      <c r="M95" s="3117" t="s">
        <v>263</v>
      </c>
      <c r="N95" s="3117"/>
      <c r="O95" s="3117"/>
      <c r="P95" s="3117"/>
      <c r="Q95" s="3117"/>
    </row>
    <row r="96" spans="1:17" ht="16.5">
      <c r="A96" s="356" t="s">
        <v>165</v>
      </c>
      <c r="B96" s="357">
        <v>7.1</v>
      </c>
      <c r="C96" s="358">
        <v>10.9</v>
      </c>
      <c r="M96" s="3117"/>
      <c r="N96" s="3117"/>
      <c r="O96" s="3117"/>
      <c r="P96" s="3117"/>
      <c r="Q96" s="3117"/>
    </row>
    <row r="97" spans="1:17" ht="16.5">
      <c r="A97" s="356" t="s">
        <v>167</v>
      </c>
      <c r="B97" s="357">
        <v>13.5</v>
      </c>
      <c r="C97" s="358">
        <v>43.1</v>
      </c>
      <c r="M97" s="3116" t="s">
        <v>264</v>
      </c>
      <c r="N97" s="3116"/>
      <c r="O97" s="3116"/>
      <c r="P97" s="3116"/>
      <c r="Q97" s="3116"/>
    </row>
    <row r="98" spans="1:17" ht="16.5" customHeight="1">
      <c r="A98" s="356" t="s">
        <v>169</v>
      </c>
      <c r="B98" s="357">
        <v>19.600000000000001</v>
      </c>
      <c r="C98" s="358">
        <v>74.8</v>
      </c>
      <c r="M98" s="2832" t="s">
        <v>265</v>
      </c>
      <c r="N98" s="2832"/>
      <c r="O98" s="2832"/>
      <c r="P98" s="2832"/>
      <c r="Q98" s="2832"/>
    </row>
    <row r="99" spans="1:17" ht="16.5" customHeight="1">
      <c r="A99" s="903" t="s">
        <v>170</v>
      </c>
      <c r="B99" s="904"/>
      <c r="C99" s="905"/>
      <c r="M99" s="2832"/>
      <c r="N99" s="2832"/>
      <c r="O99" s="2832"/>
      <c r="P99" s="2832"/>
      <c r="Q99" s="2832"/>
    </row>
    <row r="100" spans="1:17" ht="16.5">
      <c r="A100" s="356" t="s">
        <v>171</v>
      </c>
      <c r="B100" s="357">
        <v>24.8</v>
      </c>
      <c r="C100" s="358">
        <v>84.9</v>
      </c>
      <c r="M100" s="2832"/>
      <c r="N100" s="2832"/>
      <c r="O100" s="2832"/>
      <c r="P100" s="2832"/>
      <c r="Q100" s="2832"/>
    </row>
    <row r="101" spans="1:17" ht="16.5">
      <c r="A101" s="356" t="s">
        <v>172</v>
      </c>
      <c r="B101" s="357">
        <v>25.5</v>
      </c>
      <c r="C101" s="358">
        <v>104.2</v>
      </c>
      <c r="M101" s="3116" t="s">
        <v>266</v>
      </c>
      <c r="N101" s="3116"/>
      <c r="O101" s="3116"/>
      <c r="P101" s="3116"/>
      <c r="Q101" s="3116"/>
    </row>
    <row r="102" spans="1:17" ht="16.5">
      <c r="A102" s="903" t="s">
        <v>173</v>
      </c>
      <c r="B102" s="904"/>
      <c r="C102" s="905"/>
      <c r="M102" s="3116" t="s">
        <v>267</v>
      </c>
      <c r="N102" s="3116"/>
      <c r="O102" s="3116"/>
      <c r="P102" s="3116"/>
      <c r="Q102" s="3116"/>
    </row>
    <row r="103" spans="1:17" ht="16.5">
      <c r="A103" s="356" t="s">
        <v>176</v>
      </c>
      <c r="B103" s="357">
        <v>28.2</v>
      </c>
      <c r="C103" s="358">
        <v>148.9</v>
      </c>
    </row>
    <row r="104" spans="1:17" ht="16.5">
      <c r="A104" s="356" t="s">
        <v>179</v>
      </c>
      <c r="B104" s="357">
        <v>32.799999999999997</v>
      </c>
      <c r="C104" s="358">
        <v>163.80000000000001</v>
      </c>
    </row>
    <row r="105" spans="1:17" ht="16.5">
      <c r="A105" s="356" t="s">
        <v>181</v>
      </c>
      <c r="B105" s="357">
        <v>37.4</v>
      </c>
      <c r="C105" s="358">
        <v>178.7</v>
      </c>
    </row>
    <row r="106" spans="1:17" ht="16.5">
      <c r="A106" s="356" t="s">
        <v>183</v>
      </c>
      <c r="B106" s="357">
        <v>41.9</v>
      </c>
      <c r="C106" s="358">
        <v>193.6</v>
      </c>
    </row>
    <row r="107" spans="1:17" ht="16.5">
      <c r="A107" s="356" t="s">
        <v>185</v>
      </c>
      <c r="B107" s="357">
        <v>46.5</v>
      </c>
      <c r="C107" s="358">
        <v>208.5</v>
      </c>
    </row>
    <row r="108" spans="1:17" ht="16.5">
      <c r="A108" s="356" t="s">
        <v>187</v>
      </c>
      <c r="B108" s="357">
        <v>51.1</v>
      </c>
      <c r="C108" s="358">
        <v>223.4</v>
      </c>
    </row>
    <row r="109" spans="1:17" ht="16.5">
      <c r="A109" s="903" t="s">
        <v>189</v>
      </c>
      <c r="B109" s="904"/>
      <c r="C109" s="905"/>
    </row>
    <row r="110" spans="1:17" ht="16.5">
      <c r="A110" s="356" t="s">
        <v>268</v>
      </c>
      <c r="B110" s="357">
        <v>19</v>
      </c>
      <c r="C110" s="358">
        <v>119.1</v>
      </c>
    </row>
    <row r="111" spans="1:17" ht="16.5">
      <c r="A111" s="356" t="s">
        <v>269</v>
      </c>
      <c r="B111" s="357">
        <v>23.6</v>
      </c>
      <c r="C111" s="358">
        <v>134</v>
      </c>
    </row>
    <row r="112" spans="1:17" ht="16.5">
      <c r="A112" s="893" t="s">
        <v>679</v>
      </c>
      <c r="B112" s="894"/>
      <c r="C112" s="895"/>
    </row>
    <row r="113" spans="1:3" ht="16.5">
      <c r="A113" s="903" t="s">
        <v>192</v>
      </c>
      <c r="B113" s="904"/>
      <c r="C113" s="905"/>
    </row>
    <row r="114" spans="1:3" ht="33">
      <c r="A114" s="359" t="s">
        <v>270</v>
      </c>
      <c r="B114" s="357">
        <v>2</v>
      </c>
      <c r="C114" s="358">
        <v>2.1</v>
      </c>
    </row>
    <row r="115" spans="1:3" ht="33">
      <c r="A115" s="359" t="s">
        <v>271</v>
      </c>
      <c r="B115" s="357">
        <v>1.4</v>
      </c>
      <c r="C115" s="358">
        <v>2.1</v>
      </c>
    </row>
    <row r="116" spans="1:3" ht="16.5">
      <c r="A116" s="903" t="s">
        <v>272</v>
      </c>
      <c r="B116" s="904"/>
      <c r="C116" s="905"/>
    </row>
    <row r="117" spans="1:3" ht="33">
      <c r="A117" s="359" t="s">
        <v>273</v>
      </c>
      <c r="B117" s="357">
        <v>4.4000000000000004</v>
      </c>
      <c r="C117" s="358">
        <v>5</v>
      </c>
    </row>
    <row r="118" spans="1:3" ht="33">
      <c r="A118" s="359" t="s">
        <v>274</v>
      </c>
      <c r="B118" s="357">
        <v>3.6</v>
      </c>
      <c r="C118" s="358">
        <v>5</v>
      </c>
    </row>
    <row r="119" spans="1:3" ht="16.5">
      <c r="A119" s="903" t="s">
        <v>205</v>
      </c>
      <c r="B119" s="904"/>
      <c r="C119" s="905"/>
    </row>
    <row r="120" spans="1:3" ht="16.5">
      <c r="A120" s="359" t="s">
        <v>275</v>
      </c>
      <c r="B120" s="357">
        <v>10.6</v>
      </c>
      <c r="C120" s="358">
        <v>6.8</v>
      </c>
    </row>
    <row r="121" spans="1:3" ht="16.5">
      <c r="A121" s="359" t="s">
        <v>276</v>
      </c>
      <c r="B121" s="357">
        <v>9</v>
      </c>
      <c r="C121" s="358">
        <v>6.8</v>
      </c>
    </row>
    <row r="122" spans="1:3" ht="16.5">
      <c r="A122" s="903" t="s">
        <v>208</v>
      </c>
      <c r="B122" s="904"/>
      <c r="C122" s="905"/>
    </row>
    <row r="123" spans="1:3" ht="16.5">
      <c r="A123" s="359" t="s">
        <v>277</v>
      </c>
      <c r="B123" s="357">
        <v>12.3</v>
      </c>
      <c r="C123" s="358">
        <v>6.8</v>
      </c>
    </row>
    <row r="124" spans="1:3" ht="16.5">
      <c r="A124" s="359" t="s">
        <v>278</v>
      </c>
      <c r="B124" s="357">
        <v>10.7</v>
      </c>
      <c r="C124" s="358">
        <v>6.8</v>
      </c>
    </row>
    <row r="125" spans="1:3" ht="20.25">
      <c r="A125" s="893" t="s">
        <v>746</v>
      </c>
      <c r="B125" s="896" t="s">
        <v>359</v>
      </c>
      <c r="C125" s="895"/>
    </row>
    <row r="126" spans="1:3" ht="16.5">
      <c r="A126" s="419" t="s">
        <v>330</v>
      </c>
      <c r="B126" s="417">
        <v>3.4000000000000002E-2</v>
      </c>
      <c r="C126" s="418">
        <v>0.06</v>
      </c>
    </row>
    <row r="127" spans="1:3" ht="16.5">
      <c r="A127" s="359" t="s">
        <v>279</v>
      </c>
      <c r="B127" s="357">
        <v>0.17</v>
      </c>
      <c r="C127" s="358">
        <v>0.13</v>
      </c>
    </row>
    <row r="128" spans="1:3" ht="16.5">
      <c r="A128" s="359" t="s">
        <v>213</v>
      </c>
      <c r="B128" s="357">
        <v>0.45</v>
      </c>
      <c r="C128" s="358">
        <v>0.33</v>
      </c>
    </row>
    <row r="129" spans="1:3" ht="16.5">
      <c r="A129" s="359" t="s">
        <v>280</v>
      </c>
      <c r="B129" s="357">
        <v>0.12</v>
      </c>
      <c r="C129" s="360">
        <v>0.1</v>
      </c>
    </row>
    <row r="130" spans="1:3" ht="16.5">
      <c r="A130" s="359" t="s">
        <v>759</v>
      </c>
      <c r="B130" s="357">
        <v>0.09</v>
      </c>
      <c r="C130" s="358">
        <v>7.0000000000000007E-2</v>
      </c>
    </row>
    <row r="131" spans="1:3" ht="16.5">
      <c r="A131" s="359" t="s">
        <v>761</v>
      </c>
      <c r="B131" s="357">
        <v>0.25</v>
      </c>
      <c r="C131" s="360">
        <v>0.2</v>
      </c>
    </row>
    <row r="132" spans="1:3" ht="16.5">
      <c r="A132" s="359" t="s">
        <v>762</v>
      </c>
      <c r="B132" s="357">
        <v>0.25</v>
      </c>
      <c r="C132" s="360">
        <v>0.2</v>
      </c>
    </row>
    <row r="133" spans="1:3" ht="16.5">
      <c r="A133" s="361" t="s">
        <v>215</v>
      </c>
      <c r="B133" s="362">
        <v>0.6</v>
      </c>
      <c r="C133" s="363">
        <v>0.48</v>
      </c>
    </row>
    <row r="134" spans="1:3" ht="32.25" customHeight="1">
      <c r="A134" s="3118" t="s">
        <v>358</v>
      </c>
      <c r="B134" s="3118"/>
      <c r="C134" s="3119"/>
    </row>
    <row r="135" spans="1:3" ht="19.5" customHeight="1">
      <c r="A135" s="897" t="s">
        <v>1178</v>
      </c>
      <c r="B135" s="898"/>
      <c r="C135" s="899"/>
    </row>
    <row r="136" spans="1:3" ht="16.5">
      <c r="A136" s="903" t="s">
        <v>281</v>
      </c>
      <c r="B136" s="904"/>
      <c r="C136" s="905"/>
    </row>
    <row r="137" spans="1:3" ht="16.5">
      <c r="A137" s="903" t="s">
        <v>282</v>
      </c>
      <c r="B137" s="904"/>
      <c r="C137" s="905"/>
    </row>
    <row r="138" spans="1:3" ht="16.5">
      <c r="A138" s="359" t="s">
        <v>219</v>
      </c>
      <c r="B138" s="357">
        <v>4.5</v>
      </c>
      <c r="C138" s="358">
        <v>8.9</v>
      </c>
    </row>
    <row r="139" spans="1:3" ht="16.5">
      <c r="A139" s="359" t="s">
        <v>220</v>
      </c>
      <c r="B139" s="357">
        <v>5.3</v>
      </c>
      <c r="C139" s="358">
        <v>10.5</v>
      </c>
    </row>
    <row r="140" spans="1:3" ht="16.5">
      <c r="A140" s="903" t="s">
        <v>283</v>
      </c>
      <c r="B140" s="904"/>
      <c r="C140" s="905"/>
    </row>
    <row r="141" spans="1:3" ht="16.5">
      <c r="A141" s="903" t="s">
        <v>284</v>
      </c>
      <c r="B141" s="904"/>
      <c r="C141" s="905"/>
    </row>
    <row r="142" spans="1:3" ht="16.5">
      <c r="A142" s="359" t="s">
        <v>219</v>
      </c>
      <c r="B142" s="357">
        <v>8.6999999999999993</v>
      </c>
      <c r="C142" s="358">
        <v>17.399999999999999</v>
      </c>
    </row>
    <row r="143" spans="1:3" ht="16.5">
      <c r="A143" s="356" t="s">
        <v>220</v>
      </c>
      <c r="B143" s="357">
        <v>10.3</v>
      </c>
      <c r="C143" s="358">
        <v>20.5</v>
      </c>
    </row>
    <row r="144" spans="1:3" ht="16.5">
      <c r="A144" s="903" t="s">
        <v>1178</v>
      </c>
      <c r="B144" s="904"/>
      <c r="C144" s="905"/>
    </row>
    <row r="145" spans="1:3" ht="16.5">
      <c r="A145" s="903" t="s">
        <v>285</v>
      </c>
      <c r="B145" s="904"/>
      <c r="C145" s="905"/>
    </row>
    <row r="146" spans="1:3" ht="16.5">
      <c r="A146" s="356" t="s">
        <v>219</v>
      </c>
      <c r="B146" s="357">
        <v>15.6</v>
      </c>
      <c r="C146" s="358">
        <v>31.2</v>
      </c>
    </row>
    <row r="147" spans="1:3" ht="16.5">
      <c r="A147" s="356" t="s">
        <v>220</v>
      </c>
      <c r="B147" s="357">
        <v>18.399999999999999</v>
      </c>
      <c r="C147" s="358">
        <v>36.799999999999997</v>
      </c>
    </row>
    <row r="148" spans="1:3" ht="16.5">
      <c r="A148" s="893" t="s">
        <v>225</v>
      </c>
      <c r="B148" s="894"/>
      <c r="C148" s="895"/>
    </row>
    <row r="149" spans="1:3" ht="16.5">
      <c r="A149" s="356" t="s">
        <v>227</v>
      </c>
      <c r="B149" s="357">
        <v>2</v>
      </c>
      <c r="C149" s="358">
        <v>4.4000000000000004</v>
      </c>
    </row>
    <row r="150" spans="1:3" ht="16.5">
      <c r="A150" s="356" t="s">
        <v>228</v>
      </c>
      <c r="B150" s="357">
        <v>3.6</v>
      </c>
      <c r="C150" s="358">
        <v>13.2</v>
      </c>
    </row>
    <row r="151" spans="1:3" ht="16.5">
      <c r="A151" s="356" t="s">
        <v>776</v>
      </c>
      <c r="B151" s="357">
        <v>4</v>
      </c>
      <c r="C151" s="358">
        <v>13.4</v>
      </c>
    </row>
    <row r="152" spans="1:3" ht="16.5">
      <c r="A152" s="893" t="s">
        <v>230</v>
      </c>
      <c r="B152" s="894"/>
      <c r="C152" s="895"/>
    </row>
    <row r="153" spans="1:3" ht="16.5">
      <c r="A153" s="356" t="s">
        <v>231</v>
      </c>
      <c r="B153" s="357">
        <v>2.2000000000000002</v>
      </c>
      <c r="C153" s="358">
        <v>4.5999999999999996</v>
      </c>
    </row>
    <row r="154" spans="1:3" ht="16.5">
      <c r="A154" s="356" t="s">
        <v>228</v>
      </c>
      <c r="B154" s="357">
        <v>3.7</v>
      </c>
      <c r="C154" s="358">
        <v>11.2</v>
      </c>
    </row>
    <row r="155" spans="1:3" ht="16.5">
      <c r="A155" s="356" t="s">
        <v>779</v>
      </c>
      <c r="B155" s="357">
        <v>4.5999999999999996</v>
      </c>
      <c r="C155" s="358">
        <v>12.1</v>
      </c>
    </row>
    <row r="156" spans="1:3" ht="16.5">
      <c r="B156" s="364"/>
      <c r="C156" s="364"/>
    </row>
    <row r="157" spans="1:3" ht="16.5">
      <c r="A157" s="893" t="s">
        <v>233</v>
      </c>
      <c r="B157" s="894"/>
      <c r="C157" s="895"/>
    </row>
    <row r="158" spans="1:3">
      <c r="A158" s="288" t="s">
        <v>234</v>
      </c>
      <c r="B158" s="45">
        <v>5.2</v>
      </c>
      <c r="C158" s="45">
        <v>23</v>
      </c>
    </row>
    <row r="159" spans="1:3">
      <c r="A159" s="288" t="s">
        <v>235</v>
      </c>
      <c r="B159" s="45">
        <v>3.7</v>
      </c>
      <c r="C159" s="45">
        <v>16.100000000000001</v>
      </c>
    </row>
    <row r="160" spans="1:3" ht="16.5">
      <c r="A160" s="893" t="s">
        <v>236</v>
      </c>
      <c r="B160" s="894"/>
      <c r="C160" s="895"/>
    </row>
    <row r="161" spans="1:3">
      <c r="A161" s="288" t="s">
        <v>234</v>
      </c>
      <c r="B161" s="45">
        <v>10.9</v>
      </c>
      <c r="C161" s="45">
        <v>47.5</v>
      </c>
    </row>
    <row r="162" spans="1:3">
      <c r="A162" s="288" t="s">
        <v>237</v>
      </c>
      <c r="B162" s="45">
        <v>8.8000000000000007</v>
      </c>
      <c r="C162" s="45">
        <v>38.6</v>
      </c>
    </row>
    <row r="163" spans="1:3" ht="16.5">
      <c r="A163" s="893" t="s">
        <v>238</v>
      </c>
      <c r="B163" s="894"/>
      <c r="C163" s="895"/>
    </row>
    <row r="164" spans="1:3">
      <c r="A164" s="288" t="s">
        <v>239</v>
      </c>
      <c r="B164" s="45">
        <v>1</v>
      </c>
      <c r="C164" s="45">
        <v>0.8</v>
      </c>
    </row>
    <row r="165" spans="1:3">
      <c r="A165" s="288" t="s">
        <v>241</v>
      </c>
      <c r="B165" s="45">
        <v>2.1</v>
      </c>
      <c r="C165" s="45">
        <v>1.6</v>
      </c>
    </row>
    <row r="166" spans="1:3" ht="16.5">
      <c r="A166" s="893" t="s">
        <v>242</v>
      </c>
      <c r="B166" s="894"/>
      <c r="C166" s="895"/>
    </row>
    <row r="167" spans="1:3">
      <c r="A167" s="288" t="s">
        <v>243</v>
      </c>
      <c r="B167" s="365">
        <v>1.0638000000000001</v>
      </c>
      <c r="C167" s="365">
        <v>1.0638000000000001</v>
      </c>
    </row>
    <row r="168" spans="1:3">
      <c r="A168" s="288" t="s">
        <v>244</v>
      </c>
      <c r="B168" s="365">
        <v>2.7312000000000003</v>
      </c>
      <c r="C168" s="365">
        <v>2.7312000000000003</v>
      </c>
    </row>
    <row r="169" spans="1:3">
      <c r="A169" s="288" t="s">
        <v>245</v>
      </c>
      <c r="B169" s="365">
        <v>3.5171999999999999</v>
      </c>
      <c r="C169" s="365">
        <v>3.5171999999999999</v>
      </c>
    </row>
    <row r="170" spans="1:3">
      <c r="A170" s="288" t="s">
        <v>246</v>
      </c>
      <c r="B170" s="365">
        <v>4.2012</v>
      </c>
      <c r="C170" s="365">
        <v>4.2012</v>
      </c>
    </row>
    <row r="171" spans="1:3" ht="16.5">
      <c r="A171" s="893" t="s">
        <v>247</v>
      </c>
      <c r="B171" s="894"/>
      <c r="C171" s="895"/>
    </row>
    <row r="172" spans="1:3">
      <c r="A172" s="288" t="s">
        <v>248</v>
      </c>
      <c r="B172" s="45">
        <v>3.55</v>
      </c>
      <c r="C172" s="45">
        <v>5.45</v>
      </c>
    </row>
    <row r="173" spans="1:3">
      <c r="A173" s="288" t="s">
        <v>249</v>
      </c>
      <c r="B173" s="45">
        <v>6.75</v>
      </c>
      <c r="C173" s="45">
        <v>21.55</v>
      </c>
    </row>
    <row r="174" spans="1:3">
      <c r="A174" s="288" t="s">
        <v>250</v>
      </c>
      <c r="B174" s="40">
        <v>9.8000000000000007</v>
      </c>
      <c r="C174" s="45">
        <v>37.4</v>
      </c>
    </row>
    <row r="175" spans="1:3">
      <c r="A175" s="288" t="s">
        <v>251</v>
      </c>
      <c r="B175" s="45">
        <v>12.4</v>
      </c>
      <c r="C175" s="45">
        <v>42.45</v>
      </c>
    </row>
    <row r="176" spans="1:3">
      <c r="A176" s="288" t="s">
        <v>252</v>
      </c>
      <c r="B176" s="45">
        <v>12.75</v>
      </c>
      <c r="C176" s="45">
        <v>52.1</v>
      </c>
    </row>
    <row r="177" spans="1:3">
      <c r="A177" s="288" t="s">
        <v>253</v>
      </c>
      <c r="B177" s="45">
        <v>9.5</v>
      </c>
      <c r="C177" s="45">
        <v>59.55</v>
      </c>
    </row>
    <row r="178" spans="1:3">
      <c r="A178" s="288" t="s">
        <v>255</v>
      </c>
      <c r="B178" s="45">
        <v>11.8</v>
      </c>
      <c r="C178" s="366">
        <v>67</v>
      </c>
    </row>
    <row r="179" spans="1:3">
      <c r="A179" s="288" t="s">
        <v>256</v>
      </c>
      <c r="B179" s="45">
        <v>14.1</v>
      </c>
      <c r="C179" s="45">
        <v>74.45</v>
      </c>
    </row>
    <row r="180" spans="1:3">
      <c r="A180" s="288" t="s">
        <v>257</v>
      </c>
      <c r="B180" s="45">
        <v>16.399999999999999</v>
      </c>
      <c r="C180" s="45">
        <v>81.900000000000006</v>
      </c>
    </row>
    <row r="181" spans="1:3">
      <c r="A181" s="288" t="s">
        <v>258</v>
      </c>
      <c r="B181" s="45">
        <v>18.7</v>
      </c>
      <c r="C181" s="45">
        <v>89.35</v>
      </c>
    </row>
    <row r="182" spans="1:3">
      <c r="A182" s="288" t="s">
        <v>259</v>
      </c>
      <c r="B182" s="45">
        <v>20.95</v>
      </c>
      <c r="C182" s="45">
        <v>96.8</v>
      </c>
    </row>
    <row r="183" spans="1:3">
      <c r="A183" s="288" t="s">
        <v>260</v>
      </c>
      <c r="B183" s="45">
        <v>23.25</v>
      </c>
      <c r="C183" s="45">
        <v>104.25</v>
      </c>
    </row>
  </sheetData>
  <sheetProtection password="CAEF" sheet="1" formatCells="0"/>
  <mergeCells count="17">
    <mergeCell ref="M102:Q102"/>
    <mergeCell ref="M95:Q96"/>
    <mergeCell ref="M93:Q94"/>
    <mergeCell ref="A134:C134"/>
    <mergeCell ref="M97:Q97"/>
    <mergeCell ref="M98:Q100"/>
    <mergeCell ref="M101:Q101"/>
    <mergeCell ref="A91:C92"/>
    <mergeCell ref="F7:G8"/>
    <mergeCell ref="H1:K1"/>
    <mergeCell ref="M1:Q1"/>
    <mergeCell ref="F2:G2"/>
    <mergeCell ref="F4:G5"/>
    <mergeCell ref="F11:G12"/>
    <mergeCell ref="F37:G37"/>
    <mergeCell ref="F53:G54"/>
    <mergeCell ref="M91:Q92"/>
  </mergeCells>
  <phoneticPr fontId="41" type="noConversion"/>
  <hyperlinks>
    <hyperlink ref="F1" location="Pfl_Schutz!A1" display="◄" xr:uid="{00000000-0004-0000-1600-000000000000}"/>
  </hyperlinks>
  <pageMargins left="0.39370078740157483" right="0.39370078740157483" top="0.47244094488188981" bottom="0.47244094488188981" header="0.15748031496062992" footer="0.31496062992125984"/>
  <pageSetup paperSize="9" scale="75" firstPageNumber="0"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rgb="FFFFFF00"/>
    <pageSetUpPr fitToPage="1"/>
  </sheetPr>
  <dimension ref="A1:KE848"/>
  <sheetViews>
    <sheetView showZeros="0" zoomScale="80" zoomScaleNormal="80" workbookViewId="0">
      <selection activeCell="C5" sqref="C5:D5"/>
    </sheetView>
  </sheetViews>
  <sheetFormatPr baseColWidth="10" defaultColWidth="12.7109375" defaultRowHeight="15"/>
  <cols>
    <col min="1" max="1" width="1.85546875" customWidth="1"/>
    <col min="2" max="2" width="12.7109375" hidden="1" customWidth="1"/>
    <col min="3" max="3" width="61" customWidth="1"/>
    <col min="4" max="4" width="14.42578125" customWidth="1"/>
    <col min="5" max="5" width="10.140625" customWidth="1"/>
    <col min="6" max="6" width="19" customWidth="1"/>
    <col min="7" max="7" width="13.28515625" customWidth="1"/>
    <col min="8" max="8" width="10.140625" customWidth="1"/>
    <col min="9" max="9" width="11.140625" customWidth="1"/>
    <col min="10" max="10" width="17" customWidth="1"/>
    <col min="11" max="12" width="11.140625" customWidth="1"/>
    <col min="13" max="15" width="10.140625" customWidth="1"/>
    <col min="16" max="16" width="19.5703125" customWidth="1"/>
    <col min="17" max="24" width="10.140625" customWidth="1"/>
    <col min="25" max="41" width="9.85546875" customWidth="1"/>
    <col min="42" max="42" width="15.85546875" hidden="1" customWidth="1"/>
    <col min="43" max="43" width="10.140625" style="156" hidden="1" customWidth="1"/>
    <col min="44" max="44" width="10.42578125" style="156" hidden="1" customWidth="1"/>
    <col min="45" max="45" width="13.28515625" style="156" hidden="1" customWidth="1"/>
    <col min="46" max="48" width="12.7109375" style="156" hidden="1" customWidth="1"/>
    <col min="49" max="49" width="53.28515625" style="156" hidden="1" customWidth="1"/>
    <col min="50" max="50" width="68.7109375" style="156" hidden="1" customWidth="1"/>
    <col min="51" max="51" width="9.42578125" style="156" hidden="1" customWidth="1"/>
    <col min="52" max="52" width="12.28515625" style="156" hidden="1" customWidth="1"/>
    <col min="53" max="53" width="22.140625" style="156" hidden="1" customWidth="1"/>
    <col min="54" max="54" width="9.42578125" style="156" hidden="1" customWidth="1"/>
    <col min="55" max="55" width="13.28515625" style="156" hidden="1" customWidth="1"/>
    <col min="56" max="56" width="15.140625" style="156" hidden="1" customWidth="1"/>
    <col min="57" max="58" width="9.42578125" style="156" hidden="1" customWidth="1"/>
    <col min="59" max="59" width="15.28515625" style="156" hidden="1" customWidth="1"/>
    <col min="60" max="61" width="9.42578125" style="156" hidden="1" customWidth="1"/>
    <col min="62" max="62" width="14.140625" style="156" hidden="1" customWidth="1"/>
    <col min="63" max="64" width="9.42578125" style="156" hidden="1" customWidth="1"/>
    <col min="65" max="65" width="16.5703125" style="156" hidden="1" customWidth="1"/>
    <col min="66" max="67" width="9.42578125" style="156" hidden="1" customWidth="1"/>
    <col min="68" max="68" width="7.42578125" style="156" hidden="1" customWidth="1"/>
    <col min="69" max="69" width="73.28515625" style="156" hidden="1" customWidth="1"/>
    <col min="70" max="72" width="9.7109375" style="156" hidden="1" customWidth="1"/>
    <col min="73" max="73" width="12.7109375" style="156" hidden="1" customWidth="1"/>
    <col min="74" max="74" width="64.5703125" style="156" hidden="1" customWidth="1"/>
    <col min="75" max="77" width="8.28515625" style="156" hidden="1" customWidth="1"/>
    <col min="78" max="78" width="9.140625" style="156" hidden="1" customWidth="1"/>
    <col min="79" max="79" width="8.85546875" style="156" hidden="1" customWidth="1"/>
    <col min="80" max="80" width="12.7109375" style="156" hidden="1" customWidth="1"/>
    <col min="81" max="81" width="18" style="156" hidden="1" customWidth="1"/>
    <col min="82" max="82" width="12.7109375" style="156" hidden="1" customWidth="1"/>
    <col min="83" max="83" width="28.5703125" style="156" hidden="1" customWidth="1"/>
    <col min="84" max="84" width="12.7109375" style="156" hidden="1" customWidth="1"/>
    <col min="85" max="85" width="14" style="156" hidden="1" customWidth="1"/>
    <col min="86" max="86" width="12.7109375" style="156" hidden="1" customWidth="1"/>
    <col min="87" max="87" width="15" style="156" hidden="1" customWidth="1"/>
    <col min="88" max="88" width="12.7109375" style="156" hidden="1" customWidth="1"/>
    <col min="89" max="89" width="15" style="156" hidden="1" customWidth="1"/>
    <col min="90" max="90" width="12.7109375" style="156" hidden="1" customWidth="1"/>
    <col min="91" max="91" width="15" style="156" hidden="1" customWidth="1"/>
    <col min="92" max="92" width="12.7109375" style="156" hidden="1" customWidth="1"/>
    <col min="93" max="93" width="15" style="156" hidden="1" customWidth="1"/>
    <col min="94" max="94" width="12.7109375" style="156" hidden="1" customWidth="1"/>
    <col min="95" max="95" width="15" style="156" hidden="1" customWidth="1"/>
    <col min="96" max="96" width="12.7109375" style="156" hidden="1" customWidth="1"/>
    <col min="97" max="97" width="15" style="156" hidden="1" customWidth="1"/>
    <col min="98" max="98" width="12.7109375" style="156" hidden="1" customWidth="1"/>
    <col min="99" max="99" width="15" style="156" hidden="1" customWidth="1"/>
    <col min="100" max="100" width="12.7109375" style="156" hidden="1" customWidth="1"/>
    <col min="101" max="101" width="15" style="156" hidden="1" customWidth="1"/>
    <col min="102" max="102" width="12.7109375" style="156" hidden="1" customWidth="1"/>
    <col min="103" max="103" width="16" style="156" hidden="1" customWidth="1"/>
    <col min="104" max="104" width="12.7109375" style="156" hidden="1" customWidth="1"/>
    <col min="105" max="105" width="16" style="156" hidden="1" customWidth="1"/>
    <col min="106" max="106" width="12.7109375" style="156" hidden="1" customWidth="1"/>
    <col min="107" max="107" width="16" style="156" hidden="1" customWidth="1"/>
    <col min="108" max="108" width="12.7109375" style="156" hidden="1" customWidth="1"/>
    <col min="109" max="109" width="16" style="156" hidden="1" customWidth="1"/>
    <col min="110" max="135" width="12.7109375" style="156" hidden="1" customWidth="1"/>
    <col min="136" max="136" width="37.28515625" style="156" hidden="1" customWidth="1"/>
    <col min="137" max="137" width="38.5703125" style="156" hidden="1" customWidth="1"/>
    <col min="138" max="138" width="19.85546875" style="156" hidden="1" customWidth="1"/>
    <col min="139" max="147" width="12.7109375" style="156" hidden="1" customWidth="1"/>
    <col min="148" max="148" width="15.5703125" style="156" hidden="1" customWidth="1"/>
    <col min="149" max="150" width="12.7109375" style="768" hidden="1" customWidth="1"/>
    <col min="151" max="151" width="44.28515625" style="768" hidden="1" customWidth="1"/>
    <col min="152" max="153" width="12.7109375" style="768" customWidth="1"/>
    <col min="154" max="16384" width="12.7109375" style="156"/>
  </cols>
  <sheetData>
    <row r="1" spans="1:291" ht="25.7" customHeight="1" thickBot="1">
      <c r="C1" s="2522" t="s">
        <v>1225</v>
      </c>
      <c r="D1" s="2522"/>
      <c r="E1" s="2522"/>
      <c r="F1" s="2522"/>
      <c r="G1" s="2522"/>
      <c r="H1" s="2522"/>
      <c r="I1" s="2522"/>
      <c r="J1" s="2522"/>
      <c r="K1" s="1040"/>
      <c r="L1" s="1040"/>
      <c r="M1" s="2524" t="s">
        <v>891</v>
      </c>
      <c r="N1" s="2525"/>
      <c r="O1" s="2526" t="s">
        <v>867</v>
      </c>
      <c r="P1" s="2526"/>
      <c r="Q1" s="1040"/>
      <c r="R1" s="1040"/>
      <c r="S1" s="1040"/>
      <c r="T1" s="770"/>
      <c r="U1" s="1040"/>
      <c r="V1" s="1040"/>
      <c r="W1" s="1040"/>
      <c r="X1" s="1040"/>
      <c r="Y1" s="768"/>
      <c r="Z1" s="768"/>
      <c r="AA1" s="768"/>
      <c r="AB1" s="768"/>
      <c r="AC1" s="768"/>
      <c r="AD1" s="768"/>
      <c r="AE1" s="768"/>
      <c r="AF1" s="768"/>
      <c r="AG1" s="768"/>
      <c r="AH1" s="768"/>
      <c r="AI1" s="768"/>
      <c r="AJ1" s="768"/>
      <c r="AK1" s="768"/>
      <c r="AL1" s="768"/>
      <c r="AM1" s="768"/>
      <c r="AN1" s="768"/>
      <c r="AO1" s="768"/>
      <c r="AP1" s="768"/>
      <c r="AQ1" s="1018"/>
      <c r="BP1" s="468"/>
      <c r="BQ1" s="469" t="s">
        <v>1226</v>
      </c>
      <c r="BR1" s="468"/>
      <c r="BS1" s="468"/>
      <c r="BT1" s="468"/>
      <c r="BV1" s="469" t="s">
        <v>1227</v>
      </c>
      <c r="CB1"/>
      <c r="CC1" t="s">
        <v>1679</v>
      </c>
      <c r="CD1"/>
      <c r="CE1" s="1831" t="s">
        <v>1604</v>
      </c>
      <c r="CF1" s="1832" t="s">
        <v>1607</v>
      </c>
      <c r="CG1" s="1832" t="s">
        <v>1605</v>
      </c>
      <c r="CH1" s="1832" t="s">
        <v>1608</v>
      </c>
      <c r="CI1" s="1832" t="s">
        <v>1620</v>
      </c>
      <c r="CJ1" s="1832" t="s">
        <v>1609</v>
      </c>
      <c r="CK1" s="1832" t="s">
        <v>1621</v>
      </c>
      <c r="CL1" s="1832" t="s">
        <v>1610</v>
      </c>
      <c r="CM1" s="1832" t="s">
        <v>1622</v>
      </c>
      <c r="CN1" s="1832" t="s">
        <v>1611</v>
      </c>
      <c r="CO1" s="1832" t="s">
        <v>1623</v>
      </c>
      <c r="CP1" s="1832" t="s">
        <v>1612</v>
      </c>
      <c r="CQ1" s="1832" t="s">
        <v>1624</v>
      </c>
      <c r="CR1" s="1832" t="s">
        <v>1613</v>
      </c>
      <c r="CS1" s="1832" t="s">
        <v>1625</v>
      </c>
      <c r="CT1" s="1832" t="s">
        <v>1614</v>
      </c>
      <c r="CU1" s="1832" t="s">
        <v>1626</v>
      </c>
      <c r="CV1" s="1832" t="s">
        <v>1615</v>
      </c>
      <c r="CW1" s="1832" t="s">
        <v>1627</v>
      </c>
      <c r="CX1" s="1832" t="s">
        <v>1616</v>
      </c>
      <c r="CY1" s="1832" t="s">
        <v>1628</v>
      </c>
      <c r="CZ1" s="1832" t="s">
        <v>1617</v>
      </c>
      <c r="DA1" s="1832" t="s">
        <v>1629</v>
      </c>
      <c r="DB1" s="1832" t="s">
        <v>1618</v>
      </c>
      <c r="DC1" s="1832" t="s">
        <v>1630</v>
      </c>
      <c r="DD1" s="1832" t="s">
        <v>1619</v>
      </c>
      <c r="DE1" s="1832" t="s">
        <v>1631</v>
      </c>
      <c r="DF1" s="2354" t="s">
        <v>2399</v>
      </c>
      <c r="DG1" s="2354" t="s">
        <v>1638</v>
      </c>
      <c r="DH1" s="1831" t="s">
        <v>2400</v>
      </c>
      <c r="DI1" s="1831" t="s">
        <v>1639</v>
      </c>
      <c r="DJ1" s="1831" t="s">
        <v>1632</v>
      </c>
      <c r="DK1" s="1831" t="s">
        <v>2945</v>
      </c>
      <c r="DL1" s="1831" t="s">
        <v>1633</v>
      </c>
      <c r="DM1" s="1831" t="s">
        <v>2946</v>
      </c>
      <c r="DN1" s="1831" t="s">
        <v>1634</v>
      </c>
      <c r="DO1" s="1831" t="s">
        <v>2948</v>
      </c>
      <c r="DP1" s="1831" t="s">
        <v>1635</v>
      </c>
      <c r="DQ1" s="1831" t="s">
        <v>2947</v>
      </c>
      <c r="DR1" s="1831" t="s">
        <v>1636</v>
      </c>
      <c r="DS1" s="1831" t="s">
        <v>2949</v>
      </c>
      <c r="DT1" s="1831" t="s">
        <v>1637</v>
      </c>
      <c r="DU1" s="1831" t="s">
        <v>2950</v>
      </c>
      <c r="DV1" s="1831" t="s">
        <v>2952</v>
      </c>
      <c r="DW1" s="1831" t="s">
        <v>2951</v>
      </c>
      <c r="DX1" s="1831" t="s">
        <v>2953</v>
      </c>
      <c r="DY1" s="1831" t="s">
        <v>2954</v>
      </c>
      <c r="DZ1" s="1831" t="s">
        <v>2955</v>
      </c>
      <c r="EA1" s="1831" t="s">
        <v>2956</v>
      </c>
      <c r="EB1" s="1831" t="s">
        <v>2957</v>
      </c>
      <c r="EC1" s="1831" t="s">
        <v>2958</v>
      </c>
      <c r="ED1"/>
      <c r="EE1"/>
      <c r="EF1" t="s">
        <v>1276</v>
      </c>
      <c r="EG1" t="s">
        <v>2961</v>
      </c>
      <c r="EH1" t="s">
        <v>1605</v>
      </c>
      <c r="EI1" t="s">
        <v>2962</v>
      </c>
      <c r="EJ1" t="s">
        <v>1620</v>
      </c>
      <c r="EK1" t="s">
        <v>2963</v>
      </c>
      <c r="EL1" t="s">
        <v>1621</v>
      </c>
      <c r="EM1" t="s">
        <v>2964</v>
      </c>
      <c r="EN1" t="s">
        <v>1622</v>
      </c>
      <c r="EO1" t="s">
        <v>2965</v>
      </c>
      <c r="EP1" t="s">
        <v>1623</v>
      </c>
      <c r="EQ1" t="s">
        <v>2966</v>
      </c>
      <c r="ER1" t="s">
        <v>1624</v>
      </c>
      <c r="EU1" s="431" t="s">
        <v>2360</v>
      </c>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row>
    <row r="2" spans="1:291" ht="23.25" customHeight="1" thickTop="1" thickBot="1">
      <c r="C2" s="2522"/>
      <c r="D2" s="2522"/>
      <c r="E2" s="2522"/>
      <c r="F2" s="2522"/>
      <c r="G2" s="2522"/>
      <c r="H2" s="2522"/>
      <c r="I2" s="2522"/>
      <c r="J2" s="2522"/>
      <c r="K2" s="1040"/>
      <c r="L2" s="1040"/>
      <c r="M2" s="1040"/>
      <c r="N2" s="2537" t="s">
        <v>1229</v>
      </c>
      <c r="O2" s="2538"/>
      <c r="P2" s="2538"/>
      <c r="Q2" s="2538"/>
      <c r="R2" s="2538"/>
      <c r="S2" s="2539"/>
      <c r="T2" s="770"/>
      <c r="U2" s="1040"/>
      <c r="V2" s="1040"/>
      <c r="W2" s="1040"/>
      <c r="X2" s="1040"/>
      <c r="Y2" s="768"/>
      <c r="Z2" s="768"/>
      <c r="AA2" s="768"/>
      <c r="AB2" s="768"/>
      <c r="AC2" s="768"/>
      <c r="AD2" s="768"/>
      <c r="AE2" s="768"/>
      <c r="AF2" s="768"/>
      <c r="AG2" s="768"/>
      <c r="AH2" s="768"/>
      <c r="AI2" s="768"/>
      <c r="AJ2" s="768"/>
      <c r="AK2" s="768"/>
      <c r="AL2" s="768"/>
      <c r="AM2" s="768"/>
      <c r="AN2" s="768"/>
      <c r="AO2" s="768"/>
      <c r="AP2" s="768"/>
      <c r="AQ2" s="1018"/>
      <c r="AS2" s="2540"/>
      <c r="AT2" s="2540"/>
      <c r="AU2" s="2540"/>
      <c r="AV2" s="2540"/>
      <c r="AW2" s="1"/>
      <c r="AX2" s="1034" t="s">
        <v>1230</v>
      </c>
      <c r="AY2" s="1034" t="s">
        <v>1231</v>
      </c>
      <c r="AZ2" s="1034"/>
      <c r="BA2" s="1034"/>
      <c r="BB2" s="1035"/>
      <c r="BC2" s="1035"/>
      <c r="BD2" s="1035"/>
      <c r="BE2" s="1035"/>
      <c r="BF2" s="1035"/>
      <c r="BG2" s="1035"/>
      <c r="BH2" s="1035"/>
      <c r="BI2" s="1035"/>
      <c r="BJ2" s="1035"/>
      <c r="BK2" s="1035"/>
      <c r="BL2" s="1035"/>
      <c r="BM2" s="1035"/>
      <c r="BN2" s="1035"/>
      <c r="BO2" s="1035"/>
      <c r="BP2" s="1035"/>
      <c r="BQ2" s="1035"/>
      <c r="BR2" s="1035" t="s">
        <v>1232</v>
      </c>
      <c r="BS2" s="1035"/>
      <c r="CB2"/>
      <c r="CC2" s="1657" t="s">
        <v>1680</v>
      </c>
      <c r="CD2"/>
      <c r="CE2" s="1833" t="s">
        <v>2375</v>
      </c>
      <c r="CF2" s="1834" t="str">
        <f>IFERROR(INDEX(N_Bedarf!$CE$2:$CE$141,_xlfn.AGGREGATE(15,6,(ROW(N_Bedarf!$CE$2:$CE$141)-1)/(--(SEARCH(CG$2,N_Bedarf!$CE$2:$CE$141)&gt;0)),ROW()-2),1),"")</f>
        <v/>
      </c>
      <c r="CG2" s="1834" t="str">
        <f>IF(N_Bedarf!$C5="","",IF(COUNTIF(N_Bedarf!$CE$2:$CE$141,N_Bedarf!$C5),"",N_Bedarf!$C5))</f>
        <v/>
      </c>
      <c r="CH2" s="1834" t="str">
        <f>IFERROR(INDEX(N_Bedarf!$CE$2:$CE$141,_xlfn.AGGREGATE(15,6,(ROW(N_Bedarf!$CE$2:$CE$141)-1)/(--(SEARCH(CI$2,N_Bedarf!$CE$2:$CE$141)&gt;0)),ROW()-2),1),"")</f>
        <v/>
      </c>
      <c r="CI2" s="1834" t="str">
        <f>IF(N_Bedarf!$C6="","",IF(COUNTIF(N_Bedarf!$CE$2:$CE$141,N_Bedarf!$C6),"",N_Bedarf!$C6))</f>
        <v/>
      </c>
      <c r="CJ2" s="1834" t="str">
        <f>IFERROR(INDEX(N_Bedarf!$CE$2:$CE$141,_xlfn.AGGREGATE(15,6,(ROW(N_Bedarf!$CE$2:$CE$141)-1)/(--(SEARCH(CK$2,N_Bedarf!$CE$2:$CE$141)&gt;0)),ROW()-2),1),"")</f>
        <v/>
      </c>
      <c r="CK2" s="1834" t="str">
        <f>IF(N_Bedarf!$C7="","",IF(COUNTIF(N_Bedarf!$CE$2:$CE$141,N_Bedarf!$C7),"",N_Bedarf!$C7))</f>
        <v/>
      </c>
      <c r="CL2" s="1834" t="str">
        <f>IFERROR(INDEX(N_Bedarf!$CE$2:$CE$141,_xlfn.AGGREGATE(15,6,(ROW(N_Bedarf!$CE$2:$CE$141)-1)/(--(SEARCH(CM$2,N_Bedarf!$CE$2:$CE$141)&gt;0)),ROW()-2),1),"")</f>
        <v/>
      </c>
      <c r="CM2" s="1834" t="str">
        <f>IF(N_Bedarf!$C8="","",IF(COUNTIF(N_Bedarf!$CE$2:$CE$141,N_Bedarf!$C8),"",N_Bedarf!$C8))</f>
        <v/>
      </c>
      <c r="CN2" s="1834" t="str">
        <f>IFERROR(INDEX(N_Bedarf!$CE$2:$CE$141,_xlfn.AGGREGATE(15,6,(ROW(N_Bedarf!$CE$2:$CE$141)-1)/(--(SEARCH(CO$2,N_Bedarf!$CE$2:$CE$141)&gt;0)),ROW()-2),1),"")</f>
        <v/>
      </c>
      <c r="CO2" s="1834" t="str">
        <f>IF(N_Bedarf!$C9="","",IF(COUNTIF(N_Bedarf!$CE$2:$CE$141,N_Bedarf!$C9),"",N_Bedarf!$C9))</f>
        <v/>
      </c>
      <c r="CP2" s="1834" t="str">
        <f>IFERROR(INDEX(N_Bedarf!$CE$2:$CE$141,_xlfn.AGGREGATE(15,6,(ROW(N_Bedarf!$CE$2:$CE$141)-1)/(--(SEARCH(CQ$2,N_Bedarf!$CE$2:$CE$141)&gt;0)),ROW()-2),1),"")</f>
        <v/>
      </c>
      <c r="CQ2" s="1834" t="str">
        <f>IF(N_Bedarf!$C10="","",IF(COUNTIF(N_Bedarf!$CE$2:$CE$141,N_Bedarf!$C10),"",N_Bedarf!$C10))</f>
        <v/>
      </c>
      <c r="CR2" s="1834" t="str">
        <f>IFERROR(INDEX(N_Bedarf!$CE$2:$CE$141,_xlfn.AGGREGATE(15,6,(ROW(N_Bedarf!$CE$2:$CE$141)-1)/(--(SEARCH(CS$2,N_Bedarf!$CE$2:$CE$141)&gt;0)),ROW()-2),1),"")</f>
        <v/>
      </c>
      <c r="CS2" s="1834" t="str">
        <f>IF(N_Bedarf!$C11="","",IF(COUNTIF(N_Bedarf!$CE$2:$CE$141,N_Bedarf!$C11),"",N_Bedarf!$C11))</f>
        <v/>
      </c>
      <c r="CT2" s="1834" t="str">
        <f>IFERROR(INDEX(N_Bedarf!$CE$2:$CE$141,_xlfn.AGGREGATE(15,6,(ROW(N_Bedarf!$CE$2:$CE$141)-1)/(--(SEARCH(CU$2,N_Bedarf!$CE$2:$CE$141)&gt;0)),ROW()-2),1),"")</f>
        <v/>
      </c>
      <c r="CU2" s="1834" t="str">
        <f>IF(N_Bedarf!$C12="","",IF(COUNTIF(N_Bedarf!$CE$2:$CE$141,N_Bedarf!$C12),"",N_Bedarf!$C12))</f>
        <v/>
      </c>
      <c r="CV2" s="1834" t="str">
        <f>IFERROR(INDEX(N_Bedarf!$CE$2:$CE$141,_xlfn.AGGREGATE(15,6,(ROW(N_Bedarf!$CE$2:$CE$141)-1)/(--(SEARCH(CW$2,N_Bedarf!$CE$2:$CE$141)&gt;0)),ROW()-2),1),"")</f>
        <v/>
      </c>
      <c r="CW2" s="1834" t="str">
        <f>IF(N_Bedarf!$C13="","",IF(COUNTIF(N_Bedarf!$CE$2:$CE$141,N_Bedarf!$C13),"",N_Bedarf!$C13))</f>
        <v/>
      </c>
      <c r="CX2" s="1834" t="str">
        <f>IFERROR(INDEX(N_Bedarf!$CE$2:$CE$141,_xlfn.AGGREGATE(15,6,(ROW(N_Bedarf!$CE$2:$CE$141)-1)/(--(SEARCH(CY$2,N_Bedarf!$CE$2:$CE$141)&gt;0)),ROW()-2),1),"")</f>
        <v/>
      </c>
      <c r="CY2" s="1834" t="str">
        <f>IF(N_Bedarf!$C14="","",IF(COUNTIF(N_Bedarf!$CE$2:$CE$141,N_Bedarf!$C14),"",N_Bedarf!$C14))</f>
        <v/>
      </c>
      <c r="CZ2" s="1834" t="str">
        <f>IFERROR(INDEX(N_Bedarf!$CE$2:$CE$141,_xlfn.AGGREGATE(15,6,(ROW(N_Bedarf!$CE$2:$CE$141)-1)/(--(SEARCH(DA$2,N_Bedarf!$CE$2:$CE$141)&gt;0)),ROW()-2),1),"")</f>
        <v/>
      </c>
      <c r="DA2" s="1834" t="str">
        <f>IF(N_Bedarf!$C15="","",IF(COUNTIF(N_Bedarf!$CE$2:$CE$141,N_Bedarf!$C15),"",N_Bedarf!$C15))</f>
        <v/>
      </c>
      <c r="DB2" s="1834" t="str">
        <f>IFERROR(INDEX(N_Bedarf!$CE$2:$CE$141,_xlfn.AGGREGATE(15,6,(ROW(N_Bedarf!$CE$2:$CE$141)-1)/(--(SEARCH(DC$2,N_Bedarf!$CE$2:$CE$141)&gt;0)),ROW()-2),1),"")</f>
        <v/>
      </c>
      <c r="DC2" s="1834" t="str">
        <f>IF(N_Bedarf!$C16="","",IF(COUNTIF(N_Bedarf!$CE$2:$CE$141,N_Bedarf!$C16),"",N_Bedarf!$C16))</f>
        <v/>
      </c>
      <c r="DD2" s="1834" t="str">
        <f>IFERROR(INDEX(N_Bedarf!$CE$2:$CE$141,_xlfn.AGGREGATE(15,6,(ROW(N_Bedarf!$CE$2:$CE$141)-1)/(--(SEARCH(DE$2,N_Bedarf!$CE$2:$CE$141)&gt;0)),ROW()-2),1),"")</f>
        <v/>
      </c>
      <c r="DE2" s="1834" t="str">
        <f>IF(N_Bedarf!$C17="","",IF(COUNTIF(N_Bedarf!$CE$2:$CE$141,N_Bedarf!$C17),"",N_Bedarf!$C17))</f>
        <v/>
      </c>
      <c r="DF2" s="2353" t="str">
        <f t="array" ref="DF2">IFERROR(INDEX(N_Bedarf!$CE$2:$CE$141,_xlfn.AGGREGATE(15,6,(ROW(N_Bedarf!$CE$2:$CE$141)-1)/(--(SEARCH(DG$2,N_Bedarf!$CE$2:$CE$141)&gt;0)),ROW()-2),1),"")</f>
        <v/>
      </c>
      <c r="DG2" s="2353" t="str">
        <f>IF(N_Bedarf!$C18="","",IF(COUNTIF(N_Bedarf!$CE$2:$CE$141,N_Bedarf!$C18),"",N_Bedarf!$C18))</f>
        <v/>
      </c>
      <c r="DH2" s="2355" t="str">
        <f t="array" ref="DH2">IFERROR(INDEX(N_Bedarf!$CE$2:$CE$141,_xlfn.AGGREGATE(15,6,(ROW(N_Bedarf!$CE$2:$CE$141)-1)/(--(SEARCH(DI$2,N_Bedarf!$CE$2:$CE$141)&gt;0)),ROW()-2),1),"")</f>
        <v/>
      </c>
      <c r="DI2" s="2355" t="str">
        <f>IF(N_Bedarf!$C19="","",IF(COUNTIF(N_Bedarf!$CE$2:$CE$141,N_Bedarf!$C19),"",N_Bedarf!$C19))</f>
        <v/>
      </c>
      <c r="DJ2" s="2356" t="str">
        <f t="array" ref="DJ2">IFERROR(INDEX(N_Bedarf!$CE$2:$CE$141,_xlfn.AGGREGATE(15,6,(ROW(N_Bedarf!$CE$2:$CE$141)-1)/(--(SEARCH(DK$2,N_Bedarf!$CE$2:$CE$141)&gt;0)),ROW()-2),1),"")</f>
        <v/>
      </c>
      <c r="DK2" s="2356" t="str">
        <f>IF(N_Bedarf!$C20="","",IF(COUNTIF(N_Bedarf!$CE$2:$CE$141,N_Bedarf!$C20),"",N_Bedarf!$C20))</f>
        <v/>
      </c>
      <c r="DL2" s="2356" t="str">
        <f t="array" ref="DL2">IFERROR(INDEX(N_Bedarf!$CE$2:$CE$141,_xlfn.AGGREGATE(15,6,(ROW(N_Bedarf!$CE$2:$CE$141)-1)/(--(SEARCH(DM$2,N_Bedarf!$CE$2:$CE$141)&gt;0)),ROW()-2),1),"")</f>
        <v/>
      </c>
      <c r="DM2" s="2356" t="str">
        <f>IF(N_Bedarf!$C21="","",IF(COUNTIF(N_Bedarf!$CE$2:$CE$141,N_Bedarf!$C21),"",N_Bedarf!$C21))</f>
        <v/>
      </c>
      <c r="DN2" s="2356" t="str">
        <f t="array" ref="DN2">IFERROR(INDEX(N_Bedarf!$CE$2:$CE$141,_xlfn.AGGREGATE(15,6,(ROW(N_Bedarf!$CE$2:$CE$141)-1)/(--(SEARCH(DO$2,N_Bedarf!$CE$2:$CE$141)&gt;0)),ROW()-2),1),"")</f>
        <v/>
      </c>
      <c r="DO2" s="2356" t="str">
        <f>IF(N_Bedarf!$C22="","",IF(COUNTIF(N_Bedarf!$CE$2:$CE$141,N_Bedarf!$C22),"",N_Bedarf!$C22))</f>
        <v/>
      </c>
      <c r="DP2" s="2356" t="str">
        <f t="array" ref="DP2">IFERROR(INDEX(N_Bedarf!$CE$2:$CE$141,_xlfn.AGGREGATE(15,6,(ROW(N_Bedarf!$CE$2:$CE$141)-1)/(--(SEARCH(DQ$2,N_Bedarf!$CE$2:$CE$141)&gt;0)),ROW()-2),1),"")</f>
        <v/>
      </c>
      <c r="DQ2" s="2356" t="str">
        <f>IF(N_Bedarf!$C23="","",IF(COUNTIF(N_Bedarf!$CE$2:$CE$141,N_Bedarf!$C23),"",N_Bedarf!$C23))</f>
        <v/>
      </c>
      <c r="DR2" s="2356" t="str">
        <f t="array" ref="DR2">IFERROR(INDEX(N_Bedarf!$CE$2:$CE$141,_xlfn.AGGREGATE(15,6,(ROW(N_Bedarf!$CE$2:$CE$141)-1)/(--(SEARCH(DS$2,N_Bedarf!$CE$2:$CE$141)&gt;0)),ROW()-2),1),"")</f>
        <v/>
      </c>
      <c r="DS2" s="2356" t="str">
        <f>IF(N_Bedarf!$C24="","",IF(COUNTIF(N_Bedarf!$CE$2:$CE$141,N_Bedarf!$C24),"",N_Bedarf!$C24))</f>
        <v/>
      </c>
      <c r="DT2" s="2356" t="str">
        <f t="array" ref="DT2">IFERROR(INDEX(N_Bedarf!$CE$2:$CE$141,_xlfn.AGGREGATE(15,6,(ROW(N_Bedarf!$CE$2:$CE$141)-1)/(--(SEARCH(DU$2,N_Bedarf!$CE$2:$CE$141)&gt;0)),ROW()-2),1),"")</f>
        <v/>
      </c>
      <c r="DU2" s="2356" t="str">
        <f>IF(N_Bedarf!$C25="","",IF(COUNTIF(N_Bedarf!$CE$2:$CE$141,N_Bedarf!$C25),"",N_Bedarf!$C25))</f>
        <v/>
      </c>
      <c r="DV2" s="2356" t="str">
        <f t="array" ref="DV2">IFERROR(INDEX(N_Bedarf!$CE$2:$CE$141,_xlfn.AGGREGATE(15,6,(ROW(N_Bedarf!$CE$2:$CE$141)-1)/(--(SEARCH(DW$2,N_Bedarf!$CE$2:$CE$141)&gt;0)),ROW()-2),1),"")</f>
        <v/>
      </c>
      <c r="DW2" s="2356" t="str">
        <f>IF(N_Bedarf!$C26="","",IF(COUNTIF(N_Bedarf!$CE$2:$CE$141,N_Bedarf!$C26),"",N_Bedarf!$C26))</f>
        <v/>
      </c>
      <c r="DX2" s="2356" t="str">
        <f t="array" ref="DX2">IFERROR(INDEX(N_Bedarf!$CE$2:$CE$141,_xlfn.AGGREGATE(15,6,(ROW(N_Bedarf!$CE$2:$CE$141)-1)/(--(SEARCH(DY$2,N_Bedarf!$CE$2:$CE$141)&gt;0)),ROW()-2),1),"")</f>
        <v/>
      </c>
      <c r="DY2" s="2356" t="str">
        <f>IF(N_Bedarf!$C27="","",IF(COUNTIF(N_Bedarf!$CE$2:$CE$141,N_Bedarf!$C27),"",N_Bedarf!$C27))</f>
        <v/>
      </c>
      <c r="DZ2" s="2356" t="str">
        <f t="array" ref="DZ2">IFERROR(INDEX(N_Bedarf!$CE$2:$CE$141,_xlfn.AGGREGATE(15,6,(ROW(N_Bedarf!$CE$2:$CE$141)-1)/(--(SEARCH(EA$2,N_Bedarf!$CE$2:$CE$141)&gt;0)),ROW()-2),1),"")</f>
        <v/>
      </c>
      <c r="EA2" s="2356" t="str">
        <f>IF(N_Bedarf!$C28="","",IF(COUNTIF(N_Bedarf!$CE$2:$CE$141,N_Bedarf!$C28),"",N_Bedarf!$C28))</f>
        <v/>
      </c>
      <c r="EB2" s="2356" t="str">
        <f t="array" ref="EB2">IFERROR(INDEX(N_Bedarf!$CE$2:$CE$141,_xlfn.AGGREGATE(15,6,(ROW(N_Bedarf!$CE$2:$CE$141)-1)/(--(SEARCH(EC$2,N_Bedarf!$CE$2:$CE$141)&gt;0)),ROW()-2),1),"")</f>
        <v/>
      </c>
      <c r="EC2" s="2365" t="str">
        <f>IF(N_Bedarf!$C29="","",IF(COUNTIF(N_Bedarf!$CE$2:$CE$142,N_Bedarf!$C29),"",N_Bedarf!$C29))</f>
        <v/>
      </c>
      <c r="ED2"/>
      <c r="EE2"/>
      <c r="EF2" s="1671" t="s">
        <v>2001</v>
      </c>
      <c r="EG2" t="str">
        <f>IFERROR(INDEX(Liste_Grünland_DropDown[Grünland],_xlfn.AGGREGATE(15,6,(ROW(Liste_Grünland_DropDown[Grünland])-1)/(--(SEARCH(EH$2,Liste_Grünland_DropDown[Grünland])&gt;0)),ROW()-2),1),"")</f>
        <v/>
      </c>
      <c r="EH2" t="str">
        <f>IF(N_Bedarf!$C57="","",IF(COUNTIF(Liste_Grünland_DropDown[Grünland],N_Bedarf!$C57),"",N_Bedarf!$C57))</f>
        <v/>
      </c>
      <c r="EI2" t="str">
        <f>IFERROR(INDEX(Liste_Grünland_DropDown[Grünland],_xlfn.AGGREGATE(15,6,(ROW(Liste_Grünland_DropDown[Grünland])-1)/(--(SEARCH(EJ$2,Liste_Grünland_DropDown[Grünland])&gt;0)),ROW()-2),1),"")</f>
        <v/>
      </c>
      <c r="EJ2" s="1622" t="str">
        <f>IF(N_Bedarf!$C58="","",IF(COUNTIF(Liste_Grünland_DropDown[Grünland],N_Bedarf!$C58),"",N_Bedarf!$C58))</f>
        <v/>
      </c>
      <c r="EK2" t="str">
        <f>IFERROR(INDEX(Liste_Grünland_DropDown[Grünland],_xlfn.AGGREGATE(15,6,(ROW(Liste_Grünland_DropDown[Grünland])-1)/(--(SEARCH(EL$2,Liste_Grünland_DropDown[Grünland])&gt;0)),ROW()-2),1),"")</f>
        <v/>
      </c>
      <c r="EL2" s="1621" t="str">
        <f>IF(N_Bedarf!$C59="","",IF(COUNTIF(Liste_Grünland_DropDown[Grünland],N_Bedarf!$C59),"",N_Bedarf!$C59))</f>
        <v/>
      </c>
      <c r="EM2" t="str">
        <f>IFERROR(INDEX(Liste_Grünland_DropDown[Grünland],_xlfn.AGGREGATE(15,6,(ROW(Liste_Grünland_DropDown[Grünland])-1)/(--(SEARCH(EN$2,Liste_Grünland_DropDown[Grünland])&gt;0)),ROW()-2),1),"")</f>
        <v/>
      </c>
      <c r="EN2" s="1622" t="str">
        <f>IF(N_Bedarf!$C60="","",IF(COUNTIF(Liste_Grünland_DropDown[Grünland],N_Bedarf!$C60),"",N_Bedarf!$C60))</f>
        <v/>
      </c>
      <c r="EO2" t="str">
        <f t="array" ref="EO2">IFERROR(INDEX(Liste_Grünland_DropDown[Grünland],_xlfn.AGGREGATE(15,6,(ROW(Liste_Grünland_DropDown[Grünland])-1)/(--(SEARCH(EP$2,Liste_Grünland_DropDown[Grünland])&gt;0)),ROW()-2),1),"")</f>
        <v/>
      </c>
      <c r="EP2" s="1621" t="str">
        <f>IF(N_Bedarf!$C61="","",IF(COUNTIF(Liste_Grünland_DropDown[Grünland],N_Bedarf!$C61),"",N_Bedarf!$C61))</f>
        <v/>
      </c>
      <c r="EQ2" t="str">
        <f>IFERROR(INDEX(Liste_Grünland_DropDown[Grünland],_xlfn.AGGREGATE(15,6,(ROW(Liste_Grünland_DropDown[Grünland])-1)/(--(SEARCH(ER$2,Liste_Grünland_DropDown[Grünland])&gt;0)),ROW()-2),1),"")</f>
        <v/>
      </c>
      <c r="ER2" s="1622" t="str">
        <f>IF(N_Bedarf!$C62="","",IF(COUNTIF(Liste_Grünland_DropDown[Grünland],N_Bedarf!$C62),"",N_Bedarf!$C62))</f>
        <v/>
      </c>
      <c r="EU2" s="1724" t="s">
        <v>1296</v>
      </c>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row>
    <row r="3" spans="1:291" ht="39.75" customHeight="1" thickTop="1" thickBot="1">
      <c r="B3" s="1039"/>
      <c r="C3" s="1248" t="s">
        <v>398</v>
      </c>
      <c r="D3" s="1249"/>
      <c r="E3" s="1250" t="s">
        <v>1233</v>
      </c>
      <c r="F3" s="2529" t="s">
        <v>130</v>
      </c>
      <c r="G3" s="2530"/>
      <c r="H3" s="2528" t="s">
        <v>1234</v>
      </c>
      <c r="I3" s="2528"/>
      <c r="J3" s="1276" t="s">
        <v>1235</v>
      </c>
      <c r="K3" s="2527" t="s">
        <v>521</v>
      </c>
      <c r="L3" s="2527"/>
      <c r="M3" s="1702" t="s">
        <v>1236</v>
      </c>
      <c r="N3" s="2577" t="s">
        <v>366</v>
      </c>
      <c r="O3" s="2578"/>
      <c r="P3" s="2578"/>
      <c r="Q3" s="1703" t="s">
        <v>1237</v>
      </c>
      <c r="R3" s="2544" t="s">
        <v>1193</v>
      </c>
      <c r="S3" s="2545"/>
      <c r="T3" s="770"/>
      <c r="U3" s="2543" t="s">
        <v>1239</v>
      </c>
      <c r="V3" s="2543"/>
      <c r="W3" s="2543"/>
      <c r="X3" s="2543"/>
      <c r="Y3" s="768"/>
      <c r="Z3" s="768"/>
      <c r="AA3" s="768"/>
      <c r="AB3" s="768"/>
      <c r="AC3" s="768"/>
      <c r="AD3" s="768"/>
      <c r="AE3" s="768"/>
      <c r="AF3" s="768"/>
      <c r="AG3" s="768"/>
      <c r="AH3" s="768"/>
      <c r="AI3" s="768"/>
      <c r="AJ3" s="768"/>
      <c r="AK3" s="768"/>
      <c r="AL3" s="768"/>
      <c r="AM3" s="768"/>
      <c r="AN3" s="768"/>
      <c r="AO3" s="768"/>
      <c r="AP3" s="1566" t="s">
        <v>1572</v>
      </c>
      <c r="AQ3" s="1019" t="s">
        <v>1240</v>
      </c>
      <c r="AR3" s="1019" t="s">
        <v>1241</v>
      </c>
      <c r="AS3" s="1022" t="s">
        <v>1242</v>
      </c>
      <c r="AT3" s="1022" t="s">
        <v>1243</v>
      </c>
      <c r="AU3" s="1022" t="s">
        <v>1244</v>
      </c>
      <c r="AV3" s="1022" t="s">
        <v>1238</v>
      </c>
      <c r="AW3" s="1430" t="s">
        <v>1422</v>
      </c>
      <c r="AX3" s="1023"/>
      <c r="AY3" s="1024" t="s">
        <v>1245</v>
      </c>
      <c r="AZ3" s="1565" t="s">
        <v>1992</v>
      </c>
      <c r="BA3" s="1565" t="s">
        <v>1382</v>
      </c>
      <c r="BB3" s="1024" t="s">
        <v>608</v>
      </c>
      <c r="BC3" s="1565" t="s">
        <v>1993</v>
      </c>
      <c r="BD3" s="1565" t="s">
        <v>1382</v>
      </c>
      <c r="BE3" s="1024" t="s">
        <v>604</v>
      </c>
      <c r="BF3" s="1565" t="s">
        <v>1994</v>
      </c>
      <c r="BG3" s="1565" t="s">
        <v>1382</v>
      </c>
      <c r="BH3" s="1024" t="s">
        <v>1246</v>
      </c>
      <c r="BI3" s="1565" t="s">
        <v>1995</v>
      </c>
      <c r="BJ3" s="1565" t="s">
        <v>1382</v>
      </c>
      <c r="BK3" s="1024" t="s">
        <v>1247</v>
      </c>
      <c r="BL3" s="1565" t="s">
        <v>1996</v>
      </c>
      <c r="BM3" s="1565" t="s">
        <v>1382</v>
      </c>
      <c r="BN3" s="1025" t="s">
        <v>432</v>
      </c>
      <c r="BO3" s="1431" t="s">
        <v>1423</v>
      </c>
      <c r="BP3" s="1027"/>
      <c r="BQ3" s="1028"/>
      <c r="BR3" s="1024" t="s">
        <v>1245</v>
      </c>
      <c r="BS3" s="1024" t="s">
        <v>608</v>
      </c>
      <c r="BT3" s="1024" t="s">
        <v>604</v>
      </c>
      <c r="BU3" s="1023"/>
      <c r="BV3" s="1028"/>
      <c r="BW3" s="1024" t="s">
        <v>1245</v>
      </c>
      <c r="BX3" s="1024" t="s">
        <v>608</v>
      </c>
      <c r="BY3" s="1024" t="s">
        <v>604</v>
      </c>
      <c r="BZ3" s="1026" t="s">
        <v>1248</v>
      </c>
      <c r="CA3" s="1026" t="s">
        <v>1249</v>
      </c>
      <c r="CB3"/>
      <c r="CC3" s="1658">
        <f>IFERROR(COUNTIF(Ackerkulturen[Ackerkulturen],N_Bedarf!$C5),0)</f>
        <v>0</v>
      </c>
      <c r="CD3"/>
      <c r="CE3" s="1835" t="s">
        <v>2376</v>
      </c>
      <c r="CF3" s="1834" t="str">
        <f>IFERROR(INDEX(N_Bedarf!$CE$2:$CE$141,_xlfn.AGGREGATE(15,6,(ROW(N_Bedarf!$CE$2:$CE$141)-1)/(--(SEARCH(CG$2,N_Bedarf!$CE$2:$CE$141)&gt;0)),ROW()-2),1),"")</f>
        <v>Winterweichweizen &lt; 14 % RP</v>
      </c>
      <c r="CG3" s="1830"/>
      <c r="CH3" s="1834" t="str">
        <f>IFERROR(INDEX(N_Bedarf!$CE$2:$CE$141,_xlfn.AGGREGATE(15,6,(ROW(N_Bedarf!$CE$2:$CE$141)-1)/(--(SEARCH(CI$2,N_Bedarf!$CE$2:$CE$141)&gt;0)),ROW()-2),1),"")</f>
        <v>Winterweichweizen &lt; 14 % RP</v>
      </c>
      <c r="CI3" s="1830"/>
      <c r="CJ3" s="1834" t="str">
        <f>IFERROR(INDEX(N_Bedarf!$CE$2:$CE$141,_xlfn.AGGREGATE(15,6,(ROW(N_Bedarf!$CE$2:$CE$141)-1)/(--(SEARCH(CK$2,N_Bedarf!$CE$2:$CE$141)&gt;0)),ROW()-2),1),"")</f>
        <v>Winterweichweizen &lt; 14 % RP</v>
      </c>
      <c r="CK3" s="1830"/>
      <c r="CL3" s="1834" t="str">
        <f>IFERROR(INDEX(N_Bedarf!$CE$2:$CE$141,_xlfn.AGGREGATE(15,6,(ROW(N_Bedarf!$CE$2:$CE$141)-1)/(--(SEARCH(CM$2,N_Bedarf!$CE$2:$CE$141)&gt;0)),ROW()-2),1),"")</f>
        <v>Winterweichweizen &lt; 14 % RP</v>
      </c>
      <c r="CM3" s="1830"/>
      <c r="CN3" s="1834" t="str">
        <f>IFERROR(INDEX(N_Bedarf!$CE$2:$CE$141,_xlfn.AGGREGATE(15,6,(ROW(N_Bedarf!$CE$2:$CE$141)-1)/(--(SEARCH(CO$2,N_Bedarf!$CE$2:$CE$141)&gt;0)),ROW()-2),1),"")</f>
        <v>Winterweichweizen &lt; 14 % RP</v>
      </c>
      <c r="CO3" s="1830"/>
      <c r="CP3" s="1834" t="str">
        <f>IFERROR(INDEX(N_Bedarf!$CE$2:$CE$141,_xlfn.AGGREGATE(15,6,(ROW(N_Bedarf!$CE$2:$CE$141)-1)/(--(SEARCH(CQ$2,N_Bedarf!$CE$2:$CE$141)&gt;0)),ROW()-2),1),"")</f>
        <v>Winterweichweizen &lt; 14 % RP</v>
      </c>
      <c r="CQ3" s="1830"/>
      <c r="CR3" s="1834" t="str">
        <f>IFERROR(INDEX(N_Bedarf!$CE$2:$CE$141,_xlfn.AGGREGATE(15,6,(ROW(N_Bedarf!$CE$2:$CE$141)-1)/(--(SEARCH(CS$2,N_Bedarf!$CE$2:$CE$141)&gt;0)),ROW()-2),1),"")</f>
        <v>Winterweichweizen &lt; 14 % RP</v>
      </c>
      <c r="CS3" s="1830"/>
      <c r="CT3" s="1834" t="str">
        <f>IFERROR(INDEX(N_Bedarf!$CE$2:$CE$141,_xlfn.AGGREGATE(15,6,(ROW(N_Bedarf!$CE$2:$CE$141)-1)/(--(SEARCH(CU$2,N_Bedarf!$CE$2:$CE$141)&gt;0)),ROW()-2),1),"")</f>
        <v>Winterweichweizen &lt; 14 % RP</v>
      </c>
      <c r="CU3" s="1830"/>
      <c r="CV3" s="1834" t="str">
        <f>IFERROR(INDEX(N_Bedarf!$CE$2:$CE$141,_xlfn.AGGREGATE(15,6,(ROW(N_Bedarf!$CE$2:$CE$141)-1)/(--(SEARCH(CW$2,N_Bedarf!$CE$2:$CE$141)&gt;0)),ROW()-2),1),"")</f>
        <v>Winterweichweizen &lt; 14 % RP</v>
      </c>
      <c r="CW3" s="1830"/>
      <c r="CX3" s="1834" t="str">
        <f>IFERROR(INDEX(N_Bedarf!$CE$2:$CE$141,_xlfn.AGGREGATE(15,6,(ROW(N_Bedarf!$CE$2:$CE$141)-1)/(--(SEARCH(CY$2,N_Bedarf!$CE$2:$CE$141)&gt;0)),ROW()-2),1),"")</f>
        <v>Winterweichweizen &lt; 14 % RP</v>
      </c>
      <c r="CY3" s="1830"/>
      <c r="CZ3" s="1834" t="str">
        <f>IFERROR(INDEX(N_Bedarf!$CE$2:$CE$141,_xlfn.AGGREGATE(15,6,(ROW(N_Bedarf!$CE$2:$CE$141)-1)/(--(SEARCH(DA$2,N_Bedarf!$CE$2:$CE$141)&gt;0)),ROW()-2),1),"")</f>
        <v>Winterweichweizen &lt; 14 % RP</v>
      </c>
      <c r="DA3" s="1830"/>
      <c r="DB3" s="1834" t="str">
        <f>IFERROR(INDEX(N_Bedarf!$CE$2:$CE$141,_xlfn.AGGREGATE(15,6,(ROW(N_Bedarf!$CE$2:$CE$141)-1)/(--(SEARCH(DC$2,N_Bedarf!$CE$2:$CE$141)&gt;0)),ROW()-2),1),"")</f>
        <v>Winterweichweizen &lt; 14 % RP</v>
      </c>
      <c r="DC3" s="1830"/>
      <c r="DD3" s="1834" t="str">
        <f>IFERROR(INDEX(N_Bedarf!$CE$2:$CE$141,_xlfn.AGGREGATE(15,6,(ROW(N_Bedarf!$CE$2:$CE$141)-1)/(--(SEARCH(DE$2,N_Bedarf!$CE$2:$CE$141)&gt;0)),ROW()-2),1),"")</f>
        <v>Winterweichweizen &lt; 14 % RP</v>
      </c>
      <c r="DE3" s="1830"/>
      <c r="DF3" s="2353" t="str">
        <f t="array" ref="DF3">IFERROR(INDEX(N_Bedarf!$CE$2:$CE$141,_xlfn.AGGREGATE(15,6,(ROW(N_Bedarf!$CE$2:$CE$141)-1)/(--(SEARCH(DG$2,N_Bedarf!$CE$2:$CE$141)&gt;0)),ROW()-2),1),"")</f>
        <v>Winterweichweizen &lt; 14 % RP</v>
      </c>
      <c r="DG3" s="2353"/>
      <c r="DH3" s="2355" t="str">
        <f t="array" ref="DH3">IFERROR(INDEX(N_Bedarf!$CE$2:$CE$141,_xlfn.AGGREGATE(15,6,(ROW(N_Bedarf!$CE$2:$CE$141)-1)/(--(SEARCH(DI$2,N_Bedarf!$CE$2:$CE$141)&gt;0)),ROW()-2),1),"")</f>
        <v>Winterweichweizen &lt; 14 % RP</v>
      </c>
      <c r="DI3" s="2355"/>
      <c r="DJ3" s="2356" t="str">
        <f t="array" ref="DJ3">IFERROR(INDEX(N_Bedarf!$CE$2:$CE$141,_xlfn.AGGREGATE(15,6,(ROW(N_Bedarf!$CE$2:$CE$141)-1)/(--(SEARCH(DK$2,N_Bedarf!$CE$2:$CE$141)&gt;0)),ROW()-2),1),"")</f>
        <v>Winterweichweizen &lt; 14 % RP</v>
      </c>
      <c r="DK3" s="2356"/>
      <c r="DL3" s="2356" t="str">
        <f t="array" ref="DL3">IFERROR(INDEX(N_Bedarf!$CE$2:$CE$141,_xlfn.AGGREGATE(15,6,(ROW(N_Bedarf!$CE$2:$CE$141)-1)/(--(SEARCH(DM$2,N_Bedarf!$CE$2:$CE$141)&gt;0)),ROW()-2),1),"")</f>
        <v>Winterweichweizen &lt; 14 % RP</v>
      </c>
      <c r="DM3" s="2356"/>
      <c r="DN3" s="2356" t="str">
        <f t="array" ref="DN3">IFERROR(INDEX(N_Bedarf!$CE$2:$CE$141,_xlfn.AGGREGATE(15,6,(ROW(N_Bedarf!$CE$2:$CE$141)-1)/(--(SEARCH(DO$2,N_Bedarf!$CE$2:$CE$141)&gt;0)),ROW()-2),1),"")</f>
        <v>Winterweichweizen &lt; 14 % RP</v>
      </c>
      <c r="DO3" s="2356"/>
      <c r="DP3" s="2356" t="str">
        <f t="array" ref="DP3">IFERROR(INDEX(N_Bedarf!$CE$2:$CE$141,_xlfn.AGGREGATE(15,6,(ROW(N_Bedarf!$CE$2:$CE$141)-1)/(--(SEARCH(DQ$2,N_Bedarf!$CE$2:$CE$141)&gt;0)),ROW()-2),1),"")</f>
        <v>Winterweichweizen &lt; 14 % RP</v>
      </c>
      <c r="DQ3" s="2356"/>
      <c r="DR3" s="2356" t="str">
        <f t="array" ref="DR3">IFERROR(INDEX(N_Bedarf!$CE$2:$CE$141,_xlfn.AGGREGATE(15,6,(ROW(N_Bedarf!$CE$2:$CE$141)-1)/(--(SEARCH(DS$2,N_Bedarf!$CE$2:$CE$141)&gt;0)),ROW()-2),1),"")</f>
        <v>Winterweichweizen &lt; 14 % RP</v>
      </c>
      <c r="DS3" s="2356"/>
      <c r="DT3" s="2356" t="str">
        <f t="array" ref="DT3">IFERROR(INDEX(N_Bedarf!$CE$2:$CE$141,_xlfn.AGGREGATE(15,6,(ROW(N_Bedarf!$CE$2:$CE$141)-1)/(--(SEARCH(DU$2,N_Bedarf!$CE$2:$CE$141)&gt;0)),ROW()-2),1),"")</f>
        <v>Winterweichweizen &lt; 14 % RP</v>
      </c>
      <c r="DU3" s="2356"/>
      <c r="DV3" s="2356" t="str">
        <f t="array" ref="DV3">IFERROR(INDEX(N_Bedarf!$CE$2:$CE$141,_xlfn.AGGREGATE(15,6,(ROW(N_Bedarf!$CE$2:$CE$141)-1)/(--(SEARCH(DW$2,N_Bedarf!$CE$2:$CE$141)&gt;0)),ROW()-2),1),"")</f>
        <v>Winterweichweizen &lt; 14 % RP</v>
      </c>
      <c r="DW3" s="2356"/>
      <c r="DX3" s="2356" t="str">
        <f t="array" ref="DX3">IFERROR(INDEX(N_Bedarf!$CE$2:$CE$141,_xlfn.AGGREGATE(15,6,(ROW(N_Bedarf!$CE$2:$CE$141)-1)/(--(SEARCH(DY$2,N_Bedarf!$CE$2:$CE$141)&gt;0)),ROW()-2),1),"")</f>
        <v>Winterweichweizen &lt; 14 % RP</v>
      </c>
      <c r="DY3" s="2356"/>
      <c r="DZ3" s="2356" t="str">
        <f t="array" ref="DZ3">IFERROR(INDEX(N_Bedarf!$CE$2:$CE$141,_xlfn.AGGREGATE(15,6,(ROW(N_Bedarf!$CE$2:$CE$141)-1)/(--(SEARCH(EA$2,N_Bedarf!$CE$2:$CE$141)&gt;0)),ROW()-2),1),"")</f>
        <v>Winterweichweizen &lt; 14 % RP</v>
      </c>
      <c r="EA3" s="2356"/>
      <c r="EB3" s="2356" t="str">
        <f t="array" ref="EB3">IFERROR(INDEX(N_Bedarf!$CE$2:$CE$141,_xlfn.AGGREGATE(15,6,(ROW(N_Bedarf!$CE$2:$CE$141)-1)/(--(SEARCH(EC$2,N_Bedarf!$CE$2:$CE$141)&gt;0)),ROW()-2),1),"")</f>
        <v>Winterweichweizen &lt; 14 % RP</v>
      </c>
      <c r="EC3" s="2356"/>
      <c r="ED3"/>
      <c r="EE3"/>
      <c r="EF3" s="394" t="s">
        <v>1882</v>
      </c>
      <c r="EG3" t="str">
        <f>IFERROR(INDEX(Liste_Grünland_DropDown[Grünland],_xlfn.AGGREGATE(15,6,(ROW(Liste_Grünland_DropDown[Grünland])-1)/(--(SEARCH(EH$2,Liste_Grünland_DropDown[Grünland])&gt;0)),ROW()-2),1),"")</f>
        <v>Almfutterfläche</v>
      </c>
      <c r="EH3" s="156" t="str">
        <f>IF(N_Bedarf!$C58="","",IF(COUNTIF(Liste_Grünland_DropDown[Grünland],N_Bedarf!$C58),"",N_Bedarf!$C58))</f>
        <v/>
      </c>
      <c r="EI3" t="str">
        <f>IFERROR(INDEX(Liste_Grünland_DropDown[Grünland],_xlfn.AGGREGATE(15,6,(ROW(Liste_Grünland_DropDown[Grünland])-1)/(--(SEARCH(EJ$2,Liste_Grünland_DropDown[Grünland])&gt;0)),ROW()-2),1),"")</f>
        <v>Almfutterfläche</v>
      </c>
      <c r="EJ3"/>
      <c r="EK3" t="str">
        <f>IFERROR(INDEX(Liste_Grünland_DropDown[Grünland],_xlfn.AGGREGATE(15,6,(ROW(Liste_Grünland_DropDown[Grünland])-1)/(--(SEARCH(EL$2,Liste_Grünland_DropDown[Grünland])&gt;0)),ROW()-2),1),"")</f>
        <v>Almfutterfläche</v>
      </c>
      <c r="EL3"/>
      <c r="EM3" t="str">
        <f>IFERROR(INDEX(Liste_Grünland_DropDown[Grünland],_xlfn.AGGREGATE(15,6,(ROW(Liste_Grünland_DropDown[Grünland])-1)/(--(SEARCH(EN$2,Liste_Grünland_DropDown[Grünland])&gt;0)),ROW()-2),1),"")</f>
        <v>Almfutterfläche</v>
      </c>
      <c r="EN3"/>
      <c r="EO3" t="str">
        <f t="array" ref="EO3">IFERROR(INDEX(Liste_Grünland_DropDown[Grünland],_xlfn.AGGREGATE(15,6,(ROW(Liste_Grünland_DropDown[Grünland])-1)/(--(SEARCH(EP$2,Liste_Grünland_DropDown[Grünland])&gt;0)),ROW()-2),1),"")</f>
        <v>Almfutterfläche</v>
      </c>
      <c r="EP3"/>
      <c r="EQ3" t="str">
        <f>IFERROR(INDEX(Liste_Grünland_DropDown[Grünland],_xlfn.AGGREGATE(15,6,(ROW(Liste_Grünland_DropDown[Grünland])-1)/(--(SEARCH(ER$2,Liste_Grünland_DropDown[Grünland])&gt;0)),ROW()-2),1),"")</f>
        <v>Almfutterfläche</v>
      </c>
      <c r="ER3"/>
      <c r="EU3" s="1723" t="s">
        <v>1702</v>
      </c>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row>
    <row r="4" spans="1:291" ht="29.25" customHeight="1" thickTop="1" thickBot="1">
      <c r="B4" s="422"/>
      <c r="C4" s="2531" t="s">
        <v>370</v>
      </c>
      <c r="D4" s="2531"/>
      <c r="E4" s="1251" t="s">
        <v>895</v>
      </c>
      <c r="F4" s="1252" t="s">
        <v>1250</v>
      </c>
      <c r="G4" s="1253" t="s">
        <v>2412</v>
      </c>
      <c r="H4" s="1253" t="s">
        <v>1251</v>
      </c>
      <c r="I4" s="1254"/>
      <c r="J4" s="1254" t="s">
        <v>1252</v>
      </c>
      <c r="K4" s="1253" t="s">
        <v>1251</v>
      </c>
      <c r="L4" s="1252" t="s">
        <v>1253</v>
      </c>
      <c r="M4" s="1701" t="s">
        <v>1252</v>
      </c>
      <c r="N4" s="2571"/>
      <c r="O4" s="2572"/>
      <c r="P4" s="2572"/>
      <c r="Q4" s="1704" t="s">
        <v>895</v>
      </c>
      <c r="R4" s="1670" t="s">
        <v>1254</v>
      </c>
      <c r="S4" s="1705" t="s">
        <v>1255</v>
      </c>
      <c r="T4" s="770"/>
      <c r="U4" s="2579" t="s">
        <v>2357</v>
      </c>
      <c r="V4" s="2580"/>
      <c r="W4" s="2580"/>
      <c r="X4" s="2581"/>
      <c r="Y4" s="768"/>
      <c r="Z4" s="768"/>
      <c r="AA4" s="768"/>
      <c r="AB4" s="768"/>
      <c r="AC4" s="768"/>
      <c r="AD4" s="768"/>
      <c r="AE4" s="768"/>
      <c r="AF4" s="768"/>
      <c r="AG4" s="768"/>
      <c r="AH4" s="768"/>
      <c r="AI4" s="768"/>
      <c r="AJ4" s="768"/>
      <c r="AK4" s="768"/>
      <c r="AL4" s="768"/>
      <c r="AM4" s="768"/>
      <c r="AN4" s="768"/>
      <c r="AO4" s="768"/>
      <c r="AP4" s="1567" t="s">
        <v>1382</v>
      </c>
      <c r="AQ4" s="1020" t="s">
        <v>895</v>
      </c>
      <c r="AR4" s="1020" t="s">
        <v>1252</v>
      </c>
      <c r="AS4" s="1020" t="s">
        <v>1252</v>
      </c>
      <c r="AT4" s="1020" t="s">
        <v>1252</v>
      </c>
      <c r="AU4" s="1020" t="s">
        <v>1252</v>
      </c>
      <c r="AV4" s="1020" t="s">
        <v>1252</v>
      </c>
      <c r="AW4" s="1425"/>
      <c r="AX4" s="1029"/>
      <c r="AY4" s="1570">
        <v>2</v>
      </c>
      <c r="AZ4" s="1668">
        <v>3</v>
      </c>
      <c r="BA4" s="1570">
        <v>4</v>
      </c>
      <c r="BB4" s="1570">
        <v>5</v>
      </c>
      <c r="BC4" s="1668">
        <v>6</v>
      </c>
      <c r="BD4" s="1570">
        <v>7</v>
      </c>
      <c r="BE4" s="1570">
        <v>8</v>
      </c>
      <c r="BF4" s="1668">
        <v>9</v>
      </c>
      <c r="BG4" s="1570">
        <v>10</v>
      </c>
      <c r="BH4" s="1570">
        <v>11</v>
      </c>
      <c r="BI4" s="1668">
        <v>12</v>
      </c>
      <c r="BJ4" s="1570">
        <v>13</v>
      </c>
      <c r="BK4" s="1570">
        <v>14</v>
      </c>
      <c r="BL4" s="1668">
        <v>15</v>
      </c>
      <c r="BM4" s="1570">
        <v>16</v>
      </c>
      <c r="BN4" s="1030">
        <v>17</v>
      </c>
      <c r="BO4" s="1030">
        <v>18</v>
      </c>
      <c r="BP4" s="1027"/>
      <c r="BQ4" s="1031"/>
      <c r="BR4" s="1032" t="s">
        <v>1256</v>
      </c>
      <c r="BS4" s="1032" t="s">
        <v>1256</v>
      </c>
      <c r="BT4" s="1032" t="s">
        <v>1256</v>
      </c>
      <c r="BU4" s="1023"/>
      <c r="BV4" s="1031"/>
      <c r="BW4" s="1033" t="s">
        <v>1257</v>
      </c>
      <c r="BX4" s="1033" t="s">
        <v>1257</v>
      </c>
      <c r="BY4" s="1033" t="s">
        <v>1257</v>
      </c>
      <c r="BZ4" s="1033" t="s">
        <v>1257</v>
      </c>
      <c r="CA4" s="1033" t="s">
        <v>1257</v>
      </c>
      <c r="CB4"/>
      <c r="CC4" s="1658">
        <f>IFERROR(COUNTIF(Ackerkulturen[Ackerkulturen],N_Bedarf!$C6),0)</f>
        <v>0</v>
      </c>
      <c r="CD4"/>
      <c r="CE4" s="1833" t="s">
        <v>1729</v>
      </c>
      <c r="CF4" s="1834" t="str">
        <f>IFERROR(INDEX(N_Bedarf!$CE$2:$CE$141,_xlfn.AGGREGATE(15,6,(ROW(N_Bedarf!$CE$2:$CE$141)-1)/(--(SEARCH(CG$2,N_Bedarf!$CE$2:$CE$141)&gt;0)),ROW()-2),1),"")</f>
        <v>Winterweichweizen ≥ 14 % RP</v>
      </c>
      <c r="CG4" s="1836"/>
      <c r="CH4" s="1834" t="str">
        <f>IFERROR(INDEX(N_Bedarf!$CE$2:$CE$141,_xlfn.AGGREGATE(15,6,(ROW(N_Bedarf!$CE$2:$CE$141)-1)/(--(SEARCH(CI$2,N_Bedarf!$CE$2:$CE$141)&gt;0)),ROW()-2),1),"")</f>
        <v>Winterweichweizen ≥ 14 % RP</v>
      </c>
      <c r="CI4" s="1836"/>
      <c r="CJ4" s="1834" t="str">
        <f>IFERROR(INDEX(N_Bedarf!$CE$2:$CE$141,_xlfn.AGGREGATE(15,6,(ROW(N_Bedarf!$CE$2:$CE$141)-1)/(--(SEARCH(CK$2,N_Bedarf!$CE$2:$CE$141)&gt;0)),ROW()-2),1),"")</f>
        <v>Winterweichweizen ≥ 14 % RP</v>
      </c>
      <c r="CK4" s="1836"/>
      <c r="CL4" s="1834" t="str">
        <f>IFERROR(INDEX(N_Bedarf!$CE$2:$CE$141,_xlfn.AGGREGATE(15,6,(ROW(N_Bedarf!$CE$2:$CE$141)-1)/(--(SEARCH(CM$2,N_Bedarf!$CE$2:$CE$141)&gt;0)),ROW()-2),1),"")</f>
        <v>Winterweichweizen ≥ 14 % RP</v>
      </c>
      <c r="CM4" s="1836"/>
      <c r="CN4" s="1834" t="str">
        <f>IFERROR(INDEX(N_Bedarf!$CE$2:$CE$141,_xlfn.AGGREGATE(15,6,(ROW(N_Bedarf!$CE$2:$CE$141)-1)/(--(SEARCH(CO$2,N_Bedarf!$CE$2:$CE$141)&gt;0)),ROW()-2),1),"")</f>
        <v>Winterweichweizen ≥ 14 % RP</v>
      </c>
      <c r="CO4" s="1836"/>
      <c r="CP4" s="1834" t="str">
        <f>IFERROR(INDEX(N_Bedarf!$CE$2:$CE$141,_xlfn.AGGREGATE(15,6,(ROW(N_Bedarf!$CE$2:$CE$141)-1)/(--(SEARCH(CQ$2,N_Bedarf!$CE$2:$CE$141)&gt;0)),ROW()-2),1),"")</f>
        <v>Winterweichweizen ≥ 14 % RP</v>
      </c>
      <c r="CQ4" s="1836"/>
      <c r="CR4" s="1834" t="str">
        <f>IFERROR(INDEX(N_Bedarf!$CE$2:$CE$141,_xlfn.AGGREGATE(15,6,(ROW(N_Bedarf!$CE$2:$CE$141)-1)/(--(SEARCH(CS$2,N_Bedarf!$CE$2:$CE$141)&gt;0)),ROW()-2),1),"")</f>
        <v>Winterweichweizen ≥ 14 % RP</v>
      </c>
      <c r="CS4" s="1836"/>
      <c r="CT4" s="1834" t="str">
        <f>IFERROR(INDEX(N_Bedarf!$CE$2:$CE$141,_xlfn.AGGREGATE(15,6,(ROW(N_Bedarf!$CE$2:$CE$141)-1)/(--(SEARCH(CU$2,N_Bedarf!$CE$2:$CE$141)&gt;0)),ROW()-2),1),"")</f>
        <v>Winterweichweizen ≥ 14 % RP</v>
      </c>
      <c r="CU4" s="1836"/>
      <c r="CV4" s="1834" t="str">
        <f>IFERROR(INDEX(N_Bedarf!$CE$2:$CE$141,_xlfn.AGGREGATE(15,6,(ROW(N_Bedarf!$CE$2:$CE$141)-1)/(--(SEARCH(CW$2,N_Bedarf!$CE$2:$CE$141)&gt;0)),ROW()-2),1),"")</f>
        <v>Winterweichweizen ≥ 14 % RP</v>
      </c>
      <c r="CW4" s="1836"/>
      <c r="CX4" s="1834" t="str">
        <f>IFERROR(INDEX(N_Bedarf!$CE$2:$CE$141,_xlfn.AGGREGATE(15,6,(ROW(N_Bedarf!$CE$2:$CE$141)-1)/(--(SEARCH(CY$2,N_Bedarf!$CE$2:$CE$141)&gt;0)),ROW()-2),1),"")</f>
        <v>Winterweichweizen ≥ 14 % RP</v>
      </c>
      <c r="CY4" s="1836"/>
      <c r="CZ4" s="1834" t="str">
        <f>IFERROR(INDEX(N_Bedarf!$CE$2:$CE$141,_xlfn.AGGREGATE(15,6,(ROW(N_Bedarf!$CE$2:$CE$141)-1)/(--(SEARCH(DA$2,N_Bedarf!$CE$2:$CE$141)&gt;0)),ROW()-2),1),"")</f>
        <v>Winterweichweizen ≥ 14 % RP</v>
      </c>
      <c r="DA4" s="1836"/>
      <c r="DB4" s="1834" t="str">
        <f>IFERROR(INDEX(N_Bedarf!$CE$2:$CE$141,_xlfn.AGGREGATE(15,6,(ROW(N_Bedarf!$CE$2:$CE$141)-1)/(--(SEARCH(DC$2,N_Bedarf!$CE$2:$CE$141)&gt;0)),ROW()-2),1),"")</f>
        <v>Winterweichweizen ≥ 14 % RP</v>
      </c>
      <c r="DC4" s="1836"/>
      <c r="DD4" s="1834" t="str">
        <f>IFERROR(INDEX(N_Bedarf!$CE$2:$CE$141,_xlfn.AGGREGATE(15,6,(ROW(N_Bedarf!$CE$2:$CE$141)-1)/(--(SEARCH(DE$2,N_Bedarf!$CE$2:$CE$141)&gt;0)),ROW()-2),1),"")</f>
        <v>Winterweichweizen ≥ 14 % RP</v>
      </c>
      <c r="DE4" s="1836"/>
      <c r="DF4" s="2353" t="str">
        <f t="array" ref="DF4">IFERROR(INDEX(N_Bedarf!$CE$2:$CE$141,_xlfn.AGGREGATE(15,6,(ROW(N_Bedarf!$CE$2:$CE$141)-1)/(--(SEARCH(DG$2,N_Bedarf!$CE$2:$CE$141)&gt;0)),ROW()-2),1),"")</f>
        <v>Winterweichweizen ≥ 14 % RP</v>
      </c>
      <c r="DG4" s="2353"/>
      <c r="DH4" s="2355" t="str">
        <f t="array" ref="DH4">IFERROR(INDEX(N_Bedarf!$CE$2:$CE$141,_xlfn.AGGREGATE(15,6,(ROW(N_Bedarf!$CE$2:$CE$141)-1)/(--(SEARCH(DI$2,N_Bedarf!$CE$2:$CE$141)&gt;0)),ROW()-2),1),"")</f>
        <v>Winterweichweizen ≥ 14 % RP</v>
      </c>
      <c r="DI4" s="2355"/>
      <c r="DJ4" s="2356" t="str">
        <f t="array" ref="DJ4">IFERROR(INDEX(N_Bedarf!$CE$2:$CE$141,_xlfn.AGGREGATE(15,6,(ROW(N_Bedarf!$CE$2:$CE$141)-1)/(--(SEARCH(DK$2,N_Bedarf!$CE$2:$CE$141)&gt;0)),ROW()-2),1),"")</f>
        <v>Winterweichweizen ≥ 14 % RP</v>
      </c>
      <c r="DK4" s="2356"/>
      <c r="DL4" s="2356" t="str">
        <f t="array" ref="DL4">IFERROR(INDEX(N_Bedarf!$CE$2:$CE$141,_xlfn.AGGREGATE(15,6,(ROW(N_Bedarf!$CE$2:$CE$141)-1)/(--(SEARCH(DM$2,N_Bedarf!$CE$2:$CE$141)&gt;0)),ROW()-2),1),"")</f>
        <v>Winterweichweizen ≥ 14 % RP</v>
      </c>
      <c r="DM4" s="2356"/>
      <c r="DN4" s="2356" t="str">
        <f t="array" ref="DN4">IFERROR(INDEX(N_Bedarf!$CE$2:$CE$141,_xlfn.AGGREGATE(15,6,(ROW(N_Bedarf!$CE$2:$CE$141)-1)/(--(SEARCH(DO$2,N_Bedarf!$CE$2:$CE$141)&gt;0)),ROW()-2),1),"")</f>
        <v>Winterweichweizen ≥ 14 % RP</v>
      </c>
      <c r="DO4" s="2356"/>
      <c r="DP4" s="2356" t="str">
        <f t="array" ref="DP4">IFERROR(INDEX(N_Bedarf!$CE$2:$CE$141,_xlfn.AGGREGATE(15,6,(ROW(N_Bedarf!$CE$2:$CE$141)-1)/(--(SEARCH(DQ$2,N_Bedarf!$CE$2:$CE$141)&gt;0)),ROW()-2),1),"")</f>
        <v>Winterweichweizen ≥ 14 % RP</v>
      </c>
      <c r="DQ4" s="2356"/>
      <c r="DR4" s="2356" t="str">
        <f t="array" ref="DR4">IFERROR(INDEX(N_Bedarf!$CE$2:$CE$141,_xlfn.AGGREGATE(15,6,(ROW(N_Bedarf!$CE$2:$CE$141)-1)/(--(SEARCH(DS$2,N_Bedarf!$CE$2:$CE$141)&gt;0)),ROW()-2),1),"")</f>
        <v>Winterweichweizen ≥ 14 % RP</v>
      </c>
      <c r="DS4" s="2356"/>
      <c r="DT4" s="2356" t="str">
        <f t="array" ref="DT4">IFERROR(INDEX(N_Bedarf!$CE$2:$CE$141,_xlfn.AGGREGATE(15,6,(ROW(N_Bedarf!$CE$2:$CE$141)-1)/(--(SEARCH(DU$2,N_Bedarf!$CE$2:$CE$141)&gt;0)),ROW()-2),1),"")</f>
        <v>Winterweichweizen ≥ 14 % RP</v>
      </c>
      <c r="DU4" s="2356"/>
      <c r="DV4" s="2356" t="str">
        <f t="array" ref="DV4">IFERROR(INDEX(N_Bedarf!$CE$2:$CE$141,_xlfn.AGGREGATE(15,6,(ROW(N_Bedarf!$CE$2:$CE$141)-1)/(--(SEARCH(DW$2,N_Bedarf!$CE$2:$CE$141)&gt;0)),ROW()-2),1),"")</f>
        <v>Winterweichweizen ≥ 14 % RP</v>
      </c>
      <c r="DW4" s="2356"/>
      <c r="DX4" s="2356" t="str">
        <f t="array" ref="DX4">IFERROR(INDEX(N_Bedarf!$CE$2:$CE$141,_xlfn.AGGREGATE(15,6,(ROW(N_Bedarf!$CE$2:$CE$141)-1)/(--(SEARCH(DY$2,N_Bedarf!$CE$2:$CE$141)&gt;0)),ROW()-2),1),"")</f>
        <v>Winterweichweizen ≥ 14 % RP</v>
      </c>
      <c r="DY4" s="2356"/>
      <c r="DZ4" s="2356" t="str">
        <f t="array" ref="DZ4">IFERROR(INDEX(N_Bedarf!$CE$2:$CE$141,_xlfn.AGGREGATE(15,6,(ROW(N_Bedarf!$CE$2:$CE$141)-1)/(--(SEARCH(EA$2,N_Bedarf!$CE$2:$CE$141)&gt;0)),ROW()-2),1),"")</f>
        <v>Winterweichweizen ≥ 14 % RP</v>
      </c>
      <c r="EA4" s="2356"/>
      <c r="EB4" s="2356" t="str">
        <f t="array" ref="EB4">IFERROR(INDEX(N_Bedarf!$CE$2:$CE$141,_xlfn.AGGREGATE(15,6,(ROW(N_Bedarf!$CE$2:$CE$141)-1)/(--(SEARCH(EC$2,N_Bedarf!$CE$2:$CE$141)&gt;0)),ROW()-2),1),"")</f>
        <v>Winterweichweizen ≥ 14 % RP</v>
      </c>
      <c r="EC4" s="2356"/>
      <c r="ED4"/>
      <c r="EE4"/>
      <c r="EF4" s="394" t="s">
        <v>435</v>
      </c>
      <c r="EG4" t="str">
        <f>IFERROR(INDEX(Liste_Grünland_DropDown[Grünland],_xlfn.AGGREGATE(15,6,(ROW(Liste_Grünland_DropDown[Grünland])-1)/(--(SEARCH(EH$2,Liste_Grünland_DropDown[Grünland])&gt;0)),ROW()-2),1),"")</f>
        <v>Bergmähder</v>
      </c>
      <c r="EH4" s="156" t="str">
        <f>IF(N_Bedarf!$C59="","",IF(COUNTIF(Liste_Grünland_DropDown[Grünland],N_Bedarf!$C59),"",N_Bedarf!$C59))</f>
        <v/>
      </c>
      <c r="EI4" t="str">
        <f>IFERROR(INDEX(Liste_Grünland_DropDown[Grünland],_xlfn.AGGREGATE(15,6,(ROW(Liste_Grünland_DropDown[Grünland])-1)/(--(SEARCH(EJ$2,Liste_Grünland_DropDown[Grünland])&gt;0)),ROW()-2),1),"")</f>
        <v>Bergmähder</v>
      </c>
      <c r="EJ4"/>
      <c r="EK4" t="str">
        <f>IFERROR(INDEX(Liste_Grünland_DropDown[Grünland],_xlfn.AGGREGATE(15,6,(ROW(Liste_Grünland_DropDown[Grünland])-1)/(--(SEARCH(EL$2,Liste_Grünland_DropDown[Grünland])&gt;0)),ROW()-2),1),"")</f>
        <v>Bergmähder</v>
      </c>
      <c r="EL4"/>
      <c r="EM4" t="str">
        <f>IFERROR(INDEX(Liste_Grünland_DropDown[Grünland],_xlfn.AGGREGATE(15,6,(ROW(Liste_Grünland_DropDown[Grünland])-1)/(--(SEARCH(EN$2,Liste_Grünland_DropDown[Grünland])&gt;0)),ROW()-2),1),"")</f>
        <v>Bergmähder</v>
      </c>
      <c r="EN4"/>
      <c r="EO4" t="str">
        <f t="array" ref="EO4">IFERROR(INDEX(Liste_Grünland_DropDown[Grünland],_xlfn.AGGREGATE(15,6,(ROW(Liste_Grünland_DropDown[Grünland])-1)/(--(SEARCH(EP$2,Liste_Grünland_DropDown[Grünland])&gt;0)),ROW()-2),1),"")</f>
        <v>Bergmähder</v>
      </c>
      <c r="EP4"/>
      <c r="EQ4" t="str">
        <f>IFERROR(INDEX(Liste_Grünland_DropDown[Grünland],_xlfn.AGGREGATE(15,6,(ROW(Liste_Grünland_DropDown[Grünland])-1)/(--(SEARCH(ER$2,Liste_Grünland_DropDown[Grünland])&gt;0)),ROW()-2),1),"")</f>
        <v>Bergmähder</v>
      </c>
      <c r="ER4"/>
      <c r="EU4" s="1723" t="s">
        <v>1703</v>
      </c>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row>
    <row r="5" spans="1:291" ht="27" customHeight="1" thickTop="1" thickBot="1">
      <c r="A5" s="287" t="s">
        <v>1258</v>
      </c>
      <c r="B5" s="420" t="str">
        <f t="shared" ref="B5:B17" si="0">CONCATENATE(A5," - ",C5)</f>
        <v xml:space="preserve">a - </v>
      </c>
      <c r="C5" s="2532"/>
      <c r="D5" s="2532"/>
      <c r="E5" s="912"/>
      <c r="F5" s="913"/>
      <c r="G5" s="1916" t="str">
        <f>IF(ISERROR(AP5),"",AP5)</f>
        <v/>
      </c>
      <c r="H5" s="2296"/>
      <c r="I5" s="914">
        <f>IFERROR(IF(AND(ISNA(AS5),ISBLANK(C5)),0,IF(AND(ISNA(AS5),ISBLANK(H5)),0,IF(AND(ISNA(AS5),H5&gt;0),H5,IF(AND(AS5&gt;0,H5&lt;AS5),AS5,AS5)))),"")</f>
        <v>0</v>
      </c>
      <c r="J5" s="2297">
        <f>IFERROR(IF(AND(I5&gt;H5,H5&lt;&gt;""),H5*E5,I5*E5),0)</f>
        <v>0</v>
      </c>
      <c r="K5" s="2299"/>
      <c r="L5" s="915">
        <f t="shared" ref="L5:L29" si="1">IF(ISNA(AT5),0,AT5)</f>
        <v>0</v>
      </c>
      <c r="M5" s="2298">
        <f t="shared" ref="M5:M29" si="2">IF(ISBLANK(K5),E5*L5,E5*K5)</f>
        <v>0</v>
      </c>
      <c r="N5" s="2534" t="s">
        <v>1295</v>
      </c>
      <c r="O5" s="2535"/>
      <c r="P5" s="2536"/>
      <c r="Q5" s="1706"/>
      <c r="R5" s="1707">
        <v>10</v>
      </c>
      <c r="S5" s="1708">
        <f>R5*Q5</f>
        <v>0</v>
      </c>
      <c r="T5" s="770"/>
      <c r="U5" s="2582"/>
      <c r="V5" s="2583"/>
      <c r="W5" s="2583"/>
      <c r="X5" s="2584"/>
      <c r="Y5" s="768"/>
      <c r="Z5" s="768"/>
      <c r="AA5" s="768"/>
      <c r="AB5" s="768"/>
      <c r="AC5" s="768"/>
      <c r="AD5" s="768"/>
      <c r="AE5" s="768"/>
      <c r="AF5" s="768"/>
      <c r="AG5" s="768"/>
      <c r="AH5" s="768"/>
      <c r="AI5" s="768"/>
      <c r="AJ5" s="768"/>
      <c r="AK5" s="768"/>
      <c r="AL5" s="768"/>
      <c r="AM5" s="768"/>
      <c r="AN5" s="768"/>
      <c r="AO5" s="768">
        <f>IF(OR(N_Bedarf!$F5="hoch 1",N_Bedarf!$F5="hoch 1 Nitratrisikogebiet",N_Bedarf!$F5="hoch 2",N_Bedarf!$F5="hoch 2 Nitratrisikogebiet",N_Bedarf!$F5="hoch 3",N_Bedarf!$F5="hoch 3 Nitratrisikogebiet"),1,0)</f>
        <v>0</v>
      </c>
      <c r="AP5" s="1568" t="str">
        <f t="shared" ref="AP5:AP55" si="3">IFERROR(IF(OR(C5="",E5="",F5=""),"",(IF(F5="niedrig",VLOOKUP(C5,Liste_N_Bedarf,4,0),IF(F5="niedrig Nitratrisikogebiet",VLOOKUP(C5,Liste_N_Bedarf,4,0),IF(F5="mittel",VLOOKUP(C5,Liste_N_Bedarf,7,0),IF(F5="mittel Nitratrisikogebiet",VLOOKUP(C5,Liste_N_Bedarf,7,0),IF(F5="hoch 1",VLOOKUP(C5,Liste_N_Bedarf,10,0),IF(F5="hoch 1 Nitratrisikogebiet",VLOOKUP(C5,Liste_N_Bedarf,10,0),IF(F5="hoch 2",VLOOKUP(C5,Liste_N_Bedarf,13,0),IF(F5="hoch 2 Nitratrisikogebiet",VLOOKUP(C5,Liste_N_Bedarf,13,0),IF(F5="hoch 3",VLOOKUP(C5,Liste_N_Bedarf,16,0),IF(F5="hoch 3 Nitratrisikogebiet",VLOOKUP(C5,Liste_N_Bedarf,16,0))))))))))))),"")</f>
        <v/>
      </c>
      <c r="AQ5" s="472">
        <f>IF(J5&gt;0,E5,0)</f>
        <v>0</v>
      </c>
      <c r="AR5" s="472">
        <f t="shared" ref="AR5:AR17" si="4">IF(ISBLANK(F5),0,VLOOKUP(C5,Liste_N_Bedarf,17,0))</f>
        <v>0</v>
      </c>
      <c r="AS5" s="472">
        <f t="shared" ref="AS5:AS17" si="5">IF(F5="niedrig",VLOOKUP(C5,Liste_N_Bedarf,2,0),IF(F5="niedrig Nitratrisikogebiet",VLOOKUP(C5,Liste_N_Bedarf,3,0),IF(F5="mittel",VLOOKUP(C5,Liste_N_Bedarf,5,0),IF(F5="mittel Nitratrisikogebiet",VLOOKUP(C5,Liste_N_Bedarf,6,0),IF(F5="hoch 1",VLOOKUP(C5,Liste_N_Bedarf,8,0),IF(F5="hoch 1 Nitratrisikogebiet",VLOOKUP(C5,Liste_N_Bedarf,9,0),IF(F5="hoch 2",VLOOKUP(C5,Liste_N_Bedarf,11,0),IF(F5="hoch 2 Nitratrisikogebiet",VLOOKUP(C5,Liste_N_Bedarf,12,0),IF(F5="hoch 3",VLOOKUP(C5,Liste_N_Bedarf,14,0),IF(F5="hoch 3 Nitratrisikogebiet",VLOOKUP(C5,Liste_N_Bedarf,15,0),0))))))))))</f>
        <v>0</v>
      </c>
      <c r="AT5" s="472">
        <f t="shared" ref="AT5:AT17" si="6">IF(OR(F5="niedrig",F5="niedrig Nitratrisikogebiet"),VLOOKUP(C5,Liste_P_Bedarf,2,0),IF(OR(F5="mittel",F5="mittel Nitratrisikogebiet"),VLOOKUP(C5,Liste_P_Bedarf,3,0),IF(OR(F5="hoch 1",F5="hoch 1 Nitratrisikogebiet"),VLOOKUP(C5,Liste_P_Bedarf,4,0),IF(OR(F5="hoch 2",F5="hoch 2 Nitratrisikogebiet"),VLOOKUP(C5,Liste_P_Bedarf,4,0),IF(OR(F5="hoch 3",F5="hoch 3 Nitratrisikogebiet"),VLOOKUP(C5,Liste_P_Bedarf,4,0),0)))))</f>
        <v>0</v>
      </c>
      <c r="AU5" s="472">
        <f t="shared" ref="AU5:AU17" si="7">IF(OR(F5="niedrig",F5="niedrig Nitratrisikogebiet"),VLOOKUP(C5,Liste_K_Bedarf,2,0),IF(OR(F5="mittel",F5="mittel Nitratrisikogebiet"),VLOOKUP(C5,Liste_K_Bedarf,3,0),IF(OR(F5="hoch 1",F5="hoch 1 Nitratrisikogebiet"),VLOOKUP(C5,Liste_K_Bedarf,4,0),IF(OR(F5="hoch 2",F5="hoch 2 Nitratrisikogebiet"),VLOOKUP(C5,Liste_K_Bedarf,4,0),IF(OR(F5="hoch 3",F5="hoch 3 Nitratrisikogebiet"),VLOOKUP(C5,Liste_K_Bedarf,4,0),0)))))</f>
        <v>0</v>
      </c>
      <c r="AV5" s="472">
        <f t="shared" ref="AV5:AV17" si="8">IF(ISBLANK(F5),0,VLOOKUP(C5,Liste_K_Bedarf,5,0))</f>
        <v>0</v>
      </c>
      <c r="AW5" s="472">
        <f>IFERROR(IF(ISBLANK(F5),0,VLOOKUP(C5,Liste_N_Bedarf,18,0)),0)</f>
        <v>0</v>
      </c>
      <c r="AX5" s="1722" t="s">
        <v>2375</v>
      </c>
      <c r="AY5" s="681">
        <v>105</v>
      </c>
      <c r="AZ5" s="681">
        <v>95</v>
      </c>
      <c r="BA5" s="681" t="s">
        <v>2770</v>
      </c>
      <c r="BB5" s="681">
        <v>145</v>
      </c>
      <c r="BC5" s="681">
        <v>130</v>
      </c>
      <c r="BD5" s="1915" t="s">
        <v>2763</v>
      </c>
      <c r="BE5" s="681">
        <v>170</v>
      </c>
      <c r="BF5" s="681">
        <v>150</v>
      </c>
      <c r="BG5" s="1915" t="s">
        <v>2764</v>
      </c>
      <c r="BH5" s="681">
        <v>180</v>
      </c>
      <c r="BI5" s="681">
        <v>160</v>
      </c>
      <c r="BJ5" s="1915" t="s">
        <v>2765</v>
      </c>
      <c r="BK5" s="681">
        <v>195</v>
      </c>
      <c r="BL5" s="681">
        <v>175</v>
      </c>
      <c r="BM5" s="1915" t="s">
        <v>2805</v>
      </c>
      <c r="BN5" s="471" t="s">
        <v>1764</v>
      </c>
      <c r="BO5" s="821" t="s">
        <v>1764</v>
      </c>
      <c r="BP5"/>
      <c r="BQ5" s="1722" t="s">
        <v>2375</v>
      </c>
      <c r="BR5" s="470">
        <v>50</v>
      </c>
      <c r="BS5" s="470">
        <v>55</v>
      </c>
      <c r="BT5" s="470">
        <v>65</v>
      </c>
      <c r="BU5"/>
      <c r="BV5" s="1722" t="s">
        <v>2375</v>
      </c>
      <c r="BW5" s="470">
        <v>70</v>
      </c>
      <c r="BX5" s="470">
        <v>80</v>
      </c>
      <c r="BY5" s="470">
        <v>90</v>
      </c>
      <c r="BZ5" s="810" t="e">
        <f>IF(#REF!="ja",CA5,IF($V$27="nein",0,0))</f>
        <v>#REF!</v>
      </c>
      <c r="CA5" s="470">
        <v>50</v>
      </c>
      <c r="CB5"/>
      <c r="CC5" s="1658">
        <f>IFERROR(COUNTIF(Ackerkulturen[Ackerkulturen],N_Bedarf!$C7),0)</f>
        <v>0</v>
      </c>
      <c r="CD5"/>
      <c r="CE5" s="1835" t="s">
        <v>1727</v>
      </c>
      <c r="CF5" s="1834" t="str">
        <f>IFERROR(INDEX(N_Bedarf!$CE$2:$CE$141,_xlfn.AGGREGATE(15,6,(ROW(N_Bedarf!$CE$2:$CE$141)-1)/(--(SEARCH(CG$2,N_Bedarf!$CE$2:$CE$141)&gt;0)),ROW()-2),1),"")</f>
        <v>Winterhartweizen (Durum)</v>
      </c>
      <c r="CG5" s="1830"/>
      <c r="CH5" s="1834" t="str">
        <f>IFERROR(INDEX(N_Bedarf!$CE$2:$CE$141,_xlfn.AGGREGATE(15,6,(ROW(N_Bedarf!$CE$2:$CE$141)-1)/(--(SEARCH(CI$2,N_Bedarf!$CE$2:$CE$141)&gt;0)),ROW()-2),1),"")</f>
        <v>Winterhartweizen (Durum)</v>
      </c>
      <c r="CI5" s="1830"/>
      <c r="CJ5" s="1834" t="str">
        <f>IFERROR(INDEX(N_Bedarf!$CE$2:$CE$141,_xlfn.AGGREGATE(15,6,(ROW(N_Bedarf!$CE$2:$CE$141)-1)/(--(SEARCH(CK$2,N_Bedarf!$CE$2:$CE$141)&gt;0)),ROW()-2),1),"")</f>
        <v>Winterhartweizen (Durum)</v>
      </c>
      <c r="CK5" s="1830"/>
      <c r="CL5" s="1834" t="str">
        <f>IFERROR(INDEX(N_Bedarf!$CE$2:$CE$141,_xlfn.AGGREGATE(15,6,(ROW(N_Bedarf!$CE$2:$CE$141)-1)/(--(SEARCH(CM$2,N_Bedarf!$CE$2:$CE$141)&gt;0)),ROW()-2),1),"")</f>
        <v>Winterhartweizen (Durum)</v>
      </c>
      <c r="CM5" s="1830"/>
      <c r="CN5" s="1834" t="str">
        <f>IFERROR(INDEX(N_Bedarf!$CE$2:$CE$141,_xlfn.AGGREGATE(15,6,(ROW(N_Bedarf!$CE$2:$CE$141)-1)/(--(SEARCH(CO$2,N_Bedarf!$CE$2:$CE$141)&gt;0)),ROW()-2),1),"")</f>
        <v>Winterhartweizen (Durum)</v>
      </c>
      <c r="CO5" s="1830"/>
      <c r="CP5" s="1834" t="str">
        <f>IFERROR(INDEX(N_Bedarf!$CE$2:$CE$141,_xlfn.AGGREGATE(15,6,(ROW(N_Bedarf!$CE$2:$CE$141)-1)/(--(SEARCH(CQ$2,N_Bedarf!$CE$2:$CE$141)&gt;0)),ROW()-2),1),"")</f>
        <v>Winterhartweizen (Durum)</v>
      </c>
      <c r="CQ5" s="1830"/>
      <c r="CR5" s="1834" t="str">
        <f>IFERROR(INDEX(N_Bedarf!$CE$2:$CE$141,_xlfn.AGGREGATE(15,6,(ROW(N_Bedarf!$CE$2:$CE$141)-1)/(--(SEARCH(CS$2,N_Bedarf!$CE$2:$CE$141)&gt;0)),ROW()-2),1),"")</f>
        <v>Winterhartweizen (Durum)</v>
      </c>
      <c r="CS5" s="1830"/>
      <c r="CT5" s="1834" t="str">
        <f>IFERROR(INDEX(N_Bedarf!$CE$2:$CE$141,_xlfn.AGGREGATE(15,6,(ROW(N_Bedarf!$CE$2:$CE$141)-1)/(--(SEARCH(CU$2,N_Bedarf!$CE$2:$CE$141)&gt;0)),ROW()-2),1),"")</f>
        <v>Winterhartweizen (Durum)</v>
      </c>
      <c r="CU5" s="1830"/>
      <c r="CV5" s="1834" t="str">
        <f>IFERROR(INDEX(N_Bedarf!$CE$2:$CE$141,_xlfn.AGGREGATE(15,6,(ROW(N_Bedarf!$CE$2:$CE$141)-1)/(--(SEARCH(CW$2,N_Bedarf!$CE$2:$CE$141)&gt;0)),ROW()-2),1),"")</f>
        <v>Winterhartweizen (Durum)</v>
      </c>
      <c r="CW5" s="1830"/>
      <c r="CX5" s="1834" t="str">
        <f>IFERROR(INDEX(N_Bedarf!$CE$2:$CE$141,_xlfn.AGGREGATE(15,6,(ROW(N_Bedarf!$CE$2:$CE$141)-1)/(--(SEARCH(CY$2,N_Bedarf!$CE$2:$CE$141)&gt;0)),ROW()-2),1),"")</f>
        <v>Winterhartweizen (Durum)</v>
      </c>
      <c r="CY5" s="1830"/>
      <c r="CZ5" s="1834" t="str">
        <f>IFERROR(INDEX(N_Bedarf!$CE$2:$CE$141,_xlfn.AGGREGATE(15,6,(ROW(N_Bedarf!$CE$2:$CE$141)-1)/(--(SEARCH(DA$2,N_Bedarf!$CE$2:$CE$141)&gt;0)),ROW()-2),1),"")</f>
        <v>Winterhartweizen (Durum)</v>
      </c>
      <c r="DA5" s="1830"/>
      <c r="DB5" s="1834" t="str">
        <f>IFERROR(INDEX(N_Bedarf!$CE$2:$CE$141,_xlfn.AGGREGATE(15,6,(ROW(N_Bedarf!$CE$2:$CE$141)-1)/(--(SEARCH(DC$2,N_Bedarf!$CE$2:$CE$141)&gt;0)),ROW()-2),1),"")</f>
        <v>Winterhartweizen (Durum)</v>
      </c>
      <c r="DC5" s="1830"/>
      <c r="DD5" s="1834" t="str">
        <f>IFERROR(INDEX(N_Bedarf!$CE$2:$CE$141,_xlfn.AGGREGATE(15,6,(ROW(N_Bedarf!$CE$2:$CE$141)-1)/(--(SEARCH(DE$2,N_Bedarf!$CE$2:$CE$141)&gt;0)),ROW()-2),1),"")</f>
        <v>Winterhartweizen (Durum)</v>
      </c>
      <c r="DE5" s="1830"/>
      <c r="DF5" s="2353" t="str">
        <f t="array" ref="DF5">IFERROR(INDEX(N_Bedarf!$CE$2:$CE$141,_xlfn.AGGREGATE(15,6,(ROW(N_Bedarf!$CE$2:$CE$141)-1)/(--(SEARCH(DG$2,N_Bedarf!$CE$2:$CE$141)&gt;0)),ROW()-2),1),"")</f>
        <v>Winterhartweizen (Durum)</v>
      </c>
      <c r="DG5" s="2353"/>
      <c r="DH5" s="2355" t="str">
        <f t="array" ref="DH5">IFERROR(INDEX(N_Bedarf!$CE$2:$CE$141,_xlfn.AGGREGATE(15,6,(ROW(N_Bedarf!$CE$2:$CE$141)-1)/(--(SEARCH(DI$2,N_Bedarf!$CE$2:$CE$141)&gt;0)),ROW()-2),1),"")</f>
        <v>Winterhartweizen (Durum)</v>
      </c>
      <c r="DI5" s="2355"/>
      <c r="DJ5" s="2356" t="str">
        <f t="array" ref="DJ5">IFERROR(INDEX(N_Bedarf!$CE$2:$CE$141,_xlfn.AGGREGATE(15,6,(ROW(N_Bedarf!$CE$2:$CE$141)-1)/(--(SEARCH(DK$2,N_Bedarf!$CE$2:$CE$141)&gt;0)),ROW()-2),1),"")</f>
        <v>Winterhartweizen (Durum)</v>
      </c>
      <c r="DK5" s="2356"/>
      <c r="DL5" s="2356" t="str">
        <f t="array" ref="DL5">IFERROR(INDEX(N_Bedarf!$CE$2:$CE$141,_xlfn.AGGREGATE(15,6,(ROW(N_Bedarf!$CE$2:$CE$141)-1)/(--(SEARCH(DM$2,N_Bedarf!$CE$2:$CE$141)&gt;0)),ROW()-2),1),"")</f>
        <v>Winterhartweizen (Durum)</v>
      </c>
      <c r="DM5" s="2356"/>
      <c r="DN5" s="2356" t="str">
        <f t="array" ref="DN5">IFERROR(INDEX(N_Bedarf!$CE$2:$CE$141,_xlfn.AGGREGATE(15,6,(ROW(N_Bedarf!$CE$2:$CE$141)-1)/(--(SEARCH(DO$2,N_Bedarf!$CE$2:$CE$141)&gt;0)),ROW()-2),1),"")</f>
        <v>Winterhartweizen (Durum)</v>
      </c>
      <c r="DO5" s="2356"/>
      <c r="DP5" s="2356" t="str">
        <f t="array" ref="DP5">IFERROR(INDEX(N_Bedarf!$CE$2:$CE$141,_xlfn.AGGREGATE(15,6,(ROW(N_Bedarf!$CE$2:$CE$141)-1)/(--(SEARCH(DQ$2,N_Bedarf!$CE$2:$CE$141)&gt;0)),ROW()-2),1),"")</f>
        <v>Winterhartweizen (Durum)</v>
      </c>
      <c r="DQ5" s="2356"/>
      <c r="DR5" s="2356" t="str">
        <f t="array" ref="DR5">IFERROR(INDEX(N_Bedarf!$CE$2:$CE$141,_xlfn.AGGREGATE(15,6,(ROW(N_Bedarf!$CE$2:$CE$141)-1)/(--(SEARCH(DS$2,N_Bedarf!$CE$2:$CE$141)&gt;0)),ROW()-2),1),"")</f>
        <v>Winterhartweizen (Durum)</v>
      </c>
      <c r="DS5" s="2356"/>
      <c r="DT5" s="2356" t="str">
        <f t="array" ref="DT5">IFERROR(INDEX(N_Bedarf!$CE$2:$CE$141,_xlfn.AGGREGATE(15,6,(ROW(N_Bedarf!$CE$2:$CE$141)-1)/(--(SEARCH(DU$2,N_Bedarf!$CE$2:$CE$141)&gt;0)),ROW()-2),1),"")</f>
        <v>Winterhartweizen (Durum)</v>
      </c>
      <c r="DU5" s="2356"/>
      <c r="DV5" s="2356" t="str">
        <f t="array" ref="DV5">IFERROR(INDEX(N_Bedarf!$CE$2:$CE$141,_xlfn.AGGREGATE(15,6,(ROW(N_Bedarf!$CE$2:$CE$141)-1)/(--(SEARCH(DW$2,N_Bedarf!$CE$2:$CE$141)&gt;0)),ROW()-2),1),"")</f>
        <v>Winterhartweizen (Durum)</v>
      </c>
      <c r="DW5" s="2356"/>
      <c r="DX5" s="2356" t="str">
        <f t="array" ref="DX5">IFERROR(INDEX(N_Bedarf!$CE$2:$CE$141,_xlfn.AGGREGATE(15,6,(ROW(N_Bedarf!$CE$2:$CE$141)-1)/(--(SEARCH(DY$2,N_Bedarf!$CE$2:$CE$141)&gt;0)),ROW()-2),1),"")</f>
        <v>Winterhartweizen (Durum)</v>
      </c>
      <c r="DY5" s="2356"/>
      <c r="DZ5" s="2356" t="str">
        <f t="array" ref="DZ5">IFERROR(INDEX(N_Bedarf!$CE$2:$CE$141,_xlfn.AGGREGATE(15,6,(ROW(N_Bedarf!$CE$2:$CE$141)-1)/(--(SEARCH(EA$2,N_Bedarf!$CE$2:$CE$141)&gt;0)),ROW()-2),1),"")</f>
        <v>Winterhartweizen (Durum)</v>
      </c>
      <c r="EA5" s="2356"/>
      <c r="EB5" s="2356" t="str">
        <f t="array" ref="EB5">IFERROR(INDEX(N_Bedarf!$CE$2:$CE$141,_xlfn.AGGREGATE(15,6,(ROW(N_Bedarf!$CE$2:$CE$141)-1)/(--(SEARCH(EC$2,N_Bedarf!$CE$2:$CE$141)&gt;0)),ROW()-2),1),"")</f>
        <v>Winterhartweizen (Durum)</v>
      </c>
      <c r="EC5" s="2356"/>
      <c r="ED5"/>
      <c r="EE5"/>
      <c r="EF5" s="394" t="s">
        <v>2002</v>
      </c>
      <c r="EG5" t="str">
        <f>IFERROR(INDEX(Liste_Grünland_DropDown[Grünland],_xlfn.AGGREGATE(15,6,(ROW(Liste_Grünland_DropDown[Grünland])-1)/(--(SEARCH(EH$2,Liste_Grünland_DropDown[Grünland])&gt;0)),ROW()-2),1),"")</f>
        <v>Dauerweide</v>
      </c>
      <c r="EH5" s="156" t="str">
        <f>IF(N_Bedarf!$C60="","",IF(COUNTIF(Liste_Grünland_DropDown[Grünland],N_Bedarf!$C60),"",N_Bedarf!$C60))</f>
        <v/>
      </c>
      <c r="EI5" t="str">
        <f>IFERROR(INDEX(Liste_Grünland_DropDown[Grünland],_xlfn.AGGREGATE(15,6,(ROW(Liste_Grünland_DropDown[Grünland])-1)/(--(SEARCH(EJ$2,Liste_Grünland_DropDown[Grünland])&gt;0)),ROW()-2),1),"")</f>
        <v>Dauerweide</v>
      </c>
      <c r="EJ5"/>
      <c r="EK5" t="str">
        <f>IFERROR(INDEX(Liste_Grünland_DropDown[Grünland],_xlfn.AGGREGATE(15,6,(ROW(Liste_Grünland_DropDown[Grünland])-1)/(--(SEARCH(EL$2,Liste_Grünland_DropDown[Grünland])&gt;0)),ROW()-2),1),"")</f>
        <v>Dauerweide</v>
      </c>
      <c r="EL5"/>
      <c r="EM5" t="str">
        <f>IFERROR(INDEX(Liste_Grünland_DropDown[Grünland],_xlfn.AGGREGATE(15,6,(ROW(Liste_Grünland_DropDown[Grünland])-1)/(--(SEARCH(EN$2,Liste_Grünland_DropDown[Grünland])&gt;0)),ROW()-2),1),"")</f>
        <v>Dauerweide</v>
      </c>
      <c r="EN5"/>
      <c r="EO5" t="str">
        <f t="array" ref="EO5">IFERROR(INDEX(Liste_Grünland_DropDown[Grünland],_xlfn.AGGREGATE(15,6,(ROW(Liste_Grünland_DropDown[Grünland])-1)/(--(SEARCH(EP$2,Liste_Grünland_DropDown[Grünland])&gt;0)),ROW()-2),1),"")</f>
        <v>Dauerweide</v>
      </c>
      <c r="EP5"/>
      <c r="EQ5" t="str">
        <f>IFERROR(INDEX(Liste_Grünland_DropDown[Grünland],_xlfn.AGGREGATE(15,6,(ROW(Liste_Grünland_DropDown[Grünland])-1)/(--(SEARCH(ER$2,Liste_Grünland_DropDown[Grünland])&gt;0)),ROW()-2),1),"")</f>
        <v>Dauerweide</v>
      </c>
      <c r="ER5"/>
      <c r="EU5" s="1725" t="s">
        <v>1704</v>
      </c>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row>
    <row r="6" spans="1:291" ht="27" customHeight="1" thickTop="1" thickBot="1">
      <c r="A6" s="287" t="s">
        <v>1260</v>
      </c>
      <c r="B6" s="421" t="str">
        <f t="shared" si="0"/>
        <v xml:space="preserve">b - </v>
      </c>
      <c r="C6" s="2475"/>
      <c r="D6" s="2476"/>
      <c r="E6" s="912"/>
      <c r="F6" s="913"/>
      <c r="G6" s="1916" t="str">
        <f t="shared" ref="G6:G54" si="9">IF(ISERROR(AP6),"",AP6)</f>
        <v/>
      </c>
      <c r="H6" s="2296"/>
      <c r="I6" s="914">
        <f t="shared" ref="I6:I29" si="10">IFERROR(IF(AND(ISNA(AS6),ISBLANK(C6)),0,IF(AND(ISNA(AS6),ISBLANK(H6)),0,IF(AND(ISNA(AS6),H6&gt;0),H6,IF(AND(AS6&gt;0,H6&lt;AS6),AS6,AS6)))),"")</f>
        <v>0</v>
      </c>
      <c r="J6" s="2297">
        <f t="shared" ref="J6:J29" si="11">IFERROR(IF(AND(I6&gt;H6,H6&lt;&gt;""),H6*E6,I6*E6),0)</f>
        <v>0</v>
      </c>
      <c r="K6" s="2299"/>
      <c r="L6" s="915">
        <f t="shared" si="1"/>
        <v>0</v>
      </c>
      <c r="M6" s="2298">
        <f t="shared" si="2"/>
        <v>0</v>
      </c>
      <c r="N6" s="2557" t="s">
        <v>1259</v>
      </c>
      <c r="O6" s="2558"/>
      <c r="P6" s="2558"/>
      <c r="Q6" s="1709"/>
      <c r="R6" s="1707">
        <v>20</v>
      </c>
      <c r="S6" s="1710">
        <f>R6*Q6</f>
        <v>0</v>
      </c>
      <c r="T6" s="770"/>
      <c r="U6" s="2582"/>
      <c r="V6" s="2583"/>
      <c r="W6" s="2583"/>
      <c r="X6" s="2584"/>
      <c r="Y6" s="768"/>
      <c r="Z6" s="768"/>
      <c r="AA6" s="768"/>
      <c r="AB6" s="768"/>
      <c r="AC6" s="768"/>
      <c r="AD6" s="768"/>
      <c r="AE6" s="768"/>
      <c r="AF6" s="768"/>
      <c r="AG6" s="768"/>
      <c r="AH6" s="768"/>
      <c r="AI6" s="768"/>
      <c r="AJ6" s="768"/>
      <c r="AK6" s="768"/>
      <c r="AL6" s="768"/>
      <c r="AM6" s="768"/>
      <c r="AN6" s="768"/>
      <c r="AO6" s="768">
        <f>IF(OR(N_Bedarf!$F6="hoch 1",N_Bedarf!$F6="hoch 1 Nitratrisikogebiet",N_Bedarf!$F6="hoch 2",N_Bedarf!$F6="hoch 2 Nitratrisikogebiet",N_Bedarf!$F6="hoch 3",N_Bedarf!$F6="hoch 3 Nitratrisikogebiet"),1,0)</f>
        <v>0</v>
      </c>
      <c r="AP6" s="1568" t="str">
        <f t="shared" si="3"/>
        <v/>
      </c>
      <c r="AQ6" s="472">
        <f t="shared" ref="AQ6:AQ17" si="12">IF(J6&gt;0,E6,0)</f>
        <v>0</v>
      </c>
      <c r="AR6" s="472">
        <f>IF(ISBLANK(F6),0,VLOOKUP(C6,Liste_N_Bedarf,17,0))</f>
        <v>0</v>
      </c>
      <c r="AS6" s="472">
        <f t="shared" si="5"/>
        <v>0</v>
      </c>
      <c r="AT6" s="472">
        <f t="shared" si="6"/>
        <v>0</v>
      </c>
      <c r="AU6" s="472">
        <f t="shared" si="7"/>
        <v>0</v>
      </c>
      <c r="AV6" s="472">
        <f t="shared" si="8"/>
        <v>0</v>
      </c>
      <c r="AW6" s="472">
        <f t="shared" ref="AW6:AW17" si="13">IFERROR(IF(ISBLANK(F6),0,VLOOKUP(C6,Liste_N_Bedarf,18,0)),0)</f>
        <v>0</v>
      </c>
      <c r="AX6" s="1722" t="s">
        <v>2376</v>
      </c>
      <c r="AY6" s="681">
        <v>105</v>
      </c>
      <c r="AZ6" s="681">
        <v>95</v>
      </c>
      <c r="BA6" s="681" t="s">
        <v>2771</v>
      </c>
      <c r="BB6" s="681">
        <v>145</v>
      </c>
      <c r="BC6" s="681">
        <v>130</v>
      </c>
      <c r="BD6" s="1915" t="s">
        <v>2766</v>
      </c>
      <c r="BE6" s="681">
        <v>170</v>
      </c>
      <c r="BF6" s="681">
        <v>150</v>
      </c>
      <c r="BG6" s="1915" t="s">
        <v>2767</v>
      </c>
      <c r="BH6" s="681">
        <v>180</v>
      </c>
      <c r="BI6" s="681">
        <v>160</v>
      </c>
      <c r="BJ6" s="1915" t="s">
        <v>2901</v>
      </c>
      <c r="BK6" s="681">
        <v>195</v>
      </c>
      <c r="BL6" s="681">
        <v>175</v>
      </c>
      <c r="BM6" s="1915" t="s">
        <v>2807</v>
      </c>
      <c r="BN6" s="471" t="s">
        <v>1764</v>
      </c>
      <c r="BO6" s="821" t="s">
        <v>1764</v>
      </c>
      <c r="BP6"/>
      <c r="BQ6" s="1722" t="s">
        <v>2376</v>
      </c>
      <c r="BR6" s="470">
        <v>50</v>
      </c>
      <c r="BS6" s="470">
        <v>55</v>
      </c>
      <c r="BT6" s="470">
        <v>65</v>
      </c>
      <c r="BU6"/>
      <c r="BV6" s="1722" t="s">
        <v>2376</v>
      </c>
      <c r="BW6" s="470">
        <v>70</v>
      </c>
      <c r="BX6" s="470">
        <v>80</v>
      </c>
      <c r="BY6" s="470">
        <v>90</v>
      </c>
      <c r="BZ6" s="810" t="e">
        <f>IF(#REF!="ja",CA6,IF($V$27="nein",0,0))</f>
        <v>#REF!</v>
      </c>
      <c r="CA6" s="470">
        <v>50</v>
      </c>
      <c r="CB6"/>
      <c r="CC6" s="1658">
        <f>IFERROR(COUNTIF(Ackerkulturen[Ackerkulturen],N_Bedarf!$C8),0)</f>
        <v>0</v>
      </c>
      <c r="CD6"/>
      <c r="CE6" s="1833" t="s">
        <v>1713</v>
      </c>
      <c r="CF6" s="1834" t="str">
        <f>IFERROR(INDEX(N_Bedarf!$CE$2:$CE$141,_xlfn.AGGREGATE(15,6,(ROW(N_Bedarf!$CE$2:$CE$141)-1)/(--(SEARCH(CG$2,N_Bedarf!$CE$2:$CE$141)&gt;0)),ROW()-2),1),"")</f>
        <v>Winterdinkel (Spelzenanteil ca.30 %)</v>
      </c>
      <c r="CG6" s="1836"/>
      <c r="CH6" s="1834" t="str">
        <f>IFERROR(INDEX(N_Bedarf!$CE$2:$CE$141,_xlfn.AGGREGATE(15,6,(ROW(N_Bedarf!$CE$2:$CE$141)-1)/(--(SEARCH(CI$2,N_Bedarf!$CE$2:$CE$141)&gt;0)),ROW()-2),1),"")</f>
        <v>Winterdinkel (Spelzenanteil ca.30 %)</v>
      </c>
      <c r="CI6" s="1836"/>
      <c r="CJ6" s="1834" t="str">
        <f>IFERROR(INDEX(N_Bedarf!$CE$2:$CE$141,_xlfn.AGGREGATE(15,6,(ROW(N_Bedarf!$CE$2:$CE$141)-1)/(--(SEARCH(CK$2,N_Bedarf!$CE$2:$CE$141)&gt;0)),ROW()-2),1),"")</f>
        <v>Winterdinkel (Spelzenanteil ca.30 %)</v>
      </c>
      <c r="CK6" s="1836"/>
      <c r="CL6" s="1834" t="str">
        <f>IFERROR(INDEX(N_Bedarf!$CE$2:$CE$141,_xlfn.AGGREGATE(15,6,(ROW(N_Bedarf!$CE$2:$CE$141)-1)/(--(SEARCH(CM$2,N_Bedarf!$CE$2:$CE$141)&gt;0)),ROW()-2),1),"")</f>
        <v>Winterdinkel (Spelzenanteil ca.30 %)</v>
      </c>
      <c r="CM6" s="1836"/>
      <c r="CN6" s="1834" t="str">
        <f>IFERROR(INDEX(N_Bedarf!$CE$2:$CE$141,_xlfn.AGGREGATE(15,6,(ROW(N_Bedarf!$CE$2:$CE$141)-1)/(--(SEARCH(CO$2,N_Bedarf!$CE$2:$CE$141)&gt;0)),ROW()-2),1),"")</f>
        <v>Winterdinkel (Spelzenanteil ca.30 %)</v>
      </c>
      <c r="CO6" s="1836"/>
      <c r="CP6" s="1834" t="str">
        <f>IFERROR(INDEX(N_Bedarf!$CE$2:$CE$141,_xlfn.AGGREGATE(15,6,(ROW(N_Bedarf!$CE$2:$CE$141)-1)/(--(SEARCH(CQ$2,N_Bedarf!$CE$2:$CE$141)&gt;0)),ROW()-2),1),"")</f>
        <v>Winterdinkel (Spelzenanteil ca.30 %)</v>
      </c>
      <c r="CQ6" s="1836"/>
      <c r="CR6" s="1834" t="str">
        <f>IFERROR(INDEX(N_Bedarf!$CE$2:$CE$141,_xlfn.AGGREGATE(15,6,(ROW(N_Bedarf!$CE$2:$CE$141)-1)/(--(SEARCH(CS$2,N_Bedarf!$CE$2:$CE$141)&gt;0)),ROW()-2),1),"")</f>
        <v>Winterdinkel (Spelzenanteil ca.30 %)</v>
      </c>
      <c r="CS6" s="1836"/>
      <c r="CT6" s="1834" t="str">
        <f>IFERROR(INDEX(N_Bedarf!$CE$2:$CE$141,_xlfn.AGGREGATE(15,6,(ROW(N_Bedarf!$CE$2:$CE$141)-1)/(--(SEARCH(CU$2,N_Bedarf!$CE$2:$CE$141)&gt;0)),ROW()-2),1),"")</f>
        <v>Winterdinkel (Spelzenanteil ca.30 %)</v>
      </c>
      <c r="CU6" s="1836"/>
      <c r="CV6" s="1834" t="str">
        <f>IFERROR(INDEX(N_Bedarf!$CE$2:$CE$141,_xlfn.AGGREGATE(15,6,(ROW(N_Bedarf!$CE$2:$CE$141)-1)/(--(SEARCH(CW$2,N_Bedarf!$CE$2:$CE$141)&gt;0)),ROW()-2),1),"")</f>
        <v>Winterdinkel (Spelzenanteil ca.30 %)</v>
      </c>
      <c r="CW6" s="1836"/>
      <c r="CX6" s="1834" t="str">
        <f>IFERROR(INDEX(N_Bedarf!$CE$2:$CE$141,_xlfn.AGGREGATE(15,6,(ROW(N_Bedarf!$CE$2:$CE$141)-1)/(--(SEARCH(CY$2,N_Bedarf!$CE$2:$CE$141)&gt;0)),ROW()-2),1),"")</f>
        <v>Winterdinkel (Spelzenanteil ca.30 %)</v>
      </c>
      <c r="CY6" s="1836"/>
      <c r="CZ6" s="1834" t="str">
        <f>IFERROR(INDEX(N_Bedarf!$CE$2:$CE$141,_xlfn.AGGREGATE(15,6,(ROW(N_Bedarf!$CE$2:$CE$141)-1)/(--(SEARCH(DA$2,N_Bedarf!$CE$2:$CE$141)&gt;0)),ROW()-2),1),"")</f>
        <v>Winterdinkel (Spelzenanteil ca.30 %)</v>
      </c>
      <c r="DA6" s="1836"/>
      <c r="DB6" s="1834" t="str">
        <f>IFERROR(INDEX(N_Bedarf!$CE$2:$CE$141,_xlfn.AGGREGATE(15,6,(ROW(N_Bedarf!$CE$2:$CE$141)-1)/(--(SEARCH(DC$2,N_Bedarf!$CE$2:$CE$141)&gt;0)),ROW()-2),1),"")</f>
        <v>Winterdinkel (Spelzenanteil ca.30 %)</v>
      </c>
      <c r="DC6" s="1836"/>
      <c r="DD6" s="1834" t="str">
        <f>IFERROR(INDEX(N_Bedarf!$CE$2:$CE$141,_xlfn.AGGREGATE(15,6,(ROW(N_Bedarf!$CE$2:$CE$141)-1)/(--(SEARCH(DE$2,N_Bedarf!$CE$2:$CE$141)&gt;0)),ROW()-2),1),"")</f>
        <v>Winterdinkel (Spelzenanteil ca.30 %)</v>
      </c>
      <c r="DE6" s="1836"/>
      <c r="DF6" s="2353" t="str">
        <f t="array" ref="DF6">IFERROR(INDEX(N_Bedarf!$CE$2:$CE$141,_xlfn.AGGREGATE(15,6,(ROW(N_Bedarf!$CE$2:$CE$141)-1)/(--(SEARCH(DG$2,N_Bedarf!$CE$2:$CE$141)&gt;0)),ROW()-2),1),"")</f>
        <v>Winterdinkel (Spelzenanteil ca.30 %)</v>
      </c>
      <c r="DG6" s="2353"/>
      <c r="DH6" s="2355" t="str">
        <f t="array" ref="DH6">IFERROR(INDEX(N_Bedarf!$CE$2:$CE$141,_xlfn.AGGREGATE(15,6,(ROW(N_Bedarf!$CE$2:$CE$141)-1)/(--(SEARCH(DI$2,N_Bedarf!$CE$2:$CE$141)&gt;0)),ROW()-2),1),"")</f>
        <v>Winterdinkel (Spelzenanteil ca.30 %)</v>
      </c>
      <c r="DI6" s="2355"/>
      <c r="DJ6" s="2356" t="str">
        <f t="array" ref="DJ6">IFERROR(INDEX(N_Bedarf!$CE$2:$CE$141,_xlfn.AGGREGATE(15,6,(ROW(N_Bedarf!$CE$2:$CE$141)-1)/(--(SEARCH(DK$2,N_Bedarf!$CE$2:$CE$141)&gt;0)),ROW()-2),1),"")</f>
        <v>Winterdinkel (Spelzenanteil ca.30 %)</v>
      </c>
      <c r="DK6" s="2356"/>
      <c r="DL6" s="2356" t="str">
        <f t="array" ref="DL6">IFERROR(INDEX(N_Bedarf!$CE$2:$CE$141,_xlfn.AGGREGATE(15,6,(ROW(N_Bedarf!$CE$2:$CE$141)-1)/(--(SEARCH(DM$2,N_Bedarf!$CE$2:$CE$141)&gt;0)),ROW()-2),1),"")</f>
        <v>Winterdinkel (Spelzenanteil ca.30 %)</v>
      </c>
      <c r="DM6" s="2356"/>
      <c r="DN6" s="2356" t="str">
        <f t="array" ref="DN6">IFERROR(INDEX(N_Bedarf!$CE$2:$CE$141,_xlfn.AGGREGATE(15,6,(ROW(N_Bedarf!$CE$2:$CE$141)-1)/(--(SEARCH(DO$2,N_Bedarf!$CE$2:$CE$141)&gt;0)),ROW()-2),1),"")</f>
        <v>Winterdinkel (Spelzenanteil ca.30 %)</v>
      </c>
      <c r="DO6" s="2356"/>
      <c r="DP6" s="2356" t="str">
        <f t="array" ref="DP6">IFERROR(INDEX(N_Bedarf!$CE$2:$CE$141,_xlfn.AGGREGATE(15,6,(ROW(N_Bedarf!$CE$2:$CE$141)-1)/(--(SEARCH(DQ$2,N_Bedarf!$CE$2:$CE$141)&gt;0)),ROW()-2),1),"")</f>
        <v>Winterdinkel (Spelzenanteil ca.30 %)</v>
      </c>
      <c r="DQ6" s="2356"/>
      <c r="DR6" s="2356" t="str">
        <f t="array" ref="DR6">IFERROR(INDEX(N_Bedarf!$CE$2:$CE$141,_xlfn.AGGREGATE(15,6,(ROW(N_Bedarf!$CE$2:$CE$141)-1)/(--(SEARCH(DS$2,N_Bedarf!$CE$2:$CE$141)&gt;0)),ROW()-2),1),"")</f>
        <v>Winterdinkel (Spelzenanteil ca.30 %)</v>
      </c>
      <c r="DS6" s="2356"/>
      <c r="DT6" s="2356" t="str">
        <f t="array" ref="DT6">IFERROR(INDEX(N_Bedarf!$CE$2:$CE$141,_xlfn.AGGREGATE(15,6,(ROW(N_Bedarf!$CE$2:$CE$141)-1)/(--(SEARCH(DU$2,N_Bedarf!$CE$2:$CE$141)&gt;0)),ROW()-2),1),"")</f>
        <v>Winterdinkel (Spelzenanteil ca.30 %)</v>
      </c>
      <c r="DU6" s="2356"/>
      <c r="DV6" s="2356" t="str">
        <f t="array" ref="DV6">IFERROR(INDEX(N_Bedarf!$CE$2:$CE$141,_xlfn.AGGREGATE(15,6,(ROW(N_Bedarf!$CE$2:$CE$141)-1)/(--(SEARCH(DW$2,N_Bedarf!$CE$2:$CE$141)&gt;0)),ROW()-2),1),"")</f>
        <v>Winterdinkel (Spelzenanteil ca.30 %)</v>
      </c>
      <c r="DW6" s="2356"/>
      <c r="DX6" s="2356" t="str">
        <f t="array" ref="DX6">IFERROR(INDEX(N_Bedarf!$CE$2:$CE$141,_xlfn.AGGREGATE(15,6,(ROW(N_Bedarf!$CE$2:$CE$141)-1)/(--(SEARCH(DY$2,N_Bedarf!$CE$2:$CE$141)&gt;0)),ROW()-2),1),"")</f>
        <v>Winterdinkel (Spelzenanteil ca.30 %)</v>
      </c>
      <c r="DY6" s="2356"/>
      <c r="DZ6" s="2356" t="str">
        <f t="array" ref="DZ6">IFERROR(INDEX(N_Bedarf!$CE$2:$CE$141,_xlfn.AGGREGATE(15,6,(ROW(N_Bedarf!$CE$2:$CE$141)-1)/(--(SEARCH(EA$2,N_Bedarf!$CE$2:$CE$141)&gt;0)),ROW()-2),1),"")</f>
        <v>Winterdinkel (Spelzenanteil ca.30 %)</v>
      </c>
      <c r="EA6" s="2356"/>
      <c r="EB6" s="2356" t="str">
        <f t="array" ref="EB6">IFERROR(INDEX(N_Bedarf!$CE$2:$CE$141,_xlfn.AGGREGATE(15,6,(ROW(N_Bedarf!$CE$2:$CE$141)-1)/(--(SEARCH(EC$2,N_Bedarf!$CE$2:$CE$141)&gt;0)),ROW()-2),1),"")</f>
        <v>Winterdinkel (Spelzenanteil ca.30 %)</v>
      </c>
      <c r="EC6" s="2356"/>
      <c r="ED6"/>
      <c r="EE6"/>
      <c r="EF6" s="394" t="s">
        <v>2003</v>
      </c>
      <c r="EG6" t="str">
        <f>IFERROR(INDEX(Liste_Grünland_DropDown[Grünland],_xlfn.AGGREGATE(15,6,(ROW(Liste_Grünland_DropDown[Grünland])-1)/(--(SEARCH(EH$2,Liste_Grünland_DropDown[Grünland])&gt;0)),ROW()-2),1),"")</f>
        <v>Mähweide (1 Schnitt + 1 bis 2 Weidegänge)</v>
      </c>
      <c r="EH6" s="156" t="str">
        <f>IF(N_Bedarf!$C61="","",IF(COUNTIF(Liste_Grünland_DropDown[Grünland],N_Bedarf!$C61),"",N_Bedarf!$C61))</f>
        <v/>
      </c>
      <c r="EI6" t="str">
        <f>IFERROR(INDEX(Liste_Grünland_DropDown[Grünland],_xlfn.AGGREGATE(15,6,(ROW(Liste_Grünland_DropDown[Grünland])-1)/(--(SEARCH(EJ$2,Liste_Grünland_DropDown[Grünland])&gt;0)),ROW()-2),1),"")</f>
        <v>Mähweide (1 Schnitt + 1 bis 2 Weidegänge)</v>
      </c>
      <c r="EJ6"/>
      <c r="EK6" t="str">
        <f>IFERROR(INDEX(Liste_Grünland_DropDown[Grünland],_xlfn.AGGREGATE(15,6,(ROW(Liste_Grünland_DropDown[Grünland])-1)/(--(SEARCH(EL$2,Liste_Grünland_DropDown[Grünland])&gt;0)),ROW()-2),1),"")</f>
        <v>Mähweide (1 Schnitt + 1 bis 2 Weidegänge)</v>
      </c>
      <c r="EL6"/>
      <c r="EM6" t="str">
        <f>IFERROR(INDEX(Liste_Grünland_DropDown[Grünland],_xlfn.AGGREGATE(15,6,(ROW(Liste_Grünland_DropDown[Grünland])-1)/(--(SEARCH(EN$2,Liste_Grünland_DropDown[Grünland])&gt;0)),ROW()-2),1),"")</f>
        <v>Mähweide (1 Schnitt + 1 bis 2 Weidegänge)</v>
      </c>
      <c r="EN6"/>
      <c r="EO6" t="str">
        <f t="array" ref="EO6">IFERROR(INDEX(Liste_Grünland_DropDown[Grünland],_xlfn.AGGREGATE(15,6,(ROW(Liste_Grünland_DropDown[Grünland])-1)/(--(SEARCH(EP$2,Liste_Grünland_DropDown[Grünland])&gt;0)),ROW()-2),1),"")</f>
        <v>Mähweide (1 Schnitt + 1 bis 2 Weidegänge)</v>
      </c>
      <c r="EP6"/>
      <c r="EQ6" t="str">
        <f>IFERROR(INDEX(Liste_Grünland_DropDown[Grünland],_xlfn.AGGREGATE(15,6,(ROW(Liste_Grünland_DropDown[Grünland])-1)/(--(SEARCH(ER$2,Liste_Grünland_DropDown[Grünland])&gt;0)),ROW()-2),1),"")</f>
        <v>Mähweide (1 Schnitt + 1 bis 2 Weidegänge)</v>
      </c>
      <c r="ER6"/>
      <c r="EU6" s="1669" t="s">
        <v>2359</v>
      </c>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row>
    <row r="7" spans="1:291" ht="27" customHeight="1" thickTop="1" thickBot="1">
      <c r="A7" s="287" t="s">
        <v>1262</v>
      </c>
      <c r="B7" s="421" t="str">
        <f t="shared" si="0"/>
        <v xml:space="preserve">c - </v>
      </c>
      <c r="C7" s="2475"/>
      <c r="D7" s="2476"/>
      <c r="E7" s="912"/>
      <c r="F7" s="913"/>
      <c r="G7" s="1916" t="str">
        <f t="shared" si="9"/>
        <v/>
      </c>
      <c r="H7" s="2296"/>
      <c r="I7" s="914">
        <f t="shared" si="10"/>
        <v>0</v>
      </c>
      <c r="J7" s="2297">
        <f t="shared" si="11"/>
        <v>0</v>
      </c>
      <c r="K7" s="2299"/>
      <c r="L7" s="915">
        <f t="shared" si="1"/>
        <v>0</v>
      </c>
      <c r="M7" s="2298">
        <f t="shared" si="2"/>
        <v>0</v>
      </c>
      <c r="N7" s="2534" t="s">
        <v>2411</v>
      </c>
      <c r="O7" s="2535"/>
      <c r="P7" s="2536"/>
      <c r="Q7" s="1709"/>
      <c r="R7" s="1707">
        <v>30</v>
      </c>
      <c r="S7" s="1711">
        <f>R7*Q7</f>
        <v>0</v>
      </c>
      <c r="T7" s="770"/>
      <c r="U7" s="2582"/>
      <c r="V7" s="2583"/>
      <c r="W7" s="2583"/>
      <c r="X7" s="2584"/>
      <c r="Y7" s="768"/>
      <c r="Z7" s="768"/>
      <c r="AA7" s="768"/>
      <c r="AB7" s="768"/>
      <c r="AC7" s="768"/>
      <c r="AD7" s="768"/>
      <c r="AE7" s="768"/>
      <c r="AF7" s="768"/>
      <c r="AG7" s="768"/>
      <c r="AH7" s="768"/>
      <c r="AI7" s="768"/>
      <c r="AJ7" s="768"/>
      <c r="AK7" s="768"/>
      <c r="AL7" s="768"/>
      <c r="AM7" s="768"/>
      <c r="AN7" s="768"/>
      <c r="AO7" s="768">
        <f>IF(OR(N_Bedarf!$F7="hoch 1",N_Bedarf!$F7="hoch 1 Nitratrisikogebiet",N_Bedarf!$F7="hoch 2",N_Bedarf!$F7="hoch 2 Nitratrisikogebiet",N_Bedarf!$F7="hoch 3",N_Bedarf!$F7="hoch 3 Nitratrisikogebiet"),1,0)</f>
        <v>0</v>
      </c>
      <c r="AP7" s="1568" t="str">
        <f t="shared" si="3"/>
        <v/>
      </c>
      <c r="AQ7" s="472">
        <f t="shared" si="12"/>
        <v>0</v>
      </c>
      <c r="AR7" s="472">
        <f t="shared" si="4"/>
        <v>0</v>
      </c>
      <c r="AS7" s="472">
        <f t="shared" si="5"/>
        <v>0</v>
      </c>
      <c r="AT7" s="472">
        <f t="shared" si="6"/>
        <v>0</v>
      </c>
      <c r="AU7" s="472">
        <f t="shared" si="7"/>
        <v>0</v>
      </c>
      <c r="AV7" s="472">
        <f t="shared" si="8"/>
        <v>0</v>
      </c>
      <c r="AW7" s="472">
        <f t="shared" si="13"/>
        <v>0</v>
      </c>
      <c r="AX7" s="1722" t="s">
        <v>1729</v>
      </c>
      <c r="AY7" s="681">
        <v>105</v>
      </c>
      <c r="AZ7" s="681">
        <v>95</v>
      </c>
      <c r="BA7" s="681" t="s">
        <v>2772</v>
      </c>
      <c r="BB7" s="681">
        <v>145</v>
      </c>
      <c r="BC7" s="681">
        <v>130</v>
      </c>
      <c r="BD7" s="1915" t="s">
        <v>2768</v>
      </c>
      <c r="BE7" s="681">
        <v>170</v>
      </c>
      <c r="BF7" s="681">
        <v>150</v>
      </c>
      <c r="BG7" s="1915" t="s">
        <v>2769</v>
      </c>
      <c r="BH7" s="681">
        <v>180</v>
      </c>
      <c r="BI7" s="681">
        <v>160</v>
      </c>
      <c r="BJ7" s="1915" t="s">
        <v>2617</v>
      </c>
      <c r="BK7" s="681">
        <v>195</v>
      </c>
      <c r="BL7" s="681">
        <v>175</v>
      </c>
      <c r="BM7" s="1915" t="s">
        <v>2806</v>
      </c>
      <c r="BN7" s="471">
        <v>23</v>
      </c>
      <c r="BO7" s="821" t="s">
        <v>1764</v>
      </c>
      <c r="BP7"/>
      <c r="BQ7" s="1722" t="s">
        <v>1729</v>
      </c>
      <c r="BR7" s="470">
        <v>50</v>
      </c>
      <c r="BS7" s="470">
        <v>55</v>
      </c>
      <c r="BT7" s="470">
        <v>65</v>
      </c>
      <c r="BU7"/>
      <c r="BV7" s="1722" t="s">
        <v>1729</v>
      </c>
      <c r="BW7" s="470">
        <v>70</v>
      </c>
      <c r="BX7" s="470">
        <v>80</v>
      </c>
      <c r="BY7" s="470">
        <v>90</v>
      </c>
      <c r="BZ7" s="810" t="e">
        <f>IF(#REF!="ja",CA7,IF($V$27="nein",0,0))</f>
        <v>#REF!</v>
      </c>
      <c r="CA7" s="470">
        <v>50</v>
      </c>
      <c r="CB7"/>
      <c r="CC7" s="1658">
        <f>IFERROR(COUNTIF(Ackerkulturen[Ackerkulturen],N_Bedarf!$C9),0)</f>
        <v>0</v>
      </c>
      <c r="CD7"/>
      <c r="CE7" s="1835" t="s">
        <v>1711</v>
      </c>
      <c r="CF7" s="1834" t="str">
        <f>IFERROR(INDEX(N_Bedarf!$CE$2:$CE$141,_xlfn.AGGREGATE(15,6,(ROW(N_Bedarf!$CE$2:$CE$141)-1)/(--(SEARCH(CG$2,N_Bedarf!$CE$2:$CE$141)&gt;0)),ROW()-2),1),"")</f>
        <v>Sommerhartweizen (Durum)</v>
      </c>
      <c r="CG7" s="1830"/>
      <c r="CH7" s="1834" t="str">
        <f>IFERROR(INDEX(N_Bedarf!$CE$2:$CE$141,_xlfn.AGGREGATE(15,6,(ROW(N_Bedarf!$CE$2:$CE$141)-1)/(--(SEARCH(CI$2,N_Bedarf!$CE$2:$CE$141)&gt;0)),ROW()-2),1),"")</f>
        <v>Sommerhartweizen (Durum)</v>
      </c>
      <c r="CI7" s="1830"/>
      <c r="CJ7" s="1834" t="str">
        <f>IFERROR(INDEX(N_Bedarf!$CE$2:$CE$141,_xlfn.AGGREGATE(15,6,(ROW(N_Bedarf!$CE$2:$CE$141)-1)/(--(SEARCH(CK$2,N_Bedarf!$CE$2:$CE$141)&gt;0)),ROW()-2),1),"")</f>
        <v>Sommerhartweizen (Durum)</v>
      </c>
      <c r="CK7" s="1830"/>
      <c r="CL7" s="1834" t="str">
        <f>IFERROR(INDEX(N_Bedarf!$CE$2:$CE$141,_xlfn.AGGREGATE(15,6,(ROW(N_Bedarf!$CE$2:$CE$141)-1)/(--(SEARCH(CM$2,N_Bedarf!$CE$2:$CE$141)&gt;0)),ROW()-2),1),"")</f>
        <v>Sommerhartweizen (Durum)</v>
      </c>
      <c r="CM7" s="1830"/>
      <c r="CN7" s="1834" t="str">
        <f>IFERROR(INDEX(N_Bedarf!$CE$2:$CE$141,_xlfn.AGGREGATE(15,6,(ROW(N_Bedarf!$CE$2:$CE$141)-1)/(--(SEARCH(CO$2,N_Bedarf!$CE$2:$CE$141)&gt;0)),ROW()-2),1),"")</f>
        <v>Sommerhartweizen (Durum)</v>
      </c>
      <c r="CO7" s="1830"/>
      <c r="CP7" s="1834" t="str">
        <f>IFERROR(INDEX(N_Bedarf!$CE$2:$CE$141,_xlfn.AGGREGATE(15,6,(ROW(N_Bedarf!$CE$2:$CE$141)-1)/(--(SEARCH(CQ$2,N_Bedarf!$CE$2:$CE$141)&gt;0)),ROW()-2),1),"")</f>
        <v>Sommerhartweizen (Durum)</v>
      </c>
      <c r="CQ7" s="1830"/>
      <c r="CR7" s="1834" t="str">
        <f>IFERROR(INDEX(N_Bedarf!$CE$2:$CE$141,_xlfn.AGGREGATE(15,6,(ROW(N_Bedarf!$CE$2:$CE$141)-1)/(--(SEARCH(CS$2,N_Bedarf!$CE$2:$CE$141)&gt;0)),ROW()-2),1),"")</f>
        <v>Sommerhartweizen (Durum)</v>
      </c>
      <c r="CS7" s="1830"/>
      <c r="CT7" s="1834" t="str">
        <f>IFERROR(INDEX(N_Bedarf!$CE$2:$CE$141,_xlfn.AGGREGATE(15,6,(ROW(N_Bedarf!$CE$2:$CE$141)-1)/(--(SEARCH(CU$2,N_Bedarf!$CE$2:$CE$141)&gt;0)),ROW()-2),1),"")</f>
        <v>Sommerhartweizen (Durum)</v>
      </c>
      <c r="CU7" s="1830"/>
      <c r="CV7" s="1834" t="str">
        <f>IFERROR(INDEX(N_Bedarf!$CE$2:$CE$141,_xlfn.AGGREGATE(15,6,(ROW(N_Bedarf!$CE$2:$CE$141)-1)/(--(SEARCH(CW$2,N_Bedarf!$CE$2:$CE$141)&gt;0)),ROW()-2),1),"")</f>
        <v>Sommerhartweizen (Durum)</v>
      </c>
      <c r="CW7" s="1830"/>
      <c r="CX7" s="1834" t="str">
        <f>IFERROR(INDEX(N_Bedarf!$CE$2:$CE$141,_xlfn.AGGREGATE(15,6,(ROW(N_Bedarf!$CE$2:$CE$141)-1)/(--(SEARCH(CY$2,N_Bedarf!$CE$2:$CE$141)&gt;0)),ROW()-2),1),"")</f>
        <v>Sommerhartweizen (Durum)</v>
      </c>
      <c r="CY7" s="1830"/>
      <c r="CZ7" s="1834" t="str">
        <f>IFERROR(INDEX(N_Bedarf!$CE$2:$CE$141,_xlfn.AGGREGATE(15,6,(ROW(N_Bedarf!$CE$2:$CE$141)-1)/(--(SEARCH(DA$2,N_Bedarf!$CE$2:$CE$141)&gt;0)),ROW()-2),1),"")</f>
        <v>Sommerhartweizen (Durum)</v>
      </c>
      <c r="DA7" s="1830"/>
      <c r="DB7" s="1834" t="str">
        <f>IFERROR(INDEX(N_Bedarf!$CE$2:$CE$141,_xlfn.AGGREGATE(15,6,(ROW(N_Bedarf!$CE$2:$CE$141)-1)/(--(SEARCH(DC$2,N_Bedarf!$CE$2:$CE$141)&gt;0)),ROW()-2),1),"")</f>
        <v>Sommerhartweizen (Durum)</v>
      </c>
      <c r="DC7" s="1830"/>
      <c r="DD7" s="1834" t="str">
        <f>IFERROR(INDEX(N_Bedarf!$CE$2:$CE$141,_xlfn.AGGREGATE(15,6,(ROW(N_Bedarf!$CE$2:$CE$141)-1)/(--(SEARCH(DE$2,N_Bedarf!$CE$2:$CE$141)&gt;0)),ROW()-2),1),"")</f>
        <v>Sommerhartweizen (Durum)</v>
      </c>
      <c r="DE7" s="1830"/>
      <c r="DF7" s="2353" t="str">
        <f t="array" ref="DF7">IFERROR(INDEX(N_Bedarf!$CE$2:$CE$141,_xlfn.AGGREGATE(15,6,(ROW(N_Bedarf!$CE$2:$CE$141)-1)/(--(SEARCH(DG$2,N_Bedarf!$CE$2:$CE$141)&gt;0)),ROW()-2),1),"")</f>
        <v>Sommerhartweizen (Durum)</v>
      </c>
      <c r="DG7" s="2353"/>
      <c r="DH7" s="2355" t="str">
        <f t="array" ref="DH7">IFERROR(INDEX(N_Bedarf!$CE$2:$CE$141,_xlfn.AGGREGATE(15,6,(ROW(N_Bedarf!$CE$2:$CE$141)-1)/(--(SEARCH(DI$2,N_Bedarf!$CE$2:$CE$141)&gt;0)),ROW()-2),1),"")</f>
        <v>Sommerhartweizen (Durum)</v>
      </c>
      <c r="DI7" s="2355"/>
      <c r="DJ7" s="2356" t="str">
        <f t="array" ref="DJ7">IFERROR(INDEX(N_Bedarf!$CE$2:$CE$141,_xlfn.AGGREGATE(15,6,(ROW(N_Bedarf!$CE$2:$CE$141)-1)/(--(SEARCH(DK$2,N_Bedarf!$CE$2:$CE$141)&gt;0)),ROW()-2),1),"")</f>
        <v>Sommerhartweizen (Durum)</v>
      </c>
      <c r="DK7" s="2356"/>
      <c r="DL7" s="2356" t="str">
        <f t="array" ref="DL7">IFERROR(INDEX(N_Bedarf!$CE$2:$CE$141,_xlfn.AGGREGATE(15,6,(ROW(N_Bedarf!$CE$2:$CE$141)-1)/(--(SEARCH(DM$2,N_Bedarf!$CE$2:$CE$141)&gt;0)),ROW()-2),1),"")</f>
        <v>Sommerhartweizen (Durum)</v>
      </c>
      <c r="DM7" s="2356"/>
      <c r="DN7" s="2356" t="str">
        <f t="array" ref="DN7">IFERROR(INDEX(N_Bedarf!$CE$2:$CE$141,_xlfn.AGGREGATE(15,6,(ROW(N_Bedarf!$CE$2:$CE$141)-1)/(--(SEARCH(DO$2,N_Bedarf!$CE$2:$CE$141)&gt;0)),ROW()-2),1),"")</f>
        <v>Sommerhartweizen (Durum)</v>
      </c>
      <c r="DO7" s="2356"/>
      <c r="DP7" s="2356" t="str">
        <f t="array" ref="DP7">IFERROR(INDEX(N_Bedarf!$CE$2:$CE$141,_xlfn.AGGREGATE(15,6,(ROW(N_Bedarf!$CE$2:$CE$141)-1)/(--(SEARCH(DQ$2,N_Bedarf!$CE$2:$CE$141)&gt;0)),ROW()-2),1),"")</f>
        <v>Sommerhartweizen (Durum)</v>
      </c>
      <c r="DQ7" s="2356"/>
      <c r="DR7" s="2356" t="str">
        <f t="array" ref="DR7">IFERROR(INDEX(N_Bedarf!$CE$2:$CE$141,_xlfn.AGGREGATE(15,6,(ROW(N_Bedarf!$CE$2:$CE$141)-1)/(--(SEARCH(DS$2,N_Bedarf!$CE$2:$CE$141)&gt;0)),ROW()-2),1),"")</f>
        <v>Sommerhartweizen (Durum)</v>
      </c>
      <c r="DS7" s="2356"/>
      <c r="DT7" s="2356" t="str">
        <f t="array" ref="DT7">IFERROR(INDEX(N_Bedarf!$CE$2:$CE$141,_xlfn.AGGREGATE(15,6,(ROW(N_Bedarf!$CE$2:$CE$141)-1)/(--(SEARCH(DU$2,N_Bedarf!$CE$2:$CE$141)&gt;0)),ROW()-2),1),"")</f>
        <v>Sommerhartweizen (Durum)</v>
      </c>
      <c r="DU7" s="2356"/>
      <c r="DV7" s="2356" t="str">
        <f t="array" ref="DV7">IFERROR(INDEX(N_Bedarf!$CE$2:$CE$141,_xlfn.AGGREGATE(15,6,(ROW(N_Bedarf!$CE$2:$CE$141)-1)/(--(SEARCH(DW$2,N_Bedarf!$CE$2:$CE$141)&gt;0)),ROW()-2),1),"")</f>
        <v>Sommerhartweizen (Durum)</v>
      </c>
      <c r="DW7" s="2356"/>
      <c r="DX7" s="2356" t="str">
        <f t="array" ref="DX7">IFERROR(INDEX(N_Bedarf!$CE$2:$CE$141,_xlfn.AGGREGATE(15,6,(ROW(N_Bedarf!$CE$2:$CE$141)-1)/(--(SEARCH(DY$2,N_Bedarf!$CE$2:$CE$141)&gt;0)),ROW()-2),1),"")</f>
        <v>Sommerhartweizen (Durum)</v>
      </c>
      <c r="DY7" s="2356"/>
      <c r="DZ7" s="2356" t="str">
        <f t="array" ref="DZ7">IFERROR(INDEX(N_Bedarf!$CE$2:$CE$141,_xlfn.AGGREGATE(15,6,(ROW(N_Bedarf!$CE$2:$CE$141)-1)/(--(SEARCH(EA$2,N_Bedarf!$CE$2:$CE$141)&gt;0)),ROW()-2),1),"")</f>
        <v>Sommerhartweizen (Durum)</v>
      </c>
      <c r="EA7" s="2356"/>
      <c r="EB7" s="2356" t="str">
        <f t="array" ref="EB7">IFERROR(INDEX(N_Bedarf!$CE$2:$CE$141,_xlfn.AGGREGATE(15,6,(ROW(N_Bedarf!$CE$2:$CE$141)-1)/(--(SEARCH(EC$2,N_Bedarf!$CE$2:$CE$141)&gt;0)),ROW()-2),1),"")</f>
        <v>Sommerhartweizen (Durum)</v>
      </c>
      <c r="EC7" s="2356"/>
      <c r="ED7"/>
      <c r="EE7"/>
      <c r="EF7" s="394" t="s">
        <v>2004</v>
      </c>
      <c r="EG7" t="str">
        <f>IFERROR(INDEX(Liste_Grünland_DropDown[Grünland],_xlfn.AGGREGATE(15,6,(ROW(Liste_Grünland_DropDown[Grünland])-1)/(--(SEARCH(EH$2,Liste_Grünland_DropDown[Grünland])&gt;0)),ROW()-2),1),"")</f>
        <v>Mähweide (2 Schnitte + 1 Weidegang)</v>
      </c>
      <c r="EH7" s="156" t="str">
        <f>IF(N_Bedarf!$C62="","",IF(COUNTIF(Liste_Grünland_DropDown[Grünland],N_Bedarf!$C62),"",N_Bedarf!$C62))</f>
        <v/>
      </c>
      <c r="EI7" t="str">
        <f>IFERROR(INDEX(Liste_Grünland_DropDown[Grünland],_xlfn.AGGREGATE(15,6,(ROW(Liste_Grünland_DropDown[Grünland])-1)/(--(SEARCH(EJ$2,Liste_Grünland_DropDown[Grünland])&gt;0)),ROW()-2),1),"")</f>
        <v>Mähweide (2 Schnitte + 1 Weidegang)</v>
      </c>
      <c r="EJ7"/>
      <c r="EK7" t="str">
        <f>IFERROR(INDEX(Liste_Grünland_DropDown[Grünland],_xlfn.AGGREGATE(15,6,(ROW(Liste_Grünland_DropDown[Grünland])-1)/(--(SEARCH(EL$2,Liste_Grünland_DropDown[Grünland])&gt;0)),ROW()-2),1),"")</f>
        <v>Mähweide (2 Schnitte + 1 Weidegang)</v>
      </c>
      <c r="EL7"/>
      <c r="EM7" t="str">
        <f>IFERROR(INDEX(Liste_Grünland_DropDown[Grünland],_xlfn.AGGREGATE(15,6,(ROW(Liste_Grünland_DropDown[Grünland])-1)/(--(SEARCH(EN$2,Liste_Grünland_DropDown[Grünland])&gt;0)),ROW()-2),1),"")</f>
        <v>Mähweide (2 Schnitte + 1 Weidegang)</v>
      </c>
      <c r="EN7"/>
      <c r="EO7" t="str">
        <f t="array" ref="EO7">IFERROR(INDEX(Liste_Grünland_DropDown[Grünland],_xlfn.AGGREGATE(15,6,(ROW(Liste_Grünland_DropDown[Grünland])-1)/(--(SEARCH(EP$2,Liste_Grünland_DropDown[Grünland])&gt;0)),ROW()-2),1),"")</f>
        <v>Mähweide (2 Schnitte + 1 Weidegang)</v>
      </c>
      <c r="EP7"/>
      <c r="EQ7" t="str">
        <f>IFERROR(INDEX(Liste_Grünland_DropDown[Grünland],_xlfn.AGGREGATE(15,6,(ROW(Liste_Grünland_DropDown[Grünland])-1)/(--(SEARCH(ER$2,Liste_Grünland_DropDown[Grünland])&gt;0)),ROW()-2),1),"")</f>
        <v>Mähweide (2 Schnitte + 1 Weidegang)</v>
      </c>
      <c r="ER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row>
    <row r="8" spans="1:291" ht="27" customHeight="1" thickTop="1" thickBot="1">
      <c r="A8" s="287" t="s">
        <v>1264</v>
      </c>
      <c r="B8" s="421" t="str">
        <f t="shared" si="0"/>
        <v xml:space="preserve">d - </v>
      </c>
      <c r="C8" s="2475"/>
      <c r="D8" s="2476"/>
      <c r="E8" s="912"/>
      <c r="F8" s="913"/>
      <c r="G8" s="1916" t="str">
        <f t="shared" si="9"/>
        <v/>
      </c>
      <c r="H8" s="2296"/>
      <c r="I8" s="914">
        <f t="shared" si="10"/>
        <v>0</v>
      </c>
      <c r="J8" s="2297">
        <f t="shared" si="11"/>
        <v>0</v>
      </c>
      <c r="K8" s="2299"/>
      <c r="L8" s="915">
        <f t="shared" si="1"/>
        <v>0</v>
      </c>
      <c r="M8" s="2298">
        <f t="shared" si="2"/>
        <v>0</v>
      </c>
      <c r="N8" s="2573" t="s">
        <v>2410</v>
      </c>
      <c r="O8" s="2574"/>
      <c r="P8" s="2574"/>
      <c r="Q8" s="2569"/>
      <c r="R8" s="2610">
        <v>20</v>
      </c>
      <c r="S8" s="2546">
        <f>R8*Q8</f>
        <v>0</v>
      </c>
      <c r="T8" s="770"/>
      <c r="U8" s="2582"/>
      <c r="V8" s="2583"/>
      <c r="W8" s="2583"/>
      <c r="X8" s="2584"/>
      <c r="Y8" s="768"/>
      <c r="Z8" s="768"/>
      <c r="AA8" s="768"/>
      <c r="AB8" s="768"/>
      <c r="AC8" s="768"/>
      <c r="AD8" s="768"/>
      <c r="AE8" s="768"/>
      <c r="AF8" s="768"/>
      <c r="AG8" s="768"/>
      <c r="AH8" s="768"/>
      <c r="AI8" s="768"/>
      <c r="AJ8" s="768"/>
      <c r="AK8" s="768"/>
      <c r="AL8" s="768"/>
      <c r="AM8" s="768"/>
      <c r="AN8" s="768"/>
      <c r="AO8" s="768">
        <f>IF(OR(N_Bedarf!$F8="hoch 1",N_Bedarf!$F8="hoch 1 Nitratrisikogebiet",N_Bedarf!$F8="hoch 2",N_Bedarf!$F8="hoch 2 Nitratrisikogebiet",N_Bedarf!$F8="hoch 3",N_Bedarf!$F8="hoch 3 Nitratrisikogebiet"),1,0)</f>
        <v>0</v>
      </c>
      <c r="AP8" s="1568" t="str">
        <f t="shared" si="3"/>
        <v/>
      </c>
      <c r="AQ8" s="472">
        <f t="shared" si="12"/>
        <v>0</v>
      </c>
      <c r="AR8" s="472">
        <f t="shared" si="4"/>
        <v>0</v>
      </c>
      <c r="AS8" s="472">
        <f t="shared" si="5"/>
        <v>0</v>
      </c>
      <c r="AT8" s="472">
        <f t="shared" si="6"/>
        <v>0</v>
      </c>
      <c r="AU8" s="472">
        <f t="shared" si="7"/>
        <v>0</v>
      </c>
      <c r="AV8" s="472">
        <f t="shared" si="8"/>
        <v>0</v>
      </c>
      <c r="AW8" s="472">
        <f t="shared" si="13"/>
        <v>0</v>
      </c>
      <c r="AX8" s="1722" t="s">
        <v>1727</v>
      </c>
      <c r="AY8" s="681">
        <v>80</v>
      </c>
      <c r="AZ8" s="681">
        <v>70</v>
      </c>
      <c r="BA8" s="681" t="s">
        <v>2796</v>
      </c>
      <c r="BB8" s="681">
        <v>110</v>
      </c>
      <c r="BC8" s="681">
        <v>95</v>
      </c>
      <c r="BD8" s="1915" t="s">
        <v>2797</v>
      </c>
      <c r="BE8" s="681">
        <v>130</v>
      </c>
      <c r="BF8" s="681">
        <v>110</v>
      </c>
      <c r="BG8" s="1915" t="s">
        <v>2798</v>
      </c>
      <c r="BH8" s="681">
        <v>140</v>
      </c>
      <c r="BI8" s="681">
        <v>120</v>
      </c>
      <c r="BJ8" s="1915" t="s">
        <v>2799</v>
      </c>
      <c r="BK8" s="681">
        <v>150</v>
      </c>
      <c r="BL8" s="681">
        <v>130</v>
      </c>
      <c r="BM8" s="1915" t="s">
        <v>2808</v>
      </c>
      <c r="BN8" s="471">
        <v>24</v>
      </c>
      <c r="BO8" s="821" t="s">
        <v>1764</v>
      </c>
      <c r="BP8"/>
      <c r="BQ8" s="1722" t="s">
        <v>1727</v>
      </c>
      <c r="BR8" s="470">
        <v>50</v>
      </c>
      <c r="BS8" s="470">
        <v>55</v>
      </c>
      <c r="BT8" s="470">
        <v>65</v>
      </c>
      <c r="BU8"/>
      <c r="BV8" s="1722" t="s">
        <v>1727</v>
      </c>
      <c r="BW8" s="470">
        <v>70</v>
      </c>
      <c r="BX8" s="470">
        <v>80</v>
      </c>
      <c r="BY8" s="470">
        <v>90</v>
      </c>
      <c r="BZ8" s="810" t="e">
        <f>IF(#REF!="ja",CA8,IF($V$27="nein",0,0))</f>
        <v>#REF!</v>
      </c>
      <c r="CA8" s="470">
        <v>50</v>
      </c>
      <c r="CB8"/>
      <c r="CC8" s="1658">
        <f>IFERROR(COUNTIF(Ackerkulturen[Ackerkulturen],N_Bedarf!$C10),0)</f>
        <v>0</v>
      </c>
      <c r="CD8"/>
      <c r="CE8" s="1833" t="s">
        <v>2378</v>
      </c>
      <c r="CF8" s="1834" t="str">
        <f>IFERROR(INDEX(N_Bedarf!$CE$2:$CE$141,_xlfn.AGGREGATE(15,6,(ROW(N_Bedarf!$CE$2:$CE$141)-1)/(--(SEARCH(CG$2,N_Bedarf!$CE$2:$CE$141)&gt;0)),ROW()-2),1),"")</f>
        <v>Sommerdinkel (Spelzenanteil ca. 30 %)</v>
      </c>
      <c r="CG8" s="1836"/>
      <c r="CH8" s="1834" t="str">
        <f>IFERROR(INDEX(N_Bedarf!$CE$2:$CE$141,_xlfn.AGGREGATE(15,6,(ROW(N_Bedarf!$CE$2:$CE$141)-1)/(--(SEARCH(CI$2,N_Bedarf!$CE$2:$CE$141)&gt;0)),ROW()-2),1),"")</f>
        <v>Sommerdinkel (Spelzenanteil ca. 30 %)</v>
      </c>
      <c r="CI8" s="1836"/>
      <c r="CJ8" s="1834" t="str">
        <f>IFERROR(INDEX(N_Bedarf!$CE$2:$CE$141,_xlfn.AGGREGATE(15,6,(ROW(N_Bedarf!$CE$2:$CE$141)-1)/(--(SEARCH(CK$2,N_Bedarf!$CE$2:$CE$141)&gt;0)),ROW()-2),1),"")</f>
        <v>Sommerdinkel (Spelzenanteil ca. 30 %)</v>
      </c>
      <c r="CK8" s="1836"/>
      <c r="CL8" s="1834" t="str">
        <f>IFERROR(INDEX(N_Bedarf!$CE$2:$CE$141,_xlfn.AGGREGATE(15,6,(ROW(N_Bedarf!$CE$2:$CE$141)-1)/(--(SEARCH(CM$2,N_Bedarf!$CE$2:$CE$141)&gt;0)),ROW()-2),1),"")</f>
        <v>Sommerdinkel (Spelzenanteil ca. 30 %)</v>
      </c>
      <c r="CM8" s="1836"/>
      <c r="CN8" s="1834" t="str">
        <f>IFERROR(INDEX(N_Bedarf!$CE$2:$CE$141,_xlfn.AGGREGATE(15,6,(ROW(N_Bedarf!$CE$2:$CE$141)-1)/(--(SEARCH(CO$2,N_Bedarf!$CE$2:$CE$141)&gt;0)),ROW()-2),1),"")</f>
        <v>Sommerdinkel (Spelzenanteil ca. 30 %)</v>
      </c>
      <c r="CO8" s="1836"/>
      <c r="CP8" s="1834" t="str">
        <f>IFERROR(INDEX(N_Bedarf!$CE$2:$CE$141,_xlfn.AGGREGATE(15,6,(ROW(N_Bedarf!$CE$2:$CE$141)-1)/(--(SEARCH(CQ$2,N_Bedarf!$CE$2:$CE$141)&gt;0)),ROW()-2),1),"")</f>
        <v>Sommerdinkel (Spelzenanteil ca. 30 %)</v>
      </c>
      <c r="CQ8" s="1836"/>
      <c r="CR8" s="1834" t="str">
        <f>IFERROR(INDEX(N_Bedarf!$CE$2:$CE$141,_xlfn.AGGREGATE(15,6,(ROW(N_Bedarf!$CE$2:$CE$141)-1)/(--(SEARCH(CS$2,N_Bedarf!$CE$2:$CE$141)&gt;0)),ROW()-2),1),"")</f>
        <v>Sommerdinkel (Spelzenanteil ca. 30 %)</v>
      </c>
      <c r="CS8" s="1836"/>
      <c r="CT8" s="1834" t="str">
        <f>IFERROR(INDEX(N_Bedarf!$CE$2:$CE$141,_xlfn.AGGREGATE(15,6,(ROW(N_Bedarf!$CE$2:$CE$141)-1)/(--(SEARCH(CU$2,N_Bedarf!$CE$2:$CE$141)&gt;0)),ROW()-2),1),"")</f>
        <v>Sommerdinkel (Spelzenanteil ca. 30 %)</v>
      </c>
      <c r="CU8" s="1836"/>
      <c r="CV8" s="1834" t="str">
        <f>IFERROR(INDEX(N_Bedarf!$CE$2:$CE$141,_xlfn.AGGREGATE(15,6,(ROW(N_Bedarf!$CE$2:$CE$141)-1)/(--(SEARCH(CW$2,N_Bedarf!$CE$2:$CE$141)&gt;0)),ROW()-2),1),"")</f>
        <v>Sommerdinkel (Spelzenanteil ca. 30 %)</v>
      </c>
      <c r="CW8" s="1836"/>
      <c r="CX8" s="1834" t="str">
        <f>IFERROR(INDEX(N_Bedarf!$CE$2:$CE$141,_xlfn.AGGREGATE(15,6,(ROW(N_Bedarf!$CE$2:$CE$141)-1)/(--(SEARCH(CY$2,N_Bedarf!$CE$2:$CE$141)&gt;0)),ROW()-2),1),"")</f>
        <v>Sommerdinkel (Spelzenanteil ca. 30 %)</v>
      </c>
      <c r="CY8" s="1836"/>
      <c r="CZ8" s="1834" t="str">
        <f>IFERROR(INDEX(N_Bedarf!$CE$2:$CE$141,_xlfn.AGGREGATE(15,6,(ROW(N_Bedarf!$CE$2:$CE$141)-1)/(--(SEARCH(DA$2,N_Bedarf!$CE$2:$CE$141)&gt;0)),ROW()-2),1),"")</f>
        <v>Sommerdinkel (Spelzenanteil ca. 30 %)</v>
      </c>
      <c r="DA8" s="1836"/>
      <c r="DB8" s="1834" t="str">
        <f>IFERROR(INDEX(N_Bedarf!$CE$2:$CE$141,_xlfn.AGGREGATE(15,6,(ROW(N_Bedarf!$CE$2:$CE$141)-1)/(--(SEARCH(DC$2,N_Bedarf!$CE$2:$CE$141)&gt;0)),ROW()-2),1),"")</f>
        <v>Sommerdinkel (Spelzenanteil ca. 30 %)</v>
      </c>
      <c r="DC8" s="1836"/>
      <c r="DD8" s="1834" t="str">
        <f>IFERROR(INDEX(N_Bedarf!$CE$2:$CE$141,_xlfn.AGGREGATE(15,6,(ROW(N_Bedarf!$CE$2:$CE$141)-1)/(--(SEARCH(DE$2,N_Bedarf!$CE$2:$CE$141)&gt;0)),ROW()-2),1),"")</f>
        <v>Sommerdinkel (Spelzenanteil ca. 30 %)</v>
      </c>
      <c r="DE8" s="1836"/>
      <c r="DF8" s="2353" t="str">
        <f t="array" ref="DF8">IFERROR(INDEX(N_Bedarf!$CE$2:$CE$141,_xlfn.AGGREGATE(15,6,(ROW(N_Bedarf!$CE$2:$CE$141)-1)/(--(SEARCH(DG$2,N_Bedarf!$CE$2:$CE$141)&gt;0)),ROW()-2),1),"")</f>
        <v>Sommerdinkel (Spelzenanteil ca. 30 %)</v>
      </c>
      <c r="DG8" s="2353"/>
      <c r="DH8" s="2355" t="str">
        <f t="array" ref="DH8">IFERROR(INDEX(N_Bedarf!$CE$2:$CE$141,_xlfn.AGGREGATE(15,6,(ROW(N_Bedarf!$CE$2:$CE$141)-1)/(--(SEARCH(DI$2,N_Bedarf!$CE$2:$CE$141)&gt;0)),ROW()-2),1),"")</f>
        <v>Sommerdinkel (Spelzenanteil ca. 30 %)</v>
      </c>
      <c r="DI8" s="2355"/>
      <c r="DJ8" s="2356" t="str">
        <f t="array" ref="DJ8">IFERROR(INDEX(N_Bedarf!$CE$2:$CE$141,_xlfn.AGGREGATE(15,6,(ROW(N_Bedarf!$CE$2:$CE$141)-1)/(--(SEARCH(DK$2,N_Bedarf!$CE$2:$CE$141)&gt;0)),ROW()-2),1),"")</f>
        <v>Sommerdinkel (Spelzenanteil ca. 30 %)</v>
      </c>
      <c r="DK8" s="2356"/>
      <c r="DL8" s="2356" t="str">
        <f t="array" ref="DL8">IFERROR(INDEX(N_Bedarf!$CE$2:$CE$141,_xlfn.AGGREGATE(15,6,(ROW(N_Bedarf!$CE$2:$CE$141)-1)/(--(SEARCH(DM$2,N_Bedarf!$CE$2:$CE$141)&gt;0)),ROW()-2),1),"")</f>
        <v>Sommerdinkel (Spelzenanteil ca. 30 %)</v>
      </c>
      <c r="DM8" s="2356"/>
      <c r="DN8" s="2356" t="str">
        <f t="array" ref="DN8">IFERROR(INDEX(N_Bedarf!$CE$2:$CE$141,_xlfn.AGGREGATE(15,6,(ROW(N_Bedarf!$CE$2:$CE$141)-1)/(--(SEARCH(DO$2,N_Bedarf!$CE$2:$CE$141)&gt;0)),ROW()-2),1),"")</f>
        <v>Sommerdinkel (Spelzenanteil ca. 30 %)</v>
      </c>
      <c r="DO8" s="2356"/>
      <c r="DP8" s="2356" t="str">
        <f t="array" ref="DP8">IFERROR(INDEX(N_Bedarf!$CE$2:$CE$141,_xlfn.AGGREGATE(15,6,(ROW(N_Bedarf!$CE$2:$CE$141)-1)/(--(SEARCH(DQ$2,N_Bedarf!$CE$2:$CE$141)&gt;0)),ROW()-2),1),"")</f>
        <v>Sommerdinkel (Spelzenanteil ca. 30 %)</v>
      </c>
      <c r="DQ8" s="2356"/>
      <c r="DR8" s="2356" t="str">
        <f t="array" ref="DR8">IFERROR(INDEX(N_Bedarf!$CE$2:$CE$141,_xlfn.AGGREGATE(15,6,(ROW(N_Bedarf!$CE$2:$CE$141)-1)/(--(SEARCH(DS$2,N_Bedarf!$CE$2:$CE$141)&gt;0)),ROW()-2),1),"")</f>
        <v>Sommerdinkel (Spelzenanteil ca. 30 %)</v>
      </c>
      <c r="DS8" s="2356"/>
      <c r="DT8" s="2356" t="str">
        <f t="array" ref="DT8">IFERROR(INDEX(N_Bedarf!$CE$2:$CE$141,_xlfn.AGGREGATE(15,6,(ROW(N_Bedarf!$CE$2:$CE$141)-1)/(--(SEARCH(DU$2,N_Bedarf!$CE$2:$CE$141)&gt;0)),ROW()-2),1),"")</f>
        <v>Sommerdinkel (Spelzenanteil ca. 30 %)</v>
      </c>
      <c r="DU8" s="2356"/>
      <c r="DV8" s="2356" t="str">
        <f t="array" ref="DV8">IFERROR(INDEX(N_Bedarf!$CE$2:$CE$141,_xlfn.AGGREGATE(15,6,(ROW(N_Bedarf!$CE$2:$CE$141)-1)/(--(SEARCH(DW$2,N_Bedarf!$CE$2:$CE$141)&gt;0)),ROW()-2),1),"")</f>
        <v>Sommerdinkel (Spelzenanteil ca. 30 %)</v>
      </c>
      <c r="DW8" s="2356"/>
      <c r="DX8" s="2356" t="str">
        <f t="array" ref="DX8">IFERROR(INDEX(N_Bedarf!$CE$2:$CE$141,_xlfn.AGGREGATE(15,6,(ROW(N_Bedarf!$CE$2:$CE$141)-1)/(--(SEARCH(DY$2,N_Bedarf!$CE$2:$CE$141)&gt;0)),ROW()-2),1),"")</f>
        <v>Sommerdinkel (Spelzenanteil ca. 30 %)</v>
      </c>
      <c r="DY8" s="2356"/>
      <c r="DZ8" s="2356" t="str">
        <f t="array" ref="DZ8">IFERROR(INDEX(N_Bedarf!$CE$2:$CE$141,_xlfn.AGGREGATE(15,6,(ROW(N_Bedarf!$CE$2:$CE$141)-1)/(--(SEARCH(EA$2,N_Bedarf!$CE$2:$CE$141)&gt;0)),ROW()-2),1),"")</f>
        <v>Sommerdinkel (Spelzenanteil ca. 30 %)</v>
      </c>
      <c r="EA8" s="2356"/>
      <c r="EB8" s="2356" t="str">
        <f t="array" ref="EB8">IFERROR(INDEX(N_Bedarf!$CE$2:$CE$141,_xlfn.AGGREGATE(15,6,(ROW(N_Bedarf!$CE$2:$CE$141)-1)/(--(SEARCH(EC$2,N_Bedarf!$CE$2:$CE$141)&gt;0)),ROW()-2),1),"")</f>
        <v>Sommerdinkel (Spelzenanteil ca. 30 %)</v>
      </c>
      <c r="EC8" s="2356"/>
      <c r="ED8"/>
      <c r="EE8"/>
      <c r="EF8" s="394" t="s">
        <v>1885</v>
      </c>
      <c r="EG8" t="str">
        <f>IFERROR(INDEX(Liste_Grünland_DropDown[Grünland],_xlfn.AGGREGATE(15,6,(ROW(Liste_Grünland_DropDown[Grünland])-1)/(--(SEARCH(EH$2,Liste_Grünland_DropDown[Grünland])&gt;0)),ROW()-2),1),"")</f>
        <v>Mähweide (2 Schnitte + 2 oder mehr Weidegänge)</v>
      </c>
      <c r="EH8" s="156" t="str">
        <f>IF(N_Bedarf!$C63="","",IF(COUNTIF(Liste_Grünland_DropDown[Grünland],N_Bedarf!$C63),"",N_Bedarf!$C63))</f>
        <v>abzüglich Stickstoffnachlieferung aus Vorfrüchten (siehe nebenan)</v>
      </c>
      <c r="EI8" t="str">
        <f>IFERROR(INDEX(Liste_Grünland_DropDown[Grünland],_xlfn.AGGREGATE(15,6,(ROW(Liste_Grünland_DropDown[Grünland])-1)/(--(SEARCH(EJ$2,Liste_Grünland_DropDown[Grünland])&gt;0)),ROW()-2),1),"")</f>
        <v>Mähweide (2 Schnitte + 2 oder mehr Weidegänge)</v>
      </c>
      <c r="EJ8"/>
      <c r="EK8" t="str">
        <f>IFERROR(INDEX(Liste_Grünland_DropDown[Grünland],_xlfn.AGGREGATE(15,6,(ROW(Liste_Grünland_DropDown[Grünland])-1)/(--(SEARCH(EL$2,Liste_Grünland_DropDown[Grünland])&gt;0)),ROW()-2),1),"")</f>
        <v>Mähweide (2 Schnitte + 2 oder mehr Weidegänge)</v>
      </c>
      <c r="EL8"/>
      <c r="EM8" t="str">
        <f>IFERROR(INDEX(Liste_Grünland_DropDown[Grünland],_xlfn.AGGREGATE(15,6,(ROW(Liste_Grünland_DropDown[Grünland])-1)/(--(SEARCH(EN$2,Liste_Grünland_DropDown[Grünland])&gt;0)),ROW()-2),1),"")</f>
        <v>Mähweide (2 Schnitte + 2 oder mehr Weidegänge)</v>
      </c>
      <c r="EN8"/>
      <c r="EO8" t="str">
        <f t="array" ref="EO8">IFERROR(INDEX(Liste_Grünland_DropDown[Grünland],_xlfn.AGGREGATE(15,6,(ROW(Liste_Grünland_DropDown[Grünland])-1)/(--(SEARCH(EP$2,Liste_Grünland_DropDown[Grünland])&gt;0)),ROW()-2),1),"")</f>
        <v>Mähweide (2 Schnitte + 2 oder mehr Weidegänge)</v>
      </c>
      <c r="EP8"/>
      <c r="EQ8" t="str">
        <f>IFERROR(INDEX(Liste_Grünland_DropDown[Grünland],_xlfn.AGGREGATE(15,6,(ROW(Liste_Grünland_DropDown[Grünland])-1)/(--(SEARCH(ER$2,Liste_Grünland_DropDown[Grünland])&gt;0)),ROW()-2),1),"")</f>
        <v>Mähweide (2 Schnitte + 2 oder mehr Weidegänge)</v>
      </c>
      <c r="ER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row>
    <row r="9" spans="1:291" ht="27" customHeight="1" thickTop="1" thickBot="1">
      <c r="A9" s="287" t="s">
        <v>1265</v>
      </c>
      <c r="B9" s="421" t="str">
        <f t="shared" si="0"/>
        <v xml:space="preserve">e - </v>
      </c>
      <c r="C9" s="2475"/>
      <c r="D9" s="2476"/>
      <c r="E9" s="912"/>
      <c r="F9" s="913"/>
      <c r="G9" s="1916" t="str">
        <f t="shared" si="9"/>
        <v/>
      </c>
      <c r="H9" s="2296"/>
      <c r="I9" s="914">
        <f t="shared" si="10"/>
        <v>0</v>
      </c>
      <c r="J9" s="2297">
        <f t="shared" si="11"/>
        <v>0</v>
      </c>
      <c r="K9" s="2299"/>
      <c r="L9" s="915">
        <f t="shared" si="1"/>
        <v>0</v>
      </c>
      <c r="M9" s="2298">
        <f t="shared" si="2"/>
        <v>0</v>
      </c>
      <c r="N9" s="2575"/>
      <c r="O9" s="2576"/>
      <c r="P9" s="2576"/>
      <c r="Q9" s="2570"/>
      <c r="R9" s="2611"/>
      <c r="S9" s="2547"/>
      <c r="T9" s="770"/>
      <c r="U9" s="2582"/>
      <c r="V9" s="2583"/>
      <c r="W9" s="2583"/>
      <c r="X9" s="2584"/>
      <c r="Y9" s="768"/>
      <c r="Z9" s="768"/>
      <c r="AA9" s="768"/>
      <c r="AB9" s="768"/>
      <c r="AC9" s="768"/>
      <c r="AD9" s="768"/>
      <c r="AE9" s="768"/>
      <c r="AF9" s="768"/>
      <c r="AG9" s="768"/>
      <c r="AH9" s="768"/>
      <c r="AI9" s="768"/>
      <c r="AJ9" s="768"/>
      <c r="AK9" s="768"/>
      <c r="AL9" s="768"/>
      <c r="AM9" s="768"/>
      <c r="AN9" s="768"/>
      <c r="AO9" s="768">
        <f>IF(OR(N_Bedarf!$F9="hoch 1",N_Bedarf!$F9="hoch 1 Nitratrisikogebiet",N_Bedarf!$F9="hoch 2",N_Bedarf!$F9="hoch 2 Nitratrisikogebiet",N_Bedarf!$F9="hoch 3",N_Bedarf!$F9="hoch 3 Nitratrisikogebiet"),1,0)</f>
        <v>0</v>
      </c>
      <c r="AP9" s="1568" t="str">
        <f t="shared" si="3"/>
        <v/>
      </c>
      <c r="AQ9" s="472">
        <f t="shared" si="12"/>
        <v>0</v>
      </c>
      <c r="AR9" s="472">
        <f t="shared" si="4"/>
        <v>0</v>
      </c>
      <c r="AS9" s="472">
        <f t="shared" si="5"/>
        <v>0</v>
      </c>
      <c r="AT9" s="472">
        <f t="shared" si="6"/>
        <v>0</v>
      </c>
      <c r="AU9" s="472">
        <f t="shared" si="7"/>
        <v>0</v>
      </c>
      <c r="AV9" s="472">
        <f t="shared" si="8"/>
        <v>0</v>
      </c>
      <c r="AW9" s="472">
        <f t="shared" si="13"/>
        <v>0</v>
      </c>
      <c r="AX9" s="1722" t="s">
        <v>1713</v>
      </c>
      <c r="AY9" s="681">
        <v>105</v>
      </c>
      <c r="AZ9" s="681">
        <v>95</v>
      </c>
      <c r="BA9" s="681" t="s">
        <v>2773</v>
      </c>
      <c r="BB9" s="681">
        <v>145</v>
      </c>
      <c r="BC9" s="681">
        <v>130</v>
      </c>
      <c r="BD9" s="1915" t="s">
        <v>2615</v>
      </c>
      <c r="BE9" s="681">
        <v>170</v>
      </c>
      <c r="BF9" s="681">
        <v>150</v>
      </c>
      <c r="BG9" s="1915" t="s">
        <v>2616</v>
      </c>
      <c r="BH9" s="681">
        <v>180</v>
      </c>
      <c r="BI9" s="681">
        <v>160</v>
      </c>
      <c r="BJ9" s="1915" t="s">
        <v>2617</v>
      </c>
      <c r="BK9" s="681">
        <v>195</v>
      </c>
      <c r="BL9" s="681">
        <v>175</v>
      </c>
      <c r="BM9" s="1915" t="s">
        <v>2806</v>
      </c>
      <c r="BN9" s="471">
        <v>23</v>
      </c>
      <c r="BO9" s="821" t="s">
        <v>1764</v>
      </c>
      <c r="BP9"/>
      <c r="BQ9" s="1722" t="s">
        <v>1713</v>
      </c>
      <c r="BR9" s="470">
        <v>50</v>
      </c>
      <c r="BS9" s="470">
        <v>55</v>
      </c>
      <c r="BT9" s="470">
        <v>65</v>
      </c>
      <c r="BU9"/>
      <c r="BV9" s="1722" t="s">
        <v>1713</v>
      </c>
      <c r="BW9" s="470">
        <v>70</v>
      </c>
      <c r="BX9" s="470">
        <v>80</v>
      </c>
      <c r="BY9" s="470">
        <v>90</v>
      </c>
      <c r="BZ9" s="810" t="e">
        <f>IF(#REF!="ja",CA9,IF($V$27="nein",0,0))</f>
        <v>#REF!</v>
      </c>
      <c r="CA9" s="470">
        <v>50</v>
      </c>
      <c r="CB9"/>
      <c r="CC9" s="1658">
        <f>IFERROR(COUNTIF(Ackerkulturen[Ackerkulturen],N_Bedarf!$C11),0)</f>
        <v>0</v>
      </c>
      <c r="CD9"/>
      <c r="CE9" s="1835" t="s">
        <v>2377</v>
      </c>
      <c r="CF9" s="1834" t="str">
        <f>IFERROR(INDEX(N_Bedarf!$CE$2:$CE$141,_xlfn.AGGREGATE(15,6,(ROW(N_Bedarf!$CE$2:$CE$141)-1)/(--(SEARCH(CG$2,N_Bedarf!$CE$2:$CE$141)&gt;0)),ROW()-2),1),"")</f>
        <v>Sommerweichweizen &lt; 14% RP</v>
      </c>
      <c r="CG9" s="1830"/>
      <c r="CH9" s="1834" t="str">
        <f>IFERROR(INDEX(N_Bedarf!$CE$2:$CE$141,_xlfn.AGGREGATE(15,6,(ROW(N_Bedarf!$CE$2:$CE$141)-1)/(--(SEARCH(CI$2,N_Bedarf!$CE$2:$CE$141)&gt;0)),ROW()-2),1),"")</f>
        <v>Sommerweichweizen &lt; 14% RP</v>
      </c>
      <c r="CI9" s="1830"/>
      <c r="CJ9" s="1834" t="str">
        <f>IFERROR(INDEX(N_Bedarf!$CE$2:$CE$141,_xlfn.AGGREGATE(15,6,(ROW(N_Bedarf!$CE$2:$CE$141)-1)/(--(SEARCH(CK$2,N_Bedarf!$CE$2:$CE$141)&gt;0)),ROW()-2),1),"")</f>
        <v>Sommerweichweizen &lt; 14% RP</v>
      </c>
      <c r="CK9" s="1830"/>
      <c r="CL9" s="1834" t="str">
        <f>IFERROR(INDEX(N_Bedarf!$CE$2:$CE$141,_xlfn.AGGREGATE(15,6,(ROW(N_Bedarf!$CE$2:$CE$141)-1)/(--(SEARCH(CM$2,N_Bedarf!$CE$2:$CE$141)&gt;0)),ROW()-2),1),"")</f>
        <v>Sommerweichweizen &lt; 14% RP</v>
      </c>
      <c r="CM9" s="1830"/>
      <c r="CN9" s="1834" t="str">
        <f>IFERROR(INDEX(N_Bedarf!$CE$2:$CE$141,_xlfn.AGGREGATE(15,6,(ROW(N_Bedarf!$CE$2:$CE$141)-1)/(--(SEARCH(CO$2,N_Bedarf!$CE$2:$CE$141)&gt;0)),ROW()-2),1),"")</f>
        <v>Sommerweichweizen &lt; 14% RP</v>
      </c>
      <c r="CO9" s="1830"/>
      <c r="CP9" s="1834" t="str">
        <f>IFERROR(INDEX(N_Bedarf!$CE$2:$CE$141,_xlfn.AGGREGATE(15,6,(ROW(N_Bedarf!$CE$2:$CE$141)-1)/(--(SEARCH(CQ$2,N_Bedarf!$CE$2:$CE$141)&gt;0)),ROW()-2),1),"")</f>
        <v>Sommerweichweizen &lt; 14% RP</v>
      </c>
      <c r="CQ9" s="1830"/>
      <c r="CR9" s="1834" t="str">
        <f>IFERROR(INDEX(N_Bedarf!$CE$2:$CE$141,_xlfn.AGGREGATE(15,6,(ROW(N_Bedarf!$CE$2:$CE$141)-1)/(--(SEARCH(CS$2,N_Bedarf!$CE$2:$CE$141)&gt;0)),ROW()-2),1),"")</f>
        <v>Sommerweichweizen &lt; 14% RP</v>
      </c>
      <c r="CS9" s="1830"/>
      <c r="CT9" s="1834" t="str">
        <f>IFERROR(INDEX(N_Bedarf!$CE$2:$CE$141,_xlfn.AGGREGATE(15,6,(ROW(N_Bedarf!$CE$2:$CE$141)-1)/(--(SEARCH(CU$2,N_Bedarf!$CE$2:$CE$141)&gt;0)),ROW()-2),1),"")</f>
        <v>Sommerweichweizen &lt; 14% RP</v>
      </c>
      <c r="CU9" s="1830"/>
      <c r="CV9" s="1834" t="str">
        <f>IFERROR(INDEX(N_Bedarf!$CE$2:$CE$141,_xlfn.AGGREGATE(15,6,(ROW(N_Bedarf!$CE$2:$CE$141)-1)/(--(SEARCH(CW$2,N_Bedarf!$CE$2:$CE$141)&gt;0)),ROW()-2),1),"")</f>
        <v>Sommerweichweizen &lt; 14% RP</v>
      </c>
      <c r="CW9" s="1830"/>
      <c r="CX9" s="1834" t="str">
        <f>IFERROR(INDEX(N_Bedarf!$CE$2:$CE$141,_xlfn.AGGREGATE(15,6,(ROW(N_Bedarf!$CE$2:$CE$141)-1)/(--(SEARCH(CY$2,N_Bedarf!$CE$2:$CE$141)&gt;0)),ROW()-2),1),"")</f>
        <v>Sommerweichweizen &lt; 14% RP</v>
      </c>
      <c r="CY9" s="1830"/>
      <c r="CZ9" s="1834" t="str">
        <f>IFERROR(INDEX(N_Bedarf!$CE$2:$CE$141,_xlfn.AGGREGATE(15,6,(ROW(N_Bedarf!$CE$2:$CE$141)-1)/(--(SEARCH(DA$2,N_Bedarf!$CE$2:$CE$141)&gt;0)),ROW()-2),1),"")</f>
        <v>Sommerweichweizen &lt; 14% RP</v>
      </c>
      <c r="DA9" s="1830"/>
      <c r="DB9" s="1834" t="str">
        <f>IFERROR(INDEX(N_Bedarf!$CE$2:$CE$141,_xlfn.AGGREGATE(15,6,(ROW(N_Bedarf!$CE$2:$CE$141)-1)/(--(SEARCH(DC$2,N_Bedarf!$CE$2:$CE$141)&gt;0)),ROW()-2),1),"")</f>
        <v>Sommerweichweizen &lt; 14% RP</v>
      </c>
      <c r="DC9" s="1830"/>
      <c r="DD9" s="1834" t="str">
        <f>IFERROR(INDEX(N_Bedarf!$CE$2:$CE$141,_xlfn.AGGREGATE(15,6,(ROW(N_Bedarf!$CE$2:$CE$141)-1)/(--(SEARCH(DE$2,N_Bedarf!$CE$2:$CE$141)&gt;0)),ROW()-2),1),"")</f>
        <v>Sommerweichweizen &lt; 14% RP</v>
      </c>
      <c r="DE9" s="1830"/>
      <c r="DF9" s="2353" t="str">
        <f t="array" ref="DF9">IFERROR(INDEX(N_Bedarf!$CE$2:$CE$141,_xlfn.AGGREGATE(15,6,(ROW(N_Bedarf!$CE$2:$CE$141)-1)/(--(SEARCH(DG$2,N_Bedarf!$CE$2:$CE$141)&gt;0)),ROW()-2),1),"")</f>
        <v>Sommerweichweizen &lt; 14% RP</v>
      </c>
      <c r="DG9" s="2353"/>
      <c r="DH9" s="2355" t="str">
        <f t="array" ref="DH9">IFERROR(INDEX(N_Bedarf!$CE$2:$CE$141,_xlfn.AGGREGATE(15,6,(ROW(N_Bedarf!$CE$2:$CE$141)-1)/(--(SEARCH(DI$2,N_Bedarf!$CE$2:$CE$141)&gt;0)),ROW()-2),1),"")</f>
        <v>Sommerweichweizen &lt; 14% RP</v>
      </c>
      <c r="DI9" s="2355"/>
      <c r="DJ9" s="2356" t="str">
        <f t="array" ref="DJ9">IFERROR(INDEX(N_Bedarf!$CE$2:$CE$141,_xlfn.AGGREGATE(15,6,(ROW(N_Bedarf!$CE$2:$CE$141)-1)/(--(SEARCH(DK$2,N_Bedarf!$CE$2:$CE$141)&gt;0)),ROW()-2),1),"")</f>
        <v>Sommerweichweizen &lt; 14% RP</v>
      </c>
      <c r="DK9" s="2356"/>
      <c r="DL9" s="2356" t="str">
        <f t="array" ref="DL9">IFERROR(INDEX(N_Bedarf!$CE$2:$CE$141,_xlfn.AGGREGATE(15,6,(ROW(N_Bedarf!$CE$2:$CE$141)-1)/(--(SEARCH(DM$2,N_Bedarf!$CE$2:$CE$141)&gt;0)),ROW()-2),1),"")</f>
        <v>Sommerweichweizen &lt; 14% RP</v>
      </c>
      <c r="DM9" s="2356"/>
      <c r="DN9" s="2356" t="str">
        <f t="array" ref="DN9">IFERROR(INDEX(N_Bedarf!$CE$2:$CE$141,_xlfn.AGGREGATE(15,6,(ROW(N_Bedarf!$CE$2:$CE$141)-1)/(--(SEARCH(DO$2,N_Bedarf!$CE$2:$CE$141)&gt;0)),ROW()-2),1),"")</f>
        <v>Sommerweichweizen &lt; 14% RP</v>
      </c>
      <c r="DO9" s="2356"/>
      <c r="DP9" s="2356" t="str">
        <f t="array" ref="DP9">IFERROR(INDEX(N_Bedarf!$CE$2:$CE$141,_xlfn.AGGREGATE(15,6,(ROW(N_Bedarf!$CE$2:$CE$141)-1)/(--(SEARCH(DQ$2,N_Bedarf!$CE$2:$CE$141)&gt;0)),ROW()-2),1),"")</f>
        <v>Sommerweichweizen &lt; 14% RP</v>
      </c>
      <c r="DQ9" s="2356"/>
      <c r="DR9" s="2356" t="str">
        <f t="array" ref="DR9">IFERROR(INDEX(N_Bedarf!$CE$2:$CE$141,_xlfn.AGGREGATE(15,6,(ROW(N_Bedarf!$CE$2:$CE$141)-1)/(--(SEARCH(DS$2,N_Bedarf!$CE$2:$CE$141)&gt;0)),ROW()-2),1),"")</f>
        <v>Sommerweichweizen &lt; 14% RP</v>
      </c>
      <c r="DS9" s="2356"/>
      <c r="DT9" s="2356" t="str">
        <f t="array" ref="DT9">IFERROR(INDEX(N_Bedarf!$CE$2:$CE$141,_xlfn.AGGREGATE(15,6,(ROW(N_Bedarf!$CE$2:$CE$141)-1)/(--(SEARCH(DU$2,N_Bedarf!$CE$2:$CE$141)&gt;0)),ROW()-2),1),"")</f>
        <v>Sommerweichweizen &lt; 14% RP</v>
      </c>
      <c r="DU9" s="2356"/>
      <c r="DV9" s="2356" t="str">
        <f t="array" ref="DV9">IFERROR(INDEX(N_Bedarf!$CE$2:$CE$141,_xlfn.AGGREGATE(15,6,(ROW(N_Bedarf!$CE$2:$CE$141)-1)/(--(SEARCH(DW$2,N_Bedarf!$CE$2:$CE$141)&gt;0)),ROW()-2),1),"")</f>
        <v>Sommerweichweizen &lt; 14% RP</v>
      </c>
      <c r="DW9" s="2356"/>
      <c r="DX9" s="2356" t="str">
        <f t="array" ref="DX9">IFERROR(INDEX(N_Bedarf!$CE$2:$CE$141,_xlfn.AGGREGATE(15,6,(ROW(N_Bedarf!$CE$2:$CE$141)-1)/(--(SEARCH(DY$2,N_Bedarf!$CE$2:$CE$141)&gt;0)),ROW()-2),1),"")</f>
        <v>Sommerweichweizen &lt; 14% RP</v>
      </c>
      <c r="DY9" s="2356"/>
      <c r="DZ9" s="2356" t="str">
        <f t="array" ref="DZ9">IFERROR(INDEX(N_Bedarf!$CE$2:$CE$141,_xlfn.AGGREGATE(15,6,(ROW(N_Bedarf!$CE$2:$CE$141)-1)/(--(SEARCH(EA$2,N_Bedarf!$CE$2:$CE$141)&gt;0)),ROW()-2),1),"")</f>
        <v>Sommerweichweizen &lt; 14% RP</v>
      </c>
      <c r="EA9" s="2356"/>
      <c r="EB9" s="2356" t="str">
        <f t="array" ref="EB9">IFERROR(INDEX(N_Bedarf!$CE$2:$CE$141,_xlfn.AGGREGATE(15,6,(ROW(N_Bedarf!$CE$2:$CE$141)-1)/(--(SEARCH(EC$2,N_Bedarf!$CE$2:$CE$141)&gt;0)),ROW()-2),1),"")</f>
        <v>Sommerweichweizen &lt; 14% RP</v>
      </c>
      <c r="EC9" s="2356"/>
      <c r="ED9"/>
      <c r="EE9"/>
      <c r="EF9" s="394" t="s">
        <v>1886</v>
      </c>
      <c r="EG9" t="str">
        <f>IFERROR(INDEX(Liste_Grünland_DropDown[Grünland],_xlfn.AGGREGATE(15,6,(ROW(Liste_Grünland_DropDown[Grünland])-1)/(--(SEARCH(EH$2,Liste_Grünland_DropDown[Grünland])&gt;0)),ROW()-2),1),"")</f>
        <v>Dauerwiese 1 Schnitt</v>
      </c>
      <c r="EH9" t="str">
        <f>IF(N_Bedarf!$C64="","",IF(COUNTIF(Liste_Grünland_DropDown[Grünland],N_Bedarf!$C64),"",N_Bedarf!$C64))</f>
        <v>abzüglich mit dem Bewässerungswasser zugeführte Stickstoffmenge (siehe Tabellenblatt "Beregnung")</v>
      </c>
      <c r="EI9" t="str">
        <f>IFERROR(INDEX(Liste_Grünland_DropDown[Grünland],_xlfn.AGGREGATE(15,6,(ROW(Liste_Grünland_DropDown[Grünland])-1)/(--(SEARCH(EJ$2,Liste_Grünland_DropDown[Grünland])&gt;0)),ROW()-2),1),"")</f>
        <v>Dauerwiese 1 Schnitt</v>
      </c>
      <c r="EJ9"/>
      <c r="EK9" t="str">
        <f>IFERROR(INDEX(Liste_Grünland_DropDown[Grünland],_xlfn.AGGREGATE(15,6,(ROW(Liste_Grünland_DropDown[Grünland])-1)/(--(SEARCH(EL$2,Liste_Grünland_DropDown[Grünland])&gt;0)),ROW()-2),1),"")</f>
        <v>Dauerwiese 1 Schnitt</v>
      </c>
      <c r="EL9"/>
      <c r="EM9" t="str">
        <f>IFERROR(INDEX(Liste_Grünland_DropDown[Grünland],_xlfn.AGGREGATE(15,6,(ROW(Liste_Grünland_DropDown[Grünland])-1)/(--(SEARCH(EN$2,Liste_Grünland_DropDown[Grünland])&gt;0)),ROW()-2),1),"")</f>
        <v>Dauerwiese 1 Schnitt</v>
      </c>
      <c r="EN9"/>
      <c r="EO9" t="str">
        <f t="array" ref="EO9">IFERROR(INDEX(Liste_Grünland_DropDown[Grünland],_xlfn.AGGREGATE(15,6,(ROW(Liste_Grünland_DropDown[Grünland])-1)/(--(SEARCH(EP$2,Liste_Grünland_DropDown[Grünland])&gt;0)),ROW()-2),1),"")</f>
        <v>Dauerwiese 1 Schnitt</v>
      </c>
      <c r="EP9"/>
      <c r="EQ9" t="str">
        <f>IFERROR(INDEX(Liste_Grünland_DropDown[Grünland],_xlfn.AGGREGATE(15,6,(ROW(Liste_Grünland_DropDown[Grünland])-1)/(--(SEARCH(ER$2,Liste_Grünland_DropDown[Grünland])&gt;0)),ROW()-2),1),"")</f>
        <v>Dauerwiese 1 Schnitt</v>
      </c>
      <c r="ER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row>
    <row r="10" spans="1:291" ht="27" customHeight="1" thickTop="1" thickBot="1">
      <c r="A10" s="287" t="s">
        <v>1266</v>
      </c>
      <c r="B10" s="421" t="str">
        <f t="shared" si="0"/>
        <v xml:space="preserve">f - </v>
      </c>
      <c r="C10" s="2475"/>
      <c r="D10" s="2476"/>
      <c r="E10" s="912"/>
      <c r="F10" s="913"/>
      <c r="G10" s="1916" t="str">
        <f t="shared" si="9"/>
        <v/>
      </c>
      <c r="H10" s="2296"/>
      <c r="I10" s="914">
        <f t="shared" si="10"/>
        <v>0</v>
      </c>
      <c r="J10" s="2297">
        <f t="shared" si="11"/>
        <v>0</v>
      </c>
      <c r="K10" s="2299"/>
      <c r="L10" s="915">
        <f t="shared" si="1"/>
        <v>0</v>
      </c>
      <c r="M10" s="2298">
        <f t="shared" si="2"/>
        <v>0</v>
      </c>
      <c r="N10" s="2573" t="s">
        <v>2818</v>
      </c>
      <c r="O10" s="2574"/>
      <c r="P10" s="2574"/>
      <c r="Q10" s="2569"/>
      <c r="R10" s="2610">
        <v>40</v>
      </c>
      <c r="S10" s="2546">
        <f>R10*Q10</f>
        <v>0</v>
      </c>
      <c r="T10" s="770"/>
      <c r="U10" s="2582"/>
      <c r="V10" s="2583"/>
      <c r="W10" s="2583"/>
      <c r="X10" s="2584"/>
      <c r="Y10" s="768"/>
      <c r="Z10" s="768"/>
      <c r="AA10" s="768"/>
      <c r="AB10" s="768"/>
      <c r="AC10" s="768"/>
      <c r="AD10" s="768"/>
      <c r="AE10" s="768"/>
      <c r="AF10" s="768"/>
      <c r="AG10" s="768"/>
      <c r="AH10" s="768"/>
      <c r="AI10" s="768"/>
      <c r="AJ10" s="768"/>
      <c r="AK10" s="768"/>
      <c r="AL10" s="768"/>
      <c r="AM10" s="768"/>
      <c r="AN10" s="768"/>
      <c r="AO10" s="768">
        <f>IF(OR(N_Bedarf!$F10="hoch 1",N_Bedarf!$F10="hoch 1 Nitratrisikogebiet",N_Bedarf!$F10="hoch 2",N_Bedarf!$F10="hoch 2 Nitratrisikogebiet",N_Bedarf!$F10="hoch 3",N_Bedarf!$F10="hoch 3 Nitratrisikogebiet"),1,0)</f>
        <v>0</v>
      </c>
      <c r="AP10" s="1568" t="str">
        <f t="shared" si="3"/>
        <v/>
      </c>
      <c r="AQ10" s="472">
        <f t="shared" si="12"/>
        <v>0</v>
      </c>
      <c r="AR10" s="472">
        <f t="shared" si="4"/>
        <v>0</v>
      </c>
      <c r="AS10" s="472">
        <f t="shared" si="5"/>
        <v>0</v>
      </c>
      <c r="AT10" s="472">
        <f t="shared" si="6"/>
        <v>0</v>
      </c>
      <c r="AU10" s="472">
        <f t="shared" si="7"/>
        <v>0</v>
      </c>
      <c r="AV10" s="472">
        <f t="shared" si="8"/>
        <v>0</v>
      </c>
      <c r="AW10" s="472">
        <f t="shared" si="13"/>
        <v>0</v>
      </c>
      <c r="AX10" s="1722" t="s">
        <v>1711</v>
      </c>
      <c r="AY10" s="681">
        <v>80</v>
      </c>
      <c r="AZ10" s="681">
        <v>70</v>
      </c>
      <c r="BA10" s="681" t="s">
        <v>2774</v>
      </c>
      <c r="BB10" s="681">
        <v>110</v>
      </c>
      <c r="BC10" s="681">
        <v>95</v>
      </c>
      <c r="BD10" s="1915" t="s">
        <v>2614</v>
      </c>
      <c r="BE10" s="681">
        <v>130</v>
      </c>
      <c r="BF10" s="681">
        <v>110</v>
      </c>
      <c r="BG10" s="1915" t="s">
        <v>2613</v>
      </c>
      <c r="BH10" s="681">
        <v>140</v>
      </c>
      <c r="BI10" s="681">
        <v>120</v>
      </c>
      <c r="BJ10" s="1915" t="s">
        <v>2618</v>
      </c>
      <c r="BK10" s="681">
        <v>150</v>
      </c>
      <c r="BL10" s="681">
        <v>130</v>
      </c>
      <c r="BM10" s="1915" t="s">
        <v>2809</v>
      </c>
      <c r="BN10" s="471">
        <v>24</v>
      </c>
      <c r="BO10" s="821" t="s">
        <v>1764</v>
      </c>
      <c r="BP10"/>
      <c r="BQ10" s="1722" t="s">
        <v>1711</v>
      </c>
      <c r="BR10" s="470">
        <v>50</v>
      </c>
      <c r="BS10" s="470">
        <v>55</v>
      </c>
      <c r="BT10" s="470">
        <v>65</v>
      </c>
      <c r="BU10"/>
      <c r="BV10" s="1722" t="s">
        <v>1711</v>
      </c>
      <c r="BW10" s="470">
        <v>70</v>
      </c>
      <c r="BX10" s="470">
        <v>80</v>
      </c>
      <c r="BY10" s="470">
        <v>90</v>
      </c>
      <c r="BZ10" s="810" t="e">
        <f>IF(#REF!="ja",CA10,IF($V$27="nein",0,0))</f>
        <v>#REF!</v>
      </c>
      <c r="CA10" s="470">
        <v>50</v>
      </c>
      <c r="CB10"/>
      <c r="CC10" s="1658">
        <f>IFERROR(COUNTIF(Ackerkulturen[Ackerkulturen],N_Bedarf!$C12),0)</f>
        <v>0</v>
      </c>
      <c r="CD10"/>
      <c r="CE10" s="1833" t="s">
        <v>1261</v>
      </c>
      <c r="CF10" s="1834" t="str">
        <f>IFERROR(INDEX(N_Bedarf!$CE$2:$CE$141,_xlfn.AGGREGATE(15,6,(ROW(N_Bedarf!$CE$2:$CE$141)-1)/(--(SEARCH(CG$2,N_Bedarf!$CE$2:$CE$141)&gt;0)),ROW()-2),1),"")</f>
        <v>Sommerweichweizen ≥ 14% RP</v>
      </c>
      <c r="CG10" s="1836"/>
      <c r="CH10" s="1834" t="str">
        <f>IFERROR(INDEX(N_Bedarf!$CE$2:$CE$141,_xlfn.AGGREGATE(15,6,(ROW(N_Bedarf!$CE$2:$CE$141)-1)/(--(SEARCH(CI$2,N_Bedarf!$CE$2:$CE$141)&gt;0)),ROW()-2),1),"")</f>
        <v>Sommerweichweizen ≥ 14% RP</v>
      </c>
      <c r="CI10" s="1836"/>
      <c r="CJ10" s="1834" t="str">
        <f>IFERROR(INDEX(N_Bedarf!$CE$2:$CE$141,_xlfn.AGGREGATE(15,6,(ROW(N_Bedarf!$CE$2:$CE$141)-1)/(--(SEARCH(CK$2,N_Bedarf!$CE$2:$CE$141)&gt;0)),ROW()-2),1),"")</f>
        <v>Sommerweichweizen ≥ 14% RP</v>
      </c>
      <c r="CK10" s="1836"/>
      <c r="CL10" s="1834" t="str">
        <f>IFERROR(INDEX(N_Bedarf!$CE$2:$CE$141,_xlfn.AGGREGATE(15,6,(ROW(N_Bedarf!$CE$2:$CE$141)-1)/(--(SEARCH(CM$2,N_Bedarf!$CE$2:$CE$141)&gt;0)),ROW()-2),1),"")</f>
        <v>Sommerweichweizen ≥ 14% RP</v>
      </c>
      <c r="CM10" s="1836"/>
      <c r="CN10" s="1834" t="str">
        <f>IFERROR(INDEX(N_Bedarf!$CE$2:$CE$141,_xlfn.AGGREGATE(15,6,(ROW(N_Bedarf!$CE$2:$CE$141)-1)/(--(SEARCH(CO$2,N_Bedarf!$CE$2:$CE$141)&gt;0)),ROW()-2),1),"")</f>
        <v>Sommerweichweizen ≥ 14% RP</v>
      </c>
      <c r="CO10" s="1836"/>
      <c r="CP10" s="1834" t="str">
        <f>IFERROR(INDEX(N_Bedarf!$CE$2:$CE$141,_xlfn.AGGREGATE(15,6,(ROW(N_Bedarf!$CE$2:$CE$141)-1)/(--(SEARCH(CQ$2,N_Bedarf!$CE$2:$CE$141)&gt;0)),ROW()-2),1),"")</f>
        <v>Sommerweichweizen ≥ 14% RP</v>
      </c>
      <c r="CQ10" s="1836"/>
      <c r="CR10" s="1834" t="str">
        <f>IFERROR(INDEX(N_Bedarf!$CE$2:$CE$141,_xlfn.AGGREGATE(15,6,(ROW(N_Bedarf!$CE$2:$CE$141)-1)/(--(SEARCH(CS$2,N_Bedarf!$CE$2:$CE$141)&gt;0)),ROW()-2),1),"")</f>
        <v>Sommerweichweizen ≥ 14% RP</v>
      </c>
      <c r="CS10" s="1836"/>
      <c r="CT10" s="1834" t="str">
        <f>IFERROR(INDEX(N_Bedarf!$CE$2:$CE$141,_xlfn.AGGREGATE(15,6,(ROW(N_Bedarf!$CE$2:$CE$141)-1)/(--(SEARCH(CU$2,N_Bedarf!$CE$2:$CE$141)&gt;0)),ROW()-2),1),"")</f>
        <v>Sommerweichweizen ≥ 14% RP</v>
      </c>
      <c r="CU10" s="1836"/>
      <c r="CV10" s="1834" t="str">
        <f>IFERROR(INDEX(N_Bedarf!$CE$2:$CE$141,_xlfn.AGGREGATE(15,6,(ROW(N_Bedarf!$CE$2:$CE$141)-1)/(--(SEARCH(CW$2,N_Bedarf!$CE$2:$CE$141)&gt;0)),ROW()-2),1),"")</f>
        <v>Sommerweichweizen ≥ 14% RP</v>
      </c>
      <c r="CW10" s="1836"/>
      <c r="CX10" s="1834" t="str">
        <f>IFERROR(INDEX(N_Bedarf!$CE$2:$CE$141,_xlfn.AGGREGATE(15,6,(ROW(N_Bedarf!$CE$2:$CE$141)-1)/(--(SEARCH(CY$2,N_Bedarf!$CE$2:$CE$141)&gt;0)),ROW()-2),1),"")</f>
        <v>Sommerweichweizen ≥ 14% RP</v>
      </c>
      <c r="CY10" s="1836"/>
      <c r="CZ10" s="1834" t="str">
        <f>IFERROR(INDEX(N_Bedarf!$CE$2:$CE$141,_xlfn.AGGREGATE(15,6,(ROW(N_Bedarf!$CE$2:$CE$141)-1)/(--(SEARCH(DA$2,N_Bedarf!$CE$2:$CE$141)&gt;0)),ROW()-2),1),"")</f>
        <v>Sommerweichweizen ≥ 14% RP</v>
      </c>
      <c r="DA10" s="1836"/>
      <c r="DB10" s="1834" t="str">
        <f>IFERROR(INDEX(N_Bedarf!$CE$2:$CE$141,_xlfn.AGGREGATE(15,6,(ROW(N_Bedarf!$CE$2:$CE$141)-1)/(--(SEARCH(DC$2,N_Bedarf!$CE$2:$CE$141)&gt;0)),ROW()-2),1),"")</f>
        <v>Sommerweichweizen ≥ 14% RP</v>
      </c>
      <c r="DC10" s="1836"/>
      <c r="DD10" s="1834" t="str">
        <f>IFERROR(INDEX(N_Bedarf!$CE$2:$CE$141,_xlfn.AGGREGATE(15,6,(ROW(N_Bedarf!$CE$2:$CE$141)-1)/(--(SEARCH(DE$2,N_Bedarf!$CE$2:$CE$141)&gt;0)),ROW()-2),1),"")</f>
        <v>Sommerweichweizen ≥ 14% RP</v>
      </c>
      <c r="DE10" s="1836"/>
      <c r="DF10" s="2353" t="str">
        <f t="array" ref="DF10">IFERROR(INDEX(N_Bedarf!$CE$2:$CE$141,_xlfn.AGGREGATE(15,6,(ROW(N_Bedarf!$CE$2:$CE$141)-1)/(--(SEARCH(DG$2,N_Bedarf!$CE$2:$CE$141)&gt;0)),ROW()-2),1),"")</f>
        <v>Sommerweichweizen ≥ 14% RP</v>
      </c>
      <c r="DG10" s="2353"/>
      <c r="DH10" s="2355" t="str">
        <f t="array" ref="DH10">IFERROR(INDEX(N_Bedarf!$CE$2:$CE$141,_xlfn.AGGREGATE(15,6,(ROW(N_Bedarf!$CE$2:$CE$141)-1)/(--(SEARCH(DI$2,N_Bedarf!$CE$2:$CE$141)&gt;0)),ROW()-2),1),"")</f>
        <v>Sommerweichweizen ≥ 14% RP</v>
      </c>
      <c r="DI10" s="2355"/>
      <c r="DJ10" s="2356" t="str">
        <f t="array" ref="DJ10">IFERROR(INDEX(N_Bedarf!$CE$2:$CE$141,_xlfn.AGGREGATE(15,6,(ROW(N_Bedarf!$CE$2:$CE$141)-1)/(--(SEARCH(DK$2,N_Bedarf!$CE$2:$CE$141)&gt;0)),ROW()-2),1),"")</f>
        <v>Sommerweichweizen ≥ 14% RP</v>
      </c>
      <c r="DK10" s="2356"/>
      <c r="DL10" s="2356" t="str">
        <f t="array" ref="DL10">IFERROR(INDEX(N_Bedarf!$CE$2:$CE$141,_xlfn.AGGREGATE(15,6,(ROW(N_Bedarf!$CE$2:$CE$141)-1)/(--(SEARCH(DM$2,N_Bedarf!$CE$2:$CE$141)&gt;0)),ROW()-2),1),"")</f>
        <v>Sommerweichweizen ≥ 14% RP</v>
      </c>
      <c r="DM10" s="2356"/>
      <c r="DN10" s="2356" t="str">
        <f t="array" ref="DN10">IFERROR(INDEX(N_Bedarf!$CE$2:$CE$141,_xlfn.AGGREGATE(15,6,(ROW(N_Bedarf!$CE$2:$CE$141)-1)/(--(SEARCH(DO$2,N_Bedarf!$CE$2:$CE$141)&gt;0)),ROW()-2),1),"")</f>
        <v>Sommerweichweizen ≥ 14% RP</v>
      </c>
      <c r="DO10" s="2356"/>
      <c r="DP10" s="2356" t="str">
        <f t="array" ref="DP10">IFERROR(INDEX(N_Bedarf!$CE$2:$CE$141,_xlfn.AGGREGATE(15,6,(ROW(N_Bedarf!$CE$2:$CE$141)-1)/(--(SEARCH(DQ$2,N_Bedarf!$CE$2:$CE$141)&gt;0)),ROW()-2),1),"")</f>
        <v>Sommerweichweizen ≥ 14% RP</v>
      </c>
      <c r="DQ10" s="2356"/>
      <c r="DR10" s="2356" t="str">
        <f t="array" ref="DR10">IFERROR(INDEX(N_Bedarf!$CE$2:$CE$141,_xlfn.AGGREGATE(15,6,(ROW(N_Bedarf!$CE$2:$CE$141)-1)/(--(SEARCH(DS$2,N_Bedarf!$CE$2:$CE$141)&gt;0)),ROW()-2),1),"")</f>
        <v>Sommerweichweizen ≥ 14% RP</v>
      </c>
      <c r="DS10" s="2356"/>
      <c r="DT10" s="2356" t="str">
        <f t="array" ref="DT10">IFERROR(INDEX(N_Bedarf!$CE$2:$CE$141,_xlfn.AGGREGATE(15,6,(ROW(N_Bedarf!$CE$2:$CE$141)-1)/(--(SEARCH(DU$2,N_Bedarf!$CE$2:$CE$141)&gt;0)),ROW()-2),1),"")</f>
        <v>Sommerweichweizen ≥ 14% RP</v>
      </c>
      <c r="DU10" s="2356"/>
      <c r="DV10" s="2356" t="str">
        <f t="array" ref="DV10">IFERROR(INDEX(N_Bedarf!$CE$2:$CE$141,_xlfn.AGGREGATE(15,6,(ROW(N_Bedarf!$CE$2:$CE$141)-1)/(--(SEARCH(DW$2,N_Bedarf!$CE$2:$CE$141)&gt;0)),ROW()-2),1),"")</f>
        <v>Sommerweichweizen ≥ 14% RP</v>
      </c>
      <c r="DW10" s="2356"/>
      <c r="DX10" s="2356" t="str">
        <f t="array" ref="DX10">IFERROR(INDEX(N_Bedarf!$CE$2:$CE$141,_xlfn.AGGREGATE(15,6,(ROW(N_Bedarf!$CE$2:$CE$141)-1)/(--(SEARCH(DY$2,N_Bedarf!$CE$2:$CE$141)&gt;0)),ROW()-2),1),"")</f>
        <v>Sommerweichweizen ≥ 14% RP</v>
      </c>
      <c r="DY10" s="2356"/>
      <c r="DZ10" s="2356" t="str">
        <f t="array" ref="DZ10">IFERROR(INDEX(N_Bedarf!$CE$2:$CE$141,_xlfn.AGGREGATE(15,6,(ROW(N_Bedarf!$CE$2:$CE$141)-1)/(--(SEARCH(EA$2,N_Bedarf!$CE$2:$CE$141)&gt;0)),ROW()-2),1),"")</f>
        <v>Sommerweichweizen ≥ 14% RP</v>
      </c>
      <c r="EA10" s="2356"/>
      <c r="EB10" s="2356" t="str">
        <f t="array" ref="EB10">IFERROR(INDEX(N_Bedarf!$CE$2:$CE$141,_xlfn.AGGREGATE(15,6,(ROW(N_Bedarf!$CE$2:$CE$141)-1)/(--(SEARCH(EC$2,N_Bedarf!$CE$2:$CE$141)&gt;0)),ROW()-2),1),"")</f>
        <v>Sommerweichweizen ≥ 14% RP</v>
      </c>
      <c r="EC10" s="2356"/>
      <c r="ED10"/>
      <c r="EE10"/>
      <c r="EF10" s="394" t="s">
        <v>1888</v>
      </c>
      <c r="EG10" t="str">
        <f>IFERROR(INDEX(Liste_Grünland_DropDown[Grünland],_xlfn.AGGREGATE(15,6,(ROW(Liste_Grünland_DropDown[Grünland])-1)/(--(SEARCH(EH$2,Liste_Grünland_DropDown[Grünland])&gt;0)),ROW()-2),1),"")</f>
        <v>Dauerwiese 2 Schnitt</v>
      </c>
      <c r="EH10" t="str">
        <f>IF(N_Bedarf!$C65="","",IF(COUNTIF(Liste_Grünland_DropDown[Grünland],N_Bedarf!$C65),"",N_Bedarf!$C65))</f>
        <v>Gesamtbetrieblicher maximaler N-Bedarf in kg</v>
      </c>
      <c r="EI10" t="str">
        <f>IFERROR(INDEX(Liste_Grünland_DropDown[Grünland],_xlfn.AGGREGATE(15,6,(ROW(Liste_Grünland_DropDown[Grünland])-1)/(--(SEARCH(EJ$2,Liste_Grünland_DropDown[Grünland])&gt;0)),ROW()-2),1),"")</f>
        <v>Dauerwiese 2 Schnitt</v>
      </c>
      <c r="EJ10"/>
      <c r="EK10" t="str">
        <f>IFERROR(INDEX(Liste_Grünland_DropDown[Grünland],_xlfn.AGGREGATE(15,6,(ROW(Liste_Grünland_DropDown[Grünland])-1)/(--(SEARCH(EL$2,Liste_Grünland_DropDown[Grünland])&gt;0)),ROW()-2),1),"")</f>
        <v>Dauerwiese 2 Schnitt</v>
      </c>
      <c r="EL10"/>
      <c r="EM10" t="str">
        <f>IFERROR(INDEX(Liste_Grünland_DropDown[Grünland],_xlfn.AGGREGATE(15,6,(ROW(Liste_Grünland_DropDown[Grünland])-1)/(--(SEARCH(EN$2,Liste_Grünland_DropDown[Grünland])&gt;0)),ROW()-2),1),"")</f>
        <v>Dauerwiese 2 Schnitt</v>
      </c>
      <c r="EN10"/>
      <c r="EO10" t="str">
        <f t="array" ref="EO10">IFERROR(INDEX(Liste_Grünland_DropDown[Grünland],_xlfn.AGGREGATE(15,6,(ROW(Liste_Grünland_DropDown[Grünland])-1)/(--(SEARCH(EP$2,Liste_Grünland_DropDown[Grünland])&gt;0)),ROW()-2),1),"")</f>
        <v>Dauerwiese 2 Schnitt</v>
      </c>
      <c r="EP10"/>
      <c r="EQ10" t="str">
        <f>IFERROR(INDEX(Liste_Grünland_DropDown[Grünland],_xlfn.AGGREGATE(15,6,(ROW(Liste_Grünland_DropDown[Grünland])-1)/(--(SEARCH(ER$2,Liste_Grünland_DropDown[Grünland])&gt;0)),ROW()-2),1),"")</f>
        <v>Dauerwiese 2 Schnitt</v>
      </c>
      <c r="ER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row>
    <row r="11" spans="1:291" ht="27" customHeight="1" thickTop="1" thickBot="1">
      <c r="A11" s="287" t="s">
        <v>1267</v>
      </c>
      <c r="B11" s="421" t="str">
        <f t="shared" si="0"/>
        <v xml:space="preserve">g - </v>
      </c>
      <c r="C11" s="2475"/>
      <c r="D11" s="2476"/>
      <c r="E11" s="912"/>
      <c r="F11" s="913"/>
      <c r="G11" s="1916" t="str">
        <f t="shared" si="9"/>
        <v/>
      </c>
      <c r="H11" s="2296"/>
      <c r="I11" s="914">
        <f t="shared" si="10"/>
        <v>0</v>
      </c>
      <c r="J11" s="2297">
        <f t="shared" si="11"/>
        <v>0</v>
      </c>
      <c r="K11" s="2299"/>
      <c r="L11" s="915">
        <f t="shared" si="1"/>
        <v>0</v>
      </c>
      <c r="M11" s="2298">
        <f t="shared" si="2"/>
        <v>0</v>
      </c>
      <c r="N11" s="2575"/>
      <c r="O11" s="2576"/>
      <c r="P11" s="2576"/>
      <c r="Q11" s="2570"/>
      <c r="R11" s="2611"/>
      <c r="S11" s="2547"/>
      <c r="T11" s="770"/>
      <c r="U11" s="2582"/>
      <c r="V11" s="2583"/>
      <c r="W11" s="2583"/>
      <c r="X11" s="2584"/>
      <c r="Y11" s="768"/>
      <c r="Z11" s="768"/>
      <c r="AA11" s="768"/>
      <c r="AB11" s="768"/>
      <c r="AC11" s="768"/>
      <c r="AD11" s="768"/>
      <c r="AE11" s="768"/>
      <c r="AF11" s="768"/>
      <c r="AG11" s="768"/>
      <c r="AH11" s="768"/>
      <c r="AI11" s="768"/>
      <c r="AJ11" s="768"/>
      <c r="AK11" s="768"/>
      <c r="AL11" s="768"/>
      <c r="AM11" s="768"/>
      <c r="AN11" s="768"/>
      <c r="AO11" s="768">
        <f>IF(OR(N_Bedarf!$F11="hoch 1",N_Bedarf!$F11="hoch 1 Nitratrisikogebiet",N_Bedarf!$F11="hoch 2",N_Bedarf!$F11="hoch 2 Nitratrisikogebiet",N_Bedarf!$F11="hoch 3",N_Bedarf!$F11="hoch 3 Nitratrisikogebiet"),1,0)</f>
        <v>0</v>
      </c>
      <c r="AP11" s="1568" t="str">
        <f t="shared" si="3"/>
        <v/>
      </c>
      <c r="AQ11" s="472">
        <f t="shared" si="12"/>
        <v>0</v>
      </c>
      <c r="AR11" s="472">
        <f t="shared" si="4"/>
        <v>0</v>
      </c>
      <c r="AS11" s="472">
        <f t="shared" si="5"/>
        <v>0</v>
      </c>
      <c r="AT11" s="472">
        <f t="shared" si="6"/>
        <v>0</v>
      </c>
      <c r="AU11" s="472">
        <f t="shared" si="7"/>
        <v>0</v>
      </c>
      <c r="AV11" s="472">
        <f t="shared" si="8"/>
        <v>0</v>
      </c>
      <c r="AW11" s="472">
        <f t="shared" si="13"/>
        <v>0</v>
      </c>
      <c r="AX11" s="1722" t="s">
        <v>2378</v>
      </c>
      <c r="AY11" s="681">
        <v>105</v>
      </c>
      <c r="AZ11" s="681">
        <v>95</v>
      </c>
      <c r="BA11" s="681" t="s">
        <v>2770</v>
      </c>
      <c r="BB11" s="681">
        <v>145</v>
      </c>
      <c r="BC11" s="681">
        <v>130</v>
      </c>
      <c r="BD11" s="1915" t="s">
        <v>2763</v>
      </c>
      <c r="BE11" s="681">
        <v>170</v>
      </c>
      <c r="BF11" s="681">
        <v>150</v>
      </c>
      <c r="BG11" s="1915" t="s">
        <v>2775</v>
      </c>
      <c r="BH11" s="681">
        <v>180</v>
      </c>
      <c r="BI11" s="681">
        <v>160</v>
      </c>
      <c r="BJ11" s="1915" t="s">
        <v>2776</v>
      </c>
      <c r="BK11" s="681">
        <v>195</v>
      </c>
      <c r="BL11" s="681">
        <v>175</v>
      </c>
      <c r="BM11" s="1915" t="s">
        <v>2810</v>
      </c>
      <c r="BN11" s="471" t="s">
        <v>1764</v>
      </c>
      <c r="BO11" s="821" t="s">
        <v>1764</v>
      </c>
      <c r="BP11"/>
      <c r="BQ11" s="1722" t="s">
        <v>2378</v>
      </c>
      <c r="BR11" s="470">
        <v>50</v>
      </c>
      <c r="BS11" s="470">
        <v>55</v>
      </c>
      <c r="BT11" s="470">
        <v>65</v>
      </c>
      <c r="BU11"/>
      <c r="BV11" s="1722" t="s">
        <v>2378</v>
      </c>
      <c r="BW11" s="470">
        <v>70</v>
      </c>
      <c r="BX11" s="470">
        <v>80</v>
      </c>
      <c r="BY11" s="470">
        <v>90</v>
      </c>
      <c r="BZ11" s="810" t="e">
        <f>IF(#REF!="ja",CA11,IF($V$27="nein",0,0))</f>
        <v>#REF!</v>
      </c>
      <c r="CA11" s="470">
        <v>50</v>
      </c>
      <c r="CB11"/>
      <c r="CC11" s="1658">
        <f>IFERROR(COUNTIF(Ackerkulturen[Ackerkulturen],N_Bedarf!$C13),0)</f>
        <v>0</v>
      </c>
      <c r="CD11"/>
      <c r="CE11" s="1835" t="s">
        <v>1820</v>
      </c>
      <c r="CF11" s="1834" t="str">
        <f>IFERROR(INDEX(N_Bedarf!$CE$2:$CE$141,_xlfn.AGGREGATE(15,6,(ROW(N_Bedarf!$CE$2:$CE$141)-1)/(--(SEARCH(CG$2,N_Bedarf!$CE$2:$CE$141)&gt;0)),ROW()-2),1),"")</f>
        <v>Wintergerste</v>
      </c>
      <c r="CG11" s="1830"/>
      <c r="CH11" s="1834" t="str">
        <f>IFERROR(INDEX(N_Bedarf!$CE$2:$CE$141,_xlfn.AGGREGATE(15,6,(ROW(N_Bedarf!$CE$2:$CE$141)-1)/(--(SEARCH(CI$2,N_Bedarf!$CE$2:$CE$141)&gt;0)),ROW()-2),1),"")</f>
        <v>Wintergerste</v>
      </c>
      <c r="CI11" s="1830"/>
      <c r="CJ11" s="1834" t="str">
        <f>IFERROR(INDEX(N_Bedarf!$CE$2:$CE$141,_xlfn.AGGREGATE(15,6,(ROW(N_Bedarf!$CE$2:$CE$141)-1)/(--(SEARCH(CK$2,N_Bedarf!$CE$2:$CE$141)&gt;0)),ROW()-2),1),"")</f>
        <v>Wintergerste</v>
      </c>
      <c r="CK11" s="1830"/>
      <c r="CL11" s="1834" t="str">
        <f>IFERROR(INDEX(N_Bedarf!$CE$2:$CE$141,_xlfn.AGGREGATE(15,6,(ROW(N_Bedarf!$CE$2:$CE$141)-1)/(--(SEARCH(CM$2,N_Bedarf!$CE$2:$CE$141)&gt;0)),ROW()-2),1),"")</f>
        <v>Wintergerste</v>
      </c>
      <c r="CM11" s="1830"/>
      <c r="CN11" s="1834" t="str">
        <f>IFERROR(INDEX(N_Bedarf!$CE$2:$CE$141,_xlfn.AGGREGATE(15,6,(ROW(N_Bedarf!$CE$2:$CE$141)-1)/(--(SEARCH(CO$2,N_Bedarf!$CE$2:$CE$141)&gt;0)),ROW()-2),1),"")</f>
        <v>Wintergerste</v>
      </c>
      <c r="CO11" s="1830"/>
      <c r="CP11" s="1834" t="str">
        <f>IFERROR(INDEX(N_Bedarf!$CE$2:$CE$141,_xlfn.AGGREGATE(15,6,(ROW(N_Bedarf!$CE$2:$CE$141)-1)/(--(SEARCH(CQ$2,N_Bedarf!$CE$2:$CE$141)&gt;0)),ROW()-2),1),"")</f>
        <v>Wintergerste</v>
      </c>
      <c r="CQ11" s="1830"/>
      <c r="CR11" s="1834" t="str">
        <f>IFERROR(INDEX(N_Bedarf!$CE$2:$CE$141,_xlfn.AGGREGATE(15,6,(ROW(N_Bedarf!$CE$2:$CE$141)-1)/(--(SEARCH(CS$2,N_Bedarf!$CE$2:$CE$141)&gt;0)),ROW()-2),1),"")</f>
        <v>Wintergerste</v>
      </c>
      <c r="CS11" s="1830"/>
      <c r="CT11" s="1834" t="str">
        <f>IFERROR(INDEX(N_Bedarf!$CE$2:$CE$141,_xlfn.AGGREGATE(15,6,(ROW(N_Bedarf!$CE$2:$CE$141)-1)/(--(SEARCH(CU$2,N_Bedarf!$CE$2:$CE$141)&gt;0)),ROW()-2),1),"")</f>
        <v>Wintergerste</v>
      </c>
      <c r="CU11" s="1830"/>
      <c r="CV11" s="1834" t="str">
        <f>IFERROR(INDEX(N_Bedarf!$CE$2:$CE$141,_xlfn.AGGREGATE(15,6,(ROW(N_Bedarf!$CE$2:$CE$141)-1)/(--(SEARCH(CW$2,N_Bedarf!$CE$2:$CE$141)&gt;0)),ROW()-2),1),"")</f>
        <v>Wintergerste</v>
      </c>
      <c r="CW11" s="1830"/>
      <c r="CX11" s="1834" t="str">
        <f>IFERROR(INDEX(N_Bedarf!$CE$2:$CE$141,_xlfn.AGGREGATE(15,6,(ROW(N_Bedarf!$CE$2:$CE$141)-1)/(--(SEARCH(CY$2,N_Bedarf!$CE$2:$CE$141)&gt;0)),ROW()-2),1),"")</f>
        <v>Wintergerste</v>
      </c>
      <c r="CY11" s="1830"/>
      <c r="CZ11" s="1834" t="str">
        <f>IFERROR(INDEX(N_Bedarf!$CE$2:$CE$141,_xlfn.AGGREGATE(15,6,(ROW(N_Bedarf!$CE$2:$CE$141)-1)/(--(SEARCH(DA$2,N_Bedarf!$CE$2:$CE$141)&gt;0)),ROW()-2),1),"")</f>
        <v>Wintergerste</v>
      </c>
      <c r="DA11" s="1830"/>
      <c r="DB11" s="1834" t="str">
        <f>IFERROR(INDEX(N_Bedarf!$CE$2:$CE$141,_xlfn.AGGREGATE(15,6,(ROW(N_Bedarf!$CE$2:$CE$141)-1)/(--(SEARCH(DC$2,N_Bedarf!$CE$2:$CE$141)&gt;0)),ROW()-2),1),"")</f>
        <v>Wintergerste</v>
      </c>
      <c r="DC11" s="1830"/>
      <c r="DD11" s="1834" t="str">
        <f>IFERROR(INDEX(N_Bedarf!$CE$2:$CE$141,_xlfn.AGGREGATE(15,6,(ROW(N_Bedarf!$CE$2:$CE$141)-1)/(--(SEARCH(DE$2,N_Bedarf!$CE$2:$CE$141)&gt;0)),ROW()-2),1),"")</f>
        <v>Wintergerste</v>
      </c>
      <c r="DE11" s="1830"/>
      <c r="DF11" s="2353" t="str">
        <f t="array" ref="DF11">IFERROR(INDEX(N_Bedarf!$CE$2:$CE$141,_xlfn.AGGREGATE(15,6,(ROW(N_Bedarf!$CE$2:$CE$141)-1)/(--(SEARCH(DG$2,N_Bedarf!$CE$2:$CE$141)&gt;0)),ROW()-2),1),"")</f>
        <v>Wintergerste</v>
      </c>
      <c r="DG11" s="2353"/>
      <c r="DH11" s="2355" t="str">
        <f t="array" ref="DH11">IFERROR(INDEX(N_Bedarf!$CE$2:$CE$141,_xlfn.AGGREGATE(15,6,(ROW(N_Bedarf!$CE$2:$CE$141)-1)/(--(SEARCH(DI$2,N_Bedarf!$CE$2:$CE$141)&gt;0)),ROW()-2),1),"")</f>
        <v>Wintergerste</v>
      </c>
      <c r="DI11" s="2355"/>
      <c r="DJ11" s="2356" t="str">
        <f t="array" ref="DJ11">IFERROR(INDEX(N_Bedarf!$CE$2:$CE$141,_xlfn.AGGREGATE(15,6,(ROW(N_Bedarf!$CE$2:$CE$141)-1)/(--(SEARCH(DK$2,N_Bedarf!$CE$2:$CE$141)&gt;0)),ROW()-2),1),"")</f>
        <v>Wintergerste</v>
      </c>
      <c r="DK11" s="2356"/>
      <c r="DL11" s="2356" t="str">
        <f t="array" ref="DL11">IFERROR(INDEX(N_Bedarf!$CE$2:$CE$141,_xlfn.AGGREGATE(15,6,(ROW(N_Bedarf!$CE$2:$CE$141)-1)/(--(SEARCH(DM$2,N_Bedarf!$CE$2:$CE$141)&gt;0)),ROW()-2),1),"")</f>
        <v>Wintergerste</v>
      </c>
      <c r="DM11" s="2356"/>
      <c r="DN11" s="2356" t="str">
        <f t="array" ref="DN11">IFERROR(INDEX(N_Bedarf!$CE$2:$CE$141,_xlfn.AGGREGATE(15,6,(ROW(N_Bedarf!$CE$2:$CE$141)-1)/(--(SEARCH(DO$2,N_Bedarf!$CE$2:$CE$141)&gt;0)),ROW()-2),1),"")</f>
        <v>Wintergerste</v>
      </c>
      <c r="DO11" s="2356"/>
      <c r="DP11" s="2356" t="str">
        <f t="array" ref="DP11">IFERROR(INDEX(N_Bedarf!$CE$2:$CE$141,_xlfn.AGGREGATE(15,6,(ROW(N_Bedarf!$CE$2:$CE$141)-1)/(--(SEARCH(DQ$2,N_Bedarf!$CE$2:$CE$141)&gt;0)),ROW()-2),1),"")</f>
        <v>Wintergerste</v>
      </c>
      <c r="DQ11" s="2356"/>
      <c r="DR11" s="2356" t="str">
        <f t="array" ref="DR11">IFERROR(INDEX(N_Bedarf!$CE$2:$CE$141,_xlfn.AGGREGATE(15,6,(ROW(N_Bedarf!$CE$2:$CE$141)-1)/(--(SEARCH(DS$2,N_Bedarf!$CE$2:$CE$141)&gt;0)),ROW()-2),1),"")</f>
        <v>Wintergerste</v>
      </c>
      <c r="DS11" s="2356"/>
      <c r="DT11" s="2356" t="str">
        <f t="array" ref="DT11">IFERROR(INDEX(N_Bedarf!$CE$2:$CE$141,_xlfn.AGGREGATE(15,6,(ROW(N_Bedarf!$CE$2:$CE$141)-1)/(--(SEARCH(DU$2,N_Bedarf!$CE$2:$CE$141)&gt;0)),ROW()-2),1),"")</f>
        <v>Wintergerste</v>
      </c>
      <c r="DU11" s="2356"/>
      <c r="DV11" s="2356" t="str">
        <f t="array" ref="DV11">IFERROR(INDEX(N_Bedarf!$CE$2:$CE$141,_xlfn.AGGREGATE(15,6,(ROW(N_Bedarf!$CE$2:$CE$141)-1)/(--(SEARCH(DW$2,N_Bedarf!$CE$2:$CE$141)&gt;0)),ROW()-2),1),"")</f>
        <v>Wintergerste</v>
      </c>
      <c r="DW11" s="2356"/>
      <c r="DX11" s="2356" t="str">
        <f t="array" ref="DX11">IFERROR(INDEX(N_Bedarf!$CE$2:$CE$141,_xlfn.AGGREGATE(15,6,(ROW(N_Bedarf!$CE$2:$CE$141)-1)/(--(SEARCH(DY$2,N_Bedarf!$CE$2:$CE$141)&gt;0)),ROW()-2),1),"")</f>
        <v>Wintergerste</v>
      </c>
      <c r="DY11" s="2356"/>
      <c r="DZ11" s="2356" t="str">
        <f t="array" ref="DZ11">IFERROR(INDEX(N_Bedarf!$CE$2:$CE$141,_xlfn.AGGREGATE(15,6,(ROW(N_Bedarf!$CE$2:$CE$141)-1)/(--(SEARCH(EA$2,N_Bedarf!$CE$2:$CE$141)&gt;0)),ROW()-2),1),"")</f>
        <v>Wintergerste</v>
      </c>
      <c r="EA11" s="2356"/>
      <c r="EB11" s="2356" t="str">
        <f t="array" ref="EB11">IFERROR(INDEX(N_Bedarf!$CE$2:$CE$141,_xlfn.AGGREGATE(15,6,(ROW(N_Bedarf!$CE$2:$CE$141)-1)/(--(SEARCH(EC$2,N_Bedarf!$CE$2:$CE$141)&gt;0)),ROW()-2),1),"")</f>
        <v>Wintergerste</v>
      </c>
      <c r="EC11" s="2356"/>
      <c r="ED11"/>
      <c r="EE11"/>
      <c r="EF11" s="394" t="s">
        <v>1889</v>
      </c>
      <c r="EG11" t="str">
        <f>IFERROR(INDEX(Liste_Grünland_DropDown[Grünland],_xlfn.AGGREGATE(15,6,(ROW(Liste_Grünland_DropDown[Grünland])-1)/(--(SEARCH(EH$2,Liste_Grünland_DropDown[Grünland])&gt;0)),ROW()-2),1),"")</f>
        <v>Dauerwiese 3 Schnitte, gräserbetont (&lt;40% Legum.)</v>
      </c>
      <c r="EH11" t="str">
        <f>IF(N_Bedarf!$C66="","",IF(COUNTIF(Liste_Grünland_DropDown[Grünland],N_Bedarf!$C66),"",N_Bedarf!$C66))</f>
        <v>Jahreswirksamer Stickstoff am Betrieb</v>
      </c>
      <c r="EI11" t="str">
        <f>IFERROR(INDEX(Liste_Grünland_DropDown[Grünland],_xlfn.AGGREGATE(15,6,(ROW(Liste_Grünland_DropDown[Grünland])-1)/(--(SEARCH(EJ$2,Liste_Grünland_DropDown[Grünland])&gt;0)),ROW()-2),1),"")</f>
        <v>Dauerwiese 3 Schnitte, gräserbetont (&lt;40% Legum.)</v>
      </c>
      <c r="EJ11"/>
      <c r="EK11" t="str">
        <f>IFERROR(INDEX(Liste_Grünland_DropDown[Grünland],_xlfn.AGGREGATE(15,6,(ROW(Liste_Grünland_DropDown[Grünland])-1)/(--(SEARCH(EL$2,Liste_Grünland_DropDown[Grünland])&gt;0)),ROW()-2),1),"")</f>
        <v>Dauerwiese 3 Schnitte, gräserbetont (&lt;40% Legum.)</v>
      </c>
      <c r="EL11"/>
      <c r="EM11" t="str">
        <f>IFERROR(INDEX(Liste_Grünland_DropDown[Grünland],_xlfn.AGGREGATE(15,6,(ROW(Liste_Grünland_DropDown[Grünland])-1)/(--(SEARCH(EN$2,Liste_Grünland_DropDown[Grünland])&gt;0)),ROW()-2),1),"")</f>
        <v>Dauerwiese 3 Schnitte, gräserbetont (&lt;40% Legum.)</v>
      </c>
      <c r="EN11"/>
      <c r="EO11" t="str">
        <f t="array" ref="EO11">IFERROR(INDEX(Liste_Grünland_DropDown[Grünland],_xlfn.AGGREGATE(15,6,(ROW(Liste_Grünland_DropDown[Grünland])-1)/(--(SEARCH(EP$2,Liste_Grünland_DropDown[Grünland])&gt;0)),ROW()-2),1),"")</f>
        <v>Dauerwiese 3 Schnitte, gräserbetont (&lt;40% Legum.)</v>
      </c>
      <c r="EP11"/>
      <c r="EQ11" t="str">
        <f>IFERROR(INDEX(Liste_Grünland_DropDown[Grünland],_xlfn.AGGREGATE(15,6,(ROW(Liste_Grünland_DropDown[Grünland])-1)/(--(SEARCH(ER$2,Liste_Grünland_DropDown[Grünland])&gt;0)),ROW()-2),1),"")</f>
        <v>Dauerwiese 3 Schnitte, gräserbetont (&lt;40% Legum.)</v>
      </c>
      <c r="ER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row>
    <row r="12" spans="1:291" ht="27" customHeight="1" thickTop="1" thickBot="1">
      <c r="A12" s="287" t="s">
        <v>1269</v>
      </c>
      <c r="B12" s="421" t="str">
        <f t="shared" si="0"/>
        <v xml:space="preserve">h - </v>
      </c>
      <c r="C12" s="2475"/>
      <c r="D12" s="2476"/>
      <c r="E12" s="912"/>
      <c r="F12" s="913"/>
      <c r="G12" s="1916" t="str">
        <f t="shared" si="9"/>
        <v/>
      </c>
      <c r="H12" s="2296"/>
      <c r="I12" s="914">
        <f t="shared" si="10"/>
        <v>0</v>
      </c>
      <c r="J12" s="2297">
        <f t="shared" si="11"/>
        <v>0</v>
      </c>
      <c r="K12" s="2299"/>
      <c r="L12" s="915">
        <f t="shared" si="1"/>
        <v>0</v>
      </c>
      <c r="M12" s="2298">
        <f t="shared" si="2"/>
        <v>0</v>
      </c>
      <c r="N12" s="2607" t="s">
        <v>2353</v>
      </c>
      <c r="O12" s="2608"/>
      <c r="P12" s="2609"/>
      <c r="Q12" s="1709"/>
      <c r="R12" s="1707">
        <v>10</v>
      </c>
      <c r="S12" s="1712">
        <f>R12*Q12</f>
        <v>0</v>
      </c>
      <c r="T12" s="770"/>
      <c r="U12" s="2582"/>
      <c r="V12" s="2583"/>
      <c r="W12" s="2583"/>
      <c r="X12" s="2584"/>
      <c r="Y12" s="768"/>
      <c r="Z12" s="768"/>
      <c r="AA12" s="768"/>
      <c r="AB12" s="768"/>
      <c r="AC12" s="768"/>
      <c r="AD12" s="768"/>
      <c r="AE12" s="768"/>
      <c r="AF12" s="768"/>
      <c r="AG12" s="768"/>
      <c r="AH12" s="768"/>
      <c r="AI12" s="768"/>
      <c r="AJ12" s="768"/>
      <c r="AK12" s="768"/>
      <c r="AL12" s="768"/>
      <c r="AM12" s="768"/>
      <c r="AN12" s="768"/>
      <c r="AO12" s="768">
        <f>IF(OR(N_Bedarf!$F12="hoch 1",N_Bedarf!$F12="hoch 1 Nitratrisikogebiet",N_Bedarf!$F12="hoch 2",N_Bedarf!$F12="hoch 2 Nitratrisikogebiet",N_Bedarf!$F12="hoch 3",N_Bedarf!$F12="hoch 3 Nitratrisikogebiet"),1,0)</f>
        <v>0</v>
      </c>
      <c r="AP12" s="1568" t="str">
        <f t="shared" si="3"/>
        <v/>
      </c>
      <c r="AQ12" s="472">
        <f t="shared" si="12"/>
        <v>0</v>
      </c>
      <c r="AR12" s="472">
        <f t="shared" si="4"/>
        <v>0</v>
      </c>
      <c r="AS12" s="472">
        <f t="shared" si="5"/>
        <v>0</v>
      </c>
      <c r="AT12" s="472">
        <f t="shared" si="6"/>
        <v>0</v>
      </c>
      <c r="AU12" s="472">
        <f t="shared" si="7"/>
        <v>0</v>
      </c>
      <c r="AV12" s="472">
        <f t="shared" si="8"/>
        <v>0</v>
      </c>
      <c r="AW12" s="472">
        <f t="shared" si="13"/>
        <v>0</v>
      </c>
      <c r="AX12" s="1722" t="s">
        <v>2377</v>
      </c>
      <c r="AY12" s="681">
        <v>105</v>
      </c>
      <c r="AZ12" s="681">
        <v>95</v>
      </c>
      <c r="BA12" s="681" t="s">
        <v>2771</v>
      </c>
      <c r="BB12" s="681">
        <v>145</v>
      </c>
      <c r="BC12" s="681">
        <v>130</v>
      </c>
      <c r="BD12" s="1915" t="s">
        <v>2766</v>
      </c>
      <c r="BE12" s="681">
        <v>170</v>
      </c>
      <c r="BF12" s="681">
        <v>150</v>
      </c>
      <c r="BG12" s="1915" t="s">
        <v>2777</v>
      </c>
      <c r="BH12" s="681">
        <v>180</v>
      </c>
      <c r="BI12" s="681">
        <v>160</v>
      </c>
      <c r="BJ12" s="1915" t="s">
        <v>2778</v>
      </c>
      <c r="BK12" s="681">
        <v>195</v>
      </c>
      <c r="BL12" s="681">
        <v>175</v>
      </c>
      <c r="BM12" s="1915" t="s">
        <v>2807</v>
      </c>
      <c r="BN12" s="471" t="s">
        <v>1764</v>
      </c>
      <c r="BO12" s="821" t="s">
        <v>1764</v>
      </c>
      <c r="BP12"/>
      <c r="BQ12" s="1722" t="s">
        <v>2377</v>
      </c>
      <c r="BR12" s="470">
        <v>50</v>
      </c>
      <c r="BS12" s="470">
        <v>55</v>
      </c>
      <c r="BT12" s="470">
        <v>65</v>
      </c>
      <c r="BU12"/>
      <c r="BV12" s="1722" t="s">
        <v>2377</v>
      </c>
      <c r="BW12" s="470">
        <v>70</v>
      </c>
      <c r="BX12" s="470">
        <v>80</v>
      </c>
      <c r="BY12" s="470">
        <v>90</v>
      </c>
      <c r="BZ12" s="810" t="e">
        <f>IF(#REF!="ja",CA12,IF($V$27="nein",0,0))</f>
        <v>#REF!</v>
      </c>
      <c r="CA12" s="470">
        <v>50</v>
      </c>
      <c r="CB12"/>
      <c r="CC12" s="1658">
        <f>IFERROR(COUNTIF(Ackerkulturen[Ackerkulturen],N_Bedarf!$C14),0)</f>
        <v>0</v>
      </c>
      <c r="CD12"/>
      <c r="CE12" s="1833" t="s">
        <v>433</v>
      </c>
      <c r="CF12" s="1834" t="str">
        <f>IFERROR(INDEX(N_Bedarf!$CE$2:$CE$141,_xlfn.AGGREGATE(15,6,(ROW(N_Bedarf!$CE$2:$CE$141)-1)/(--(SEARCH(CG$2,N_Bedarf!$CE$2:$CE$141)&gt;0)),ROW()-2),1),"")</f>
        <v>Winterbraugerste</v>
      </c>
      <c r="CG12" s="1836"/>
      <c r="CH12" s="1834" t="str">
        <f>IFERROR(INDEX(N_Bedarf!$CE$2:$CE$141,_xlfn.AGGREGATE(15,6,(ROW(N_Bedarf!$CE$2:$CE$141)-1)/(--(SEARCH(CI$2,N_Bedarf!$CE$2:$CE$141)&gt;0)),ROW()-2),1),"")</f>
        <v>Winterbraugerste</v>
      </c>
      <c r="CI12" s="1836"/>
      <c r="CJ12" s="1834" t="str">
        <f>IFERROR(INDEX(N_Bedarf!$CE$2:$CE$141,_xlfn.AGGREGATE(15,6,(ROW(N_Bedarf!$CE$2:$CE$141)-1)/(--(SEARCH(CK$2,N_Bedarf!$CE$2:$CE$141)&gt;0)),ROW()-2),1),"")</f>
        <v>Winterbraugerste</v>
      </c>
      <c r="CK12" s="1836"/>
      <c r="CL12" s="1834" t="str">
        <f>IFERROR(INDEX(N_Bedarf!$CE$2:$CE$141,_xlfn.AGGREGATE(15,6,(ROW(N_Bedarf!$CE$2:$CE$141)-1)/(--(SEARCH(CM$2,N_Bedarf!$CE$2:$CE$141)&gt;0)),ROW()-2),1),"")</f>
        <v>Winterbraugerste</v>
      </c>
      <c r="CM12" s="1836"/>
      <c r="CN12" s="1834" t="str">
        <f>IFERROR(INDEX(N_Bedarf!$CE$2:$CE$141,_xlfn.AGGREGATE(15,6,(ROW(N_Bedarf!$CE$2:$CE$141)-1)/(--(SEARCH(CO$2,N_Bedarf!$CE$2:$CE$141)&gt;0)),ROW()-2),1),"")</f>
        <v>Winterbraugerste</v>
      </c>
      <c r="CO12" s="1836"/>
      <c r="CP12" s="1834" t="str">
        <f>IFERROR(INDEX(N_Bedarf!$CE$2:$CE$141,_xlfn.AGGREGATE(15,6,(ROW(N_Bedarf!$CE$2:$CE$141)-1)/(--(SEARCH(CQ$2,N_Bedarf!$CE$2:$CE$141)&gt;0)),ROW()-2),1),"")</f>
        <v>Winterbraugerste</v>
      </c>
      <c r="CQ12" s="1836"/>
      <c r="CR12" s="1834" t="str">
        <f>IFERROR(INDEX(N_Bedarf!$CE$2:$CE$141,_xlfn.AGGREGATE(15,6,(ROW(N_Bedarf!$CE$2:$CE$141)-1)/(--(SEARCH(CS$2,N_Bedarf!$CE$2:$CE$141)&gt;0)),ROW()-2),1),"")</f>
        <v>Winterbraugerste</v>
      </c>
      <c r="CS12" s="1836"/>
      <c r="CT12" s="1834" t="str">
        <f>IFERROR(INDEX(N_Bedarf!$CE$2:$CE$141,_xlfn.AGGREGATE(15,6,(ROW(N_Bedarf!$CE$2:$CE$141)-1)/(--(SEARCH(CU$2,N_Bedarf!$CE$2:$CE$141)&gt;0)),ROW()-2),1),"")</f>
        <v>Winterbraugerste</v>
      </c>
      <c r="CU12" s="1836"/>
      <c r="CV12" s="1834" t="str">
        <f>IFERROR(INDEX(N_Bedarf!$CE$2:$CE$141,_xlfn.AGGREGATE(15,6,(ROW(N_Bedarf!$CE$2:$CE$141)-1)/(--(SEARCH(CW$2,N_Bedarf!$CE$2:$CE$141)&gt;0)),ROW()-2),1),"")</f>
        <v>Winterbraugerste</v>
      </c>
      <c r="CW12" s="1836"/>
      <c r="CX12" s="1834" t="str">
        <f>IFERROR(INDEX(N_Bedarf!$CE$2:$CE$141,_xlfn.AGGREGATE(15,6,(ROW(N_Bedarf!$CE$2:$CE$141)-1)/(--(SEARCH(CY$2,N_Bedarf!$CE$2:$CE$141)&gt;0)),ROW()-2),1),"")</f>
        <v>Winterbraugerste</v>
      </c>
      <c r="CY12" s="1836"/>
      <c r="CZ12" s="1834" t="str">
        <f>IFERROR(INDEX(N_Bedarf!$CE$2:$CE$141,_xlfn.AGGREGATE(15,6,(ROW(N_Bedarf!$CE$2:$CE$141)-1)/(--(SEARCH(DA$2,N_Bedarf!$CE$2:$CE$141)&gt;0)),ROW()-2),1),"")</f>
        <v>Winterbraugerste</v>
      </c>
      <c r="DA12" s="1836"/>
      <c r="DB12" s="1834" t="str">
        <f>IFERROR(INDEX(N_Bedarf!$CE$2:$CE$141,_xlfn.AGGREGATE(15,6,(ROW(N_Bedarf!$CE$2:$CE$141)-1)/(--(SEARCH(DC$2,N_Bedarf!$CE$2:$CE$141)&gt;0)),ROW()-2),1),"")</f>
        <v>Winterbraugerste</v>
      </c>
      <c r="DC12" s="1836"/>
      <c r="DD12" s="1834" t="str">
        <f>IFERROR(INDEX(N_Bedarf!$CE$2:$CE$141,_xlfn.AGGREGATE(15,6,(ROW(N_Bedarf!$CE$2:$CE$141)-1)/(--(SEARCH(DE$2,N_Bedarf!$CE$2:$CE$141)&gt;0)),ROW()-2),1),"")</f>
        <v>Winterbraugerste</v>
      </c>
      <c r="DE12" s="1836"/>
      <c r="DF12" s="2353" t="str">
        <f t="array" ref="DF12">IFERROR(INDEX(N_Bedarf!$CE$2:$CE$141,_xlfn.AGGREGATE(15,6,(ROW(N_Bedarf!$CE$2:$CE$141)-1)/(--(SEARCH(DG$2,N_Bedarf!$CE$2:$CE$141)&gt;0)),ROW()-2),1),"")</f>
        <v>Winterbraugerste</v>
      </c>
      <c r="DG12" s="2353"/>
      <c r="DH12" s="2355" t="str">
        <f t="array" ref="DH12">IFERROR(INDEX(N_Bedarf!$CE$2:$CE$141,_xlfn.AGGREGATE(15,6,(ROW(N_Bedarf!$CE$2:$CE$141)-1)/(--(SEARCH(DI$2,N_Bedarf!$CE$2:$CE$141)&gt;0)),ROW()-2),1),"")</f>
        <v>Winterbraugerste</v>
      </c>
      <c r="DI12" s="2355"/>
      <c r="DJ12" s="2356" t="str">
        <f t="array" ref="DJ12">IFERROR(INDEX(N_Bedarf!$CE$2:$CE$141,_xlfn.AGGREGATE(15,6,(ROW(N_Bedarf!$CE$2:$CE$141)-1)/(--(SEARCH(DK$2,N_Bedarf!$CE$2:$CE$141)&gt;0)),ROW()-2),1),"")</f>
        <v>Winterbraugerste</v>
      </c>
      <c r="DK12" s="2356"/>
      <c r="DL12" s="2356" t="str">
        <f t="array" ref="DL12">IFERROR(INDEX(N_Bedarf!$CE$2:$CE$141,_xlfn.AGGREGATE(15,6,(ROW(N_Bedarf!$CE$2:$CE$141)-1)/(--(SEARCH(DM$2,N_Bedarf!$CE$2:$CE$141)&gt;0)),ROW()-2),1),"")</f>
        <v>Winterbraugerste</v>
      </c>
      <c r="DM12" s="2356"/>
      <c r="DN12" s="2356" t="str">
        <f t="array" ref="DN12">IFERROR(INDEX(N_Bedarf!$CE$2:$CE$141,_xlfn.AGGREGATE(15,6,(ROW(N_Bedarf!$CE$2:$CE$141)-1)/(--(SEARCH(DO$2,N_Bedarf!$CE$2:$CE$141)&gt;0)),ROW()-2),1),"")</f>
        <v>Winterbraugerste</v>
      </c>
      <c r="DO12" s="2356"/>
      <c r="DP12" s="2356" t="str">
        <f t="array" ref="DP12">IFERROR(INDEX(N_Bedarf!$CE$2:$CE$141,_xlfn.AGGREGATE(15,6,(ROW(N_Bedarf!$CE$2:$CE$141)-1)/(--(SEARCH(DQ$2,N_Bedarf!$CE$2:$CE$141)&gt;0)),ROW()-2),1),"")</f>
        <v>Winterbraugerste</v>
      </c>
      <c r="DQ12" s="2356"/>
      <c r="DR12" s="2356" t="str">
        <f t="array" ref="DR12">IFERROR(INDEX(N_Bedarf!$CE$2:$CE$141,_xlfn.AGGREGATE(15,6,(ROW(N_Bedarf!$CE$2:$CE$141)-1)/(--(SEARCH(DS$2,N_Bedarf!$CE$2:$CE$141)&gt;0)),ROW()-2),1),"")</f>
        <v>Winterbraugerste</v>
      </c>
      <c r="DS12" s="2356"/>
      <c r="DT12" s="2356" t="str">
        <f t="array" ref="DT12">IFERROR(INDEX(N_Bedarf!$CE$2:$CE$141,_xlfn.AGGREGATE(15,6,(ROW(N_Bedarf!$CE$2:$CE$141)-1)/(--(SEARCH(DU$2,N_Bedarf!$CE$2:$CE$141)&gt;0)),ROW()-2),1),"")</f>
        <v>Winterbraugerste</v>
      </c>
      <c r="DU12" s="2356"/>
      <c r="DV12" s="2356" t="str">
        <f t="array" ref="DV12">IFERROR(INDEX(N_Bedarf!$CE$2:$CE$141,_xlfn.AGGREGATE(15,6,(ROW(N_Bedarf!$CE$2:$CE$141)-1)/(--(SEARCH(DW$2,N_Bedarf!$CE$2:$CE$141)&gt;0)),ROW()-2),1),"")</f>
        <v>Winterbraugerste</v>
      </c>
      <c r="DW12" s="2356"/>
      <c r="DX12" s="2356" t="str">
        <f t="array" ref="DX12">IFERROR(INDEX(N_Bedarf!$CE$2:$CE$141,_xlfn.AGGREGATE(15,6,(ROW(N_Bedarf!$CE$2:$CE$141)-1)/(--(SEARCH(DY$2,N_Bedarf!$CE$2:$CE$141)&gt;0)),ROW()-2),1),"")</f>
        <v>Winterbraugerste</v>
      </c>
      <c r="DY12" s="2356"/>
      <c r="DZ12" s="2356" t="str">
        <f t="array" ref="DZ12">IFERROR(INDEX(N_Bedarf!$CE$2:$CE$141,_xlfn.AGGREGATE(15,6,(ROW(N_Bedarf!$CE$2:$CE$141)-1)/(--(SEARCH(EA$2,N_Bedarf!$CE$2:$CE$141)&gt;0)),ROW()-2),1),"")</f>
        <v>Winterbraugerste</v>
      </c>
      <c r="EA12" s="2356"/>
      <c r="EB12" s="2356" t="str">
        <f t="array" ref="EB12">IFERROR(INDEX(N_Bedarf!$CE$2:$CE$141,_xlfn.AGGREGATE(15,6,(ROW(N_Bedarf!$CE$2:$CE$141)-1)/(--(SEARCH(EC$2,N_Bedarf!$CE$2:$CE$141)&gt;0)),ROW()-2),1),"")</f>
        <v>Winterbraugerste</v>
      </c>
      <c r="EC12" s="2356"/>
      <c r="ED12"/>
      <c r="EE12"/>
      <c r="EF12" s="394" t="s">
        <v>1890</v>
      </c>
      <c r="EG12" t="str">
        <f>IFERROR(INDEX(Liste_Grünland_DropDown[Grünland],_xlfn.AGGREGATE(15,6,(ROW(Liste_Grünland_DropDown[Grünland])-1)/(--(SEARCH(EH$2,Liste_Grünland_DropDown[Grünland])&gt;0)),ROW()-2),1),"")</f>
        <v>Dauerwiese 3 Schnitte, kleereich (&gt;40% Legum.)</v>
      </c>
      <c r="EH12" t="str">
        <f>IF(N_Bedarf!$C67="","",IF(COUNTIF(Liste_Grünland_DropDown[Grünland],N_Bedarf!$C67),"",N_Bedarf!$C67))</f>
        <v>Der N-Saldo ist ok!</v>
      </c>
      <c r="EI12" t="str">
        <f>IFERROR(INDEX(Liste_Grünland_DropDown[Grünland],_xlfn.AGGREGATE(15,6,(ROW(Liste_Grünland_DropDown[Grünland])-1)/(--(SEARCH(EJ$2,Liste_Grünland_DropDown[Grünland])&gt;0)),ROW()-2),1),"")</f>
        <v>Dauerwiese 3 Schnitte, kleereich (&gt;40% Legum.)</v>
      </c>
      <c r="EJ12"/>
      <c r="EK12" t="str">
        <f>IFERROR(INDEX(Liste_Grünland_DropDown[Grünland],_xlfn.AGGREGATE(15,6,(ROW(Liste_Grünland_DropDown[Grünland])-1)/(--(SEARCH(EL$2,Liste_Grünland_DropDown[Grünland])&gt;0)),ROW()-2),1),"")</f>
        <v>Dauerwiese 3 Schnitte, kleereich (&gt;40% Legum.)</v>
      </c>
      <c r="EL12"/>
      <c r="EM12" t="str">
        <f>IFERROR(INDEX(Liste_Grünland_DropDown[Grünland],_xlfn.AGGREGATE(15,6,(ROW(Liste_Grünland_DropDown[Grünland])-1)/(--(SEARCH(EN$2,Liste_Grünland_DropDown[Grünland])&gt;0)),ROW()-2),1),"")</f>
        <v>Dauerwiese 3 Schnitte, kleereich (&gt;40% Legum.)</v>
      </c>
      <c r="EN12"/>
      <c r="EO12" t="str">
        <f t="array" ref="EO12">IFERROR(INDEX(Liste_Grünland_DropDown[Grünland],_xlfn.AGGREGATE(15,6,(ROW(Liste_Grünland_DropDown[Grünland])-1)/(--(SEARCH(EP$2,Liste_Grünland_DropDown[Grünland])&gt;0)),ROW()-2),1),"")</f>
        <v>Dauerwiese 3 Schnitte, kleereich (&gt;40% Legum.)</v>
      </c>
      <c r="EP12"/>
      <c r="EQ12" t="str">
        <f>IFERROR(INDEX(Liste_Grünland_DropDown[Grünland],_xlfn.AGGREGATE(15,6,(ROW(Liste_Grünland_DropDown[Grünland])-1)/(--(SEARCH(ER$2,Liste_Grünland_DropDown[Grünland])&gt;0)),ROW()-2),1),"")</f>
        <v>Dauerwiese 3 Schnitte, kleereich (&gt;40% Legum.)</v>
      </c>
      <c r="ER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row>
    <row r="13" spans="1:291" ht="27" customHeight="1" thickTop="1" thickBot="1">
      <c r="A13" s="287" t="s">
        <v>1270</v>
      </c>
      <c r="B13" s="421" t="str">
        <f t="shared" si="0"/>
        <v xml:space="preserve">i - </v>
      </c>
      <c r="C13" s="2475"/>
      <c r="D13" s="2476"/>
      <c r="E13" s="912"/>
      <c r="F13" s="913"/>
      <c r="G13" s="1916" t="str">
        <f t="shared" si="9"/>
        <v/>
      </c>
      <c r="H13" s="2296"/>
      <c r="I13" s="914">
        <f t="shared" si="10"/>
        <v>0</v>
      </c>
      <c r="J13" s="2297">
        <f t="shared" si="11"/>
        <v>0</v>
      </c>
      <c r="K13" s="2299"/>
      <c r="L13" s="915">
        <f t="shared" si="1"/>
        <v>0</v>
      </c>
      <c r="M13" s="2298">
        <f t="shared" si="2"/>
        <v>0</v>
      </c>
      <c r="N13" s="2534" t="s">
        <v>2354</v>
      </c>
      <c r="O13" s="2535"/>
      <c r="P13" s="2536"/>
      <c r="Q13" s="1709"/>
      <c r="R13" s="1707">
        <v>20</v>
      </c>
      <c r="S13" s="1711">
        <f>R13*Q13</f>
        <v>0</v>
      </c>
      <c r="T13" s="770"/>
      <c r="U13" s="2582"/>
      <c r="V13" s="2583"/>
      <c r="W13" s="2583"/>
      <c r="X13" s="2584"/>
      <c r="Y13" s="768"/>
      <c r="Z13" s="768"/>
      <c r="AA13" s="768"/>
      <c r="AB13" s="768"/>
      <c r="AC13" s="768"/>
      <c r="AD13" s="768"/>
      <c r="AE13" s="768"/>
      <c r="AF13" s="768"/>
      <c r="AG13" s="768"/>
      <c r="AH13" s="768"/>
      <c r="AI13" s="768"/>
      <c r="AJ13" s="768"/>
      <c r="AK13" s="768"/>
      <c r="AL13" s="768"/>
      <c r="AM13" s="768"/>
      <c r="AN13" s="768"/>
      <c r="AO13" s="768">
        <f>IF(OR(N_Bedarf!$F13="hoch 1",N_Bedarf!$F13="hoch 1 Nitratrisikogebiet",N_Bedarf!$F13="hoch 2",N_Bedarf!$F13="hoch 2 Nitratrisikogebiet",N_Bedarf!$F13="hoch 3",N_Bedarf!$F13="hoch 3 Nitratrisikogebiet"),1,0)</f>
        <v>0</v>
      </c>
      <c r="AP13" s="1568" t="str">
        <f t="shared" si="3"/>
        <v/>
      </c>
      <c r="AQ13" s="472">
        <f t="shared" si="12"/>
        <v>0</v>
      </c>
      <c r="AR13" s="472">
        <f t="shared" si="4"/>
        <v>0</v>
      </c>
      <c r="AS13" s="472">
        <f t="shared" si="5"/>
        <v>0</v>
      </c>
      <c r="AT13" s="472">
        <f t="shared" si="6"/>
        <v>0</v>
      </c>
      <c r="AU13" s="472">
        <f t="shared" si="7"/>
        <v>0</v>
      </c>
      <c r="AV13" s="472">
        <f t="shared" si="8"/>
        <v>0</v>
      </c>
      <c r="AW13" s="472">
        <f t="shared" si="13"/>
        <v>0</v>
      </c>
      <c r="AX13" s="1722" t="s">
        <v>1261</v>
      </c>
      <c r="AY13" s="681">
        <v>95</v>
      </c>
      <c r="AZ13" s="681">
        <v>80</v>
      </c>
      <c r="BA13" s="681" t="s">
        <v>2783</v>
      </c>
      <c r="BB13" s="681">
        <v>130</v>
      </c>
      <c r="BC13" s="681">
        <v>110</v>
      </c>
      <c r="BD13" s="1915" t="s">
        <v>2784</v>
      </c>
      <c r="BE13" s="681">
        <v>155</v>
      </c>
      <c r="BF13" s="681">
        <v>135</v>
      </c>
      <c r="BG13" s="1915" t="s">
        <v>2785</v>
      </c>
      <c r="BH13" s="681">
        <v>170</v>
      </c>
      <c r="BI13" s="681">
        <v>145</v>
      </c>
      <c r="BJ13" s="1915" t="s">
        <v>2786</v>
      </c>
      <c r="BK13" s="681">
        <v>180</v>
      </c>
      <c r="BL13" s="681">
        <v>155</v>
      </c>
      <c r="BM13" s="1915" t="s">
        <v>2811</v>
      </c>
      <c r="BN13" s="471">
        <v>18</v>
      </c>
      <c r="BO13" s="821" t="s">
        <v>1764</v>
      </c>
      <c r="BP13"/>
      <c r="BQ13" s="1722" t="s">
        <v>1261</v>
      </c>
      <c r="BR13" s="470">
        <v>50</v>
      </c>
      <c r="BS13" s="470">
        <v>55</v>
      </c>
      <c r="BT13" s="470">
        <v>65</v>
      </c>
      <c r="BU13"/>
      <c r="BV13" s="1722" t="s">
        <v>1261</v>
      </c>
      <c r="BW13" s="470">
        <v>70</v>
      </c>
      <c r="BX13" s="470">
        <v>80</v>
      </c>
      <c r="BY13" s="470">
        <v>90</v>
      </c>
      <c r="BZ13" s="810" t="e">
        <f>IF(#REF!="ja",CA13,IF($V$27="nein",0,0))</f>
        <v>#REF!</v>
      </c>
      <c r="CA13" s="470">
        <v>50</v>
      </c>
      <c r="CB13"/>
      <c r="CC13" s="1658">
        <f>IFERROR(COUNTIF(Ackerkulturen[Ackerkulturen],N_Bedarf!$C15),0)</f>
        <v>0</v>
      </c>
      <c r="CD13"/>
      <c r="CE13" s="1835" t="s">
        <v>1268</v>
      </c>
      <c r="CF13" s="1834" t="str">
        <f>IFERROR(INDEX(N_Bedarf!$CE$2:$CE$141,_xlfn.AGGREGATE(15,6,(ROW(N_Bedarf!$CE$2:$CE$141)-1)/(--(SEARCH(CG$2,N_Bedarf!$CE$2:$CE$141)&gt;0)),ROW()-2),1),"")</f>
        <v>Sommerbraugerste</v>
      </c>
      <c r="CG13" s="1830"/>
      <c r="CH13" s="1834" t="str">
        <f>IFERROR(INDEX(N_Bedarf!$CE$2:$CE$141,_xlfn.AGGREGATE(15,6,(ROW(N_Bedarf!$CE$2:$CE$141)-1)/(--(SEARCH(CI$2,N_Bedarf!$CE$2:$CE$141)&gt;0)),ROW()-2),1),"")</f>
        <v>Sommerbraugerste</v>
      </c>
      <c r="CI13" s="1830"/>
      <c r="CJ13" s="1834" t="str">
        <f>IFERROR(INDEX(N_Bedarf!$CE$2:$CE$141,_xlfn.AGGREGATE(15,6,(ROW(N_Bedarf!$CE$2:$CE$141)-1)/(--(SEARCH(CK$2,N_Bedarf!$CE$2:$CE$141)&gt;0)),ROW()-2),1),"")</f>
        <v>Sommerbraugerste</v>
      </c>
      <c r="CK13" s="1830"/>
      <c r="CL13" s="1834" t="str">
        <f>IFERROR(INDEX(N_Bedarf!$CE$2:$CE$141,_xlfn.AGGREGATE(15,6,(ROW(N_Bedarf!$CE$2:$CE$141)-1)/(--(SEARCH(CM$2,N_Bedarf!$CE$2:$CE$141)&gt;0)),ROW()-2),1),"")</f>
        <v>Sommerbraugerste</v>
      </c>
      <c r="CM13" s="1830"/>
      <c r="CN13" s="1834" t="str">
        <f>IFERROR(INDEX(N_Bedarf!$CE$2:$CE$141,_xlfn.AGGREGATE(15,6,(ROW(N_Bedarf!$CE$2:$CE$141)-1)/(--(SEARCH(CO$2,N_Bedarf!$CE$2:$CE$141)&gt;0)),ROW()-2),1),"")</f>
        <v>Sommerbraugerste</v>
      </c>
      <c r="CO13" s="1830"/>
      <c r="CP13" s="1834" t="str">
        <f>IFERROR(INDEX(N_Bedarf!$CE$2:$CE$141,_xlfn.AGGREGATE(15,6,(ROW(N_Bedarf!$CE$2:$CE$141)-1)/(--(SEARCH(CQ$2,N_Bedarf!$CE$2:$CE$141)&gt;0)),ROW()-2),1),"")</f>
        <v>Sommerbraugerste</v>
      </c>
      <c r="CQ13" s="1830"/>
      <c r="CR13" s="1834" t="str">
        <f>IFERROR(INDEX(N_Bedarf!$CE$2:$CE$141,_xlfn.AGGREGATE(15,6,(ROW(N_Bedarf!$CE$2:$CE$141)-1)/(--(SEARCH(CS$2,N_Bedarf!$CE$2:$CE$141)&gt;0)),ROW()-2),1),"")</f>
        <v>Sommerbraugerste</v>
      </c>
      <c r="CS13" s="1830"/>
      <c r="CT13" s="1834" t="str">
        <f>IFERROR(INDEX(N_Bedarf!$CE$2:$CE$141,_xlfn.AGGREGATE(15,6,(ROW(N_Bedarf!$CE$2:$CE$141)-1)/(--(SEARCH(CU$2,N_Bedarf!$CE$2:$CE$141)&gt;0)),ROW()-2),1),"")</f>
        <v>Sommerbraugerste</v>
      </c>
      <c r="CU13" s="1830"/>
      <c r="CV13" s="1834" t="str">
        <f>IFERROR(INDEX(N_Bedarf!$CE$2:$CE$141,_xlfn.AGGREGATE(15,6,(ROW(N_Bedarf!$CE$2:$CE$141)-1)/(--(SEARCH(CW$2,N_Bedarf!$CE$2:$CE$141)&gt;0)),ROW()-2),1),"")</f>
        <v>Sommerbraugerste</v>
      </c>
      <c r="CW13" s="1830"/>
      <c r="CX13" s="1834" t="str">
        <f>IFERROR(INDEX(N_Bedarf!$CE$2:$CE$141,_xlfn.AGGREGATE(15,6,(ROW(N_Bedarf!$CE$2:$CE$141)-1)/(--(SEARCH(CY$2,N_Bedarf!$CE$2:$CE$141)&gt;0)),ROW()-2),1),"")</f>
        <v>Sommerbraugerste</v>
      </c>
      <c r="CY13" s="1830"/>
      <c r="CZ13" s="1834" t="str">
        <f>IFERROR(INDEX(N_Bedarf!$CE$2:$CE$141,_xlfn.AGGREGATE(15,6,(ROW(N_Bedarf!$CE$2:$CE$141)-1)/(--(SEARCH(DA$2,N_Bedarf!$CE$2:$CE$141)&gt;0)),ROW()-2),1),"")</f>
        <v>Sommerbraugerste</v>
      </c>
      <c r="DA13" s="1830"/>
      <c r="DB13" s="1834" t="str">
        <f>IFERROR(INDEX(N_Bedarf!$CE$2:$CE$141,_xlfn.AGGREGATE(15,6,(ROW(N_Bedarf!$CE$2:$CE$141)-1)/(--(SEARCH(DC$2,N_Bedarf!$CE$2:$CE$141)&gt;0)),ROW()-2),1),"")</f>
        <v>Sommerbraugerste</v>
      </c>
      <c r="DC13" s="1830"/>
      <c r="DD13" s="1834" t="str">
        <f>IFERROR(INDEX(N_Bedarf!$CE$2:$CE$141,_xlfn.AGGREGATE(15,6,(ROW(N_Bedarf!$CE$2:$CE$141)-1)/(--(SEARCH(DE$2,N_Bedarf!$CE$2:$CE$141)&gt;0)),ROW()-2),1),"")</f>
        <v>Sommerbraugerste</v>
      </c>
      <c r="DE13" s="1830"/>
      <c r="DF13" s="2353" t="str">
        <f t="array" ref="DF13">IFERROR(INDEX(N_Bedarf!$CE$2:$CE$141,_xlfn.AGGREGATE(15,6,(ROW(N_Bedarf!$CE$2:$CE$141)-1)/(--(SEARCH(DG$2,N_Bedarf!$CE$2:$CE$141)&gt;0)),ROW()-2),1),"")</f>
        <v>Sommerbraugerste</v>
      </c>
      <c r="DG13" s="2353"/>
      <c r="DH13" s="2355" t="str">
        <f t="array" ref="DH13">IFERROR(INDEX(N_Bedarf!$CE$2:$CE$141,_xlfn.AGGREGATE(15,6,(ROW(N_Bedarf!$CE$2:$CE$141)-1)/(--(SEARCH(DI$2,N_Bedarf!$CE$2:$CE$141)&gt;0)),ROW()-2),1),"")</f>
        <v>Sommerbraugerste</v>
      </c>
      <c r="DI13" s="2355"/>
      <c r="DJ13" s="2356" t="str">
        <f t="array" ref="DJ13">IFERROR(INDEX(N_Bedarf!$CE$2:$CE$141,_xlfn.AGGREGATE(15,6,(ROW(N_Bedarf!$CE$2:$CE$141)-1)/(--(SEARCH(DK$2,N_Bedarf!$CE$2:$CE$141)&gt;0)),ROW()-2),1),"")</f>
        <v>Sommerbraugerste</v>
      </c>
      <c r="DK13" s="2356"/>
      <c r="DL13" s="2356" t="str">
        <f t="array" ref="DL13">IFERROR(INDEX(N_Bedarf!$CE$2:$CE$141,_xlfn.AGGREGATE(15,6,(ROW(N_Bedarf!$CE$2:$CE$141)-1)/(--(SEARCH(DM$2,N_Bedarf!$CE$2:$CE$141)&gt;0)),ROW()-2),1),"")</f>
        <v>Sommerbraugerste</v>
      </c>
      <c r="DM13" s="2356"/>
      <c r="DN13" s="2356" t="str">
        <f t="array" ref="DN13">IFERROR(INDEX(N_Bedarf!$CE$2:$CE$141,_xlfn.AGGREGATE(15,6,(ROW(N_Bedarf!$CE$2:$CE$141)-1)/(--(SEARCH(DO$2,N_Bedarf!$CE$2:$CE$141)&gt;0)),ROW()-2),1),"")</f>
        <v>Sommerbraugerste</v>
      </c>
      <c r="DO13" s="2356"/>
      <c r="DP13" s="2356" t="str">
        <f t="array" ref="DP13">IFERROR(INDEX(N_Bedarf!$CE$2:$CE$141,_xlfn.AGGREGATE(15,6,(ROW(N_Bedarf!$CE$2:$CE$141)-1)/(--(SEARCH(DQ$2,N_Bedarf!$CE$2:$CE$141)&gt;0)),ROW()-2),1),"")</f>
        <v>Sommerbraugerste</v>
      </c>
      <c r="DQ13" s="2356"/>
      <c r="DR13" s="2356" t="str">
        <f t="array" ref="DR13">IFERROR(INDEX(N_Bedarf!$CE$2:$CE$141,_xlfn.AGGREGATE(15,6,(ROW(N_Bedarf!$CE$2:$CE$141)-1)/(--(SEARCH(DS$2,N_Bedarf!$CE$2:$CE$141)&gt;0)),ROW()-2),1),"")</f>
        <v>Sommerbraugerste</v>
      </c>
      <c r="DS13" s="2356"/>
      <c r="DT13" s="2356" t="str">
        <f t="array" ref="DT13">IFERROR(INDEX(N_Bedarf!$CE$2:$CE$141,_xlfn.AGGREGATE(15,6,(ROW(N_Bedarf!$CE$2:$CE$141)-1)/(--(SEARCH(DU$2,N_Bedarf!$CE$2:$CE$141)&gt;0)),ROW()-2),1),"")</f>
        <v>Sommerbraugerste</v>
      </c>
      <c r="DU13" s="2356"/>
      <c r="DV13" s="2356" t="str">
        <f t="array" ref="DV13">IFERROR(INDEX(N_Bedarf!$CE$2:$CE$141,_xlfn.AGGREGATE(15,6,(ROW(N_Bedarf!$CE$2:$CE$141)-1)/(--(SEARCH(DW$2,N_Bedarf!$CE$2:$CE$141)&gt;0)),ROW()-2),1),"")</f>
        <v>Sommerbraugerste</v>
      </c>
      <c r="DW13" s="2356"/>
      <c r="DX13" s="2356" t="str">
        <f t="array" ref="DX13">IFERROR(INDEX(N_Bedarf!$CE$2:$CE$141,_xlfn.AGGREGATE(15,6,(ROW(N_Bedarf!$CE$2:$CE$141)-1)/(--(SEARCH(DY$2,N_Bedarf!$CE$2:$CE$141)&gt;0)),ROW()-2),1),"")</f>
        <v>Sommerbraugerste</v>
      </c>
      <c r="DY13" s="2356"/>
      <c r="DZ13" s="2356" t="str">
        <f t="array" ref="DZ13">IFERROR(INDEX(N_Bedarf!$CE$2:$CE$141,_xlfn.AGGREGATE(15,6,(ROW(N_Bedarf!$CE$2:$CE$141)-1)/(--(SEARCH(EA$2,N_Bedarf!$CE$2:$CE$141)&gt;0)),ROW()-2),1),"")</f>
        <v>Sommerbraugerste</v>
      </c>
      <c r="EA13" s="2356"/>
      <c r="EB13" s="2356" t="str">
        <f t="array" ref="EB13">IFERROR(INDEX(N_Bedarf!$CE$2:$CE$141,_xlfn.AGGREGATE(15,6,(ROW(N_Bedarf!$CE$2:$CE$141)-1)/(--(SEARCH(EC$2,N_Bedarf!$CE$2:$CE$141)&gt;0)),ROW()-2),1),"")</f>
        <v>Sommerbraugerste</v>
      </c>
      <c r="EC13" s="2356"/>
      <c r="ED13"/>
      <c r="EE13"/>
      <c r="EF13" s="394" t="s">
        <v>1891</v>
      </c>
      <c r="EG13" t="str">
        <f>IFERROR(INDEX(Liste_Grünland_DropDown[Grünland],_xlfn.AGGREGATE(15,6,(ROW(Liste_Grünland_DropDown[Grünland])-1)/(--(SEARCH(EH$2,Liste_Grünland_DropDown[Grünland])&gt;0)),ROW()-2),1),"")</f>
        <v>Dauerwiese 4 Schnitte, gräserbetont (&lt;40% Legum.)</v>
      </c>
      <c r="EH13" t="str">
        <f>IF(N_Bedarf!$C68="","",IF(COUNTIF(Liste_Grünland_DropDown[Grünland],N_Bedarf!$C68),"",N_Bedarf!$C68))</f>
        <v>Kulturen und Ertragslage auswählen oder laut untenstehenden Tabellen eintragen</v>
      </c>
      <c r="EI13" t="str">
        <f>IFERROR(INDEX(Liste_Grünland_DropDown[Grünland],_xlfn.AGGREGATE(15,6,(ROW(Liste_Grünland_DropDown[Grünland])-1)/(--(SEARCH(EJ$2,Liste_Grünland_DropDown[Grünland])&gt;0)),ROW()-2),1),"")</f>
        <v>Dauerwiese 4 Schnitte, gräserbetont (&lt;40% Legum.)</v>
      </c>
      <c r="EJ13"/>
      <c r="EK13" t="str">
        <f>IFERROR(INDEX(Liste_Grünland_DropDown[Grünland],_xlfn.AGGREGATE(15,6,(ROW(Liste_Grünland_DropDown[Grünland])-1)/(--(SEARCH(EL$2,Liste_Grünland_DropDown[Grünland])&gt;0)),ROW()-2),1),"")</f>
        <v>Dauerwiese 4 Schnitte, gräserbetont (&lt;40% Legum.)</v>
      </c>
      <c r="EL13"/>
      <c r="EM13" t="str">
        <f>IFERROR(INDEX(Liste_Grünland_DropDown[Grünland],_xlfn.AGGREGATE(15,6,(ROW(Liste_Grünland_DropDown[Grünland])-1)/(--(SEARCH(EN$2,Liste_Grünland_DropDown[Grünland])&gt;0)),ROW()-2),1),"")</f>
        <v>Dauerwiese 4 Schnitte, gräserbetont (&lt;40% Legum.)</v>
      </c>
      <c r="EN13"/>
      <c r="EO13" t="str">
        <f t="array" ref="EO13">IFERROR(INDEX(Liste_Grünland_DropDown[Grünland],_xlfn.AGGREGATE(15,6,(ROW(Liste_Grünland_DropDown[Grünland])-1)/(--(SEARCH(EP$2,Liste_Grünland_DropDown[Grünland])&gt;0)),ROW()-2),1),"")</f>
        <v>Dauerwiese 4 Schnitte, gräserbetont (&lt;40% Legum.)</v>
      </c>
      <c r="EP13"/>
      <c r="EQ13" t="str">
        <f>IFERROR(INDEX(Liste_Grünland_DropDown[Grünland],_xlfn.AGGREGATE(15,6,(ROW(Liste_Grünland_DropDown[Grünland])-1)/(--(SEARCH(ER$2,Liste_Grünland_DropDown[Grünland])&gt;0)),ROW()-2),1),"")</f>
        <v>Dauerwiese 4 Schnitte, gräserbetont (&lt;40% Legum.)</v>
      </c>
      <c r="ER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row>
    <row r="14" spans="1:291" ht="27" customHeight="1" thickTop="1" thickBot="1">
      <c r="A14" s="287" t="s">
        <v>1271</v>
      </c>
      <c r="B14" s="421" t="str">
        <f t="shared" si="0"/>
        <v xml:space="preserve">j - </v>
      </c>
      <c r="C14" s="2475"/>
      <c r="D14" s="2476"/>
      <c r="E14" s="912"/>
      <c r="F14" s="913"/>
      <c r="G14" s="1916" t="str">
        <f t="shared" si="9"/>
        <v/>
      </c>
      <c r="H14" s="2296"/>
      <c r="I14" s="914">
        <f t="shared" si="10"/>
        <v>0</v>
      </c>
      <c r="J14" s="2297">
        <f t="shared" si="11"/>
        <v>0</v>
      </c>
      <c r="K14" s="2299"/>
      <c r="L14" s="915">
        <f t="shared" si="1"/>
        <v>0</v>
      </c>
      <c r="M14" s="2298">
        <f t="shared" si="2"/>
        <v>0</v>
      </c>
      <c r="N14" s="2534" t="s">
        <v>2355</v>
      </c>
      <c r="O14" s="2535"/>
      <c r="P14" s="2536"/>
      <c r="Q14" s="1709"/>
      <c r="R14" s="1707">
        <v>60</v>
      </c>
      <c r="S14" s="1711">
        <f>R14*Q14</f>
        <v>0</v>
      </c>
      <c r="T14" s="770"/>
      <c r="U14" s="2582"/>
      <c r="V14" s="2583"/>
      <c r="W14" s="2583"/>
      <c r="X14" s="2584"/>
      <c r="Y14" s="768"/>
      <c r="Z14" s="768"/>
      <c r="AA14" s="768"/>
      <c r="AB14" s="768"/>
      <c r="AC14" s="768"/>
      <c r="AD14" s="768"/>
      <c r="AE14" s="768"/>
      <c r="AF14" s="768"/>
      <c r="AG14" s="768"/>
      <c r="AH14" s="768"/>
      <c r="AI14" s="768"/>
      <c r="AJ14" s="768"/>
      <c r="AK14" s="768"/>
      <c r="AL14" s="768"/>
      <c r="AM14" s="768"/>
      <c r="AN14" s="768"/>
      <c r="AO14" s="768">
        <f>IF(OR(N_Bedarf!$F14="hoch 1",N_Bedarf!$F14="hoch 1 Nitratrisikogebiet",N_Bedarf!$F14="hoch 2",N_Bedarf!$F14="hoch 2 Nitratrisikogebiet",N_Bedarf!$F14="hoch 3",N_Bedarf!$F14="hoch 3 Nitratrisikogebiet"),1,0)</f>
        <v>0</v>
      </c>
      <c r="AP14" s="1568" t="str">
        <f t="shared" si="3"/>
        <v/>
      </c>
      <c r="AQ14" s="472">
        <f t="shared" si="12"/>
        <v>0</v>
      </c>
      <c r="AR14" s="472">
        <f t="shared" si="4"/>
        <v>0</v>
      </c>
      <c r="AS14" s="472">
        <f t="shared" si="5"/>
        <v>0</v>
      </c>
      <c r="AT14" s="472">
        <f t="shared" si="6"/>
        <v>0</v>
      </c>
      <c r="AU14" s="472">
        <f t="shared" si="7"/>
        <v>0</v>
      </c>
      <c r="AV14" s="472">
        <f t="shared" si="8"/>
        <v>0</v>
      </c>
      <c r="AW14" s="472">
        <f t="shared" si="13"/>
        <v>0</v>
      </c>
      <c r="AX14" s="1722" t="s">
        <v>1820</v>
      </c>
      <c r="AY14" s="681">
        <v>70</v>
      </c>
      <c r="AZ14" s="681">
        <v>60</v>
      </c>
      <c r="BA14" s="681" t="s">
        <v>2779</v>
      </c>
      <c r="BB14" s="681">
        <v>100</v>
      </c>
      <c r="BC14" s="681">
        <v>85</v>
      </c>
      <c r="BD14" s="1915" t="s">
        <v>2780</v>
      </c>
      <c r="BE14" s="681">
        <v>115</v>
      </c>
      <c r="BF14" s="681">
        <v>100</v>
      </c>
      <c r="BG14" s="1915" t="s">
        <v>2781</v>
      </c>
      <c r="BH14" s="681">
        <v>125</v>
      </c>
      <c r="BI14" s="681">
        <v>105</v>
      </c>
      <c r="BJ14" s="1915" t="s">
        <v>2782</v>
      </c>
      <c r="BK14" s="681">
        <v>135</v>
      </c>
      <c r="BL14" s="681">
        <v>115</v>
      </c>
      <c r="BM14" s="1915" t="s">
        <v>2812</v>
      </c>
      <c r="BN14" s="471">
        <v>0</v>
      </c>
      <c r="BO14" s="821" t="s">
        <v>1764</v>
      </c>
      <c r="BP14"/>
      <c r="BQ14" s="1722" t="s">
        <v>1820</v>
      </c>
      <c r="BR14" s="470">
        <v>50</v>
      </c>
      <c r="BS14" s="470">
        <v>55</v>
      </c>
      <c r="BT14" s="470">
        <v>65</v>
      </c>
      <c r="BU14"/>
      <c r="BV14" s="1722" t="s">
        <v>1820</v>
      </c>
      <c r="BW14" s="470">
        <v>70</v>
      </c>
      <c r="BX14" s="470">
        <v>80</v>
      </c>
      <c r="BY14" s="470">
        <v>90</v>
      </c>
      <c r="BZ14" s="810" t="e">
        <f>IF(#REF!="ja",CA14,IF($V$27="nein",0,0))</f>
        <v>#REF!</v>
      </c>
      <c r="CA14" s="470">
        <v>50</v>
      </c>
      <c r="CB14"/>
      <c r="CC14" s="1658">
        <f>IFERROR(COUNTIF(Ackerkulturen[Ackerkulturen],N_Bedarf!$C16),0)</f>
        <v>0</v>
      </c>
      <c r="CD14"/>
      <c r="CE14" s="1833" t="s">
        <v>1864</v>
      </c>
      <c r="CF14" s="1834" t="str">
        <f>IFERROR(INDEX(N_Bedarf!$CE$2:$CE$141,_xlfn.AGGREGATE(15,6,(ROW(N_Bedarf!$CE$2:$CE$141)-1)/(--(SEARCH(CG$2,N_Bedarf!$CE$2:$CE$141)&gt;0)),ROW()-2),1),"")</f>
        <v>Sommerfuttergerste</v>
      </c>
      <c r="CG14" s="1836"/>
      <c r="CH14" s="1834" t="str">
        <f>IFERROR(INDEX(N_Bedarf!$CE$2:$CE$141,_xlfn.AGGREGATE(15,6,(ROW(N_Bedarf!$CE$2:$CE$141)-1)/(--(SEARCH(CI$2,N_Bedarf!$CE$2:$CE$141)&gt;0)),ROW()-2),1),"")</f>
        <v>Sommerfuttergerste</v>
      </c>
      <c r="CI14" s="1836"/>
      <c r="CJ14" s="1834" t="str">
        <f>IFERROR(INDEX(N_Bedarf!$CE$2:$CE$141,_xlfn.AGGREGATE(15,6,(ROW(N_Bedarf!$CE$2:$CE$141)-1)/(--(SEARCH(CK$2,N_Bedarf!$CE$2:$CE$141)&gt;0)),ROW()-2),1),"")</f>
        <v>Sommerfuttergerste</v>
      </c>
      <c r="CK14" s="1836"/>
      <c r="CL14" s="1834" t="str">
        <f>IFERROR(INDEX(N_Bedarf!$CE$2:$CE$141,_xlfn.AGGREGATE(15,6,(ROW(N_Bedarf!$CE$2:$CE$141)-1)/(--(SEARCH(CM$2,N_Bedarf!$CE$2:$CE$141)&gt;0)),ROW()-2),1),"")</f>
        <v>Sommerfuttergerste</v>
      </c>
      <c r="CM14" s="1836"/>
      <c r="CN14" s="1834" t="str">
        <f>IFERROR(INDEX(N_Bedarf!$CE$2:$CE$141,_xlfn.AGGREGATE(15,6,(ROW(N_Bedarf!$CE$2:$CE$141)-1)/(--(SEARCH(CO$2,N_Bedarf!$CE$2:$CE$141)&gt;0)),ROW()-2),1),"")</f>
        <v>Sommerfuttergerste</v>
      </c>
      <c r="CO14" s="1836"/>
      <c r="CP14" s="1834" t="str">
        <f>IFERROR(INDEX(N_Bedarf!$CE$2:$CE$141,_xlfn.AGGREGATE(15,6,(ROW(N_Bedarf!$CE$2:$CE$141)-1)/(--(SEARCH(CQ$2,N_Bedarf!$CE$2:$CE$141)&gt;0)),ROW()-2),1),"")</f>
        <v>Sommerfuttergerste</v>
      </c>
      <c r="CQ14" s="1836"/>
      <c r="CR14" s="1834" t="str">
        <f>IFERROR(INDEX(N_Bedarf!$CE$2:$CE$141,_xlfn.AGGREGATE(15,6,(ROW(N_Bedarf!$CE$2:$CE$141)-1)/(--(SEARCH(CS$2,N_Bedarf!$CE$2:$CE$141)&gt;0)),ROW()-2),1),"")</f>
        <v>Sommerfuttergerste</v>
      </c>
      <c r="CS14" s="1836"/>
      <c r="CT14" s="1834" t="str">
        <f>IFERROR(INDEX(N_Bedarf!$CE$2:$CE$141,_xlfn.AGGREGATE(15,6,(ROW(N_Bedarf!$CE$2:$CE$141)-1)/(--(SEARCH(CU$2,N_Bedarf!$CE$2:$CE$141)&gt;0)),ROW()-2),1),"")</f>
        <v>Sommerfuttergerste</v>
      </c>
      <c r="CU14" s="1836"/>
      <c r="CV14" s="1834" t="str">
        <f>IFERROR(INDEX(N_Bedarf!$CE$2:$CE$141,_xlfn.AGGREGATE(15,6,(ROW(N_Bedarf!$CE$2:$CE$141)-1)/(--(SEARCH(CW$2,N_Bedarf!$CE$2:$CE$141)&gt;0)),ROW()-2),1),"")</f>
        <v>Sommerfuttergerste</v>
      </c>
      <c r="CW14" s="1836"/>
      <c r="CX14" s="1834" t="str">
        <f>IFERROR(INDEX(N_Bedarf!$CE$2:$CE$141,_xlfn.AGGREGATE(15,6,(ROW(N_Bedarf!$CE$2:$CE$141)-1)/(--(SEARCH(CY$2,N_Bedarf!$CE$2:$CE$141)&gt;0)),ROW()-2),1),"")</f>
        <v>Sommerfuttergerste</v>
      </c>
      <c r="CY14" s="1836"/>
      <c r="CZ14" s="1834" t="str">
        <f>IFERROR(INDEX(N_Bedarf!$CE$2:$CE$141,_xlfn.AGGREGATE(15,6,(ROW(N_Bedarf!$CE$2:$CE$141)-1)/(--(SEARCH(DA$2,N_Bedarf!$CE$2:$CE$141)&gt;0)),ROW()-2),1),"")</f>
        <v>Sommerfuttergerste</v>
      </c>
      <c r="DA14" s="1836"/>
      <c r="DB14" s="1834" t="str">
        <f>IFERROR(INDEX(N_Bedarf!$CE$2:$CE$141,_xlfn.AGGREGATE(15,6,(ROW(N_Bedarf!$CE$2:$CE$141)-1)/(--(SEARCH(DC$2,N_Bedarf!$CE$2:$CE$141)&gt;0)),ROW()-2),1),"")</f>
        <v>Sommerfuttergerste</v>
      </c>
      <c r="DC14" s="1836"/>
      <c r="DD14" s="1834" t="str">
        <f>IFERROR(INDEX(N_Bedarf!$CE$2:$CE$141,_xlfn.AGGREGATE(15,6,(ROW(N_Bedarf!$CE$2:$CE$141)-1)/(--(SEARCH(DE$2,N_Bedarf!$CE$2:$CE$141)&gt;0)),ROW()-2),1),"")</f>
        <v>Sommerfuttergerste</v>
      </c>
      <c r="DE14" s="1836"/>
      <c r="DF14" s="2353" t="str">
        <f t="array" ref="DF14">IFERROR(INDEX(N_Bedarf!$CE$2:$CE$141,_xlfn.AGGREGATE(15,6,(ROW(N_Bedarf!$CE$2:$CE$141)-1)/(--(SEARCH(DG$2,N_Bedarf!$CE$2:$CE$141)&gt;0)),ROW()-2),1),"")</f>
        <v>Sommerfuttergerste</v>
      </c>
      <c r="DG14" s="2353"/>
      <c r="DH14" s="2355" t="str">
        <f t="array" ref="DH14">IFERROR(INDEX(N_Bedarf!$CE$2:$CE$141,_xlfn.AGGREGATE(15,6,(ROW(N_Bedarf!$CE$2:$CE$141)-1)/(--(SEARCH(DI$2,N_Bedarf!$CE$2:$CE$141)&gt;0)),ROW()-2),1),"")</f>
        <v>Sommerfuttergerste</v>
      </c>
      <c r="DI14" s="2355"/>
      <c r="DJ14" s="2356" t="str">
        <f t="array" ref="DJ14">IFERROR(INDEX(N_Bedarf!$CE$2:$CE$141,_xlfn.AGGREGATE(15,6,(ROW(N_Bedarf!$CE$2:$CE$141)-1)/(--(SEARCH(DK$2,N_Bedarf!$CE$2:$CE$141)&gt;0)),ROW()-2),1),"")</f>
        <v>Sommerfuttergerste</v>
      </c>
      <c r="DK14" s="2356"/>
      <c r="DL14" s="2356" t="str">
        <f t="array" ref="DL14">IFERROR(INDEX(N_Bedarf!$CE$2:$CE$141,_xlfn.AGGREGATE(15,6,(ROW(N_Bedarf!$CE$2:$CE$141)-1)/(--(SEARCH(DM$2,N_Bedarf!$CE$2:$CE$141)&gt;0)),ROW()-2),1),"")</f>
        <v>Sommerfuttergerste</v>
      </c>
      <c r="DM14" s="2356"/>
      <c r="DN14" s="2356" t="str">
        <f t="array" ref="DN14">IFERROR(INDEX(N_Bedarf!$CE$2:$CE$141,_xlfn.AGGREGATE(15,6,(ROW(N_Bedarf!$CE$2:$CE$141)-1)/(--(SEARCH(DO$2,N_Bedarf!$CE$2:$CE$141)&gt;0)),ROW()-2),1),"")</f>
        <v>Sommerfuttergerste</v>
      </c>
      <c r="DO14" s="2356"/>
      <c r="DP14" s="2356" t="str">
        <f t="array" ref="DP14">IFERROR(INDEX(N_Bedarf!$CE$2:$CE$141,_xlfn.AGGREGATE(15,6,(ROW(N_Bedarf!$CE$2:$CE$141)-1)/(--(SEARCH(DQ$2,N_Bedarf!$CE$2:$CE$141)&gt;0)),ROW()-2),1),"")</f>
        <v>Sommerfuttergerste</v>
      </c>
      <c r="DQ14" s="2356"/>
      <c r="DR14" s="2356" t="str">
        <f t="array" ref="DR14">IFERROR(INDEX(N_Bedarf!$CE$2:$CE$141,_xlfn.AGGREGATE(15,6,(ROW(N_Bedarf!$CE$2:$CE$141)-1)/(--(SEARCH(DS$2,N_Bedarf!$CE$2:$CE$141)&gt;0)),ROW()-2),1),"")</f>
        <v>Sommerfuttergerste</v>
      </c>
      <c r="DS14" s="2356"/>
      <c r="DT14" s="2356" t="str">
        <f t="array" ref="DT14">IFERROR(INDEX(N_Bedarf!$CE$2:$CE$141,_xlfn.AGGREGATE(15,6,(ROW(N_Bedarf!$CE$2:$CE$141)-1)/(--(SEARCH(DU$2,N_Bedarf!$CE$2:$CE$141)&gt;0)),ROW()-2),1),"")</f>
        <v>Sommerfuttergerste</v>
      </c>
      <c r="DU14" s="2356"/>
      <c r="DV14" s="2356" t="str">
        <f t="array" ref="DV14">IFERROR(INDEX(N_Bedarf!$CE$2:$CE$141,_xlfn.AGGREGATE(15,6,(ROW(N_Bedarf!$CE$2:$CE$141)-1)/(--(SEARCH(DW$2,N_Bedarf!$CE$2:$CE$141)&gt;0)),ROW()-2),1),"")</f>
        <v>Sommerfuttergerste</v>
      </c>
      <c r="DW14" s="2356"/>
      <c r="DX14" s="2356" t="str">
        <f t="array" ref="DX14">IFERROR(INDEX(N_Bedarf!$CE$2:$CE$141,_xlfn.AGGREGATE(15,6,(ROW(N_Bedarf!$CE$2:$CE$141)-1)/(--(SEARCH(DY$2,N_Bedarf!$CE$2:$CE$141)&gt;0)),ROW()-2),1),"")</f>
        <v>Sommerfuttergerste</v>
      </c>
      <c r="DY14" s="2356"/>
      <c r="DZ14" s="2356" t="str">
        <f t="array" ref="DZ14">IFERROR(INDEX(N_Bedarf!$CE$2:$CE$141,_xlfn.AGGREGATE(15,6,(ROW(N_Bedarf!$CE$2:$CE$141)-1)/(--(SEARCH(EA$2,N_Bedarf!$CE$2:$CE$141)&gt;0)),ROW()-2),1),"")</f>
        <v>Sommerfuttergerste</v>
      </c>
      <c r="EA14" s="2356"/>
      <c r="EB14" s="2356" t="str">
        <f t="array" ref="EB14">IFERROR(INDEX(N_Bedarf!$CE$2:$CE$141,_xlfn.AGGREGATE(15,6,(ROW(N_Bedarf!$CE$2:$CE$141)-1)/(--(SEARCH(EC$2,N_Bedarf!$CE$2:$CE$141)&gt;0)),ROW()-2),1),"")</f>
        <v>Sommerfuttergerste</v>
      </c>
      <c r="EC14" s="2356"/>
      <c r="ED14"/>
      <c r="EE14"/>
      <c r="EF14" s="394" t="s">
        <v>1892</v>
      </c>
      <c r="EG14" t="str">
        <f>IFERROR(INDEX(Liste_Grünland_DropDown[Grünland],_xlfn.AGGREGATE(15,6,(ROW(Liste_Grünland_DropDown[Grünland])-1)/(--(SEARCH(EH$2,Liste_Grünland_DropDown[Grünland])&gt;0)),ROW()-2),1),"")</f>
        <v>Dauerwiese 4 Schnitte, kleereich (&gt;40% Legum.)</v>
      </c>
      <c r="EH14" t="str">
        <f>IF(N_Bedarf!$C44="","",IF(COUNTIF(Liste_Grünland_DropDown[Grünland],N_Bedarf!$C44),"",N_Bedarf!$C44))</f>
        <v/>
      </c>
      <c r="EI14" t="str">
        <f>IFERROR(INDEX(Liste_Grünland_DropDown[Grünland],_xlfn.AGGREGATE(15,6,(ROW(Liste_Grünland_DropDown[Grünland])-1)/(--(SEARCH(EJ$2,Liste_Grünland_DropDown[Grünland])&gt;0)),ROW()-2),1),"")</f>
        <v>Dauerwiese 4 Schnitte, kleereich (&gt;40% Legum.)</v>
      </c>
      <c r="EJ14"/>
      <c r="EK14" t="str">
        <f>IFERROR(INDEX(Liste_Grünland_DropDown[Grünland],_xlfn.AGGREGATE(15,6,(ROW(Liste_Grünland_DropDown[Grünland])-1)/(--(SEARCH(EL$2,Liste_Grünland_DropDown[Grünland])&gt;0)),ROW()-2),1),"")</f>
        <v>Dauerwiese 4 Schnitte, kleereich (&gt;40% Legum.)</v>
      </c>
      <c r="EL14"/>
      <c r="EM14" t="str">
        <f>IFERROR(INDEX(Liste_Grünland_DropDown[Grünland],_xlfn.AGGREGATE(15,6,(ROW(Liste_Grünland_DropDown[Grünland])-1)/(--(SEARCH(EN$2,Liste_Grünland_DropDown[Grünland])&gt;0)),ROW()-2),1),"")</f>
        <v>Dauerwiese 4 Schnitte, kleereich (&gt;40% Legum.)</v>
      </c>
      <c r="EN14"/>
      <c r="EO14" t="str">
        <f t="array" ref="EO14">IFERROR(INDEX(Liste_Grünland_DropDown[Grünland],_xlfn.AGGREGATE(15,6,(ROW(Liste_Grünland_DropDown[Grünland])-1)/(--(SEARCH(EP$2,Liste_Grünland_DropDown[Grünland])&gt;0)),ROW()-2),1),"")</f>
        <v>Dauerwiese 4 Schnitte, kleereich (&gt;40% Legum.)</v>
      </c>
      <c r="EP14"/>
      <c r="EQ14" t="str">
        <f>IFERROR(INDEX(Liste_Grünland_DropDown[Grünland],_xlfn.AGGREGATE(15,6,(ROW(Liste_Grünland_DropDown[Grünland])-1)/(--(SEARCH(ER$2,Liste_Grünland_DropDown[Grünland])&gt;0)),ROW()-2),1),"")</f>
        <v>Dauerwiese 4 Schnitte, kleereich (&gt;40% Legum.)</v>
      </c>
      <c r="ER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row>
    <row r="15" spans="1:291" ht="27" customHeight="1" thickTop="1" thickBot="1">
      <c r="A15" s="287" t="s">
        <v>1272</v>
      </c>
      <c r="B15" s="421" t="str">
        <f t="shared" si="0"/>
        <v xml:space="preserve">k - </v>
      </c>
      <c r="C15" s="2475"/>
      <c r="D15" s="2476"/>
      <c r="E15" s="912"/>
      <c r="F15" s="913"/>
      <c r="G15" s="1916" t="str">
        <f t="shared" si="9"/>
        <v/>
      </c>
      <c r="H15" s="2296"/>
      <c r="I15" s="914">
        <f t="shared" si="10"/>
        <v>0</v>
      </c>
      <c r="J15" s="2297">
        <f t="shared" si="11"/>
        <v>0</v>
      </c>
      <c r="K15" s="2299"/>
      <c r="L15" s="915">
        <f t="shared" si="1"/>
        <v>0</v>
      </c>
      <c r="M15" s="2298">
        <f t="shared" si="2"/>
        <v>0</v>
      </c>
      <c r="N15" s="2552" t="s">
        <v>2356</v>
      </c>
      <c r="O15" s="2553"/>
      <c r="P15" s="2554"/>
      <c r="Q15" s="2569"/>
      <c r="R15" s="2610">
        <v>120</v>
      </c>
      <c r="S15" s="2546">
        <f>R15*Q15</f>
        <v>0</v>
      </c>
      <c r="T15" s="770"/>
      <c r="U15" s="2582"/>
      <c r="V15" s="2583"/>
      <c r="W15" s="2583"/>
      <c r="X15" s="2584"/>
      <c r="Y15" s="768"/>
      <c r="Z15" s="768"/>
      <c r="AA15" s="768"/>
      <c r="AB15" s="768"/>
      <c r="AC15" s="768"/>
      <c r="AD15" s="768"/>
      <c r="AE15" s="768"/>
      <c r="AF15" s="768"/>
      <c r="AG15" s="768"/>
      <c r="AH15" s="768"/>
      <c r="AI15" s="768"/>
      <c r="AJ15" s="768"/>
      <c r="AK15" s="768"/>
      <c r="AL15" s="768"/>
      <c r="AM15" s="768"/>
      <c r="AN15" s="768"/>
      <c r="AO15" s="768">
        <f>IF(OR(N_Bedarf!$F15="hoch 1",N_Bedarf!$F15="hoch 1 Nitratrisikogebiet",N_Bedarf!$F15="hoch 2",N_Bedarf!$F15="hoch 2 Nitratrisikogebiet",N_Bedarf!$F15="hoch 3",N_Bedarf!$F15="hoch 3 Nitratrisikogebiet"),1,0)</f>
        <v>0</v>
      </c>
      <c r="AP15" s="1568" t="str">
        <f t="shared" si="3"/>
        <v/>
      </c>
      <c r="AQ15" s="472">
        <f t="shared" si="12"/>
        <v>0</v>
      </c>
      <c r="AR15" s="472">
        <f t="shared" si="4"/>
        <v>0</v>
      </c>
      <c r="AS15" s="472">
        <f t="shared" si="5"/>
        <v>0</v>
      </c>
      <c r="AT15" s="472">
        <f t="shared" si="6"/>
        <v>0</v>
      </c>
      <c r="AU15" s="472">
        <f t="shared" si="7"/>
        <v>0</v>
      </c>
      <c r="AV15" s="472">
        <f t="shared" si="8"/>
        <v>0</v>
      </c>
      <c r="AW15" s="472">
        <f t="shared" si="13"/>
        <v>0</v>
      </c>
      <c r="AX15" s="1722" t="s">
        <v>433</v>
      </c>
      <c r="AY15" s="681">
        <v>65</v>
      </c>
      <c r="AZ15" s="681">
        <v>55</v>
      </c>
      <c r="BA15" s="681" t="s">
        <v>2620</v>
      </c>
      <c r="BB15" s="681">
        <v>80</v>
      </c>
      <c r="BC15" s="681">
        <v>70</v>
      </c>
      <c r="BD15" s="1915" t="s">
        <v>2619</v>
      </c>
      <c r="BE15" s="681">
        <v>95</v>
      </c>
      <c r="BF15" s="681">
        <v>80</v>
      </c>
      <c r="BG15" s="1915" t="s">
        <v>2622</v>
      </c>
      <c r="BH15" s="681">
        <v>105</v>
      </c>
      <c r="BI15" s="681">
        <v>90</v>
      </c>
      <c r="BJ15" s="1915" t="s">
        <v>2625</v>
      </c>
      <c r="BK15" s="681">
        <v>110</v>
      </c>
      <c r="BL15" s="681">
        <v>95</v>
      </c>
      <c r="BM15" s="1915" t="s">
        <v>2813</v>
      </c>
      <c r="BN15" s="471" t="s">
        <v>1764</v>
      </c>
      <c r="BO15" s="821" t="s">
        <v>1764</v>
      </c>
      <c r="BP15"/>
      <c r="BQ15" s="1722" t="s">
        <v>433</v>
      </c>
      <c r="BR15" s="470">
        <v>50</v>
      </c>
      <c r="BS15" s="470">
        <v>55</v>
      </c>
      <c r="BT15" s="470">
        <v>65</v>
      </c>
      <c r="BU15"/>
      <c r="BV15" s="1722" t="s">
        <v>433</v>
      </c>
      <c r="BW15" s="470">
        <v>70</v>
      </c>
      <c r="BX15" s="470">
        <v>80</v>
      </c>
      <c r="BY15" s="470">
        <v>90</v>
      </c>
      <c r="BZ15" s="470">
        <v>120</v>
      </c>
      <c r="CA15" s="470">
        <v>120</v>
      </c>
      <c r="CB15"/>
      <c r="CC15" s="1658">
        <f>IFERROR(COUNTIF(Ackerkulturen[Ackerkulturen],N_Bedarf!$C17),0)</f>
        <v>0</v>
      </c>
      <c r="CD15"/>
      <c r="CE15" s="1835" t="s">
        <v>1733</v>
      </c>
      <c r="CF15" s="1834" t="str">
        <f>IFERROR(INDEX(N_Bedarf!$CE$2:$CE$141,_xlfn.AGGREGATE(15,6,(ROW(N_Bedarf!$CE$2:$CE$141)-1)/(--(SEARCH(CG$2,N_Bedarf!$CE$2:$CE$141)&gt;0)),ROW()-2),1),"")</f>
        <v>Triticale GPS frisch (m3)</v>
      </c>
      <c r="CG15" s="1830"/>
      <c r="CH15" s="1834" t="str">
        <f>IFERROR(INDEX(N_Bedarf!$CE$2:$CE$141,_xlfn.AGGREGATE(15,6,(ROW(N_Bedarf!$CE$2:$CE$141)-1)/(--(SEARCH(CI$2,N_Bedarf!$CE$2:$CE$141)&gt;0)),ROW()-2),1),"")</f>
        <v>Triticale GPS frisch (m3)</v>
      </c>
      <c r="CI15" s="1830"/>
      <c r="CJ15" s="1834" t="str">
        <f>IFERROR(INDEX(N_Bedarf!$CE$2:$CE$141,_xlfn.AGGREGATE(15,6,(ROW(N_Bedarf!$CE$2:$CE$141)-1)/(--(SEARCH(CK$2,N_Bedarf!$CE$2:$CE$141)&gt;0)),ROW()-2),1),"")</f>
        <v>Triticale GPS frisch (m3)</v>
      </c>
      <c r="CK15" s="1830"/>
      <c r="CL15" s="1834" t="str">
        <f>IFERROR(INDEX(N_Bedarf!$CE$2:$CE$141,_xlfn.AGGREGATE(15,6,(ROW(N_Bedarf!$CE$2:$CE$141)-1)/(--(SEARCH(CM$2,N_Bedarf!$CE$2:$CE$141)&gt;0)),ROW()-2),1),"")</f>
        <v>Triticale GPS frisch (m3)</v>
      </c>
      <c r="CM15" s="1830"/>
      <c r="CN15" s="1834" t="str">
        <f>IFERROR(INDEX(N_Bedarf!$CE$2:$CE$141,_xlfn.AGGREGATE(15,6,(ROW(N_Bedarf!$CE$2:$CE$141)-1)/(--(SEARCH(CO$2,N_Bedarf!$CE$2:$CE$141)&gt;0)),ROW()-2),1),"")</f>
        <v>Triticale GPS frisch (m3)</v>
      </c>
      <c r="CO15" s="1830"/>
      <c r="CP15" s="1834" t="str">
        <f>IFERROR(INDEX(N_Bedarf!$CE$2:$CE$141,_xlfn.AGGREGATE(15,6,(ROW(N_Bedarf!$CE$2:$CE$141)-1)/(--(SEARCH(CQ$2,N_Bedarf!$CE$2:$CE$141)&gt;0)),ROW()-2),1),"")</f>
        <v>Triticale GPS frisch (m3)</v>
      </c>
      <c r="CQ15" s="1830"/>
      <c r="CR15" s="1834" t="str">
        <f>IFERROR(INDEX(N_Bedarf!$CE$2:$CE$141,_xlfn.AGGREGATE(15,6,(ROW(N_Bedarf!$CE$2:$CE$141)-1)/(--(SEARCH(CS$2,N_Bedarf!$CE$2:$CE$141)&gt;0)),ROW()-2),1),"")</f>
        <v>Triticale GPS frisch (m3)</v>
      </c>
      <c r="CS15" s="1830"/>
      <c r="CT15" s="1834" t="str">
        <f>IFERROR(INDEX(N_Bedarf!$CE$2:$CE$141,_xlfn.AGGREGATE(15,6,(ROW(N_Bedarf!$CE$2:$CE$141)-1)/(--(SEARCH(CU$2,N_Bedarf!$CE$2:$CE$141)&gt;0)),ROW()-2),1),"")</f>
        <v>Triticale GPS frisch (m3)</v>
      </c>
      <c r="CU15" s="1830"/>
      <c r="CV15" s="1834" t="str">
        <f>IFERROR(INDEX(N_Bedarf!$CE$2:$CE$141,_xlfn.AGGREGATE(15,6,(ROW(N_Bedarf!$CE$2:$CE$141)-1)/(--(SEARCH(CW$2,N_Bedarf!$CE$2:$CE$141)&gt;0)),ROW()-2),1),"")</f>
        <v>Triticale GPS frisch (m3)</v>
      </c>
      <c r="CW15" s="1830"/>
      <c r="CX15" s="1834" t="str">
        <f>IFERROR(INDEX(N_Bedarf!$CE$2:$CE$141,_xlfn.AGGREGATE(15,6,(ROW(N_Bedarf!$CE$2:$CE$141)-1)/(--(SEARCH(CY$2,N_Bedarf!$CE$2:$CE$141)&gt;0)),ROW()-2),1),"")</f>
        <v>Triticale GPS frisch (m3)</v>
      </c>
      <c r="CY15" s="1830"/>
      <c r="CZ15" s="1834" t="str">
        <f>IFERROR(INDEX(N_Bedarf!$CE$2:$CE$141,_xlfn.AGGREGATE(15,6,(ROW(N_Bedarf!$CE$2:$CE$141)-1)/(--(SEARCH(DA$2,N_Bedarf!$CE$2:$CE$141)&gt;0)),ROW()-2),1),"")</f>
        <v>Triticale GPS frisch (m3)</v>
      </c>
      <c r="DA15" s="1830"/>
      <c r="DB15" s="1834" t="str">
        <f>IFERROR(INDEX(N_Bedarf!$CE$2:$CE$141,_xlfn.AGGREGATE(15,6,(ROW(N_Bedarf!$CE$2:$CE$141)-1)/(--(SEARCH(DC$2,N_Bedarf!$CE$2:$CE$141)&gt;0)),ROW()-2),1),"")</f>
        <v>Triticale GPS frisch (m3)</v>
      </c>
      <c r="DC15" s="1830"/>
      <c r="DD15" s="1834" t="str">
        <f>IFERROR(INDEX(N_Bedarf!$CE$2:$CE$141,_xlfn.AGGREGATE(15,6,(ROW(N_Bedarf!$CE$2:$CE$141)-1)/(--(SEARCH(DE$2,N_Bedarf!$CE$2:$CE$141)&gt;0)),ROW()-2),1),"")</f>
        <v>Triticale GPS frisch (m3)</v>
      </c>
      <c r="DE15" s="1830"/>
      <c r="DF15" s="2353" t="str">
        <f t="array" ref="DF15">IFERROR(INDEX(N_Bedarf!$CE$2:$CE$141,_xlfn.AGGREGATE(15,6,(ROW(N_Bedarf!$CE$2:$CE$141)-1)/(--(SEARCH(DG$2,N_Bedarf!$CE$2:$CE$141)&gt;0)),ROW()-2),1),"")</f>
        <v>Triticale GPS frisch (m3)</v>
      </c>
      <c r="DG15" s="2353"/>
      <c r="DH15" s="2355" t="str">
        <f t="array" ref="DH15">IFERROR(INDEX(N_Bedarf!$CE$2:$CE$141,_xlfn.AGGREGATE(15,6,(ROW(N_Bedarf!$CE$2:$CE$141)-1)/(--(SEARCH(DI$2,N_Bedarf!$CE$2:$CE$141)&gt;0)),ROW()-2),1),"")</f>
        <v>Triticale GPS frisch (m3)</v>
      </c>
      <c r="DI15" s="2355"/>
      <c r="DJ15" s="2356" t="str">
        <f t="array" ref="DJ15">IFERROR(INDEX(N_Bedarf!$CE$2:$CE$141,_xlfn.AGGREGATE(15,6,(ROW(N_Bedarf!$CE$2:$CE$141)-1)/(--(SEARCH(DK$2,N_Bedarf!$CE$2:$CE$141)&gt;0)),ROW()-2),1),"")</f>
        <v>Triticale GPS frisch (m3)</v>
      </c>
      <c r="DK15" s="2356"/>
      <c r="DL15" s="2356" t="str">
        <f t="array" ref="DL15">IFERROR(INDEX(N_Bedarf!$CE$2:$CE$141,_xlfn.AGGREGATE(15,6,(ROW(N_Bedarf!$CE$2:$CE$141)-1)/(--(SEARCH(DM$2,N_Bedarf!$CE$2:$CE$141)&gt;0)),ROW()-2),1),"")</f>
        <v>Triticale GPS frisch (m3)</v>
      </c>
      <c r="DM15" s="2356"/>
      <c r="DN15" s="2356" t="str">
        <f t="array" ref="DN15">IFERROR(INDEX(N_Bedarf!$CE$2:$CE$141,_xlfn.AGGREGATE(15,6,(ROW(N_Bedarf!$CE$2:$CE$141)-1)/(--(SEARCH(DO$2,N_Bedarf!$CE$2:$CE$141)&gt;0)),ROW()-2),1),"")</f>
        <v>Triticale GPS frisch (m3)</v>
      </c>
      <c r="DO15" s="2356"/>
      <c r="DP15" s="2356" t="str">
        <f t="array" ref="DP15">IFERROR(INDEX(N_Bedarf!$CE$2:$CE$141,_xlfn.AGGREGATE(15,6,(ROW(N_Bedarf!$CE$2:$CE$141)-1)/(--(SEARCH(DQ$2,N_Bedarf!$CE$2:$CE$141)&gt;0)),ROW()-2),1),"")</f>
        <v>Triticale GPS frisch (m3)</v>
      </c>
      <c r="DQ15" s="2356"/>
      <c r="DR15" s="2356" t="str">
        <f t="array" ref="DR15">IFERROR(INDEX(N_Bedarf!$CE$2:$CE$141,_xlfn.AGGREGATE(15,6,(ROW(N_Bedarf!$CE$2:$CE$141)-1)/(--(SEARCH(DS$2,N_Bedarf!$CE$2:$CE$141)&gt;0)),ROW()-2),1),"")</f>
        <v>Triticale GPS frisch (m3)</v>
      </c>
      <c r="DS15" s="2356"/>
      <c r="DT15" s="2356" t="str">
        <f t="array" ref="DT15">IFERROR(INDEX(N_Bedarf!$CE$2:$CE$141,_xlfn.AGGREGATE(15,6,(ROW(N_Bedarf!$CE$2:$CE$141)-1)/(--(SEARCH(DU$2,N_Bedarf!$CE$2:$CE$141)&gt;0)),ROW()-2),1),"")</f>
        <v>Triticale GPS frisch (m3)</v>
      </c>
      <c r="DU15" s="2356"/>
      <c r="DV15" s="2356" t="str">
        <f t="array" ref="DV15">IFERROR(INDEX(N_Bedarf!$CE$2:$CE$141,_xlfn.AGGREGATE(15,6,(ROW(N_Bedarf!$CE$2:$CE$141)-1)/(--(SEARCH(DW$2,N_Bedarf!$CE$2:$CE$141)&gt;0)),ROW()-2),1),"")</f>
        <v>Triticale GPS frisch (m3)</v>
      </c>
      <c r="DW15" s="2356"/>
      <c r="DX15" s="2356" t="str">
        <f t="array" ref="DX15">IFERROR(INDEX(N_Bedarf!$CE$2:$CE$141,_xlfn.AGGREGATE(15,6,(ROW(N_Bedarf!$CE$2:$CE$141)-1)/(--(SEARCH(DY$2,N_Bedarf!$CE$2:$CE$141)&gt;0)),ROW()-2),1),"")</f>
        <v>Triticale GPS frisch (m3)</v>
      </c>
      <c r="DY15" s="2356"/>
      <c r="DZ15" s="2356" t="str">
        <f t="array" ref="DZ15">IFERROR(INDEX(N_Bedarf!$CE$2:$CE$141,_xlfn.AGGREGATE(15,6,(ROW(N_Bedarf!$CE$2:$CE$141)-1)/(--(SEARCH(EA$2,N_Bedarf!$CE$2:$CE$141)&gt;0)),ROW()-2),1),"")</f>
        <v>Triticale GPS frisch (m3)</v>
      </c>
      <c r="EA15" s="2356"/>
      <c r="EB15" s="2356" t="str">
        <f t="array" ref="EB15">IFERROR(INDEX(N_Bedarf!$CE$2:$CE$141,_xlfn.AGGREGATE(15,6,(ROW(N_Bedarf!$CE$2:$CE$141)-1)/(--(SEARCH(EC$2,N_Bedarf!$CE$2:$CE$141)&gt;0)),ROW()-2),1),"")</f>
        <v>Triticale GPS frisch (m3)</v>
      </c>
      <c r="EC15" s="2356"/>
      <c r="ED15"/>
      <c r="EE15"/>
      <c r="EF15" s="394" t="s">
        <v>1894</v>
      </c>
      <c r="EG15" t="str">
        <f>IFERROR(INDEX(Liste_Grünland_DropDown[Grünland],_xlfn.AGGREGATE(15,6,(ROW(Liste_Grünland_DropDown[Grünland])-1)/(--(SEARCH(EH$2,Liste_Grünland_DropDown[Grünland])&gt;0)),ROW()-2),1),"")</f>
        <v>Dauerwiese 5 Schnitte, gräserbetont (&lt;40% Legum.)</v>
      </c>
      <c r="EH15" t="str">
        <f>IF(N_Bedarf!$C72="","",IF(COUNTIF(Liste_Grünland_DropDown[Grünland],N_Bedarf!$C72),"",N_Bedarf!$C72))</f>
        <v>Tabelle Düngewerte für die Nährstoffe 
N, P und K in kg je ha
nach Ertragserwartung
und Bodengehaltsklassen</v>
      </c>
      <c r="EI15" t="str">
        <f>IFERROR(INDEX(Liste_Grünland_DropDown[Grünland],_xlfn.AGGREGATE(15,6,(ROW(Liste_Grünland_DropDown[Grünland])-1)/(--(SEARCH(EJ$2,Liste_Grünland_DropDown[Grünland])&gt;0)),ROW()-2),1),"")</f>
        <v>Dauerwiese 5 Schnitte, gräserbetont (&lt;40% Legum.)</v>
      </c>
      <c r="EJ15"/>
      <c r="EK15" t="str">
        <f>IFERROR(INDEX(Liste_Grünland_DropDown[Grünland],_xlfn.AGGREGATE(15,6,(ROW(Liste_Grünland_DropDown[Grünland])-1)/(--(SEARCH(EL$2,Liste_Grünland_DropDown[Grünland])&gt;0)),ROW()-2),1),"")</f>
        <v>Dauerwiese 5 Schnitte, gräserbetont (&lt;40% Legum.)</v>
      </c>
      <c r="EL15"/>
      <c r="EM15" t="str">
        <f>IFERROR(INDEX(Liste_Grünland_DropDown[Grünland],_xlfn.AGGREGATE(15,6,(ROW(Liste_Grünland_DropDown[Grünland])-1)/(--(SEARCH(EN$2,Liste_Grünland_DropDown[Grünland])&gt;0)),ROW()-2),1),"")</f>
        <v>Dauerwiese 5 Schnitte, gräserbetont (&lt;40% Legum.)</v>
      </c>
      <c r="EN15"/>
      <c r="EO15" t="str">
        <f t="array" ref="EO15">IFERROR(INDEX(Liste_Grünland_DropDown[Grünland],_xlfn.AGGREGATE(15,6,(ROW(Liste_Grünland_DropDown[Grünland])-1)/(--(SEARCH(EP$2,Liste_Grünland_DropDown[Grünland])&gt;0)),ROW()-2),1),"")</f>
        <v>Dauerwiese 5 Schnitte, gräserbetont (&lt;40% Legum.)</v>
      </c>
      <c r="EP15"/>
      <c r="EQ15" t="str">
        <f>IFERROR(INDEX(Liste_Grünland_DropDown[Grünland],_xlfn.AGGREGATE(15,6,(ROW(Liste_Grünland_DropDown[Grünland])-1)/(--(SEARCH(ER$2,Liste_Grünland_DropDown[Grünland])&gt;0)),ROW()-2),1),"")</f>
        <v>Dauerwiese 5 Schnitte, gräserbetont (&lt;40% Legum.)</v>
      </c>
      <c r="ER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row>
    <row r="16" spans="1:291" ht="27" customHeight="1" thickTop="1" thickBot="1">
      <c r="A16" s="287" t="s">
        <v>1273</v>
      </c>
      <c r="B16" s="421" t="str">
        <f t="shared" si="0"/>
        <v xml:space="preserve">l - </v>
      </c>
      <c r="C16" s="2618"/>
      <c r="D16" s="2619"/>
      <c r="E16" s="912"/>
      <c r="F16" s="913"/>
      <c r="G16" s="1916" t="str">
        <f t="shared" si="9"/>
        <v/>
      </c>
      <c r="H16" s="2296"/>
      <c r="I16" s="914">
        <f t="shared" si="10"/>
        <v>0</v>
      </c>
      <c r="J16" s="2297">
        <f t="shared" si="11"/>
        <v>0</v>
      </c>
      <c r="K16" s="2299"/>
      <c r="L16" s="915">
        <f t="shared" si="1"/>
        <v>0</v>
      </c>
      <c r="M16" s="2298">
        <f t="shared" si="2"/>
        <v>0</v>
      </c>
      <c r="N16" s="2461"/>
      <c r="O16" s="2555"/>
      <c r="P16" s="2556"/>
      <c r="Q16" s="2570"/>
      <c r="R16" s="2611"/>
      <c r="S16" s="2547"/>
      <c r="T16" s="770"/>
      <c r="U16" s="2582"/>
      <c r="V16" s="2583"/>
      <c r="W16" s="2583"/>
      <c r="X16" s="2584"/>
      <c r="Y16" s="768"/>
      <c r="Z16" s="768"/>
      <c r="AA16" s="768"/>
      <c r="AB16" s="768"/>
      <c r="AC16" s="768"/>
      <c r="AD16" s="768"/>
      <c r="AE16" s="768"/>
      <c r="AF16" s="768"/>
      <c r="AG16" s="768"/>
      <c r="AH16" s="768"/>
      <c r="AI16" s="768"/>
      <c r="AJ16" s="768"/>
      <c r="AK16" s="768"/>
      <c r="AL16" s="768"/>
      <c r="AM16" s="768"/>
      <c r="AN16" s="768"/>
      <c r="AO16" s="768">
        <f>IF(OR(N_Bedarf!$F16="hoch 1",N_Bedarf!$F16="hoch 1 Nitratrisikogebiet",N_Bedarf!$F16="hoch 2",N_Bedarf!$F16="hoch 2 Nitratrisikogebiet",N_Bedarf!$F16="hoch 3",N_Bedarf!$F16="hoch 3 Nitratrisikogebiet"),1,0)</f>
        <v>0</v>
      </c>
      <c r="AP16" s="1568" t="str">
        <f t="shared" si="3"/>
        <v/>
      </c>
      <c r="AQ16" s="472">
        <f t="shared" si="12"/>
        <v>0</v>
      </c>
      <c r="AR16" s="472">
        <f t="shared" si="4"/>
        <v>0</v>
      </c>
      <c r="AS16" s="472">
        <f t="shared" si="5"/>
        <v>0</v>
      </c>
      <c r="AT16" s="472">
        <f t="shared" si="6"/>
        <v>0</v>
      </c>
      <c r="AU16" s="472">
        <f t="shared" si="7"/>
        <v>0</v>
      </c>
      <c r="AV16" s="472">
        <f t="shared" si="8"/>
        <v>0</v>
      </c>
      <c r="AW16" s="472">
        <f t="shared" si="13"/>
        <v>0</v>
      </c>
      <c r="AX16" s="1722" t="s">
        <v>1268</v>
      </c>
      <c r="AY16" s="681">
        <v>80</v>
      </c>
      <c r="AZ16" s="681">
        <v>70</v>
      </c>
      <c r="BA16" s="681" t="s">
        <v>2787</v>
      </c>
      <c r="BB16" s="681">
        <v>110</v>
      </c>
      <c r="BC16" s="681">
        <v>95</v>
      </c>
      <c r="BD16" s="1915" t="s">
        <v>2621</v>
      </c>
      <c r="BE16" s="681">
        <v>130</v>
      </c>
      <c r="BF16" s="681">
        <v>110</v>
      </c>
      <c r="BG16" s="1915" t="s">
        <v>2623</v>
      </c>
      <c r="BH16" s="681">
        <v>140</v>
      </c>
      <c r="BI16" s="681">
        <v>120</v>
      </c>
      <c r="BJ16" s="1915" t="s">
        <v>2624</v>
      </c>
      <c r="BK16" s="681">
        <v>150</v>
      </c>
      <c r="BL16" s="681">
        <v>130</v>
      </c>
      <c r="BM16" s="1915" t="s">
        <v>2814</v>
      </c>
      <c r="BN16" s="471">
        <v>18</v>
      </c>
      <c r="BO16" s="821" t="s">
        <v>1764</v>
      </c>
      <c r="BP16"/>
      <c r="BQ16" s="1722" t="s">
        <v>1268</v>
      </c>
      <c r="BR16" s="470">
        <v>50</v>
      </c>
      <c r="BS16" s="470">
        <v>55</v>
      </c>
      <c r="BT16" s="470">
        <v>65</v>
      </c>
      <c r="BU16"/>
      <c r="BV16" s="1722" t="s">
        <v>1268</v>
      </c>
      <c r="BW16" s="470">
        <v>70</v>
      </c>
      <c r="BX16" s="470">
        <v>80</v>
      </c>
      <c r="BY16" s="470">
        <v>90</v>
      </c>
      <c r="BZ16" s="470">
        <v>0</v>
      </c>
      <c r="CA16" s="470">
        <v>0</v>
      </c>
      <c r="CB16"/>
      <c r="CC16" s="1659" t="s">
        <v>1276</v>
      </c>
      <c r="CD16"/>
      <c r="CE16" s="1833" t="s">
        <v>1719</v>
      </c>
      <c r="CF16" s="1834" t="str">
        <f>IFERROR(INDEX(N_Bedarf!$CE$2:$CE$141,_xlfn.AGGREGATE(15,6,(ROW(N_Bedarf!$CE$2:$CE$141)-1)/(--(SEARCH(CG$2,N_Bedarf!$CE$2:$CE$141)&gt;0)),ROW()-2),1),"")</f>
        <v>Wintertriticale</v>
      </c>
      <c r="CG16" s="1836"/>
      <c r="CH16" s="1834" t="str">
        <f>IFERROR(INDEX(N_Bedarf!$CE$2:$CE$141,_xlfn.AGGREGATE(15,6,(ROW(N_Bedarf!$CE$2:$CE$141)-1)/(--(SEARCH(CI$2,N_Bedarf!$CE$2:$CE$141)&gt;0)),ROW()-2),1),"")</f>
        <v>Wintertriticale</v>
      </c>
      <c r="CI16" s="1836"/>
      <c r="CJ16" s="1834" t="str">
        <f>IFERROR(INDEX(N_Bedarf!$CE$2:$CE$141,_xlfn.AGGREGATE(15,6,(ROW(N_Bedarf!$CE$2:$CE$141)-1)/(--(SEARCH(CK$2,N_Bedarf!$CE$2:$CE$141)&gt;0)),ROW()-2),1),"")</f>
        <v>Wintertriticale</v>
      </c>
      <c r="CK16" s="1836"/>
      <c r="CL16" s="1834" t="str">
        <f>IFERROR(INDEX(N_Bedarf!$CE$2:$CE$141,_xlfn.AGGREGATE(15,6,(ROW(N_Bedarf!$CE$2:$CE$141)-1)/(--(SEARCH(CM$2,N_Bedarf!$CE$2:$CE$141)&gt;0)),ROW()-2),1),"")</f>
        <v>Wintertriticale</v>
      </c>
      <c r="CM16" s="1836"/>
      <c r="CN16" s="1834" t="str">
        <f>IFERROR(INDEX(N_Bedarf!$CE$2:$CE$141,_xlfn.AGGREGATE(15,6,(ROW(N_Bedarf!$CE$2:$CE$141)-1)/(--(SEARCH(CO$2,N_Bedarf!$CE$2:$CE$141)&gt;0)),ROW()-2),1),"")</f>
        <v>Wintertriticale</v>
      </c>
      <c r="CO16" s="1836"/>
      <c r="CP16" s="1834" t="str">
        <f>IFERROR(INDEX(N_Bedarf!$CE$2:$CE$141,_xlfn.AGGREGATE(15,6,(ROW(N_Bedarf!$CE$2:$CE$141)-1)/(--(SEARCH(CQ$2,N_Bedarf!$CE$2:$CE$141)&gt;0)),ROW()-2),1),"")</f>
        <v>Wintertriticale</v>
      </c>
      <c r="CQ16" s="1836"/>
      <c r="CR16" s="1834" t="str">
        <f>IFERROR(INDEX(N_Bedarf!$CE$2:$CE$141,_xlfn.AGGREGATE(15,6,(ROW(N_Bedarf!$CE$2:$CE$141)-1)/(--(SEARCH(CS$2,N_Bedarf!$CE$2:$CE$141)&gt;0)),ROW()-2),1),"")</f>
        <v>Wintertriticale</v>
      </c>
      <c r="CS16" s="1836"/>
      <c r="CT16" s="1834" t="str">
        <f>IFERROR(INDEX(N_Bedarf!$CE$2:$CE$141,_xlfn.AGGREGATE(15,6,(ROW(N_Bedarf!$CE$2:$CE$141)-1)/(--(SEARCH(CU$2,N_Bedarf!$CE$2:$CE$141)&gt;0)),ROW()-2),1),"")</f>
        <v>Wintertriticale</v>
      </c>
      <c r="CU16" s="1836"/>
      <c r="CV16" s="1834" t="str">
        <f>IFERROR(INDEX(N_Bedarf!$CE$2:$CE$141,_xlfn.AGGREGATE(15,6,(ROW(N_Bedarf!$CE$2:$CE$141)-1)/(--(SEARCH(CW$2,N_Bedarf!$CE$2:$CE$141)&gt;0)),ROW()-2),1),"")</f>
        <v>Wintertriticale</v>
      </c>
      <c r="CW16" s="1836"/>
      <c r="CX16" s="1834" t="str">
        <f>IFERROR(INDEX(N_Bedarf!$CE$2:$CE$141,_xlfn.AGGREGATE(15,6,(ROW(N_Bedarf!$CE$2:$CE$141)-1)/(--(SEARCH(CY$2,N_Bedarf!$CE$2:$CE$141)&gt;0)),ROW()-2),1),"")</f>
        <v>Wintertriticale</v>
      </c>
      <c r="CY16" s="1836"/>
      <c r="CZ16" s="1834" t="str">
        <f>IFERROR(INDEX(N_Bedarf!$CE$2:$CE$141,_xlfn.AGGREGATE(15,6,(ROW(N_Bedarf!$CE$2:$CE$141)-1)/(--(SEARCH(DA$2,N_Bedarf!$CE$2:$CE$141)&gt;0)),ROW()-2),1),"")</f>
        <v>Wintertriticale</v>
      </c>
      <c r="DA16" s="1836"/>
      <c r="DB16" s="1834" t="str">
        <f>IFERROR(INDEX(N_Bedarf!$CE$2:$CE$141,_xlfn.AGGREGATE(15,6,(ROW(N_Bedarf!$CE$2:$CE$141)-1)/(--(SEARCH(DC$2,N_Bedarf!$CE$2:$CE$141)&gt;0)),ROW()-2),1),"")</f>
        <v>Wintertriticale</v>
      </c>
      <c r="DC16" s="1836"/>
      <c r="DD16" s="1834" t="str">
        <f>IFERROR(INDEX(N_Bedarf!$CE$2:$CE$141,_xlfn.AGGREGATE(15,6,(ROW(N_Bedarf!$CE$2:$CE$141)-1)/(--(SEARCH(DE$2,N_Bedarf!$CE$2:$CE$141)&gt;0)),ROW()-2),1),"")</f>
        <v>Wintertriticale</v>
      </c>
      <c r="DE16" s="1836"/>
      <c r="DF16" s="2353" t="str">
        <f t="array" ref="DF16">IFERROR(INDEX(N_Bedarf!$CE$2:$CE$141,_xlfn.AGGREGATE(15,6,(ROW(N_Bedarf!$CE$2:$CE$141)-1)/(--(SEARCH(DG$2,N_Bedarf!$CE$2:$CE$141)&gt;0)),ROW()-2),1),"")</f>
        <v>Wintertriticale</v>
      </c>
      <c r="DG16" s="2353"/>
      <c r="DH16" s="2355" t="str">
        <f t="array" ref="DH16">IFERROR(INDEX(N_Bedarf!$CE$2:$CE$141,_xlfn.AGGREGATE(15,6,(ROW(N_Bedarf!$CE$2:$CE$141)-1)/(--(SEARCH(DI$2,N_Bedarf!$CE$2:$CE$141)&gt;0)),ROW()-2),1),"")</f>
        <v>Wintertriticale</v>
      </c>
      <c r="DI16" s="2355"/>
      <c r="DJ16" s="2356" t="str">
        <f t="array" ref="DJ16">IFERROR(INDEX(N_Bedarf!$CE$2:$CE$141,_xlfn.AGGREGATE(15,6,(ROW(N_Bedarf!$CE$2:$CE$141)-1)/(--(SEARCH(DK$2,N_Bedarf!$CE$2:$CE$141)&gt;0)),ROW()-2),1),"")</f>
        <v>Wintertriticale</v>
      </c>
      <c r="DK16" s="2356"/>
      <c r="DL16" s="2356" t="str">
        <f t="array" ref="DL16">IFERROR(INDEX(N_Bedarf!$CE$2:$CE$141,_xlfn.AGGREGATE(15,6,(ROW(N_Bedarf!$CE$2:$CE$141)-1)/(--(SEARCH(DM$2,N_Bedarf!$CE$2:$CE$141)&gt;0)),ROW()-2),1),"")</f>
        <v>Wintertriticale</v>
      </c>
      <c r="DM16" s="2356"/>
      <c r="DN16" s="2356" t="str">
        <f t="array" ref="DN16">IFERROR(INDEX(N_Bedarf!$CE$2:$CE$141,_xlfn.AGGREGATE(15,6,(ROW(N_Bedarf!$CE$2:$CE$141)-1)/(--(SEARCH(DO$2,N_Bedarf!$CE$2:$CE$141)&gt;0)),ROW()-2),1),"")</f>
        <v>Wintertriticale</v>
      </c>
      <c r="DO16" s="2356"/>
      <c r="DP16" s="2356" t="str">
        <f t="array" ref="DP16">IFERROR(INDEX(N_Bedarf!$CE$2:$CE$141,_xlfn.AGGREGATE(15,6,(ROW(N_Bedarf!$CE$2:$CE$141)-1)/(--(SEARCH(DQ$2,N_Bedarf!$CE$2:$CE$141)&gt;0)),ROW()-2),1),"")</f>
        <v>Wintertriticale</v>
      </c>
      <c r="DQ16" s="2356"/>
      <c r="DR16" s="2356" t="str">
        <f t="array" ref="DR16">IFERROR(INDEX(N_Bedarf!$CE$2:$CE$141,_xlfn.AGGREGATE(15,6,(ROW(N_Bedarf!$CE$2:$CE$141)-1)/(--(SEARCH(DS$2,N_Bedarf!$CE$2:$CE$141)&gt;0)),ROW()-2),1),"")</f>
        <v>Wintertriticale</v>
      </c>
      <c r="DS16" s="2356"/>
      <c r="DT16" s="2356" t="str">
        <f t="array" ref="DT16">IFERROR(INDEX(N_Bedarf!$CE$2:$CE$141,_xlfn.AGGREGATE(15,6,(ROW(N_Bedarf!$CE$2:$CE$141)-1)/(--(SEARCH(DU$2,N_Bedarf!$CE$2:$CE$141)&gt;0)),ROW()-2),1),"")</f>
        <v>Wintertriticale</v>
      </c>
      <c r="DU16" s="2356"/>
      <c r="DV16" s="2356" t="str">
        <f t="array" ref="DV16">IFERROR(INDEX(N_Bedarf!$CE$2:$CE$141,_xlfn.AGGREGATE(15,6,(ROW(N_Bedarf!$CE$2:$CE$141)-1)/(--(SEARCH(DW$2,N_Bedarf!$CE$2:$CE$141)&gt;0)),ROW()-2),1),"")</f>
        <v>Wintertriticale</v>
      </c>
      <c r="DW16" s="2356"/>
      <c r="DX16" s="2356" t="str">
        <f t="array" ref="DX16">IFERROR(INDEX(N_Bedarf!$CE$2:$CE$141,_xlfn.AGGREGATE(15,6,(ROW(N_Bedarf!$CE$2:$CE$141)-1)/(--(SEARCH(DY$2,N_Bedarf!$CE$2:$CE$141)&gt;0)),ROW()-2),1),"")</f>
        <v>Wintertriticale</v>
      </c>
      <c r="DY16" s="2356"/>
      <c r="DZ16" s="2356" t="str">
        <f t="array" ref="DZ16">IFERROR(INDEX(N_Bedarf!$CE$2:$CE$141,_xlfn.AGGREGATE(15,6,(ROW(N_Bedarf!$CE$2:$CE$141)-1)/(--(SEARCH(EA$2,N_Bedarf!$CE$2:$CE$141)&gt;0)),ROW()-2),1),"")</f>
        <v>Wintertriticale</v>
      </c>
      <c r="EA16" s="2356"/>
      <c r="EB16" s="2356" t="str">
        <f t="array" ref="EB16">IFERROR(INDEX(N_Bedarf!$CE$2:$CE$141,_xlfn.AGGREGATE(15,6,(ROW(N_Bedarf!$CE$2:$CE$141)-1)/(--(SEARCH(EC$2,N_Bedarf!$CE$2:$CE$141)&gt;0)),ROW()-2),1),"")</f>
        <v>Wintertriticale</v>
      </c>
      <c r="EC16" s="2356"/>
      <c r="ED16"/>
      <c r="EE16"/>
      <c r="EF16" s="394" t="s">
        <v>1895</v>
      </c>
      <c r="EG16" t="str">
        <f>IFERROR(INDEX(Liste_Grünland_DropDown[Grünland],_xlfn.AGGREGATE(15,6,(ROW(Liste_Grünland_DropDown[Grünland])-1)/(--(SEARCH(EH$2,Liste_Grünland_DropDown[Grünland])&gt;0)),ROW()-2),1),"")</f>
        <v>Dauerwiese 5 Schnitte, kleereich (&gt;40% Legum.)</v>
      </c>
      <c r="EH16" t="str">
        <f>IF(N_Bedarf!$C73="","",IF(COUNTIF(Liste_Grünland_DropDown[Grünland],N_Bedarf!$C73),"",N_Bedarf!$C73))</f>
        <v/>
      </c>
      <c r="EI16" t="str">
        <f>IFERROR(INDEX(Liste_Grünland_DropDown[Grünland],_xlfn.AGGREGATE(15,6,(ROW(Liste_Grünland_DropDown[Grünland])-1)/(--(SEARCH(EJ$2,Liste_Grünland_DropDown[Grünland])&gt;0)),ROW()-2),1),"")</f>
        <v>Dauerwiese 5 Schnitte, kleereich (&gt;40% Legum.)</v>
      </c>
      <c r="EJ16"/>
      <c r="EK16" t="str">
        <f>IFERROR(INDEX(Liste_Grünland_DropDown[Grünland],_xlfn.AGGREGATE(15,6,(ROW(Liste_Grünland_DropDown[Grünland])-1)/(--(SEARCH(EL$2,Liste_Grünland_DropDown[Grünland])&gt;0)),ROW()-2),1),"")</f>
        <v>Dauerwiese 5 Schnitte, kleereich (&gt;40% Legum.)</v>
      </c>
      <c r="EL16"/>
      <c r="EM16" t="str">
        <f>IFERROR(INDEX(Liste_Grünland_DropDown[Grünland],_xlfn.AGGREGATE(15,6,(ROW(Liste_Grünland_DropDown[Grünland])-1)/(--(SEARCH(EN$2,Liste_Grünland_DropDown[Grünland])&gt;0)),ROW()-2),1),"")</f>
        <v>Dauerwiese 5 Schnitte, kleereich (&gt;40% Legum.)</v>
      </c>
      <c r="EN16"/>
      <c r="EO16" t="str">
        <f t="array" ref="EO16">IFERROR(INDEX(Liste_Grünland_DropDown[Grünland],_xlfn.AGGREGATE(15,6,(ROW(Liste_Grünland_DropDown[Grünland])-1)/(--(SEARCH(EP$2,Liste_Grünland_DropDown[Grünland])&gt;0)),ROW()-2),1),"")</f>
        <v>Dauerwiese 5 Schnitte, kleereich (&gt;40% Legum.)</v>
      </c>
      <c r="EP16"/>
      <c r="EQ16" t="str">
        <f>IFERROR(INDEX(Liste_Grünland_DropDown[Grünland],_xlfn.AGGREGATE(15,6,(ROW(Liste_Grünland_DropDown[Grünland])-1)/(--(SEARCH(ER$2,Liste_Grünland_DropDown[Grünland])&gt;0)),ROW()-2),1),"")</f>
        <v>Dauerwiese 5 Schnitte, kleereich (&gt;40% Legum.)</v>
      </c>
      <c r="ER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row>
    <row r="17" spans="1:291" ht="27" customHeight="1" thickTop="1" thickBot="1">
      <c r="A17" s="423" t="s">
        <v>1274</v>
      </c>
      <c r="B17" s="421" t="str">
        <f t="shared" si="0"/>
        <v xml:space="preserve">m - </v>
      </c>
      <c r="C17" s="2454"/>
      <c r="D17" s="2455"/>
      <c r="E17" s="2352"/>
      <c r="F17" s="913"/>
      <c r="G17" s="1916" t="str">
        <f t="shared" si="9"/>
        <v/>
      </c>
      <c r="H17" s="2296"/>
      <c r="I17" s="914">
        <f t="shared" si="10"/>
        <v>0</v>
      </c>
      <c r="J17" s="2297">
        <f t="shared" si="11"/>
        <v>0</v>
      </c>
      <c r="K17" s="2299"/>
      <c r="L17" s="915">
        <f t="shared" si="1"/>
        <v>0</v>
      </c>
      <c r="M17" s="2298">
        <f t="shared" si="2"/>
        <v>0</v>
      </c>
      <c r="N17" s="2458" t="s">
        <v>2959</v>
      </c>
      <c r="O17" s="2459"/>
      <c r="P17" s="2459"/>
      <c r="Q17" s="2459"/>
      <c r="R17" s="2460"/>
      <c r="S17" s="2464"/>
      <c r="T17" s="770"/>
      <c r="U17" s="2585"/>
      <c r="V17" s="2586"/>
      <c r="W17" s="2586"/>
      <c r="X17" s="2587"/>
      <c r="Y17" s="768"/>
      <c r="Z17" s="768"/>
      <c r="AA17" s="768"/>
      <c r="AB17" s="768"/>
      <c r="AC17" s="768"/>
      <c r="AD17" s="768"/>
      <c r="AE17" s="768"/>
      <c r="AF17" s="768"/>
      <c r="AG17" s="768"/>
      <c r="AH17" s="768"/>
      <c r="AI17" s="768"/>
      <c r="AJ17" s="768"/>
      <c r="AK17" s="768"/>
      <c r="AL17" s="768"/>
      <c r="AM17" s="768"/>
      <c r="AN17" s="768"/>
      <c r="AO17" s="768">
        <f>IF(OR(N_Bedarf!$F17="hoch 1",N_Bedarf!$F17="hoch 1 Nitratrisikogebiet",N_Bedarf!$F17="hoch 2",N_Bedarf!$F17="hoch 2 Nitratrisikogebiet",N_Bedarf!$F17="hoch 3",N_Bedarf!$F17="hoch 3 Nitratrisikogebiet"),1,0)</f>
        <v>0</v>
      </c>
      <c r="AP17" s="1568" t="str">
        <f t="shared" si="3"/>
        <v/>
      </c>
      <c r="AQ17" s="472">
        <f t="shared" si="12"/>
        <v>0</v>
      </c>
      <c r="AR17" s="472">
        <f t="shared" si="4"/>
        <v>0</v>
      </c>
      <c r="AS17" s="472">
        <f t="shared" si="5"/>
        <v>0</v>
      </c>
      <c r="AT17" s="472">
        <f t="shared" si="6"/>
        <v>0</v>
      </c>
      <c r="AU17" s="472">
        <f t="shared" si="7"/>
        <v>0</v>
      </c>
      <c r="AV17" s="472">
        <f t="shared" si="8"/>
        <v>0</v>
      </c>
      <c r="AW17" s="472">
        <f t="shared" si="13"/>
        <v>0</v>
      </c>
      <c r="AX17" s="1722" t="s">
        <v>1864</v>
      </c>
      <c r="AY17" s="681">
        <v>90</v>
      </c>
      <c r="AZ17" s="681">
        <v>80</v>
      </c>
      <c r="BA17" s="681" t="s">
        <v>2788</v>
      </c>
      <c r="BB17" s="681">
        <v>120</v>
      </c>
      <c r="BC17" s="681">
        <v>105</v>
      </c>
      <c r="BD17" s="681" t="s">
        <v>2789</v>
      </c>
      <c r="BE17" s="681">
        <v>145</v>
      </c>
      <c r="BF17" s="681">
        <v>125</v>
      </c>
      <c r="BG17" s="681" t="s">
        <v>2790</v>
      </c>
      <c r="BH17" s="681">
        <v>155</v>
      </c>
      <c r="BI17" s="681">
        <v>135</v>
      </c>
      <c r="BJ17" s="681" t="s">
        <v>2791</v>
      </c>
      <c r="BK17" s="681">
        <v>165</v>
      </c>
      <c r="BL17" s="681">
        <v>140</v>
      </c>
      <c r="BM17" s="681" t="s">
        <v>2609</v>
      </c>
      <c r="BN17" s="471">
        <v>0</v>
      </c>
      <c r="BO17" s="821" t="s">
        <v>1764</v>
      </c>
      <c r="BP17"/>
      <c r="BQ17" s="1722" t="s">
        <v>1864</v>
      </c>
      <c r="BR17" s="470">
        <v>50</v>
      </c>
      <c r="BS17" s="470">
        <v>55</v>
      </c>
      <c r="BT17" s="470">
        <v>65</v>
      </c>
      <c r="BU17"/>
      <c r="BV17" s="1722" t="s">
        <v>1864</v>
      </c>
      <c r="BW17" s="470">
        <v>70</v>
      </c>
      <c r="BX17" s="470">
        <v>80</v>
      </c>
      <c r="BY17" s="470">
        <v>90</v>
      </c>
      <c r="BZ17" s="470">
        <v>170</v>
      </c>
      <c r="CA17" s="470">
        <v>170</v>
      </c>
      <c r="CB17"/>
      <c r="CC17" s="1659">
        <f>IFERROR(COUNTIF(Liste_Grünland_DropDown[Grünland],N_Bedarf!$C57),0)</f>
        <v>0</v>
      </c>
      <c r="CD17"/>
      <c r="CE17" s="1835" t="s">
        <v>1398</v>
      </c>
      <c r="CF17" s="1834" t="str">
        <f>IFERROR(INDEX(N_Bedarf!$CE$2:$CE$141,_xlfn.AGGREGATE(15,6,(ROW(N_Bedarf!$CE$2:$CE$141)-1)/(--(SEARCH(CG$2,N_Bedarf!$CE$2:$CE$141)&gt;0)),ROW()-2),1),"")</f>
        <v>Sommertriticale</v>
      </c>
      <c r="CG17" s="1830"/>
      <c r="CH17" s="1834" t="str">
        <f>IFERROR(INDEX(N_Bedarf!$CE$2:$CE$141,_xlfn.AGGREGATE(15,6,(ROW(N_Bedarf!$CE$2:$CE$141)-1)/(--(SEARCH(CI$2,N_Bedarf!$CE$2:$CE$141)&gt;0)),ROW()-2),1),"")</f>
        <v>Sommertriticale</v>
      </c>
      <c r="CI17" s="1830"/>
      <c r="CJ17" s="1834" t="str">
        <f>IFERROR(INDEX(N_Bedarf!$CE$2:$CE$141,_xlfn.AGGREGATE(15,6,(ROW(N_Bedarf!$CE$2:$CE$141)-1)/(--(SEARCH(CK$2,N_Bedarf!$CE$2:$CE$141)&gt;0)),ROW()-2),1),"")</f>
        <v>Sommertriticale</v>
      </c>
      <c r="CK17" s="1830"/>
      <c r="CL17" s="1834" t="str">
        <f>IFERROR(INDEX(N_Bedarf!$CE$2:$CE$141,_xlfn.AGGREGATE(15,6,(ROW(N_Bedarf!$CE$2:$CE$141)-1)/(--(SEARCH(CM$2,N_Bedarf!$CE$2:$CE$141)&gt;0)),ROW()-2),1),"")</f>
        <v>Sommertriticale</v>
      </c>
      <c r="CM17" s="1830"/>
      <c r="CN17" s="1834" t="str">
        <f>IFERROR(INDEX(N_Bedarf!$CE$2:$CE$141,_xlfn.AGGREGATE(15,6,(ROW(N_Bedarf!$CE$2:$CE$141)-1)/(--(SEARCH(CO$2,N_Bedarf!$CE$2:$CE$141)&gt;0)),ROW()-2),1),"")</f>
        <v>Sommertriticale</v>
      </c>
      <c r="CO17" s="1830"/>
      <c r="CP17" s="1834" t="str">
        <f>IFERROR(INDEX(N_Bedarf!$CE$2:$CE$141,_xlfn.AGGREGATE(15,6,(ROW(N_Bedarf!$CE$2:$CE$141)-1)/(--(SEARCH(CQ$2,N_Bedarf!$CE$2:$CE$141)&gt;0)),ROW()-2),1),"")</f>
        <v>Sommertriticale</v>
      </c>
      <c r="CQ17" s="1830"/>
      <c r="CR17" s="1834" t="str">
        <f>IFERROR(INDEX(N_Bedarf!$CE$2:$CE$141,_xlfn.AGGREGATE(15,6,(ROW(N_Bedarf!$CE$2:$CE$141)-1)/(--(SEARCH(CS$2,N_Bedarf!$CE$2:$CE$141)&gt;0)),ROW()-2),1),"")</f>
        <v>Sommertriticale</v>
      </c>
      <c r="CS17" s="1830"/>
      <c r="CT17" s="1834" t="str">
        <f>IFERROR(INDEX(N_Bedarf!$CE$2:$CE$141,_xlfn.AGGREGATE(15,6,(ROW(N_Bedarf!$CE$2:$CE$141)-1)/(--(SEARCH(CU$2,N_Bedarf!$CE$2:$CE$141)&gt;0)),ROW()-2),1),"")</f>
        <v>Sommertriticale</v>
      </c>
      <c r="CU17" s="1830"/>
      <c r="CV17" s="1834" t="str">
        <f>IFERROR(INDEX(N_Bedarf!$CE$2:$CE$141,_xlfn.AGGREGATE(15,6,(ROW(N_Bedarf!$CE$2:$CE$141)-1)/(--(SEARCH(CW$2,N_Bedarf!$CE$2:$CE$141)&gt;0)),ROW()-2),1),"")</f>
        <v>Sommertriticale</v>
      </c>
      <c r="CW17" s="1830"/>
      <c r="CX17" s="1834" t="str">
        <f>IFERROR(INDEX(N_Bedarf!$CE$2:$CE$141,_xlfn.AGGREGATE(15,6,(ROW(N_Bedarf!$CE$2:$CE$141)-1)/(--(SEARCH(CY$2,N_Bedarf!$CE$2:$CE$141)&gt;0)),ROW()-2),1),"")</f>
        <v>Sommertriticale</v>
      </c>
      <c r="CY17" s="1830"/>
      <c r="CZ17" s="1834" t="str">
        <f>IFERROR(INDEX(N_Bedarf!$CE$2:$CE$141,_xlfn.AGGREGATE(15,6,(ROW(N_Bedarf!$CE$2:$CE$141)-1)/(--(SEARCH(DA$2,N_Bedarf!$CE$2:$CE$141)&gt;0)),ROW()-2),1),"")</f>
        <v>Sommertriticale</v>
      </c>
      <c r="DA17" s="1830"/>
      <c r="DB17" s="1834" t="str">
        <f>IFERROR(INDEX(N_Bedarf!$CE$2:$CE$141,_xlfn.AGGREGATE(15,6,(ROW(N_Bedarf!$CE$2:$CE$141)-1)/(--(SEARCH(DC$2,N_Bedarf!$CE$2:$CE$141)&gt;0)),ROW()-2),1),"")</f>
        <v>Sommertriticale</v>
      </c>
      <c r="DC17" s="1830"/>
      <c r="DD17" s="1834" t="str">
        <f>IFERROR(INDEX(N_Bedarf!$CE$2:$CE$141,_xlfn.AGGREGATE(15,6,(ROW(N_Bedarf!$CE$2:$CE$141)-1)/(--(SEARCH(DE$2,N_Bedarf!$CE$2:$CE$141)&gt;0)),ROW()-2),1),"")</f>
        <v>Sommertriticale</v>
      </c>
      <c r="DE17" s="1830"/>
      <c r="DF17" s="2353" t="str">
        <f t="array" ref="DF17">IFERROR(INDEX(N_Bedarf!$CE$2:$CE$141,_xlfn.AGGREGATE(15,6,(ROW(N_Bedarf!$CE$2:$CE$141)-1)/(--(SEARCH(DG$2,N_Bedarf!$CE$2:$CE$141)&gt;0)),ROW()-2),1),"")</f>
        <v>Sommertriticale</v>
      </c>
      <c r="DG17" s="2353"/>
      <c r="DH17" s="2355" t="str">
        <f t="array" ref="DH17">IFERROR(INDEX(N_Bedarf!$CE$2:$CE$141,_xlfn.AGGREGATE(15,6,(ROW(N_Bedarf!$CE$2:$CE$141)-1)/(--(SEARCH(DI$2,N_Bedarf!$CE$2:$CE$141)&gt;0)),ROW()-2),1),"")</f>
        <v>Sommertriticale</v>
      </c>
      <c r="DI17" s="2355"/>
      <c r="DJ17" s="2356" t="str">
        <f t="array" ref="DJ17">IFERROR(INDEX(N_Bedarf!$CE$2:$CE$141,_xlfn.AGGREGATE(15,6,(ROW(N_Bedarf!$CE$2:$CE$141)-1)/(--(SEARCH(DK$2,N_Bedarf!$CE$2:$CE$141)&gt;0)),ROW()-2),1),"")</f>
        <v>Sommertriticale</v>
      </c>
      <c r="DK17" s="2356"/>
      <c r="DL17" s="2356" t="str">
        <f t="array" ref="DL17">IFERROR(INDEX(N_Bedarf!$CE$2:$CE$141,_xlfn.AGGREGATE(15,6,(ROW(N_Bedarf!$CE$2:$CE$141)-1)/(--(SEARCH(DM$2,N_Bedarf!$CE$2:$CE$141)&gt;0)),ROW()-2),1),"")</f>
        <v>Sommertriticale</v>
      </c>
      <c r="DM17" s="2356"/>
      <c r="DN17" s="2356" t="str">
        <f t="array" ref="DN17">IFERROR(INDEX(N_Bedarf!$CE$2:$CE$141,_xlfn.AGGREGATE(15,6,(ROW(N_Bedarf!$CE$2:$CE$141)-1)/(--(SEARCH(DO$2,N_Bedarf!$CE$2:$CE$141)&gt;0)),ROW()-2),1),"")</f>
        <v>Sommertriticale</v>
      </c>
      <c r="DO17" s="2356"/>
      <c r="DP17" s="2356" t="str">
        <f t="array" ref="DP17">IFERROR(INDEX(N_Bedarf!$CE$2:$CE$141,_xlfn.AGGREGATE(15,6,(ROW(N_Bedarf!$CE$2:$CE$141)-1)/(--(SEARCH(DQ$2,N_Bedarf!$CE$2:$CE$141)&gt;0)),ROW()-2),1),"")</f>
        <v>Sommertriticale</v>
      </c>
      <c r="DQ17" s="2356"/>
      <c r="DR17" s="2356" t="str">
        <f t="array" ref="DR17">IFERROR(INDEX(N_Bedarf!$CE$2:$CE$141,_xlfn.AGGREGATE(15,6,(ROW(N_Bedarf!$CE$2:$CE$141)-1)/(--(SEARCH(DS$2,N_Bedarf!$CE$2:$CE$141)&gt;0)),ROW()-2),1),"")</f>
        <v>Sommertriticale</v>
      </c>
      <c r="DS17" s="2356"/>
      <c r="DT17" s="2356" t="str">
        <f t="array" ref="DT17">IFERROR(INDEX(N_Bedarf!$CE$2:$CE$141,_xlfn.AGGREGATE(15,6,(ROW(N_Bedarf!$CE$2:$CE$141)-1)/(--(SEARCH(DU$2,N_Bedarf!$CE$2:$CE$141)&gt;0)),ROW()-2),1),"")</f>
        <v>Sommertriticale</v>
      </c>
      <c r="DU17" s="2356"/>
      <c r="DV17" s="2356" t="str">
        <f t="array" ref="DV17">IFERROR(INDEX(N_Bedarf!$CE$2:$CE$141,_xlfn.AGGREGATE(15,6,(ROW(N_Bedarf!$CE$2:$CE$141)-1)/(--(SEARCH(DW$2,N_Bedarf!$CE$2:$CE$141)&gt;0)),ROW()-2),1),"")</f>
        <v>Sommertriticale</v>
      </c>
      <c r="DW17" s="2356"/>
      <c r="DX17" s="2356" t="str">
        <f t="array" ref="DX17">IFERROR(INDEX(N_Bedarf!$CE$2:$CE$141,_xlfn.AGGREGATE(15,6,(ROW(N_Bedarf!$CE$2:$CE$141)-1)/(--(SEARCH(DY$2,N_Bedarf!$CE$2:$CE$141)&gt;0)),ROW()-2),1),"")</f>
        <v>Sommertriticale</v>
      </c>
      <c r="DY17" s="2356"/>
      <c r="DZ17" s="2356" t="str">
        <f t="array" ref="DZ17">IFERROR(INDEX(N_Bedarf!$CE$2:$CE$141,_xlfn.AGGREGATE(15,6,(ROW(N_Bedarf!$CE$2:$CE$141)-1)/(--(SEARCH(EA$2,N_Bedarf!$CE$2:$CE$141)&gt;0)),ROW()-2),1),"")</f>
        <v>Sommertriticale</v>
      </c>
      <c r="EA17" s="2356"/>
      <c r="EB17" s="2356" t="str">
        <f t="array" ref="EB17">IFERROR(INDEX(N_Bedarf!$CE$2:$CE$141,_xlfn.AGGREGATE(15,6,(ROW(N_Bedarf!$CE$2:$CE$141)-1)/(--(SEARCH(EC$2,N_Bedarf!$CE$2:$CE$141)&gt;0)),ROW()-2),1),"")</f>
        <v>Sommertriticale</v>
      </c>
      <c r="EC17" s="2356"/>
      <c r="ED17"/>
      <c r="EE17"/>
      <c r="EF17" s="394" t="s">
        <v>1896</v>
      </c>
      <c r="EG17" t="str">
        <f>IFERROR(INDEX(Liste_Grünland_DropDown[Grünland],_xlfn.AGGREGATE(15,6,(ROW(Liste_Grünland_DropDown[Grünland])-1)/(--(SEARCH(EH$2,Liste_Grünland_DropDown[Grünland])&gt;0)),ROW()-2),1),"")</f>
        <v>Dauerwiese 6 Schnitte, gräserbetont (&lt;40% Legum.)</v>
      </c>
      <c r="EH17" t="str">
        <f>IF(N_Bedarf!$C74="","",IF(COUNTIF(Liste_Grünland_DropDown[Grünland],N_Bedarf!$C74),"",N_Bedarf!$C74))</f>
        <v/>
      </c>
      <c r="EI17" t="str">
        <f>IFERROR(INDEX(Liste_Grünland_DropDown[Grünland],_xlfn.AGGREGATE(15,6,(ROW(Liste_Grünland_DropDown[Grünland])-1)/(--(SEARCH(EJ$2,Liste_Grünland_DropDown[Grünland])&gt;0)),ROW()-2),1),"")</f>
        <v>Dauerwiese 6 Schnitte, gräserbetont (&lt;40% Legum.)</v>
      </c>
      <c r="EJ17"/>
      <c r="EK17" t="str">
        <f>IFERROR(INDEX(Liste_Grünland_DropDown[Grünland],_xlfn.AGGREGATE(15,6,(ROW(Liste_Grünland_DropDown[Grünland])-1)/(--(SEARCH(EL$2,Liste_Grünland_DropDown[Grünland])&gt;0)),ROW()-2),1),"")</f>
        <v>Dauerwiese 6 Schnitte, gräserbetont (&lt;40% Legum.)</v>
      </c>
      <c r="EL17"/>
      <c r="EM17" t="str">
        <f>IFERROR(INDEX(Liste_Grünland_DropDown[Grünland],_xlfn.AGGREGATE(15,6,(ROW(Liste_Grünland_DropDown[Grünland])-1)/(--(SEARCH(EN$2,Liste_Grünland_DropDown[Grünland])&gt;0)),ROW()-2),1),"")</f>
        <v>Dauerwiese 6 Schnitte, gräserbetont (&lt;40% Legum.)</v>
      </c>
      <c r="EN17"/>
      <c r="EO17" t="str">
        <f t="array" ref="EO17">IFERROR(INDEX(Liste_Grünland_DropDown[Grünland],_xlfn.AGGREGATE(15,6,(ROW(Liste_Grünland_DropDown[Grünland])-1)/(--(SEARCH(EP$2,Liste_Grünland_DropDown[Grünland])&gt;0)),ROW()-2),1),"")</f>
        <v>Dauerwiese 6 Schnitte, gräserbetont (&lt;40% Legum.)</v>
      </c>
      <c r="EP17"/>
      <c r="EQ17" t="str">
        <f>IFERROR(INDEX(Liste_Grünland_DropDown[Grünland],_xlfn.AGGREGATE(15,6,(ROW(Liste_Grünland_DropDown[Grünland])-1)/(--(SEARCH(ER$2,Liste_Grünland_DropDown[Grünland])&gt;0)),ROW()-2),1),"")</f>
        <v>Dauerwiese 6 Schnitte, gräserbetont (&lt;40% Legum.)</v>
      </c>
      <c r="ER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row>
    <row r="18" spans="1:291" ht="27" customHeight="1" thickTop="1" thickBot="1">
      <c r="A18" s="287" t="s">
        <v>1275</v>
      </c>
      <c r="B18" s="421" t="str">
        <f>CONCATENATE(A18," - ",C55)</f>
        <v>n - diverse Grünbrachen zB Biodiv.</v>
      </c>
      <c r="C18" s="2621"/>
      <c r="D18" s="2622"/>
      <c r="E18" s="912"/>
      <c r="F18" s="913"/>
      <c r="G18" s="1916" t="str">
        <f t="shared" si="9"/>
        <v/>
      </c>
      <c r="H18" s="2296"/>
      <c r="I18" s="914">
        <f t="shared" si="10"/>
        <v>0</v>
      </c>
      <c r="J18" s="2297">
        <f t="shared" si="11"/>
        <v>0</v>
      </c>
      <c r="K18" s="2299"/>
      <c r="L18" s="915">
        <f t="shared" si="1"/>
        <v>0</v>
      </c>
      <c r="M18" s="2298">
        <f t="shared" si="2"/>
        <v>0</v>
      </c>
      <c r="N18" s="2461"/>
      <c r="O18" s="2462"/>
      <c r="P18" s="2462"/>
      <c r="Q18" s="2462"/>
      <c r="R18" s="2463"/>
      <c r="S18" s="2465"/>
      <c r="T18" s="770"/>
      <c r="U18" s="768"/>
      <c r="V18" s="768"/>
      <c r="W18" s="768"/>
      <c r="X18" s="768"/>
      <c r="Y18" s="768"/>
      <c r="Z18" s="768"/>
      <c r="AA18" s="768"/>
      <c r="AB18" s="768"/>
      <c r="AC18" s="768"/>
      <c r="AD18" s="768"/>
      <c r="AE18" s="768"/>
      <c r="AF18" s="768"/>
      <c r="AG18" s="768"/>
      <c r="AH18" s="768"/>
      <c r="AI18" s="768"/>
      <c r="AJ18" s="768"/>
      <c r="AK18" s="768"/>
      <c r="AL18" s="768"/>
      <c r="AM18" s="768"/>
      <c r="AN18" s="768"/>
      <c r="AO18" s="768"/>
      <c r="AP18" s="1568" t="str">
        <f t="shared" si="3"/>
        <v/>
      </c>
      <c r="AQ18" s="472">
        <f t="shared" ref="AQ18:AQ55" si="14">IF(J18&gt;0,E18,0)</f>
        <v>0</v>
      </c>
      <c r="AR18" s="472">
        <f t="shared" ref="AR18:AR55" si="15">IF(ISBLANK(F18),0,VLOOKUP(C18,Liste_N_Bedarf,17,0))</f>
        <v>0</v>
      </c>
      <c r="AS18" s="472">
        <f t="shared" ref="AS18:AS55" si="16">IF(F18="niedrig",VLOOKUP(C18,Liste_N_Bedarf,2,0),IF(F18="niedrig Nitratrisikogebiet",VLOOKUP(C18,Liste_N_Bedarf,3,0),IF(F18="mittel",VLOOKUP(C18,Liste_N_Bedarf,5,0),IF(F18="mittel Nitratrisikogebiet",VLOOKUP(C18,Liste_N_Bedarf,6,0),IF(F18="hoch 1",VLOOKUP(C18,Liste_N_Bedarf,8,0),IF(F18="hoch 1 Nitratrisikogebiet",VLOOKUP(C18,Liste_N_Bedarf,9,0),IF(F18="hoch 2",VLOOKUP(C18,Liste_N_Bedarf,11,0),IF(F18="hoch 2 Nitratrisikogebiet",VLOOKUP(C18,Liste_N_Bedarf,12,0),IF(F18="hoch 3",VLOOKUP(C18,Liste_N_Bedarf,14,0),IF(F18="hoch 3 Nitratrisikogebiet",VLOOKUP(C18,Liste_N_Bedarf,15,0),0))))))))))</f>
        <v>0</v>
      </c>
      <c r="AT18" s="472">
        <f t="shared" ref="AT18:AT55" si="17">IF(OR(F18="niedrig",F18="niedrig Nitratrisikogebiet"),VLOOKUP(C18,Liste_P_Bedarf,2,0),IF(OR(F18="mittel",F18="mittel Nitratrisikogebiet"),VLOOKUP(C18,Liste_P_Bedarf,3,0),IF(OR(F18="hoch 1",F18="hoch 1 Nitratrisikogebiet"),VLOOKUP(C18,Liste_P_Bedarf,4,0),IF(OR(F18="hoch 2",F18="hoch 2 Nitratrisikogebiet"),VLOOKUP(C18,Liste_P_Bedarf,4,0),IF(OR(F18="hoch 3",F18="hoch 3 Nitratrisikogebiet"),VLOOKUP(C18,Liste_P_Bedarf,4,0),0)))))</f>
        <v>0</v>
      </c>
      <c r="AU18" s="472">
        <f t="shared" ref="AU18:AU55" si="18">IF(OR(F18="niedrig",F18="niedrig Nitratrisikogebiet"),VLOOKUP(C18,Liste_K_Bedarf,2,0),IF(OR(F18="mittel",F18="mittel Nitratrisikogebiet"),VLOOKUP(C18,Liste_K_Bedarf,3,0),IF(OR(F18="hoch 1",F18="hoch 1 Nitratrisikogebiet"),VLOOKUP(C18,Liste_K_Bedarf,4,0),IF(OR(F18="hoch 2",F18="hoch 2 Nitratrisikogebiet"),VLOOKUP(C18,Liste_K_Bedarf,4,0),IF(OR(F18="hoch 3",F18="hoch 3 Nitratrisikogebiet"),VLOOKUP(C18,Liste_K_Bedarf,4,0),0)))))</f>
        <v>0</v>
      </c>
      <c r="AV18" s="472">
        <f t="shared" ref="AV18:AV55" si="19">IF(ISBLANK(F18),0,VLOOKUP(C18,Liste_K_Bedarf,5,0))</f>
        <v>0</v>
      </c>
      <c r="AW18" s="472">
        <f t="shared" ref="AW18:AW55" si="20">IFERROR(IF(ISBLANK(F18),0,VLOOKUP(C18,Liste_N_Bedarf,18,0)),0)</f>
        <v>0</v>
      </c>
      <c r="AX18" s="1722" t="s">
        <v>1733</v>
      </c>
      <c r="AY18" s="681">
        <v>90</v>
      </c>
      <c r="AZ18" s="681">
        <v>80</v>
      </c>
      <c r="BA18" s="681" t="s">
        <v>2792</v>
      </c>
      <c r="BB18" s="681">
        <v>120</v>
      </c>
      <c r="BC18" s="681">
        <v>105</v>
      </c>
      <c r="BD18" s="1915" t="s">
        <v>2793</v>
      </c>
      <c r="BE18" s="681">
        <v>145</v>
      </c>
      <c r="BF18" s="681">
        <v>125</v>
      </c>
      <c r="BG18" s="1915" t="s">
        <v>2794</v>
      </c>
      <c r="BH18" s="681">
        <v>155</v>
      </c>
      <c r="BI18" s="681">
        <v>135</v>
      </c>
      <c r="BJ18" s="1915" t="s">
        <v>2795</v>
      </c>
      <c r="BK18" s="681">
        <v>165</v>
      </c>
      <c r="BL18" s="681">
        <v>140</v>
      </c>
      <c r="BM18" s="1915" t="s">
        <v>2815</v>
      </c>
      <c r="BN18" s="471">
        <v>18</v>
      </c>
      <c r="BO18" s="821" t="s">
        <v>1764</v>
      </c>
      <c r="BP18"/>
      <c r="BQ18" s="1722" t="s">
        <v>1733</v>
      </c>
      <c r="BR18" s="470">
        <v>50</v>
      </c>
      <c r="BS18" s="470">
        <v>55</v>
      </c>
      <c r="BT18" s="470">
        <v>65</v>
      </c>
      <c r="BU18"/>
      <c r="BV18" s="1722" t="s">
        <v>1733</v>
      </c>
      <c r="BW18" s="470">
        <v>70</v>
      </c>
      <c r="BX18" s="470">
        <v>80</v>
      </c>
      <c r="BY18" s="470">
        <v>90</v>
      </c>
      <c r="BZ18" s="470">
        <v>0</v>
      </c>
      <c r="CA18" s="470">
        <v>0</v>
      </c>
      <c r="CB18"/>
      <c r="CC18" s="1659">
        <f>IFERROR(COUNTIF(Liste_Grünland_DropDown[Grünland],N_Bedarf!$C58),0)</f>
        <v>0</v>
      </c>
      <c r="CD18"/>
      <c r="CE18" s="1833" t="s">
        <v>1717</v>
      </c>
      <c r="CF18" s="1834" t="str">
        <f>IFERROR(INDEX(N_Bedarf!$CE$2:$CE$141,_xlfn.AGGREGATE(15,6,(ROW(N_Bedarf!$CE$2:$CE$141)-1)/(--(SEARCH(CG$2,N_Bedarf!$CE$2:$CE$141)&gt;0)),ROW()-2),1),"")</f>
        <v>Winterroggen</v>
      </c>
      <c r="CG18" s="1836"/>
      <c r="CH18" s="1834" t="str">
        <f>IFERROR(INDEX(N_Bedarf!$CE$2:$CE$141,_xlfn.AGGREGATE(15,6,(ROW(N_Bedarf!$CE$2:$CE$141)-1)/(--(SEARCH(CI$2,N_Bedarf!$CE$2:$CE$141)&gt;0)),ROW()-2),1),"")</f>
        <v>Winterroggen</v>
      </c>
      <c r="CI18" s="1836"/>
      <c r="CJ18" s="1834" t="str">
        <f>IFERROR(INDEX(N_Bedarf!$CE$2:$CE$141,_xlfn.AGGREGATE(15,6,(ROW(N_Bedarf!$CE$2:$CE$141)-1)/(--(SEARCH(CK$2,N_Bedarf!$CE$2:$CE$141)&gt;0)),ROW()-2),1),"")</f>
        <v>Winterroggen</v>
      </c>
      <c r="CK18" s="1836"/>
      <c r="CL18" s="1834" t="str">
        <f>IFERROR(INDEX(N_Bedarf!$CE$2:$CE$141,_xlfn.AGGREGATE(15,6,(ROW(N_Bedarf!$CE$2:$CE$141)-1)/(--(SEARCH(CM$2,N_Bedarf!$CE$2:$CE$141)&gt;0)),ROW()-2),1),"")</f>
        <v>Winterroggen</v>
      </c>
      <c r="CM18" s="1836"/>
      <c r="CN18" s="1834" t="str">
        <f>IFERROR(INDEX(N_Bedarf!$CE$2:$CE$141,_xlfn.AGGREGATE(15,6,(ROW(N_Bedarf!$CE$2:$CE$141)-1)/(--(SEARCH(CO$2,N_Bedarf!$CE$2:$CE$141)&gt;0)),ROW()-2),1),"")</f>
        <v>Winterroggen</v>
      </c>
      <c r="CO18" s="1836"/>
      <c r="CP18" s="1834" t="str">
        <f>IFERROR(INDEX(N_Bedarf!$CE$2:$CE$141,_xlfn.AGGREGATE(15,6,(ROW(N_Bedarf!$CE$2:$CE$141)-1)/(--(SEARCH(CQ$2,N_Bedarf!$CE$2:$CE$141)&gt;0)),ROW()-2),1),"")</f>
        <v>Winterroggen</v>
      </c>
      <c r="CQ18" s="1836"/>
      <c r="CR18" s="1834" t="str">
        <f>IFERROR(INDEX(N_Bedarf!$CE$2:$CE$141,_xlfn.AGGREGATE(15,6,(ROW(N_Bedarf!$CE$2:$CE$141)-1)/(--(SEARCH(CS$2,N_Bedarf!$CE$2:$CE$141)&gt;0)),ROW()-2),1),"")</f>
        <v>Winterroggen</v>
      </c>
      <c r="CS18" s="1836"/>
      <c r="CT18" s="1834" t="str">
        <f>IFERROR(INDEX(N_Bedarf!$CE$2:$CE$141,_xlfn.AGGREGATE(15,6,(ROW(N_Bedarf!$CE$2:$CE$141)-1)/(--(SEARCH(CU$2,N_Bedarf!$CE$2:$CE$141)&gt;0)),ROW()-2),1),"")</f>
        <v>Winterroggen</v>
      </c>
      <c r="CU18" s="1836"/>
      <c r="CV18" s="1834" t="str">
        <f>IFERROR(INDEX(N_Bedarf!$CE$2:$CE$141,_xlfn.AGGREGATE(15,6,(ROW(N_Bedarf!$CE$2:$CE$141)-1)/(--(SEARCH(CW$2,N_Bedarf!$CE$2:$CE$141)&gt;0)),ROW()-2),1),"")</f>
        <v>Winterroggen</v>
      </c>
      <c r="CW18" s="1836"/>
      <c r="CX18" s="1834" t="str">
        <f>IFERROR(INDEX(N_Bedarf!$CE$2:$CE$141,_xlfn.AGGREGATE(15,6,(ROW(N_Bedarf!$CE$2:$CE$141)-1)/(--(SEARCH(CY$2,N_Bedarf!$CE$2:$CE$141)&gt;0)),ROW()-2),1),"")</f>
        <v>Winterroggen</v>
      </c>
      <c r="CY18" s="1836"/>
      <c r="CZ18" s="1834" t="str">
        <f>IFERROR(INDEX(N_Bedarf!$CE$2:$CE$141,_xlfn.AGGREGATE(15,6,(ROW(N_Bedarf!$CE$2:$CE$141)-1)/(--(SEARCH(DA$2,N_Bedarf!$CE$2:$CE$141)&gt;0)),ROW()-2),1),"")</f>
        <v>Winterroggen</v>
      </c>
      <c r="DA18" s="1836"/>
      <c r="DB18" s="1834" t="str">
        <f>IFERROR(INDEX(N_Bedarf!$CE$2:$CE$141,_xlfn.AGGREGATE(15,6,(ROW(N_Bedarf!$CE$2:$CE$141)-1)/(--(SEARCH(DC$2,N_Bedarf!$CE$2:$CE$141)&gt;0)),ROW()-2),1),"")</f>
        <v>Winterroggen</v>
      </c>
      <c r="DC18" s="1836"/>
      <c r="DD18" s="1834" t="str">
        <f>IFERROR(INDEX(N_Bedarf!$CE$2:$CE$141,_xlfn.AGGREGATE(15,6,(ROW(N_Bedarf!$CE$2:$CE$141)-1)/(--(SEARCH(DE$2,N_Bedarf!$CE$2:$CE$141)&gt;0)),ROW()-2),1),"")</f>
        <v>Winterroggen</v>
      </c>
      <c r="DE18" s="1836"/>
      <c r="DF18" s="2353" t="str">
        <f t="array" ref="DF18">IFERROR(INDEX(N_Bedarf!$CE$2:$CE$141,_xlfn.AGGREGATE(15,6,(ROW(N_Bedarf!$CE$2:$CE$141)-1)/(--(SEARCH(DG$2,N_Bedarf!$CE$2:$CE$141)&gt;0)),ROW()-2),1),"")</f>
        <v>Winterroggen</v>
      </c>
      <c r="DG18" s="2353"/>
      <c r="DH18" s="2355" t="str">
        <f t="array" ref="DH18">IFERROR(INDEX(N_Bedarf!$CE$2:$CE$141,_xlfn.AGGREGATE(15,6,(ROW(N_Bedarf!$CE$2:$CE$141)-1)/(--(SEARCH(DI$2,N_Bedarf!$CE$2:$CE$141)&gt;0)),ROW()-2),1),"")</f>
        <v>Winterroggen</v>
      </c>
      <c r="DI18" s="2355"/>
      <c r="DJ18" s="2356" t="str">
        <f t="array" ref="DJ18">IFERROR(INDEX(N_Bedarf!$CE$2:$CE$141,_xlfn.AGGREGATE(15,6,(ROW(N_Bedarf!$CE$2:$CE$141)-1)/(--(SEARCH(DK$2,N_Bedarf!$CE$2:$CE$141)&gt;0)),ROW()-2),1),"")</f>
        <v>Winterroggen</v>
      </c>
      <c r="DK18" s="2356"/>
      <c r="DL18" s="2356" t="str">
        <f t="array" ref="DL18">IFERROR(INDEX(N_Bedarf!$CE$2:$CE$141,_xlfn.AGGREGATE(15,6,(ROW(N_Bedarf!$CE$2:$CE$141)-1)/(--(SEARCH(DM$2,N_Bedarf!$CE$2:$CE$141)&gt;0)),ROW()-2),1),"")</f>
        <v>Winterroggen</v>
      </c>
      <c r="DM18" s="2356"/>
      <c r="DN18" s="2356" t="str">
        <f t="array" ref="DN18">IFERROR(INDEX(N_Bedarf!$CE$2:$CE$141,_xlfn.AGGREGATE(15,6,(ROW(N_Bedarf!$CE$2:$CE$141)-1)/(--(SEARCH(DO$2,N_Bedarf!$CE$2:$CE$141)&gt;0)),ROW()-2),1),"")</f>
        <v>Winterroggen</v>
      </c>
      <c r="DO18" s="2356"/>
      <c r="DP18" s="2356" t="str">
        <f t="array" ref="DP18">IFERROR(INDEX(N_Bedarf!$CE$2:$CE$141,_xlfn.AGGREGATE(15,6,(ROW(N_Bedarf!$CE$2:$CE$141)-1)/(--(SEARCH(DQ$2,N_Bedarf!$CE$2:$CE$141)&gt;0)),ROW()-2),1),"")</f>
        <v>Winterroggen</v>
      </c>
      <c r="DQ18" s="2356"/>
      <c r="DR18" s="2356" t="str">
        <f t="array" ref="DR18">IFERROR(INDEX(N_Bedarf!$CE$2:$CE$141,_xlfn.AGGREGATE(15,6,(ROW(N_Bedarf!$CE$2:$CE$141)-1)/(--(SEARCH(DS$2,N_Bedarf!$CE$2:$CE$141)&gt;0)),ROW()-2),1),"")</f>
        <v>Winterroggen</v>
      </c>
      <c r="DS18" s="2356"/>
      <c r="DT18" s="2356" t="str">
        <f t="array" ref="DT18">IFERROR(INDEX(N_Bedarf!$CE$2:$CE$141,_xlfn.AGGREGATE(15,6,(ROW(N_Bedarf!$CE$2:$CE$141)-1)/(--(SEARCH(DU$2,N_Bedarf!$CE$2:$CE$141)&gt;0)),ROW()-2),1),"")</f>
        <v>Winterroggen</v>
      </c>
      <c r="DU18" s="2356"/>
      <c r="DV18" s="2356" t="str">
        <f t="array" ref="DV18">IFERROR(INDEX(N_Bedarf!$CE$2:$CE$141,_xlfn.AGGREGATE(15,6,(ROW(N_Bedarf!$CE$2:$CE$141)-1)/(--(SEARCH(DW$2,N_Bedarf!$CE$2:$CE$141)&gt;0)),ROW()-2),1),"")</f>
        <v>Winterroggen</v>
      </c>
      <c r="DW18" s="2356"/>
      <c r="DX18" s="2356" t="str">
        <f t="array" ref="DX18">IFERROR(INDEX(N_Bedarf!$CE$2:$CE$141,_xlfn.AGGREGATE(15,6,(ROW(N_Bedarf!$CE$2:$CE$141)-1)/(--(SEARCH(DY$2,N_Bedarf!$CE$2:$CE$141)&gt;0)),ROW()-2),1),"")</f>
        <v>Winterroggen</v>
      </c>
      <c r="DY18" s="2356"/>
      <c r="DZ18" s="2356" t="str">
        <f t="array" ref="DZ18">IFERROR(INDEX(N_Bedarf!$CE$2:$CE$141,_xlfn.AGGREGATE(15,6,(ROW(N_Bedarf!$CE$2:$CE$141)-1)/(--(SEARCH(EA$2,N_Bedarf!$CE$2:$CE$141)&gt;0)),ROW()-2),1),"")</f>
        <v>Winterroggen</v>
      </c>
      <c r="EA18" s="2356"/>
      <c r="EB18" s="2356" t="str">
        <f t="array" ref="EB18">IFERROR(INDEX(N_Bedarf!$CE$2:$CE$141,_xlfn.AGGREGATE(15,6,(ROW(N_Bedarf!$CE$2:$CE$141)-1)/(--(SEARCH(EC$2,N_Bedarf!$CE$2:$CE$141)&gt;0)),ROW()-2),1),"")</f>
        <v>Winterroggen</v>
      </c>
      <c r="EC18" s="2356"/>
      <c r="ED18"/>
      <c r="EE18"/>
      <c r="EF18" s="394" t="s">
        <v>2005</v>
      </c>
      <c r="EG18" t="str">
        <f>IFERROR(INDEX(Liste_Grünland_DropDown[Grünland],_xlfn.AGGREGATE(15,6,(ROW(Liste_Grünland_DropDown[Grünland])-1)/(--(SEARCH(EH$2,Liste_Grünland_DropDown[Grünland])&gt;0)),ROW()-2),1),"")</f>
        <v>Dauerwiese 6 Schnitte, kleereich (&gt;40% Legum.)</v>
      </c>
      <c r="EH18" t="str">
        <f>IF(N_Bedarf!$C75="","",IF(COUNTIF(Liste_Grünland_DropDown[Grünland],N_Bedarf!$C75),"",N_Bedarf!$C75))</f>
        <v>nach Ertragslage</v>
      </c>
      <c r="EI18" t="str">
        <f>IFERROR(INDEX(Liste_Grünland_DropDown[Grünland],_xlfn.AGGREGATE(15,6,(ROW(Liste_Grünland_DropDown[Grünland])-1)/(--(SEARCH(EJ$2,Liste_Grünland_DropDown[Grünland])&gt;0)),ROW()-2),1),"")</f>
        <v>Dauerwiese 6 Schnitte, kleereich (&gt;40% Legum.)</v>
      </c>
      <c r="EJ18"/>
      <c r="EK18" t="str">
        <f>IFERROR(INDEX(Liste_Grünland_DropDown[Grünland],_xlfn.AGGREGATE(15,6,(ROW(Liste_Grünland_DropDown[Grünland])-1)/(--(SEARCH(EL$2,Liste_Grünland_DropDown[Grünland])&gt;0)),ROW()-2),1),"")</f>
        <v>Dauerwiese 6 Schnitte, kleereich (&gt;40% Legum.)</v>
      </c>
      <c r="EL18"/>
      <c r="EM18" t="str">
        <f>IFERROR(INDEX(Liste_Grünland_DropDown[Grünland],_xlfn.AGGREGATE(15,6,(ROW(Liste_Grünland_DropDown[Grünland])-1)/(--(SEARCH(EN$2,Liste_Grünland_DropDown[Grünland])&gt;0)),ROW()-2),1),"")</f>
        <v>Dauerwiese 6 Schnitte, kleereich (&gt;40% Legum.)</v>
      </c>
      <c r="EN18"/>
      <c r="EO18" t="str">
        <f t="array" ref="EO18">IFERROR(INDEX(Liste_Grünland_DropDown[Grünland],_xlfn.AGGREGATE(15,6,(ROW(Liste_Grünland_DropDown[Grünland])-1)/(--(SEARCH(EP$2,Liste_Grünland_DropDown[Grünland])&gt;0)),ROW()-2),1),"")</f>
        <v>Dauerwiese 6 Schnitte, kleereich (&gt;40% Legum.)</v>
      </c>
      <c r="EP18"/>
      <c r="EQ18" t="str">
        <f>IFERROR(INDEX(Liste_Grünland_DropDown[Grünland],_xlfn.AGGREGATE(15,6,(ROW(Liste_Grünland_DropDown[Grünland])-1)/(--(SEARCH(ER$2,Liste_Grünland_DropDown[Grünland])&gt;0)),ROW()-2),1),"")</f>
        <v>Dauerwiese 6 Schnitte, kleereich (&gt;40% Legum.)</v>
      </c>
      <c r="ER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row>
    <row r="19" spans="1:291" ht="27" customHeight="1" thickTop="1" thickBot="1">
      <c r="A19" s="287"/>
      <c r="B19" s="421" t="s">
        <v>1276</v>
      </c>
      <c r="C19" s="2475"/>
      <c r="D19" s="2476"/>
      <c r="E19" s="912"/>
      <c r="F19" s="913"/>
      <c r="G19" s="1916" t="str">
        <f t="shared" si="9"/>
        <v/>
      </c>
      <c r="H19" s="2296"/>
      <c r="I19" s="914">
        <f t="shared" si="10"/>
        <v>0</v>
      </c>
      <c r="J19" s="2297">
        <f t="shared" si="11"/>
        <v>0</v>
      </c>
      <c r="K19" s="2299"/>
      <c r="L19" s="915">
        <f t="shared" si="1"/>
        <v>0</v>
      </c>
      <c r="M19" s="2298">
        <f t="shared" si="2"/>
        <v>0</v>
      </c>
      <c r="N19" s="2614" t="s">
        <v>2852</v>
      </c>
      <c r="O19" s="2615"/>
      <c r="P19" s="2615"/>
      <c r="Q19" s="2615"/>
      <c r="R19" s="2615"/>
      <c r="S19" s="2612">
        <f>SUM(S5:S18)</f>
        <v>0</v>
      </c>
      <c r="T19" s="770"/>
      <c r="U19" s="2568" t="s">
        <v>522</v>
      </c>
      <c r="V19" s="2568"/>
      <c r="W19" s="2568"/>
      <c r="X19" s="2568"/>
      <c r="Y19" s="768"/>
      <c r="Z19" s="768"/>
      <c r="AA19" s="768"/>
      <c r="AB19" s="768"/>
      <c r="AC19" s="768"/>
      <c r="AD19" s="768"/>
      <c r="AE19" s="768"/>
      <c r="AF19" s="768"/>
      <c r="AG19" s="768"/>
      <c r="AH19" s="768"/>
      <c r="AI19" s="768"/>
      <c r="AJ19" s="768"/>
      <c r="AK19" s="768"/>
      <c r="AL19" s="768"/>
      <c r="AM19" s="768"/>
      <c r="AN19" s="768"/>
      <c r="AO19" s="768"/>
      <c r="AP19" s="1568" t="str">
        <f t="shared" si="3"/>
        <v/>
      </c>
      <c r="AQ19" s="472">
        <f t="shared" si="14"/>
        <v>0</v>
      </c>
      <c r="AR19" s="472">
        <f t="shared" si="15"/>
        <v>0</v>
      </c>
      <c r="AS19" s="472">
        <f t="shared" si="16"/>
        <v>0</v>
      </c>
      <c r="AT19" s="472">
        <f t="shared" si="17"/>
        <v>0</v>
      </c>
      <c r="AU19" s="472">
        <f t="shared" si="18"/>
        <v>0</v>
      </c>
      <c r="AV19" s="472">
        <f t="shared" si="19"/>
        <v>0</v>
      </c>
      <c r="AW19" s="472">
        <f t="shared" si="20"/>
        <v>0</v>
      </c>
      <c r="AX19" s="1722" t="s">
        <v>1719</v>
      </c>
      <c r="AY19" s="681">
        <v>90</v>
      </c>
      <c r="AZ19" s="681">
        <v>80</v>
      </c>
      <c r="BA19" s="681" t="s">
        <v>2560</v>
      </c>
      <c r="BB19" s="681">
        <v>120</v>
      </c>
      <c r="BC19" s="681">
        <v>105</v>
      </c>
      <c r="BD19" s="681" t="s">
        <v>2563</v>
      </c>
      <c r="BE19" s="681">
        <v>145</v>
      </c>
      <c r="BF19" s="681">
        <v>125</v>
      </c>
      <c r="BG19" s="681" t="s">
        <v>2569</v>
      </c>
      <c r="BH19" s="681">
        <v>155</v>
      </c>
      <c r="BI19" s="681">
        <v>135</v>
      </c>
      <c r="BJ19" s="681" t="s">
        <v>2566</v>
      </c>
      <c r="BK19" s="681">
        <v>165</v>
      </c>
      <c r="BL19" s="681">
        <v>140</v>
      </c>
      <c r="BM19" s="681" t="s">
        <v>2567</v>
      </c>
      <c r="BN19" s="471">
        <v>18</v>
      </c>
      <c r="BO19" s="821" t="s">
        <v>1764</v>
      </c>
      <c r="BP19"/>
      <c r="BQ19" s="1722" t="s">
        <v>1719</v>
      </c>
      <c r="BR19" s="470">
        <v>50</v>
      </c>
      <c r="BS19" s="470">
        <v>55</v>
      </c>
      <c r="BT19" s="470">
        <v>65</v>
      </c>
      <c r="BU19"/>
      <c r="BV19" s="1722" t="s">
        <v>1719</v>
      </c>
      <c r="BW19" s="470">
        <v>70</v>
      </c>
      <c r="BX19" s="470">
        <v>80</v>
      </c>
      <c r="BY19" s="470">
        <v>90</v>
      </c>
      <c r="BZ19" s="470">
        <v>120</v>
      </c>
      <c r="CA19" s="470">
        <v>120</v>
      </c>
      <c r="CB19"/>
      <c r="CC19" s="1659">
        <f>IFERROR(COUNTIF(Liste_Grünland_DropDown[Grünland],N_Bedarf!$C59),0)</f>
        <v>0</v>
      </c>
      <c r="CD19"/>
      <c r="CE19" s="1835" t="s">
        <v>16</v>
      </c>
      <c r="CF19" s="1834" t="str">
        <f>IFERROR(INDEX(N_Bedarf!$CE$2:$CE$141,_xlfn.AGGREGATE(15,6,(ROW(N_Bedarf!$CE$2:$CE$141)-1)/(--(SEARCH(CG$2,N_Bedarf!$CE$2:$CE$141)&gt;0)),ROW()-2),1),"")</f>
        <v>Sommerroggen</v>
      </c>
      <c r="CG19" s="1830"/>
      <c r="CH19" s="1834" t="str">
        <f>IFERROR(INDEX(N_Bedarf!$CE$2:$CE$141,_xlfn.AGGREGATE(15,6,(ROW(N_Bedarf!$CE$2:$CE$141)-1)/(--(SEARCH(CI$2,N_Bedarf!$CE$2:$CE$141)&gt;0)),ROW()-2),1),"")</f>
        <v>Sommerroggen</v>
      </c>
      <c r="CI19" s="1830"/>
      <c r="CJ19" s="1834" t="str">
        <f>IFERROR(INDEX(N_Bedarf!$CE$2:$CE$141,_xlfn.AGGREGATE(15,6,(ROW(N_Bedarf!$CE$2:$CE$141)-1)/(--(SEARCH(CK$2,N_Bedarf!$CE$2:$CE$141)&gt;0)),ROW()-2),1),"")</f>
        <v>Sommerroggen</v>
      </c>
      <c r="CK19" s="1830"/>
      <c r="CL19" s="1834" t="str">
        <f>IFERROR(INDEX(N_Bedarf!$CE$2:$CE$141,_xlfn.AGGREGATE(15,6,(ROW(N_Bedarf!$CE$2:$CE$141)-1)/(--(SEARCH(CM$2,N_Bedarf!$CE$2:$CE$141)&gt;0)),ROW()-2),1),"")</f>
        <v>Sommerroggen</v>
      </c>
      <c r="CM19" s="1830"/>
      <c r="CN19" s="1834" t="str">
        <f>IFERROR(INDEX(N_Bedarf!$CE$2:$CE$141,_xlfn.AGGREGATE(15,6,(ROW(N_Bedarf!$CE$2:$CE$141)-1)/(--(SEARCH(CO$2,N_Bedarf!$CE$2:$CE$141)&gt;0)),ROW()-2),1),"")</f>
        <v>Sommerroggen</v>
      </c>
      <c r="CO19" s="1830"/>
      <c r="CP19" s="1834" t="str">
        <f>IFERROR(INDEX(N_Bedarf!$CE$2:$CE$141,_xlfn.AGGREGATE(15,6,(ROW(N_Bedarf!$CE$2:$CE$141)-1)/(--(SEARCH(CQ$2,N_Bedarf!$CE$2:$CE$141)&gt;0)),ROW()-2),1),"")</f>
        <v>Sommerroggen</v>
      </c>
      <c r="CQ19" s="1830"/>
      <c r="CR19" s="1834" t="str">
        <f>IFERROR(INDEX(N_Bedarf!$CE$2:$CE$141,_xlfn.AGGREGATE(15,6,(ROW(N_Bedarf!$CE$2:$CE$141)-1)/(--(SEARCH(CS$2,N_Bedarf!$CE$2:$CE$141)&gt;0)),ROW()-2),1),"")</f>
        <v>Sommerroggen</v>
      </c>
      <c r="CS19" s="1830"/>
      <c r="CT19" s="1834" t="str">
        <f>IFERROR(INDEX(N_Bedarf!$CE$2:$CE$141,_xlfn.AGGREGATE(15,6,(ROW(N_Bedarf!$CE$2:$CE$141)-1)/(--(SEARCH(CU$2,N_Bedarf!$CE$2:$CE$141)&gt;0)),ROW()-2),1),"")</f>
        <v>Sommerroggen</v>
      </c>
      <c r="CU19" s="1830"/>
      <c r="CV19" s="1834" t="str">
        <f>IFERROR(INDEX(N_Bedarf!$CE$2:$CE$141,_xlfn.AGGREGATE(15,6,(ROW(N_Bedarf!$CE$2:$CE$141)-1)/(--(SEARCH(CW$2,N_Bedarf!$CE$2:$CE$141)&gt;0)),ROW()-2),1),"")</f>
        <v>Sommerroggen</v>
      </c>
      <c r="CW19" s="1830"/>
      <c r="CX19" s="1834" t="str">
        <f>IFERROR(INDEX(N_Bedarf!$CE$2:$CE$141,_xlfn.AGGREGATE(15,6,(ROW(N_Bedarf!$CE$2:$CE$141)-1)/(--(SEARCH(CY$2,N_Bedarf!$CE$2:$CE$141)&gt;0)),ROW()-2),1),"")</f>
        <v>Sommerroggen</v>
      </c>
      <c r="CY19" s="1830"/>
      <c r="CZ19" s="1834" t="str">
        <f>IFERROR(INDEX(N_Bedarf!$CE$2:$CE$141,_xlfn.AGGREGATE(15,6,(ROW(N_Bedarf!$CE$2:$CE$141)-1)/(--(SEARCH(DA$2,N_Bedarf!$CE$2:$CE$141)&gt;0)),ROW()-2),1),"")</f>
        <v>Sommerroggen</v>
      </c>
      <c r="DA19" s="1830"/>
      <c r="DB19" s="1834" t="str">
        <f>IFERROR(INDEX(N_Bedarf!$CE$2:$CE$141,_xlfn.AGGREGATE(15,6,(ROW(N_Bedarf!$CE$2:$CE$141)-1)/(--(SEARCH(DC$2,N_Bedarf!$CE$2:$CE$141)&gt;0)),ROW()-2),1),"")</f>
        <v>Sommerroggen</v>
      </c>
      <c r="DC19" s="1830"/>
      <c r="DD19" s="1834" t="str">
        <f>IFERROR(INDEX(N_Bedarf!$CE$2:$CE$141,_xlfn.AGGREGATE(15,6,(ROW(N_Bedarf!$CE$2:$CE$141)-1)/(--(SEARCH(DE$2,N_Bedarf!$CE$2:$CE$141)&gt;0)),ROW()-2),1),"")</f>
        <v>Sommerroggen</v>
      </c>
      <c r="DE19" s="1830"/>
      <c r="DF19" s="2353" t="str">
        <f t="array" ref="DF19">IFERROR(INDEX(N_Bedarf!$CE$2:$CE$141,_xlfn.AGGREGATE(15,6,(ROW(N_Bedarf!$CE$2:$CE$141)-1)/(--(SEARCH(DG$2,N_Bedarf!$CE$2:$CE$141)&gt;0)),ROW()-2),1),"")</f>
        <v>Sommerroggen</v>
      </c>
      <c r="DG19" s="2353"/>
      <c r="DH19" s="2355" t="str">
        <f t="array" ref="DH19">IFERROR(INDEX(N_Bedarf!$CE$2:$CE$141,_xlfn.AGGREGATE(15,6,(ROW(N_Bedarf!$CE$2:$CE$141)-1)/(--(SEARCH(DI$2,N_Bedarf!$CE$2:$CE$141)&gt;0)),ROW()-2),1),"")</f>
        <v>Sommerroggen</v>
      </c>
      <c r="DI19" s="2355"/>
      <c r="DJ19" s="2356" t="str">
        <f t="array" ref="DJ19">IFERROR(INDEX(N_Bedarf!$CE$2:$CE$141,_xlfn.AGGREGATE(15,6,(ROW(N_Bedarf!$CE$2:$CE$141)-1)/(--(SEARCH(DK$2,N_Bedarf!$CE$2:$CE$141)&gt;0)),ROW()-2),1),"")</f>
        <v>Sommerroggen</v>
      </c>
      <c r="DK19" s="2356"/>
      <c r="DL19" s="2356" t="str">
        <f t="array" ref="DL19">IFERROR(INDEX(N_Bedarf!$CE$2:$CE$141,_xlfn.AGGREGATE(15,6,(ROW(N_Bedarf!$CE$2:$CE$141)-1)/(--(SEARCH(DM$2,N_Bedarf!$CE$2:$CE$141)&gt;0)),ROW()-2),1),"")</f>
        <v>Sommerroggen</v>
      </c>
      <c r="DM19" s="2356"/>
      <c r="DN19" s="2356" t="str">
        <f t="array" ref="DN19">IFERROR(INDEX(N_Bedarf!$CE$2:$CE$141,_xlfn.AGGREGATE(15,6,(ROW(N_Bedarf!$CE$2:$CE$141)-1)/(--(SEARCH(DO$2,N_Bedarf!$CE$2:$CE$141)&gt;0)),ROW()-2),1),"")</f>
        <v>Sommerroggen</v>
      </c>
      <c r="DO19" s="2356"/>
      <c r="DP19" s="2356" t="str">
        <f t="array" ref="DP19">IFERROR(INDEX(N_Bedarf!$CE$2:$CE$141,_xlfn.AGGREGATE(15,6,(ROW(N_Bedarf!$CE$2:$CE$141)-1)/(--(SEARCH(DQ$2,N_Bedarf!$CE$2:$CE$141)&gt;0)),ROW()-2),1),"")</f>
        <v>Sommerroggen</v>
      </c>
      <c r="DQ19" s="2356"/>
      <c r="DR19" s="2356" t="str">
        <f t="array" ref="DR19">IFERROR(INDEX(N_Bedarf!$CE$2:$CE$141,_xlfn.AGGREGATE(15,6,(ROW(N_Bedarf!$CE$2:$CE$141)-1)/(--(SEARCH(DS$2,N_Bedarf!$CE$2:$CE$141)&gt;0)),ROW()-2),1),"")</f>
        <v>Sommerroggen</v>
      </c>
      <c r="DS19" s="2356"/>
      <c r="DT19" s="2356" t="str">
        <f t="array" ref="DT19">IFERROR(INDEX(N_Bedarf!$CE$2:$CE$141,_xlfn.AGGREGATE(15,6,(ROW(N_Bedarf!$CE$2:$CE$141)-1)/(--(SEARCH(DU$2,N_Bedarf!$CE$2:$CE$141)&gt;0)),ROW()-2),1),"")</f>
        <v>Sommerroggen</v>
      </c>
      <c r="DU19" s="2356"/>
      <c r="DV19" s="2356" t="str">
        <f t="array" ref="DV19">IFERROR(INDEX(N_Bedarf!$CE$2:$CE$141,_xlfn.AGGREGATE(15,6,(ROW(N_Bedarf!$CE$2:$CE$141)-1)/(--(SEARCH(DW$2,N_Bedarf!$CE$2:$CE$141)&gt;0)),ROW()-2),1),"")</f>
        <v>Sommerroggen</v>
      </c>
      <c r="DW19" s="2356"/>
      <c r="DX19" s="2356" t="str">
        <f t="array" ref="DX19">IFERROR(INDEX(N_Bedarf!$CE$2:$CE$141,_xlfn.AGGREGATE(15,6,(ROW(N_Bedarf!$CE$2:$CE$141)-1)/(--(SEARCH(DY$2,N_Bedarf!$CE$2:$CE$141)&gt;0)),ROW()-2),1),"")</f>
        <v>Sommerroggen</v>
      </c>
      <c r="DY19" s="2356"/>
      <c r="DZ19" s="2356" t="str">
        <f t="array" ref="DZ19">IFERROR(INDEX(N_Bedarf!$CE$2:$CE$141,_xlfn.AGGREGATE(15,6,(ROW(N_Bedarf!$CE$2:$CE$141)-1)/(--(SEARCH(EA$2,N_Bedarf!$CE$2:$CE$141)&gt;0)),ROW()-2),1),"")</f>
        <v>Sommerroggen</v>
      </c>
      <c r="EA19" s="2356"/>
      <c r="EB19" s="2356" t="str">
        <f t="array" ref="EB19">IFERROR(INDEX(N_Bedarf!$CE$2:$CE$141,_xlfn.AGGREGATE(15,6,(ROW(N_Bedarf!$CE$2:$CE$141)-1)/(--(SEARCH(EC$2,N_Bedarf!$CE$2:$CE$141)&gt;0)),ROW()-2),1),"")</f>
        <v>Sommerroggen</v>
      </c>
      <c r="EC19" s="2356"/>
      <c r="ED19"/>
      <c r="EE19"/>
      <c r="EF19" s="394" t="s">
        <v>1298</v>
      </c>
      <c r="EG19" t="str">
        <f>IFERROR(INDEX(Liste_Grünland_DropDown[Grünland],_xlfn.AGGREGATE(15,6,(ROW(Liste_Grünland_DropDown[Grünland])-1)/(--(SEARCH(EH$2,Liste_Grünland_DropDown[Grünland])&gt;0)),ROW()-2),1),"")</f>
        <v>Hutweide</v>
      </c>
      <c r="EH19" t="str">
        <f>IF(N_Bedarf!$C76="","",IF(COUNTIF(Liste_Grünland_DropDown[Grünland],N_Bedarf!$C76),"",N_Bedarf!$C76))</f>
        <v>maximale Mengen in kg N / ha
 in jahreswirksamer Form</v>
      </c>
      <c r="EI19" t="str">
        <f>IFERROR(INDEX(Liste_Grünland_DropDown[Grünland],_xlfn.AGGREGATE(15,6,(ROW(Liste_Grünland_DropDown[Grünland])-1)/(--(SEARCH(EJ$2,Liste_Grünland_DropDown[Grünland])&gt;0)),ROW()-2),1),"")</f>
        <v>Hutweide</v>
      </c>
      <c r="EJ19"/>
      <c r="EK19" t="str">
        <f>IFERROR(INDEX(Liste_Grünland_DropDown[Grünland],_xlfn.AGGREGATE(15,6,(ROW(Liste_Grünland_DropDown[Grünland])-1)/(--(SEARCH(EL$2,Liste_Grünland_DropDown[Grünland])&gt;0)),ROW()-2),1),"")</f>
        <v>Hutweide</v>
      </c>
      <c r="EL19"/>
      <c r="EM19" t="str">
        <f>IFERROR(INDEX(Liste_Grünland_DropDown[Grünland],_xlfn.AGGREGATE(15,6,(ROW(Liste_Grünland_DropDown[Grünland])-1)/(--(SEARCH(EN$2,Liste_Grünland_DropDown[Grünland])&gt;0)),ROW()-2),1),"")</f>
        <v>Hutweide</v>
      </c>
      <c r="EN19"/>
      <c r="EO19" t="str">
        <f t="array" ref="EO19">IFERROR(INDEX(Liste_Grünland_DropDown[Grünland],_xlfn.AGGREGATE(15,6,(ROW(Liste_Grünland_DropDown[Grünland])-1)/(--(SEARCH(EP$2,Liste_Grünland_DropDown[Grünland])&gt;0)),ROW()-2),1),"")</f>
        <v>Hutweide</v>
      </c>
      <c r="EP19"/>
      <c r="EQ19" t="str">
        <f>IFERROR(INDEX(Liste_Grünland_DropDown[Grünland],_xlfn.AGGREGATE(15,6,(ROW(Liste_Grünland_DropDown[Grünland])-1)/(--(SEARCH(ER$2,Liste_Grünland_DropDown[Grünland])&gt;0)),ROW()-2),1),"")</f>
        <v>Hutweide</v>
      </c>
      <c r="ER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row>
    <row r="20" spans="1:291" ht="27" customHeight="1" thickTop="1" thickBot="1">
      <c r="A20" s="287" t="s">
        <v>1277</v>
      </c>
      <c r="B20" s="421" t="str">
        <f t="shared" ref="B20:B25" si="21">CONCATENATE(A20," - ",C57)</f>
        <v xml:space="preserve">o - </v>
      </c>
      <c r="C20" s="2475"/>
      <c r="D20" s="2476"/>
      <c r="E20" s="912"/>
      <c r="F20" s="913"/>
      <c r="G20" s="1916" t="str">
        <f t="shared" si="9"/>
        <v/>
      </c>
      <c r="H20" s="2296"/>
      <c r="I20" s="914">
        <f t="shared" si="10"/>
        <v>0</v>
      </c>
      <c r="J20" s="2297">
        <f t="shared" si="11"/>
        <v>0</v>
      </c>
      <c r="K20" s="2299"/>
      <c r="L20" s="915">
        <f t="shared" si="1"/>
        <v>0</v>
      </c>
      <c r="M20" s="2298">
        <f t="shared" si="2"/>
        <v>0</v>
      </c>
      <c r="N20" s="2616"/>
      <c r="O20" s="2617"/>
      <c r="P20" s="2617"/>
      <c r="Q20" s="2617"/>
      <c r="R20" s="2617"/>
      <c r="S20" s="2613"/>
      <c r="T20" s="770"/>
      <c r="U20" s="2568"/>
      <c r="V20" s="2568"/>
      <c r="W20" s="2568"/>
      <c r="X20" s="2568"/>
      <c r="Y20" s="768"/>
      <c r="Z20" s="768"/>
      <c r="AA20" s="768"/>
      <c r="AB20" s="768"/>
      <c r="AC20" s="768"/>
      <c r="AD20" s="768"/>
      <c r="AE20" s="768"/>
      <c r="AF20" s="768"/>
      <c r="AG20" s="768"/>
      <c r="AH20" s="768"/>
      <c r="AI20" s="768"/>
      <c r="AJ20" s="768"/>
      <c r="AK20" s="768"/>
      <c r="AL20" s="768"/>
      <c r="AM20" s="768"/>
      <c r="AN20" s="768"/>
      <c r="AO20" s="768"/>
      <c r="AP20" s="1568" t="str">
        <f t="shared" si="3"/>
        <v/>
      </c>
      <c r="AQ20" s="472">
        <f t="shared" si="14"/>
        <v>0</v>
      </c>
      <c r="AR20" s="472">
        <f t="shared" si="15"/>
        <v>0</v>
      </c>
      <c r="AS20" s="472">
        <f t="shared" si="16"/>
        <v>0</v>
      </c>
      <c r="AT20" s="472">
        <f t="shared" si="17"/>
        <v>0</v>
      </c>
      <c r="AU20" s="472">
        <f t="shared" si="18"/>
        <v>0</v>
      </c>
      <c r="AV20" s="472">
        <f t="shared" si="19"/>
        <v>0</v>
      </c>
      <c r="AW20" s="472">
        <f t="shared" si="20"/>
        <v>0</v>
      </c>
      <c r="AX20" s="1722" t="s">
        <v>1398</v>
      </c>
      <c r="AY20" s="681">
        <v>80</v>
      </c>
      <c r="AZ20" s="681">
        <v>70</v>
      </c>
      <c r="BA20" s="681" t="s">
        <v>2787</v>
      </c>
      <c r="BB20" s="681">
        <v>110</v>
      </c>
      <c r="BC20" s="681">
        <v>95</v>
      </c>
      <c r="BD20" s="1915" t="s">
        <v>2800</v>
      </c>
      <c r="BE20" s="681">
        <v>130</v>
      </c>
      <c r="BF20" s="681">
        <v>110</v>
      </c>
      <c r="BG20" s="1915" t="s">
        <v>2781</v>
      </c>
      <c r="BH20" s="681">
        <v>140</v>
      </c>
      <c r="BI20" s="681">
        <v>120</v>
      </c>
      <c r="BJ20" s="1915" t="s">
        <v>2782</v>
      </c>
      <c r="BK20" s="681">
        <v>150</v>
      </c>
      <c r="BL20" s="681">
        <v>130</v>
      </c>
      <c r="BM20" s="1915" t="s">
        <v>2812</v>
      </c>
      <c r="BN20" s="471">
        <v>16</v>
      </c>
      <c r="BO20" s="821" t="s">
        <v>1764</v>
      </c>
      <c r="BP20"/>
      <c r="BQ20" s="1722" t="s">
        <v>1398</v>
      </c>
      <c r="BR20" s="470">
        <v>50</v>
      </c>
      <c r="BS20" s="470">
        <v>55</v>
      </c>
      <c r="BT20" s="470">
        <v>65</v>
      </c>
      <c r="BU20"/>
      <c r="BV20" s="1722" t="s">
        <v>1398</v>
      </c>
      <c r="BW20" s="470">
        <v>70</v>
      </c>
      <c r="BX20" s="470">
        <v>80</v>
      </c>
      <c r="BY20" s="470">
        <v>90</v>
      </c>
      <c r="BZ20" s="470">
        <v>45</v>
      </c>
      <c r="CA20" s="470">
        <v>45</v>
      </c>
      <c r="CB20"/>
      <c r="CC20" s="1659">
        <f>IFERROR(COUNTIF(Liste_Grünland_DropDown[Grünland],N_Bedarf!$C60),0)</f>
        <v>0</v>
      </c>
      <c r="CD20"/>
      <c r="CE20" s="1833" t="s">
        <v>1728</v>
      </c>
      <c r="CF20" s="1834" t="str">
        <f>IFERROR(INDEX(N_Bedarf!$CE$2:$CE$141,_xlfn.AGGREGATE(15,6,(ROW(N_Bedarf!$CE$2:$CE$141)-1)/(--(SEARCH(CG$2,N_Bedarf!$CE$2:$CE$141)&gt;0)),ROW()-2),1),"")</f>
        <v>Grünschnittroggen</v>
      </c>
      <c r="CG20" s="1836"/>
      <c r="CH20" s="1834" t="str">
        <f>IFERROR(INDEX(N_Bedarf!$CE$2:$CE$141,_xlfn.AGGREGATE(15,6,(ROW(N_Bedarf!$CE$2:$CE$141)-1)/(--(SEARCH(CI$2,N_Bedarf!$CE$2:$CE$141)&gt;0)),ROW()-2),1),"")</f>
        <v>Grünschnittroggen</v>
      </c>
      <c r="CI20" s="1836"/>
      <c r="CJ20" s="1834" t="str">
        <f>IFERROR(INDEX(N_Bedarf!$CE$2:$CE$141,_xlfn.AGGREGATE(15,6,(ROW(N_Bedarf!$CE$2:$CE$141)-1)/(--(SEARCH(CK$2,N_Bedarf!$CE$2:$CE$141)&gt;0)),ROW()-2),1),"")</f>
        <v>Grünschnittroggen</v>
      </c>
      <c r="CK20" s="1836"/>
      <c r="CL20" s="1834" t="str">
        <f>IFERROR(INDEX(N_Bedarf!$CE$2:$CE$141,_xlfn.AGGREGATE(15,6,(ROW(N_Bedarf!$CE$2:$CE$141)-1)/(--(SEARCH(CM$2,N_Bedarf!$CE$2:$CE$141)&gt;0)),ROW()-2),1),"")</f>
        <v>Grünschnittroggen</v>
      </c>
      <c r="CM20" s="1836"/>
      <c r="CN20" s="1834" t="str">
        <f>IFERROR(INDEX(N_Bedarf!$CE$2:$CE$141,_xlfn.AGGREGATE(15,6,(ROW(N_Bedarf!$CE$2:$CE$141)-1)/(--(SEARCH(CO$2,N_Bedarf!$CE$2:$CE$141)&gt;0)),ROW()-2),1),"")</f>
        <v>Grünschnittroggen</v>
      </c>
      <c r="CO20" s="1836"/>
      <c r="CP20" s="1834" t="str">
        <f>IFERROR(INDEX(N_Bedarf!$CE$2:$CE$141,_xlfn.AGGREGATE(15,6,(ROW(N_Bedarf!$CE$2:$CE$141)-1)/(--(SEARCH(CQ$2,N_Bedarf!$CE$2:$CE$141)&gt;0)),ROW()-2),1),"")</f>
        <v>Grünschnittroggen</v>
      </c>
      <c r="CQ20" s="1836"/>
      <c r="CR20" s="1834" t="str">
        <f>IFERROR(INDEX(N_Bedarf!$CE$2:$CE$141,_xlfn.AGGREGATE(15,6,(ROW(N_Bedarf!$CE$2:$CE$141)-1)/(--(SEARCH(CS$2,N_Bedarf!$CE$2:$CE$141)&gt;0)),ROW()-2),1),"")</f>
        <v>Grünschnittroggen</v>
      </c>
      <c r="CS20" s="1836"/>
      <c r="CT20" s="1834" t="str">
        <f>IFERROR(INDEX(N_Bedarf!$CE$2:$CE$141,_xlfn.AGGREGATE(15,6,(ROW(N_Bedarf!$CE$2:$CE$141)-1)/(--(SEARCH(CU$2,N_Bedarf!$CE$2:$CE$141)&gt;0)),ROW()-2),1),"")</f>
        <v>Grünschnittroggen</v>
      </c>
      <c r="CU20" s="1836"/>
      <c r="CV20" s="1834" t="str">
        <f>IFERROR(INDEX(N_Bedarf!$CE$2:$CE$141,_xlfn.AGGREGATE(15,6,(ROW(N_Bedarf!$CE$2:$CE$141)-1)/(--(SEARCH(CW$2,N_Bedarf!$CE$2:$CE$141)&gt;0)),ROW()-2),1),"")</f>
        <v>Grünschnittroggen</v>
      </c>
      <c r="CW20" s="1836"/>
      <c r="CX20" s="1834" t="str">
        <f>IFERROR(INDEX(N_Bedarf!$CE$2:$CE$141,_xlfn.AGGREGATE(15,6,(ROW(N_Bedarf!$CE$2:$CE$141)-1)/(--(SEARCH(CY$2,N_Bedarf!$CE$2:$CE$141)&gt;0)),ROW()-2),1),"")</f>
        <v>Grünschnittroggen</v>
      </c>
      <c r="CY20" s="1836"/>
      <c r="CZ20" s="1834" t="str">
        <f>IFERROR(INDEX(N_Bedarf!$CE$2:$CE$141,_xlfn.AGGREGATE(15,6,(ROW(N_Bedarf!$CE$2:$CE$141)-1)/(--(SEARCH(DA$2,N_Bedarf!$CE$2:$CE$141)&gt;0)),ROW()-2),1),"")</f>
        <v>Grünschnittroggen</v>
      </c>
      <c r="DA20" s="1836"/>
      <c r="DB20" s="1834" t="str">
        <f>IFERROR(INDEX(N_Bedarf!$CE$2:$CE$141,_xlfn.AGGREGATE(15,6,(ROW(N_Bedarf!$CE$2:$CE$141)-1)/(--(SEARCH(DC$2,N_Bedarf!$CE$2:$CE$141)&gt;0)),ROW()-2),1),"")</f>
        <v>Grünschnittroggen</v>
      </c>
      <c r="DC20" s="1836"/>
      <c r="DD20" s="1834" t="str">
        <f>IFERROR(INDEX(N_Bedarf!$CE$2:$CE$141,_xlfn.AGGREGATE(15,6,(ROW(N_Bedarf!$CE$2:$CE$141)-1)/(--(SEARCH(DE$2,N_Bedarf!$CE$2:$CE$141)&gt;0)),ROW()-2),1),"")</f>
        <v>Grünschnittroggen</v>
      </c>
      <c r="DE20" s="1836"/>
      <c r="DF20" s="2353" t="str">
        <f t="array" ref="DF20">IFERROR(INDEX(N_Bedarf!$CE$2:$CE$141,_xlfn.AGGREGATE(15,6,(ROW(N_Bedarf!$CE$2:$CE$141)-1)/(--(SEARCH(DG$2,N_Bedarf!$CE$2:$CE$141)&gt;0)),ROW()-2),1),"")</f>
        <v>Grünschnittroggen</v>
      </c>
      <c r="DG20" s="2353"/>
      <c r="DH20" s="2355" t="str">
        <f t="array" ref="DH20">IFERROR(INDEX(N_Bedarf!$CE$2:$CE$141,_xlfn.AGGREGATE(15,6,(ROW(N_Bedarf!$CE$2:$CE$141)-1)/(--(SEARCH(DI$2,N_Bedarf!$CE$2:$CE$141)&gt;0)),ROW()-2),1),"")</f>
        <v>Grünschnittroggen</v>
      </c>
      <c r="DI20" s="2355"/>
      <c r="DJ20" s="2356" t="str">
        <f t="array" ref="DJ20">IFERROR(INDEX(N_Bedarf!$CE$2:$CE$141,_xlfn.AGGREGATE(15,6,(ROW(N_Bedarf!$CE$2:$CE$141)-1)/(--(SEARCH(DK$2,N_Bedarf!$CE$2:$CE$141)&gt;0)),ROW()-2),1),"")</f>
        <v>Grünschnittroggen</v>
      </c>
      <c r="DK20" s="2356"/>
      <c r="DL20" s="2356" t="str">
        <f t="array" ref="DL20">IFERROR(INDEX(N_Bedarf!$CE$2:$CE$141,_xlfn.AGGREGATE(15,6,(ROW(N_Bedarf!$CE$2:$CE$141)-1)/(--(SEARCH(DM$2,N_Bedarf!$CE$2:$CE$141)&gt;0)),ROW()-2),1),"")</f>
        <v>Grünschnittroggen</v>
      </c>
      <c r="DM20" s="2356"/>
      <c r="DN20" s="2356" t="str">
        <f t="array" ref="DN20">IFERROR(INDEX(N_Bedarf!$CE$2:$CE$141,_xlfn.AGGREGATE(15,6,(ROW(N_Bedarf!$CE$2:$CE$141)-1)/(--(SEARCH(DO$2,N_Bedarf!$CE$2:$CE$141)&gt;0)),ROW()-2),1),"")</f>
        <v>Grünschnittroggen</v>
      </c>
      <c r="DO20" s="2356"/>
      <c r="DP20" s="2356" t="str">
        <f t="array" ref="DP20">IFERROR(INDEX(N_Bedarf!$CE$2:$CE$141,_xlfn.AGGREGATE(15,6,(ROW(N_Bedarf!$CE$2:$CE$141)-1)/(--(SEARCH(DQ$2,N_Bedarf!$CE$2:$CE$141)&gt;0)),ROW()-2),1),"")</f>
        <v>Grünschnittroggen</v>
      </c>
      <c r="DQ20" s="2356"/>
      <c r="DR20" s="2356" t="str">
        <f t="array" ref="DR20">IFERROR(INDEX(N_Bedarf!$CE$2:$CE$141,_xlfn.AGGREGATE(15,6,(ROW(N_Bedarf!$CE$2:$CE$141)-1)/(--(SEARCH(DS$2,N_Bedarf!$CE$2:$CE$141)&gt;0)),ROW()-2),1),"")</f>
        <v>Grünschnittroggen</v>
      </c>
      <c r="DS20" s="2356"/>
      <c r="DT20" s="2356" t="str">
        <f t="array" ref="DT20">IFERROR(INDEX(N_Bedarf!$CE$2:$CE$141,_xlfn.AGGREGATE(15,6,(ROW(N_Bedarf!$CE$2:$CE$141)-1)/(--(SEARCH(DU$2,N_Bedarf!$CE$2:$CE$141)&gt;0)),ROW()-2),1),"")</f>
        <v>Grünschnittroggen</v>
      </c>
      <c r="DU20" s="2356"/>
      <c r="DV20" s="2356" t="str">
        <f t="array" ref="DV20">IFERROR(INDEX(N_Bedarf!$CE$2:$CE$141,_xlfn.AGGREGATE(15,6,(ROW(N_Bedarf!$CE$2:$CE$141)-1)/(--(SEARCH(DW$2,N_Bedarf!$CE$2:$CE$141)&gt;0)),ROW()-2),1),"")</f>
        <v>Grünschnittroggen</v>
      </c>
      <c r="DW20" s="2356"/>
      <c r="DX20" s="2356" t="str">
        <f t="array" ref="DX20">IFERROR(INDEX(N_Bedarf!$CE$2:$CE$141,_xlfn.AGGREGATE(15,6,(ROW(N_Bedarf!$CE$2:$CE$141)-1)/(--(SEARCH(DY$2,N_Bedarf!$CE$2:$CE$141)&gt;0)),ROW()-2),1),"")</f>
        <v>Grünschnittroggen</v>
      </c>
      <c r="DY20" s="2356"/>
      <c r="DZ20" s="2356" t="str">
        <f t="array" ref="DZ20">IFERROR(INDEX(N_Bedarf!$CE$2:$CE$141,_xlfn.AGGREGATE(15,6,(ROW(N_Bedarf!$CE$2:$CE$141)-1)/(--(SEARCH(EA$2,N_Bedarf!$CE$2:$CE$141)&gt;0)),ROW()-2),1),"")</f>
        <v>Grünschnittroggen</v>
      </c>
      <c r="EA20" s="2356"/>
      <c r="EB20" s="2356" t="str">
        <f t="array" ref="EB20">IFERROR(INDEX(N_Bedarf!$CE$2:$CE$141,_xlfn.AGGREGATE(15,6,(ROW(N_Bedarf!$CE$2:$CE$141)-1)/(--(SEARCH(EC$2,N_Bedarf!$CE$2:$CE$141)&gt;0)),ROW()-2),1),"")</f>
        <v>Grünschnittroggen</v>
      </c>
      <c r="EC20" s="2356"/>
      <c r="ED20"/>
      <c r="EE20"/>
      <c r="EF20" s="394" t="s">
        <v>1299</v>
      </c>
      <c r="EG20" t="str">
        <f>IFERROR(INDEX(Liste_Grünland_DropDown[Grünland],_xlfn.AGGREGATE(15,6,(ROW(Liste_Grünland_DropDown[Grünland])-1)/(--(SEARCH(EH$2,Liste_Grünland_DropDown[Grünland])&gt;0)),ROW()-2),1),"")</f>
        <v>Streuwiese</v>
      </c>
      <c r="EH20" t="str">
        <f>IF(N_Bedarf!$C77="","",IF(COUNTIF(Liste_Grünland_DropDown[Grünland],N_Bedarf!$C77),"",N_Bedarf!$C77))</f>
        <v>Ackerkulturen:</v>
      </c>
      <c r="EI20" t="str">
        <f>IFERROR(INDEX(Liste_Grünland_DropDown[Grünland],_xlfn.AGGREGATE(15,6,(ROW(Liste_Grünland_DropDown[Grünland])-1)/(--(SEARCH(EJ$2,Liste_Grünland_DropDown[Grünland])&gt;0)),ROW()-2),1),"")</f>
        <v>Streuwiese</v>
      </c>
      <c r="EJ20"/>
      <c r="EK20" t="str">
        <f>IFERROR(INDEX(Liste_Grünland_DropDown[Grünland],_xlfn.AGGREGATE(15,6,(ROW(Liste_Grünland_DropDown[Grünland])-1)/(--(SEARCH(EL$2,Liste_Grünland_DropDown[Grünland])&gt;0)),ROW()-2),1),"")</f>
        <v>Streuwiese</v>
      </c>
      <c r="EL20"/>
      <c r="EM20" t="str">
        <f>IFERROR(INDEX(Liste_Grünland_DropDown[Grünland],_xlfn.AGGREGATE(15,6,(ROW(Liste_Grünland_DropDown[Grünland])-1)/(--(SEARCH(EN$2,Liste_Grünland_DropDown[Grünland])&gt;0)),ROW()-2),1),"")</f>
        <v>Streuwiese</v>
      </c>
      <c r="EN20"/>
      <c r="EO20" t="str">
        <f t="array" ref="EO20">IFERROR(INDEX(Liste_Grünland_DropDown[Grünland],_xlfn.AGGREGATE(15,6,(ROW(Liste_Grünland_DropDown[Grünland])-1)/(--(SEARCH(EP$2,Liste_Grünland_DropDown[Grünland])&gt;0)),ROW()-2),1),"")</f>
        <v>Streuwiese</v>
      </c>
      <c r="EP20"/>
      <c r="EQ20" t="str">
        <f>IFERROR(INDEX(Liste_Grünland_DropDown[Grünland],_xlfn.AGGREGATE(15,6,(ROW(Liste_Grünland_DropDown[Grünland])-1)/(--(SEARCH(ER$2,Liste_Grünland_DropDown[Grünland])&gt;0)),ROW()-2),1),"")</f>
        <v>Streuwiese</v>
      </c>
      <c r="ER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row>
    <row r="21" spans="1:291" ht="27" customHeight="1" thickTop="1" thickBot="1">
      <c r="A21" s="287" t="s">
        <v>1278</v>
      </c>
      <c r="B21" s="421" t="str">
        <f t="shared" si="21"/>
        <v xml:space="preserve">p - </v>
      </c>
      <c r="C21" s="2475"/>
      <c r="D21" s="2476"/>
      <c r="E21" s="912"/>
      <c r="F21" s="913"/>
      <c r="G21" s="1916" t="str">
        <f t="shared" si="9"/>
        <v/>
      </c>
      <c r="H21" s="2296"/>
      <c r="I21" s="914">
        <f t="shared" si="10"/>
        <v>0</v>
      </c>
      <c r="J21" s="2297">
        <f t="shared" si="11"/>
        <v>0</v>
      </c>
      <c r="K21" s="2299"/>
      <c r="L21" s="915">
        <f t="shared" si="1"/>
        <v>0</v>
      </c>
      <c r="M21" s="2298">
        <f t="shared" si="2"/>
        <v>0</v>
      </c>
      <c r="N21" s="2548" t="str">
        <f>IFERROR(IF(AND(AW56&gt;0,ISBLANK($Q$5),ISBLANK($Q$6),ISBLANK($Q$7),ISBLANK($Q$8),ISBLANK($Q$10),ISBLANK($Q$12),ISBLANK($Q$13),ISBLANK($Q$14),ISBLANK($Q$15)),"Achtung Vorfruchtwirkung beachten! Wurden im Vorjahr Ackerbohnen, Erbsen, Ackerfutterflächen und Grünbrachen oder Grünland umgebrochen ist eine Vorfruchtwirkung in den Zellen Q5 bis Q15 einzugeben! - Diese muss in Form einer Hektarzahl eingetragen werden",""),"")</f>
        <v/>
      </c>
      <c r="O21" s="2548"/>
      <c r="P21" s="2548"/>
      <c r="Q21" s="2548"/>
      <c r="R21" s="2548"/>
      <c r="S21" s="2548"/>
      <c r="T21" s="770"/>
      <c r="U21" s="2551" t="s">
        <v>367</v>
      </c>
      <c r="V21" s="2551"/>
      <c r="W21" s="2551"/>
      <c r="X21" s="2541">
        <f>Betrieb!D18</f>
        <v>0</v>
      </c>
      <c r="Y21" s="768"/>
      <c r="Z21" s="768"/>
      <c r="AA21" s="768"/>
      <c r="AB21" s="768"/>
      <c r="AC21" s="768"/>
      <c r="AD21" s="768"/>
      <c r="AE21" s="768"/>
      <c r="AF21" s="768"/>
      <c r="AG21" s="768"/>
      <c r="AH21" s="768"/>
      <c r="AI21" s="768"/>
      <c r="AJ21" s="768"/>
      <c r="AK21" s="768"/>
      <c r="AL21" s="768"/>
      <c r="AM21" s="768"/>
      <c r="AN21" s="768"/>
      <c r="AO21" s="768"/>
      <c r="AP21" s="1568" t="str">
        <f t="shared" si="3"/>
        <v/>
      </c>
      <c r="AQ21" s="472">
        <f t="shared" si="14"/>
        <v>0</v>
      </c>
      <c r="AR21" s="472">
        <f t="shared" si="15"/>
        <v>0</v>
      </c>
      <c r="AS21" s="472">
        <f t="shared" si="16"/>
        <v>0</v>
      </c>
      <c r="AT21" s="472">
        <f t="shared" si="17"/>
        <v>0</v>
      </c>
      <c r="AU21" s="472">
        <f t="shared" si="18"/>
        <v>0</v>
      </c>
      <c r="AV21" s="472">
        <f t="shared" si="19"/>
        <v>0</v>
      </c>
      <c r="AW21" s="472">
        <f t="shared" si="20"/>
        <v>0</v>
      </c>
      <c r="AX21" s="1722" t="s">
        <v>1717</v>
      </c>
      <c r="AY21" s="681">
        <v>80</v>
      </c>
      <c r="AZ21" s="681">
        <v>70</v>
      </c>
      <c r="BA21" s="681" t="s">
        <v>2626</v>
      </c>
      <c r="BB21" s="681">
        <v>110</v>
      </c>
      <c r="BC21" s="681">
        <v>95</v>
      </c>
      <c r="BD21" s="1915" t="s">
        <v>2627</v>
      </c>
      <c r="BE21" s="681">
        <v>130</v>
      </c>
      <c r="BF21" s="681">
        <v>110</v>
      </c>
      <c r="BG21" s="1915" t="s">
        <v>2628</v>
      </c>
      <c r="BH21" s="681">
        <v>140</v>
      </c>
      <c r="BI21" s="681">
        <v>120</v>
      </c>
      <c r="BJ21" s="1915" t="s">
        <v>2629</v>
      </c>
      <c r="BK21" s="681">
        <v>150</v>
      </c>
      <c r="BL21" s="681">
        <v>130</v>
      </c>
      <c r="BM21" s="1915" t="s">
        <v>2812</v>
      </c>
      <c r="BN21" s="471">
        <v>16</v>
      </c>
      <c r="BO21" s="821" t="s">
        <v>1764</v>
      </c>
      <c r="BP21"/>
      <c r="BQ21" s="1722" t="s">
        <v>1717</v>
      </c>
      <c r="BR21" s="470">
        <v>50</v>
      </c>
      <c r="BS21" s="470">
        <v>55</v>
      </c>
      <c r="BT21" s="470">
        <v>65</v>
      </c>
      <c r="BU21"/>
      <c r="BV21" s="1722" t="s">
        <v>1717</v>
      </c>
      <c r="BW21" s="470">
        <v>70</v>
      </c>
      <c r="BX21" s="470">
        <v>80</v>
      </c>
      <c r="BY21" s="470">
        <v>90</v>
      </c>
      <c r="BZ21" s="470">
        <v>40</v>
      </c>
      <c r="CA21" s="470">
        <v>40</v>
      </c>
      <c r="CB21"/>
      <c r="CC21" s="1659">
        <f>IFERROR(COUNTIF(Liste_Grünland_DropDown[Grünland],N_Bedarf!$C61),0)</f>
        <v>0</v>
      </c>
      <c r="CD21"/>
      <c r="CE21" s="1835" t="s">
        <v>1712</v>
      </c>
      <c r="CF21" s="1834" t="str">
        <f>IFERROR(INDEX(N_Bedarf!$CE$2:$CE$141,_xlfn.AGGREGATE(15,6,(ROW(N_Bedarf!$CE$2:$CE$141)-1)/(--(SEARCH(CG$2,N_Bedarf!$CE$2:$CE$141)&gt;0)),ROW()-2),1),"")</f>
        <v xml:space="preserve">Winterhafer </v>
      </c>
      <c r="CG21" s="1830"/>
      <c r="CH21" s="1834" t="str">
        <f>IFERROR(INDEX(N_Bedarf!$CE$2:$CE$141,_xlfn.AGGREGATE(15,6,(ROW(N_Bedarf!$CE$2:$CE$141)-1)/(--(SEARCH(CI$2,N_Bedarf!$CE$2:$CE$141)&gt;0)),ROW()-2),1),"")</f>
        <v xml:space="preserve">Winterhafer </v>
      </c>
      <c r="CI21" s="1830"/>
      <c r="CJ21" s="1834" t="str">
        <f>IFERROR(INDEX(N_Bedarf!$CE$2:$CE$141,_xlfn.AGGREGATE(15,6,(ROW(N_Bedarf!$CE$2:$CE$141)-1)/(--(SEARCH(CK$2,N_Bedarf!$CE$2:$CE$141)&gt;0)),ROW()-2),1),"")</f>
        <v xml:space="preserve">Winterhafer </v>
      </c>
      <c r="CK21" s="1830"/>
      <c r="CL21" s="1834" t="str">
        <f>IFERROR(INDEX(N_Bedarf!$CE$2:$CE$141,_xlfn.AGGREGATE(15,6,(ROW(N_Bedarf!$CE$2:$CE$141)-1)/(--(SEARCH(CM$2,N_Bedarf!$CE$2:$CE$141)&gt;0)),ROW()-2),1),"")</f>
        <v xml:space="preserve">Winterhafer </v>
      </c>
      <c r="CM21" s="1830"/>
      <c r="CN21" s="1834" t="str">
        <f>IFERROR(INDEX(N_Bedarf!$CE$2:$CE$141,_xlfn.AGGREGATE(15,6,(ROW(N_Bedarf!$CE$2:$CE$141)-1)/(--(SEARCH(CO$2,N_Bedarf!$CE$2:$CE$141)&gt;0)),ROW()-2),1),"")</f>
        <v xml:space="preserve">Winterhafer </v>
      </c>
      <c r="CO21" s="1830"/>
      <c r="CP21" s="1834" t="str">
        <f>IFERROR(INDEX(N_Bedarf!$CE$2:$CE$141,_xlfn.AGGREGATE(15,6,(ROW(N_Bedarf!$CE$2:$CE$141)-1)/(--(SEARCH(CQ$2,N_Bedarf!$CE$2:$CE$141)&gt;0)),ROW()-2),1),"")</f>
        <v xml:space="preserve">Winterhafer </v>
      </c>
      <c r="CQ21" s="1830"/>
      <c r="CR21" s="1834" t="str">
        <f>IFERROR(INDEX(N_Bedarf!$CE$2:$CE$141,_xlfn.AGGREGATE(15,6,(ROW(N_Bedarf!$CE$2:$CE$141)-1)/(--(SEARCH(CS$2,N_Bedarf!$CE$2:$CE$141)&gt;0)),ROW()-2),1),"")</f>
        <v xml:space="preserve">Winterhafer </v>
      </c>
      <c r="CS21" s="1830"/>
      <c r="CT21" s="1834" t="str">
        <f>IFERROR(INDEX(N_Bedarf!$CE$2:$CE$141,_xlfn.AGGREGATE(15,6,(ROW(N_Bedarf!$CE$2:$CE$141)-1)/(--(SEARCH(CU$2,N_Bedarf!$CE$2:$CE$141)&gt;0)),ROW()-2),1),"")</f>
        <v xml:space="preserve">Winterhafer </v>
      </c>
      <c r="CU21" s="1830"/>
      <c r="CV21" s="1834" t="str">
        <f>IFERROR(INDEX(N_Bedarf!$CE$2:$CE$141,_xlfn.AGGREGATE(15,6,(ROW(N_Bedarf!$CE$2:$CE$141)-1)/(--(SEARCH(CW$2,N_Bedarf!$CE$2:$CE$141)&gt;0)),ROW()-2),1),"")</f>
        <v xml:space="preserve">Winterhafer </v>
      </c>
      <c r="CW21" s="1830"/>
      <c r="CX21" s="1834" t="str">
        <f>IFERROR(INDEX(N_Bedarf!$CE$2:$CE$141,_xlfn.AGGREGATE(15,6,(ROW(N_Bedarf!$CE$2:$CE$141)-1)/(--(SEARCH(CY$2,N_Bedarf!$CE$2:$CE$141)&gt;0)),ROW()-2),1),"")</f>
        <v xml:space="preserve">Winterhafer </v>
      </c>
      <c r="CY21" s="1830"/>
      <c r="CZ21" s="1834" t="str">
        <f>IFERROR(INDEX(N_Bedarf!$CE$2:$CE$141,_xlfn.AGGREGATE(15,6,(ROW(N_Bedarf!$CE$2:$CE$141)-1)/(--(SEARCH(DA$2,N_Bedarf!$CE$2:$CE$141)&gt;0)),ROW()-2),1),"")</f>
        <v xml:space="preserve">Winterhafer </v>
      </c>
      <c r="DA21" s="1830"/>
      <c r="DB21" s="1834" t="str">
        <f>IFERROR(INDEX(N_Bedarf!$CE$2:$CE$141,_xlfn.AGGREGATE(15,6,(ROW(N_Bedarf!$CE$2:$CE$141)-1)/(--(SEARCH(DC$2,N_Bedarf!$CE$2:$CE$141)&gt;0)),ROW()-2),1),"")</f>
        <v xml:space="preserve">Winterhafer </v>
      </c>
      <c r="DC21" s="1830"/>
      <c r="DD21" s="1834" t="str">
        <f>IFERROR(INDEX(N_Bedarf!$CE$2:$CE$141,_xlfn.AGGREGATE(15,6,(ROW(N_Bedarf!$CE$2:$CE$141)-1)/(--(SEARCH(DE$2,N_Bedarf!$CE$2:$CE$141)&gt;0)),ROW()-2),1),"")</f>
        <v xml:space="preserve">Winterhafer </v>
      </c>
      <c r="DE21" s="1830"/>
      <c r="DF21" s="2353" t="str">
        <f t="array" ref="DF21">IFERROR(INDEX(N_Bedarf!$CE$2:$CE$141,_xlfn.AGGREGATE(15,6,(ROW(N_Bedarf!$CE$2:$CE$141)-1)/(--(SEARCH(DG$2,N_Bedarf!$CE$2:$CE$141)&gt;0)),ROW()-2),1),"")</f>
        <v xml:space="preserve">Winterhafer </v>
      </c>
      <c r="DG21" s="2353"/>
      <c r="DH21" s="2355" t="str">
        <f t="array" ref="DH21">IFERROR(INDEX(N_Bedarf!$CE$2:$CE$141,_xlfn.AGGREGATE(15,6,(ROW(N_Bedarf!$CE$2:$CE$141)-1)/(--(SEARCH(DI$2,N_Bedarf!$CE$2:$CE$141)&gt;0)),ROW()-2),1),"")</f>
        <v xml:space="preserve">Winterhafer </v>
      </c>
      <c r="DI21" s="2355"/>
      <c r="DJ21" s="2356" t="str">
        <f t="array" ref="DJ21">IFERROR(INDEX(N_Bedarf!$CE$2:$CE$141,_xlfn.AGGREGATE(15,6,(ROW(N_Bedarf!$CE$2:$CE$141)-1)/(--(SEARCH(DK$2,N_Bedarf!$CE$2:$CE$141)&gt;0)),ROW()-2),1),"")</f>
        <v xml:space="preserve">Winterhafer </v>
      </c>
      <c r="DK21" s="2356"/>
      <c r="DL21" s="2356" t="str">
        <f t="array" ref="DL21">IFERROR(INDEX(N_Bedarf!$CE$2:$CE$141,_xlfn.AGGREGATE(15,6,(ROW(N_Bedarf!$CE$2:$CE$141)-1)/(--(SEARCH(DM$2,N_Bedarf!$CE$2:$CE$141)&gt;0)),ROW()-2),1),"")</f>
        <v xml:space="preserve">Winterhafer </v>
      </c>
      <c r="DM21" s="2356"/>
      <c r="DN21" s="2356" t="str">
        <f t="array" ref="DN21">IFERROR(INDEX(N_Bedarf!$CE$2:$CE$141,_xlfn.AGGREGATE(15,6,(ROW(N_Bedarf!$CE$2:$CE$141)-1)/(--(SEARCH(DO$2,N_Bedarf!$CE$2:$CE$141)&gt;0)),ROW()-2),1),"")</f>
        <v xml:space="preserve">Winterhafer </v>
      </c>
      <c r="DO21" s="2356"/>
      <c r="DP21" s="2356" t="str">
        <f t="array" ref="DP21">IFERROR(INDEX(N_Bedarf!$CE$2:$CE$141,_xlfn.AGGREGATE(15,6,(ROW(N_Bedarf!$CE$2:$CE$141)-1)/(--(SEARCH(DQ$2,N_Bedarf!$CE$2:$CE$141)&gt;0)),ROW()-2),1),"")</f>
        <v xml:space="preserve">Winterhafer </v>
      </c>
      <c r="DQ21" s="2356"/>
      <c r="DR21" s="2356" t="str">
        <f t="array" ref="DR21">IFERROR(INDEX(N_Bedarf!$CE$2:$CE$141,_xlfn.AGGREGATE(15,6,(ROW(N_Bedarf!$CE$2:$CE$141)-1)/(--(SEARCH(DS$2,N_Bedarf!$CE$2:$CE$141)&gt;0)),ROW()-2),1),"")</f>
        <v xml:space="preserve">Winterhafer </v>
      </c>
      <c r="DS21" s="2356"/>
      <c r="DT21" s="2356" t="str">
        <f t="array" ref="DT21">IFERROR(INDEX(N_Bedarf!$CE$2:$CE$141,_xlfn.AGGREGATE(15,6,(ROW(N_Bedarf!$CE$2:$CE$141)-1)/(--(SEARCH(DU$2,N_Bedarf!$CE$2:$CE$141)&gt;0)),ROW()-2),1),"")</f>
        <v xml:space="preserve">Winterhafer </v>
      </c>
      <c r="DU21" s="2356"/>
      <c r="DV21" s="2356" t="str">
        <f t="array" ref="DV21">IFERROR(INDEX(N_Bedarf!$CE$2:$CE$141,_xlfn.AGGREGATE(15,6,(ROW(N_Bedarf!$CE$2:$CE$141)-1)/(--(SEARCH(DW$2,N_Bedarf!$CE$2:$CE$141)&gt;0)),ROW()-2),1),"")</f>
        <v xml:space="preserve">Winterhafer </v>
      </c>
      <c r="DW21" s="2356"/>
      <c r="DX21" s="2356" t="str">
        <f t="array" ref="DX21">IFERROR(INDEX(N_Bedarf!$CE$2:$CE$141,_xlfn.AGGREGATE(15,6,(ROW(N_Bedarf!$CE$2:$CE$141)-1)/(--(SEARCH(DY$2,N_Bedarf!$CE$2:$CE$141)&gt;0)),ROW()-2),1),"")</f>
        <v xml:space="preserve">Winterhafer </v>
      </c>
      <c r="DY21" s="2356"/>
      <c r="DZ21" s="2356" t="str">
        <f t="array" ref="DZ21">IFERROR(INDEX(N_Bedarf!$CE$2:$CE$141,_xlfn.AGGREGATE(15,6,(ROW(N_Bedarf!$CE$2:$CE$141)-1)/(--(SEARCH(EA$2,N_Bedarf!$CE$2:$CE$141)&gt;0)),ROW()-2),1),"")</f>
        <v xml:space="preserve">Winterhafer </v>
      </c>
      <c r="EA21" s="2356"/>
      <c r="EB21" s="2356" t="str">
        <f t="array" ref="EB21">IFERROR(INDEX(N_Bedarf!$CE$2:$CE$141,_xlfn.AGGREGATE(15,6,(ROW(N_Bedarf!$CE$2:$CE$141)-1)/(--(SEARCH(EC$2,N_Bedarf!$CE$2:$CE$141)&gt;0)),ROW()-2),1),"")</f>
        <v xml:space="preserve">Winterhafer </v>
      </c>
      <c r="EC21" s="2356"/>
      <c r="ED21"/>
      <c r="EE21"/>
      <c r="EF21"/>
      <c r="EG21" t="str">
        <f>IFERROR(INDEX(Liste_Grünland_DropDown[Grünland],_xlfn.AGGREGATE(15,6,(ROW(Liste_Grünland_DropDown[Grünland])-1)/(--(SEARCH(EH$2,Liste_Grünland_DropDown[Grünland])&gt;0)),ROW()-2),1),"")</f>
        <v>Grünlandbrache</v>
      </c>
      <c r="EH21" t="str">
        <f>IF(N_Bedarf!$C78="","",IF(COUNTIF(Liste_Grünland_DropDown[Grünland],N_Bedarf!$C78),"",N_Bedarf!$C78))</f>
        <v>Ackerbohne-Getreide Gemenge</v>
      </c>
      <c r="EI21" t="str">
        <f>IFERROR(INDEX(Liste_Grünland_DropDown[Grünland],_xlfn.AGGREGATE(15,6,(ROW(Liste_Grünland_DropDown[Grünland])-1)/(--(SEARCH(EJ$2,Liste_Grünland_DropDown[Grünland])&gt;0)),ROW()-2),1),"")</f>
        <v>Grünlandbrache</v>
      </c>
      <c r="EJ21"/>
      <c r="EK21" t="str">
        <f>IFERROR(INDEX(Liste_Grünland_DropDown[Grünland],_xlfn.AGGREGATE(15,6,(ROW(Liste_Grünland_DropDown[Grünland])-1)/(--(SEARCH(EL$2,Liste_Grünland_DropDown[Grünland])&gt;0)),ROW()-2),1),"")</f>
        <v>Grünlandbrache</v>
      </c>
      <c r="EL21"/>
      <c r="EM21" t="str">
        <f>IFERROR(INDEX(Liste_Grünland_DropDown[Grünland],_xlfn.AGGREGATE(15,6,(ROW(Liste_Grünland_DropDown[Grünland])-1)/(--(SEARCH(EN$2,Liste_Grünland_DropDown[Grünland])&gt;0)),ROW()-2),1),"")</f>
        <v>Grünlandbrache</v>
      </c>
      <c r="EN21"/>
      <c r="EO21" t="str">
        <f t="array" ref="EO21">IFERROR(INDEX(Liste_Grünland_DropDown[Grünland],_xlfn.AGGREGATE(15,6,(ROW(Liste_Grünland_DropDown[Grünland])-1)/(--(SEARCH(EP$2,Liste_Grünland_DropDown[Grünland])&gt;0)),ROW()-2),1),"")</f>
        <v>Grünlandbrache</v>
      </c>
      <c r="EP21"/>
      <c r="EQ21" t="str">
        <f>IFERROR(INDEX(Liste_Grünland_DropDown[Grünland],_xlfn.AGGREGATE(15,6,(ROW(Liste_Grünland_DropDown[Grünland])-1)/(--(SEARCH(ER$2,Liste_Grünland_DropDown[Grünland])&gt;0)),ROW()-2),1),"")</f>
        <v>Grünlandbrache</v>
      </c>
      <c r="ER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row>
    <row r="22" spans="1:291" ht="27" customHeight="1" thickTop="1" thickBot="1">
      <c r="A22" s="287" t="s">
        <v>1279</v>
      </c>
      <c r="B22" s="421" t="str">
        <f t="shared" si="21"/>
        <v xml:space="preserve">q - </v>
      </c>
      <c r="C22" s="2475"/>
      <c r="D22" s="2476"/>
      <c r="E22" s="912"/>
      <c r="F22" s="913"/>
      <c r="G22" s="1916" t="str">
        <f t="shared" si="9"/>
        <v/>
      </c>
      <c r="H22" s="2296"/>
      <c r="I22" s="914">
        <f t="shared" si="10"/>
        <v>0</v>
      </c>
      <c r="J22" s="2297">
        <f t="shared" si="11"/>
        <v>0</v>
      </c>
      <c r="K22" s="2299"/>
      <c r="L22" s="915">
        <f t="shared" si="1"/>
        <v>0</v>
      </c>
      <c r="M22" s="2298">
        <f t="shared" si="2"/>
        <v>0</v>
      </c>
      <c r="N22" s="2548"/>
      <c r="O22" s="2548"/>
      <c r="P22" s="2548"/>
      <c r="Q22" s="2548"/>
      <c r="R22" s="2548"/>
      <c r="S22" s="2548"/>
      <c r="T22" s="770"/>
      <c r="U22" s="2551"/>
      <c r="V22" s="2551"/>
      <c r="W22" s="2551"/>
      <c r="X22" s="2541"/>
      <c r="Y22" s="768"/>
      <c r="Z22" s="768"/>
      <c r="AA22" s="768"/>
      <c r="AB22" s="768"/>
      <c r="AC22" s="768"/>
      <c r="AD22" s="768"/>
      <c r="AE22" s="768"/>
      <c r="AF22" s="768"/>
      <c r="AG22" s="768"/>
      <c r="AH22" s="768"/>
      <c r="AI22" s="768"/>
      <c r="AJ22" s="768"/>
      <c r="AK22" s="768"/>
      <c r="AL22" s="768"/>
      <c r="AM22" s="768"/>
      <c r="AN22" s="768"/>
      <c r="AO22" s="768"/>
      <c r="AP22" s="1568" t="str">
        <f t="shared" si="3"/>
        <v/>
      </c>
      <c r="AQ22" s="472">
        <f t="shared" si="14"/>
        <v>0</v>
      </c>
      <c r="AR22" s="472">
        <f t="shared" si="15"/>
        <v>0</v>
      </c>
      <c r="AS22" s="472">
        <f t="shared" si="16"/>
        <v>0</v>
      </c>
      <c r="AT22" s="472">
        <f t="shared" si="17"/>
        <v>0</v>
      </c>
      <c r="AU22" s="472">
        <f t="shared" si="18"/>
        <v>0</v>
      </c>
      <c r="AV22" s="472">
        <f t="shared" si="19"/>
        <v>0</v>
      </c>
      <c r="AW22" s="472">
        <f t="shared" si="20"/>
        <v>0</v>
      </c>
      <c r="AX22" s="1722" t="s">
        <v>16</v>
      </c>
      <c r="AY22" s="681">
        <v>80</v>
      </c>
      <c r="AZ22" s="681">
        <v>70</v>
      </c>
      <c r="BA22" s="681" t="s">
        <v>2562</v>
      </c>
      <c r="BB22" s="681">
        <v>110</v>
      </c>
      <c r="BC22" s="681">
        <v>95</v>
      </c>
      <c r="BD22" s="681" t="s">
        <v>2564</v>
      </c>
      <c r="BE22" s="681">
        <v>130</v>
      </c>
      <c r="BF22" s="681">
        <v>110</v>
      </c>
      <c r="BG22" s="681" t="s">
        <v>2570</v>
      </c>
      <c r="BH22" s="681">
        <v>140</v>
      </c>
      <c r="BI22" s="681">
        <v>120</v>
      </c>
      <c r="BJ22" s="681" t="s">
        <v>2683</v>
      </c>
      <c r="BK22" s="681">
        <v>150</v>
      </c>
      <c r="BL22" s="681">
        <v>130</v>
      </c>
      <c r="BM22" s="681" t="s">
        <v>2573</v>
      </c>
      <c r="BN22" s="471" t="s">
        <v>1764</v>
      </c>
      <c r="BO22" s="821" t="s">
        <v>1764</v>
      </c>
      <c r="BP22"/>
      <c r="BQ22" s="1722" t="s">
        <v>16</v>
      </c>
      <c r="BR22" s="470">
        <v>50</v>
      </c>
      <c r="BS22" s="470">
        <v>55</v>
      </c>
      <c r="BT22" s="470">
        <v>65</v>
      </c>
      <c r="BU22"/>
      <c r="BV22" s="1722" t="s">
        <v>16</v>
      </c>
      <c r="BW22" s="470">
        <v>70</v>
      </c>
      <c r="BX22" s="470">
        <v>80</v>
      </c>
      <c r="BY22" s="470">
        <v>90</v>
      </c>
      <c r="BZ22" s="470">
        <v>40</v>
      </c>
      <c r="CA22" s="470">
        <v>40</v>
      </c>
      <c r="CB22"/>
      <c r="CC22" s="1659">
        <f>IFERROR(COUNTIF(Liste_Grünland_DropDown[Grünland],N_Bedarf!$C62),0)</f>
        <v>0</v>
      </c>
      <c r="CD22"/>
      <c r="CE22" s="1833" t="s">
        <v>1263</v>
      </c>
      <c r="CF22" s="1834" t="str">
        <f>IFERROR(INDEX(N_Bedarf!$CE$2:$CE$141,_xlfn.AGGREGATE(15,6,(ROW(N_Bedarf!$CE$2:$CE$141)-1)/(--(SEARCH(CG$2,N_Bedarf!$CE$2:$CE$141)&gt;0)),ROW()-2),1),"")</f>
        <v xml:space="preserve">Sommerhafer </v>
      </c>
      <c r="CG22" s="1836"/>
      <c r="CH22" s="1834" t="str">
        <f>IFERROR(INDEX(N_Bedarf!$CE$2:$CE$141,_xlfn.AGGREGATE(15,6,(ROW(N_Bedarf!$CE$2:$CE$141)-1)/(--(SEARCH(CI$2,N_Bedarf!$CE$2:$CE$141)&gt;0)),ROW()-2),1),"")</f>
        <v xml:space="preserve">Sommerhafer </v>
      </c>
      <c r="CI22" s="1836"/>
      <c r="CJ22" s="1834" t="str">
        <f>IFERROR(INDEX(N_Bedarf!$CE$2:$CE$141,_xlfn.AGGREGATE(15,6,(ROW(N_Bedarf!$CE$2:$CE$141)-1)/(--(SEARCH(CK$2,N_Bedarf!$CE$2:$CE$141)&gt;0)),ROW()-2),1),"")</f>
        <v xml:space="preserve">Sommerhafer </v>
      </c>
      <c r="CK22" s="1836"/>
      <c r="CL22" s="1834" t="str">
        <f>IFERROR(INDEX(N_Bedarf!$CE$2:$CE$141,_xlfn.AGGREGATE(15,6,(ROW(N_Bedarf!$CE$2:$CE$141)-1)/(--(SEARCH(CM$2,N_Bedarf!$CE$2:$CE$141)&gt;0)),ROW()-2),1),"")</f>
        <v xml:space="preserve">Sommerhafer </v>
      </c>
      <c r="CM22" s="1836"/>
      <c r="CN22" s="1834" t="str">
        <f>IFERROR(INDEX(N_Bedarf!$CE$2:$CE$141,_xlfn.AGGREGATE(15,6,(ROW(N_Bedarf!$CE$2:$CE$141)-1)/(--(SEARCH(CO$2,N_Bedarf!$CE$2:$CE$141)&gt;0)),ROW()-2),1),"")</f>
        <v xml:space="preserve">Sommerhafer </v>
      </c>
      <c r="CO22" s="1836"/>
      <c r="CP22" s="1834" t="str">
        <f>IFERROR(INDEX(N_Bedarf!$CE$2:$CE$141,_xlfn.AGGREGATE(15,6,(ROW(N_Bedarf!$CE$2:$CE$141)-1)/(--(SEARCH(CQ$2,N_Bedarf!$CE$2:$CE$141)&gt;0)),ROW()-2),1),"")</f>
        <v xml:space="preserve">Sommerhafer </v>
      </c>
      <c r="CQ22" s="1836"/>
      <c r="CR22" s="1834" t="str">
        <f>IFERROR(INDEX(N_Bedarf!$CE$2:$CE$141,_xlfn.AGGREGATE(15,6,(ROW(N_Bedarf!$CE$2:$CE$141)-1)/(--(SEARCH(CS$2,N_Bedarf!$CE$2:$CE$141)&gt;0)),ROW()-2),1),"")</f>
        <v xml:space="preserve">Sommerhafer </v>
      </c>
      <c r="CS22" s="1836"/>
      <c r="CT22" s="1834" t="str">
        <f>IFERROR(INDEX(N_Bedarf!$CE$2:$CE$141,_xlfn.AGGREGATE(15,6,(ROW(N_Bedarf!$CE$2:$CE$141)-1)/(--(SEARCH(CU$2,N_Bedarf!$CE$2:$CE$141)&gt;0)),ROW()-2),1),"")</f>
        <v xml:space="preserve">Sommerhafer </v>
      </c>
      <c r="CU22" s="1836"/>
      <c r="CV22" s="1834" t="str">
        <f>IFERROR(INDEX(N_Bedarf!$CE$2:$CE$141,_xlfn.AGGREGATE(15,6,(ROW(N_Bedarf!$CE$2:$CE$141)-1)/(--(SEARCH(CW$2,N_Bedarf!$CE$2:$CE$141)&gt;0)),ROW()-2),1),"")</f>
        <v xml:space="preserve">Sommerhafer </v>
      </c>
      <c r="CW22" s="1836"/>
      <c r="CX22" s="1834" t="str">
        <f>IFERROR(INDEX(N_Bedarf!$CE$2:$CE$141,_xlfn.AGGREGATE(15,6,(ROW(N_Bedarf!$CE$2:$CE$141)-1)/(--(SEARCH(CY$2,N_Bedarf!$CE$2:$CE$141)&gt;0)),ROW()-2),1),"")</f>
        <v xml:space="preserve">Sommerhafer </v>
      </c>
      <c r="CY22" s="1836"/>
      <c r="CZ22" s="1834" t="str">
        <f>IFERROR(INDEX(N_Bedarf!$CE$2:$CE$141,_xlfn.AGGREGATE(15,6,(ROW(N_Bedarf!$CE$2:$CE$141)-1)/(--(SEARCH(DA$2,N_Bedarf!$CE$2:$CE$141)&gt;0)),ROW()-2),1),"")</f>
        <v xml:space="preserve">Sommerhafer </v>
      </c>
      <c r="DA22" s="1836"/>
      <c r="DB22" s="1834" t="str">
        <f>IFERROR(INDEX(N_Bedarf!$CE$2:$CE$141,_xlfn.AGGREGATE(15,6,(ROW(N_Bedarf!$CE$2:$CE$141)-1)/(--(SEARCH(DC$2,N_Bedarf!$CE$2:$CE$141)&gt;0)),ROW()-2),1),"")</f>
        <v xml:space="preserve">Sommerhafer </v>
      </c>
      <c r="DC22" s="1836"/>
      <c r="DD22" s="1834" t="str">
        <f>IFERROR(INDEX(N_Bedarf!$CE$2:$CE$141,_xlfn.AGGREGATE(15,6,(ROW(N_Bedarf!$CE$2:$CE$141)-1)/(--(SEARCH(DE$2,N_Bedarf!$CE$2:$CE$141)&gt;0)),ROW()-2),1),"")</f>
        <v xml:space="preserve">Sommerhafer </v>
      </c>
      <c r="DE22" s="1836"/>
      <c r="DF22" s="2353" t="str">
        <f t="array" ref="DF22">IFERROR(INDEX(N_Bedarf!$CE$2:$CE$141,_xlfn.AGGREGATE(15,6,(ROW(N_Bedarf!$CE$2:$CE$141)-1)/(--(SEARCH(DG$2,N_Bedarf!$CE$2:$CE$141)&gt;0)),ROW()-2),1),"")</f>
        <v xml:space="preserve">Sommerhafer </v>
      </c>
      <c r="DG22" s="2353"/>
      <c r="DH22" s="2355" t="str">
        <f t="array" ref="DH22">IFERROR(INDEX(N_Bedarf!$CE$2:$CE$141,_xlfn.AGGREGATE(15,6,(ROW(N_Bedarf!$CE$2:$CE$141)-1)/(--(SEARCH(DI$2,N_Bedarf!$CE$2:$CE$141)&gt;0)),ROW()-2),1),"")</f>
        <v xml:space="preserve">Sommerhafer </v>
      </c>
      <c r="DI22" s="2355"/>
      <c r="DJ22" s="2356" t="str">
        <f t="array" ref="DJ22">IFERROR(INDEX(N_Bedarf!$CE$2:$CE$141,_xlfn.AGGREGATE(15,6,(ROW(N_Bedarf!$CE$2:$CE$141)-1)/(--(SEARCH(DK$2,N_Bedarf!$CE$2:$CE$141)&gt;0)),ROW()-2),1),"")</f>
        <v xml:space="preserve">Sommerhafer </v>
      </c>
      <c r="DK22" s="2356"/>
      <c r="DL22" s="2356" t="str">
        <f t="array" ref="DL22">IFERROR(INDEX(N_Bedarf!$CE$2:$CE$141,_xlfn.AGGREGATE(15,6,(ROW(N_Bedarf!$CE$2:$CE$141)-1)/(--(SEARCH(DM$2,N_Bedarf!$CE$2:$CE$141)&gt;0)),ROW()-2),1),"")</f>
        <v xml:space="preserve">Sommerhafer </v>
      </c>
      <c r="DM22" s="2356"/>
      <c r="DN22" s="2356" t="str">
        <f t="array" ref="DN22">IFERROR(INDEX(N_Bedarf!$CE$2:$CE$141,_xlfn.AGGREGATE(15,6,(ROW(N_Bedarf!$CE$2:$CE$141)-1)/(--(SEARCH(DO$2,N_Bedarf!$CE$2:$CE$141)&gt;0)),ROW()-2),1),"")</f>
        <v xml:space="preserve">Sommerhafer </v>
      </c>
      <c r="DO22" s="2356"/>
      <c r="DP22" s="2356" t="str">
        <f t="array" ref="DP22">IFERROR(INDEX(N_Bedarf!$CE$2:$CE$141,_xlfn.AGGREGATE(15,6,(ROW(N_Bedarf!$CE$2:$CE$141)-1)/(--(SEARCH(DQ$2,N_Bedarf!$CE$2:$CE$141)&gt;0)),ROW()-2),1),"")</f>
        <v xml:space="preserve">Sommerhafer </v>
      </c>
      <c r="DQ22" s="2356"/>
      <c r="DR22" s="2356" t="str">
        <f t="array" ref="DR22">IFERROR(INDEX(N_Bedarf!$CE$2:$CE$141,_xlfn.AGGREGATE(15,6,(ROW(N_Bedarf!$CE$2:$CE$141)-1)/(--(SEARCH(DS$2,N_Bedarf!$CE$2:$CE$141)&gt;0)),ROW()-2),1),"")</f>
        <v xml:space="preserve">Sommerhafer </v>
      </c>
      <c r="DS22" s="2356"/>
      <c r="DT22" s="2356" t="str">
        <f t="array" ref="DT22">IFERROR(INDEX(N_Bedarf!$CE$2:$CE$141,_xlfn.AGGREGATE(15,6,(ROW(N_Bedarf!$CE$2:$CE$141)-1)/(--(SEARCH(DU$2,N_Bedarf!$CE$2:$CE$141)&gt;0)),ROW()-2),1),"")</f>
        <v xml:space="preserve">Sommerhafer </v>
      </c>
      <c r="DU22" s="2356"/>
      <c r="DV22" s="2356" t="str">
        <f t="array" ref="DV22">IFERROR(INDEX(N_Bedarf!$CE$2:$CE$141,_xlfn.AGGREGATE(15,6,(ROW(N_Bedarf!$CE$2:$CE$141)-1)/(--(SEARCH(DW$2,N_Bedarf!$CE$2:$CE$141)&gt;0)),ROW()-2),1),"")</f>
        <v xml:space="preserve">Sommerhafer </v>
      </c>
      <c r="DW22" s="2356"/>
      <c r="DX22" s="2356" t="str">
        <f t="array" ref="DX22">IFERROR(INDEX(N_Bedarf!$CE$2:$CE$141,_xlfn.AGGREGATE(15,6,(ROW(N_Bedarf!$CE$2:$CE$141)-1)/(--(SEARCH(DY$2,N_Bedarf!$CE$2:$CE$141)&gt;0)),ROW()-2),1),"")</f>
        <v xml:space="preserve">Sommerhafer </v>
      </c>
      <c r="DY22" s="2356"/>
      <c r="DZ22" s="2356" t="str">
        <f t="array" ref="DZ22">IFERROR(INDEX(N_Bedarf!$CE$2:$CE$141,_xlfn.AGGREGATE(15,6,(ROW(N_Bedarf!$CE$2:$CE$141)-1)/(--(SEARCH(EA$2,N_Bedarf!$CE$2:$CE$141)&gt;0)),ROW()-2),1),"")</f>
        <v xml:space="preserve">Sommerhafer </v>
      </c>
      <c r="EA22" s="2356"/>
      <c r="EB22" s="2356" t="str">
        <f t="array" ref="EB22">IFERROR(INDEX(N_Bedarf!$CE$2:$CE$141,_xlfn.AGGREGATE(15,6,(ROW(N_Bedarf!$CE$2:$CE$141)-1)/(--(SEARCH(EC$2,N_Bedarf!$CE$2:$CE$141)&gt;0)),ROW()-2),1),"")</f>
        <v xml:space="preserve">Sommerhafer </v>
      </c>
      <c r="EC22" s="2356"/>
      <c r="ED22"/>
      <c r="EE22"/>
      <c r="EF22"/>
      <c r="EG22" t="str">
        <f>IFERROR(INDEX(Liste_Grünland_DropDown[Grünland],_xlfn.AGGREGATE(15,6,(ROW(Liste_Grünland_DropDown[Grünland])-1)/(--(SEARCH(EH$2,Liste_Grünland_DropDown[Grünland])&gt;0)),ROW()-2),1),"")</f>
        <v/>
      </c>
      <c r="EH22"/>
      <c r="EI22" t="str">
        <f>IFERROR(INDEX(Liste_Grünland_DropDown[Grünland],_xlfn.AGGREGATE(15,6,(ROW(Liste_Grünland_DropDown[Grünland])-1)/(--(SEARCH(EJ$2,Liste_Grünland_DropDown[Grünland])&gt;0)),ROW()-2),1),"")</f>
        <v/>
      </c>
      <c r="EJ22"/>
      <c r="EK22" t="str">
        <f>IFERROR(INDEX(Liste_Grünland_DropDown[Grünland],_xlfn.AGGREGATE(15,6,(ROW(Liste_Grünland_DropDown[Grünland])-1)/(--(SEARCH(EL$2,Liste_Grünland_DropDown[Grünland])&gt;0)),ROW()-2),1),"")</f>
        <v/>
      </c>
      <c r="EL22"/>
      <c r="EM22" t="str">
        <f>IFERROR(INDEX(Liste_Grünland_DropDown[Grünland],_xlfn.AGGREGATE(15,6,(ROW(Liste_Grünland_DropDown[Grünland])-1)/(--(SEARCH(EN$2,Liste_Grünland_DropDown[Grünland])&gt;0)),ROW()-2),1),"")</f>
        <v/>
      </c>
      <c r="EN22"/>
      <c r="EO22" t="str">
        <f>IFERROR(INDEX(Liste_Grünland_DropDown[Grünland],_xlfn.AGGREGATE(15,6,(ROW(Liste_Grünland_DropDown[Grünland])-1)/(--(SEARCH(EP$2,Liste_Grünland_DropDown[Grünland])&gt;0)),ROW()-2),1),"")</f>
        <v/>
      </c>
      <c r="EP22"/>
      <c r="EQ22" t="str">
        <f>IFERROR(INDEX(Liste_Grünland_DropDown[Grünland],_xlfn.AGGREGATE(15,6,(ROW(Liste_Grünland_DropDown[Grünland])-1)/(--(SEARCH(ER$2,Liste_Grünland_DropDown[Grünland])&gt;0)),ROW()-2),1),"")</f>
        <v/>
      </c>
      <c r="ER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row>
    <row r="23" spans="1:291" ht="27" customHeight="1" thickTop="1" thickBot="1">
      <c r="A23" s="287" t="s">
        <v>1280</v>
      </c>
      <c r="B23" s="421" t="str">
        <f t="shared" si="21"/>
        <v xml:space="preserve">r - </v>
      </c>
      <c r="C23" s="2475"/>
      <c r="D23" s="2476"/>
      <c r="E23" s="912"/>
      <c r="F23" s="913"/>
      <c r="G23" s="1916" t="str">
        <f t="shared" si="9"/>
        <v/>
      </c>
      <c r="H23" s="2296"/>
      <c r="I23" s="914">
        <f t="shared" si="10"/>
        <v>0</v>
      </c>
      <c r="J23" s="2297">
        <f t="shared" si="11"/>
        <v>0</v>
      </c>
      <c r="K23" s="2299"/>
      <c r="L23" s="915">
        <f t="shared" si="1"/>
        <v>0</v>
      </c>
      <c r="M23" s="2298">
        <f t="shared" si="2"/>
        <v>0</v>
      </c>
      <c r="N23" s="2548"/>
      <c r="O23" s="2548"/>
      <c r="P23" s="2548"/>
      <c r="Q23" s="2548"/>
      <c r="R23" s="2548"/>
      <c r="S23" s="2548"/>
      <c r="T23" s="770"/>
      <c r="U23" s="2551" t="s">
        <v>1573</v>
      </c>
      <c r="V23" s="2551"/>
      <c r="W23" s="2551"/>
      <c r="X23" s="2542">
        <f>SUM(E5:E62)</f>
        <v>0</v>
      </c>
      <c r="Y23" s="768"/>
      <c r="Z23" s="768"/>
      <c r="AA23" s="768"/>
      <c r="AB23" s="768"/>
      <c r="AC23" s="768"/>
      <c r="AD23" s="768"/>
      <c r="AE23" s="768"/>
      <c r="AF23" s="768"/>
      <c r="AG23" s="768"/>
      <c r="AH23" s="768"/>
      <c r="AI23" s="768"/>
      <c r="AJ23" s="768"/>
      <c r="AK23" s="768"/>
      <c r="AL23" s="768"/>
      <c r="AM23" s="768"/>
      <c r="AN23" s="768"/>
      <c r="AO23" s="768"/>
      <c r="AP23" s="1568" t="str">
        <f t="shared" si="3"/>
        <v/>
      </c>
      <c r="AQ23" s="472">
        <f t="shared" si="14"/>
        <v>0</v>
      </c>
      <c r="AR23" s="472">
        <f t="shared" si="15"/>
        <v>0</v>
      </c>
      <c r="AS23" s="472">
        <f t="shared" si="16"/>
        <v>0</v>
      </c>
      <c r="AT23" s="472">
        <f t="shared" si="17"/>
        <v>0</v>
      </c>
      <c r="AU23" s="472">
        <f t="shared" si="18"/>
        <v>0</v>
      </c>
      <c r="AV23" s="472">
        <f t="shared" si="19"/>
        <v>0</v>
      </c>
      <c r="AW23" s="472">
        <f t="shared" si="20"/>
        <v>0</v>
      </c>
      <c r="AX23" s="1722" t="s">
        <v>1728</v>
      </c>
      <c r="AY23" s="681">
        <v>70</v>
      </c>
      <c r="AZ23" s="681">
        <v>60</v>
      </c>
      <c r="BA23" s="681" t="s">
        <v>2801</v>
      </c>
      <c r="BB23" s="681">
        <v>100</v>
      </c>
      <c r="BC23" s="681">
        <v>85</v>
      </c>
      <c r="BD23" s="1915" t="s">
        <v>2802</v>
      </c>
      <c r="BE23" s="681">
        <v>115</v>
      </c>
      <c r="BF23" s="681">
        <v>100</v>
      </c>
      <c r="BG23" s="1915" t="s">
        <v>2803</v>
      </c>
      <c r="BH23" s="681">
        <v>125</v>
      </c>
      <c r="BI23" s="681">
        <v>105</v>
      </c>
      <c r="BJ23" s="1915" t="s">
        <v>2804</v>
      </c>
      <c r="BK23" s="681">
        <v>135</v>
      </c>
      <c r="BL23" s="681">
        <v>115</v>
      </c>
      <c r="BM23" s="1915" t="s">
        <v>2816</v>
      </c>
      <c r="BN23" s="471">
        <v>16</v>
      </c>
      <c r="BO23" s="821" t="s">
        <v>1764</v>
      </c>
      <c r="BP23"/>
      <c r="BQ23" s="1722" t="s">
        <v>1728</v>
      </c>
      <c r="BR23" s="470">
        <v>50</v>
      </c>
      <c r="BS23" s="470">
        <v>55</v>
      </c>
      <c r="BT23" s="470">
        <v>65</v>
      </c>
      <c r="BU23"/>
      <c r="BV23" s="1722" t="s">
        <v>1728</v>
      </c>
      <c r="BW23" s="470">
        <v>70</v>
      </c>
      <c r="BX23" s="470">
        <v>80</v>
      </c>
      <c r="BY23" s="470">
        <v>90</v>
      </c>
      <c r="BZ23" s="470">
        <v>150</v>
      </c>
      <c r="CA23" s="470">
        <v>150</v>
      </c>
      <c r="CB23"/>
      <c r="CC23"/>
      <c r="CD23"/>
      <c r="CE23" s="1835" t="s">
        <v>1739</v>
      </c>
      <c r="CF23" s="1834" t="str">
        <f>IFERROR(INDEX(N_Bedarf!$CE$2:$CE$141,_xlfn.AGGREGATE(15,6,(ROW(N_Bedarf!$CE$2:$CE$141)-1)/(--(SEARCH(CG$2,N_Bedarf!$CE$2:$CE$141)&gt;0)),ROW()-2),1),"")</f>
        <v>Körnermais</v>
      </c>
      <c r="CG23" s="1830"/>
      <c r="CH23" s="1834" t="str">
        <f>IFERROR(INDEX(N_Bedarf!$CE$2:$CE$141,_xlfn.AGGREGATE(15,6,(ROW(N_Bedarf!$CE$2:$CE$141)-1)/(--(SEARCH(CI$2,N_Bedarf!$CE$2:$CE$141)&gt;0)),ROW()-2),1),"")</f>
        <v>Körnermais</v>
      </c>
      <c r="CI23" s="1830"/>
      <c r="CJ23" s="1834" t="str">
        <f>IFERROR(INDEX(N_Bedarf!$CE$2:$CE$141,_xlfn.AGGREGATE(15,6,(ROW(N_Bedarf!$CE$2:$CE$141)-1)/(--(SEARCH(CK$2,N_Bedarf!$CE$2:$CE$141)&gt;0)),ROW()-2),1),"")</f>
        <v>Körnermais</v>
      </c>
      <c r="CK23" s="1830"/>
      <c r="CL23" s="1834" t="str">
        <f>IFERROR(INDEX(N_Bedarf!$CE$2:$CE$141,_xlfn.AGGREGATE(15,6,(ROW(N_Bedarf!$CE$2:$CE$141)-1)/(--(SEARCH(CM$2,N_Bedarf!$CE$2:$CE$141)&gt;0)),ROW()-2),1),"")</f>
        <v>Körnermais</v>
      </c>
      <c r="CM23" s="1830"/>
      <c r="CN23" s="1834" t="str">
        <f>IFERROR(INDEX(N_Bedarf!$CE$2:$CE$141,_xlfn.AGGREGATE(15,6,(ROW(N_Bedarf!$CE$2:$CE$141)-1)/(--(SEARCH(CO$2,N_Bedarf!$CE$2:$CE$141)&gt;0)),ROW()-2),1),"")</f>
        <v>Körnermais</v>
      </c>
      <c r="CO23" s="1830"/>
      <c r="CP23" s="1834" t="str">
        <f>IFERROR(INDEX(N_Bedarf!$CE$2:$CE$141,_xlfn.AGGREGATE(15,6,(ROW(N_Bedarf!$CE$2:$CE$141)-1)/(--(SEARCH(CQ$2,N_Bedarf!$CE$2:$CE$141)&gt;0)),ROW()-2),1),"")</f>
        <v>Körnermais</v>
      </c>
      <c r="CQ23" s="1830"/>
      <c r="CR23" s="1834" t="str">
        <f>IFERROR(INDEX(N_Bedarf!$CE$2:$CE$141,_xlfn.AGGREGATE(15,6,(ROW(N_Bedarf!$CE$2:$CE$141)-1)/(--(SEARCH(CS$2,N_Bedarf!$CE$2:$CE$141)&gt;0)),ROW()-2),1),"")</f>
        <v>Körnermais</v>
      </c>
      <c r="CS23" s="1830"/>
      <c r="CT23" s="1834" t="str">
        <f>IFERROR(INDEX(N_Bedarf!$CE$2:$CE$141,_xlfn.AGGREGATE(15,6,(ROW(N_Bedarf!$CE$2:$CE$141)-1)/(--(SEARCH(CU$2,N_Bedarf!$CE$2:$CE$141)&gt;0)),ROW()-2),1),"")</f>
        <v>Körnermais</v>
      </c>
      <c r="CU23" s="1830"/>
      <c r="CV23" s="1834" t="str">
        <f>IFERROR(INDEX(N_Bedarf!$CE$2:$CE$141,_xlfn.AGGREGATE(15,6,(ROW(N_Bedarf!$CE$2:$CE$141)-1)/(--(SEARCH(CW$2,N_Bedarf!$CE$2:$CE$141)&gt;0)),ROW()-2),1),"")</f>
        <v>Körnermais</v>
      </c>
      <c r="CW23" s="1830"/>
      <c r="CX23" s="1834" t="str">
        <f>IFERROR(INDEX(N_Bedarf!$CE$2:$CE$141,_xlfn.AGGREGATE(15,6,(ROW(N_Bedarf!$CE$2:$CE$141)-1)/(--(SEARCH(CY$2,N_Bedarf!$CE$2:$CE$141)&gt;0)),ROW()-2),1),"")</f>
        <v>Körnermais</v>
      </c>
      <c r="CY23" s="1830"/>
      <c r="CZ23" s="1834" t="str">
        <f>IFERROR(INDEX(N_Bedarf!$CE$2:$CE$141,_xlfn.AGGREGATE(15,6,(ROW(N_Bedarf!$CE$2:$CE$141)-1)/(--(SEARCH(DA$2,N_Bedarf!$CE$2:$CE$141)&gt;0)),ROW()-2),1),"")</f>
        <v>Körnermais</v>
      </c>
      <c r="DA23" s="1830"/>
      <c r="DB23" s="1834" t="str">
        <f>IFERROR(INDEX(N_Bedarf!$CE$2:$CE$141,_xlfn.AGGREGATE(15,6,(ROW(N_Bedarf!$CE$2:$CE$141)-1)/(--(SEARCH(DC$2,N_Bedarf!$CE$2:$CE$141)&gt;0)),ROW()-2),1),"")</f>
        <v>Körnermais</v>
      </c>
      <c r="DC23" s="1830"/>
      <c r="DD23" s="1834" t="str">
        <f>IFERROR(INDEX(N_Bedarf!$CE$2:$CE$141,_xlfn.AGGREGATE(15,6,(ROW(N_Bedarf!$CE$2:$CE$141)-1)/(--(SEARCH(DE$2,N_Bedarf!$CE$2:$CE$141)&gt;0)),ROW()-2),1),"")</f>
        <v>Körnermais</v>
      </c>
      <c r="DE23" s="1830"/>
      <c r="DF23" s="2353" t="str">
        <f t="array" ref="DF23">IFERROR(INDEX(N_Bedarf!$CE$2:$CE$141,_xlfn.AGGREGATE(15,6,(ROW(N_Bedarf!$CE$2:$CE$141)-1)/(--(SEARCH(DG$2,N_Bedarf!$CE$2:$CE$141)&gt;0)),ROW()-2),1),"")</f>
        <v>Körnermais</v>
      </c>
      <c r="DG23" s="2353"/>
      <c r="DH23" s="2355" t="str">
        <f t="array" ref="DH23">IFERROR(INDEX(N_Bedarf!$CE$2:$CE$141,_xlfn.AGGREGATE(15,6,(ROW(N_Bedarf!$CE$2:$CE$141)-1)/(--(SEARCH(DI$2,N_Bedarf!$CE$2:$CE$141)&gt;0)),ROW()-2),1),"")</f>
        <v>Körnermais</v>
      </c>
      <c r="DI23" s="2355"/>
      <c r="DJ23" s="2356" t="str">
        <f t="array" ref="DJ23">IFERROR(INDEX(N_Bedarf!$CE$2:$CE$141,_xlfn.AGGREGATE(15,6,(ROW(N_Bedarf!$CE$2:$CE$141)-1)/(--(SEARCH(DK$2,N_Bedarf!$CE$2:$CE$141)&gt;0)),ROW()-2),1),"")</f>
        <v>Körnermais</v>
      </c>
      <c r="DK23" s="2356"/>
      <c r="DL23" s="2356" t="str">
        <f t="array" ref="DL23">IFERROR(INDEX(N_Bedarf!$CE$2:$CE$141,_xlfn.AGGREGATE(15,6,(ROW(N_Bedarf!$CE$2:$CE$141)-1)/(--(SEARCH(DM$2,N_Bedarf!$CE$2:$CE$141)&gt;0)),ROW()-2),1),"")</f>
        <v>Körnermais</v>
      </c>
      <c r="DM23" s="2356"/>
      <c r="DN23" s="2356" t="str">
        <f t="array" ref="DN23">IFERROR(INDEX(N_Bedarf!$CE$2:$CE$141,_xlfn.AGGREGATE(15,6,(ROW(N_Bedarf!$CE$2:$CE$141)-1)/(--(SEARCH(DO$2,N_Bedarf!$CE$2:$CE$141)&gt;0)),ROW()-2),1),"")</f>
        <v>Körnermais</v>
      </c>
      <c r="DO23" s="2356"/>
      <c r="DP23" s="2356" t="str">
        <f t="array" ref="DP23">IFERROR(INDEX(N_Bedarf!$CE$2:$CE$141,_xlfn.AGGREGATE(15,6,(ROW(N_Bedarf!$CE$2:$CE$141)-1)/(--(SEARCH(DQ$2,N_Bedarf!$CE$2:$CE$141)&gt;0)),ROW()-2),1),"")</f>
        <v>Körnermais</v>
      </c>
      <c r="DQ23" s="2356"/>
      <c r="DR23" s="2356" t="str">
        <f t="array" ref="DR23">IFERROR(INDEX(N_Bedarf!$CE$2:$CE$141,_xlfn.AGGREGATE(15,6,(ROW(N_Bedarf!$CE$2:$CE$141)-1)/(--(SEARCH(DS$2,N_Bedarf!$CE$2:$CE$141)&gt;0)),ROW()-2),1),"")</f>
        <v>Körnermais</v>
      </c>
      <c r="DS23" s="2356"/>
      <c r="DT23" s="2356" t="str">
        <f t="array" ref="DT23">IFERROR(INDEX(N_Bedarf!$CE$2:$CE$141,_xlfn.AGGREGATE(15,6,(ROW(N_Bedarf!$CE$2:$CE$141)-1)/(--(SEARCH(DU$2,N_Bedarf!$CE$2:$CE$141)&gt;0)),ROW()-2),1),"")</f>
        <v>Körnermais</v>
      </c>
      <c r="DU23" s="2356"/>
      <c r="DV23" s="2356" t="str">
        <f t="array" ref="DV23">IFERROR(INDEX(N_Bedarf!$CE$2:$CE$141,_xlfn.AGGREGATE(15,6,(ROW(N_Bedarf!$CE$2:$CE$141)-1)/(--(SEARCH(DW$2,N_Bedarf!$CE$2:$CE$141)&gt;0)),ROW()-2),1),"")</f>
        <v>Körnermais</v>
      </c>
      <c r="DW23" s="2356"/>
      <c r="DX23" s="2356" t="str">
        <f t="array" ref="DX23">IFERROR(INDEX(N_Bedarf!$CE$2:$CE$141,_xlfn.AGGREGATE(15,6,(ROW(N_Bedarf!$CE$2:$CE$141)-1)/(--(SEARCH(DY$2,N_Bedarf!$CE$2:$CE$141)&gt;0)),ROW()-2),1),"")</f>
        <v>Körnermais</v>
      </c>
      <c r="DY23" s="2356"/>
      <c r="DZ23" s="2356" t="str">
        <f t="array" ref="DZ23">IFERROR(INDEX(N_Bedarf!$CE$2:$CE$141,_xlfn.AGGREGATE(15,6,(ROW(N_Bedarf!$CE$2:$CE$141)-1)/(--(SEARCH(EA$2,N_Bedarf!$CE$2:$CE$141)&gt;0)),ROW()-2),1),"")</f>
        <v>Körnermais</v>
      </c>
      <c r="EA23" s="2356"/>
      <c r="EB23" s="2356" t="str">
        <f t="array" ref="EB23">IFERROR(INDEX(N_Bedarf!$CE$2:$CE$141,_xlfn.AGGREGATE(15,6,(ROW(N_Bedarf!$CE$2:$CE$141)-1)/(--(SEARCH(EC$2,N_Bedarf!$CE$2:$CE$141)&gt;0)),ROW()-2),1),"")</f>
        <v>Körnermais</v>
      </c>
      <c r="EC23" s="2356"/>
      <c r="ED23"/>
      <c r="EE23"/>
      <c r="EF23"/>
      <c r="EG23"/>
      <c r="EH23"/>
      <c r="EI23"/>
      <c r="EJ23"/>
      <c r="EK23"/>
      <c r="EL23"/>
      <c r="EM23"/>
      <c r="EN23"/>
      <c r="EO23"/>
      <c r="EP23"/>
      <c r="EQ23"/>
      <c r="ER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row>
    <row r="24" spans="1:291" ht="27" customHeight="1" thickTop="1" thickBot="1">
      <c r="A24" s="287" t="s">
        <v>1281</v>
      </c>
      <c r="B24" s="421" t="str">
        <f t="shared" si="21"/>
        <v xml:space="preserve">s - </v>
      </c>
      <c r="C24" s="2475"/>
      <c r="D24" s="2476"/>
      <c r="E24" s="912"/>
      <c r="F24" s="913"/>
      <c r="G24" s="1916" t="str">
        <f t="shared" si="9"/>
        <v/>
      </c>
      <c r="H24" s="2296"/>
      <c r="I24" s="914">
        <f t="shared" si="10"/>
        <v>0</v>
      </c>
      <c r="J24" s="2297">
        <f t="shared" si="11"/>
        <v>0</v>
      </c>
      <c r="K24" s="2299"/>
      <c r="L24" s="915">
        <f t="shared" si="1"/>
        <v>0</v>
      </c>
      <c r="M24" s="2298">
        <f t="shared" si="2"/>
        <v>0</v>
      </c>
      <c r="N24" s="2549"/>
      <c r="O24" s="2549"/>
      <c r="P24" s="2549"/>
      <c r="Q24" s="2549"/>
      <c r="R24" s="2549"/>
      <c r="S24" s="2549"/>
      <c r="T24" s="770"/>
      <c r="U24" s="2551"/>
      <c r="V24" s="2551"/>
      <c r="W24" s="2551"/>
      <c r="X24" s="2542"/>
      <c r="Y24" s="768"/>
      <c r="Z24" s="768"/>
      <c r="AA24" s="768"/>
      <c r="AB24" s="768"/>
      <c r="AC24" s="768"/>
      <c r="AD24" s="768"/>
      <c r="AE24" s="768"/>
      <c r="AF24" s="768"/>
      <c r="AG24" s="768"/>
      <c r="AH24" s="768"/>
      <c r="AI24" s="768"/>
      <c r="AJ24" s="768"/>
      <c r="AK24" s="768"/>
      <c r="AL24" s="768"/>
      <c r="AM24" s="768"/>
      <c r="AN24" s="768"/>
      <c r="AO24" s="768"/>
      <c r="AP24" s="1568" t="str">
        <f t="shared" si="3"/>
        <v/>
      </c>
      <c r="AQ24" s="472">
        <f t="shared" si="14"/>
        <v>0</v>
      </c>
      <c r="AR24" s="472">
        <f t="shared" si="15"/>
        <v>0</v>
      </c>
      <c r="AS24" s="472">
        <f t="shared" si="16"/>
        <v>0</v>
      </c>
      <c r="AT24" s="472">
        <f t="shared" si="17"/>
        <v>0</v>
      </c>
      <c r="AU24" s="472">
        <f t="shared" si="18"/>
        <v>0</v>
      </c>
      <c r="AV24" s="472">
        <f t="shared" si="19"/>
        <v>0</v>
      </c>
      <c r="AW24" s="472">
        <f t="shared" si="20"/>
        <v>0</v>
      </c>
      <c r="AX24" s="1722" t="s">
        <v>1712</v>
      </c>
      <c r="AY24" s="681">
        <v>70</v>
      </c>
      <c r="AZ24" s="681">
        <v>60</v>
      </c>
      <c r="BA24" s="681" t="s">
        <v>2633</v>
      </c>
      <c r="BB24" s="681">
        <v>100</v>
      </c>
      <c r="BC24" s="681">
        <v>85</v>
      </c>
      <c r="BD24" s="1915" t="s">
        <v>2632</v>
      </c>
      <c r="BE24" s="681">
        <v>115</v>
      </c>
      <c r="BF24" s="681">
        <v>100</v>
      </c>
      <c r="BG24" s="1915" t="s">
        <v>2631</v>
      </c>
      <c r="BH24" s="681">
        <v>125</v>
      </c>
      <c r="BI24" s="681">
        <v>105</v>
      </c>
      <c r="BJ24" s="681" t="s">
        <v>2630</v>
      </c>
      <c r="BK24" s="681">
        <v>135</v>
      </c>
      <c r="BL24" s="681">
        <v>115</v>
      </c>
      <c r="BM24" s="1915" t="s">
        <v>2817</v>
      </c>
      <c r="BN24" s="471">
        <v>16</v>
      </c>
      <c r="BO24" s="821" t="s">
        <v>1764</v>
      </c>
      <c r="BP24"/>
      <c r="BQ24" s="1722" t="s">
        <v>1712</v>
      </c>
      <c r="BR24" s="470">
        <v>50</v>
      </c>
      <c r="BS24" s="470">
        <v>55</v>
      </c>
      <c r="BT24" s="470">
        <v>65</v>
      </c>
      <c r="BU24"/>
      <c r="BV24" s="1722" t="s">
        <v>1712</v>
      </c>
      <c r="BW24" s="470">
        <v>70</v>
      </c>
      <c r="BX24" s="470">
        <v>80</v>
      </c>
      <c r="BY24" s="470">
        <v>90</v>
      </c>
      <c r="BZ24" s="470">
        <v>150</v>
      </c>
      <c r="CA24" s="470">
        <v>150</v>
      </c>
      <c r="CB24"/>
      <c r="CC24"/>
      <c r="CD24"/>
      <c r="CE24" s="1833" t="s">
        <v>1740</v>
      </c>
      <c r="CF24" s="1834" t="str">
        <f>IFERROR(INDEX(N_Bedarf!$CE$2:$CE$141,_xlfn.AGGREGATE(15,6,(ROW(N_Bedarf!$CE$2:$CE$141)-1)/(--(SEARCH(CG$2,N_Bedarf!$CE$2:$CE$141)&gt;0)),ROW()-2),1),"")</f>
        <v>Mais-Ganzkorn frisch (m3)</v>
      </c>
      <c r="CG24" s="1836"/>
      <c r="CH24" s="1834" t="str">
        <f>IFERROR(INDEX(N_Bedarf!$CE$2:$CE$141,_xlfn.AGGREGATE(15,6,(ROW(N_Bedarf!$CE$2:$CE$141)-1)/(--(SEARCH(CI$2,N_Bedarf!$CE$2:$CE$141)&gt;0)),ROW()-2),1),"")</f>
        <v>Mais-Ganzkorn frisch (m3)</v>
      </c>
      <c r="CI24" s="1836"/>
      <c r="CJ24" s="1834" t="str">
        <f>IFERROR(INDEX(N_Bedarf!$CE$2:$CE$141,_xlfn.AGGREGATE(15,6,(ROW(N_Bedarf!$CE$2:$CE$141)-1)/(--(SEARCH(CK$2,N_Bedarf!$CE$2:$CE$141)&gt;0)),ROW()-2),1),"")</f>
        <v>Mais-Ganzkorn frisch (m3)</v>
      </c>
      <c r="CK24" s="1836"/>
      <c r="CL24" s="1834" t="str">
        <f>IFERROR(INDEX(N_Bedarf!$CE$2:$CE$141,_xlfn.AGGREGATE(15,6,(ROW(N_Bedarf!$CE$2:$CE$141)-1)/(--(SEARCH(CM$2,N_Bedarf!$CE$2:$CE$141)&gt;0)),ROW()-2),1),"")</f>
        <v>Mais-Ganzkorn frisch (m3)</v>
      </c>
      <c r="CM24" s="1836"/>
      <c r="CN24" s="1834" t="str">
        <f>IFERROR(INDEX(N_Bedarf!$CE$2:$CE$141,_xlfn.AGGREGATE(15,6,(ROW(N_Bedarf!$CE$2:$CE$141)-1)/(--(SEARCH(CO$2,N_Bedarf!$CE$2:$CE$141)&gt;0)),ROW()-2),1),"")</f>
        <v>Mais-Ganzkorn frisch (m3)</v>
      </c>
      <c r="CO24" s="1836"/>
      <c r="CP24" s="1834" t="str">
        <f>IFERROR(INDEX(N_Bedarf!$CE$2:$CE$141,_xlfn.AGGREGATE(15,6,(ROW(N_Bedarf!$CE$2:$CE$141)-1)/(--(SEARCH(CQ$2,N_Bedarf!$CE$2:$CE$141)&gt;0)),ROW()-2),1),"")</f>
        <v>Mais-Ganzkorn frisch (m3)</v>
      </c>
      <c r="CQ24" s="1836"/>
      <c r="CR24" s="1834" t="str">
        <f>IFERROR(INDEX(N_Bedarf!$CE$2:$CE$141,_xlfn.AGGREGATE(15,6,(ROW(N_Bedarf!$CE$2:$CE$141)-1)/(--(SEARCH(CS$2,N_Bedarf!$CE$2:$CE$141)&gt;0)),ROW()-2),1),"")</f>
        <v>Mais-Ganzkorn frisch (m3)</v>
      </c>
      <c r="CS24" s="1836"/>
      <c r="CT24" s="1834" t="str">
        <f>IFERROR(INDEX(N_Bedarf!$CE$2:$CE$141,_xlfn.AGGREGATE(15,6,(ROW(N_Bedarf!$CE$2:$CE$141)-1)/(--(SEARCH(CU$2,N_Bedarf!$CE$2:$CE$141)&gt;0)),ROW()-2),1),"")</f>
        <v>Mais-Ganzkorn frisch (m3)</v>
      </c>
      <c r="CU24" s="1836"/>
      <c r="CV24" s="1834" t="str">
        <f>IFERROR(INDEX(N_Bedarf!$CE$2:$CE$141,_xlfn.AGGREGATE(15,6,(ROW(N_Bedarf!$CE$2:$CE$141)-1)/(--(SEARCH(CW$2,N_Bedarf!$CE$2:$CE$141)&gt;0)),ROW()-2),1),"")</f>
        <v>Mais-Ganzkorn frisch (m3)</v>
      </c>
      <c r="CW24" s="1836"/>
      <c r="CX24" s="1834" t="str">
        <f>IFERROR(INDEX(N_Bedarf!$CE$2:$CE$141,_xlfn.AGGREGATE(15,6,(ROW(N_Bedarf!$CE$2:$CE$141)-1)/(--(SEARCH(CY$2,N_Bedarf!$CE$2:$CE$141)&gt;0)),ROW()-2),1),"")</f>
        <v>Mais-Ganzkorn frisch (m3)</v>
      </c>
      <c r="CY24" s="1836"/>
      <c r="CZ24" s="1834" t="str">
        <f>IFERROR(INDEX(N_Bedarf!$CE$2:$CE$141,_xlfn.AGGREGATE(15,6,(ROW(N_Bedarf!$CE$2:$CE$141)-1)/(--(SEARCH(DA$2,N_Bedarf!$CE$2:$CE$141)&gt;0)),ROW()-2),1),"")</f>
        <v>Mais-Ganzkorn frisch (m3)</v>
      </c>
      <c r="DA24" s="1836"/>
      <c r="DB24" s="1834" t="str">
        <f>IFERROR(INDEX(N_Bedarf!$CE$2:$CE$141,_xlfn.AGGREGATE(15,6,(ROW(N_Bedarf!$CE$2:$CE$141)-1)/(--(SEARCH(DC$2,N_Bedarf!$CE$2:$CE$141)&gt;0)),ROW()-2),1),"")</f>
        <v>Mais-Ganzkorn frisch (m3)</v>
      </c>
      <c r="DC24" s="1836"/>
      <c r="DD24" s="1834" t="str">
        <f>IFERROR(INDEX(N_Bedarf!$CE$2:$CE$141,_xlfn.AGGREGATE(15,6,(ROW(N_Bedarf!$CE$2:$CE$141)-1)/(--(SEARCH(DE$2,N_Bedarf!$CE$2:$CE$141)&gt;0)),ROW()-2),1),"")</f>
        <v>Mais-Ganzkorn frisch (m3)</v>
      </c>
      <c r="DE24" s="1836"/>
      <c r="DF24" s="2353" t="str">
        <f t="array" ref="DF24">IFERROR(INDEX(N_Bedarf!$CE$2:$CE$141,_xlfn.AGGREGATE(15,6,(ROW(N_Bedarf!$CE$2:$CE$141)-1)/(--(SEARCH(DG$2,N_Bedarf!$CE$2:$CE$141)&gt;0)),ROW()-2),1),"")</f>
        <v>Mais-Ganzkorn frisch (m3)</v>
      </c>
      <c r="DG24" s="2353"/>
      <c r="DH24" s="2355" t="str">
        <f t="array" ref="DH24">IFERROR(INDEX(N_Bedarf!$CE$2:$CE$141,_xlfn.AGGREGATE(15,6,(ROW(N_Bedarf!$CE$2:$CE$141)-1)/(--(SEARCH(DI$2,N_Bedarf!$CE$2:$CE$141)&gt;0)),ROW()-2),1),"")</f>
        <v>Mais-Ganzkorn frisch (m3)</v>
      </c>
      <c r="DI24" s="2355"/>
      <c r="DJ24" s="2356" t="str">
        <f t="array" ref="DJ24">IFERROR(INDEX(N_Bedarf!$CE$2:$CE$141,_xlfn.AGGREGATE(15,6,(ROW(N_Bedarf!$CE$2:$CE$141)-1)/(--(SEARCH(DK$2,N_Bedarf!$CE$2:$CE$141)&gt;0)),ROW()-2),1),"")</f>
        <v>Mais-Ganzkorn frisch (m3)</v>
      </c>
      <c r="DK24" s="2356"/>
      <c r="DL24" s="2356" t="str">
        <f t="array" ref="DL24">IFERROR(INDEX(N_Bedarf!$CE$2:$CE$141,_xlfn.AGGREGATE(15,6,(ROW(N_Bedarf!$CE$2:$CE$141)-1)/(--(SEARCH(DM$2,N_Bedarf!$CE$2:$CE$141)&gt;0)),ROW()-2),1),"")</f>
        <v>Mais-Ganzkorn frisch (m3)</v>
      </c>
      <c r="DM24" s="2356"/>
      <c r="DN24" s="2356" t="str">
        <f t="array" ref="DN24">IFERROR(INDEX(N_Bedarf!$CE$2:$CE$141,_xlfn.AGGREGATE(15,6,(ROW(N_Bedarf!$CE$2:$CE$141)-1)/(--(SEARCH(DO$2,N_Bedarf!$CE$2:$CE$141)&gt;0)),ROW()-2),1),"")</f>
        <v>Mais-Ganzkorn frisch (m3)</v>
      </c>
      <c r="DO24" s="2356"/>
      <c r="DP24" s="2356" t="str">
        <f t="array" ref="DP24">IFERROR(INDEX(N_Bedarf!$CE$2:$CE$141,_xlfn.AGGREGATE(15,6,(ROW(N_Bedarf!$CE$2:$CE$141)-1)/(--(SEARCH(DQ$2,N_Bedarf!$CE$2:$CE$141)&gt;0)),ROW()-2),1),"")</f>
        <v>Mais-Ganzkorn frisch (m3)</v>
      </c>
      <c r="DQ24" s="2356"/>
      <c r="DR24" s="2356" t="str">
        <f t="array" ref="DR24">IFERROR(INDEX(N_Bedarf!$CE$2:$CE$141,_xlfn.AGGREGATE(15,6,(ROW(N_Bedarf!$CE$2:$CE$141)-1)/(--(SEARCH(DS$2,N_Bedarf!$CE$2:$CE$141)&gt;0)),ROW()-2),1),"")</f>
        <v>Mais-Ganzkorn frisch (m3)</v>
      </c>
      <c r="DS24" s="2356"/>
      <c r="DT24" s="2356" t="str">
        <f t="array" ref="DT24">IFERROR(INDEX(N_Bedarf!$CE$2:$CE$141,_xlfn.AGGREGATE(15,6,(ROW(N_Bedarf!$CE$2:$CE$141)-1)/(--(SEARCH(DU$2,N_Bedarf!$CE$2:$CE$141)&gt;0)),ROW()-2),1),"")</f>
        <v>Mais-Ganzkorn frisch (m3)</v>
      </c>
      <c r="DU24" s="2356"/>
      <c r="DV24" s="2356" t="str">
        <f t="array" ref="DV24">IFERROR(INDEX(N_Bedarf!$CE$2:$CE$141,_xlfn.AGGREGATE(15,6,(ROW(N_Bedarf!$CE$2:$CE$141)-1)/(--(SEARCH(DW$2,N_Bedarf!$CE$2:$CE$141)&gt;0)),ROW()-2),1),"")</f>
        <v>Mais-Ganzkorn frisch (m3)</v>
      </c>
      <c r="DW24" s="2356"/>
      <c r="DX24" s="2356" t="str">
        <f t="array" ref="DX24">IFERROR(INDEX(N_Bedarf!$CE$2:$CE$141,_xlfn.AGGREGATE(15,6,(ROW(N_Bedarf!$CE$2:$CE$141)-1)/(--(SEARCH(DY$2,N_Bedarf!$CE$2:$CE$141)&gt;0)),ROW()-2),1),"")</f>
        <v>Mais-Ganzkorn frisch (m3)</v>
      </c>
      <c r="DY24" s="2356"/>
      <c r="DZ24" s="2356" t="str">
        <f t="array" ref="DZ24">IFERROR(INDEX(N_Bedarf!$CE$2:$CE$141,_xlfn.AGGREGATE(15,6,(ROW(N_Bedarf!$CE$2:$CE$141)-1)/(--(SEARCH(EA$2,N_Bedarf!$CE$2:$CE$141)&gt;0)),ROW()-2),1),"")</f>
        <v>Mais-Ganzkorn frisch (m3)</v>
      </c>
      <c r="EA24" s="2356"/>
      <c r="EB24" s="2356" t="str">
        <f t="array" ref="EB24">IFERROR(INDEX(N_Bedarf!$CE$2:$CE$141,_xlfn.AGGREGATE(15,6,(ROW(N_Bedarf!$CE$2:$CE$141)-1)/(--(SEARCH(EC$2,N_Bedarf!$CE$2:$CE$141)&gt;0)),ROW()-2),1),"")</f>
        <v>Mais-Ganzkorn frisch (m3)</v>
      </c>
      <c r="EC24" s="2356"/>
      <c r="ED24"/>
      <c r="EE24"/>
      <c r="EF24"/>
      <c r="EG24"/>
      <c r="EH24"/>
      <c r="EI24"/>
      <c r="EJ24"/>
      <c r="EK24"/>
      <c r="EL24"/>
      <c r="EM24"/>
      <c r="EN24"/>
      <c r="EO24"/>
      <c r="EP24"/>
      <c r="EQ24"/>
      <c r="ER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row>
    <row r="25" spans="1:291" ht="27" customHeight="1" thickTop="1" thickBot="1">
      <c r="A25" s="287" t="s">
        <v>1282</v>
      </c>
      <c r="B25" s="421" t="str">
        <f t="shared" si="21"/>
        <v xml:space="preserve">t - </v>
      </c>
      <c r="C25" s="2475"/>
      <c r="D25" s="2476"/>
      <c r="E25" s="912"/>
      <c r="F25" s="913"/>
      <c r="G25" s="1916" t="str">
        <f t="shared" si="9"/>
        <v/>
      </c>
      <c r="H25" s="2296"/>
      <c r="I25" s="914">
        <f t="shared" si="10"/>
        <v>0</v>
      </c>
      <c r="J25" s="2297">
        <f t="shared" si="11"/>
        <v>0</v>
      </c>
      <c r="K25" s="2299"/>
      <c r="L25" s="915">
        <f t="shared" si="1"/>
        <v>0</v>
      </c>
      <c r="M25" s="2298">
        <f t="shared" si="2"/>
        <v>0</v>
      </c>
      <c r="N25" s="2466" t="str">
        <f>IFERROR(IF(AND(Betrieb!$D$12="JA",N_Bedarf!$S$17=0,Betrieb!$D$4&lt;&gt;2023),"Vorfruchtwirkung aus dem Bereich des Feldgemüsebaus aus dem vorangegangenen Wirtschaftsjahr beachten - Dieser ist als Summenwert in kg Njw in Zelle S17 einzutragen",""),"")</f>
        <v>Vorfruchtwirkung aus dem Bereich des Feldgemüsebaus aus dem vorangegangenen Wirtschaftsjahr beachten - Dieser ist als Summenwert in kg Njw in Zelle S17 einzutragen</v>
      </c>
      <c r="O25" s="2467"/>
      <c r="P25" s="2467"/>
      <c r="Q25" s="2467"/>
      <c r="R25" s="2467"/>
      <c r="S25" s="2468"/>
      <c r="T25" s="770"/>
      <c r="U25" s="2551" t="s">
        <v>368</v>
      </c>
      <c r="V25" s="2551"/>
      <c r="W25" s="2551"/>
      <c r="X25" s="2541">
        <f>Betrieb!D15</f>
        <v>0</v>
      </c>
      <c r="Y25" s="768"/>
      <c r="Z25" s="768"/>
      <c r="AA25" s="768"/>
      <c r="AB25" s="768"/>
      <c r="AC25" s="768"/>
      <c r="AD25" s="768"/>
      <c r="AE25" s="768"/>
      <c r="AF25" s="768"/>
      <c r="AG25" s="768"/>
      <c r="AH25" s="768"/>
      <c r="AI25" s="768"/>
      <c r="AJ25" s="768"/>
      <c r="AK25" s="768"/>
      <c r="AL25" s="768"/>
      <c r="AM25" s="768"/>
      <c r="AN25" s="768"/>
      <c r="AO25" s="768"/>
      <c r="AP25" s="1568" t="str">
        <f t="shared" si="3"/>
        <v/>
      </c>
      <c r="AQ25" s="472">
        <f t="shared" si="14"/>
        <v>0</v>
      </c>
      <c r="AR25" s="472">
        <f t="shared" si="15"/>
        <v>0</v>
      </c>
      <c r="AS25" s="472">
        <f t="shared" si="16"/>
        <v>0</v>
      </c>
      <c r="AT25" s="472">
        <f t="shared" si="17"/>
        <v>0</v>
      </c>
      <c r="AU25" s="472">
        <f t="shared" si="18"/>
        <v>0</v>
      </c>
      <c r="AV25" s="472">
        <f t="shared" si="19"/>
        <v>0</v>
      </c>
      <c r="AW25" s="472">
        <f t="shared" si="20"/>
        <v>0</v>
      </c>
      <c r="AX25" s="1722" t="s">
        <v>1263</v>
      </c>
      <c r="AY25" s="681">
        <v>110</v>
      </c>
      <c r="AZ25" s="681">
        <v>100</v>
      </c>
      <c r="BA25" s="681" t="s">
        <v>2644</v>
      </c>
      <c r="BB25" s="681">
        <v>155</v>
      </c>
      <c r="BC25" s="681">
        <v>140</v>
      </c>
      <c r="BD25" s="681" t="s">
        <v>2565</v>
      </c>
      <c r="BE25" s="681">
        <v>180</v>
      </c>
      <c r="BF25" s="681">
        <v>160</v>
      </c>
      <c r="BG25" s="681" t="s">
        <v>2676</v>
      </c>
      <c r="BH25" s="681">
        <v>195</v>
      </c>
      <c r="BI25" s="681">
        <v>175</v>
      </c>
      <c r="BJ25" s="681" t="s">
        <v>2677</v>
      </c>
      <c r="BK25" s="681">
        <v>210</v>
      </c>
      <c r="BL25" s="681">
        <v>190</v>
      </c>
      <c r="BM25" s="681" t="s">
        <v>2574</v>
      </c>
      <c r="BN25" s="471">
        <v>13</v>
      </c>
      <c r="BO25" s="821" t="s">
        <v>1764</v>
      </c>
      <c r="BP25"/>
      <c r="BQ25" s="1722" t="s">
        <v>1263</v>
      </c>
      <c r="BR25" s="470">
        <v>75</v>
      </c>
      <c r="BS25" s="470">
        <v>85</v>
      </c>
      <c r="BT25" s="470">
        <v>100</v>
      </c>
      <c r="BU25"/>
      <c r="BV25" s="1722" t="s">
        <v>1263</v>
      </c>
      <c r="BW25" s="470">
        <v>180</v>
      </c>
      <c r="BX25" s="470">
        <v>200</v>
      </c>
      <c r="BY25" s="470">
        <v>230</v>
      </c>
      <c r="BZ25" s="470">
        <v>150</v>
      </c>
      <c r="CA25" s="470">
        <v>150</v>
      </c>
      <c r="CB25"/>
      <c r="CC25"/>
      <c r="CD25"/>
      <c r="CE25" s="1835" t="s">
        <v>1741</v>
      </c>
      <c r="CF25" s="1834" t="str">
        <f>IFERROR(INDEX(N_Bedarf!$CE$2:$CE$141,_xlfn.AGGREGATE(15,6,(ROW(N_Bedarf!$CE$2:$CE$141)-1)/(--(SEARCH(CG$2,N_Bedarf!$CE$2:$CE$141)&gt;0)),ROW()-2),1),"")</f>
        <v>Mais-Ganzkornsilage gelagert (m3)</v>
      </c>
      <c r="CG25" s="1830"/>
      <c r="CH25" s="1834" t="str">
        <f>IFERROR(INDEX(N_Bedarf!$CE$2:$CE$141,_xlfn.AGGREGATE(15,6,(ROW(N_Bedarf!$CE$2:$CE$141)-1)/(--(SEARCH(CI$2,N_Bedarf!$CE$2:$CE$141)&gt;0)),ROW()-2),1),"")</f>
        <v>Mais-Ganzkornsilage gelagert (m3)</v>
      </c>
      <c r="CI25" s="1830"/>
      <c r="CJ25" s="1834" t="str">
        <f>IFERROR(INDEX(N_Bedarf!$CE$2:$CE$141,_xlfn.AGGREGATE(15,6,(ROW(N_Bedarf!$CE$2:$CE$141)-1)/(--(SEARCH(CK$2,N_Bedarf!$CE$2:$CE$141)&gt;0)),ROW()-2),1),"")</f>
        <v>Mais-Ganzkornsilage gelagert (m3)</v>
      </c>
      <c r="CK25" s="1830"/>
      <c r="CL25" s="1834" t="str">
        <f>IFERROR(INDEX(N_Bedarf!$CE$2:$CE$141,_xlfn.AGGREGATE(15,6,(ROW(N_Bedarf!$CE$2:$CE$141)-1)/(--(SEARCH(CM$2,N_Bedarf!$CE$2:$CE$141)&gt;0)),ROW()-2),1),"")</f>
        <v>Mais-Ganzkornsilage gelagert (m3)</v>
      </c>
      <c r="CM25" s="1830"/>
      <c r="CN25" s="1834" t="str">
        <f>IFERROR(INDEX(N_Bedarf!$CE$2:$CE$141,_xlfn.AGGREGATE(15,6,(ROW(N_Bedarf!$CE$2:$CE$141)-1)/(--(SEARCH(CO$2,N_Bedarf!$CE$2:$CE$141)&gt;0)),ROW()-2),1),"")</f>
        <v>Mais-Ganzkornsilage gelagert (m3)</v>
      </c>
      <c r="CO25" s="1830"/>
      <c r="CP25" s="1834" t="str">
        <f>IFERROR(INDEX(N_Bedarf!$CE$2:$CE$141,_xlfn.AGGREGATE(15,6,(ROW(N_Bedarf!$CE$2:$CE$141)-1)/(--(SEARCH(CQ$2,N_Bedarf!$CE$2:$CE$141)&gt;0)),ROW()-2),1),"")</f>
        <v>Mais-Ganzkornsilage gelagert (m3)</v>
      </c>
      <c r="CQ25" s="1830"/>
      <c r="CR25" s="1834" t="str">
        <f>IFERROR(INDEX(N_Bedarf!$CE$2:$CE$141,_xlfn.AGGREGATE(15,6,(ROW(N_Bedarf!$CE$2:$CE$141)-1)/(--(SEARCH(CS$2,N_Bedarf!$CE$2:$CE$141)&gt;0)),ROW()-2),1),"")</f>
        <v>Mais-Ganzkornsilage gelagert (m3)</v>
      </c>
      <c r="CS25" s="1830"/>
      <c r="CT25" s="1834" t="str">
        <f>IFERROR(INDEX(N_Bedarf!$CE$2:$CE$141,_xlfn.AGGREGATE(15,6,(ROW(N_Bedarf!$CE$2:$CE$141)-1)/(--(SEARCH(CU$2,N_Bedarf!$CE$2:$CE$141)&gt;0)),ROW()-2),1),"")</f>
        <v>Mais-Ganzkornsilage gelagert (m3)</v>
      </c>
      <c r="CU25" s="1830"/>
      <c r="CV25" s="1834" t="str">
        <f>IFERROR(INDEX(N_Bedarf!$CE$2:$CE$141,_xlfn.AGGREGATE(15,6,(ROW(N_Bedarf!$CE$2:$CE$141)-1)/(--(SEARCH(CW$2,N_Bedarf!$CE$2:$CE$141)&gt;0)),ROW()-2),1),"")</f>
        <v>Mais-Ganzkornsilage gelagert (m3)</v>
      </c>
      <c r="CW25" s="1830"/>
      <c r="CX25" s="1834" t="str">
        <f>IFERROR(INDEX(N_Bedarf!$CE$2:$CE$141,_xlfn.AGGREGATE(15,6,(ROW(N_Bedarf!$CE$2:$CE$141)-1)/(--(SEARCH(CY$2,N_Bedarf!$CE$2:$CE$141)&gt;0)),ROW()-2),1),"")</f>
        <v>Mais-Ganzkornsilage gelagert (m3)</v>
      </c>
      <c r="CY25" s="1830"/>
      <c r="CZ25" s="1834" t="str">
        <f>IFERROR(INDEX(N_Bedarf!$CE$2:$CE$141,_xlfn.AGGREGATE(15,6,(ROW(N_Bedarf!$CE$2:$CE$141)-1)/(--(SEARCH(DA$2,N_Bedarf!$CE$2:$CE$141)&gt;0)),ROW()-2),1),"")</f>
        <v>Mais-Ganzkornsilage gelagert (m3)</v>
      </c>
      <c r="DA25" s="1830"/>
      <c r="DB25" s="1834" t="str">
        <f>IFERROR(INDEX(N_Bedarf!$CE$2:$CE$141,_xlfn.AGGREGATE(15,6,(ROW(N_Bedarf!$CE$2:$CE$141)-1)/(--(SEARCH(DC$2,N_Bedarf!$CE$2:$CE$141)&gt;0)),ROW()-2),1),"")</f>
        <v>Mais-Ganzkornsilage gelagert (m3)</v>
      </c>
      <c r="DC25" s="1830"/>
      <c r="DD25" s="1834" t="str">
        <f>IFERROR(INDEX(N_Bedarf!$CE$2:$CE$141,_xlfn.AGGREGATE(15,6,(ROW(N_Bedarf!$CE$2:$CE$141)-1)/(--(SEARCH(DE$2,N_Bedarf!$CE$2:$CE$141)&gt;0)),ROW()-2),1),"")</f>
        <v>Mais-Ganzkornsilage gelagert (m3)</v>
      </c>
      <c r="DE25" s="1830"/>
      <c r="DF25" s="2353" t="str">
        <f t="array" ref="DF25">IFERROR(INDEX(N_Bedarf!$CE$2:$CE$141,_xlfn.AGGREGATE(15,6,(ROW(N_Bedarf!$CE$2:$CE$141)-1)/(--(SEARCH(DG$2,N_Bedarf!$CE$2:$CE$141)&gt;0)),ROW()-2),1),"")</f>
        <v>Mais-Ganzkornsilage gelagert (m3)</v>
      </c>
      <c r="DG25" s="2353"/>
      <c r="DH25" s="2355" t="str">
        <f t="array" ref="DH25">IFERROR(INDEX(N_Bedarf!$CE$2:$CE$141,_xlfn.AGGREGATE(15,6,(ROW(N_Bedarf!$CE$2:$CE$141)-1)/(--(SEARCH(DI$2,N_Bedarf!$CE$2:$CE$141)&gt;0)),ROW()-2),1),"")</f>
        <v>Mais-Ganzkornsilage gelagert (m3)</v>
      </c>
      <c r="DI25" s="2355"/>
      <c r="DJ25" s="2356" t="str">
        <f t="array" ref="DJ25">IFERROR(INDEX(N_Bedarf!$CE$2:$CE$141,_xlfn.AGGREGATE(15,6,(ROW(N_Bedarf!$CE$2:$CE$141)-1)/(--(SEARCH(DK$2,N_Bedarf!$CE$2:$CE$141)&gt;0)),ROW()-2),1),"")</f>
        <v>Mais-Ganzkornsilage gelagert (m3)</v>
      </c>
      <c r="DK25" s="2356"/>
      <c r="DL25" s="2356" t="str">
        <f t="array" ref="DL25">IFERROR(INDEX(N_Bedarf!$CE$2:$CE$141,_xlfn.AGGREGATE(15,6,(ROW(N_Bedarf!$CE$2:$CE$141)-1)/(--(SEARCH(DM$2,N_Bedarf!$CE$2:$CE$141)&gt;0)),ROW()-2),1),"")</f>
        <v>Mais-Ganzkornsilage gelagert (m3)</v>
      </c>
      <c r="DM25" s="2356"/>
      <c r="DN25" s="2356" t="str">
        <f t="array" ref="DN25">IFERROR(INDEX(N_Bedarf!$CE$2:$CE$141,_xlfn.AGGREGATE(15,6,(ROW(N_Bedarf!$CE$2:$CE$141)-1)/(--(SEARCH(DO$2,N_Bedarf!$CE$2:$CE$141)&gt;0)),ROW()-2),1),"")</f>
        <v>Mais-Ganzkornsilage gelagert (m3)</v>
      </c>
      <c r="DO25" s="2356"/>
      <c r="DP25" s="2356" t="str">
        <f t="array" ref="DP25">IFERROR(INDEX(N_Bedarf!$CE$2:$CE$141,_xlfn.AGGREGATE(15,6,(ROW(N_Bedarf!$CE$2:$CE$141)-1)/(--(SEARCH(DQ$2,N_Bedarf!$CE$2:$CE$141)&gt;0)),ROW()-2),1),"")</f>
        <v>Mais-Ganzkornsilage gelagert (m3)</v>
      </c>
      <c r="DQ25" s="2356"/>
      <c r="DR25" s="2356" t="str">
        <f t="array" ref="DR25">IFERROR(INDEX(N_Bedarf!$CE$2:$CE$141,_xlfn.AGGREGATE(15,6,(ROW(N_Bedarf!$CE$2:$CE$141)-1)/(--(SEARCH(DS$2,N_Bedarf!$CE$2:$CE$141)&gt;0)),ROW()-2),1),"")</f>
        <v>Mais-Ganzkornsilage gelagert (m3)</v>
      </c>
      <c r="DS25" s="2356"/>
      <c r="DT25" s="2356" t="str">
        <f t="array" ref="DT25">IFERROR(INDEX(N_Bedarf!$CE$2:$CE$141,_xlfn.AGGREGATE(15,6,(ROW(N_Bedarf!$CE$2:$CE$141)-1)/(--(SEARCH(DU$2,N_Bedarf!$CE$2:$CE$141)&gt;0)),ROW()-2),1),"")</f>
        <v>Mais-Ganzkornsilage gelagert (m3)</v>
      </c>
      <c r="DU25" s="2356"/>
      <c r="DV25" s="2356" t="str">
        <f t="array" ref="DV25">IFERROR(INDEX(N_Bedarf!$CE$2:$CE$141,_xlfn.AGGREGATE(15,6,(ROW(N_Bedarf!$CE$2:$CE$141)-1)/(--(SEARCH(DW$2,N_Bedarf!$CE$2:$CE$141)&gt;0)),ROW()-2),1),"")</f>
        <v>Mais-Ganzkornsilage gelagert (m3)</v>
      </c>
      <c r="DW25" s="2356"/>
      <c r="DX25" s="2356" t="str">
        <f t="array" ref="DX25">IFERROR(INDEX(N_Bedarf!$CE$2:$CE$141,_xlfn.AGGREGATE(15,6,(ROW(N_Bedarf!$CE$2:$CE$141)-1)/(--(SEARCH(DY$2,N_Bedarf!$CE$2:$CE$141)&gt;0)),ROW()-2),1),"")</f>
        <v>Mais-Ganzkornsilage gelagert (m3)</v>
      </c>
      <c r="DY25" s="2356"/>
      <c r="DZ25" s="2356" t="str">
        <f t="array" ref="DZ25">IFERROR(INDEX(N_Bedarf!$CE$2:$CE$141,_xlfn.AGGREGATE(15,6,(ROW(N_Bedarf!$CE$2:$CE$141)-1)/(--(SEARCH(EA$2,N_Bedarf!$CE$2:$CE$141)&gt;0)),ROW()-2),1),"")</f>
        <v>Mais-Ganzkornsilage gelagert (m3)</v>
      </c>
      <c r="EA25" s="2356"/>
      <c r="EB25" s="2356" t="str">
        <f t="array" ref="EB25">IFERROR(INDEX(N_Bedarf!$CE$2:$CE$141,_xlfn.AGGREGATE(15,6,(ROW(N_Bedarf!$CE$2:$CE$141)-1)/(--(SEARCH(EC$2,N_Bedarf!$CE$2:$CE$141)&gt;0)),ROW()-2),1),"")</f>
        <v>Mais-Ganzkornsilage gelagert (m3)</v>
      </c>
      <c r="EC25" s="2356"/>
      <c r="ED25"/>
      <c r="EE25"/>
      <c r="EF25"/>
      <c r="EG25"/>
      <c r="EH25"/>
      <c r="EI25"/>
      <c r="EJ25"/>
      <c r="EK25"/>
      <c r="EL25"/>
      <c r="EM25"/>
      <c r="EN25"/>
      <c r="EO25"/>
      <c r="EP25"/>
      <c r="EQ25"/>
      <c r="ER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row>
    <row r="26" spans="1:291" ht="27" customHeight="1" thickTop="1" thickBot="1">
      <c r="B26" s="421"/>
      <c r="C26" s="2475"/>
      <c r="D26" s="2476"/>
      <c r="E26" s="912"/>
      <c r="F26" s="913"/>
      <c r="G26" s="1916" t="str">
        <f t="shared" si="9"/>
        <v/>
      </c>
      <c r="H26" s="2296"/>
      <c r="I26" s="914">
        <f t="shared" si="10"/>
        <v>0</v>
      </c>
      <c r="J26" s="2297">
        <f t="shared" si="11"/>
        <v>0</v>
      </c>
      <c r="K26" s="2299"/>
      <c r="L26" s="915">
        <f t="shared" si="1"/>
        <v>0</v>
      </c>
      <c r="M26" s="2298">
        <f t="shared" si="2"/>
        <v>0</v>
      </c>
      <c r="N26" s="2469"/>
      <c r="O26" s="2470"/>
      <c r="P26" s="2470"/>
      <c r="Q26" s="2470"/>
      <c r="R26" s="2470"/>
      <c r="S26" s="2471"/>
      <c r="T26" s="770"/>
      <c r="U26" s="2551"/>
      <c r="V26" s="2551"/>
      <c r="W26" s="2551"/>
      <c r="X26" s="2541"/>
      <c r="Y26" s="769"/>
      <c r="Z26" s="769"/>
      <c r="AA26" s="769"/>
      <c r="AB26" s="769"/>
      <c r="AC26" s="769"/>
      <c r="AD26" s="769"/>
      <c r="AE26" s="769"/>
      <c r="AF26" s="769"/>
      <c r="AG26" s="769"/>
      <c r="AH26" s="769"/>
      <c r="AI26" s="769"/>
      <c r="AJ26" s="769"/>
      <c r="AK26" s="769"/>
      <c r="AL26" s="769"/>
      <c r="AM26" s="769"/>
      <c r="AN26" s="769"/>
      <c r="AO26" s="769"/>
      <c r="AP26" s="1568" t="str">
        <f t="shared" si="3"/>
        <v/>
      </c>
      <c r="AQ26" s="472">
        <f t="shared" si="14"/>
        <v>0</v>
      </c>
      <c r="AR26" s="472">
        <f t="shared" si="15"/>
        <v>0</v>
      </c>
      <c r="AS26" s="472">
        <f t="shared" si="16"/>
        <v>0</v>
      </c>
      <c r="AT26" s="472">
        <f t="shared" si="17"/>
        <v>0</v>
      </c>
      <c r="AU26" s="472">
        <f t="shared" si="18"/>
        <v>0</v>
      </c>
      <c r="AV26" s="472">
        <f t="shared" si="19"/>
        <v>0</v>
      </c>
      <c r="AW26" s="472">
        <f t="shared" si="20"/>
        <v>0</v>
      </c>
      <c r="AX26" s="1722" t="s">
        <v>1739</v>
      </c>
      <c r="AY26" s="681">
        <v>110</v>
      </c>
      <c r="AZ26" s="681">
        <v>100</v>
      </c>
      <c r="BA26" s="681" t="s">
        <v>2645</v>
      </c>
      <c r="BB26" s="681">
        <v>155</v>
      </c>
      <c r="BC26" s="681">
        <v>140</v>
      </c>
      <c r="BD26" s="681" t="s">
        <v>2718</v>
      </c>
      <c r="BE26" s="681">
        <v>180</v>
      </c>
      <c r="BF26" s="681">
        <v>160</v>
      </c>
      <c r="BG26" s="681" t="s">
        <v>2754</v>
      </c>
      <c r="BH26" s="681">
        <v>195</v>
      </c>
      <c r="BI26" s="681">
        <v>175</v>
      </c>
      <c r="BJ26" s="681" t="s">
        <v>2757</v>
      </c>
      <c r="BK26" s="681">
        <v>210</v>
      </c>
      <c r="BL26" s="681">
        <v>190</v>
      </c>
      <c r="BM26" s="681" t="s">
        <v>2607</v>
      </c>
      <c r="BN26" s="471">
        <v>0</v>
      </c>
      <c r="BO26" s="821" t="s">
        <v>1764</v>
      </c>
      <c r="BP26"/>
      <c r="BQ26" s="1722" t="s">
        <v>1739</v>
      </c>
      <c r="BR26" s="470">
        <v>75</v>
      </c>
      <c r="BS26" s="470">
        <v>85</v>
      </c>
      <c r="BT26" s="470">
        <v>100</v>
      </c>
      <c r="BU26"/>
      <c r="BV26" s="1722" t="s">
        <v>1739</v>
      </c>
      <c r="BW26" s="470">
        <v>180</v>
      </c>
      <c r="BX26" s="470">
        <v>200</v>
      </c>
      <c r="BY26" s="470">
        <v>230</v>
      </c>
      <c r="BZ26" s="470">
        <v>40</v>
      </c>
      <c r="CA26" s="470">
        <v>40</v>
      </c>
      <c r="CB26"/>
      <c r="CC26"/>
      <c r="CD26"/>
      <c r="CE26" s="1833" t="s">
        <v>1742</v>
      </c>
      <c r="CF26" s="1834" t="str">
        <f>IFERROR(INDEX(N_Bedarf!$CE$2:$CE$141,_xlfn.AGGREGATE(15,6,(ROW(N_Bedarf!$CE$2:$CE$141)-1)/(--(SEARCH(CG$2,N_Bedarf!$CE$2:$CE$141)&gt;0)),ROW()-2),1),"")</f>
        <v>Maiskornschrot frisch (m3)</v>
      </c>
      <c r="CG26" s="1836"/>
      <c r="CH26" s="1834" t="str">
        <f>IFERROR(INDEX(N_Bedarf!$CE$2:$CE$141,_xlfn.AGGREGATE(15,6,(ROW(N_Bedarf!$CE$2:$CE$141)-1)/(--(SEARCH(CI$2,N_Bedarf!$CE$2:$CE$141)&gt;0)),ROW()-2),1),"")</f>
        <v>Maiskornschrot frisch (m3)</v>
      </c>
      <c r="CI26" s="1836"/>
      <c r="CJ26" s="1834" t="str">
        <f>IFERROR(INDEX(N_Bedarf!$CE$2:$CE$141,_xlfn.AGGREGATE(15,6,(ROW(N_Bedarf!$CE$2:$CE$141)-1)/(--(SEARCH(CK$2,N_Bedarf!$CE$2:$CE$141)&gt;0)),ROW()-2),1),"")</f>
        <v>Maiskornschrot frisch (m3)</v>
      </c>
      <c r="CK26" s="1836"/>
      <c r="CL26" s="1834" t="str">
        <f>IFERROR(INDEX(N_Bedarf!$CE$2:$CE$141,_xlfn.AGGREGATE(15,6,(ROW(N_Bedarf!$CE$2:$CE$141)-1)/(--(SEARCH(CM$2,N_Bedarf!$CE$2:$CE$141)&gt;0)),ROW()-2),1),"")</f>
        <v>Maiskornschrot frisch (m3)</v>
      </c>
      <c r="CM26" s="1836"/>
      <c r="CN26" s="1834" t="str">
        <f>IFERROR(INDEX(N_Bedarf!$CE$2:$CE$141,_xlfn.AGGREGATE(15,6,(ROW(N_Bedarf!$CE$2:$CE$141)-1)/(--(SEARCH(CO$2,N_Bedarf!$CE$2:$CE$141)&gt;0)),ROW()-2),1),"")</f>
        <v>Maiskornschrot frisch (m3)</v>
      </c>
      <c r="CO26" s="1836"/>
      <c r="CP26" s="1834" t="str">
        <f>IFERROR(INDEX(N_Bedarf!$CE$2:$CE$141,_xlfn.AGGREGATE(15,6,(ROW(N_Bedarf!$CE$2:$CE$141)-1)/(--(SEARCH(CQ$2,N_Bedarf!$CE$2:$CE$141)&gt;0)),ROW()-2),1),"")</f>
        <v>Maiskornschrot frisch (m3)</v>
      </c>
      <c r="CQ26" s="1836"/>
      <c r="CR26" s="1834" t="str">
        <f>IFERROR(INDEX(N_Bedarf!$CE$2:$CE$141,_xlfn.AGGREGATE(15,6,(ROW(N_Bedarf!$CE$2:$CE$141)-1)/(--(SEARCH(CS$2,N_Bedarf!$CE$2:$CE$141)&gt;0)),ROW()-2),1),"")</f>
        <v>Maiskornschrot frisch (m3)</v>
      </c>
      <c r="CS26" s="1836"/>
      <c r="CT26" s="1834" t="str">
        <f>IFERROR(INDEX(N_Bedarf!$CE$2:$CE$141,_xlfn.AGGREGATE(15,6,(ROW(N_Bedarf!$CE$2:$CE$141)-1)/(--(SEARCH(CU$2,N_Bedarf!$CE$2:$CE$141)&gt;0)),ROW()-2),1),"")</f>
        <v>Maiskornschrot frisch (m3)</v>
      </c>
      <c r="CU26" s="1836"/>
      <c r="CV26" s="1834" t="str">
        <f>IFERROR(INDEX(N_Bedarf!$CE$2:$CE$141,_xlfn.AGGREGATE(15,6,(ROW(N_Bedarf!$CE$2:$CE$141)-1)/(--(SEARCH(CW$2,N_Bedarf!$CE$2:$CE$141)&gt;0)),ROW()-2),1),"")</f>
        <v>Maiskornschrot frisch (m3)</v>
      </c>
      <c r="CW26" s="1836"/>
      <c r="CX26" s="1834" t="str">
        <f>IFERROR(INDEX(N_Bedarf!$CE$2:$CE$141,_xlfn.AGGREGATE(15,6,(ROW(N_Bedarf!$CE$2:$CE$141)-1)/(--(SEARCH(CY$2,N_Bedarf!$CE$2:$CE$141)&gt;0)),ROW()-2),1),"")</f>
        <v>Maiskornschrot frisch (m3)</v>
      </c>
      <c r="CY26" s="1836"/>
      <c r="CZ26" s="1834" t="str">
        <f>IFERROR(INDEX(N_Bedarf!$CE$2:$CE$141,_xlfn.AGGREGATE(15,6,(ROW(N_Bedarf!$CE$2:$CE$141)-1)/(--(SEARCH(DA$2,N_Bedarf!$CE$2:$CE$141)&gt;0)),ROW()-2),1),"")</f>
        <v>Maiskornschrot frisch (m3)</v>
      </c>
      <c r="DA26" s="1836"/>
      <c r="DB26" s="1834" t="str">
        <f>IFERROR(INDEX(N_Bedarf!$CE$2:$CE$141,_xlfn.AGGREGATE(15,6,(ROW(N_Bedarf!$CE$2:$CE$141)-1)/(--(SEARCH(DC$2,N_Bedarf!$CE$2:$CE$141)&gt;0)),ROW()-2),1),"")</f>
        <v>Maiskornschrot frisch (m3)</v>
      </c>
      <c r="DC26" s="1836"/>
      <c r="DD26" s="1834" t="str">
        <f>IFERROR(INDEX(N_Bedarf!$CE$2:$CE$141,_xlfn.AGGREGATE(15,6,(ROW(N_Bedarf!$CE$2:$CE$141)-1)/(--(SEARCH(DE$2,N_Bedarf!$CE$2:$CE$141)&gt;0)),ROW()-2),1),"")</f>
        <v>Maiskornschrot frisch (m3)</v>
      </c>
      <c r="DE26" s="1836"/>
      <c r="DF26" s="2353" t="str">
        <f t="array" ref="DF26">IFERROR(INDEX(N_Bedarf!$CE$2:$CE$141,_xlfn.AGGREGATE(15,6,(ROW(N_Bedarf!$CE$2:$CE$141)-1)/(--(SEARCH(DG$2,N_Bedarf!$CE$2:$CE$141)&gt;0)),ROW()-2),1),"")</f>
        <v>Maiskornschrot frisch (m3)</v>
      </c>
      <c r="DG26" s="2353"/>
      <c r="DH26" s="2355" t="str">
        <f t="array" ref="DH26">IFERROR(INDEX(N_Bedarf!$CE$2:$CE$141,_xlfn.AGGREGATE(15,6,(ROW(N_Bedarf!$CE$2:$CE$141)-1)/(--(SEARCH(DI$2,N_Bedarf!$CE$2:$CE$141)&gt;0)),ROW()-2),1),"")</f>
        <v>Maiskornschrot frisch (m3)</v>
      </c>
      <c r="DI26" s="2355"/>
      <c r="DJ26" s="2356" t="str">
        <f t="array" ref="DJ26">IFERROR(INDEX(N_Bedarf!$CE$2:$CE$141,_xlfn.AGGREGATE(15,6,(ROW(N_Bedarf!$CE$2:$CE$141)-1)/(--(SEARCH(DK$2,N_Bedarf!$CE$2:$CE$141)&gt;0)),ROW()-2),1),"")</f>
        <v>Maiskornschrot frisch (m3)</v>
      </c>
      <c r="DK26" s="2356"/>
      <c r="DL26" s="2356" t="str">
        <f t="array" ref="DL26">IFERROR(INDEX(N_Bedarf!$CE$2:$CE$141,_xlfn.AGGREGATE(15,6,(ROW(N_Bedarf!$CE$2:$CE$141)-1)/(--(SEARCH(DM$2,N_Bedarf!$CE$2:$CE$141)&gt;0)),ROW()-2),1),"")</f>
        <v>Maiskornschrot frisch (m3)</v>
      </c>
      <c r="DM26" s="2356"/>
      <c r="DN26" s="2356" t="str">
        <f t="array" ref="DN26">IFERROR(INDEX(N_Bedarf!$CE$2:$CE$141,_xlfn.AGGREGATE(15,6,(ROW(N_Bedarf!$CE$2:$CE$141)-1)/(--(SEARCH(DO$2,N_Bedarf!$CE$2:$CE$141)&gt;0)),ROW()-2),1),"")</f>
        <v>Maiskornschrot frisch (m3)</v>
      </c>
      <c r="DO26" s="2356"/>
      <c r="DP26" s="2356" t="str">
        <f t="array" ref="DP26">IFERROR(INDEX(N_Bedarf!$CE$2:$CE$141,_xlfn.AGGREGATE(15,6,(ROW(N_Bedarf!$CE$2:$CE$141)-1)/(--(SEARCH(DQ$2,N_Bedarf!$CE$2:$CE$141)&gt;0)),ROW()-2),1),"")</f>
        <v>Maiskornschrot frisch (m3)</v>
      </c>
      <c r="DQ26" s="2356"/>
      <c r="DR26" s="2356" t="str">
        <f t="array" ref="DR26">IFERROR(INDEX(N_Bedarf!$CE$2:$CE$141,_xlfn.AGGREGATE(15,6,(ROW(N_Bedarf!$CE$2:$CE$141)-1)/(--(SEARCH(DS$2,N_Bedarf!$CE$2:$CE$141)&gt;0)),ROW()-2),1),"")</f>
        <v>Maiskornschrot frisch (m3)</v>
      </c>
      <c r="DS26" s="2356"/>
      <c r="DT26" s="2356" t="str">
        <f t="array" ref="DT26">IFERROR(INDEX(N_Bedarf!$CE$2:$CE$141,_xlfn.AGGREGATE(15,6,(ROW(N_Bedarf!$CE$2:$CE$141)-1)/(--(SEARCH(DU$2,N_Bedarf!$CE$2:$CE$141)&gt;0)),ROW()-2),1),"")</f>
        <v>Maiskornschrot frisch (m3)</v>
      </c>
      <c r="DU26" s="2356"/>
      <c r="DV26" s="2356" t="str">
        <f t="array" ref="DV26">IFERROR(INDEX(N_Bedarf!$CE$2:$CE$141,_xlfn.AGGREGATE(15,6,(ROW(N_Bedarf!$CE$2:$CE$141)-1)/(--(SEARCH(DW$2,N_Bedarf!$CE$2:$CE$141)&gt;0)),ROW()-2),1),"")</f>
        <v>Maiskornschrot frisch (m3)</v>
      </c>
      <c r="DW26" s="2356"/>
      <c r="DX26" s="2356" t="str">
        <f t="array" ref="DX26">IFERROR(INDEX(N_Bedarf!$CE$2:$CE$141,_xlfn.AGGREGATE(15,6,(ROW(N_Bedarf!$CE$2:$CE$141)-1)/(--(SEARCH(DY$2,N_Bedarf!$CE$2:$CE$141)&gt;0)),ROW()-2),1),"")</f>
        <v>Maiskornschrot frisch (m3)</v>
      </c>
      <c r="DY26" s="2356"/>
      <c r="DZ26" s="2356" t="str">
        <f t="array" ref="DZ26">IFERROR(INDEX(N_Bedarf!$CE$2:$CE$141,_xlfn.AGGREGATE(15,6,(ROW(N_Bedarf!$CE$2:$CE$141)-1)/(--(SEARCH(EA$2,N_Bedarf!$CE$2:$CE$141)&gt;0)),ROW()-2),1),"")</f>
        <v>Maiskornschrot frisch (m3)</v>
      </c>
      <c r="EA26" s="2356"/>
      <c r="EB26" s="2356" t="str">
        <f t="array" ref="EB26">IFERROR(INDEX(N_Bedarf!$CE$2:$CE$141,_xlfn.AGGREGATE(15,6,(ROW(N_Bedarf!$CE$2:$CE$141)-1)/(--(SEARCH(EC$2,N_Bedarf!$CE$2:$CE$141)&gt;0)),ROW()-2),1),"")</f>
        <v>Maiskornschrot frisch (m3)</v>
      </c>
      <c r="EC26" s="2356"/>
      <c r="ED26"/>
      <c r="EE26"/>
      <c r="EF26"/>
      <c r="EG26"/>
      <c r="EH26"/>
      <c r="EI26"/>
      <c r="EJ26"/>
      <c r="EK26"/>
      <c r="EL26"/>
      <c r="EM26"/>
      <c r="EN26"/>
      <c r="EO26"/>
      <c r="EP26"/>
      <c r="EQ26"/>
      <c r="ER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row>
    <row r="27" spans="1:291" ht="27" customHeight="1" thickTop="1" thickBot="1">
      <c r="B27" s="187"/>
      <c r="C27" s="2475"/>
      <c r="D27" s="2476"/>
      <c r="E27" s="912"/>
      <c r="F27" s="913"/>
      <c r="G27" s="1916" t="str">
        <f t="shared" si="9"/>
        <v/>
      </c>
      <c r="H27" s="2296"/>
      <c r="I27" s="914">
        <f t="shared" si="10"/>
        <v>0</v>
      </c>
      <c r="J27" s="2297">
        <f t="shared" si="11"/>
        <v>0</v>
      </c>
      <c r="K27" s="2299"/>
      <c r="L27" s="915">
        <f t="shared" si="1"/>
        <v>0</v>
      </c>
      <c r="M27" s="2298">
        <f t="shared" si="2"/>
        <v>0</v>
      </c>
      <c r="N27" s="2469"/>
      <c r="O27" s="2470"/>
      <c r="P27" s="2470"/>
      <c r="Q27" s="2470"/>
      <c r="R27" s="2470"/>
      <c r="S27" s="2471"/>
      <c r="T27" s="770"/>
      <c r="U27" s="2551" t="s">
        <v>369</v>
      </c>
      <c r="V27" s="2551"/>
      <c r="W27" s="2551"/>
      <c r="X27" s="2542">
        <f>SUM(E57:E62)</f>
        <v>0</v>
      </c>
      <c r="Y27" s="768"/>
      <c r="Z27" s="768"/>
      <c r="AA27" s="768"/>
      <c r="AB27" s="768"/>
      <c r="AC27" s="768"/>
      <c r="AD27" s="768"/>
      <c r="AE27" s="768"/>
      <c r="AF27" s="768"/>
      <c r="AG27" s="768"/>
      <c r="AH27" s="768"/>
      <c r="AI27" s="768"/>
      <c r="AJ27" s="768"/>
      <c r="AK27" s="768"/>
      <c r="AL27" s="768"/>
      <c r="AM27" s="768"/>
      <c r="AN27" s="768"/>
      <c r="AO27" s="768"/>
      <c r="AP27" s="1568" t="str">
        <f t="shared" si="3"/>
        <v/>
      </c>
      <c r="AQ27" s="472">
        <f t="shared" si="14"/>
        <v>0</v>
      </c>
      <c r="AR27" s="472">
        <f t="shared" si="15"/>
        <v>0</v>
      </c>
      <c r="AS27" s="472">
        <f t="shared" si="16"/>
        <v>0</v>
      </c>
      <c r="AT27" s="472">
        <f t="shared" si="17"/>
        <v>0</v>
      </c>
      <c r="AU27" s="472">
        <f t="shared" si="18"/>
        <v>0</v>
      </c>
      <c r="AV27" s="472">
        <f t="shared" si="19"/>
        <v>0</v>
      </c>
      <c r="AW27" s="472">
        <f t="shared" si="20"/>
        <v>0</v>
      </c>
      <c r="AX27" s="1722" t="s">
        <v>1740</v>
      </c>
      <c r="AY27" s="681">
        <v>110</v>
      </c>
      <c r="AZ27" s="681">
        <v>100</v>
      </c>
      <c r="BA27" s="681" t="s">
        <v>2646</v>
      </c>
      <c r="BB27" s="681">
        <v>155</v>
      </c>
      <c r="BC27" s="681">
        <v>140</v>
      </c>
      <c r="BD27" s="681" t="s">
        <v>2719</v>
      </c>
      <c r="BE27" s="681">
        <v>180</v>
      </c>
      <c r="BF27" s="681">
        <v>160</v>
      </c>
      <c r="BG27" s="681" t="s">
        <v>2755</v>
      </c>
      <c r="BH27" s="681">
        <v>195</v>
      </c>
      <c r="BI27" s="681">
        <v>175</v>
      </c>
      <c r="BJ27" s="681" t="s">
        <v>2758</v>
      </c>
      <c r="BK27" s="681">
        <v>210</v>
      </c>
      <c r="BL27" s="681">
        <v>190</v>
      </c>
      <c r="BM27" s="681" t="s">
        <v>2606</v>
      </c>
      <c r="BN27" s="471">
        <v>0</v>
      </c>
      <c r="BO27" s="821" t="s">
        <v>1764</v>
      </c>
      <c r="BP27"/>
      <c r="BQ27" s="1722" t="s">
        <v>1740</v>
      </c>
      <c r="BR27" s="470">
        <v>75</v>
      </c>
      <c r="BS27" s="470">
        <v>85</v>
      </c>
      <c r="BT27" s="470">
        <v>100</v>
      </c>
      <c r="BU27"/>
      <c r="BV27" s="1722" t="s">
        <v>1740</v>
      </c>
      <c r="BW27" s="470">
        <v>180</v>
      </c>
      <c r="BX27" s="470">
        <v>200</v>
      </c>
      <c r="BY27" s="470">
        <v>230</v>
      </c>
      <c r="BZ27" s="470">
        <v>60</v>
      </c>
      <c r="CA27" s="470">
        <v>60</v>
      </c>
      <c r="CB27"/>
      <c r="CC27"/>
      <c r="CD27"/>
      <c r="CE27" s="1835" t="s">
        <v>1706</v>
      </c>
      <c r="CF27" s="1834" t="str">
        <f>IFERROR(INDEX(N_Bedarf!$CE$2:$CE$141,_xlfn.AGGREGATE(15,6,(ROW(N_Bedarf!$CE$2:$CE$141)-1)/(--(SEARCH(CG$2,N_Bedarf!$CE$2:$CE$141)&gt;0)),ROW()-2),1),"")</f>
        <v>Maiskornschrot gelagert (m3)</v>
      </c>
      <c r="CG27" s="1830"/>
      <c r="CH27" s="1834" t="str">
        <f>IFERROR(INDEX(N_Bedarf!$CE$2:$CE$141,_xlfn.AGGREGATE(15,6,(ROW(N_Bedarf!$CE$2:$CE$141)-1)/(--(SEARCH(CI$2,N_Bedarf!$CE$2:$CE$141)&gt;0)),ROW()-2),1),"")</f>
        <v>Maiskornschrot gelagert (m3)</v>
      </c>
      <c r="CI27" s="1830"/>
      <c r="CJ27" s="1834" t="str">
        <f>IFERROR(INDEX(N_Bedarf!$CE$2:$CE$141,_xlfn.AGGREGATE(15,6,(ROW(N_Bedarf!$CE$2:$CE$141)-1)/(--(SEARCH(CK$2,N_Bedarf!$CE$2:$CE$141)&gt;0)),ROW()-2),1),"")</f>
        <v>Maiskornschrot gelagert (m3)</v>
      </c>
      <c r="CK27" s="1830"/>
      <c r="CL27" s="1834" t="str">
        <f>IFERROR(INDEX(N_Bedarf!$CE$2:$CE$141,_xlfn.AGGREGATE(15,6,(ROW(N_Bedarf!$CE$2:$CE$141)-1)/(--(SEARCH(CM$2,N_Bedarf!$CE$2:$CE$141)&gt;0)),ROW()-2),1),"")</f>
        <v>Maiskornschrot gelagert (m3)</v>
      </c>
      <c r="CM27" s="1830"/>
      <c r="CN27" s="1834" t="str">
        <f>IFERROR(INDEX(N_Bedarf!$CE$2:$CE$141,_xlfn.AGGREGATE(15,6,(ROW(N_Bedarf!$CE$2:$CE$141)-1)/(--(SEARCH(CO$2,N_Bedarf!$CE$2:$CE$141)&gt;0)),ROW()-2),1),"")</f>
        <v>Maiskornschrot gelagert (m3)</v>
      </c>
      <c r="CO27" s="1830"/>
      <c r="CP27" s="1834" t="str">
        <f>IFERROR(INDEX(N_Bedarf!$CE$2:$CE$141,_xlfn.AGGREGATE(15,6,(ROW(N_Bedarf!$CE$2:$CE$141)-1)/(--(SEARCH(CQ$2,N_Bedarf!$CE$2:$CE$141)&gt;0)),ROW()-2),1),"")</f>
        <v>Maiskornschrot gelagert (m3)</v>
      </c>
      <c r="CQ27" s="1830"/>
      <c r="CR27" s="1834" t="str">
        <f>IFERROR(INDEX(N_Bedarf!$CE$2:$CE$141,_xlfn.AGGREGATE(15,6,(ROW(N_Bedarf!$CE$2:$CE$141)-1)/(--(SEARCH(CS$2,N_Bedarf!$CE$2:$CE$141)&gt;0)),ROW()-2),1),"")</f>
        <v>Maiskornschrot gelagert (m3)</v>
      </c>
      <c r="CS27" s="1830"/>
      <c r="CT27" s="1834" t="str">
        <f>IFERROR(INDEX(N_Bedarf!$CE$2:$CE$141,_xlfn.AGGREGATE(15,6,(ROW(N_Bedarf!$CE$2:$CE$141)-1)/(--(SEARCH(CU$2,N_Bedarf!$CE$2:$CE$141)&gt;0)),ROW()-2),1),"")</f>
        <v>Maiskornschrot gelagert (m3)</v>
      </c>
      <c r="CU27" s="1830"/>
      <c r="CV27" s="1834" t="str">
        <f>IFERROR(INDEX(N_Bedarf!$CE$2:$CE$141,_xlfn.AGGREGATE(15,6,(ROW(N_Bedarf!$CE$2:$CE$141)-1)/(--(SEARCH(CW$2,N_Bedarf!$CE$2:$CE$141)&gt;0)),ROW()-2),1),"")</f>
        <v>Maiskornschrot gelagert (m3)</v>
      </c>
      <c r="CW27" s="1830"/>
      <c r="CX27" s="1834" t="str">
        <f>IFERROR(INDEX(N_Bedarf!$CE$2:$CE$141,_xlfn.AGGREGATE(15,6,(ROW(N_Bedarf!$CE$2:$CE$141)-1)/(--(SEARCH(CY$2,N_Bedarf!$CE$2:$CE$141)&gt;0)),ROW()-2),1),"")</f>
        <v>Maiskornschrot gelagert (m3)</v>
      </c>
      <c r="CY27" s="1830"/>
      <c r="CZ27" s="1834" t="str">
        <f>IFERROR(INDEX(N_Bedarf!$CE$2:$CE$141,_xlfn.AGGREGATE(15,6,(ROW(N_Bedarf!$CE$2:$CE$141)-1)/(--(SEARCH(DA$2,N_Bedarf!$CE$2:$CE$141)&gt;0)),ROW()-2),1),"")</f>
        <v>Maiskornschrot gelagert (m3)</v>
      </c>
      <c r="DA27" s="1830"/>
      <c r="DB27" s="1834" t="str">
        <f>IFERROR(INDEX(N_Bedarf!$CE$2:$CE$141,_xlfn.AGGREGATE(15,6,(ROW(N_Bedarf!$CE$2:$CE$141)-1)/(--(SEARCH(DC$2,N_Bedarf!$CE$2:$CE$141)&gt;0)),ROW()-2),1),"")</f>
        <v>Maiskornschrot gelagert (m3)</v>
      </c>
      <c r="DC27" s="1830"/>
      <c r="DD27" s="1834" t="str">
        <f>IFERROR(INDEX(N_Bedarf!$CE$2:$CE$141,_xlfn.AGGREGATE(15,6,(ROW(N_Bedarf!$CE$2:$CE$141)-1)/(--(SEARCH(DE$2,N_Bedarf!$CE$2:$CE$141)&gt;0)),ROW()-2),1),"")</f>
        <v>Maiskornschrot gelagert (m3)</v>
      </c>
      <c r="DE27" s="1830"/>
      <c r="DF27" s="2353" t="str">
        <f t="array" ref="DF27">IFERROR(INDEX(N_Bedarf!$CE$2:$CE$141,_xlfn.AGGREGATE(15,6,(ROW(N_Bedarf!$CE$2:$CE$141)-1)/(--(SEARCH(DG$2,N_Bedarf!$CE$2:$CE$141)&gt;0)),ROW()-2),1),"")</f>
        <v>Maiskornschrot gelagert (m3)</v>
      </c>
      <c r="DG27" s="2353"/>
      <c r="DH27" s="2355" t="str">
        <f t="array" ref="DH27">IFERROR(INDEX(N_Bedarf!$CE$2:$CE$141,_xlfn.AGGREGATE(15,6,(ROW(N_Bedarf!$CE$2:$CE$141)-1)/(--(SEARCH(DI$2,N_Bedarf!$CE$2:$CE$141)&gt;0)),ROW()-2),1),"")</f>
        <v>Maiskornschrot gelagert (m3)</v>
      </c>
      <c r="DI27" s="2355"/>
      <c r="DJ27" s="2356" t="str">
        <f t="array" ref="DJ27">IFERROR(INDEX(N_Bedarf!$CE$2:$CE$141,_xlfn.AGGREGATE(15,6,(ROW(N_Bedarf!$CE$2:$CE$141)-1)/(--(SEARCH(DK$2,N_Bedarf!$CE$2:$CE$141)&gt;0)),ROW()-2),1),"")</f>
        <v>Maiskornschrot gelagert (m3)</v>
      </c>
      <c r="DK27" s="2356"/>
      <c r="DL27" s="2356" t="str">
        <f t="array" ref="DL27">IFERROR(INDEX(N_Bedarf!$CE$2:$CE$141,_xlfn.AGGREGATE(15,6,(ROW(N_Bedarf!$CE$2:$CE$141)-1)/(--(SEARCH(DM$2,N_Bedarf!$CE$2:$CE$141)&gt;0)),ROW()-2),1),"")</f>
        <v>Maiskornschrot gelagert (m3)</v>
      </c>
      <c r="DM27" s="2356"/>
      <c r="DN27" s="2356" t="str">
        <f t="array" ref="DN27">IFERROR(INDEX(N_Bedarf!$CE$2:$CE$141,_xlfn.AGGREGATE(15,6,(ROW(N_Bedarf!$CE$2:$CE$141)-1)/(--(SEARCH(DO$2,N_Bedarf!$CE$2:$CE$141)&gt;0)),ROW()-2),1),"")</f>
        <v>Maiskornschrot gelagert (m3)</v>
      </c>
      <c r="DO27" s="2356"/>
      <c r="DP27" s="2356" t="str">
        <f t="array" ref="DP27">IFERROR(INDEX(N_Bedarf!$CE$2:$CE$141,_xlfn.AGGREGATE(15,6,(ROW(N_Bedarf!$CE$2:$CE$141)-1)/(--(SEARCH(DQ$2,N_Bedarf!$CE$2:$CE$141)&gt;0)),ROW()-2),1),"")</f>
        <v>Maiskornschrot gelagert (m3)</v>
      </c>
      <c r="DQ27" s="2356"/>
      <c r="DR27" s="2356" t="str">
        <f t="array" ref="DR27">IFERROR(INDEX(N_Bedarf!$CE$2:$CE$141,_xlfn.AGGREGATE(15,6,(ROW(N_Bedarf!$CE$2:$CE$141)-1)/(--(SEARCH(DS$2,N_Bedarf!$CE$2:$CE$141)&gt;0)),ROW()-2),1),"")</f>
        <v>Maiskornschrot gelagert (m3)</v>
      </c>
      <c r="DS27" s="2356"/>
      <c r="DT27" s="2356" t="str">
        <f t="array" ref="DT27">IFERROR(INDEX(N_Bedarf!$CE$2:$CE$141,_xlfn.AGGREGATE(15,6,(ROW(N_Bedarf!$CE$2:$CE$141)-1)/(--(SEARCH(DU$2,N_Bedarf!$CE$2:$CE$141)&gt;0)),ROW()-2),1),"")</f>
        <v>Maiskornschrot gelagert (m3)</v>
      </c>
      <c r="DU27" s="2356"/>
      <c r="DV27" s="2356" t="str">
        <f t="array" ref="DV27">IFERROR(INDEX(N_Bedarf!$CE$2:$CE$141,_xlfn.AGGREGATE(15,6,(ROW(N_Bedarf!$CE$2:$CE$141)-1)/(--(SEARCH(DW$2,N_Bedarf!$CE$2:$CE$141)&gt;0)),ROW()-2),1),"")</f>
        <v>Maiskornschrot gelagert (m3)</v>
      </c>
      <c r="DW27" s="2356"/>
      <c r="DX27" s="2356" t="str">
        <f t="array" ref="DX27">IFERROR(INDEX(N_Bedarf!$CE$2:$CE$141,_xlfn.AGGREGATE(15,6,(ROW(N_Bedarf!$CE$2:$CE$141)-1)/(--(SEARCH(DY$2,N_Bedarf!$CE$2:$CE$141)&gt;0)),ROW()-2),1),"")</f>
        <v>Maiskornschrot gelagert (m3)</v>
      </c>
      <c r="DY27" s="2356"/>
      <c r="DZ27" s="2356" t="str">
        <f t="array" ref="DZ27">IFERROR(INDEX(N_Bedarf!$CE$2:$CE$141,_xlfn.AGGREGATE(15,6,(ROW(N_Bedarf!$CE$2:$CE$141)-1)/(--(SEARCH(EA$2,N_Bedarf!$CE$2:$CE$141)&gt;0)),ROW()-2),1),"")</f>
        <v>Maiskornschrot gelagert (m3)</v>
      </c>
      <c r="EA27" s="2356"/>
      <c r="EB27" s="2356" t="str">
        <f t="array" ref="EB27">IFERROR(INDEX(N_Bedarf!$CE$2:$CE$141,_xlfn.AGGREGATE(15,6,(ROW(N_Bedarf!$CE$2:$CE$141)-1)/(--(SEARCH(EC$2,N_Bedarf!$CE$2:$CE$141)&gt;0)),ROW()-2),1),"")</f>
        <v>Maiskornschrot gelagert (m3)</v>
      </c>
      <c r="EC27" s="2356"/>
      <c r="ED27"/>
      <c r="EE27"/>
      <c r="EF27"/>
      <c r="EG27"/>
      <c r="EH27"/>
      <c r="EI27"/>
      <c r="EJ27"/>
      <c r="EK27"/>
      <c r="EL27"/>
      <c r="EM27"/>
      <c r="EN27"/>
      <c r="EO27"/>
      <c r="EP27"/>
      <c r="EQ27"/>
      <c r="ER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row>
    <row r="28" spans="1:291" ht="27" customHeight="1" thickTop="1" thickBot="1">
      <c r="C28" s="2475"/>
      <c r="D28" s="2476"/>
      <c r="E28" s="912"/>
      <c r="F28" s="913"/>
      <c r="G28" s="1916" t="str">
        <f t="shared" si="9"/>
        <v/>
      </c>
      <c r="H28" s="2296"/>
      <c r="I28" s="914">
        <f t="shared" si="10"/>
        <v>0</v>
      </c>
      <c r="J28" s="2297">
        <f t="shared" si="11"/>
        <v>0</v>
      </c>
      <c r="K28" s="2299"/>
      <c r="L28" s="915">
        <f t="shared" si="1"/>
        <v>0</v>
      </c>
      <c r="M28" s="2298">
        <f t="shared" si="2"/>
        <v>0</v>
      </c>
      <c r="N28" s="2472"/>
      <c r="O28" s="2473"/>
      <c r="P28" s="2473"/>
      <c r="Q28" s="2473"/>
      <c r="R28" s="2473"/>
      <c r="S28" s="2474"/>
      <c r="T28" s="770"/>
      <c r="U28" s="2551"/>
      <c r="V28" s="2551"/>
      <c r="W28" s="2551"/>
      <c r="X28" s="2542"/>
      <c r="Y28" s="770"/>
      <c r="Z28" s="770"/>
      <c r="AA28" s="770"/>
      <c r="AB28" s="770"/>
      <c r="AC28" s="770"/>
      <c r="AD28" s="770"/>
      <c r="AE28" s="770"/>
      <c r="AF28" s="770"/>
      <c r="AG28" s="770"/>
      <c r="AH28" s="770"/>
      <c r="AI28" s="770"/>
      <c r="AJ28" s="770"/>
      <c r="AK28" s="770"/>
      <c r="AL28" s="770"/>
      <c r="AM28" s="770"/>
      <c r="AN28" s="770"/>
      <c r="AO28" s="770"/>
      <c r="AP28" s="1568" t="str">
        <f t="shared" si="3"/>
        <v/>
      </c>
      <c r="AQ28" s="472">
        <f t="shared" si="14"/>
        <v>0</v>
      </c>
      <c r="AR28" s="472">
        <f t="shared" si="15"/>
        <v>0</v>
      </c>
      <c r="AS28" s="472">
        <f t="shared" si="16"/>
        <v>0</v>
      </c>
      <c r="AT28" s="472">
        <f t="shared" si="17"/>
        <v>0</v>
      </c>
      <c r="AU28" s="472">
        <f t="shared" si="18"/>
        <v>0</v>
      </c>
      <c r="AV28" s="472">
        <f t="shared" si="19"/>
        <v>0</v>
      </c>
      <c r="AW28" s="472">
        <f t="shared" si="20"/>
        <v>0</v>
      </c>
      <c r="AX28" s="1722" t="s">
        <v>1741</v>
      </c>
      <c r="AY28" s="681">
        <v>110</v>
      </c>
      <c r="AZ28" s="681">
        <v>100</v>
      </c>
      <c r="BA28" s="681" t="s">
        <v>2647</v>
      </c>
      <c r="BB28" s="681">
        <v>155</v>
      </c>
      <c r="BC28" s="681">
        <v>140</v>
      </c>
      <c r="BD28" s="681" t="s">
        <v>2720</v>
      </c>
      <c r="BE28" s="681">
        <v>180</v>
      </c>
      <c r="BF28" s="681">
        <v>160</v>
      </c>
      <c r="BG28" s="681" t="s">
        <v>2756</v>
      </c>
      <c r="BH28" s="681">
        <v>195</v>
      </c>
      <c r="BI28" s="681">
        <v>175</v>
      </c>
      <c r="BJ28" s="681" t="s">
        <v>2759</v>
      </c>
      <c r="BK28" s="681">
        <v>210</v>
      </c>
      <c r="BL28" s="681">
        <v>190</v>
      </c>
      <c r="BM28" s="681" t="s">
        <v>2608</v>
      </c>
      <c r="BN28" s="471">
        <v>0</v>
      </c>
      <c r="BO28" s="821" t="s">
        <v>1764</v>
      </c>
      <c r="BP28"/>
      <c r="BQ28" s="1722" t="s">
        <v>1741</v>
      </c>
      <c r="BR28" s="470">
        <v>75</v>
      </c>
      <c r="BS28" s="470">
        <v>85</v>
      </c>
      <c r="BT28" s="470">
        <v>100</v>
      </c>
      <c r="BU28"/>
      <c r="BV28" s="1722" t="s">
        <v>1741</v>
      </c>
      <c r="BW28" s="470">
        <v>180</v>
      </c>
      <c r="BX28" s="470">
        <v>200</v>
      </c>
      <c r="BY28" s="470">
        <v>230</v>
      </c>
      <c r="BZ28" s="470"/>
      <c r="CA28" s="470"/>
      <c r="CB28"/>
      <c r="CC28"/>
      <c r="CD28"/>
      <c r="CE28" s="1833" t="s">
        <v>24</v>
      </c>
      <c r="CF28" s="1834" t="str">
        <f>IFERROR(INDEX(N_Bedarf!$CE$2:$CE$141,_xlfn.AGGREGATE(15,6,(ROW(N_Bedarf!$CE$2:$CE$141)-1)/(--(SEARCH(CG$2,N_Bedarf!$CE$2:$CE$141)&gt;0)),ROW()-2),1),"")</f>
        <v>Mais Corn-Cob-Mix (CCM)</v>
      </c>
      <c r="CG28" s="1836"/>
      <c r="CH28" s="1834" t="str">
        <f>IFERROR(INDEX(N_Bedarf!$CE$2:$CE$141,_xlfn.AGGREGATE(15,6,(ROW(N_Bedarf!$CE$2:$CE$141)-1)/(--(SEARCH(CI$2,N_Bedarf!$CE$2:$CE$141)&gt;0)),ROW()-2),1),"")</f>
        <v>Mais Corn-Cob-Mix (CCM)</v>
      </c>
      <c r="CI28" s="1836"/>
      <c r="CJ28" s="1834" t="str">
        <f>IFERROR(INDEX(N_Bedarf!$CE$2:$CE$141,_xlfn.AGGREGATE(15,6,(ROW(N_Bedarf!$CE$2:$CE$141)-1)/(--(SEARCH(CK$2,N_Bedarf!$CE$2:$CE$141)&gt;0)),ROW()-2),1),"")</f>
        <v>Mais Corn-Cob-Mix (CCM)</v>
      </c>
      <c r="CK28" s="1836"/>
      <c r="CL28" s="1834" t="str">
        <f>IFERROR(INDEX(N_Bedarf!$CE$2:$CE$141,_xlfn.AGGREGATE(15,6,(ROW(N_Bedarf!$CE$2:$CE$141)-1)/(--(SEARCH(CM$2,N_Bedarf!$CE$2:$CE$141)&gt;0)),ROW()-2),1),"")</f>
        <v>Mais Corn-Cob-Mix (CCM)</v>
      </c>
      <c r="CM28" s="1836"/>
      <c r="CN28" s="1834" t="str">
        <f>IFERROR(INDEX(N_Bedarf!$CE$2:$CE$141,_xlfn.AGGREGATE(15,6,(ROW(N_Bedarf!$CE$2:$CE$141)-1)/(--(SEARCH(CO$2,N_Bedarf!$CE$2:$CE$141)&gt;0)),ROW()-2),1),"")</f>
        <v>Mais Corn-Cob-Mix (CCM)</v>
      </c>
      <c r="CO28" s="1836"/>
      <c r="CP28" s="1834" t="str">
        <f>IFERROR(INDEX(N_Bedarf!$CE$2:$CE$141,_xlfn.AGGREGATE(15,6,(ROW(N_Bedarf!$CE$2:$CE$141)-1)/(--(SEARCH(CQ$2,N_Bedarf!$CE$2:$CE$141)&gt;0)),ROW()-2),1),"")</f>
        <v>Mais Corn-Cob-Mix (CCM)</v>
      </c>
      <c r="CQ28" s="1836"/>
      <c r="CR28" s="1834" t="str">
        <f>IFERROR(INDEX(N_Bedarf!$CE$2:$CE$141,_xlfn.AGGREGATE(15,6,(ROW(N_Bedarf!$CE$2:$CE$141)-1)/(--(SEARCH(CS$2,N_Bedarf!$CE$2:$CE$141)&gt;0)),ROW()-2),1),"")</f>
        <v>Mais Corn-Cob-Mix (CCM)</v>
      </c>
      <c r="CS28" s="1836"/>
      <c r="CT28" s="1834" t="str">
        <f>IFERROR(INDEX(N_Bedarf!$CE$2:$CE$141,_xlfn.AGGREGATE(15,6,(ROW(N_Bedarf!$CE$2:$CE$141)-1)/(--(SEARCH(CU$2,N_Bedarf!$CE$2:$CE$141)&gt;0)),ROW()-2),1),"")</f>
        <v>Mais Corn-Cob-Mix (CCM)</v>
      </c>
      <c r="CU28" s="1836"/>
      <c r="CV28" s="1834" t="str">
        <f>IFERROR(INDEX(N_Bedarf!$CE$2:$CE$141,_xlfn.AGGREGATE(15,6,(ROW(N_Bedarf!$CE$2:$CE$141)-1)/(--(SEARCH(CW$2,N_Bedarf!$CE$2:$CE$141)&gt;0)),ROW()-2),1),"")</f>
        <v>Mais Corn-Cob-Mix (CCM)</v>
      </c>
      <c r="CW28" s="1836"/>
      <c r="CX28" s="1834" t="str">
        <f>IFERROR(INDEX(N_Bedarf!$CE$2:$CE$141,_xlfn.AGGREGATE(15,6,(ROW(N_Bedarf!$CE$2:$CE$141)-1)/(--(SEARCH(CY$2,N_Bedarf!$CE$2:$CE$141)&gt;0)),ROW()-2),1),"")</f>
        <v>Mais Corn-Cob-Mix (CCM)</v>
      </c>
      <c r="CY28" s="1836"/>
      <c r="CZ28" s="1834" t="str">
        <f>IFERROR(INDEX(N_Bedarf!$CE$2:$CE$141,_xlfn.AGGREGATE(15,6,(ROW(N_Bedarf!$CE$2:$CE$141)-1)/(--(SEARCH(DA$2,N_Bedarf!$CE$2:$CE$141)&gt;0)),ROW()-2),1),"")</f>
        <v>Mais Corn-Cob-Mix (CCM)</v>
      </c>
      <c r="DA28" s="1836"/>
      <c r="DB28" s="1834" t="str">
        <f>IFERROR(INDEX(N_Bedarf!$CE$2:$CE$141,_xlfn.AGGREGATE(15,6,(ROW(N_Bedarf!$CE$2:$CE$141)-1)/(--(SEARCH(DC$2,N_Bedarf!$CE$2:$CE$141)&gt;0)),ROW()-2),1),"")</f>
        <v>Mais Corn-Cob-Mix (CCM)</v>
      </c>
      <c r="DC28" s="1836"/>
      <c r="DD28" s="1834" t="str">
        <f>IFERROR(INDEX(N_Bedarf!$CE$2:$CE$141,_xlfn.AGGREGATE(15,6,(ROW(N_Bedarf!$CE$2:$CE$141)-1)/(--(SEARCH(DE$2,N_Bedarf!$CE$2:$CE$141)&gt;0)),ROW()-2),1),"")</f>
        <v>Mais Corn-Cob-Mix (CCM)</v>
      </c>
      <c r="DE28" s="1836"/>
      <c r="DF28" s="2353" t="str">
        <f t="array" ref="DF28">IFERROR(INDEX(N_Bedarf!$CE$2:$CE$141,_xlfn.AGGREGATE(15,6,(ROW(N_Bedarf!$CE$2:$CE$141)-1)/(--(SEARCH(DG$2,N_Bedarf!$CE$2:$CE$141)&gt;0)),ROW()-2),1),"")</f>
        <v>Mais Corn-Cob-Mix (CCM)</v>
      </c>
      <c r="DG28" s="2353"/>
      <c r="DH28" s="2355" t="str">
        <f t="array" ref="DH28">IFERROR(INDEX(N_Bedarf!$CE$2:$CE$141,_xlfn.AGGREGATE(15,6,(ROW(N_Bedarf!$CE$2:$CE$141)-1)/(--(SEARCH(DI$2,N_Bedarf!$CE$2:$CE$141)&gt;0)),ROW()-2),1),"")</f>
        <v>Mais Corn-Cob-Mix (CCM)</v>
      </c>
      <c r="DI28" s="2355"/>
      <c r="DJ28" s="2356" t="str">
        <f t="array" ref="DJ28">IFERROR(INDEX(N_Bedarf!$CE$2:$CE$141,_xlfn.AGGREGATE(15,6,(ROW(N_Bedarf!$CE$2:$CE$141)-1)/(--(SEARCH(DK$2,N_Bedarf!$CE$2:$CE$141)&gt;0)),ROW()-2),1),"")</f>
        <v>Mais Corn-Cob-Mix (CCM)</v>
      </c>
      <c r="DK28" s="2356"/>
      <c r="DL28" s="2356" t="str">
        <f t="array" ref="DL28">IFERROR(INDEX(N_Bedarf!$CE$2:$CE$141,_xlfn.AGGREGATE(15,6,(ROW(N_Bedarf!$CE$2:$CE$141)-1)/(--(SEARCH(DM$2,N_Bedarf!$CE$2:$CE$141)&gt;0)),ROW()-2),1),"")</f>
        <v>Mais Corn-Cob-Mix (CCM)</v>
      </c>
      <c r="DM28" s="2356"/>
      <c r="DN28" s="2356" t="str">
        <f t="array" ref="DN28">IFERROR(INDEX(N_Bedarf!$CE$2:$CE$141,_xlfn.AGGREGATE(15,6,(ROW(N_Bedarf!$CE$2:$CE$141)-1)/(--(SEARCH(DO$2,N_Bedarf!$CE$2:$CE$141)&gt;0)),ROW()-2),1),"")</f>
        <v>Mais Corn-Cob-Mix (CCM)</v>
      </c>
      <c r="DO28" s="2356"/>
      <c r="DP28" s="2356" t="str">
        <f t="array" ref="DP28">IFERROR(INDEX(N_Bedarf!$CE$2:$CE$141,_xlfn.AGGREGATE(15,6,(ROW(N_Bedarf!$CE$2:$CE$141)-1)/(--(SEARCH(DQ$2,N_Bedarf!$CE$2:$CE$141)&gt;0)),ROW()-2),1),"")</f>
        <v>Mais Corn-Cob-Mix (CCM)</v>
      </c>
      <c r="DQ28" s="2356"/>
      <c r="DR28" s="2356" t="str">
        <f t="array" ref="DR28">IFERROR(INDEX(N_Bedarf!$CE$2:$CE$141,_xlfn.AGGREGATE(15,6,(ROW(N_Bedarf!$CE$2:$CE$141)-1)/(--(SEARCH(DS$2,N_Bedarf!$CE$2:$CE$141)&gt;0)),ROW()-2),1),"")</f>
        <v>Mais Corn-Cob-Mix (CCM)</v>
      </c>
      <c r="DS28" s="2356"/>
      <c r="DT28" s="2356" t="str">
        <f t="array" ref="DT28">IFERROR(INDEX(N_Bedarf!$CE$2:$CE$141,_xlfn.AGGREGATE(15,6,(ROW(N_Bedarf!$CE$2:$CE$141)-1)/(--(SEARCH(DU$2,N_Bedarf!$CE$2:$CE$141)&gt;0)),ROW()-2),1),"")</f>
        <v>Mais Corn-Cob-Mix (CCM)</v>
      </c>
      <c r="DU28" s="2356"/>
      <c r="DV28" s="2356" t="str">
        <f t="array" ref="DV28">IFERROR(INDEX(N_Bedarf!$CE$2:$CE$141,_xlfn.AGGREGATE(15,6,(ROW(N_Bedarf!$CE$2:$CE$141)-1)/(--(SEARCH(DW$2,N_Bedarf!$CE$2:$CE$141)&gt;0)),ROW()-2),1),"")</f>
        <v>Mais Corn-Cob-Mix (CCM)</v>
      </c>
      <c r="DW28" s="2356"/>
      <c r="DX28" s="2356" t="str">
        <f t="array" ref="DX28">IFERROR(INDEX(N_Bedarf!$CE$2:$CE$141,_xlfn.AGGREGATE(15,6,(ROW(N_Bedarf!$CE$2:$CE$141)-1)/(--(SEARCH(DY$2,N_Bedarf!$CE$2:$CE$141)&gt;0)),ROW()-2),1),"")</f>
        <v>Mais Corn-Cob-Mix (CCM)</v>
      </c>
      <c r="DY28" s="2356"/>
      <c r="DZ28" s="2356" t="str">
        <f t="array" ref="DZ28">IFERROR(INDEX(N_Bedarf!$CE$2:$CE$141,_xlfn.AGGREGATE(15,6,(ROW(N_Bedarf!$CE$2:$CE$141)-1)/(--(SEARCH(EA$2,N_Bedarf!$CE$2:$CE$141)&gt;0)),ROW()-2),1),"")</f>
        <v>Mais Corn-Cob-Mix (CCM)</v>
      </c>
      <c r="EA28" s="2356"/>
      <c r="EB28" s="2356" t="str">
        <f t="array" ref="EB28">IFERROR(INDEX(N_Bedarf!$CE$2:$CE$141,_xlfn.AGGREGATE(15,6,(ROW(N_Bedarf!$CE$2:$CE$141)-1)/(--(SEARCH(EC$2,N_Bedarf!$CE$2:$CE$141)&gt;0)),ROW()-2),1),"")</f>
        <v>Mais Corn-Cob-Mix (CCM)</v>
      </c>
      <c r="EC28" s="2356"/>
      <c r="ED28"/>
      <c r="EE28"/>
      <c r="EF28"/>
      <c r="EG28"/>
      <c r="EH28"/>
      <c r="EI28"/>
      <c r="EJ28"/>
      <c r="EK28"/>
      <c r="EL28"/>
      <c r="EM28"/>
      <c r="EN28"/>
      <c r="EO28"/>
      <c r="EP28"/>
      <c r="EQ28"/>
      <c r="ER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row>
    <row r="29" spans="1:291" ht="27" customHeight="1" thickTop="1" thickBot="1">
      <c r="C29" s="2456"/>
      <c r="D29" s="2457"/>
      <c r="E29" s="912"/>
      <c r="F29" s="913"/>
      <c r="G29" s="1916" t="str">
        <f t="shared" si="9"/>
        <v/>
      </c>
      <c r="H29" s="2296"/>
      <c r="I29" s="914">
        <f t="shared" si="10"/>
        <v>0</v>
      </c>
      <c r="J29" s="2297">
        <f t="shared" si="11"/>
        <v>0</v>
      </c>
      <c r="K29" s="2299"/>
      <c r="L29" s="915">
        <f t="shared" si="1"/>
        <v>0</v>
      </c>
      <c r="M29" s="2357">
        <f t="shared" si="2"/>
        <v>0</v>
      </c>
      <c r="T29" s="770"/>
      <c r="U29" s="770"/>
      <c r="V29" s="770"/>
      <c r="W29" s="770"/>
      <c r="X29" s="770"/>
      <c r="Y29" s="770"/>
      <c r="Z29" s="770"/>
      <c r="AA29" s="770"/>
      <c r="AB29" s="770"/>
      <c r="AC29" s="770"/>
      <c r="AD29" s="770"/>
      <c r="AE29" s="770"/>
      <c r="AF29" s="770"/>
      <c r="AG29" s="770"/>
      <c r="AH29" s="770"/>
      <c r="AI29" s="770"/>
      <c r="AJ29" s="770"/>
      <c r="AK29" s="770"/>
      <c r="AL29" s="770"/>
      <c r="AM29" s="770"/>
      <c r="AN29" s="770"/>
      <c r="AO29" s="770"/>
      <c r="AP29" s="1568" t="str">
        <f t="shared" si="3"/>
        <v/>
      </c>
      <c r="AQ29" s="472">
        <f t="shared" si="14"/>
        <v>0</v>
      </c>
      <c r="AR29" s="472">
        <f t="shared" si="15"/>
        <v>0</v>
      </c>
      <c r="AS29" s="472">
        <f t="shared" si="16"/>
        <v>0</v>
      </c>
      <c r="AT29" s="472">
        <f t="shared" si="17"/>
        <v>0</v>
      </c>
      <c r="AU29" s="472">
        <f t="shared" si="18"/>
        <v>0</v>
      </c>
      <c r="AV29" s="472">
        <f t="shared" si="19"/>
        <v>0</v>
      </c>
      <c r="AW29" s="472">
        <f t="shared" si="20"/>
        <v>0</v>
      </c>
      <c r="AX29" s="1722" t="s">
        <v>1742</v>
      </c>
      <c r="AY29" s="681">
        <v>110</v>
      </c>
      <c r="AZ29" s="681">
        <v>100</v>
      </c>
      <c r="BA29" s="681" t="s">
        <v>2648</v>
      </c>
      <c r="BB29" s="681">
        <v>155</v>
      </c>
      <c r="BC29" s="681">
        <v>140</v>
      </c>
      <c r="BD29" s="681" t="s">
        <v>2681</v>
      </c>
      <c r="BE29" s="681">
        <v>180</v>
      </c>
      <c r="BF29" s="681">
        <v>160</v>
      </c>
      <c r="BG29" s="681" t="s">
        <v>2680</v>
      </c>
      <c r="BH29" s="681">
        <v>195</v>
      </c>
      <c r="BI29" s="681">
        <v>175</v>
      </c>
      <c r="BJ29" s="681" t="s">
        <v>2679</v>
      </c>
      <c r="BK29" s="681">
        <v>210</v>
      </c>
      <c r="BL29" s="681">
        <v>190</v>
      </c>
      <c r="BM29" s="681" t="s">
        <v>2678</v>
      </c>
      <c r="BN29" s="471">
        <v>0</v>
      </c>
      <c r="BO29" s="821" t="s">
        <v>1764</v>
      </c>
      <c r="BP29"/>
      <c r="BQ29" s="1722" t="s">
        <v>1742</v>
      </c>
      <c r="BR29" s="470">
        <v>75</v>
      </c>
      <c r="BS29" s="470">
        <v>85</v>
      </c>
      <c r="BT29" s="470">
        <v>100</v>
      </c>
      <c r="BU29"/>
      <c r="BV29" s="1722" t="s">
        <v>1742</v>
      </c>
      <c r="BW29" s="470">
        <v>180</v>
      </c>
      <c r="BX29" s="470">
        <v>200</v>
      </c>
      <c r="BY29" s="470">
        <v>230</v>
      </c>
      <c r="BZ29" s="470"/>
      <c r="CA29" s="470"/>
      <c r="CB29"/>
      <c r="CC29"/>
      <c r="CD29"/>
      <c r="CE29" s="1835" t="s">
        <v>1737</v>
      </c>
      <c r="CF29" s="1834" t="str">
        <f>IFERROR(INDEX(N_Bedarf!$CE$2:$CE$141,_xlfn.AGGREGATE(15,6,(ROW(N_Bedarf!$CE$2:$CE$141)-1)/(--(SEARCH(CG$2,N_Bedarf!$CE$2:$CE$141)&gt;0)),ROW()-2),1),"")</f>
        <v>Mais-Käferbohne</v>
      </c>
      <c r="CG29" s="1830"/>
      <c r="CH29" s="1834" t="str">
        <f>IFERROR(INDEX(N_Bedarf!$CE$2:$CE$141,_xlfn.AGGREGATE(15,6,(ROW(N_Bedarf!$CE$2:$CE$141)-1)/(--(SEARCH(CI$2,N_Bedarf!$CE$2:$CE$141)&gt;0)),ROW()-2),1),"")</f>
        <v>Mais-Käferbohne</v>
      </c>
      <c r="CI29" s="1830"/>
      <c r="CJ29" s="1834" t="str">
        <f>IFERROR(INDEX(N_Bedarf!$CE$2:$CE$141,_xlfn.AGGREGATE(15,6,(ROW(N_Bedarf!$CE$2:$CE$141)-1)/(--(SEARCH(CK$2,N_Bedarf!$CE$2:$CE$141)&gt;0)),ROW()-2),1),"")</f>
        <v>Mais-Käferbohne</v>
      </c>
      <c r="CK29" s="1830"/>
      <c r="CL29" s="1834" t="str">
        <f>IFERROR(INDEX(N_Bedarf!$CE$2:$CE$141,_xlfn.AGGREGATE(15,6,(ROW(N_Bedarf!$CE$2:$CE$141)-1)/(--(SEARCH(CM$2,N_Bedarf!$CE$2:$CE$141)&gt;0)),ROW()-2),1),"")</f>
        <v>Mais-Käferbohne</v>
      </c>
      <c r="CM29" s="1830"/>
      <c r="CN29" s="1834" t="str">
        <f>IFERROR(INDEX(N_Bedarf!$CE$2:$CE$141,_xlfn.AGGREGATE(15,6,(ROW(N_Bedarf!$CE$2:$CE$141)-1)/(--(SEARCH(CO$2,N_Bedarf!$CE$2:$CE$141)&gt;0)),ROW()-2),1),"")</f>
        <v>Mais-Käferbohne</v>
      </c>
      <c r="CO29" s="1830"/>
      <c r="CP29" s="1834" t="str">
        <f>IFERROR(INDEX(N_Bedarf!$CE$2:$CE$141,_xlfn.AGGREGATE(15,6,(ROW(N_Bedarf!$CE$2:$CE$141)-1)/(--(SEARCH(CQ$2,N_Bedarf!$CE$2:$CE$141)&gt;0)),ROW()-2),1),"")</f>
        <v>Mais-Käferbohne</v>
      </c>
      <c r="CQ29" s="1830"/>
      <c r="CR29" s="1834" t="str">
        <f>IFERROR(INDEX(N_Bedarf!$CE$2:$CE$141,_xlfn.AGGREGATE(15,6,(ROW(N_Bedarf!$CE$2:$CE$141)-1)/(--(SEARCH(CS$2,N_Bedarf!$CE$2:$CE$141)&gt;0)),ROW()-2),1),"")</f>
        <v>Mais-Käferbohne</v>
      </c>
      <c r="CS29" s="1830"/>
      <c r="CT29" s="1834" t="str">
        <f>IFERROR(INDEX(N_Bedarf!$CE$2:$CE$141,_xlfn.AGGREGATE(15,6,(ROW(N_Bedarf!$CE$2:$CE$141)-1)/(--(SEARCH(CU$2,N_Bedarf!$CE$2:$CE$141)&gt;0)),ROW()-2),1),"")</f>
        <v>Mais-Käferbohne</v>
      </c>
      <c r="CU29" s="1830"/>
      <c r="CV29" s="1834" t="str">
        <f>IFERROR(INDEX(N_Bedarf!$CE$2:$CE$141,_xlfn.AGGREGATE(15,6,(ROW(N_Bedarf!$CE$2:$CE$141)-1)/(--(SEARCH(CW$2,N_Bedarf!$CE$2:$CE$141)&gt;0)),ROW()-2),1),"")</f>
        <v>Mais-Käferbohne</v>
      </c>
      <c r="CW29" s="1830"/>
      <c r="CX29" s="1834" t="str">
        <f>IFERROR(INDEX(N_Bedarf!$CE$2:$CE$141,_xlfn.AGGREGATE(15,6,(ROW(N_Bedarf!$CE$2:$CE$141)-1)/(--(SEARCH(CY$2,N_Bedarf!$CE$2:$CE$141)&gt;0)),ROW()-2),1),"")</f>
        <v>Mais-Käferbohne</v>
      </c>
      <c r="CY29" s="1830"/>
      <c r="CZ29" s="1834" t="str">
        <f>IFERROR(INDEX(N_Bedarf!$CE$2:$CE$141,_xlfn.AGGREGATE(15,6,(ROW(N_Bedarf!$CE$2:$CE$141)-1)/(--(SEARCH(DA$2,N_Bedarf!$CE$2:$CE$141)&gt;0)),ROW()-2),1),"")</f>
        <v>Mais-Käferbohne</v>
      </c>
      <c r="DA29" s="1830"/>
      <c r="DB29" s="1834" t="str">
        <f>IFERROR(INDEX(N_Bedarf!$CE$2:$CE$141,_xlfn.AGGREGATE(15,6,(ROW(N_Bedarf!$CE$2:$CE$141)-1)/(--(SEARCH(DC$2,N_Bedarf!$CE$2:$CE$141)&gt;0)),ROW()-2),1),"")</f>
        <v>Mais-Käferbohne</v>
      </c>
      <c r="DC29" s="1830"/>
      <c r="DD29" s="1834" t="str">
        <f>IFERROR(INDEX(N_Bedarf!$CE$2:$CE$141,_xlfn.AGGREGATE(15,6,(ROW(N_Bedarf!$CE$2:$CE$141)-1)/(--(SEARCH(DE$2,N_Bedarf!$CE$2:$CE$141)&gt;0)),ROW()-2),1),"")</f>
        <v>Mais-Käferbohne</v>
      </c>
      <c r="DE29" s="1830"/>
      <c r="DF29" s="2353" t="str">
        <f t="array" ref="DF29">IFERROR(INDEX(N_Bedarf!$CE$2:$CE$141,_xlfn.AGGREGATE(15,6,(ROW(N_Bedarf!$CE$2:$CE$141)-1)/(--(SEARCH(DG$2,N_Bedarf!$CE$2:$CE$141)&gt;0)),ROW()-2),1),"")</f>
        <v>Mais-Käferbohne</v>
      </c>
      <c r="DG29" s="2353"/>
      <c r="DH29" s="2355" t="str">
        <f t="array" ref="DH29">IFERROR(INDEX(N_Bedarf!$CE$2:$CE$141,_xlfn.AGGREGATE(15,6,(ROW(N_Bedarf!$CE$2:$CE$141)-1)/(--(SEARCH(DI$2,N_Bedarf!$CE$2:$CE$141)&gt;0)),ROW()-2),1),"")</f>
        <v>Mais-Käferbohne</v>
      </c>
      <c r="DI29" s="2355"/>
      <c r="DJ29" s="2356" t="str">
        <f t="array" ref="DJ29">IFERROR(INDEX(N_Bedarf!$CE$2:$CE$141,_xlfn.AGGREGATE(15,6,(ROW(N_Bedarf!$CE$2:$CE$141)-1)/(--(SEARCH(DK$2,N_Bedarf!$CE$2:$CE$141)&gt;0)),ROW()-2),1),"")</f>
        <v>Mais-Käferbohne</v>
      </c>
      <c r="DK29" s="2356"/>
      <c r="DL29" s="2356" t="str">
        <f t="array" ref="DL29">IFERROR(INDEX(N_Bedarf!$CE$2:$CE$141,_xlfn.AGGREGATE(15,6,(ROW(N_Bedarf!$CE$2:$CE$141)-1)/(--(SEARCH(DM$2,N_Bedarf!$CE$2:$CE$141)&gt;0)),ROW()-2),1),"")</f>
        <v>Mais-Käferbohne</v>
      </c>
      <c r="DM29" s="2356"/>
      <c r="DN29" s="2356" t="str">
        <f t="array" ref="DN29">IFERROR(INDEX(N_Bedarf!$CE$2:$CE$141,_xlfn.AGGREGATE(15,6,(ROW(N_Bedarf!$CE$2:$CE$141)-1)/(--(SEARCH(DO$2,N_Bedarf!$CE$2:$CE$141)&gt;0)),ROW()-2),1),"")</f>
        <v>Mais-Käferbohne</v>
      </c>
      <c r="DO29" s="2356"/>
      <c r="DP29" s="2356" t="str">
        <f t="array" ref="DP29">IFERROR(INDEX(N_Bedarf!$CE$2:$CE$141,_xlfn.AGGREGATE(15,6,(ROW(N_Bedarf!$CE$2:$CE$141)-1)/(--(SEARCH(DQ$2,N_Bedarf!$CE$2:$CE$141)&gt;0)),ROW()-2),1),"")</f>
        <v>Mais-Käferbohne</v>
      </c>
      <c r="DQ29" s="2356"/>
      <c r="DR29" s="2356" t="str">
        <f t="array" ref="DR29">IFERROR(INDEX(N_Bedarf!$CE$2:$CE$141,_xlfn.AGGREGATE(15,6,(ROW(N_Bedarf!$CE$2:$CE$141)-1)/(--(SEARCH(DS$2,N_Bedarf!$CE$2:$CE$141)&gt;0)),ROW()-2),1),"")</f>
        <v>Mais-Käferbohne</v>
      </c>
      <c r="DS29" s="2356"/>
      <c r="DT29" s="2356" t="str">
        <f t="array" ref="DT29">IFERROR(INDEX(N_Bedarf!$CE$2:$CE$141,_xlfn.AGGREGATE(15,6,(ROW(N_Bedarf!$CE$2:$CE$141)-1)/(--(SEARCH(DU$2,N_Bedarf!$CE$2:$CE$141)&gt;0)),ROW()-2),1),"")</f>
        <v>Mais-Käferbohne</v>
      </c>
      <c r="DU29" s="2356"/>
      <c r="DV29" s="2356" t="str">
        <f t="array" ref="DV29">IFERROR(INDEX(N_Bedarf!$CE$2:$CE$141,_xlfn.AGGREGATE(15,6,(ROW(N_Bedarf!$CE$2:$CE$141)-1)/(--(SEARCH(DW$2,N_Bedarf!$CE$2:$CE$141)&gt;0)),ROW()-2),1),"")</f>
        <v>Mais-Käferbohne</v>
      </c>
      <c r="DW29" s="2356"/>
      <c r="DX29" s="2356" t="str">
        <f t="array" ref="DX29">IFERROR(INDEX(N_Bedarf!$CE$2:$CE$141,_xlfn.AGGREGATE(15,6,(ROW(N_Bedarf!$CE$2:$CE$141)-1)/(--(SEARCH(DY$2,N_Bedarf!$CE$2:$CE$141)&gt;0)),ROW()-2),1),"")</f>
        <v>Mais-Käferbohne</v>
      </c>
      <c r="DY29" s="2356"/>
      <c r="DZ29" s="2356" t="str">
        <f t="array" ref="DZ29">IFERROR(INDEX(N_Bedarf!$CE$2:$CE$141,_xlfn.AGGREGATE(15,6,(ROW(N_Bedarf!$CE$2:$CE$141)-1)/(--(SEARCH(EA$2,N_Bedarf!$CE$2:$CE$141)&gt;0)),ROW()-2),1),"")</f>
        <v>Mais-Käferbohne</v>
      </c>
      <c r="EA29" s="2356"/>
      <c r="EB29" s="2356" t="str">
        <f t="array" ref="EB29">IFERROR(INDEX(N_Bedarf!$CE$2:$CE$141,_xlfn.AGGREGATE(15,6,(ROW(N_Bedarf!$CE$2:$CE$141)-1)/(--(SEARCH(EC$2,N_Bedarf!$CE$2:$CE$141)&gt;0)),ROW()-2),1),"")</f>
        <v>Mais-Käferbohne</v>
      </c>
      <c r="EC29" s="2356"/>
      <c r="ED29"/>
      <c r="EE29"/>
      <c r="EF29"/>
      <c r="EG29"/>
      <c r="EH29"/>
      <c r="EI29"/>
      <c r="EJ29"/>
      <c r="EK29"/>
      <c r="EL29"/>
      <c r="EM29"/>
      <c r="EN29"/>
      <c r="EO29"/>
      <c r="EP29"/>
      <c r="EQ29"/>
      <c r="ER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row>
    <row r="30" spans="1:291" ht="27" customHeight="1" thickTop="1" thickBot="1">
      <c r="C30" s="2454"/>
      <c r="D30" s="2455"/>
      <c r="E30" s="2352"/>
      <c r="F30" s="913"/>
      <c r="G30" s="1916" t="str">
        <f t="shared" si="9"/>
        <v/>
      </c>
      <c r="H30" s="2296"/>
      <c r="I30" s="914">
        <f t="shared" ref="I30:I55" si="22">IFERROR(IF(AND(ISNA(AS30),ISBLANK(C30)),0,IF(AND(ISNA(AS30),ISBLANK(H30)),0,IF(AND(ISNA(AS30),H30&gt;0),H30,IF(AND(AS30&gt;0,H30&lt;AS30),AS30,AS30)))),"")</f>
        <v>0</v>
      </c>
      <c r="J30" s="2297">
        <f t="shared" ref="J30:J54" si="23">IFERROR(IF(AND(I30&gt;H30,H30&lt;&gt;""),H30*E30,I30*E30),0)</f>
        <v>0</v>
      </c>
      <c r="K30" s="2299"/>
      <c r="L30" s="915">
        <f t="shared" ref="L30:L55" si="24">IF(ISNA(AT30),0,AT30)</f>
        <v>0</v>
      </c>
      <c r="M30" s="2357">
        <f t="shared" ref="M30:M54" si="25">IF(ISBLANK(K30),E30*L30,E30*K30)</f>
        <v>0</v>
      </c>
      <c r="T30" s="770"/>
      <c r="U30" s="770"/>
      <c r="V30" s="770"/>
      <c r="W30" s="770"/>
      <c r="X30" s="770"/>
      <c r="Y30" s="770"/>
      <c r="Z30" s="770"/>
      <c r="AA30" s="770"/>
      <c r="AB30" s="770"/>
      <c r="AC30" s="770"/>
      <c r="AD30" s="770"/>
      <c r="AE30" s="770"/>
      <c r="AF30" s="770"/>
      <c r="AG30" s="770"/>
      <c r="AH30" s="770"/>
      <c r="AI30" s="770"/>
      <c r="AJ30" s="770"/>
      <c r="AK30" s="770"/>
      <c r="AL30" s="770"/>
      <c r="AM30" s="770"/>
      <c r="AN30" s="770"/>
      <c r="AO30" s="770"/>
      <c r="AP30" s="1568" t="str">
        <f t="shared" si="3"/>
        <v/>
      </c>
      <c r="AQ30" s="472">
        <f t="shared" si="14"/>
        <v>0</v>
      </c>
      <c r="AR30" s="472">
        <f t="shared" si="15"/>
        <v>0</v>
      </c>
      <c r="AS30" s="472">
        <f t="shared" si="16"/>
        <v>0</v>
      </c>
      <c r="AT30" s="472">
        <f t="shared" si="17"/>
        <v>0</v>
      </c>
      <c r="AU30" s="472">
        <f t="shared" si="18"/>
        <v>0</v>
      </c>
      <c r="AV30" s="472">
        <f t="shared" si="19"/>
        <v>0</v>
      </c>
      <c r="AW30" s="472">
        <f t="shared" si="20"/>
        <v>0</v>
      </c>
      <c r="AX30" s="1722" t="s">
        <v>1706</v>
      </c>
      <c r="AY30" s="681">
        <v>110</v>
      </c>
      <c r="AZ30" s="681">
        <v>100</v>
      </c>
      <c r="BA30" s="681" t="s">
        <v>2644</v>
      </c>
      <c r="BB30" s="681">
        <v>155</v>
      </c>
      <c r="BC30" s="681">
        <v>140</v>
      </c>
      <c r="BD30" s="681" t="s">
        <v>2565</v>
      </c>
      <c r="BE30" s="681">
        <v>180</v>
      </c>
      <c r="BF30" s="681">
        <v>160</v>
      </c>
      <c r="BG30" s="681" t="s">
        <v>2676</v>
      </c>
      <c r="BH30" s="681">
        <v>195</v>
      </c>
      <c r="BI30" s="681">
        <v>175</v>
      </c>
      <c r="BJ30" s="681" t="s">
        <v>2677</v>
      </c>
      <c r="BK30" s="681">
        <v>210</v>
      </c>
      <c r="BL30" s="681">
        <v>190</v>
      </c>
      <c r="BM30" s="681" t="s">
        <v>2574</v>
      </c>
      <c r="BN30" s="471">
        <v>13</v>
      </c>
      <c r="BO30" s="821" t="s">
        <v>1764</v>
      </c>
      <c r="BP30"/>
      <c r="BQ30" s="1722" t="s">
        <v>1706</v>
      </c>
      <c r="BR30" s="470">
        <v>75</v>
      </c>
      <c r="BS30" s="470">
        <v>85</v>
      </c>
      <c r="BT30" s="470">
        <v>100</v>
      </c>
      <c r="BU30"/>
      <c r="BV30" s="1722" t="s">
        <v>1706</v>
      </c>
      <c r="BW30" s="470">
        <v>180</v>
      </c>
      <c r="BX30" s="470">
        <v>200</v>
      </c>
      <c r="BY30" s="470">
        <v>230</v>
      </c>
      <c r="BZ30" s="470"/>
      <c r="CA30" s="470"/>
      <c r="CB30"/>
      <c r="CC30"/>
      <c r="CD30"/>
      <c r="CE30" s="1833" t="s">
        <v>1738</v>
      </c>
      <c r="CF30" s="1834" t="str">
        <f>IFERROR(INDEX(N_Bedarf!$CE$2:$CE$141,_xlfn.AGGREGATE(15,6,(ROW(N_Bedarf!$CE$2:$CE$141)-1)/(--(SEARCH(CG$2,N_Bedarf!$CE$2:$CE$141)&gt;0)),ROW()-2),1),"")</f>
        <v>Silomais frisch (m3)</v>
      </c>
      <c r="CG30" s="1836"/>
      <c r="CH30" s="1834" t="str">
        <f>IFERROR(INDEX(N_Bedarf!$CE$2:$CE$141,_xlfn.AGGREGATE(15,6,(ROW(N_Bedarf!$CE$2:$CE$141)-1)/(--(SEARCH(CI$2,N_Bedarf!$CE$2:$CE$141)&gt;0)),ROW()-2),1),"")</f>
        <v>Silomais frisch (m3)</v>
      </c>
      <c r="CI30" s="1836"/>
      <c r="CJ30" s="1834" t="str">
        <f>IFERROR(INDEX(N_Bedarf!$CE$2:$CE$141,_xlfn.AGGREGATE(15,6,(ROW(N_Bedarf!$CE$2:$CE$141)-1)/(--(SEARCH(CK$2,N_Bedarf!$CE$2:$CE$141)&gt;0)),ROW()-2),1),"")</f>
        <v>Silomais frisch (m3)</v>
      </c>
      <c r="CK30" s="1836"/>
      <c r="CL30" s="1834" t="str">
        <f>IFERROR(INDEX(N_Bedarf!$CE$2:$CE$141,_xlfn.AGGREGATE(15,6,(ROW(N_Bedarf!$CE$2:$CE$141)-1)/(--(SEARCH(CM$2,N_Bedarf!$CE$2:$CE$141)&gt;0)),ROW()-2),1),"")</f>
        <v>Silomais frisch (m3)</v>
      </c>
      <c r="CM30" s="1836"/>
      <c r="CN30" s="1834" t="str">
        <f>IFERROR(INDEX(N_Bedarf!$CE$2:$CE$141,_xlfn.AGGREGATE(15,6,(ROW(N_Bedarf!$CE$2:$CE$141)-1)/(--(SEARCH(CO$2,N_Bedarf!$CE$2:$CE$141)&gt;0)),ROW()-2),1),"")</f>
        <v>Silomais frisch (m3)</v>
      </c>
      <c r="CO30" s="1836"/>
      <c r="CP30" s="1834" t="str">
        <f>IFERROR(INDEX(N_Bedarf!$CE$2:$CE$141,_xlfn.AGGREGATE(15,6,(ROW(N_Bedarf!$CE$2:$CE$141)-1)/(--(SEARCH(CQ$2,N_Bedarf!$CE$2:$CE$141)&gt;0)),ROW()-2),1),"")</f>
        <v>Silomais frisch (m3)</v>
      </c>
      <c r="CQ30" s="1836"/>
      <c r="CR30" s="1834" t="str">
        <f>IFERROR(INDEX(N_Bedarf!$CE$2:$CE$141,_xlfn.AGGREGATE(15,6,(ROW(N_Bedarf!$CE$2:$CE$141)-1)/(--(SEARCH(CS$2,N_Bedarf!$CE$2:$CE$141)&gt;0)),ROW()-2),1),"")</f>
        <v>Silomais frisch (m3)</v>
      </c>
      <c r="CS30" s="1836"/>
      <c r="CT30" s="1834" t="str">
        <f>IFERROR(INDEX(N_Bedarf!$CE$2:$CE$141,_xlfn.AGGREGATE(15,6,(ROW(N_Bedarf!$CE$2:$CE$141)-1)/(--(SEARCH(CU$2,N_Bedarf!$CE$2:$CE$141)&gt;0)),ROW()-2),1),"")</f>
        <v>Silomais frisch (m3)</v>
      </c>
      <c r="CU30" s="1836"/>
      <c r="CV30" s="1834" t="str">
        <f>IFERROR(INDEX(N_Bedarf!$CE$2:$CE$141,_xlfn.AGGREGATE(15,6,(ROW(N_Bedarf!$CE$2:$CE$141)-1)/(--(SEARCH(CW$2,N_Bedarf!$CE$2:$CE$141)&gt;0)),ROW()-2),1),"")</f>
        <v>Silomais frisch (m3)</v>
      </c>
      <c r="CW30" s="1836"/>
      <c r="CX30" s="1834" t="str">
        <f>IFERROR(INDEX(N_Bedarf!$CE$2:$CE$141,_xlfn.AGGREGATE(15,6,(ROW(N_Bedarf!$CE$2:$CE$141)-1)/(--(SEARCH(CY$2,N_Bedarf!$CE$2:$CE$141)&gt;0)),ROW()-2),1),"")</f>
        <v>Silomais frisch (m3)</v>
      </c>
      <c r="CY30" s="1836"/>
      <c r="CZ30" s="1834" t="str">
        <f>IFERROR(INDEX(N_Bedarf!$CE$2:$CE$141,_xlfn.AGGREGATE(15,6,(ROW(N_Bedarf!$CE$2:$CE$141)-1)/(--(SEARCH(DA$2,N_Bedarf!$CE$2:$CE$141)&gt;0)),ROW()-2),1),"")</f>
        <v>Silomais frisch (m3)</v>
      </c>
      <c r="DA30" s="1836"/>
      <c r="DB30" s="1834" t="str">
        <f>IFERROR(INDEX(N_Bedarf!$CE$2:$CE$141,_xlfn.AGGREGATE(15,6,(ROW(N_Bedarf!$CE$2:$CE$141)-1)/(--(SEARCH(DC$2,N_Bedarf!$CE$2:$CE$141)&gt;0)),ROW()-2),1),"")</f>
        <v>Silomais frisch (m3)</v>
      </c>
      <c r="DC30" s="1836"/>
      <c r="DD30" s="1834" t="str">
        <f>IFERROR(INDEX(N_Bedarf!$CE$2:$CE$141,_xlfn.AGGREGATE(15,6,(ROW(N_Bedarf!$CE$2:$CE$141)-1)/(--(SEARCH(DE$2,N_Bedarf!$CE$2:$CE$141)&gt;0)),ROW()-2),1),"")</f>
        <v>Silomais frisch (m3)</v>
      </c>
      <c r="DE30" s="1836"/>
      <c r="DF30" s="2353" t="str">
        <f t="array" ref="DF30">IFERROR(INDEX(N_Bedarf!$CE$2:$CE$141,_xlfn.AGGREGATE(15,6,(ROW(N_Bedarf!$CE$2:$CE$141)-1)/(--(SEARCH(DG$2,N_Bedarf!$CE$2:$CE$141)&gt;0)),ROW()-2),1),"")</f>
        <v>Silomais frisch (m3)</v>
      </c>
      <c r="DG30" s="2353"/>
      <c r="DH30" s="2355" t="str">
        <f t="array" ref="DH30">IFERROR(INDEX(N_Bedarf!$CE$2:$CE$141,_xlfn.AGGREGATE(15,6,(ROW(N_Bedarf!$CE$2:$CE$141)-1)/(--(SEARCH(DI$2,N_Bedarf!$CE$2:$CE$141)&gt;0)),ROW()-2),1),"")</f>
        <v>Silomais frisch (m3)</v>
      </c>
      <c r="DI30" s="2355"/>
      <c r="DJ30" s="2356" t="str">
        <f t="array" ref="DJ30">IFERROR(INDEX(N_Bedarf!$CE$2:$CE$141,_xlfn.AGGREGATE(15,6,(ROW(N_Bedarf!$CE$2:$CE$141)-1)/(--(SEARCH(DK$2,N_Bedarf!$CE$2:$CE$141)&gt;0)),ROW()-2),1),"")</f>
        <v>Silomais frisch (m3)</v>
      </c>
      <c r="DK30" s="2356"/>
      <c r="DL30" s="2356" t="str">
        <f t="array" ref="DL30">IFERROR(INDEX(N_Bedarf!$CE$2:$CE$141,_xlfn.AGGREGATE(15,6,(ROW(N_Bedarf!$CE$2:$CE$141)-1)/(--(SEARCH(DM$2,N_Bedarf!$CE$2:$CE$141)&gt;0)),ROW()-2),1),"")</f>
        <v>Silomais frisch (m3)</v>
      </c>
      <c r="DM30" s="2356"/>
      <c r="DN30" s="2356" t="str">
        <f t="array" ref="DN30">IFERROR(INDEX(N_Bedarf!$CE$2:$CE$141,_xlfn.AGGREGATE(15,6,(ROW(N_Bedarf!$CE$2:$CE$141)-1)/(--(SEARCH(DO$2,N_Bedarf!$CE$2:$CE$141)&gt;0)),ROW()-2),1),"")</f>
        <v>Silomais frisch (m3)</v>
      </c>
      <c r="DO30" s="2356"/>
      <c r="DP30" s="2356" t="str">
        <f t="array" ref="DP30">IFERROR(INDEX(N_Bedarf!$CE$2:$CE$141,_xlfn.AGGREGATE(15,6,(ROW(N_Bedarf!$CE$2:$CE$141)-1)/(--(SEARCH(DQ$2,N_Bedarf!$CE$2:$CE$141)&gt;0)),ROW()-2),1),"")</f>
        <v>Silomais frisch (m3)</v>
      </c>
      <c r="DQ30" s="2356"/>
      <c r="DR30" s="2356" t="str">
        <f t="array" ref="DR30">IFERROR(INDEX(N_Bedarf!$CE$2:$CE$141,_xlfn.AGGREGATE(15,6,(ROW(N_Bedarf!$CE$2:$CE$141)-1)/(--(SEARCH(DS$2,N_Bedarf!$CE$2:$CE$141)&gt;0)),ROW()-2),1),"")</f>
        <v>Silomais frisch (m3)</v>
      </c>
      <c r="DS30" s="2356"/>
      <c r="DT30" s="2356" t="str">
        <f t="array" ref="DT30">IFERROR(INDEX(N_Bedarf!$CE$2:$CE$141,_xlfn.AGGREGATE(15,6,(ROW(N_Bedarf!$CE$2:$CE$141)-1)/(--(SEARCH(DU$2,N_Bedarf!$CE$2:$CE$141)&gt;0)),ROW()-2),1),"")</f>
        <v>Silomais frisch (m3)</v>
      </c>
      <c r="DU30" s="2356"/>
      <c r="DV30" s="2356" t="str">
        <f t="array" ref="DV30">IFERROR(INDEX(N_Bedarf!$CE$2:$CE$141,_xlfn.AGGREGATE(15,6,(ROW(N_Bedarf!$CE$2:$CE$141)-1)/(--(SEARCH(DW$2,N_Bedarf!$CE$2:$CE$141)&gt;0)),ROW()-2),1),"")</f>
        <v>Silomais frisch (m3)</v>
      </c>
      <c r="DW30" s="2356"/>
      <c r="DX30" s="2356" t="str">
        <f t="array" ref="DX30">IFERROR(INDEX(N_Bedarf!$CE$2:$CE$141,_xlfn.AGGREGATE(15,6,(ROW(N_Bedarf!$CE$2:$CE$141)-1)/(--(SEARCH(DY$2,N_Bedarf!$CE$2:$CE$141)&gt;0)),ROW()-2),1),"")</f>
        <v>Silomais frisch (m3)</v>
      </c>
      <c r="DY30" s="2356"/>
      <c r="DZ30" s="2356" t="str">
        <f t="array" ref="DZ30">IFERROR(INDEX(N_Bedarf!$CE$2:$CE$141,_xlfn.AGGREGATE(15,6,(ROW(N_Bedarf!$CE$2:$CE$141)-1)/(--(SEARCH(EA$2,N_Bedarf!$CE$2:$CE$141)&gt;0)),ROW()-2),1),"")</f>
        <v>Silomais frisch (m3)</v>
      </c>
      <c r="EA30" s="2356"/>
      <c r="EB30" s="2356" t="str">
        <f t="array" ref="EB30">IFERROR(INDEX(N_Bedarf!$CE$2:$CE$141,_xlfn.AGGREGATE(15,6,(ROW(N_Bedarf!$CE$2:$CE$141)-1)/(--(SEARCH(EC$2,N_Bedarf!$CE$2:$CE$141)&gt;0)),ROW()-2),1),"")</f>
        <v>Silomais frisch (m3)</v>
      </c>
      <c r="EC30" s="2356"/>
      <c r="ED30"/>
      <c r="EE30"/>
      <c r="EF30"/>
      <c r="EG30"/>
      <c r="EH30"/>
      <c r="EI30"/>
      <c r="EJ30"/>
      <c r="EK30"/>
      <c r="EL30"/>
      <c r="EM30"/>
      <c r="EN30"/>
      <c r="EO30"/>
      <c r="EP30"/>
      <c r="EQ30"/>
      <c r="ER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row>
    <row r="31" spans="1:291" ht="39.75" customHeight="1" thickTop="1" thickBot="1">
      <c r="C31" s="2454"/>
      <c r="D31" s="2455"/>
      <c r="E31" s="912"/>
      <c r="F31" s="913"/>
      <c r="G31" s="1916" t="str">
        <f t="shared" si="9"/>
        <v/>
      </c>
      <c r="H31" s="2296"/>
      <c r="I31" s="914">
        <f t="shared" si="22"/>
        <v>0</v>
      </c>
      <c r="J31" s="2297">
        <f t="shared" si="23"/>
        <v>0</v>
      </c>
      <c r="K31" s="2299"/>
      <c r="L31" s="915">
        <f t="shared" si="24"/>
        <v>0</v>
      </c>
      <c r="M31" s="2357">
        <f t="shared" si="25"/>
        <v>0</v>
      </c>
      <c r="T31" s="770"/>
      <c r="U31" s="770"/>
      <c r="V31" s="770"/>
      <c r="W31" s="770"/>
      <c r="X31" s="770"/>
      <c r="Y31" s="770"/>
      <c r="Z31" s="770"/>
      <c r="AA31" s="770"/>
      <c r="AB31" s="770"/>
      <c r="AC31" s="770"/>
      <c r="AD31" s="770"/>
      <c r="AE31" s="770"/>
      <c r="AF31" s="770"/>
      <c r="AG31" s="770"/>
      <c r="AH31" s="770"/>
      <c r="AI31" s="770"/>
      <c r="AJ31" s="770"/>
      <c r="AK31" s="770"/>
      <c r="AL31" s="770"/>
      <c r="AM31" s="770"/>
      <c r="AN31" s="770"/>
      <c r="AO31" s="770"/>
      <c r="AP31" s="1568" t="str">
        <f t="shared" si="3"/>
        <v/>
      </c>
      <c r="AQ31" s="472">
        <f t="shared" si="14"/>
        <v>0</v>
      </c>
      <c r="AR31" s="472">
        <f t="shared" si="15"/>
        <v>0</v>
      </c>
      <c r="AS31" s="472">
        <f t="shared" si="16"/>
        <v>0</v>
      </c>
      <c r="AT31" s="472">
        <f t="shared" si="17"/>
        <v>0</v>
      </c>
      <c r="AU31" s="472">
        <f t="shared" si="18"/>
        <v>0</v>
      </c>
      <c r="AV31" s="472">
        <f t="shared" si="19"/>
        <v>0</v>
      </c>
      <c r="AW31" s="472">
        <f t="shared" si="20"/>
        <v>0</v>
      </c>
      <c r="AX31" s="1722" t="s">
        <v>24</v>
      </c>
      <c r="AY31" s="681">
        <v>110</v>
      </c>
      <c r="AZ31" s="681">
        <v>95</v>
      </c>
      <c r="BA31" s="681"/>
      <c r="BB31" s="681">
        <v>110</v>
      </c>
      <c r="BC31" s="681">
        <v>95</v>
      </c>
      <c r="BD31" s="681"/>
      <c r="BE31" s="681">
        <v>110</v>
      </c>
      <c r="BF31" s="681">
        <v>95</v>
      </c>
      <c r="BG31" s="681"/>
      <c r="BH31" s="681">
        <v>110</v>
      </c>
      <c r="BI31" s="681">
        <v>95</v>
      </c>
      <c r="BJ31" s="681"/>
      <c r="BK31" s="681">
        <v>110</v>
      </c>
      <c r="BL31" s="681">
        <v>95</v>
      </c>
      <c r="BM31" s="681"/>
      <c r="BN31" s="471" t="s">
        <v>1764</v>
      </c>
      <c r="BO31" s="821" t="s">
        <v>1764</v>
      </c>
      <c r="BP31"/>
      <c r="BQ31" s="1722" t="s">
        <v>24</v>
      </c>
      <c r="BR31" s="470">
        <v>75</v>
      </c>
      <c r="BS31" s="470">
        <v>85</v>
      </c>
      <c r="BT31" s="470">
        <v>100</v>
      </c>
      <c r="BU31"/>
      <c r="BV31" s="1722" t="s">
        <v>24</v>
      </c>
      <c r="BW31" s="470">
        <v>180</v>
      </c>
      <c r="BX31" s="470">
        <v>200</v>
      </c>
      <c r="BY31" s="470">
        <v>230</v>
      </c>
      <c r="BZ31" s="1740"/>
      <c r="CA31" s="1740"/>
      <c r="CB31"/>
      <c r="CC31"/>
      <c r="CD31"/>
      <c r="CE31" s="1835" t="s">
        <v>15</v>
      </c>
      <c r="CF31" s="1834" t="str">
        <f>IFERROR(INDEX(N_Bedarf!$CE$2:$CE$141,_xlfn.AGGREGATE(15,6,(ROW(N_Bedarf!$CE$2:$CE$141)-1)/(--(SEARCH(CG$2,N_Bedarf!$CE$2:$CE$141)&gt;0)),ROW()-2),1),"")</f>
        <v>Silomais-Silage gelagert (m3)</v>
      </c>
      <c r="CG31" s="1830" t="e">
        <f>IF(N_Bedarf!#REF!="","",IF(COUNTIF(N_Bedarf!$CE$2:$CE$304,N_Bedarf!#REF!),"",N_Bedarf!#REF!))</f>
        <v>#REF!</v>
      </c>
      <c r="CH31" s="1834" t="str">
        <f>IFERROR(INDEX(N_Bedarf!$CE$2:$CE$141,_xlfn.AGGREGATE(15,6,(ROW(N_Bedarf!$CE$2:$CE$141)-1)/(--(SEARCH(CI$2,N_Bedarf!$CE$2:$CE$141)&gt;0)),ROW()-2),1),"")</f>
        <v>Silomais-Silage gelagert (m3)</v>
      </c>
      <c r="CI31" s="1830" t="str">
        <f>IF(N_Bedarf!$E74="","",IF(COUNTIF(N_Bedarf!$CE$2:$CE$304,N_Bedarf!$E74),"",N_Bedarf!$E74))</f>
        <v/>
      </c>
      <c r="CJ31" s="1834" t="str">
        <f>IFERROR(INDEX(N_Bedarf!$CE$2:$CE$141,_xlfn.AGGREGATE(15,6,(ROW(N_Bedarf!$CE$2:$CE$141)-1)/(--(SEARCH(CK$2,N_Bedarf!$CE$2:$CE$141)&gt;0)),ROW()-2),1),"")</f>
        <v>Silomais-Silage gelagert (m3)</v>
      </c>
      <c r="CK31" s="1830" t="str">
        <f>IF(N_Bedarf!$E75="","",IF(COUNTIF(N_Bedarf!$CE$2:$CE$304,N_Bedarf!$E75),"",N_Bedarf!$E75))</f>
        <v/>
      </c>
      <c r="CL31" s="1834" t="str">
        <f>IFERROR(INDEX(N_Bedarf!$CE$2:$CE$141,_xlfn.AGGREGATE(15,6,(ROW(N_Bedarf!$CE$2:$CE$141)-1)/(--(SEARCH(CM$2,N_Bedarf!$CE$2:$CE$141)&gt;0)),ROW()-2),1),"")</f>
        <v>Silomais-Silage gelagert (m3)</v>
      </c>
      <c r="CM31" s="1830" t="str">
        <f>IF(N_Bedarf!$E76="","",IF(COUNTIF(N_Bedarf!$CE$2:$CE$304,N_Bedarf!$E76),"",N_Bedarf!$E76))</f>
        <v>kg 
N/ha</v>
      </c>
      <c r="CN31" s="1834" t="str">
        <f>IFERROR(INDEX(N_Bedarf!$CE$2:$CE$141,_xlfn.AGGREGATE(15,6,(ROW(N_Bedarf!$CE$2:$CE$141)-1)/(--(SEARCH(CO$2,N_Bedarf!$CE$2:$CE$141)&gt;0)),ROW()-2),1),"")</f>
        <v>Silomais-Silage gelagert (m3)</v>
      </c>
      <c r="CO31" s="1830" t="str">
        <f>IF(N_Bedarf!$E77="","",IF(COUNTIF(N_Bedarf!$CE$2:$CE$304,N_Bedarf!$E77),"",N_Bedarf!$E77))</f>
        <v/>
      </c>
      <c r="CP31" s="1834" t="str">
        <f>IFERROR(INDEX(N_Bedarf!$CE$2:$CE$141,_xlfn.AGGREGATE(15,6,(ROW(N_Bedarf!$CE$2:$CE$141)-1)/(--(SEARCH(CQ$2,N_Bedarf!$CE$2:$CE$141)&gt;0)),ROW()-2),1),"")</f>
        <v>Silomais-Silage gelagert (m3)</v>
      </c>
      <c r="CQ31" s="1830" t="str">
        <f>IF(N_Bedarf!$E78="","",IF(COUNTIF(N_Bedarf!$CE$2:$CE$304,N_Bedarf!$E78),"",N_Bedarf!$E78))</f>
        <v/>
      </c>
      <c r="CR31" s="1834" t="str">
        <f>IFERROR(INDEX(N_Bedarf!$CE$2:$CE$141,_xlfn.AGGREGATE(15,6,(ROW(N_Bedarf!$CE$2:$CE$141)-1)/(--(SEARCH(CS$2,N_Bedarf!$CE$2:$CE$141)&gt;0)),ROW()-2),1),"")</f>
        <v>Silomais-Silage gelagert (m3)</v>
      </c>
      <c r="CS31" s="1830">
        <f>IF(N_Bedarf!$E79="","",IF(COUNTIF(N_Bedarf!$CE$2:$CE$304,N_Bedarf!$E79),"",N_Bedarf!$E79))</f>
        <v>40</v>
      </c>
      <c r="CT31" s="1834" t="str">
        <f>IFERROR(INDEX(N_Bedarf!$CE$2:$CE$141,_xlfn.AGGREGATE(15,6,(ROW(N_Bedarf!$CE$2:$CE$141)-1)/(--(SEARCH(CU$2,N_Bedarf!$CE$2:$CE$141)&gt;0)),ROW()-2),1),"")</f>
        <v>Silomais-Silage gelagert (m3)</v>
      </c>
      <c r="CU31" s="1830">
        <f>IF(N_Bedarf!$E80="","",IF(COUNTIF(N_Bedarf!$CE$2:$CE$304,N_Bedarf!$E80),"",N_Bedarf!$E80))</f>
        <v>60</v>
      </c>
      <c r="CV31" s="1834" t="str">
        <f>IFERROR(INDEX(N_Bedarf!$CE$2:$CE$141,_xlfn.AGGREGATE(15,6,(ROW(N_Bedarf!$CE$2:$CE$141)-1)/(--(SEARCH(CW$2,N_Bedarf!$CE$2:$CE$141)&gt;0)),ROW()-2),1),"")</f>
        <v>Silomais-Silage gelagert (m3)</v>
      </c>
      <c r="CW31" s="1830" t="str">
        <f>IF(N_Bedarf!$E81="","",IF(COUNTIF(N_Bedarf!$CE$2:$CE$304,N_Bedarf!$E81),"",N_Bedarf!$E81))</f>
        <v/>
      </c>
      <c r="CX31" s="1834" t="str">
        <f>IFERROR(INDEX(N_Bedarf!$CE$2:$CE$141,_xlfn.AGGREGATE(15,6,(ROW(N_Bedarf!$CE$2:$CE$141)-1)/(--(SEARCH(CY$2,N_Bedarf!$CE$2:$CE$141)&gt;0)),ROW()-2),1),"")</f>
        <v>Silomais-Silage gelagert (m3)</v>
      </c>
      <c r="CY31" s="1830">
        <f>IF(N_Bedarf!$E82="","",IF(COUNTIF(N_Bedarf!$CE$2:$CE$304,N_Bedarf!$E82),"",N_Bedarf!$E82))</f>
        <v>50</v>
      </c>
      <c r="CZ31" s="1834" t="str">
        <f>IFERROR(INDEX(N_Bedarf!$CE$2:$CE$141,_xlfn.AGGREGATE(15,6,(ROW(N_Bedarf!$CE$2:$CE$141)-1)/(--(SEARCH(DA$2,N_Bedarf!$CE$2:$CE$141)&gt;0)),ROW()-2),1),"")</f>
        <v>Silomais-Silage gelagert (m3)</v>
      </c>
      <c r="DA31" s="1830">
        <f>IF(N_Bedarf!$E83="","",IF(COUNTIF(N_Bedarf!$CE$2:$CE$304,N_Bedarf!$E83),"",N_Bedarf!$E83))</f>
        <v>40</v>
      </c>
      <c r="DB31" s="1834" t="str">
        <f>IFERROR(INDEX(N_Bedarf!$CE$2:$CE$141,_xlfn.AGGREGATE(15,6,(ROW(N_Bedarf!$CE$2:$CE$141)-1)/(--(SEARCH(DC$2,N_Bedarf!$CE$2:$CE$141)&gt;0)),ROW()-2),1),"")</f>
        <v>Silomais-Silage gelagert (m3)</v>
      </c>
      <c r="DC31" s="1830">
        <f>IF(N_Bedarf!$E84="","",IF(COUNTIF(N_Bedarf!$CE$2:$CE$304,N_Bedarf!$E84),"",N_Bedarf!$E84))</f>
        <v>105</v>
      </c>
      <c r="DD31" s="1834" t="str">
        <f>IFERROR(INDEX(N_Bedarf!$CE$2:$CE$141,_xlfn.AGGREGATE(15,6,(ROW(N_Bedarf!$CE$2:$CE$141)-1)/(--(SEARCH(DE$2,N_Bedarf!$CE$2:$CE$141)&gt;0)),ROW()-2),1),"")</f>
        <v>Silomais-Silage gelagert (m3)</v>
      </c>
      <c r="DE31" s="1830">
        <f>IF(N_Bedarf!$E85="","",IF(COUNTIF(N_Bedarf!$CE$2:$CE$304,N_Bedarf!$E85),"",N_Bedarf!$E85))</f>
        <v>105</v>
      </c>
      <c r="DF31" s="2353" t="str">
        <f t="array" ref="DF31">IFERROR(INDEX(N_Bedarf!$CE$2:$CE$141,_xlfn.AGGREGATE(15,6,(ROW(N_Bedarf!$CE$2:$CE$141)-1)/(--(SEARCH(DG$2,N_Bedarf!$CE$2:$CE$141)&gt;0)),ROW()-2),1),"")</f>
        <v>Silomais-Silage gelagert (m3)</v>
      </c>
      <c r="DG31" s="2353"/>
      <c r="DH31" s="2355" t="str">
        <f t="array" ref="DH31">IFERROR(INDEX(N_Bedarf!$CE$2:$CE$141,_xlfn.AGGREGATE(15,6,(ROW(N_Bedarf!$CE$2:$CE$141)-1)/(--(SEARCH(DI$2,N_Bedarf!$CE$2:$CE$141)&gt;0)),ROW()-2),1),"")</f>
        <v>Silomais-Silage gelagert (m3)</v>
      </c>
      <c r="DI31" s="2355"/>
      <c r="DJ31" s="2356" t="str">
        <f t="array" ref="DJ31">IFERROR(INDEX(N_Bedarf!$CE$2:$CE$141,_xlfn.AGGREGATE(15,6,(ROW(N_Bedarf!$CE$2:$CE$141)-1)/(--(SEARCH(DK$2,N_Bedarf!$CE$2:$CE$141)&gt;0)),ROW()-2),1),"")</f>
        <v>Silomais-Silage gelagert (m3)</v>
      </c>
      <c r="DK31" s="2356"/>
      <c r="DL31" s="2356" t="str">
        <f t="array" ref="DL31">IFERROR(INDEX(N_Bedarf!$CE$2:$CE$141,_xlfn.AGGREGATE(15,6,(ROW(N_Bedarf!$CE$2:$CE$141)-1)/(--(SEARCH(DM$2,N_Bedarf!$CE$2:$CE$141)&gt;0)),ROW()-2),1),"")</f>
        <v>Silomais-Silage gelagert (m3)</v>
      </c>
      <c r="DM31" s="2356"/>
      <c r="DN31" s="2356" t="str">
        <f t="array" ref="DN31">IFERROR(INDEX(N_Bedarf!$CE$2:$CE$141,_xlfn.AGGREGATE(15,6,(ROW(N_Bedarf!$CE$2:$CE$141)-1)/(--(SEARCH(DO$2,N_Bedarf!$CE$2:$CE$141)&gt;0)),ROW()-2),1),"")</f>
        <v>Silomais-Silage gelagert (m3)</v>
      </c>
      <c r="DO31" s="2356"/>
      <c r="DP31" s="2356" t="str">
        <f t="array" ref="DP31">IFERROR(INDEX(N_Bedarf!$CE$2:$CE$141,_xlfn.AGGREGATE(15,6,(ROW(N_Bedarf!$CE$2:$CE$141)-1)/(--(SEARCH(DQ$2,N_Bedarf!$CE$2:$CE$141)&gt;0)),ROW()-2),1),"")</f>
        <v>Silomais-Silage gelagert (m3)</v>
      </c>
      <c r="DQ31" s="2356"/>
      <c r="DR31" s="2356" t="str">
        <f t="array" ref="DR31">IFERROR(INDEX(N_Bedarf!$CE$2:$CE$141,_xlfn.AGGREGATE(15,6,(ROW(N_Bedarf!$CE$2:$CE$141)-1)/(--(SEARCH(DS$2,N_Bedarf!$CE$2:$CE$141)&gt;0)),ROW()-2),1),"")</f>
        <v>Silomais-Silage gelagert (m3)</v>
      </c>
      <c r="DS31" s="2356"/>
      <c r="DT31" s="2356" t="str">
        <f t="array" ref="DT31">IFERROR(INDEX(N_Bedarf!$CE$2:$CE$141,_xlfn.AGGREGATE(15,6,(ROW(N_Bedarf!$CE$2:$CE$141)-1)/(--(SEARCH(DU$2,N_Bedarf!$CE$2:$CE$141)&gt;0)),ROW()-2),1),"")</f>
        <v>Silomais-Silage gelagert (m3)</v>
      </c>
      <c r="DU31" s="2356"/>
      <c r="DV31" s="2356" t="str">
        <f t="array" ref="DV31">IFERROR(INDEX(N_Bedarf!$CE$2:$CE$141,_xlfn.AGGREGATE(15,6,(ROW(N_Bedarf!$CE$2:$CE$141)-1)/(--(SEARCH(DW$2,N_Bedarf!$CE$2:$CE$141)&gt;0)),ROW()-2),1),"")</f>
        <v>Silomais-Silage gelagert (m3)</v>
      </c>
      <c r="DW31" s="2356"/>
      <c r="DX31" s="2356" t="str">
        <f t="array" ref="DX31">IFERROR(INDEX(N_Bedarf!$CE$2:$CE$141,_xlfn.AGGREGATE(15,6,(ROW(N_Bedarf!$CE$2:$CE$141)-1)/(--(SEARCH(DY$2,N_Bedarf!$CE$2:$CE$141)&gt;0)),ROW()-2),1),"")</f>
        <v>Silomais-Silage gelagert (m3)</v>
      </c>
      <c r="DY31" s="2356"/>
      <c r="DZ31" s="2356" t="str">
        <f t="array" ref="DZ31">IFERROR(INDEX(N_Bedarf!$CE$2:$CE$141,_xlfn.AGGREGATE(15,6,(ROW(N_Bedarf!$CE$2:$CE$141)-1)/(--(SEARCH(EA$2,N_Bedarf!$CE$2:$CE$141)&gt;0)),ROW()-2),1),"")</f>
        <v>Silomais-Silage gelagert (m3)</v>
      </c>
      <c r="EA31" s="2356"/>
      <c r="EB31" s="2356" t="str">
        <f t="array" ref="EB31">IFERROR(INDEX(N_Bedarf!$CE$2:$CE$141,_xlfn.AGGREGATE(15,6,(ROW(N_Bedarf!$CE$2:$CE$141)-1)/(--(SEARCH(EC$2,N_Bedarf!$CE$2:$CE$141)&gt;0)),ROW()-2),1),"")</f>
        <v>Silomais-Silage gelagert (m3)</v>
      </c>
      <c r="EC31" s="2356"/>
      <c r="ED31"/>
      <c r="EE31"/>
      <c r="EF31"/>
      <c r="EG31"/>
      <c r="EH31"/>
      <c r="EI31"/>
      <c r="EJ31"/>
      <c r="EK31"/>
      <c r="EL31"/>
      <c r="EM31"/>
      <c r="EN31"/>
      <c r="EO31"/>
      <c r="EP31"/>
      <c r="EQ31"/>
      <c r="ER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row>
    <row r="32" spans="1:291" ht="27" customHeight="1" thickTop="1" thickBot="1">
      <c r="C32" s="2454"/>
      <c r="D32" s="2455"/>
      <c r="E32" s="912"/>
      <c r="F32" s="913"/>
      <c r="G32" s="1916" t="str">
        <f t="shared" si="9"/>
        <v/>
      </c>
      <c r="H32" s="2296"/>
      <c r="I32" s="914">
        <f t="shared" si="22"/>
        <v>0</v>
      </c>
      <c r="J32" s="2297">
        <f t="shared" si="23"/>
        <v>0</v>
      </c>
      <c r="K32" s="2299"/>
      <c r="L32" s="915">
        <f t="shared" si="24"/>
        <v>0</v>
      </c>
      <c r="M32" s="2357">
        <f t="shared" si="25"/>
        <v>0</v>
      </c>
      <c r="T32" s="1869"/>
      <c r="U32" s="1869"/>
      <c r="V32" s="1869"/>
      <c r="W32" s="1869"/>
      <c r="X32" s="1869"/>
      <c r="Y32" s="1869"/>
      <c r="Z32" s="1869"/>
      <c r="AA32" s="1869"/>
      <c r="AB32" s="1869"/>
      <c r="AC32" s="1869"/>
      <c r="AD32" s="1869"/>
      <c r="AE32" s="1869"/>
      <c r="AF32" s="1869"/>
      <c r="AG32" s="1869"/>
      <c r="AH32" s="1869"/>
      <c r="AI32" s="1869"/>
      <c r="AJ32" s="1869"/>
      <c r="AK32" s="1869"/>
      <c r="AL32" s="1869"/>
      <c r="AM32" s="1869"/>
      <c r="AN32" s="1741"/>
      <c r="AO32" s="1741"/>
      <c r="AP32" s="1568" t="str">
        <f t="shared" si="3"/>
        <v/>
      </c>
      <c r="AQ32" s="472">
        <f t="shared" si="14"/>
        <v>0</v>
      </c>
      <c r="AR32" s="472">
        <f t="shared" si="15"/>
        <v>0</v>
      </c>
      <c r="AS32" s="472">
        <f t="shared" si="16"/>
        <v>0</v>
      </c>
      <c r="AT32" s="472">
        <f t="shared" si="17"/>
        <v>0</v>
      </c>
      <c r="AU32" s="472">
        <f t="shared" si="18"/>
        <v>0</v>
      </c>
      <c r="AV32" s="472">
        <f t="shared" si="19"/>
        <v>0</v>
      </c>
      <c r="AW32" s="472">
        <f t="shared" si="20"/>
        <v>0</v>
      </c>
      <c r="AX32" s="1722" t="s">
        <v>1737</v>
      </c>
      <c r="AY32" s="681">
        <v>130</v>
      </c>
      <c r="AZ32" s="681">
        <v>110</v>
      </c>
      <c r="BA32" s="681" t="s">
        <v>2649</v>
      </c>
      <c r="BB32" s="681">
        <v>175</v>
      </c>
      <c r="BC32" s="681">
        <v>160</v>
      </c>
      <c r="BD32" s="681" t="s">
        <v>2675</v>
      </c>
      <c r="BE32" s="681">
        <v>210</v>
      </c>
      <c r="BF32" s="681">
        <v>190</v>
      </c>
      <c r="BG32" s="681" t="s">
        <v>2672</v>
      </c>
      <c r="BH32" s="681">
        <v>225</v>
      </c>
      <c r="BI32" s="681">
        <v>205</v>
      </c>
      <c r="BJ32" s="681" t="s">
        <v>2671</v>
      </c>
      <c r="BK32" s="681">
        <v>240</v>
      </c>
      <c r="BL32" s="681">
        <v>215</v>
      </c>
      <c r="BM32" s="681" t="s">
        <v>2604</v>
      </c>
      <c r="BN32" s="471">
        <v>4</v>
      </c>
      <c r="BO32" s="821" t="s">
        <v>1764</v>
      </c>
      <c r="BP32"/>
      <c r="BQ32" s="1722" t="s">
        <v>1737</v>
      </c>
      <c r="BR32" s="470">
        <v>80</v>
      </c>
      <c r="BS32" s="470">
        <v>90</v>
      </c>
      <c r="BT32" s="470">
        <v>105</v>
      </c>
      <c r="BU32"/>
      <c r="BV32" s="1722" t="s">
        <v>1737</v>
      </c>
      <c r="BW32" s="470">
        <v>205</v>
      </c>
      <c r="BX32" s="470">
        <v>225</v>
      </c>
      <c r="BY32" s="470">
        <v>260</v>
      </c>
      <c r="BZ32" s="1740"/>
      <c r="CA32" s="1740"/>
      <c r="CB32"/>
      <c r="CC32"/>
      <c r="CD32"/>
      <c r="CE32" s="1833" t="s">
        <v>1997</v>
      </c>
      <c r="CF32" s="1834" t="str">
        <f>IFERROR(INDEX(N_Bedarf!$CE$2:$CE$141,_xlfn.AGGREGATE(15,6,(ROW(N_Bedarf!$CE$2:$CE$141)-1)/(--(SEARCH(CG$2,N_Bedarf!$CE$2:$CE$141)&gt;0)),ROW()-2),1),"")</f>
        <v>Grünmais</v>
      </c>
      <c r="CG32" s="1836" t="e">
        <f>IF(N_Bedarf!#REF!="","",IF(COUNTIF(N_Bedarf!$CE$2:$CE$304,N_Bedarf!#REF!),"",N_Bedarf!#REF!))</f>
        <v>#REF!</v>
      </c>
      <c r="CH32" s="1834" t="str">
        <f>IFERROR(INDEX(N_Bedarf!$CE$2:$CE$141,_xlfn.AGGREGATE(15,6,(ROW(N_Bedarf!$CE$2:$CE$141)-1)/(--(SEARCH(CI$2,N_Bedarf!$CE$2:$CE$141)&gt;0)),ROW()-2),1),"")</f>
        <v>Grünmais</v>
      </c>
      <c r="CI32" s="1836" t="str">
        <f>IF(N_Bedarf!$E74="","",IF(COUNTIF(N_Bedarf!$CE$2:$CE$304,N_Bedarf!$E74),"",N_Bedarf!$E74))</f>
        <v/>
      </c>
      <c r="CJ32" s="1834" t="str">
        <f>IFERROR(INDEX(N_Bedarf!$CE$2:$CE$141,_xlfn.AGGREGATE(15,6,(ROW(N_Bedarf!$CE$2:$CE$141)-1)/(--(SEARCH(CK$2,N_Bedarf!$CE$2:$CE$141)&gt;0)),ROW()-2),1),"")</f>
        <v>Grünmais</v>
      </c>
      <c r="CK32" s="1836" t="str">
        <f>IF(N_Bedarf!$E75="","",IF(COUNTIF(N_Bedarf!$CE$2:$CE$304,N_Bedarf!$E75),"",N_Bedarf!$E75))</f>
        <v/>
      </c>
      <c r="CL32" s="1834" t="str">
        <f>IFERROR(INDEX(N_Bedarf!$CE$2:$CE$141,_xlfn.AGGREGATE(15,6,(ROW(N_Bedarf!$CE$2:$CE$141)-1)/(--(SEARCH(CM$2,N_Bedarf!$CE$2:$CE$141)&gt;0)),ROW()-2),1),"")</f>
        <v>Grünmais</v>
      </c>
      <c r="CM32" s="1836" t="str">
        <f>IF(N_Bedarf!$E76="","",IF(COUNTIF(N_Bedarf!$CE$2:$CE$304,N_Bedarf!$E76),"",N_Bedarf!$E76))</f>
        <v>kg 
N/ha</v>
      </c>
      <c r="CN32" s="1834" t="str">
        <f>IFERROR(INDEX(N_Bedarf!$CE$2:$CE$141,_xlfn.AGGREGATE(15,6,(ROW(N_Bedarf!$CE$2:$CE$141)-1)/(--(SEARCH(CO$2,N_Bedarf!$CE$2:$CE$141)&gt;0)),ROW()-2),1),"")</f>
        <v>Grünmais</v>
      </c>
      <c r="CO32" s="1836" t="str">
        <f>IF(N_Bedarf!$E77="","",IF(COUNTIF(N_Bedarf!$CE$2:$CE$304,N_Bedarf!$E77),"",N_Bedarf!$E77))</f>
        <v/>
      </c>
      <c r="CP32" s="1834" t="str">
        <f>IFERROR(INDEX(N_Bedarf!$CE$2:$CE$141,_xlfn.AGGREGATE(15,6,(ROW(N_Bedarf!$CE$2:$CE$141)-1)/(--(SEARCH(CQ$2,N_Bedarf!$CE$2:$CE$141)&gt;0)),ROW()-2),1),"")</f>
        <v>Grünmais</v>
      </c>
      <c r="CQ32" s="1836" t="str">
        <f>IF(N_Bedarf!$E78="","",IF(COUNTIF(N_Bedarf!$CE$2:$CE$304,N_Bedarf!$E78),"",N_Bedarf!$E78))</f>
        <v/>
      </c>
      <c r="CR32" s="1834" t="str">
        <f>IFERROR(INDEX(N_Bedarf!$CE$2:$CE$141,_xlfn.AGGREGATE(15,6,(ROW(N_Bedarf!$CE$2:$CE$141)-1)/(--(SEARCH(CS$2,N_Bedarf!$CE$2:$CE$141)&gt;0)),ROW()-2),1),"")</f>
        <v>Grünmais</v>
      </c>
      <c r="CS32" s="1836">
        <f>IF(N_Bedarf!$E79="","",IF(COUNTIF(N_Bedarf!$CE$2:$CE$304,N_Bedarf!$E79),"",N_Bedarf!$E79))</f>
        <v>40</v>
      </c>
      <c r="CT32" s="1834" t="str">
        <f>IFERROR(INDEX(N_Bedarf!$CE$2:$CE$141,_xlfn.AGGREGATE(15,6,(ROW(N_Bedarf!$CE$2:$CE$141)-1)/(--(SEARCH(CU$2,N_Bedarf!$CE$2:$CE$141)&gt;0)),ROW()-2),1),"")</f>
        <v>Grünmais</v>
      </c>
      <c r="CU32" s="1836">
        <f>IF(N_Bedarf!$E80="","",IF(COUNTIF(N_Bedarf!$CE$2:$CE$304,N_Bedarf!$E80),"",N_Bedarf!$E80))</f>
        <v>60</v>
      </c>
      <c r="CV32" s="1834" t="str">
        <f>IFERROR(INDEX(N_Bedarf!$CE$2:$CE$141,_xlfn.AGGREGATE(15,6,(ROW(N_Bedarf!$CE$2:$CE$141)-1)/(--(SEARCH(CW$2,N_Bedarf!$CE$2:$CE$141)&gt;0)),ROW()-2),1),"")</f>
        <v>Grünmais</v>
      </c>
      <c r="CW32" s="1836" t="str">
        <f>IF(N_Bedarf!$E81="","",IF(COUNTIF(N_Bedarf!$CE$2:$CE$304,N_Bedarf!$E81),"",N_Bedarf!$E81))</f>
        <v/>
      </c>
      <c r="CX32" s="1834" t="str">
        <f>IFERROR(INDEX(N_Bedarf!$CE$2:$CE$141,_xlfn.AGGREGATE(15,6,(ROW(N_Bedarf!$CE$2:$CE$141)-1)/(--(SEARCH(CY$2,N_Bedarf!$CE$2:$CE$141)&gt;0)),ROW()-2),1),"")</f>
        <v>Grünmais</v>
      </c>
      <c r="CY32" s="1836">
        <f>IF(N_Bedarf!$E82="","",IF(COUNTIF(N_Bedarf!$CE$2:$CE$304,N_Bedarf!$E82),"",N_Bedarf!$E82))</f>
        <v>50</v>
      </c>
      <c r="CZ32" s="1834" t="str">
        <f>IFERROR(INDEX(N_Bedarf!$CE$2:$CE$141,_xlfn.AGGREGATE(15,6,(ROW(N_Bedarf!$CE$2:$CE$141)-1)/(--(SEARCH(DA$2,N_Bedarf!$CE$2:$CE$141)&gt;0)),ROW()-2),1),"")</f>
        <v>Grünmais</v>
      </c>
      <c r="DA32" s="1836">
        <f>IF(N_Bedarf!$E83="","",IF(COUNTIF(N_Bedarf!$CE$2:$CE$304,N_Bedarf!$E83),"",N_Bedarf!$E83))</f>
        <v>40</v>
      </c>
      <c r="DB32" s="1834" t="str">
        <f>IFERROR(INDEX(N_Bedarf!$CE$2:$CE$141,_xlfn.AGGREGATE(15,6,(ROW(N_Bedarf!$CE$2:$CE$141)-1)/(--(SEARCH(DC$2,N_Bedarf!$CE$2:$CE$141)&gt;0)),ROW()-2),1),"")</f>
        <v>Grünmais</v>
      </c>
      <c r="DC32" s="1836">
        <f>IF(N_Bedarf!$E84="","",IF(COUNTIF(N_Bedarf!$CE$2:$CE$304,N_Bedarf!$E84),"",N_Bedarf!$E84))</f>
        <v>105</v>
      </c>
      <c r="DD32" s="1834" t="str">
        <f>IFERROR(INDEX(N_Bedarf!$CE$2:$CE$141,_xlfn.AGGREGATE(15,6,(ROW(N_Bedarf!$CE$2:$CE$141)-1)/(--(SEARCH(DE$2,N_Bedarf!$CE$2:$CE$141)&gt;0)),ROW()-2),1),"")</f>
        <v>Grünmais</v>
      </c>
      <c r="DE32" s="1836">
        <f>IF(N_Bedarf!$E85="","",IF(COUNTIF(N_Bedarf!$CE$2:$CE$304,N_Bedarf!$E85),"",N_Bedarf!$E85))</f>
        <v>105</v>
      </c>
      <c r="DF32" s="2353" t="str">
        <f t="array" ref="DF32">IFERROR(INDEX(N_Bedarf!$CE$2:$CE$141,_xlfn.AGGREGATE(15,6,(ROW(N_Bedarf!$CE$2:$CE$141)-1)/(--(SEARCH(DG$2,N_Bedarf!$CE$2:$CE$141)&gt;0)),ROW()-2),1),"")</f>
        <v>Grünmais</v>
      </c>
      <c r="DG32" s="2353"/>
      <c r="DH32" s="2355" t="str">
        <f t="array" ref="DH32">IFERROR(INDEX(N_Bedarf!$CE$2:$CE$141,_xlfn.AGGREGATE(15,6,(ROW(N_Bedarf!$CE$2:$CE$141)-1)/(--(SEARCH(DI$2,N_Bedarf!$CE$2:$CE$141)&gt;0)),ROW()-2),1),"")</f>
        <v>Grünmais</v>
      </c>
      <c r="DI32" s="2355"/>
      <c r="DJ32" s="2356" t="str">
        <f t="array" ref="DJ32">IFERROR(INDEX(N_Bedarf!$CE$2:$CE$141,_xlfn.AGGREGATE(15,6,(ROW(N_Bedarf!$CE$2:$CE$141)-1)/(--(SEARCH(DK$2,N_Bedarf!$CE$2:$CE$141)&gt;0)),ROW()-2),1),"")</f>
        <v>Grünmais</v>
      </c>
      <c r="DK32" s="2356"/>
      <c r="DL32" s="2356" t="str">
        <f t="array" ref="DL32">IFERROR(INDEX(N_Bedarf!$CE$2:$CE$141,_xlfn.AGGREGATE(15,6,(ROW(N_Bedarf!$CE$2:$CE$141)-1)/(--(SEARCH(DM$2,N_Bedarf!$CE$2:$CE$141)&gt;0)),ROW()-2),1),"")</f>
        <v>Grünmais</v>
      </c>
      <c r="DM32" s="2356"/>
      <c r="DN32" s="2356" t="str">
        <f t="array" ref="DN32">IFERROR(INDEX(N_Bedarf!$CE$2:$CE$141,_xlfn.AGGREGATE(15,6,(ROW(N_Bedarf!$CE$2:$CE$141)-1)/(--(SEARCH(DO$2,N_Bedarf!$CE$2:$CE$141)&gt;0)),ROW()-2),1),"")</f>
        <v>Grünmais</v>
      </c>
      <c r="DO32" s="2356"/>
      <c r="DP32" s="2356" t="str">
        <f t="array" ref="DP32">IFERROR(INDEX(N_Bedarf!$CE$2:$CE$141,_xlfn.AGGREGATE(15,6,(ROW(N_Bedarf!$CE$2:$CE$141)-1)/(--(SEARCH(DQ$2,N_Bedarf!$CE$2:$CE$141)&gt;0)),ROW()-2),1),"")</f>
        <v>Grünmais</v>
      </c>
      <c r="DQ32" s="2356"/>
      <c r="DR32" s="2356" t="str">
        <f t="array" ref="DR32">IFERROR(INDEX(N_Bedarf!$CE$2:$CE$141,_xlfn.AGGREGATE(15,6,(ROW(N_Bedarf!$CE$2:$CE$141)-1)/(--(SEARCH(DS$2,N_Bedarf!$CE$2:$CE$141)&gt;0)),ROW()-2),1),"")</f>
        <v>Grünmais</v>
      </c>
      <c r="DS32" s="2356"/>
      <c r="DT32" s="2356" t="str">
        <f t="array" ref="DT32">IFERROR(INDEX(N_Bedarf!$CE$2:$CE$141,_xlfn.AGGREGATE(15,6,(ROW(N_Bedarf!$CE$2:$CE$141)-1)/(--(SEARCH(DU$2,N_Bedarf!$CE$2:$CE$141)&gt;0)),ROW()-2),1),"")</f>
        <v>Grünmais</v>
      </c>
      <c r="DU32" s="2356"/>
      <c r="DV32" s="2356" t="str">
        <f t="array" ref="DV32">IFERROR(INDEX(N_Bedarf!$CE$2:$CE$141,_xlfn.AGGREGATE(15,6,(ROW(N_Bedarf!$CE$2:$CE$141)-1)/(--(SEARCH(DW$2,N_Bedarf!$CE$2:$CE$141)&gt;0)),ROW()-2),1),"")</f>
        <v>Grünmais</v>
      </c>
      <c r="DW32" s="2356"/>
      <c r="DX32" s="2356" t="str">
        <f t="array" ref="DX32">IFERROR(INDEX(N_Bedarf!$CE$2:$CE$141,_xlfn.AGGREGATE(15,6,(ROW(N_Bedarf!$CE$2:$CE$141)-1)/(--(SEARCH(DY$2,N_Bedarf!$CE$2:$CE$141)&gt;0)),ROW()-2),1),"")</f>
        <v>Grünmais</v>
      </c>
      <c r="DY32" s="2356"/>
      <c r="DZ32" s="2356" t="str">
        <f t="array" ref="DZ32">IFERROR(INDEX(N_Bedarf!$CE$2:$CE$141,_xlfn.AGGREGATE(15,6,(ROW(N_Bedarf!$CE$2:$CE$141)-1)/(--(SEARCH(EA$2,N_Bedarf!$CE$2:$CE$141)&gt;0)),ROW()-2),1),"")</f>
        <v>Grünmais</v>
      </c>
      <c r="EA32" s="2356"/>
      <c r="EB32" s="2356" t="str">
        <f t="array" ref="EB32">IFERROR(INDEX(N_Bedarf!$CE$2:$CE$141,_xlfn.AGGREGATE(15,6,(ROW(N_Bedarf!$CE$2:$CE$141)-1)/(--(SEARCH(EC$2,N_Bedarf!$CE$2:$CE$141)&gt;0)),ROW()-2),1),"")</f>
        <v>Grünmais</v>
      </c>
      <c r="EC32" s="2356"/>
      <c r="ED32"/>
      <c r="EE32"/>
      <c r="EF32"/>
      <c r="EG32"/>
      <c r="EH32"/>
      <c r="EI32"/>
      <c r="EJ32"/>
      <c r="EK32"/>
      <c r="EL32"/>
      <c r="EM32"/>
      <c r="EN32"/>
      <c r="EO32"/>
      <c r="EP32"/>
      <c r="EQ32"/>
      <c r="ER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row>
    <row r="33" spans="1:291" ht="27" customHeight="1" thickTop="1" thickBot="1">
      <c r="A33" s="770"/>
      <c r="B33" s="770"/>
      <c r="C33" s="2454"/>
      <c r="D33" s="2455"/>
      <c r="E33" s="912"/>
      <c r="F33" s="913"/>
      <c r="G33" s="1916" t="str">
        <f t="shared" si="9"/>
        <v/>
      </c>
      <c r="H33" s="2296"/>
      <c r="I33" s="914">
        <f t="shared" si="22"/>
        <v>0</v>
      </c>
      <c r="J33" s="2297">
        <f t="shared" si="23"/>
        <v>0</v>
      </c>
      <c r="K33" s="2299"/>
      <c r="L33" s="915">
        <f t="shared" si="24"/>
        <v>0</v>
      </c>
      <c r="M33" s="2357">
        <f t="shared" si="25"/>
        <v>0</v>
      </c>
      <c r="AO33" s="1741"/>
      <c r="AP33" s="1568" t="str">
        <f t="shared" si="3"/>
        <v/>
      </c>
      <c r="AQ33" s="472">
        <f t="shared" si="14"/>
        <v>0</v>
      </c>
      <c r="AR33" s="472">
        <f t="shared" si="15"/>
        <v>0</v>
      </c>
      <c r="AS33" s="472">
        <f t="shared" si="16"/>
        <v>0</v>
      </c>
      <c r="AT33" s="472">
        <f t="shared" si="17"/>
        <v>0</v>
      </c>
      <c r="AU33" s="472">
        <f t="shared" si="18"/>
        <v>0</v>
      </c>
      <c r="AV33" s="472">
        <f t="shared" si="19"/>
        <v>0</v>
      </c>
      <c r="AW33" s="472">
        <f t="shared" si="20"/>
        <v>0</v>
      </c>
      <c r="AX33" s="1722" t="s">
        <v>1738</v>
      </c>
      <c r="AY33" s="681">
        <v>130</v>
      </c>
      <c r="AZ33" s="681">
        <v>110</v>
      </c>
      <c r="BA33" s="681" t="s">
        <v>2650</v>
      </c>
      <c r="BB33" s="681">
        <v>175</v>
      </c>
      <c r="BC33" s="681">
        <v>160</v>
      </c>
      <c r="BD33" s="681" t="s">
        <v>2674</v>
      </c>
      <c r="BE33" s="681">
        <v>210</v>
      </c>
      <c r="BF33" s="681">
        <v>190</v>
      </c>
      <c r="BG33" s="681" t="s">
        <v>2673</v>
      </c>
      <c r="BH33" s="681">
        <v>225</v>
      </c>
      <c r="BI33" s="681">
        <v>205</v>
      </c>
      <c r="BJ33" s="681" t="s">
        <v>2670</v>
      </c>
      <c r="BK33" s="681">
        <v>240</v>
      </c>
      <c r="BL33" s="681">
        <v>215</v>
      </c>
      <c r="BM33" s="681" t="s">
        <v>2605</v>
      </c>
      <c r="BN33" s="471">
        <v>4</v>
      </c>
      <c r="BO33" s="821" t="s">
        <v>1764</v>
      </c>
      <c r="BP33"/>
      <c r="BQ33" s="1722" t="s">
        <v>1738</v>
      </c>
      <c r="BR33" s="470">
        <v>80</v>
      </c>
      <c r="BS33" s="470">
        <v>90</v>
      </c>
      <c r="BT33" s="470">
        <v>105</v>
      </c>
      <c r="BU33"/>
      <c r="BV33" s="1722" t="s">
        <v>1738</v>
      </c>
      <c r="BW33" s="470">
        <v>205</v>
      </c>
      <c r="BX33" s="470">
        <v>225</v>
      </c>
      <c r="BY33" s="470">
        <v>260</v>
      </c>
      <c r="BZ33" s="470"/>
      <c r="CA33" s="470"/>
      <c r="CB33"/>
      <c r="CC33"/>
      <c r="CD33"/>
      <c r="CE33" s="1835" t="s">
        <v>341</v>
      </c>
      <c r="CF33" s="1834" t="str">
        <f>IFERROR(INDEX(N_Bedarf!$CE$2:$CE$141,_xlfn.AGGREGATE(15,6,(ROW(N_Bedarf!$CE$2:$CE$141)-1)/(--(SEARCH(CG$2,N_Bedarf!$CE$2:$CE$141)&gt;0)),ROW()-2),1),"")</f>
        <v>Saatmais (gereinigte Ware)</v>
      </c>
      <c r="CG33" s="1830"/>
      <c r="CH33" s="1834" t="str">
        <f>IFERROR(INDEX(N_Bedarf!$CE$2:$CE$141,_xlfn.AGGREGATE(15,6,(ROW(N_Bedarf!$CE$2:$CE$141)-1)/(--(SEARCH(CI$2,N_Bedarf!$CE$2:$CE$141)&gt;0)),ROW()-2),1),"")</f>
        <v>Saatmais (gereinigte Ware)</v>
      </c>
      <c r="CI33" s="1830"/>
      <c r="CJ33" s="1834" t="str">
        <f>IFERROR(INDEX(N_Bedarf!$CE$2:$CE$141,_xlfn.AGGREGATE(15,6,(ROW(N_Bedarf!$CE$2:$CE$141)-1)/(--(SEARCH(CK$2,N_Bedarf!$CE$2:$CE$141)&gt;0)),ROW()-2),1),"")</f>
        <v>Saatmais (gereinigte Ware)</v>
      </c>
      <c r="CK33" s="1830"/>
      <c r="CL33" s="1834" t="str">
        <f>IFERROR(INDEX(N_Bedarf!$CE$2:$CE$141,_xlfn.AGGREGATE(15,6,(ROW(N_Bedarf!$CE$2:$CE$141)-1)/(--(SEARCH(CM$2,N_Bedarf!$CE$2:$CE$141)&gt;0)),ROW()-2),1),"")</f>
        <v>Saatmais (gereinigte Ware)</v>
      </c>
      <c r="CM33" s="1830"/>
      <c r="CN33" s="1834" t="str">
        <f>IFERROR(INDEX(N_Bedarf!$CE$2:$CE$141,_xlfn.AGGREGATE(15,6,(ROW(N_Bedarf!$CE$2:$CE$141)-1)/(--(SEARCH(CO$2,N_Bedarf!$CE$2:$CE$141)&gt;0)),ROW()-2),1),"")</f>
        <v>Saatmais (gereinigte Ware)</v>
      </c>
      <c r="CO33" s="1830"/>
      <c r="CP33" s="1834" t="str">
        <f>IFERROR(INDEX(N_Bedarf!$CE$2:$CE$141,_xlfn.AGGREGATE(15,6,(ROW(N_Bedarf!$CE$2:$CE$141)-1)/(--(SEARCH(CQ$2,N_Bedarf!$CE$2:$CE$141)&gt;0)),ROW()-2),1),"")</f>
        <v>Saatmais (gereinigte Ware)</v>
      </c>
      <c r="CQ33" s="1830"/>
      <c r="CR33" s="1834" t="str">
        <f>IFERROR(INDEX(N_Bedarf!$CE$2:$CE$141,_xlfn.AGGREGATE(15,6,(ROW(N_Bedarf!$CE$2:$CE$141)-1)/(--(SEARCH(CS$2,N_Bedarf!$CE$2:$CE$141)&gt;0)),ROW()-2),1),"")</f>
        <v>Saatmais (gereinigte Ware)</v>
      </c>
      <c r="CS33" s="1830"/>
      <c r="CT33" s="1834" t="str">
        <f>IFERROR(INDEX(N_Bedarf!$CE$2:$CE$141,_xlfn.AGGREGATE(15,6,(ROW(N_Bedarf!$CE$2:$CE$141)-1)/(--(SEARCH(CU$2,N_Bedarf!$CE$2:$CE$141)&gt;0)),ROW()-2),1),"")</f>
        <v>Saatmais (gereinigte Ware)</v>
      </c>
      <c r="CU33" s="1830"/>
      <c r="CV33" s="1834" t="str">
        <f>IFERROR(INDEX(N_Bedarf!$CE$2:$CE$141,_xlfn.AGGREGATE(15,6,(ROW(N_Bedarf!$CE$2:$CE$141)-1)/(--(SEARCH(CW$2,N_Bedarf!$CE$2:$CE$141)&gt;0)),ROW()-2),1),"")</f>
        <v>Saatmais (gereinigte Ware)</v>
      </c>
      <c r="CW33" s="1830"/>
      <c r="CX33" s="1834" t="str">
        <f>IFERROR(INDEX(N_Bedarf!$CE$2:$CE$141,_xlfn.AGGREGATE(15,6,(ROW(N_Bedarf!$CE$2:$CE$141)-1)/(--(SEARCH(CY$2,N_Bedarf!$CE$2:$CE$141)&gt;0)),ROW()-2),1),"")</f>
        <v>Saatmais (gereinigte Ware)</v>
      </c>
      <c r="CY33" s="1830"/>
      <c r="CZ33" s="1834" t="str">
        <f>IFERROR(INDEX(N_Bedarf!$CE$2:$CE$141,_xlfn.AGGREGATE(15,6,(ROW(N_Bedarf!$CE$2:$CE$141)-1)/(--(SEARCH(DA$2,N_Bedarf!$CE$2:$CE$141)&gt;0)),ROW()-2),1),"")</f>
        <v>Saatmais (gereinigte Ware)</v>
      </c>
      <c r="DA33" s="1830"/>
      <c r="DB33" s="1834" t="str">
        <f>IFERROR(INDEX(N_Bedarf!$CE$2:$CE$141,_xlfn.AGGREGATE(15,6,(ROW(N_Bedarf!$CE$2:$CE$141)-1)/(--(SEARCH(DC$2,N_Bedarf!$CE$2:$CE$141)&gt;0)),ROW()-2),1),"")</f>
        <v>Saatmais (gereinigte Ware)</v>
      </c>
      <c r="DC33" s="1830"/>
      <c r="DD33" s="1834" t="str">
        <f>IFERROR(INDEX(N_Bedarf!$CE$2:$CE$141,_xlfn.AGGREGATE(15,6,(ROW(N_Bedarf!$CE$2:$CE$141)-1)/(--(SEARCH(DE$2,N_Bedarf!$CE$2:$CE$141)&gt;0)),ROW()-2),1),"")</f>
        <v>Saatmais (gereinigte Ware)</v>
      </c>
      <c r="DE33" s="1830"/>
      <c r="DF33" s="2353" t="str">
        <f t="array" ref="DF33">IFERROR(INDEX(N_Bedarf!$CE$2:$CE$141,_xlfn.AGGREGATE(15,6,(ROW(N_Bedarf!$CE$2:$CE$141)-1)/(--(SEARCH(DG$2,N_Bedarf!$CE$2:$CE$141)&gt;0)),ROW()-2),1),"")</f>
        <v>Saatmais (gereinigte Ware)</v>
      </c>
      <c r="DG33" s="2353"/>
      <c r="DH33" s="2355" t="str">
        <f t="array" ref="DH33">IFERROR(INDEX(N_Bedarf!$CE$2:$CE$141,_xlfn.AGGREGATE(15,6,(ROW(N_Bedarf!$CE$2:$CE$141)-1)/(--(SEARCH(DI$2,N_Bedarf!$CE$2:$CE$141)&gt;0)),ROW()-2),1),"")</f>
        <v>Saatmais (gereinigte Ware)</v>
      </c>
      <c r="DI33" s="2355"/>
      <c r="DJ33" s="2356" t="str">
        <f t="array" ref="DJ33">IFERROR(INDEX(N_Bedarf!$CE$2:$CE$141,_xlfn.AGGREGATE(15,6,(ROW(N_Bedarf!$CE$2:$CE$141)-1)/(--(SEARCH(DK$2,N_Bedarf!$CE$2:$CE$141)&gt;0)),ROW()-2),1),"")</f>
        <v>Saatmais (gereinigte Ware)</v>
      </c>
      <c r="DK33" s="2356"/>
      <c r="DL33" s="2356" t="str">
        <f t="array" ref="DL33">IFERROR(INDEX(N_Bedarf!$CE$2:$CE$141,_xlfn.AGGREGATE(15,6,(ROW(N_Bedarf!$CE$2:$CE$141)-1)/(--(SEARCH(DM$2,N_Bedarf!$CE$2:$CE$141)&gt;0)),ROW()-2),1),"")</f>
        <v>Saatmais (gereinigte Ware)</v>
      </c>
      <c r="DM33" s="2356"/>
      <c r="DN33" s="2356" t="str">
        <f t="array" ref="DN33">IFERROR(INDEX(N_Bedarf!$CE$2:$CE$141,_xlfn.AGGREGATE(15,6,(ROW(N_Bedarf!$CE$2:$CE$141)-1)/(--(SEARCH(DO$2,N_Bedarf!$CE$2:$CE$141)&gt;0)),ROW()-2),1),"")</f>
        <v>Saatmais (gereinigte Ware)</v>
      </c>
      <c r="DO33" s="2356"/>
      <c r="DP33" s="2356" t="str">
        <f t="array" ref="DP33">IFERROR(INDEX(N_Bedarf!$CE$2:$CE$141,_xlfn.AGGREGATE(15,6,(ROW(N_Bedarf!$CE$2:$CE$141)-1)/(--(SEARCH(DQ$2,N_Bedarf!$CE$2:$CE$141)&gt;0)),ROW()-2),1),"")</f>
        <v>Saatmais (gereinigte Ware)</v>
      </c>
      <c r="DQ33" s="2356"/>
      <c r="DR33" s="2356" t="str">
        <f t="array" ref="DR33">IFERROR(INDEX(N_Bedarf!$CE$2:$CE$141,_xlfn.AGGREGATE(15,6,(ROW(N_Bedarf!$CE$2:$CE$141)-1)/(--(SEARCH(DS$2,N_Bedarf!$CE$2:$CE$141)&gt;0)),ROW()-2),1),"")</f>
        <v>Saatmais (gereinigte Ware)</v>
      </c>
      <c r="DS33" s="2356"/>
      <c r="DT33" s="2356" t="str">
        <f t="array" ref="DT33">IFERROR(INDEX(N_Bedarf!$CE$2:$CE$141,_xlfn.AGGREGATE(15,6,(ROW(N_Bedarf!$CE$2:$CE$141)-1)/(--(SEARCH(DU$2,N_Bedarf!$CE$2:$CE$141)&gt;0)),ROW()-2),1),"")</f>
        <v>Saatmais (gereinigte Ware)</v>
      </c>
      <c r="DU33" s="2356"/>
      <c r="DV33" s="2356" t="str">
        <f t="array" ref="DV33">IFERROR(INDEX(N_Bedarf!$CE$2:$CE$141,_xlfn.AGGREGATE(15,6,(ROW(N_Bedarf!$CE$2:$CE$141)-1)/(--(SEARCH(DW$2,N_Bedarf!$CE$2:$CE$141)&gt;0)),ROW()-2),1),"")</f>
        <v>Saatmais (gereinigte Ware)</v>
      </c>
      <c r="DW33" s="2356"/>
      <c r="DX33" s="2356" t="str">
        <f t="array" ref="DX33">IFERROR(INDEX(N_Bedarf!$CE$2:$CE$141,_xlfn.AGGREGATE(15,6,(ROW(N_Bedarf!$CE$2:$CE$141)-1)/(--(SEARCH(DY$2,N_Bedarf!$CE$2:$CE$141)&gt;0)),ROW()-2),1),"")</f>
        <v>Saatmais (gereinigte Ware)</v>
      </c>
      <c r="DY33" s="2356"/>
      <c r="DZ33" s="2356" t="str">
        <f t="array" ref="DZ33">IFERROR(INDEX(N_Bedarf!$CE$2:$CE$141,_xlfn.AGGREGATE(15,6,(ROW(N_Bedarf!$CE$2:$CE$141)-1)/(--(SEARCH(EA$2,N_Bedarf!$CE$2:$CE$141)&gt;0)),ROW()-2),1),"")</f>
        <v>Saatmais (gereinigte Ware)</v>
      </c>
      <c r="EA33" s="2356"/>
      <c r="EB33" s="2356" t="str">
        <f t="array" ref="EB33">IFERROR(INDEX(N_Bedarf!$CE$2:$CE$141,_xlfn.AGGREGATE(15,6,(ROW(N_Bedarf!$CE$2:$CE$141)-1)/(--(SEARCH(EC$2,N_Bedarf!$CE$2:$CE$141)&gt;0)),ROW()-2),1),"")</f>
        <v>Saatmais (gereinigte Ware)</v>
      </c>
      <c r="EC33" s="2356"/>
      <c r="ED33"/>
      <c r="EE33"/>
      <c r="EF33"/>
      <c r="EG33"/>
      <c r="EH33"/>
      <c r="EI33"/>
      <c r="EJ33"/>
      <c r="EK33"/>
      <c r="EL33"/>
      <c r="EM33"/>
      <c r="EN33"/>
      <c r="EO33"/>
      <c r="EP33"/>
      <c r="EQ33"/>
      <c r="ER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row>
    <row r="34" spans="1:291" ht="27" customHeight="1" thickTop="1" thickBot="1">
      <c r="A34" s="156"/>
      <c r="B34" s="156"/>
      <c r="C34" s="2454"/>
      <c r="D34" s="2455"/>
      <c r="E34" s="912"/>
      <c r="F34" s="913"/>
      <c r="G34" s="1916" t="str">
        <f t="shared" si="9"/>
        <v/>
      </c>
      <c r="H34" s="2296"/>
      <c r="I34" s="914">
        <f t="shared" si="22"/>
        <v>0</v>
      </c>
      <c r="J34" s="2297">
        <f t="shared" si="23"/>
        <v>0</v>
      </c>
      <c r="K34" s="2299"/>
      <c r="L34" s="915">
        <f t="shared" si="24"/>
        <v>0</v>
      </c>
      <c r="M34" s="2357">
        <f t="shared" si="25"/>
        <v>0</v>
      </c>
      <c r="AO34" s="1747"/>
      <c r="AP34" s="1568" t="str">
        <f t="shared" si="3"/>
        <v/>
      </c>
      <c r="AQ34" s="472">
        <f t="shared" si="14"/>
        <v>0</v>
      </c>
      <c r="AR34" s="472">
        <f t="shared" si="15"/>
        <v>0</v>
      </c>
      <c r="AS34" s="472">
        <f t="shared" si="16"/>
        <v>0</v>
      </c>
      <c r="AT34" s="472">
        <f t="shared" si="17"/>
        <v>0</v>
      </c>
      <c r="AU34" s="472">
        <f t="shared" si="18"/>
        <v>0</v>
      </c>
      <c r="AV34" s="472">
        <f t="shared" si="19"/>
        <v>0</v>
      </c>
      <c r="AW34" s="472">
        <f t="shared" si="20"/>
        <v>0</v>
      </c>
      <c r="AX34" s="1722" t="s">
        <v>15</v>
      </c>
      <c r="AY34" s="681">
        <v>130</v>
      </c>
      <c r="AZ34" s="681">
        <v>115</v>
      </c>
      <c r="BA34" s="681" t="s">
        <v>2651</v>
      </c>
      <c r="BB34" s="681">
        <v>175</v>
      </c>
      <c r="BC34" s="681">
        <v>160</v>
      </c>
      <c r="BD34" s="681" t="s">
        <v>2667</v>
      </c>
      <c r="BE34" s="681">
        <v>210</v>
      </c>
      <c r="BF34" s="681">
        <v>190</v>
      </c>
      <c r="BG34" s="681" t="s">
        <v>2668</v>
      </c>
      <c r="BH34" s="681">
        <v>225</v>
      </c>
      <c r="BI34" s="681">
        <v>205</v>
      </c>
      <c r="BJ34" s="681" t="s">
        <v>2669</v>
      </c>
      <c r="BK34" s="681">
        <v>240</v>
      </c>
      <c r="BL34" s="681">
        <v>215</v>
      </c>
      <c r="BM34" s="681" t="s">
        <v>2601</v>
      </c>
      <c r="BN34" s="471" t="s">
        <v>1764</v>
      </c>
      <c r="BO34" s="821" t="s">
        <v>1764</v>
      </c>
      <c r="BP34"/>
      <c r="BQ34" s="1722" t="s">
        <v>15</v>
      </c>
      <c r="BR34" s="470">
        <v>75</v>
      </c>
      <c r="BS34" s="470">
        <v>85</v>
      </c>
      <c r="BT34" s="470">
        <v>100</v>
      </c>
      <c r="BU34" s="426"/>
      <c r="BV34" s="1722" t="s">
        <v>15</v>
      </c>
      <c r="BW34" s="470">
        <v>205</v>
      </c>
      <c r="BX34" s="470">
        <v>225</v>
      </c>
      <c r="BY34" s="470">
        <v>260</v>
      </c>
      <c r="BZ34" s="470"/>
      <c r="CA34" s="470"/>
      <c r="CB34"/>
      <c r="CC34"/>
      <c r="CD34"/>
      <c r="CE34" s="1833" t="s">
        <v>1743</v>
      </c>
      <c r="CF34" s="1834" t="str">
        <f>IFERROR(INDEX(N_Bedarf!$CE$2:$CE$141,_xlfn.AGGREGATE(15,6,(ROW(N_Bedarf!$CE$2:$CE$141)-1)/(--(SEARCH(CG$2,N_Bedarf!$CE$2:$CE$141)&gt;0)),ROW()-2),1),"")</f>
        <v>Körnerhirse/-sorghum</v>
      </c>
      <c r="CG34" s="1836"/>
      <c r="CH34" s="1834" t="str">
        <f>IFERROR(INDEX(N_Bedarf!$CE$2:$CE$141,_xlfn.AGGREGATE(15,6,(ROW(N_Bedarf!$CE$2:$CE$141)-1)/(--(SEARCH(CI$2,N_Bedarf!$CE$2:$CE$141)&gt;0)),ROW()-2),1),"")</f>
        <v>Körnerhirse/-sorghum</v>
      </c>
      <c r="CI34" s="1836"/>
      <c r="CJ34" s="1834" t="str">
        <f>IFERROR(INDEX(N_Bedarf!$CE$2:$CE$141,_xlfn.AGGREGATE(15,6,(ROW(N_Bedarf!$CE$2:$CE$141)-1)/(--(SEARCH(CK$2,N_Bedarf!$CE$2:$CE$141)&gt;0)),ROW()-2),1),"")</f>
        <v>Körnerhirse/-sorghum</v>
      </c>
      <c r="CK34" s="1836"/>
      <c r="CL34" s="1834" t="str">
        <f>IFERROR(INDEX(N_Bedarf!$CE$2:$CE$141,_xlfn.AGGREGATE(15,6,(ROW(N_Bedarf!$CE$2:$CE$141)-1)/(--(SEARCH(CM$2,N_Bedarf!$CE$2:$CE$141)&gt;0)),ROW()-2),1),"")</f>
        <v>Körnerhirse/-sorghum</v>
      </c>
      <c r="CM34" s="1836"/>
      <c r="CN34" s="1834" t="str">
        <f>IFERROR(INDEX(N_Bedarf!$CE$2:$CE$141,_xlfn.AGGREGATE(15,6,(ROW(N_Bedarf!$CE$2:$CE$141)-1)/(--(SEARCH(CO$2,N_Bedarf!$CE$2:$CE$141)&gt;0)),ROW()-2),1),"")</f>
        <v>Körnerhirse/-sorghum</v>
      </c>
      <c r="CO34" s="1836"/>
      <c r="CP34" s="1834" t="str">
        <f>IFERROR(INDEX(N_Bedarf!$CE$2:$CE$141,_xlfn.AGGREGATE(15,6,(ROW(N_Bedarf!$CE$2:$CE$141)-1)/(--(SEARCH(CQ$2,N_Bedarf!$CE$2:$CE$141)&gt;0)),ROW()-2),1),"")</f>
        <v>Körnerhirse/-sorghum</v>
      </c>
      <c r="CQ34" s="1836"/>
      <c r="CR34" s="1834" t="str">
        <f>IFERROR(INDEX(N_Bedarf!$CE$2:$CE$141,_xlfn.AGGREGATE(15,6,(ROW(N_Bedarf!$CE$2:$CE$141)-1)/(--(SEARCH(CS$2,N_Bedarf!$CE$2:$CE$141)&gt;0)),ROW()-2),1),"")</f>
        <v>Körnerhirse/-sorghum</v>
      </c>
      <c r="CS34" s="1836"/>
      <c r="CT34" s="1834" t="str">
        <f>IFERROR(INDEX(N_Bedarf!$CE$2:$CE$141,_xlfn.AGGREGATE(15,6,(ROW(N_Bedarf!$CE$2:$CE$141)-1)/(--(SEARCH(CU$2,N_Bedarf!$CE$2:$CE$141)&gt;0)),ROW()-2),1),"")</f>
        <v>Körnerhirse/-sorghum</v>
      </c>
      <c r="CU34" s="1836"/>
      <c r="CV34" s="1834" t="str">
        <f>IFERROR(INDEX(N_Bedarf!$CE$2:$CE$141,_xlfn.AGGREGATE(15,6,(ROW(N_Bedarf!$CE$2:$CE$141)-1)/(--(SEARCH(CW$2,N_Bedarf!$CE$2:$CE$141)&gt;0)),ROW()-2),1),"")</f>
        <v>Körnerhirse/-sorghum</v>
      </c>
      <c r="CW34" s="1836"/>
      <c r="CX34" s="1834" t="str">
        <f>IFERROR(INDEX(N_Bedarf!$CE$2:$CE$141,_xlfn.AGGREGATE(15,6,(ROW(N_Bedarf!$CE$2:$CE$141)-1)/(--(SEARCH(CY$2,N_Bedarf!$CE$2:$CE$141)&gt;0)),ROW()-2),1),"")</f>
        <v>Körnerhirse/-sorghum</v>
      </c>
      <c r="CY34" s="1836"/>
      <c r="CZ34" s="1834" t="str">
        <f>IFERROR(INDEX(N_Bedarf!$CE$2:$CE$141,_xlfn.AGGREGATE(15,6,(ROW(N_Bedarf!$CE$2:$CE$141)-1)/(--(SEARCH(DA$2,N_Bedarf!$CE$2:$CE$141)&gt;0)),ROW()-2),1),"")</f>
        <v>Körnerhirse/-sorghum</v>
      </c>
      <c r="DA34" s="1836"/>
      <c r="DB34" s="1834" t="str">
        <f>IFERROR(INDEX(N_Bedarf!$CE$2:$CE$141,_xlfn.AGGREGATE(15,6,(ROW(N_Bedarf!$CE$2:$CE$141)-1)/(--(SEARCH(DC$2,N_Bedarf!$CE$2:$CE$141)&gt;0)),ROW()-2),1),"")</f>
        <v>Körnerhirse/-sorghum</v>
      </c>
      <c r="DC34" s="1836"/>
      <c r="DD34" s="1834" t="str">
        <f>IFERROR(INDEX(N_Bedarf!$CE$2:$CE$141,_xlfn.AGGREGATE(15,6,(ROW(N_Bedarf!$CE$2:$CE$141)-1)/(--(SEARCH(DE$2,N_Bedarf!$CE$2:$CE$141)&gt;0)),ROW()-2),1),"")</f>
        <v>Körnerhirse/-sorghum</v>
      </c>
      <c r="DE34" s="1836"/>
      <c r="DF34" s="2353" t="str">
        <f t="array" ref="DF34">IFERROR(INDEX(N_Bedarf!$CE$2:$CE$141,_xlfn.AGGREGATE(15,6,(ROW(N_Bedarf!$CE$2:$CE$141)-1)/(--(SEARCH(DG$2,N_Bedarf!$CE$2:$CE$141)&gt;0)),ROW()-2),1),"")</f>
        <v>Körnerhirse/-sorghum</v>
      </c>
      <c r="DG34" s="2353"/>
      <c r="DH34" s="2355" t="str">
        <f t="array" ref="DH34">IFERROR(INDEX(N_Bedarf!$CE$2:$CE$141,_xlfn.AGGREGATE(15,6,(ROW(N_Bedarf!$CE$2:$CE$141)-1)/(--(SEARCH(DI$2,N_Bedarf!$CE$2:$CE$141)&gt;0)),ROW()-2),1),"")</f>
        <v>Körnerhirse/-sorghum</v>
      </c>
      <c r="DI34" s="2355"/>
      <c r="DJ34" s="2356" t="str">
        <f t="array" ref="DJ34">IFERROR(INDEX(N_Bedarf!$CE$2:$CE$141,_xlfn.AGGREGATE(15,6,(ROW(N_Bedarf!$CE$2:$CE$141)-1)/(--(SEARCH(DK$2,N_Bedarf!$CE$2:$CE$141)&gt;0)),ROW()-2),1),"")</f>
        <v>Körnerhirse/-sorghum</v>
      </c>
      <c r="DK34" s="2356"/>
      <c r="DL34" s="2356" t="str">
        <f t="array" ref="DL34">IFERROR(INDEX(N_Bedarf!$CE$2:$CE$141,_xlfn.AGGREGATE(15,6,(ROW(N_Bedarf!$CE$2:$CE$141)-1)/(--(SEARCH(DM$2,N_Bedarf!$CE$2:$CE$141)&gt;0)),ROW()-2),1),"")</f>
        <v>Körnerhirse/-sorghum</v>
      </c>
      <c r="DM34" s="2356"/>
      <c r="DN34" s="2356" t="str">
        <f t="array" ref="DN34">IFERROR(INDEX(N_Bedarf!$CE$2:$CE$141,_xlfn.AGGREGATE(15,6,(ROW(N_Bedarf!$CE$2:$CE$141)-1)/(--(SEARCH(DO$2,N_Bedarf!$CE$2:$CE$141)&gt;0)),ROW()-2),1),"")</f>
        <v>Körnerhirse/-sorghum</v>
      </c>
      <c r="DO34" s="2356"/>
      <c r="DP34" s="2356" t="str">
        <f t="array" ref="DP34">IFERROR(INDEX(N_Bedarf!$CE$2:$CE$141,_xlfn.AGGREGATE(15,6,(ROW(N_Bedarf!$CE$2:$CE$141)-1)/(--(SEARCH(DQ$2,N_Bedarf!$CE$2:$CE$141)&gt;0)),ROW()-2),1),"")</f>
        <v>Körnerhirse/-sorghum</v>
      </c>
      <c r="DQ34" s="2356"/>
      <c r="DR34" s="2356" t="str">
        <f t="array" ref="DR34">IFERROR(INDEX(N_Bedarf!$CE$2:$CE$141,_xlfn.AGGREGATE(15,6,(ROW(N_Bedarf!$CE$2:$CE$141)-1)/(--(SEARCH(DS$2,N_Bedarf!$CE$2:$CE$141)&gt;0)),ROW()-2),1),"")</f>
        <v>Körnerhirse/-sorghum</v>
      </c>
      <c r="DS34" s="2356"/>
      <c r="DT34" s="2356" t="str">
        <f t="array" ref="DT34">IFERROR(INDEX(N_Bedarf!$CE$2:$CE$141,_xlfn.AGGREGATE(15,6,(ROW(N_Bedarf!$CE$2:$CE$141)-1)/(--(SEARCH(DU$2,N_Bedarf!$CE$2:$CE$141)&gt;0)),ROW()-2),1),"")</f>
        <v>Körnerhirse/-sorghum</v>
      </c>
      <c r="DU34" s="2356"/>
      <c r="DV34" s="2356" t="str">
        <f t="array" ref="DV34">IFERROR(INDEX(N_Bedarf!$CE$2:$CE$141,_xlfn.AGGREGATE(15,6,(ROW(N_Bedarf!$CE$2:$CE$141)-1)/(--(SEARCH(DW$2,N_Bedarf!$CE$2:$CE$141)&gt;0)),ROW()-2),1),"")</f>
        <v>Körnerhirse/-sorghum</v>
      </c>
      <c r="DW34" s="2356"/>
      <c r="DX34" s="2356" t="str">
        <f t="array" ref="DX34">IFERROR(INDEX(N_Bedarf!$CE$2:$CE$141,_xlfn.AGGREGATE(15,6,(ROW(N_Bedarf!$CE$2:$CE$141)-1)/(--(SEARCH(DY$2,N_Bedarf!$CE$2:$CE$141)&gt;0)),ROW()-2),1),"")</f>
        <v>Körnerhirse/-sorghum</v>
      </c>
      <c r="DY34" s="2356"/>
      <c r="DZ34" s="2356" t="str">
        <f t="array" ref="DZ34">IFERROR(INDEX(N_Bedarf!$CE$2:$CE$141,_xlfn.AGGREGATE(15,6,(ROW(N_Bedarf!$CE$2:$CE$141)-1)/(--(SEARCH(EA$2,N_Bedarf!$CE$2:$CE$141)&gt;0)),ROW()-2),1),"")</f>
        <v>Körnerhirse/-sorghum</v>
      </c>
      <c r="EA34" s="2356"/>
      <c r="EB34" s="2356" t="str">
        <f t="array" ref="EB34">IFERROR(INDEX(N_Bedarf!$CE$2:$CE$141,_xlfn.AGGREGATE(15,6,(ROW(N_Bedarf!$CE$2:$CE$141)-1)/(--(SEARCH(EC$2,N_Bedarf!$CE$2:$CE$141)&gt;0)),ROW()-2),1),"")</f>
        <v>Körnerhirse/-sorghum</v>
      </c>
      <c r="EC34" s="2356"/>
      <c r="ED34"/>
      <c r="EE34"/>
      <c r="EF34"/>
      <c r="EG34"/>
      <c r="EH34"/>
      <c r="EI34"/>
      <c r="EJ34"/>
      <c r="EK34"/>
      <c r="EL34"/>
      <c r="EM34"/>
      <c r="EN34"/>
      <c r="EO34"/>
      <c r="EP34"/>
      <c r="EQ34"/>
      <c r="ER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row>
    <row r="35" spans="1:291" ht="27" customHeight="1" thickTop="1" thickBot="1">
      <c r="A35" s="156"/>
      <c r="B35" s="156"/>
      <c r="C35" s="2454"/>
      <c r="D35" s="2455"/>
      <c r="E35" s="912"/>
      <c r="F35" s="913"/>
      <c r="G35" s="1916" t="str">
        <f t="shared" si="9"/>
        <v/>
      </c>
      <c r="H35" s="2296"/>
      <c r="I35" s="914">
        <f t="shared" si="22"/>
        <v>0</v>
      </c>
      <c r="J35" s="2297">
        <f t="shared" si="23"/>
        <v>0</v>
      </c>
      <c r="K35" s="2299"/>
      <c r="L35" s="915">
        <f t="shared" si="24"/>
        <v>0</v>
      </c>
      <c r="M35" s="2357">
        <f t="shared" si="25"/>
        <v>0</v>
      </c>
      <c r="AO35" s="156"/>
      <c r="AP35" s="1568" t="str">
        <f t="shared" si="3"/>
        <v/>
      </c>
      <c r="AQ35" s="472">
        <f t="shared" si="14"/>
        <v>0</v>
      </c>
      <c r="AR35" s="472">
        <f t="shared" si="15"/>
        <v>0</v>
      </c>
      <c r="AS35" s="472">
        <f t="shared" si="16"/>
        <v>0</v>
      </c>
      <c r="AT35" s="472">
        <f t="shared" si="17"/>
        <v>0</v>
      </c>
      <c r="AU35" s="472">
        <f t="shared" si="18"/>
        <v>0</v>
      </c>
      <c r="AV35" s="472">
        <f t="shared" si="19"/>
        <v>0</v>
      </c>
      <c r="AW35" s="472">
        <f t="shared" si="20"/>
        <v>0</v>
      </c>
      <c r="AX35" s="1722" t="s">
        <v>1997</v>
      </c>
      <c r="AY35" s="681">
        <v>120</v>
      </c>
      <c r="AZ35" s="681">
        <v>110</v>
      </c>
      <c r="BA35" s="681" t="s">
        <v>2652</v>
      </c>
      <c r="BB35" s="681">
        <v>140</v>
      </c>
      <c r="BC35" s="681">
        <v>125</v>
      </c>
      <c r="BD35" s="681" t="s">
        <v>2665</v>
      </c>
      <c r="BE35" s="681">
        <v>165</v>
      </c>
      <c r="BF35" s="681">
        <v>150</v>
      </c>
      <c r="BG35" s="681" t="s">
        <v>2602</v>
      </c>
      <c r="BH35" s="681">
        <v>165</v>
      </c>
      <c r="BI35" s="681">
        <v>150</v>
      </c>
      <c r="BJ35" s="681" t="s">
        <v>2602</v>
      </c>
      <c r="BK35" s="681">
        <v>165</v>
      </c>
      <c r="BL35" s="681">
        <v>150</v>
      </c>
      <c r="BM35" s="681" t="s">
        <v>2602</v>
      </c>
      <c r="BN35" s="471">
        <v>0</v>
      </c>
      <c r="BO35" s="821" t="s">
        <v>1764</v>
      </c>
      <c r="BP35"/>
      <c r="BQ35" s="1722" t="s">
        <v>1997</v>
      </c>
      <c r="BR35" s="470">
        <v>75</v>
      </c>
      <c r="BS35" s="470">
        <v>85</v>
      </c>
      <c r="BT35" s="470">
        <v>100</v>
      </c>
      <c r="BU35" s="426"/>
      <c r="BV35" s="1722" t="s">
        <v>1997</v>
      </c>
      <c r="BW35" s="470">
        <v>180</v>
      </c>
      <c r="BX35" s="470">
        <v>200</v>
      </c>
      <c r="BY35" s="470">
        <v>230</v>
      </c>
      <c r="CA35" s="397"/>
      <c r="CB35"/>
      <c r="CC35"/>
      <c r="CD35"/>
      <c r="CE35" s="1835" t="s">
        <v>434</v>
      </c>
      <c r="CF35" s="1834" t="str">
        <f>IFERROR(INDEX(N_Bedarf!$CE$2:$CE$141,_xlfn.AGGREGATE(15,6,(ROW(N_Bedarf!$CE$2:$CE$141)-1)/(--(SEARCH(CG$2,N_Bedarf!$CE$2:$CE$141)&gt;0)),ROW()-2),1),"")</f>
        <v>Silohirse/Sudangras frisch (m3)</v>
      </c>
      <c r="CG35" s="1830"/>
      <c r="CH35" s="1834" t="str">
        <f>IFERROR(INDEX(N_Bedarf!$CE$2:$CE$141,_xlfn.AGGREGATE(15,6,(ROW(N_Bedarf!$CE$2:$CE$141)-1)/(--(SEARCH(CI$2,N_Bedarf!$CE$2:$CE$141)&gt;0)),ROW()-2),1),"")</f>
        <v>Silohirse/Sudangras frisch (m3)</v>
      </c>
      <c r="CI35" s="1830"/>
      <c r="CJ35" s="1834" t="str">
        <f>IFERROR(INDEX(N_Bedarf!$CE$2:$CE$141,_xlfn.AGGREGATE(15,6,(ROW(N_Bedarf!$CE$2:$CE$141)-1)/(--(SEARCH(CK$2,N_Bedarf!$CE$2:$CE$141)&gt;0)),ROW()-2),1),"")</f>
        <v>Silohirse/Sudangras frisch (m3)</v>
      </c>
      <c r="CK35" s="1830"/>
      <c r="CL35" s="1834" t="str">
        <f>IFERROR(INDEX(N_Bedarf!$CE$2:$CE$141,_xlfn.AGGREGATE(15,6,(ROW(N_Bedarf!$CE$2:$CE$141)-1)/(--(SEARCH(CM$2,N_Bedarf!$CE$2:$CE$141)&gt;0)),ROW()-2),1),"")</f>
        <v>Silohirse/Sudangras frisch (m3)</v>
      </c>
      <c r="CM35" s="1830"/>
      <c r="CN35" s="1834" t="str">
        <f>IFERROR(INDEX(N_Bedarf!$CE$2:$CE$141,_xlfn.AGGREGATE(15,6,(ROW(N_Bedarf!$CE$2:$CE$141)-1)/(--(SEARCH(CO$2,N_Bedarf!$CE$2:$CE$141)&gt;0)),ROW()-2),1),"")</f>
        <v>Silohirse/Sudangras frisch (m3)</v>
      </c>
      <c r="CO35" s="1830"/>
      <c r="CP35" s="1834" t="str">
        <f>IFERROR(INDEX(N_Bedarf!$CE$2:$CE$141,_xlfn.AGGREGATE(15,6,(ROW(N_Bedarf!$CE$2:$CE$141)-1)/(--(SEARCH(CQ$2,N_Bedarf!$CE$2:$CE$141)&gt;0)),ROW()-2),1),"")</f>
        <v>Silohirse/Sudangras frisch (m3)</v>
      </c>
      <c r="CQ35" s="1830"/>
      <c r="CR35" s="1834" t="str">
        <f>IFERROR(INDEX(N_Bedarf!$CE$2:$CE$141,_xlfn.AGGREGATE(15,6,(ROW(N_Bedarf!$CE$2:$CE$141)-1)/(--(SEARCH(CS$2,N_Bedarf!$CE$2:$CE$141)&gt;0)),ROW()-2),1),"")</f>
        <v>Silohirse/Sudangras frisch (m3)</v>
      </c>
      <c r="CS35" s="1830"/>
      <c r="CT35" s="1834" t="str">
        <f>IFERROR(INDEX(N_Bedarf!$CE$2:$CE$141,_xlfn.AGGREGATE(15,6,(ROW(N_Bedarf!$CE$2:$CE$141)-1)/(--(SEARCH(CU$2,N_Bedarf!$CE$2:$CE$141)&gt;0)),ROW()-2),1),"")</f>
        <v>Silohirse/Sudangras frisch (m3)</v>
      </c>
      <c r="CU35" s="1830"/>
      <c r="CV35" s="1834" t="str">
        <f>IFERROR(INDEX(N_Bedarf!$CE$2:$CE$141,_xlfn.AGGREGATE(15,6,(ROW(N_Bedarf!$CE$2:$CE$141)-1)/(--(SEARCH(CW$2,N_Bedarf!$CE$2:$CE$141)&gt;0)),ROW()-2),1),"")</f>
        <v>Silohirse/Sudangras frisch (m3)</v>
      </c>
      <c r="CW35" s="1830"/>
      <c r="CX35" s="1834" t="str">
        <f>IFERROR(INDEX(N_Bedarf!$CE$2:$CE$141,_xlfn.AGGREGATE(15,6,(ROW(N_Bedarf!$CE$2:$CE$141)-1)/(--(SEARCH(CY$2,N_Bedarf!$CE$2:$CE$141)&gt;0)),ROW()-2),1),"")</f>
        <v>Silohirse/Sudangras frisch (m3)</v>
      </c>
      <c r="CY35" s="1830"/>
      <c r="CZ35" s="1834" t="str">
        <f>IFERROR(INDEX(N_Bedarf!$CE$2:$CE$141,_xlfn.AGGREGATE(15,6,(ROW(N_Bedarf!$CE$2:$CE$141)-1)/(--(SEARCH(DA$2,N_Bedarf!$CE$2:$CE$141)&gt;0)),ROW()-2),1),"")</f>
        <v>Silohirse/Sudangras frisch (m3)</v>
      </c>
      <c r="DA35" s="1830"/>
      <c r="DB35" s="1834" t="str">
        <f>IFERROR(INDEX(N_Bedarf!$CE$2:$CE$141,_xlfn.AGGREGATE(15,6,(ROW(N_Bedarf!$CE$2:$CE$141)-1)/(--(SEARCH(DC$2,N_Bedarf!$CE$2:$CE$141)&gt;0)),ROW()-2),1),"")</f>
        <v>Silohirse/Sudangras frisch (m3)</v>
      </c>
      <c r="DC35" s="1830"/>
      <c r="DD35" s="1834" t="str">
        <f>IFERROR(INDEX(N_Bedarf!$CE$2:$CE$141,_xlfn.AGGREGATE(15,6,(ROW(N_Bedarf!$CE$2:$CE$141)-1)/(--(SEARCH(DE$2,N_Bedarf!$CE$2:$CE$141)&gt;0)),ROW()-2),1),"")</f>
        <v>Silohirse/Sudangras frisch (m3)</v>
      </c>
      <c r="DE35" s="1830"/>
      <c r="DF35" s="2353" t="str">
        <f t="array" ref="DF35">IFERROR(INDEX(N_Bedarf!$CE$2:$CE$141,_xlfn.AGGREGATE(15,6,(ROW(N_Bedarf!$CE$2:$CE$141)-1)/(--(SEARCH(DG$2,N_Bedarf!$CE$2:$CE$141)&gt;0)),ROW()-2),1),"")</f>
        <v>Silohirse/Sudangras frisch (m3)</v>
      </c>
      <c r="DG35" s="2353"/>
      <c r="DH35" s="2355" t="str">
        <f t="array" ref="DH35">IFERROR(INDEX(N_Bedarf!$CE$2:$CE$141,_xlfn.AGGREGATE(15,6,(ROW(N_Bedarf!$CE$2:$CE$141)-1)/(--(SEARCH(DI$2,N_Bedarf!$CE$2:$CE$141)&gt;0)),ROW()-2),1),"")</f>
        <v>Silohirse/Sudangras frisch (m3)</v>
      </c>
      <c r="DI35" s="2355"/>
      <c r="DJ35" s="2356" t="str">
        <f t="array" ref="DJ35">IFERROR(INDEX(N_Bedarf!$CE$2:$CE$141,_xlfn.AGGREGATE(15,6,(ROW(N_Bedarf!$CE$2:$CE$141)-1)/(--(SEARCH(DK$2,N_Bedarf!$CE$2:$CE$141)&gt;0)),ROW()-2),1),"")</f>
        <v>Silohirse/Sudangras frisch (m3)</v>
      </c>
      <c r="DK35" s="2356"/>
      <c r="DL35" s="2356" t="str">
        <f t="array" ref="DL35">IFERROR(INDEX(N_Bedarf!$CE$2:$CE$141,_xlfn.AGGREGATE(15,6,(ROW(N_Bedarf!$CE$2:$CE$141)-1)/(--(SEARCH(DM$2,N_Bedarf!$CE$2:$CE$141)&gt;0)),ROW()-2),1),"")</f>
        <v>Silohirse/Sudangras frisch (m3)</v>
      </c>
      <c r="DM35" s="2356"/>
      <c r="DN35" s="2356" t="str">
        <f t="array" ref="DN35">IFERROR(INDEX(N_Bedarf!$CE$2:$CE$141,_xlfn.AGGREGATE(15,6,(ROW(N_Bedarf!$CE$2:$CE$141)-1)/(--(SEARCH(DO$2,N_Bedarf!$CE$2:$CE$141)&gt;0)),ROW()-2),1),"")</f>
        <v>Silohirse/Sudangras frisch (m3)</v>
      </c>
      <c r="DO35" s="2356"/>
      <c r="DP35" s="2356" t="str">
        <f t="array" ref="DP35">IFERROR(INDEX(N_Bedarf!$CE$2:$CE$141,_xlfn.AGGREGATE(15,6,(ROW(N_Bedarf!$CE$2:$CE$141)-1)/(--(SEARCH(DQ$2,N_Bedarf!$CE$2:$CE$141)&gt;0)),ROW()-2),1),"")</f>
        <v>Silohirse/Sudangras frisch (m3)</v>
      </c>
      <c r="DQ35" s="2356"/>
      <c r="DR35" s="2356" t="str">
        <f t="array" ref="DR35">IFERROR(INDEX(N_Bedarf!$CE$2:$CE$141,_xlfn.AGGREGATE(15,6,(ROW(N_Bedarf!$CE$2:$CE$141)-1)/(--(SEARCH(DS$2,N_Bedarf!$CE$2:$CE$141)&gt;0)),ROW()-2),1),"")</f>
        <v>Silohirse/Sudangras frisch (m3)</v>
      </c>
      <c r="DS35" s="2356"/>
      <c r="DT35" s="2356" t="str">
        <f t="array" ref="DT35">IFERROR(INDEX(N_Bedarf!$CE$2:$CE$141,_xlfn.AGGREGATE(15,6,(ROW(N_Bedarf!$CE$2:$CE$141)-1)/(--(SEARCH(DU$2,N_Bedarf!$CE$2:$CE$141)&gt;0)),ROW()-2),1),"")</f>
        <v>Silohirse/Sudangras frisch (m3)</v>
      </c>
      <c r="DU35" s="2356"/>
      <c r="DV35" s="2356" t="str">
        <f t="array" ref="DV35">IFERROR(INDEX(N_Bedarf!$CE$2:$CE$141,_xlfn.AGGREGATE(15,6,(ROW(N_Bedarf!$CE$2:$CE$141)-1)/(--(SEARCH(DW$2,N_Bedarf!$CE$2:$CE$141)&gt;0)),ROW()-2),1),"")</f>
        <v>Silohirse/Sudangras frisch (m3)</v>
      </c>
      <c r="DW35" s="2356"/>
      <c r="DX35" s="2356" t="str">
        <f t="array" ref="DX35">IFERROR(INDEX(N_Bedarf!$CE$2:$CE$141,_xlfn.AGGREGATE(15,6,(ROW(N_Bedarf!$CE$2:$CE$141)-1)/(--(SEARCH(DY$2,N_Bedarf!$CE$2:$CE$141)&gt;0)),ROW()-2),1),"")</f>
        <v>Silohirse/Sudangras frisch (m3)</v>
      </c>
      <c r="DY35" s="2356"/>
      <c r="DZ35" s="2356" t="str">
        <f t="array" ref="DZ35">IFERROR(INDEX(N_Bedarf!$CE$2:$CE$141,_xlfn.AGGREGATE(15,6,(ROW(N_Bedarf!$CE$2:$CE$141)-1)/(--(SEARCH(EA$2,N_Bedarf!$CE$2:$CE$141)&gt;0)),ROW()-2),1),"")</f>
        <v>Silohirse/Sudangras frisch (m3)</v>
      </c>
      <c r="EA35" s="2356"/>
      <c r="EB35" s="2356" t="str">
        <f t="array" ref="EB35">IFERROR(INDEX(N_Bedarf!$CE$2:$CE$142,_xlfn.AGGREGATE(15,6,(ROW(N_Bedarf!$CE$2:$CE$142)-1)/(--(SEARCH(EC$2,N_Bedarf!$CE$2:$CE$142)&gt;0)),ROW()-2),1),"")</f>
        <v>Silohirse/Sudangras frisch (m3)</v>
      </c>
      <c r="EC35" s="2356"/>
      <c r="ED35"/>
      <c r="EE35"/>
      <c r="EF35"/>
      <c r="EG35"/>
      <c r="EH35"/>
      <c r="EI35"/>
      <c r="EJ35"/>
      <c r="EK35"/>
      <c r="EL35"/>
      <c r="EM35"/>
      <c r="EN35"/>
      <c r="EO35"/>
      <c r="EP35"/>
      <c r="EQ35"/>
      <c r="ER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row>
    <row r="36" spans="1:291" ht="27" customHeight="1" thickTop="1" thickBot="1">
      <c r="A36" s="156"/>
      <c r="B36" s="156"/>
      <c r="C36" s="2454"/>
      <c r="D36" s="2455"/>
      <c r="E36" s="912"/>
      <c r="F36" s="913"/>
      <c r="G36" s="1916" t="str">
        <f t="shared" si="9"/>
        <v/>
      </c>
      <c r="H36" s="2296"/>
      <c r="I36" s="914">
        <f t="shared" si="22"/>
        <v>0</v>
      </c>
      <c r="J36" s="2297">
        <f t="shared" si="23"/>
        <v>0</v>
      </c>
      <c r="K36" s="2299"/>
      <c r="L36" s="915">
        <f t="shared" si="24"/>
        <v>0</v>
      </c>
      <c r="M36" s="2357">
        <f t="shared" si="25"/>
        <v>0</v>
      </c>
      <c r="AO36" s="156"/>
      <c r="AP36" s="1568" t="str">
        <f t="shared" si="3"/>
        <v/>
      </c>
      <c r="AQ36" s="472">
        <f t="shared" si="14"/>
        <v>0</v>
      </c>
      <c r="AR36" s="472">
        <f t="shared" si="15"/>
        <v>0</v>
      </c>
      <c r="AS36" s="472">
        <f t="shared" si="16"/>
        <v>0</v>
      </c>
      <c r="AT36" s="472">
        <f t="shared" si="17"/>
        <v>0</v>
      </c>
      <c r="AU36" s="472">
        <f t="shared" si="18"/>
        <v>0</v>
      </c>
      <c r="AV36" s="472">
        <f t="shared" si="19"/>
        <v>0</v>
      </c>
      <c r="AW36" s="472">
        <f t="shared" si="20"/>
        <v>0</v>
      </c>
      <c r="AX36" s="1722" t="s">
        <v>341</v>
      </c>
      <c r="AY36" s="681">
        <v>110</v>
      </c>
      <c r="AZ36" s="681">
        <v>95</v>
      </c>
      <c r="BA36" s="681" t="s">
        <v>2653</v>
      </c>
      <c r="BB36" s="681">
        <v>155</v>
      </c>
      <c r="BC36" s="681">
        <v>130</v>
      </c>
      <c r="BD36" s="681" t="s">
        <v>2666</v>
      </c>
      <c r="BE36" s="681">
        <v>180</v>
      </c>
      <c r="BF36" s="681">
        <v>155</v>
      </c>
      <c r="BG36" s="681" t="s">
        <v>2664</v>
      </c>
      <c r="BH36" s="681">
        <v>195</v>
      </c>
      <c r="BI36" s="681">
        <v>165</v>
      </c>
      <c r="BJ36" s="681" t="s">
        <v>1783</v>
      </c>
      <c r="BK36" s="681">
        <v>210</v>
      </c>
      <c r="BL36" s="681">
        <v>180</v>
      </c>
      <c r="BM36" s="681" t="s">
        <v>2603</v>
      </c>
      <c r="BN36" s="471" t="s">
        <v>1764</v>
      </c>
      <c r="BO36" s="821" t="s">
        <v>1764</v>
      </c>
      <c r="BP36"/>
      <c r="BQ36" s="1722" t="s">
        <v>341</v>
      </c>
      <c r="BR36" s="470">
        <v>75</v>
      </c>
      <c r="BS36" s="470">
        <v>85</v>
      </c>
      <c r="BT36" s="470">
        <v>100</v>
      </c>
      <c r="BV36" s="1722" t="s">
        <v>341</v>
      </c>
      <c r="BW36" s="470">
        <v>190</v>
      </c>
      <c r="BX36" s="470">
        <v>210</v>
      </c>
      <c r="BY36" s="470">
        <v>240</v>
      </c>
      <c r="CA36" s="397"/>
      <c r="CB36"/>
      <c r="CC36"/>
      <c r="CD36"/>
      <c r="CE36" s="1833" t="s">
        <v>1716</v>
      </c>
      <c r="CF36" s="1834" t="str">
        <f>IFERROR(INDEX(N_Bedarf!$CE$2:$CE$141,_xlfn.AGGREGATE(15,6,(ROW(N_Bedarf!$CE$2:$CE$141)-1)/(--(SEARCH(CG$2,N_Bedarf!$CE$2:$CE$141)&gt;0)),ROW()-2),1),"")</f>
        <v>Winterraps</v>
      </c>
      <c r="CG36" s="1836"/>
      <c r="CH36" s="1834" t="str">
        <f>IFERROR(INDEX(N_Bedarf!$CE$2:$CE$141,_xlfn.AGGREGATE(15,6,(ROW(N_Bedarf!$CE$2:$CE$141)-1)/(--(SEARCH(CI$2,N_Bedarf!$CE$2:$CE$141)&gt;0)),ROW()-2),1),"")</f>
        <v>Winterraps</v>
      </c>
      <c r="CI36" s="1836"/>
      <c r="CJ36" s="1834" t="str">
        <f>IFERROR(INDEX(N_Bedarf!$CE$2:$CE$141,_xlfn.AGGREGATE(15,6,(ROW(N_Bedarf!$CE$2:$CE$141)-1)/(--(SEARCH(CK$2,N_Bedarf!$CE$2:$CE$141)&gt;0)),ROW()-2),1),"")</f>
        <v>Winterraps</v>
      </c>
      <c r="CK36" s="1836"/>
      <c r="CL36" s="1834" t="str">
        <f>IFERROR(INDEX(N_Bedarf!$CE$2:$CE$141,_xlfn.AGGREGATE(15,6,(ROW(N_Bedarf!$CE$2:$CE$141)-1)/(--(SEARCH(CM$2,N_Bedarf!$CE$2:$CE$141)&gt;0)),ROW()-2),1),"")</f>
        <v>Winterraps</v>
      </c>
      <c r="CM36" s="1836"/>
      <c r="CN36" s="1834" t="str">
        <f>IFERROR(INDEX(N_Bedarf!$CE$2:$CE$141,_xlfn.AGGREGATE(15,6,(ROW(N_Bedarf!$CE$2:$CE$141)-1)/(--(SEARCH(CO$2,N_Bedarf!$CE$2:$CE$141)&gt;0)),ROW()-2),1),"")</f>
        <v>Winterraps</v>
      </c>
      <c r="CO36" s="1836"/>
      <c r="CP36" s="1834" t="str">
        <f>IFERROR(INDEX(N_Bedarf!$CE$2:$CE$141,_xlfn.AGGREGATE(15,6,(ROW(N_Bedarf!$CE$2:$CE$141)-1)/(--(SEARCH(CQ$2,N_Bedarf!$CE$2:$CE$141)&gt;0)),ROW()-2),1),"")</f>
        <v>Winterraps</v>
      </c>
      <c r="CQ36" s="1836"/>
      <c r="CR36" s="1834" t="str">
        <f>IFERROR(INDEX(N_Bedarf!$CE$2:$CE$141,_xlfn.AGGREGATE(15,6,(ROW(N_Bedarf!$CE$2:$CE$141)-1)/(--(SEARCH(CS$2,N_Bedarf!$CE$2:$CE$141)&gt;0)),ROW()-2),1),"")</f>
        <v>Winterraps</v>
      </c>
      <c r="CS36" s="1836"/>
      <c r="CT36" s="1834" t="str">
        <f>IFERROR(INDEX(N_Bedarf!$CE$2:$CE$141,_xlfn.AGGREGATE(15,6,(ROW(N_Bedarf!$CE$2:$CE$141)-1)/(--(SEARCH(CU$2,N_Bedarf!$CE$2:$CE$141)&gt;0)),ROW()-2),1),"")</f>
        <v>Winterraps</v>
      </c>
      <c r="CU36" s="1836"/>
      <c r="CV36" s="1834" t="str">
        <f>IFERROR(INDEX(N_Bedarf!$CE$2:$CE$141,_xlfn.AGGREGATE(15,6,(ROW(N_Bedarf!$CE$2:$CE$141)-1)/(--(SEARCH(CW$2,N_Bedarf!$CE$2:$CE$141)&gt;0)),ROW()-2),1),"")</f>
        <v>Winterraps</v>
      </c>
      <c r="CW36" s="1836"/>
      <c r="CX36" s="1834" t="str">
        <f>IFERROR(INDEX(N_Bedarf!$CE$2:$CE$141,_xlfn.AGGREGATE(15,6,(ROW(N_Bedarf!$CE$2:$CE$141)-1)/(--(SEARCH(CY$2,N_Bedarf!$CE$2:$CE$141)&gt;0)),ROW()-2),1),"")</f>
        <v>Winterraps</v>
      </c>
      <c r="CY36" s="1836"/>
      <c r="CZ36" s="1834" t="str">
        <f>IFERROR(INDEX(N_Bedarf!$CE$2:$CE$141,_xlfn.AGGREGATE(15,6,(ROW(N_Bedarf!$CE$2:$CE$141)-1)/(--(SEARCH(DA$2,N_Bedarf!$CE$2:$CE$141)&gt;0)),ROW()-2),1),"")</f>
        <v>Winterraps</v>
      </c>
      <c r="DA36" s="1836"/>
      <c r="DB36" s="1834" t="str">
        <f>IFERROR(INDEX(N_Bedarf!$CE$2:$CE$141,_xlfn.AGGREGATE(15,6,(ROW(N_Bedarf!$CE$2:$CE$141)-1)/(--(SEARCH(DC$2,N_Bedarf!$CE$2:$CE$141)&gt;0)),ROW()-2),1),"")</f>
        <v>Winterraps</v>
      </c>
      <c r="DC36" s="1836"/>
      <c r="DD36" s="1834" t="str">
        <f>IFERROR(INDEX(N_Bedarf!$CE$2:$CE$141,_xlfn.AGGREGATE(15,6,(ROW(N_Bedarf!$CE$2:$CE$141)-1)/(--(SEARCH(DE$2,N_Bedarf!$CE$2:$CE$141)&gt;0)),ROW()-2),1),"")</f>
        <v>Winterraps</v>
      </c>
      <c r="DE36" s="1836"/>
      <c r="DF36" s="2353" t="str">
        <f t="array" ref="DF36">IFERROR(INDEX(N_Bedarf!$CE$2:$CE$141,_xlfn.AGGREGATE(15,6,(ROW(N_Bedarf!$CE$2:$CE$141)-1)/(--(SEARCH(DG$2,N_Bedarf!$CE$2:$CE$141)&gt;0)),ROW()-2),1),"")</f>
        <v>Winterraps</v>
      </c>
      <c r="DG36" s="2353"/>
      <c r="DH36" s="2355" t="str">
        <f t="array" ref="DH36">IFERROR(INDEX(N_Bedarf!$CE$2:$CE$141,_xlfn.AGGREGATE(15,6,(ROW(N_Bedarf!$CE$2:$CE$141)-1)/(--(SEARCH(DI$2,N_Bedarf!$CE$2:$CE$141)&gt;0)),ROW()-2),1),"")</f>
        <v>Winterraps</v>
      </c>
      <c r="DI36" s="2355"/>
      <c r="DJ36" s="2356" t="str">
        <f t="array" ref="DJ36">IFERROR(INDEX(N_Bedarf!$CE$2:$CE$141,_xlfn.AGGREGATE(15,6,(ROW(N_Bedarf!$CE$2:$CE$141)-1)/(--(SEARCH(DK$2,N_Bedarf!$CE$2:$CE$141)&gt;0)),ROW()-2),1),"")</f>
        <v>Winterraps</v>
      </c>
      <c r="DK36" s="2356"/>
      <c r="DL36" s="2356" t="str">
        <f t="array" ref="DL36">IFERROR(INDEX(N_Bedarf!$CE$2:$CE$141,_xlfn.AGGREGATE(15,6,(ROW(N_Bedarf!$CE$2:$CE$141)-1)/(--(SEARCH(DM$2,N_Bedarf!$CE$2:$CE$141)&gt;0)),ROW()-2),1),"")</f>
        <v>Winterraps</v>
      </c>
      <c r="DM36" s="2356"/>
      <c r="DN36" s="2356" t="str">
        <f t="array" ref="DN36">IFERROR(INDEX(N_Bedarf!$CE$2:$CE$141,_xlfn.AGGREGATE(15,6,(ROW(N_Bedarf!$CE$2:$CE$141)-1)/(--(SEARCH(DO$2,N_Bedarf!$CE$2:$CE$141)&gt;0)),ROW()-2),1),"")</f>
        <v>Winterraps</v>
      </c>
      <c r="DO36" s="2356"/>
      <c r="DP36" s="2356" t="str">
        <f t="array" ref="DP36">IFERROR(INDEX(N_Bedarf!$CE$2:$CE$141,_xlfn.AGGREGATE(15,6,(ROW(N_Bedarf!$CE$2:$CE$141)-1)/(--(SEARCH(DQ$2,N_Bedarf!$CE$2:$CE$141)&gt;0)),ROW()-2),1),"")</f>
        <v>Winterraps</v>
      </c>
      <c r="DQ36" s="2356"/>
      <c r="DR36" s="2356" t="str">
        <f t="array" ref="DR36">IFERROR(INDEX(N_Bedarf!$CE$2:$CE$141,_xlfn.AGGREGATE(15,6,(ROW(N_Bedarf!$CE$2:$CE$141)-1)/(--(SEARCH(DS$2,N_Bedarf!$CE$2:$CE$141)&gt;0)),ROW()-2),1),"")</f>
        <v>Winterraps</v>
      </c>
      <c r="DS36" s="2356"/>
      <c r="DT36" s="2356" t="str">
        <f t="array" ref="DT36">IFERROR(INDEX(N_Bedarf!$CE$2:$CE$141,_xlfn.AGGREGATE(15,6,(ROW(N_Bedarf!$CE$2:$CE$141)-1)/(--(SEARCH(DU$2,N_Bedarf!$CE$2:$CE$141)&gt;0)),ROW()-2),1),"")</f>
        <v>Winterraps</v>
      </c>
      <c r="DU36" s="2356"/>
      <c r="DV36" s="2356" t="str">
        <f t="array" ref="DV36">IFERROR(INDEX(N_Bedarf!$CE$2:$CE$141,_xlfn.AGGREGATE(15,6,(ROW(N_Bedarf!$CE$2:$CE$141)-1)/(--(SEARCH(DW$2,N_Bedarf!$CE$2:$CE$141)&gt;0)),ROW()-2),1),"")</f>
        <v>Winterraps</v>
      </c>
      <c r="DW36" s="2356"/>
      <c r="DX36" s="2356" t="str">
        <f t="array" ref="DX36">IFERROR(INDEX(N_Bedarf!$CE$2:$CE$141,_xlfn.AGGREGATE(15,6,(ROW(N_Bedarf!$CE$2:$CE$141)-1)/(--(SEARCH(DY$2,N_Bedarf!$CE$2:$CE$141)&gt;0)),ROW()-2),1),"")</f>
        <v>Winterraps</v>
      </c>
      <c r="DY36" s="2356"/>
      <c r="DZ36" s="2356" t="str">
        <f t="array" ref="DZ36">IFERROR(INDEX(N_Bedarf!$CE$2:$CE$141,_xlfn.AGGREGATE(15,6,(ROW(N_Bedarf!$CE$2:$CE$141)-1)/(--(SEARCH(EA$2,N_Bedarf!$CE$2:$CE$141)&gt;0)),ROW()-2),1),"")</f>
        <v>Winterraps</v>
      </c>
      <c r="EA36" s="2356"/>
      <c r="EB36" s="2356" t="str">
        <f t="array" ref="EB36">IFERROR(INDEX(N_Bedarf!$CE$2:$CE$141,_xlfn.AGGREGATE(15,6,(ROW(N_Bedarf!$CE$2:$CE$141)-1)/(--(SEARCH(EC$2,N_Bedarf!$CE$2:$CE$141)&gt;0)),ROW()-2),1),"")</f>
        <v>Winterraps</v>
      </c>
      <c r="EC36" s="2356"/>
      <c r="ED36"/>
      <c r="EE36"/>
      <c r="EF36"/>
      <c r="EG36"/>
      <c r="EH36"/>
      <c r="EI36"/>
      <c r="EJ36"/>
      <c r="EK36"/>
      <c r="EL36"/>
      <c r="EM36"/>
      <c r="EN36"/>
      <c r="EO36"/>
      <c r="EP36"/>
      <c r="EQ36"/>
      <c r="ER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row>
    <row r="37" spans="1:291" ht="27" customHeight="1" thickTop="1" thickBot="1">
      <c r="A37" s="156"/>
      <c r="B37" s="156"/>
      <c r="C37" s="2454"/>
      <c r="D37" s="2455"/>
      <c r="E37" s="912"/>
      <c r="F37" s="913"/>
      <c r="G37" s="1916" t="str">
        <f t="shared" si="9"/>
        <v/>
      </c>
      <c r="H37" s="2296"/>
      <c r="I37" s="914">
        <f t="shared" si="22"/>
        <v>0</v>
      </c>
      <c r="J37" s="2297">
        <f t="shared" si="23"/>
        <v>0</v>
      </c>
      <c r="K37" s="2299"/>
      <c r="L37" s="915">
        <f t="shared" si="24"/>
        <v>0</v>
      </c>
      <c r="M37" s="2357">
        <f t="shared" si="25"/>
        <v>0</v>
      </c>
      <c r="AO37" s="156"/>
      <c r="AP37" s="1568" t="str">
        <f t="shared" si="3"/>
        <v/>
      </c>
      <c r="AQ37" s="472">
        <f t="shared" si="14"/>
        <v>0</v>
      </c>
      <c r="AR37" s="472">
        <f t="shared" si="15"/>
        <v>0</v>
      </c>
      <c r="AS37" s="472">
        <f t="shared" si="16"/>
        <v>0</v>
      </c>
      <c r="AT37" s="472">
        <f t="shared" si="17"/>
        <v>0</v>
      </c>
      <c r="AU37" s="472">
        <f t="shared" si="18"/>
        <v>0</v>
      </c>
      <c r="AV37" s="472">
        <f t="shared" si="19"/>
        <v>0</v>
      </c>
      <c r="AW37" s="472">
        <f t="shared" si="20"/>
        <v>0</v>
      </c>
      <c r="AX37" s="1722" t="s">
        <v>1743</v>
      </c>
      <c r="AY37" s="681">
        <v>130</v>
      </c>
      <c r="AZ37" s="681">
        <v>110</v>
      </c>
      <c r="BA37" s="681" t="s">
        <v>2654</v>
      </c>
      <c r="BB37" s="681">
        <v>175</v>
      </c>
      <c r="BC37" s="681">
        <v>150</v>
      </c>
      <c r="BD37" s="681" t="s">
        <v>2661</v>
      </c>
      <c r="BE37" s="681">
        <v>210</v>
      </c>
      <c r="BF37" s="681">
        <v>180</v>
      </c>
      <c r="BG37" s="681" t="s">
        <v>2662</v>
      </c>
      <c r="BH37" s="681">
        <v>225</v>
      </c>
      <c r="BI37" s="681">
        <v>190</v>
      </c>
      <c r="BJ37" s="681" t="s">
        <v>2663</v>
      </c>
      <c r="BK37" s="681">
        <v>240</v>
      </c>
      <c r="BL37" s="681">
        <v>205</v>
      </c>
      <c r="BM37" s="681" t="s">
        <v>2610</v>
      </c>
      <c r="BN37" s="471">
        <v>0</v>
      </c>
      <c r="BO37" s="821" t="s">
        <v>1764</v>
      </c>
      <c r="BP37"/>
      <c r="BQ37" s="1722" t="s">
        <v>1743</v>
      </c>
      <c r="BR37" s="470">
        <v>85</v>
      </c>
      <c r="BS37" s="470">
        <v>95</v>
      </c>
      <c r="BT37" s="470">
        <v>110</v>
      </c>
      <c r="BV37" s="1722" t="s">
        <v>1743</v>
      </c>
      <c r="BW37" s="470">
        <v>340</v>
      </c>
      <c r="BX37" s="470">
        <v>375</v>
      </c>
      <c r="BY37" s="470">
        <v>430</v>
      </c>
      <c r="CA37" s="397"/>
      <c r="CB37"/>
      <c r="CC37"/>
      <c r="CD37"/>
      <c r="CE37" s="1835" t="s">
        <v>1710</v>
      </c>
      <c r="CF37" s="1834" t="str">
        <f>IFERROR(INDEX(N_Bedarf!$CE$2:$CE$141,_xlfn.AGGREGATE(15,6,(ROW(N_Bedarf!$CE$2:$CE$141)-1)/(--(SEARCH(CG$2,N_Bedarf!$CE$2:$CE$141)&gt;0)),ROW()-2),1),"")</f>
        <v>Sommerraps</v>
      </c>
      <c r="CG37" s="1830"/>
      <c r="CH37" s="1834" t="str">
        <f>IFERROR(INDEX(N_Bedarf!$CE$2:$CE$141,_xlfn.AGGREGATE(15,6,(ROW(N_Bedarf!$CE$2:$CE$141)-1)/(--(SEARCH(CI$2,N_Bedarf!$CE$2:$CE$141)&gt;0)),ROW()-2),1),"")</f>
        <v>Sommerraps</v>
      </c>
      <c r="CI37" s="1830"/>
      <c r="CJ37" s="1834" t="str">
        <f>IFERROR(INDEX(N_Bedarf!$CE$2:$CE$141,_xlfn.AGGREGATE(15,6,(ROW(N_Bedarf!$CE$2:$CE$141)-1)/(--(SEARCH(CK$2,N_Bedarf!$CE$2:$CE$141)&gt;0)),ROW()-2),1),"")</f>
        <v>Sommerraps</v>
      </c>
      <c r="CK37" s="1830"/>
      <c r="CL37" s="1834" t="str">
        <f>IFERROR(INDEX(N_Bedarf!$CE$2:$CE$141,_xlfn.AGGREGATE(15,6,(ROW(N_Bedarf!$CE$2:$CE$141)-1)/(--(SEARCH(CM$2,N_Bedarf!$CE$2:$CE$141)&gt;0)),ROW()-2),1),"")</f>
        <v>Sommerraps</v>
      </c>
      <c r="CM37" s="1830"/>
      <c r="CN37" s="1834" t="str">
        <f>IFERROR(INDEX(N_Bedarf!$CE$2:$CE$141,_xlfn.AGGREGATE(15,6,(ROW(N_Bedarf!$CE$2:$CE$141)-1)/(--(SEARCH(CO$2,N_Bedarf!$CE$2:$CE$141)&gt;0)),ROW()-2),1),"")</f>
        <v>Sommerraps</v>
      </c>
      <c r="CO37" s="1830"/>
      <c r="CP37" s="1834" t="str">
        <f>IFERROR(INDEX(N_Bedarf!$CE$2:$CE$141,_xlfn.AGGREGATE(15,6,(ROW(N_Bedarf!$CE$2:$CE$141)-1)/(--(SEARCH(CQ$2,N_Bedarf!$CE$2:$CE$141)&gt;0)),ROW()-2),1),"")</f>
        <v>Sommerraps</v>
      </c>
      <c r="CQ37" s="1830"/>
      <c r="CR37" s="1834" t="str">
        <f>IFERROR(INDEX(N_Bedarf!$CE$2:$CE$141,_xlfn.AGGREGATE(15,6,(ROW(N_Bedarf!$CE$2:$CE$141)-1)/(--(SEARCH(CS$2,N_Bedarf!$CE$2:$CE$141)&gt;0)),ROW()-2),1),"")</f>
        <v>Sommerraps</v>
      </c>
      <c r="CS37" s="1830"/>
      <c r="CT37" s="1834" t="str">
        <f>IFERROR(INDEX(N_Bedarf!$CE$2:$CE$141,_xlfn.AGGREGATE(15,6,(ROW(N_Bedarf!$CE$2:$CE$141)-1)/(--(SEARCH(CU$2,N_Bedarf!$CE$2:$CE$141)&gt;0)),ROW()-2),1),"")</f>
        <v>Sommerraps</v>
      </c>
      <c r="CU37" s="1830"/>
      <c r="CV37" s="1834" t="str">
        <f>IFERROR(INDEX(N_Bedarf!$CE$2:$CE$141,_xlfn.AGGREGATE(15,6,(ROW(N_Bedarf!$CE$2:$CE$141)-1)/(--(SEARCH(CW$2,N_Bedarf!$CE$2:$CE$141)&gt;0)),ROW()-2),1),"")</f>
        <v>Sommerraps</v>
      </c>
      <c r="CW37" s="1830"/>
      <c r="CX37" s="1834" t="str">
        <f>IFERROR(INDEX(N_Bedarf!$CE$2:$CE$141,_xlfn.AGGREGATE(15,6,(ROW(N_Bedarf!$CE$2:$CE$141)-1)/(--(SEARCH(CY$2,N_Bedarf!$CE$2:$CE$141)&gt;0)),ROW()-2),1),"")</f>
        <v>Sommerraps</v>
      </c>
      <c r="CY37" s="1830"/>
      <c r="CZ37" s="1834" t="str">
        <f>IFERROR(INDEX(N_Bedarf!$CE$2:$CE$141,_xlfn.AGGREGATE(15,6,(ROW(N_Bedarf!$CE$2:$CE$141)-1)/(--(SEARCH(DA$2,N_Bedarf!$CE$2:$CE$141)&gt;0)),ROW()-2),1),"")</f>
        <v>Sommerraps</v>
      </c>
      <c r="DA37" s="1830"/>
      <c r="DB37" s="1834" t="str">
        <f>IFERROR(INDEX(N_Bedarf!$CE$2:$CE$141,_xlfn.AGGREGATE(15,6,(ROW(N_Bedarf!$CE$2:$CE$141)-1)/(--(SEARCH(DC$2,N_Bedarf!$CE$2:$CE$141)&gt;0)),ROW()-2),1),"")</f>
        <v>Sommerraps</v>
      </c>
      <c r="DC37" s="1830"/>
      <c r="DD37" s="1834" t="str">
        <f>IFERROR(INDEX(N_Bedarf!$CE$2:$CE$141,_xlfn.AGGREGATE(15,6,(ROW(N_Bedarf!$CE$2:$CE$141)-1)/(--(SEARCH(DE$2,N_Bedarf!$CE$2:$CE$141)&gt;0)),ROW()-2),1),"")</f>
        <v>Sommerraps</v>
      </c>
      <c r="DE37" s="1830"/>
      <c r="DF37" s="2353" t="str">
        <f t="array" ref="DF37">IFERROR(INDEX(N_Bedarf!$CE$2:$CE$141,_xlfn.AGGREGATE(15,6,(ROW(N_Bedarf!$CE$2:$CE$141)-1)/(--(SEARCH(DG$2,N_Bedarf!$CE$2:$CE$141)&gt;0)),ROW()-2),1),"")</f>
        <v>Sommerraps</v>
      </c>
      <c r="DG37" s="2353"/>
      <c r="DH37" s="2355" t="str">
        <f t="array" ref="DH37">IFERROR(INDEX(N_Bedarf!$CE$2:$CE$141,_xlfn.AGGREGATE(15,6,(ROW(N_Bedarf!$CE$2:$CE$141)-1)/(--(SEARCH(DI$2,N_Bedarf!$CE$2:$CE$141)&gt;0)),ROW()-2),1),"")</f>
        <v>Sommerraps</v>
      </c>
      <c r="DI37" s="2355"/>
      <c r="DJ37" s="2356" t="str">
        <f t="array" ref="DJ37">IFERROR(INDEX(N_Bedarf!$CE$2:$CE$141,_xlfn.AGGREGATE(15,6,(ROW(N_Bedarf!$CE$2:$CE$141)-1)/(--(SEARCH(DK$2,N_Bedarf!$CE$2:$CE$141)&gt;0)),ROW()-2),1),"")</f>
        <v>Sommerraps</v>
      </c>
      <c r="DK37" s="2356"/>
      <c r="DL37" s="2356" t="str">
        <f t="array" ref="DL37">IFERROR(INDEX(N_Bedarf!$CE$2:$CE$141,_xlfn.AGGREGATE(15,6,(ROW(N_Bedarf!$CE$2:$CE$141)-1)/(--(SEARCH(DM$2,N_Bedarf!$CE$2:$CE$141)&gt;0)),ROW()-2),1),"")</f>
        <v>Sommerraps</v>
      </c>
      <c r="DM37" s="2356"/>
      <c r="DN37" s="2356" t="str">
        <f t="array" ref="DN37">IFERROR(INDEX(N_Bedarf!$CE$2:$CE$141,_xlfn.AGGREGATE(15,6,(ROW(N_Bedarf!$CE$2:$CE$141)-1)/(--(SEARCH(DO$2,N_Bedarf!$CE$2:$CE$141)&gt;0)),ROW()-2),1),"")</f>
        <v>Sommerraps</v>
      </c>
      <c r="DO37" s="2356"/>
      <c r="DP37" s="2356" t="str">
        <f t="array" ref="DP37">IFERROR(INDEX(N_Bedarf!$CE$2:$CE$141,_xlfn.AGGREGATE(15,6,(ROW(N_Bedarf!$CE$2:$CE$141)-1)/(--(SEARCH(DQ$2,N_Bedarf!$CE$2:$CE$141)&gt;0)),ROW()-2),1),"")</f>
        <v>Sommerraps</v>
      </c>
      <c r="DQ37" s="2356"/>
      <c r="DR37" s="2356" t="str">
        <f t="array" ref="DR37">IFERROR(INDEX(N_Bedarf!$CE$2:$CE$141,_xlfn.AGGREGATE(15,6,(ROW(N_Bedarf!$CE$2:$CE$141)-1)/(--(SEARCH(DS$2,N_Bedarf!$CE$2:$CE$141)&gt;0)),ROW()-2),1),"")</f>
        <v>Sommerraps</v>
      </c>
      <c r="DS37" s="2356"/>
      <c r="DT37" s="2356" t="str">
        <f t="array" ref="DT37">IFERROR(INDEX(N_Bedarf!$CE$2:$CE$141,_xlfn.AGGREGATE(15,6,(ROW(N_Bedarf!$CE$2:$CE$141)-1)/(--(SEARCH(DU$2,N_Bedarf!$CE$2:$CE$141)&gt;0)),ROW()-2),1),"")</f>
        <v>Sommerraps</v>
      </c>
      <c r="DU37" s="2356"/>
      <c r="DV37" s="2356" t="str">
        <f t="array" ref="DV37">IFERROR(INDEX(N_Bedarf!$CE$2:$CE$141,_xlfn.AGGREGATE(15,6,(ROW(N_Bedarf!$CE$2:$CE$141)-1)/(--(SEARCH(DW$2,N_Bedarf!$CE$2:$CE$141)&gt;0)),ROW()-2),1),"")</f>
        <v>Sommerraps</v>
      </c>
      <c r="DW37" s="2356"/>
      <c r="DX37" s="2356" t="str">
        <f t="array" ref="DX37">IFERROR(INDEX(N_Bedarf!$CE$2:$CE$141,_xlfn.AGGREGATE(15,6,(ROW(N_Bedarf!$CE$2:$CE$141)-1)/(--(SEARCH(DY$2,N_Bedarf!$CE$2:$CE$141)&gt;0)),ROW()-2),1),"")</f>
        <v>Sommerraps</v>
      </c>
      <c r="DY37" s="2356"/>
      <c r="DZ37" s="2356" t="str">
        <f t="array" ref="DZ37">IFERROR(INDEX(N_Bedarf!$CE$2:$CE$141,_xlfn.AGGREGATE(15,6,(ROW(N_Bedarf!$CE$2:$CE$141)-1)/(--(SEARCH(EA$2,N_Bedarf!$CE$2:$CE$141)&gt;0)),ROW()-2),1),"")</f>
        <v>Sommerraps</v>
      </c>
      <c r="EA37" s="2356"/>
      <c r="EB37" s="2356" t="str">
        <f t="array" ref="EB37">IFERROR(INDEX(N_Bedarf!$CE$2:$CE$141,_xlfn.AGGREGATE(15,6,(ROW(N_Bedarf!$CE$2:$CE$141)-1)/(--(SEARCH(EC$2,N_Bedarf!$CE$2:$CE$141)&gt;0)),ROW()-2),1),"")</f>
        <v>Sommerraps</v>
      </c>
      <c r="EC37" s="2356"/>
      <c r="ED37"/>
      <c r="EE37"/>
      <c r="EF37"/>
      <c r="EG37"/>
      <c r="EH37"/>
      <c r="EI37"/>
      <c r="EJ37"/>
      <c r="EK37"/>
      <c r="EL37"/>
      <c r="EM37"/>
      <c r="EN37"/>
      <c r="EO37"/>
      <c r="EP37"/>
      <c r="EQ37"/>
      <c r="ER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row>
    <row r="38" spans="1:291" ht="27" customHeight="1" thickTop="1" thickBot="1">
      <c r="A38" s="156"/>
      <c r="B38" s="156"/>
      <c r="C38" s="2454"/>
      <c r="D38" s="2455"/>
      <c r="E38" s="912"/>
      <c r="F38" s="913"/>
      <c r="G38" s="1916" t="str">
        <f t="shared" si="9"/>
        <v/>
      </c>
      <c r="H38" s="2296"/>
      <c r="I38" s="914">
        <f t="shared" si="22"/>
        <v>0</v>
      </c>
      <c r="J38" s="2297">
        <f t="shared" si="23"/>
        <v>0</v>
      </c>
      <c r="K38" s="2299"/>
      <c r="L38" s="915">
        <f t="shared" si="24"/>
        <v>0</v>
      </c>
      <c r="M38" s="2357">
        <f t="shared" si="25"/>
        <v>0</v>
      </c>
      <c r="AO38" s="156"/>
      <c r="AP38" s="1568" t="str">
        <f t="shared" si="3"/>
        <v/>
      </c>
      <c r="AQ38" s="472">
        <f t="shared" si="14"/>
        <v>0</v>
      </c>
      <c r="AR38" s="472">
        <f t="shared" si="15"/>
        <v>0</v>
      </c>
      <c r="AS38" s="472">
        <f t="shared" si="16"/>
        <v>0</v>
      </c>
      <c r="AT38" s="472">
        <f t="shared" si="17"/>
        <v>0</v>
      </c>
      <c r="AU38" s="472">
        <f t="shared" si="18"/>
        <v>0</v>
      </c>
      <c r="AV38" s="472">
        <f t="shared" si="19"/>
        <v>0</v>
      </c>
      <c r="AW38" s="472">
        <f t="shared" si="20"/>
        <v>0</v>
      </c>
      <c r="AX38" s="1722" t="s">
        <v>434</v>
      </c>
      <c r="AY38" s="681">
        <v>110</v>
      </c>
      <c r="AZ38" s="681">
        <v>100</v>
      </c>
      <c r="BA38" s="681" t="s">
        <v>33</v>
      </c>
      <c r="BB38" s="681">
        <v>155</v>
      </c>
      <c r="BC38" s="681">
        <v>140</v>
      </c>
      <c r="BD38" s="681" t="s">
        <v>2656</v>
      </c>
      <c r="BE38" s="681">
        <v>180</v>
      </c>
      <c r="BF38" s="681">
        <v>160</v>
      </c>
      <c r="BG38" s="681" t="s">
        <v>2660</v>
      </c>
      <c r="BH38" s="681">
        <v>195</v>
      </c>
      <c r="BI38" s="681">
        <v>175</v>
      </c>
      <c r="BJ38" s="681" t="s">
        <v>2659</v>
      </c>
      <c r="BK38" s="681">
        <v>210</v>
      </c>
      <c r="BL38" s="681">
        <v>190</v>
      </c>
      <c r="BM38" s="681" t="s">
        <v>2602</v>
      </c>
      <c r="BN38" s="471">
        <v>33</v>
      </c>
      <c r="BO38" s="821" t="s">
        <v>1764</v>
      </c>
      <c r="BP38"/>
      <c r="BQ38" s="1722" t="s">
        <v>434</v>
      </c>
      <c r="BR38" s="470">
        <v>70</v>
      </c>
      <c r="BS38" s="470">
        <v>75</v>
      </c>
      <c r="BT38" s="470">
        <v>85</v>
      </c>
      <c r="BU38" s="426"/>
      <c r="BV38" s="1722" t="s">
        <v>434</v>
      </c>
      <c r="BW38" s="470">
        <v>180</v>
      </c>
      <c r="BX38" s="470">
        <v>200</v>
      </c>
      <c r="BY38" s="470">
        <v>230</v>
      </c>
      <c r="CA38" s="397"/>
      <c r="CB38"/>
      <c r="CC38"/>
      <c r="CD38"/>
      <c r="CE38" s="1833" t="s">
        <v>1793</v>
      </c>
      <c r="CF38" s="1834" t="str">
        <f>IFERROR(INDEX(N_Bedarf!$CE$2:$CE$141,_xlfn.AGGREGATE(15,6,(ROW(N_Bedarf!$CE$2:$CE$141)-1)/(--(SEARCH(CG$2,N_Bedarf!$CE$2:$CE$141)&gt;0)),ROW()-2),1),"")</f>
        <v>Sojabohne</v>
      </c>
      <c r="CG38" s="1836"/>
      <c r="CH38" s="1834" t="str">
        <f>IFERROR(INDEX(N_Bedarf!$CE$2:$CE$141,_xlfn.AGGREGATE(15,6,(ROW(N_Bedarf!$CE$2:$CE$141)-1)/(--(SEARCH(CI$2,N_Bedarf!$CE$2:$CE$141)&gt;0)),ROW()-2),1),"")</f>
        <v>Sojabohne</v>
      </c>
      <c r="CI38" s="1836"/>
      <c r="CJ38" s="1834" t="str">
        <f>IFERROR(INDEX(N_Bedarf!$CE$2:$CE$141,_xlfn.AGGREGATE(15,6,(ROW(N_Bedarf!$CE$2:$CE$141)-1)/(--(SEARCH(CK$2,N_Bedarf!$CE$2:$CE$141)&gt;0)),ROW()-2),1),"")</f>
        <v>Sojabohne</v>
      </c>
      <c r="CK38" s="1836"/>
      <c r="CL38" s="1834" t="str">
        <f>IFERROR(INDEX(N_Bedarf!$CE$2:$CE$141,_xlfn.AGGREGATE(15,6,(ROW(N_Bedarf!$CE$2:$CE$141)-1)/(--(SEARCH(CM$2,N_Bedarf!$CE$2:$CE$141)&gt;0)),ROW()-2),1),"")</f>
        <v>Sojabohne</v>
      </c>
      <c r="CM38" s="1836"/>
      <c r="CN38" s="1834" t="str">
        <f>IFERROR(INDEX(N_Bedarf!$CE$2:$CE$141,_xlfn.AGGREGATE(15,6,(ROW(N_Bedarf!$CE$2:$CE$141)-1)/(--(SEARCH(CO$2,N_Bedarf!$CE$2:$CE$141)&gt;0)),ROW()-2),1),"")</f>
        <v>Sojabohne</v>
      </c>
      <c r="CO38" s="1836"/>
      <c r="CP38" s="1834" t="str">
        <f>IFERROR(INDEX(N_Bedarf!$CE$2:$CE$141,_xlfn.AGGREGATE(15,6,(ROW(N_Bedarf!$CE$2:$CE$141)-1)/(--(SEARCH(CQ$2,N_Bedarf!$CE$2:$CE$141)&gt;0)),ROW()-2),1),"")</f>
        <v>Sojabohne</v>
      </c>
      <c r="CQ38" s="1836"/>
      <c r="CR38" s="1834" t="str">
        <f>IFERROR(INDEX(N_Bedarf!$CE$2:$CE$141,_xlfn.AGGREGATE(15,6,(ROW(N_Bedarf!$CE$2:$CE$141)-1)/(--(SEARCH(CS$2,N_Bedarf!$CE$2:$CE$141)&gt;0)),ROW()-2),1),"")</f>
        <v>Sojabohne</v>
      </c>
      <c r="CS38" s="1836"/>
      <c r="CT38" s="1834" t="str">
        <f>IFERROR(INDEX(N_Bedarf!$CE$2:$CE$141,_xlfn.AGGREGATE(15,6,(ROW(N_Bedarf!$CE$2:$CE$141)-1)/(--(SEARCH(CU$2,N_Bedarf!$CE$2:$CE$141)&gt;0)),ROW()-2),1),"")</f>
        <v>Sojabohne</v>
      </c>
      <c r="CU38" s="1836"/>
      <c r="CV38" s="1834" t="str">
        <f>IFERROR(INDEX(N_Bedarf!$CE$2:$CE$141,_xlfn.AGGREGATE(15,6,(ROW(N_Bedarf!$CE$2:$CE$141)-1)/(--(SEARCH(CW$2,N_Bedarf!$CE$2:$CE$141)&gt;0)),ROW()-2),1),"")</f>
        <v>Sojabohne</v>
      </c>
      <c r="CW38" s="1836"/>
      <c r="CX38" s="1834" t="str">
        <f>IFERROR(INDEX(N_Bedarf!$CE$2:$CE$141,_xlfn.AGGREGATE(15,6,(ROW(N_Bedarf!$CE$2:$CE$141)-1)/(--(SEARCH(CY$2,N_Bedarf!$CE$2:$CE$141)&gt;0)),ROW()-2),1),"")</f>
        <v>Sojabohne</v>
      </c>
      <c r="CY38" s="1836"/>
      <c r="CZ38" s="1834" t="str">
        <f>IFERROR(INDEX(N_Bedarf!$CE$2:$CE$141,_xlfn.AGGREGATE(15,6,(ROW(N_Bedarf!$CE$2:$CE$141)-1)/(--(SEARCH(DA$2,N_Bedarf!$CE$2:$CE$141)&gt;0)),ROW()-2),1),"")</f>
        <v>Sojabohne</v>
      </c>
      <c r="DA38" s="1836"/>
      <c r="DB38" s="1834" t="str">
        <f>IFERROR(INDEX(N_Bedarf!$CE$2:$CE$141,_xlfn.AGGREGATE(15,6,(ROW(N_Bedarf!$CE$2:$CE$141)-1)/(--(SEARCH(DC$2,N_Bedarf!$CE$2:$CE$141)&gt;0)),ROW()-2),1),"")</f>
        <v>Sojabohne</v>
      </c>
      <c r="DC38" s="1836"/>
      <c r="DD38" s="1834" t="str">
        <f>IFERROR(INDEX(N_Bedarf!$CE$2:$CE$141,_xlfn.AGGREGATE(15,6,(ROW(N_Bedarf!$CE$2:$CE$141)-1)/(--(SEARCH(DE$2,N_Bedarf!$CE$2:$CE$141)&gt;0)),ROW()-2),1),"")</f>
        <v>Sojabohne</v>
      </c>
      <c r="DE38" s="1836"/>
      <c r="DF38" s="2353" t="str">
        <f t="array" ref="DF38">IFERROR(INDEX(N_Bedarf!$CE$2:$CE$141,_xlfn.AGGREGATE(15,6,(ROW(N_Bedarf!$CE$2:$CE$141)-1)/(--(SEARCH(DG$2,N_Bedarf!$CE$2:$CE$141)&gt;0)),ROW()-2),1),"")</f>
        <v>Sojabohne</v>
      </c>
      <c r="DG38" s="2353"/>
      <c r="DH38" s="2355" t="str">
        <f t="array" ref="DH38">IFERROR(INDEX(N_Bedarf!$CE$2:$CE$141,_xlfn.AGGREGATE(15,6,(ROW(N_Bedarf!$CE$2:$CE$141)-1)/(--(SEARCH(DI$2,N_Bedarf!$CE$2:$CE$141)&gt;0)),ROW()-2),1),"")</f>
        <v>Sojabohne</v>
      </c>
      <c r="DI38" s="2355"/>
      <c r="DJ38" s="2356" t="str">
        <f t="array" ref="DJ38">IFERROR(INDEX(N_Bedarf!$CE$2:$CE$141,_xlfn.AGGREGATE(15,6,(ROW(N_Bedarf!$CE$2:$CE$141)-1)/(--(SEARCH(DK$2,N_Bedarf!$CE$2:$CE$141)&gt;0)),ROW()-2),1),"")</f>
        <v>Sojabohne</v>
      </c>
      <c r="DK38" s="2356"/>
      <c r="DL38" s="2356" t="str">
        <f t="array" ref="DL38">IFERROR(INDEX(N_Bedarf!$CE$2:$CE$141,_xlfn.AGGREGATE(15,6,(ROW(N_Bedarf!$CE$2:$CE$141)-1)/(--(SEARCH(DM$2,N_Bedarf!$CE$2:$CE$141)&gt;0)),ROW()-2),1),"")</f>
        <v>Sojabohne</v>
      </c>
      <c r="DM38" s="2356"/>
      <c r="DN38" s="2356" t="str">
        <f t="array" ref="DN38">IFERROR(INDEX(N_Bedarf!$CE$2:$CE$141,_xlfn.AGGREGATE(15,6,(ROW(N_Bedarf!$CE$2:$CE$141)-1)/(--(SEARCH(DO$2,N_Bedarf!$CE$2:$CE$141)&gt;0)),ROW()-2),1),"")</f>
        <v>Sojabohne</v>
      </c>
      <c r="DO38" s="2356"/>
      <c r="DP38" s="2356" t="str">
        <f t="array" ref="DP38">IFERROR(INDEX(N_Bedarf!$CE$2:$CE$141,_xlfn.AGGREGATE(15,6,(ROW(N_Bedarf!$CE$2:$CE$141)-1)/(--(SEARCH(DQ$2,N_Bedarf!$CE$2:$CE$141)&gt;0)),ROW()-2),1),"")</f>
        <v>Sojabohne</v>
      </c>
      <c r="DQ38" s="2356"/>
      <c r="DR38" s="2356" t="str">
        <f t="array" ref="DR38">IFERROR(INDEX(N_Bedarf!$CE$2:$CE$141,_xlfn.AGGREGATE(15,6,(ROW(N_Bedarf!$CE$2:$CE$141)-1)/(--(SEARCH(DS$2,N_Bedarf!$CE$2:$CE$141)&gt;0)),ROW()-2),1),"")</f>
        <v>Sojabohne</v>
      </c>
      <c r="DS38" s="2356"/>
      <c r="DT38" s="2356" t="str">
        <f t="array" ref="DT38">IFERROR(INDEX(N_Bedarf!$CE$2:$CE$141,_xlfn.AGGREGATE(15,6,(ROW(N_Bedarf!$CE$2:$CE$141)-1)/(--(SEARCH(DU$2,N_Bedarf!$CE$2:$CE$141)&gt;0)),ROW()-2),1),"")</f>
        <v>Sojabohne</v>
      </c>
      <c r="DU38" s="2356"/>
      <c r="DV38" s="2356" t="str">
        <f t="array" ref="DV38">IFERROR(INDEX(N_Bedarf!$CE$2:$CE$141,_xlfn.AGGREGATE(15,6,(ROW(N_Bedarf!$CE$2:$CE$141)-1)/(--(SEARCH(DW$2,N_Bedarf!$CE$2:$CE$141)&gt;0)),ROW()-2),1),"")</f>
        <v>Sojabohne</v>
      </c>
      <c r="DW38" s="2356"/>
      <c r="DX38" s="2356" t="str">
        <f t="array" ref="DX38">IFERROR(INDEX(N_Bedarf!$CE$2:$CE$141,_xlfn.AGGREGATE(15,6,(ROW(N_Bedarf!$CE$2:$CE$141)-1)/(--(SEARCH(DY$2,N_Bedarf!$CE$2:$CE$141)&gt;0)),ROW()-2),1),"")</f>
        <v>Sojabohne</v>
      </c>
      <c r="DY38" s="2356"/>
      <c r="DZ38" s="2356" t="str">
        <f t="array" ref="DZ38">IFERROR(INDEX(N_Bedarf!$CE$2:$CE$141,_xlfn.AGGREGATE(15,6,(ROW(N_Bedarf!$CE$2:$CE$141)-1)/(--(SEARCH(EA$2,N_Bedarf!$CE$2:$CE$141)&gt;0)),ROW()-2),1),"")</f>
        <v>Sojabohne</v>
      </c>
      <c r="EA38" s="2356"/>
      <c r="EB38" s="2356" t="str">
        <f t="array" ref="EB38">IFERROR(INDEX(N_Bedarf!$CE$2:$CE$141,_xlfn.AGGREGATE(15,6,(ROW(N_Bedarf!$CE$2:$CE$141)-1)/(--(SEARCH(EC$2,N_Bedarf!$CE$2:$CE$141)&gt;0)),ROW()-2),1),"")</f>
        <v>Sojabohne</v>
      </c>
      <c r="EC38" s="2356"/>
      <c r="ED38"/>
      <c r="EE38"/>
      <c r="EF38"/>
      <c r="EG38"/>
      <c r="EH38"/>
      <c r="EI38"/>
      <c r="EJ38"/>
      <c r="EK38"/>
      <c r="EL38"/>
      <c r="EM38"/>
      <c r="EN38"/>
      <c r="EO38"/>
      <c r="EP38"/>
      <c r="EQ38"/>
      <c r="ER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row>
    <row r="39" spans="1:291" ht="27" customHeight="1" thickTop="1" thickBot="1">
      <c r="A39" s="156"/>
      <c r="B39" s="156"/>
      <c r="C39" s="2454"/>
      <c r="D39" s="2455"/>
      <c r="E39" s="912"/>
      <c r="F39" s="913"/>
      <c r="G39" s="1916" t="str">
        <f t="shared" si="9"/>
        <v/>
      </c>
      <c r="H39" s="2296"/>
      <c r="I39" s="914">
        <f t="shared" si="22"/>
        <v>0</v>
      </c>
      <c r="J39" s="2297">
        <f t="shared" si="23"/>
        <v>0</v>
      </c>
      <c r="K39" s="2299"/>
      <c r="L39" s="915">
        <f t="shared" si="24"/>
        <v>0</v>
      </c>
      <c r="M39" s="2357">
        <f t="shared" si="25"/>
        <v>0</v>
      </c>
      <c r="AO39" s="156"/>
      <c r="AP39" s="1568" t="str">
        <f t="shared" si="3"/>
        <v/>
      </c>
      <c r="AQ39" s="472">
        <f t="shared" si="14"/>
        <v>0</v>
      </c>
      <c r="AR39" s="472">
        <f t="shared" si="15"/>
        <v>0</v>
      </c>
      <c r="AS39" s="472">
        <f t="shared" si="16"/>
        <v>0</v>
      </c>
      <c r="AT39" s="472">
        <f t="shared" si="17"/>
        <v>0</v>
      </c>
      <c r="AU39" s="472">
        <f t="shared" si="18"/>
        <v>0</v>
      </c>
      <c r="AV39" s="472">
        <f t="shared" si="19"/>
        <v>0</v>
      </c>
      <c r="AW39" s="472">
        <f t="shared" si="20"/>
        <v>0</v>
      </c>
      <c r="AX39" s="1722" t="s">
        <v>1716</v>
      </c>
      <c r="AY39" s="681">
        <v>110</v>
      </c>
      <c r="AZ39" s="681">
        <v>100</v>
      </c>
      <c r="BA39" s="681" t="s">
        <v>2652</v>
      </c>
      <c r="BB39" s="681">
        <v>155</v>
      </c>
      <c r="BC39" s="681">
        <v>140</v>
      </c>
      <c r="BD39" s="681" t="s">
        <v>2656</v>
      </c>
      <c r="BE39" s="681">
        <v>180</v>
      </c>
      <c r="BF39" s="681">
        <v>160</v>
      </c>
      <c r="BG39" s="681" t="s">
        <v>2660</v>
      </c>
      <c r="BH39" s="681">
        <v>195</v>
      </c>
      <c r="BI39" s="681">
        <v>175</v>
      </c>
      <c r="BJ39" s="681" t="s">
        <v>2659</v>
      </c>
      <c r="BK39" s="681">
        <v>210</v>
      </c>
      <c r="BL39" s="681">
        <v>190</v>
      </c>
      <c r="BM39" s="681" t="s">
        <v>2602</v>
      </c>
      <c r="BN39" s="471">
        <v>33</v>
      </c>
      <c r="BO39" s="821" t="s">
        <v>1764</v>
      </c>
      <c r="BP39"/>
      <c r="BQ39" s="1722" t="s">
        <v>1716</v>
      </c>
      <c r="BR39" s="470">
        <v>70</v>
      </c>
      <c r="BS39" s="470">
        <v>75</v>
      </c>
      <c r="BT39" s="470">
        <v>85</v>
      </c>
      <c r="BU39" s="426"/>
      <c r="BV39" s="1722" t="s">
        <v>1716</v>
      </c>
      <c r="BW39" s="470">
        <v>180</v>
      </c>
      <c r="BX39" s="470">
        <v>200</v>
      </c>
      <c r="BY39" s="470">
        <v>230</v>
      </c>
      <c r="CA39" s="397"/>
      <c r="CB39"/>
      <c r="CC39"/>
      <c r="CD39"/>
      <c r="CE39" s="1835" t="s">
        <v>1819</v>
      </c>
      <c r="CF39" s="1834" t="str">
        <f>IFERROR(INDEX(N_Bedarf!$CE$2:$CE$141,_xlfn.AGGREGATE(15,6,(ROW(N_Bedarf!$CE$2:$CE$141)-1)/(--(SEARCH(CG$2,N_Bedarf!$CE$2:$CE$141)&gt;0)),ROW()-2),1),"")</f>
        <v>Sommerackerbohnen</v>
      </c>
      <c r="CG39" s="1830"/>
      <c r="CH39" s="1834" t="str">
        <f>IFERROR(INDEX(N_Bedarf!$CE$2:$CE$141,_xlfn.AGGREGATE(15,6,(ROW(N_Bedarf!$CE$2:$CE$141)-1)/(--(SEARCH(CI$2,N_Bedarf!$CE$2:$CE$141)&gt;0)),ROW()-2),1),"")</f>
        <v>Sommerackerbohnen</v>
      </c>
      <c r="CI39" s="1830"/>
      <c r="CJ39" s="1834" t="str">
        <f>IFERROR(INDEX(N_Bedarf!$CE$2:$CE$141,_xlfn.AGGREGATE(15,6,(ROW(N_Bedarf!$CE$2:$CE$141)-1)/(--(SEARCH(CK$2,N_Bedarf!$CE$2:$CE$141)&gt;0)),ROW()-2),1),"")</f>
        <v>Sommerackerbohnen</v>
      </c>
      <c r="CK39" s="1830"/>
      <c r="CL39" s="1834" t="str">
        <f>IFERROR(INDEX(N_Bedarf!$CE$2:$CE$141,_xlfn.AGGREGATE(15,6,(ROW(N_Bedarf!$CE$2:$CE$141)-1)/(--(SEARCH(CM$2,N_Bedarf!$CE$2:$CE$141)&gt;0)),ROW()-2),1),"")</f>
        <v>Sommerackerbohnen</v>
      </c>
      <c r="CM39" s="1830"/>
      <c r="CN39" s="1834" t="str">
        <f>IFERROR(INDEX(N_Bedarf!$CE$2:$CE$141,_xlfn.AGGREGATE(15,6,(ROW(N_Bedarf!$CE$2:$CE$141)-1)/(--(SEARCH(CO$2,N_Bedarf!$CE$2:$CE$141)&gt;0)),ROW()-2),1),"")</f>
        <v>Sommerackerbohnen</v>
      </c>
      <c r="CO39" s="1830"/>
      <c r="CP39" s="1834" t="str">
        <f>IFERROR(INDEX(N_Bedarf!$CE$2:$CE$141,_xlfn.AGGREGATE(15,6,(ROW(N_Bedarf!$CE$2:$CE$141)-1)/(--(SEARCH(CQ$2,N_Bedarf!$CE$2:$CE$141)&gt;0)),ROW()-2),1),"")</f>
        <v>Sommerackerbohnen</v>
      </c>
      <c r="CQ39" s="1830"/>
      <c r="CR39" s="1834" t="str">
        <f>IFERROR(INDEX(N_Bedarf!$CE$2:$CE$141,_xlfn.AGGREGATE(15,6,(ROW(N_Bedarf!$CE$2:$CE$141)-1)/(--(SEARCH(CS$2,N_Bedarf!$CE$2:$CE$141)&gt;0)),ROW()-2),1),"")</f>
        <v>Sommerackerbohnen</v>
      </c>
      <c r="CS39" s="1830"/>
      <c r="CT39" s="1834" t="str">
        <f>IFERROR(INDEX(N_Bedarf!$CE$2:$CE$141,_xlfn.AGGREGATE(15,6,(ROW(N_Bedarf!$CE$2:$CE$141)-1)/(--(SEARCH(CU$2,N_Bedarf!$CE$2:$CE$141)&gt;0)),ROW()-2),1),"")</f>
        <v>Sommerackerbohnen</v>
      </c>
      <c r="CU39" s="1830"/>
      <c r="CV39" s="1834" t="str">
        <f>IFERROR(INDEX(N_Bedarf!$CE$2:$CE$141,_xlfn.AGGREGATE(15,6,(ROW(N_Bedarf!$CE$2:$CE$141)-1)/(--(SEARCH(CW$2,N_Bedarf!$CE$2:$CE$141)&gt;0)),ROW()-2),1),"")</f>
        <v>Sommerackerbohnen</v>
      </c>
      <c r="CW39" s="1830"/>
      <c r="CX39" s="1834" t="str">
        <f>IFERROR(INDEX(N_Bedarf!$CE$2:$CE$141,_xlfn.AGGREGATE(15,6,(ROW(N_Bedarf!$CE$2:$CE$141)-1)/(--(SEARCH(CY$2,N_Bedarf!$CE$2:$CE$141)&gt;0)),ROW()-2),1),"")</f>
        <v>Sommerackerbohnen</v>
      </c>
      <c r="CY39" s="1830"/>
      <c r="CZ39" s="1834" t="str">
        <f>IFERROR(INDEX(N_Bedarf!$CE$2:$CE$141,_xlfn.AGGREGATE(15,6,(ROW(N_Bedarf!$CE$2:$CE$141)-1)/(--(SEARCH(DA$2,N_Bedarf!$CE$2:$CE$141)&gt;0)),ROW()-2),1),"")</f>
        <v>Sommerackerbohnen</v>
      </c>
      <c r="DA39" s="1830"/>
      <c r="DB39" s="1834" t="str">
        <f>IFERROR(INDEX(N_Bedarf!$CE$2:$CE$141,_xlfn.AGGREGATE(15,6,(ROW(N_Bedarf!$CE$2:$CE$141)-1)/(--(SEARCH(DC$2,N_Bedarf!$CE$2:$CE$141)&gt;0)),ROW()-2),1),"")</f>
        <v>Sommerackerbohnen</v>
      </c>
      <c r="DC39" s="1830"/>
      <c r="DD39" s="1834" t="str">
        <f>IFERROR(INDEX(N_Bedarf!$CE$2:$CE$141,_xlfn.AGGREGATE(15,6,(ROW(N_Bedarf!$CE$2:$CE$141)-1)/(--(SEARCH(DE$2,N_Bedarf!$CE$2:$CE$141)&gt;0)),ROW()-2),1),"")</f>
        <v>Sommerackerbohnen</v>
      </c>
      <c r="DE39" s="1830"/>
      <c r="DF39" s="2353" t="str">
        <f t="array" ref="DF39">IFERROR(INDEX(N_Bedarf!$CE$2:$CE$141,_xlfn.AGGREGATE(15,6,(ROW(N_Bedarf!$CE$2:$CE$141)-1)/(--(SEARCH(DG$2,N_Bedarf!$CE$2:$CE$141)&gt;0)),ROW()-2),1),"")</f>
        <v>Sommerackerbohnen</v>
      </c>
      <c r="DG39" s="2353"/>
      <c r="DH39" s="2355" t="str">
        <f t="array" ref="DH39">IFERROR(INDEX(N_Bedarf!$CE$2:$CE$141,_xlfn.AGGREGATE(15,6,(ROW(N_Bedarf!$CE$2:$CE$141)-1)/(--(SEARCH(DI$2,N_Bedarf!$CE$2:$CE$141)&gt;0)),ROW()-2),1),"")</f>
        <v>Sommerackerbohnen</v>
      </c>
      <c r="DI39" s="2355"/>
      <c r="DJ39" s="2356" t="str">
        <f t="array" ref="DJ39">IFERROR(INDEX(N_Bedarf!$CE$2:$CE$141,_xlfn.AGGREGATE(15,6,(ROW(N_Bedarf!$CE$2:$CE$141)-1)/(--(SEARCH(DK$2,N_Bedarf!$CE$2:$CE$141)&gt;0)),ROW()-2),1),"")</f>
        <v>Sommerackerbohnen</v>
      </c>
      <c r="DK39" s="2356"/>
      <c r="DL39" s="2356" t="str">
        <f t="array" ref="DL39">IFERROR(INDEX(N_Bedarf!$CE$2:$CE$141,_xlfn.AGGREGATE(15,6,(ROW(N_Bedarf!$CE$2:$CE$141)-1)/(--(SEARCH(DM$2,N_Bedarf!$CE$2:$CE$141)&gt;0)),ROW()-2),1),"")</f>
        <v>Sommerackerbohnen</v>
      </c>
      <c r="DM39" s="2356"/>
      <c r="DN39" s="2356" t="str">
        <f t="array" ref="DN39">IFERROR(INDEX(N_Bedarf!$CE$2:$CE$141,_xlfn.AGGREGATE(15,6,(ROW(N_Bedarf!$CE$2:$CE$141)-1)/(--(SEARCH(DO$2,N_Bedarf!$CE$2:$CE$141)&gt;0)),ROW()-2),1),"")</f>
        <v>Sommerackerbohnen</v>
      </c>
      <c r="DO39" s="2356"/>
      <c r="DP39" s="2356" t="str">
        <f t="array" ref="DP39">IFERROR(INDEX(N_Bedarf!$CE$2:$CE$141,_xlfn.AGGREGATE(15,6,(ROW(N_Bedarf!$CE$2:$CE$141)-1)/(--(SEARCH(DQ$2,N_Bedarf!$CE$2:$CE$141)&gt;0)),ROW()-2),1),"")</f>
        <v>Sommerackerbohnen</v>
      </c>
      <c r="DQ39" s="2356"/>
      <c r="DR39" s="2356" t="str">
        <f t="array" ref="DR39">IFERROR(INDEX(N_Bedarf!$CE$2:$CE$141,_xlfn.AGGREGATE(15,6,(ROW(N_Bedarf!$CE$2:$CE$141)-1)/(--(SEARCH(DS$2,N_Bedarf!$CE$2:$CE$141)&gt;0)),ROW()-2),1),"")</f>
        <v>Sommerackerbohnen</v>
      </c>
      <c r="DS39" s="2356"/>
      <c r="DT39" s="2356" t="str">
        <f t="array" ref="DT39">IFERROR(INDEX(N_Bedarf!$CE$2:$CE$141,_xlfn.AGGREGATE(15,6,(ROW(N_Bedarf!$CE$2:$CE$141)-1)/(--(SEARCH(DU$2,N_Bedarf!$CE$2:$CE$141)&gt;0)),ROW()-2),1),"")</f>
        <v>Sommerackerbohnen</v>
      </c>
      <c r="DU39" s="2356"/>
      <c r="DV39" s="2356" t="str">
        <f t="array" ref="DV39">IFERROR(INDEX(N_Bedarf!$CE$2:$CE$141,_xlfn.AGGREGATE(15,6,(ROW(N_Bedarf!$CE$2:$CE$141)-1)/(--(SEARCH(DW$2,N_Bedarf!$CE$2:$CE$141)&gt;0)),ROW()-2),1),"")</f>
        <v>Sommerackerbohnen</v>
      </c>
      <c r="DW39" s="2356"/>
      <c r="DX39" s="2356" t="str">
        <f t="array" ref="DX39">IFERROR(INDEX(N_Bedarf!$CE$2:$CE$141,_xlfn.AGGREGATE(15,6,(ROW(N_Bedarf!$CE$2:$CE$141)-1)/(--(SEARCH(DY$2,N_Bedarf!$CE$2:$CE$141)&gt;0)),ROW()-2),1),"")</f>
        <v>Sommerackerbohnen</v>
      </c>
      <c r="DY39" s="2356"/>
      <c r="DZ39" s="2356" t="str">
        <f t="array" ref="DZ39">IFERROR(INDEX(N_Bedarf!$CE$2:$CE$141,_xlfn.AGGREGATE(15,6,(ROW(N_Bedarf!$CE$2:$CE$141)-1)/(--(SEARCH(EA$2,N_Bedarf!$CE$2:$CE$141)&gt;0)),ROW()-2),1),"")</f>
        <v>Sommerackerbohnen</v>
      </c>
      <c r="EA39" s="2356"/>
      <c r="EB39" s="2356" t="str">
        <f t="array" ref="EB39">IFERROR(INDEX(N_Bedarf!$CE$2:$CE$141,_xlfn.AGGREGATE(15,6,(ROW(N_Bedarf!$CE$2:$CE$141)-1)/(--(SEARCH(EC$2,N_Bedarf!$CE$2:$CE$141)&gt;0)),ROW()-2),1),"")</f>
        <v>Sommerackerbohnen</v>
      </c>
      <c r="EC39" s="2356"/>
      <c r="ED39"/>
      <c r="EE39"/>
      <c r="EF39"/>
      <c r="EG39"/>
      <c r="EH39"/>
      <c r="EI39"/>
      <c r="EJ39"/>
      <c r="EK39"/>
      <c r="EL39"/>
      <c r="EM39"/>
      <c r="EN39"/>
      <c r="EO39"/>
      <c r="EP39"/>
      <c r="EQ39"/>
      <c r="ER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row>
    <row r="40" spans="1:291" ht="27" customHeight="1" thickTop="1" thickBot="1">
      <c r="A40" s="156"/>
      <c r="B40" s="156"/>
      <c r="C40" s="2454"/>
      <c r="D40" s="2455"/>
      <c r="E40" s="912"/>
      <c r="F40" s="913"/>
      <c r="G40" s="1916" t="str">
        <f t="shared" si="9"/>
        <v/>
      </c>
      <c r="H40" s="2296"/>
      <c r="I40" s="914">
        <f t="shared" si="22"/>
        <v>0</v>
      </c>
      <c r="J40" s="2297">
        <f t="shared" si="23"/>
        <v>0</v>
      </c>
      <c r="K40" s="2299"/>
      <c r="L40" s="915">
        <f t="shared" si="24"/>
        <v>0</v>
      </c>
      <c r="M40" s="2357">
        <f t="shared" si="25"/>
        <v>0</v>
      </c>
      <c r="AO40" s="156"/>
      <c r="AP40" s="1568" t="str">
        <f t="shared" si="3"/>
        <v/>
      </c>
      <c r="AQ40" s="472">
        <f t="shared" si="14"/>
        <v>0</v>
      </c>
      <c r="AR40" s="472">
        <f t="shared" si="15"/>
        <v>0</v>
      </c>
      <c r="AS40" s="472">
        <f t="shared" si="16"/>
        <v>0</v>
      </c>
      <c r="AT40" s="472">
        <f t="shared" si="17"/>
        <v>0</v>
      </c>
      <c r="AU40" s="472">
        <f t="shared" si="18"/>
        <v>0</v>
      </c>
      <c r="AV40" s="472">
        <f t="shared" si="19"/>
        <v>0</v>
      </c>
      <c r="AW40" s="472">
        <f t="shared" si="20"/>
        <v>0</v>
      </c>
      <c r="AX40" s="1722" t="s">
        <v>1710</v>
      </c>
      <c r="AY40" s="681">
        <v>60</v>
      </c>
      <c r="AZ40" s="681">
        <v>50</v>
      </c>
      <c r="BA40" s="681" t="s">
        <v>2655</v>
      </c>
      <c r="BB40" s="681">
        <v>60</v>
      </c>
      <c r="BC40" s="681">
        <v>50</v>
      </c>
      <c r="BD40" s="681" t="s">
        <v>2657</v>
      </c>
      <c r="BE40" s="681">
        <v>60</v>
      </c>
      <c r="BF40" s="681">
        <v>50</v>
      </c>
      <c r="BG40" s="681" t="s">
        <v>2576</v>
      </c>
      <c r="BH40" s="681">
        <v>60</v>
      </c>
      <c r="BI40" s="681">
        <v>50</v>
      </c>
      <c r="BJ40" s="681" t="s">
        <v>2576</v>
      </c>
      <c r="BK40" s="681">
        <v>60</v>
      </c>
      <c r="BL40" s="681">
        <v>50</v>
      </c>
      <c r="BM40" s="681" t="s">
        <v>2576</v>
      </c>
      <c r="BN40" s="471">
        <v>0</v>
      </c>
      <c r="BO40" s="821" t="s">
        <v>1764</v>
      </c>
      <c r="BP40"/>
      <c r="BQ40" s="1722" t="s">
        <v>1710</v>
      </c>
      <c r="BR40" s="470">
        <v>60</v>
      </c>
      <c r="BS40" s="470">
        <v>65</v>
      </c>
      <c r="BT40" s="470">
        <v>75</v>
      </c>
      <c r="BU40" s="426"/>
      <c r="BV40" s="1722" t="s">
        <v>1710</v>
      </c>
      <c r="BW40" s="470">
        <v>80</v>
      </c>
      <c r="BX40" s="470">
        <v>90</v>
      </c>
      <c r="BY40" s="470">
        <v>105</v>
      </c>
      <c r="CA40" s="397"/>
      <c r="CB40"/>
      <c r="CC40"/>
      <c r="CD40"/>
      <c r="CE40" s="1833" t="s">
        <v>1798</v>
      </c>
      <c r="CF40" s="1834" t="str">
        <f>IFERROR(INDEX(N_Bedarf!$CE$2:$CE$141,_xlfn.AGGREGATE(15,6,(ROW(N_Bedarf!$CE$2:$CE$141)-1)/(--(SEARCH(CG$2,N_Bedarf!$CE$2:$CE$141)&gt;0)),ROW()-2),1),"")</f>
        <v>Winterackerbohnen</v>
      </c>
      <c r="CG40" s="1836"/>
      <c r="CH40" s="1834" t="str">
        <f>IFERROR(INDEX(N_Bedarf!$CE$2:$CE$141,_xlfn.AGGREGATE(15,6,(ROW(N_Bedarf!$CE$2:$CE$141)-1)/(--(SEARCH(CI$2,N_Bedarf!$CE$2:$CE$141)&gt;0)),ROW()-2),1),"")</f>
        <v>Winterackerbohnen</v>
      </c>
      <c r="CI40" s="1836"/>
      <c r="CJ40" s="1834" t="str">
        <f>IFERROR(INDEX(N_Bedarf!$CE$2:$CE$141,_xlfn.AGGREGATE(15,6,(ROW(N_Bedarf!$CE$2:$CE$141)-1)/(--(SEARCH(CK$2,N_Bedarf!$CE$2:$CE$141)&gt;0)),ROW()-2),1),"")</f>
        <v>Winterackerbohnen</v>
      </c>
      <c r="CK40" s="1836"/>
      <c r="CL40" s="1834" t="str">
        <f>IFERROR(INDEX(N_Bedarf!$CE$2:$CE$141,_xlfn.AGGREGATE(15,6,(ROW(N_Bedarf!$CE$2:$CE$141)-1)/(--(SEARCH(CM$2,N_Bedarf!$CE$2:$CE$141)&gt;0)),ROW()-2),1),"")</f>
        <v>Winterackerbohnen</v>
      </c>
      <c r="CM40" s="1836"/>
      <c r="CN40" s="1834" t="str">
        <f>IFERROR(INDEX(N_Bedarf!$CE$2:$CE$141,_xlfn.AGGREGATE(15,6,(ROW(N_Bedarf!$CE$2:$CE$141)-1)/(--(SEARCH(CO$2,N_Bedarf!$CE$2:$CE$141)&gt;0)),ROW()-2),1),"")</f>
        <v>Winterackerbohnen</v>
      </c>
      <c r="CO40" s="1836"/>
      <c r="CP40" s="1834" t="str">
        <f>IFERROR(INDEX(N_Bedarf!$CE$2:$CE$141,_xlfn.AGGREGATE(15,6,(ROW(N_Bedarf!$CE$2:$CE$141)-1)/(--(SEARCH(CQ$2,N_Bedarf!$CE$2:$CE$141)&gt;0)),ROW()-2),1),"")</f>
        <v>Winterackerbohnen</v>
      </c>
      <c r="CQ40" s="1836"/>
      <c r="CR40" s="1834" t="str">
        <f>IFERROR(INDEX(N_Bedarf!$CE$2:$CE$141,_xlfn.AGGREGATE(15,6,(ROW(N_Bedarf!$CE$2:$CE$141)-1)/(--(SEARCH(CS$2,N_Bedarf!$CE$2:$CE$141)&gt;0)),ROW()-2),1),"")</f>
        <v>Winterackerbohnen</v>
      </c>
      <c r="CS40" s="1836"/>
      <c r="CT40" s="1834" t="str">
        <f>IFERROR(INDEX(N_Bedarf!$CE$2:$CE$141,_xlfn.AGGREGATE(15,6,(ROW(N_Bedarf!$CE$2:$CE$141)-1)/(--(SEARCH(CU$2,N_Bedarf!$CE$2:$CE$141)&gt;0)),ROW()-2),1),"")</f>
        <v>Winterackerbohnen</v>
      </c>
      <c r="CU40" s="1836"/>
      <c r="CV40" s="1834" t="str">
        <f>IFERROR(INDEX(N_Bedarf!$CE$2:$CE$141,_xlfn.AGGREGATE(15,6,(ROW(N_Bedarf!$CE$2:$CE$141)-1)/(--(SEARCH(CW$2,N_Bedarf!$CE$2:$CE$141)&gt;0)),ROW()-2),1),"")</f>
        <v>Winterackerbohnen</v>
      </c>
      <c r="CW40" s="1836"/>
      <c r="CX40" s="1834" t="str">
        <f>IFERROR(INDEX(N_Bedarf!$CE$2:$CE$141,_xlfn.AGGREGATE(15,6,(ROW(N_Bedarf!$CE$2:$CE$141)-1)/(--(SEARCH(CY$2,N_Bedarf!$CE$2:$CE$141)&gt;0)),ROW()-2),1),"")</f>
        <v>Winterackerbohnen</v>
      </c>
      <c r="CY40" s="1836"/>
      <c r="CZ40" s="1834" t="str">
        <f>IFERROR(INDEX(N_Bedarf!$CE$2:$CE$141,_xlfn.AGGREGATE(15,6,(ROW(N_Bedarf!$CE$2:$CE$141)-1)/(--(SEARCH(DA$2,N_Bedarf!$CE$2:$CE$141)&gt;0)),ROW()-2),1),"")</f>
        <v>Winterackerbohnen</v>
      </c>
      <c r="DA40" s="1836"/>
      <c r="DB40" s="1834" t="str">
        <f>IFERROR(INDEX(N_Bedarf!$CE$2:$CE$141,_xlfn.AGGREGATE(15,6,(ROW(N_Bedarf!$CE$2:$CE$141)-1)/(--(SEARCH(DC$2,N_Bedarf!$CE$2:$CE$141)&gt;0)),ROW()-2),1),"")</f>
        <v>Winterackerbohnen</v>
      </c>
      <c r="DC40" s="1836"/>
      <c r="DD40" s="1834" t="str">
        <f>IFERROR(INDEX(N_Bedarf!$CE$2:$CE$141,_xlfn.AGGREGATE(15,6,(ROW(N_Bedarf!$CE$2:$CE$141)-1)/(--(SEARCH(DE$2,N_Bedarf!$CE$2:$CE$141)&gt;0)),ROW()-2),1),"")</f>
        <v>Winterackerbohnen</v>
      </c>
      <c r="DE40" s="1836"/>
      <c r="DF40" s="2353" t="str">
        <f t="array" ref="DF40">IFERROR(INDEX(N_Bedarf!$CE$2:$CE$141,_xlfn.AGGREGATE(15,6,(ROW(N_Bedarf!$CE$2:$CE$141)-1)/(--(SEARCH(DG$2,N_Bedarf!$CE$2:$CE$141)&gt;0)),ROW()-2),1),"")</f>
        <v>Winterackerbohnen</v>
      </c>
      <c r="DG40" s="2353"/>
      <c r="DH40" s="2355" t="str">
        <f t="array" ref="DH40">IFERROR(INDEX(N_Bedarf!$CE$2:$CE$141,_xlfn.AGGREGATE(15,6,(ROW(N_Bedarf!$CE$2:$CE$141)-1)/(--(SEARCH(DI$2,N_Bedarf!$CE$2:$CE$141)&gt;0)),ROW()-2),1),"")</f>
        <v>Winterackerbohnen</v>
      </c>
      <c r="DI40" s="2355"/>
      <c r="DJ40" s="2356" t="str">
        <f t="array" ref="DJ40">IFERROR(INDEX(N_Bedarf!$CE$2:$CE$141,_xlfn.AGGREGATE(15,6,(ROW(N_Bedarf!$CE$2:$CE$141)-1)/(--(SEARCH(DK$2,N_Bedarf!$CE$2:$CE$141)&gt;0)),ROW()-2),1),"")</f>
        <v>Winterackerbohnen</v>
      </c>
      <c r="DK40" s="2356"/>
      <c r="DL40" s="2356" t="str">
        <f t="array" ref="DL40">IFERROR(INDEX(N_Bedarf!$CE$2:$CE$141,_xlfn.AGGREGATE(15,6,(ROW(N_Bedarf!$CE$2:$CE$141)-1)/(--(SEARCH(DM$2,N_Bedarf!$CE$2:$CE$141)&gt;0)),ROW()-2),1),"")</f>
        <v>Winterackerbohnen</v>
      </c>
      <c r="DM40" s="2356"/>
      <c r="DN40" s="2356" t="str">
        <f t="array" ref="DN40">IFERROR(INDEX(N_Bedarf!$CE$2:$CE$141,_xlfn.AGGREGATE(15,6,(ROW(N_Bedarf!$CE$2:$CE$141)-1)/(--(SEARCH(DO$2,N_Bedarf!$CE$2:$CE$141)&gt;0)),ROW()-2),1),"")</f>
        <v>Winterackerbohnen</v>
      </c>
      <c r="DO40" s="2356"/>
      <c r="DP40" s="2356" t="str">
        <f t="array" ref="DP40">IFERROR(INDEX(N_Bedarf!$CE$2:$CE$141,_xlfn.AGGREGATE(15,6,(ROW(N_Bedarf!$CE$2:$CE$141)-1)/(--(SEARCH(DQ$2,N_Bedarf!$CE$2:$CE$141)&gt;0)),ROW()-2),1),"")</f>
        <v>Winterackerbohnen</v>
      </c>
      <c r="DQ40" s="2356"/>
      <c r="DR40" s="2356" t="str">
        <f t="array" ref="DR40">IFERROR(INDEX(N_Bedarf!$CE$2:$CE$141,_xlfn.AGGREGATE(15,6,(ROW(N_Bedarf!$CE$2:$CE$141)-1)/(--(SEARCH(DS$2,N_Bedarf!$CE$2:$CE$141)&gt;0)),ROW()-2),1),"")</f>
        <v>Winterackerbohnen</v>
      </c>
      <c r="DS40" s="2356"/>
      <c r="DT40" s="2356" t="str">
        <f t="array" ref="DT40">IFERROR(INDEX(N_Bedarf!$CE$2:$CE$141,_xlfn.AGGREGATE(15,6,(ROW(N_Bedarf!$CE$2:$CE$141)-1)/(--(SEARCH(DU$2,N_Bedarf!$CE$2:$CE$141)&gt;0)),ROW()-2),1),"")</f>
        <v>Winterackerbohnen</v>
      </c>
      <c r="DU40" s="2356"/>
      <c r="DV40" s="2356" t="str">
        <f t="array" ref="DV40">IFERROR(INDEX(N_Bedarf!$CE$2:$CE$141,_xlfn.AGGREGATE(15,6,(ROW(N_Bedarf!$CE$2:$CE$141)-1)/(--(SEARCH(DW$2,N_Bedarf!$CE$2:$CE$141)&gt;0)),ROW()-2),1),"")</f>
        <v>Winterackerbohnen</v>
      </c>
      <c r="DW40" s="2356"/>
      <c r="DX40" s="2356" t="str">
        <f t="array" ref="DX40">IFERROR(INDEX(N_Bedarf!$CE$2:$CE$141,_xlfn.AGGREGATE(15,6,(ROW(N_Bedarf!$CE$2:$CE$141)-1)/(--(SEARCH(DY$2,N_Bedarf!$CE$2:$CE$141)&gt;0)),ROW()-2),1),"")</f>
        <v>Winterackerbohnen</v>
      </c>
      <c r="DY40" s="2356"/>
      <c r="DZ40" s="2356" t="str">
        <f t="array" ref="DZ40">IFERROR(INDEX(N_Bedarf!$CE$2:$CE$141,_xlfn.AGGREGATE(15,6,(ROW(N_Bedarf!$CE$2:$CE$141)-1)/(--(SEARCH(EA$2,N_Bedarf!$CE$2:$CE$141)&gt;0)),ROW()-2),1),"")</f>
        <v>Winterackerbohnen</v>
      </c>
      <c r="EA40" s="2356"/>
      <c r="EB40" s="2356" t="str">
        <f t="array" ref="EB40">IFERROR(INDEX(N_Bedarf!$CE$2:$CE$141,_xlfn.AGGREGATE(15,6,(ROW(N_Bedarf!$CE$2:$CE$141)-1)/(--(SEARCH(EC$2,N_Bedarf!$CE$2:$CE$141)&gt;0)),ROW()-2),1),"")</f>
        <v>Winterackerbohnen</v>
      </c>
      <c r="EC40" s="2356"/>
      <c r="ED40"/>
      <c r="EE40"/>
      <c r="EF40"/>
      <c r="EG40"/>
      <c r="EH40"/>
      <c r="EI40"/>
      <c r="EJ40"/>
      <c r="EK40"/>
      <c r="EL40"/>
      <c r="EM40"/>
      <c r="EN40"/>
      <c r="EO40"/>
      <c r="EP40"/>
      <c r="EQ40"/>
      <c r="ER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row>
    <row r="41" spans="1:291" ht="27" customHeight="1" thickTop="1" thickBot="1">
      <c r="A41" s="156"/>
      <c r="B41" s="156"/>
      <c r="C41" s="2454"/>
      <c r="D41" s="2455"/>
      <c r="E41" s="912"/>
      <c r="F41" s="913"/>
      <c r="G41" s="1916" t="str">
        <f t="shared" si="9"/>
        <v/>
      </c>
      <c r="H41" s="2296"/>
      <c r="I41" s="914">
        <f t="shared" si="22"/>
        <v>0</v>
      </c>
      <c r="J41" s="2297">
        <f t="shared" si="23"/>
        <v>0</v>
      </c>
      <c r="K41" s="2299"/>
      <c r="L41" s="915">
        <f t="shared" si="24"/>
        <v>0</v>
      </c>
      <c r="M41" s="2357">
        <f t="shared" si="25"/>
        <v>0</v>
      </c>
      <c r="AO41" s="156"/>
      <c r="AP41" s="1568" t="str">
        <f t="shared" si="3"/>
        <v/>
      </c>
      <c r="AQ41" s="472">
        <f t="shared" si="14"/>
        <v>0</v>
      </c>
      <c r="AR41" s="472">
        <f t="shared" si="15"/>
        <v>0</v>
      </c>
      <c r="AS41" s="472">
        <f t="shared" si="16"/>
        <v>0</v>
      </c>
      <c r="AT41" s="472">
        <f t="shared" si="17"/>
        <v>0</v>
      </c>
      <c r="AU41" s="472">
        <f t="shared" si="18"/>
        <v>0</v>
      </c>
      <c r="AV41" s="472">
        <f t="shared" si="19"/>
        <v>0</v>
      </c>
      <c r="AW41" s="472">
        <f t="shared" si="20"/>
        <v>0</v>
      </c>
      <c r="AX41" s="1722" t="s">
        <v>1793</v>
      </c>
      <c r="AY41" s="681">
        <v>60</v>
      </c>
      <c r="AZ41" s="681">
        <v>50</v>
      </c>
      <c r="BA41" s="681" t="s">
        <v>2655</v>
      </c>
      <c r="BB41" s="681">
        <v>60</v>
      </c>
      <c r="BC41" s="681">
        <v>50</v>
      </c>
      <c r="BD41" s="681" t="s">
        <v>2658</v>
      </c>
      <c r="BE41" s="681">
        <v>60</v>
      </c>
      <c r="BF41" s="681">
        <v>50</v>
      </c>
      <c r="BG41" s="681" t="s">
        <v>2597</v>
      </c>
      <c r="BH41" s="681">
        <v>60</v>
      </c>
      <c r="BI41" s="681">
        <v>50</v>
      </c>
      <c r="BJ41" s="681" t="s">
        <v>2597</v>
      </c>
      <c r="BK41" s="681">
        <v>60</v>
      </c>
      <c r="BL41" s="681">
        <v>50</v>
      </c>
      <c r="BM41" s="681" t="s">
        <v>2597</v>
      </c>
      <c r="BN41" s="471">
        <v>0</v>
      </c>
      <c r="BO41" s="821">
        <v>20</v>
      </c>
      <c r="BP41"/>
      <c r="BQ41" s="1722" t="s">
        <v>1793</v>
      </c>
      <c r="BR41" s="470">
        <v>60</v>
      </c>
      <c r="BS41" s="470">
        <v>65</v>
      </c>
      <c r="BT41" s="470">
        <v>75</v>
      </c>
      <c r="BU41" s="426"/>
      <c r="BV41" s="1722" t="s">
        <v>1793</v>
      </c>
      <c r="BW41" s="470">
        <v>110</v>
      </c>
      <c r="BX41" s="470">
        <v>120</v>
      </c>
      <c r="BY41" s="470">
        <v>140</v>
      </c>
      <c r="CA41" s="397"/>
      <c r="CB41"/>
      <c r="CC41"/>
      <c r="CD41"/>
      <c r="CE41" s="1835" t="s">
        <v>1822</v>
      </c>
      <c r="CF41" s="1834" t="str">
        <f>IFERROR(INDEX(N_Bedarf!$CE$2:$CE$141,_xlfn.AGGREGATE(15,6,(ROW(N_Bedarf!$CE$2:$CE$141)-1)/(--(SEARCH(CG$2,N_Bedarf!$CE$2:$CE$141)&gt;0)),ROW()-2),1),"")</f>
        <v>Sommerkörnererbsen</v>
      </c>
      <c r="CG41" s="1830"/>
      <c r="CH41" s="1834" t="str">
        <f>IFERROR(INDEX(N_Bedarf!$CE$2:$CE$141,_xlfn.AGGREGATE(15,6,(ROW(N_Bedarf!$CE$2:$CE$141)-1)/(--(SEARCH(CI$2,N_Bedarf!$CE$2:$CE$141)&gt;0)),ROW()-2),1),"")</f>
        <v>Sommerkörnererbsen</v>
      </c>
      <c r="CI41" s="1830"/>
      <c r="CJ41" s="1834" t="str">
        <f>IFERROR(INDEX(N_Bedarf!$CE$2:$CE$141,_xlfn.AGGREGATE(15,6,(ROW(N_Bedarf!$CE$2:$CE$141)-1)/(--(SEARCH(CK$2,N_Bedarf!$CE$2:$CE$141)&gt;0)),ROW()-2),1),"")</f>
        <v>Sommerkörnererbsen</v>
      </c>
      <c r="CK41" s="1830"/>
      <c r="CL41" s="1834" t="str">
        <f>IFERROR(INDEX(N_Bedarf!$CE$2:$CE$141,_xlfn.AGGREGATE(15,6,(ROW(N_Bedarf!$CE$2:$CE$141)-1)/(--(SEARCH(CM$2,N_Bedarf!$CE$2:$CE$141)&gt;0)),ROW()-2),1),"")</f>
        <v>Sommerkörnererbsen</v>
      </c>
      <c r="CM41" s="1830"/>
      <c r="CN41" s="1834" t="str">
        <f>IFERROR(INDEX(N_Bedarf!$CE$2:$CE$141,_xlfn.AGGREGATE(15,6,(ROW(N_Bedarf!$CE$2:$CE$141)-1)/(--(SEARCH(CO$2,N_Bedarf!$CE$2:$CE$141)&gt;0)),ROW()-2),1),"")</f>
        <v>Sommerkörnererbsen</v>
      </c>
      <c r="CO41" s="1830"/>
      <c r="CP41" s="1834" t="str">
        <f>IFERROR(INDEX(N_Bedarf!$CE$2:$CE$141,_xlfn.AGGREGATE(15,6,(ROW(N_Bedarf!$CE$2:$CE$141)-1)/(--(SEARCH(CQ$2,N_Bedarf!$CE$2:$CE$141)&gt;0)),ROW()-2),1),"")</f>
        <v>Sommerkörnererbsen</v>
      </c>
      <c r="CQ41" s="1830"/>
      <c r="CR41" s="1834" t="str">
        <f>IFERROR(INDEX(N_Bedarf!$CE$2:$CE$141,_xlfn.AGGREGATE(15,6,(ROW(N_Bedarf!$CE$2:$CE$141)-1)/(--(SEARCH(CS$2,N_Bedarf!$CE$2:$CE$141)&gt;0)),ROW()-2),1),"")</f>
        <v>Sommerkörnererbsen</v>
      </c>
      <c r="CS41" s="1830"/>
      <c r="CT41" s="1834" t="str">
        <f>IFERROR(INDEX(N_Bedarf!$CE$2:$CE$141,_xlfn.AGGREGATE(15,6,(ROW(N_Bedarf!$CE$2:$CE$141)-1)/(--(SEARCH(CU$2,N_Bedarf!$CE$2:$CE$141)&gt;0)),ROW()-2),1),"")</f>
        <v>Sommerkörnererbsen</v>
      </c>
      <c r="CU41" s="1830"/>
      <c r="CV41" s="1834" t="str">
        <f>IFERROR(INDEX(N_Bedarf!$CE$2:$CE$141,_xlfn.AGGREGATE(15,6,(ROW(N_Bedarf!$CE$2:$CE$141)-1)/(--(SEARCH(CW$2,N_Bedarf!$CE$2:$CE$141)&gt;0)),ROW()-2),1),"")</f>
        <v>Sommerkörnererbsen</v>
      </c>
      <c r="CW41" s="1830"/>
      <c r="CX41" s="1834" t="str">
        <f>IFERROR(INDEX(N_Bedarf!$CE$2:$CE$141,_xlfn.AGGREGATE(15,6,(ROW(N_Bedarf!$CE$2:$CE$141)-1)/(--(SEARCH(CY$2,N_Bedarf!$CE$2:$CE$141)&gt;0)),ROW()-2),1),"")</f>
        <v>Sommerkörnererbsen</v>
      </c>
      <c r="CY41" s="1830"/>
      <c r="CZ41" s="1834" t="str">
        <f>IFERROR(INDEX(N_Bedarf!$CE$2:$CE$141,_xlfn.AGGREGATE(15,6,(ROW(N_Bedarf!$CE$2:$CE$141)-1)/(--(SEARCH(DA$2,N_Bedarf!$CE$2:$CE$141)&gt;0)),ROW()-2),1),"")</f>
        <v>Sommerkörnererbsen</v>
      </c>
      <c r="DA41" s="1830"/>
      <c r="DB41" s="1834" t="str">
        <f>IFERROR(INDEX(N_Bedarf!$CE$2:$CE$141,_xlfn.AGGREGATE(15,6,(ROW(N_Bedarf!$CE$2:$CE$141)-1)/(--(SEARCH(DC$2,N_Bedarf!$CE$2:$CE$141)&gt;0)),ROW()-2),1),"")</f>
        <v>Sommerkörnererbsen</v>
      </c>
      <c r="DC41" s="1830"/>
      <c r="DD41" s="1834" t="str">
        <f>IFERROR(INDEX(N_Bedarf!$CE$2:$CE$141,_xlfn.AGGREGATE(15,6,(ROW(N_Bedarf!$CE$2:$CE$141)-1)/(--(SEARCH(DE$2,N_Bedarf!$CE$2:$CE$141)&gt;0)),ROW()-2),1),"")</f>
        <v>Sommerkörnererbsen</v>
      </c>
      <c r="DE41" s="1830"/>
      <c r="DF41" s="2353" t="str">
        <f t="array" ref="DF41">IFERROR(INDEX(N_Bedarf!$CE$2:$CE$141,_xlfn.AGGREGATE(15,6,(ROW(N_Bedarf!$CE$2:$CE$141)-1)/(--(SEARCH(DG$2,N_Bedarf!$CE$2:$CE$141)&gt;0)),ROW()-2),1),"")</f>
        <v>Sommerkörnererbsen</v>
      </c>
      <c r="DG41" s="2353"/>
      <c r="DH41" s="2355" t="str">
        <f t="array" ref="DH41">IFERROR(INDEX(N_Bedarf!$CE$2:$CE$141,_xlfn.AGGREGATE(15,6,(ROW(N_Bedarf!$CE$2:$CE$141)-1)/(--(SEARCH(DI$2,N_Bedarf!$CE$2:$CE$141)&gt;0)),ROW()-2),1),"")</f>
        <v>Sommerkörnererbsen</v>
      </c>
      <c r="DI41" s="2355"/>
      <c r="DJ41" s="2356" t="str">
        <f t="array" ref="DJ41">IFERROR(INDEX(N_Bedarf!$CE$2:$CE$141,_xlfn.AGGREGATE(15,6,(ROW(N_Bedarf!$CE$2:$CE$141)-1)/(--(SEARCH(DK$2,N_Bedarf!$CE$2:$CE$141)&gt;0)),ROW()-2),1),"")</f>
        <v>Sommerkörnererbsen</v>
      </c>
      <c r="DK41" s="2356"/>
      <c r="DL41" s="2356" t="str">
        <f t="array" ref="DL41">IFERROR(INDEX(N_Bedarf!$CE$2:$CE$141,_xlfn.AGGREGATE(15,6,(ROW(N_Bedarf!$CE$2:$CE$141)-1)/(--(SEARCH(DM$2,N_Bedarf!$CE$2:$CE$141)&gt;0)),ROW()-2),1),"")</f>
        <v>Sommerkörnererbsen</v>
      </c>
      <c r="DM41" s="2356"/>
      <c r="DN41" s="2356" t="str">
        <f t="array" ref="DN41">IFERROR(INDEX(N_Bedarf!$CE$2:$CE$141,_xlfn.AGGREGATE(15,6,(ROW(N_Bedarf!$CE$2:$CE$141)-1)/(--(SEARCH(DO$2,N_Bedarf!$CE$2:$CE$141)&gt;0)),ROW()-2),1),"")</f>
        <v>Sommerkörnererbsen</v>
      </c>
      <c r="DO41" s="2356"/>
      <c r="DP41" s="2356" t="str">
        <f t="array" ref="DP41">IFERROR(INDEX(N_Bedarf!$CE$2:$CE$141,_xlfn.AGGREGATE(15,6,(ROW(N_Bedarf!$CE$2:$CE$141)-1)/(--(SEARCH(DQ$2,N_Bedarf!$CE$2:$CE$141)&gt;0)),ROW()-2),1),"")</f>
        <v>Sommerkörnererbsen</v>
      </c>
      <c r="DQ41" s="2356"/>
      <c r="DR41" s="2356" t="str">
        <f t="array" ref="DR41">IFERROR(INDEX(N_Bedarf!$CE$2:$CE$141,_xlfn.AGGREGATE(15,6,(ROW(N_Bedarf!$CE$2:$CE$141)-1)/(--(SEARCH(DS$2,N_Bedarf!$CE$2:$CE$141)&gt;0)),ROW()-2),1),"")</f>
        <v>Sommerkörnererbsen</v>
      </c>
      <c r="DS41" s="2356"/>
      <c r="DT41" s="2356" t="str">
        <f t="array" ref="DT41">IFERROR(INDEX(N_Bedarf!$CE$2:$CE$141,_xlfn.AGGREGATE(15,6,(ROW(N_Bedarf!$CE$2:$CE$141)-1)/(--(SEARCH(DU$2,N_Bedarf!$CE$2:$CE$141)&gt;0)),ROW()-2),1),"")</f>
        <v>Sommerkörnererbsen</v>
      </c>
      <c r="DU41" s="2356"/>
      <c r="DV41" s="2356" t="str">
        <f t="array" ref="DV41">IFERROR(INDEX(N_Bedarf!$CE$2:$CE$141,_xlfn.AGGREGATE(15,6,(ROW(N_Bedarf!$CE$2:$CE$141)-1)/(--(SEARCH(DW$2,N_Bedarf!$CE$2:$CE$141)&gt;0)),ROW()-2),1),"")</f>
        <v>Sommerkörnererbsen</v>
      </c>
      <c r="DW41" s="2356"/>
      <c r="DX41" s="2356" t="str">
        <f t="array" ref="DX41">IFERROR(INDEX(N_Bedarf!$CE$2:$CE$141,_xlfn.AGGREGATE(15,6,(ROW(N_Bedarf!$CE$2:$CE$141)-1)/(--(SEARCH(DY$2,N_Bedarf!$CE$2:$CE$141)&gt;0)),ROW()-2),1),"")</f>
        <v>Sommerkörnererbsen</v>
      </c>
      <c r="DY41" s="2356"/>
      <c r="DZ41" s="2356" t="str">
        <f t="array" ref="DZ41">IFERROR(INDEX(N_Bedarf!$CE$2:$CE$141,_xlfn.AGGREGATE(15,6,(ROW(N_Bedarf!$CE$2:$CE$141)-1)/(--(SEARCH(EA$2,N_Bedarf!$CE$2:$CE$141)&gt;0)),ROW()-2),1),"")</f>
        <v>Sommerkörnererbsen</v>
      </c>
      <c r="EA41" s="2356"/>
      <c r="EB41" s="2356" t="str">
        <f t="array" ref="EB41">IFERROR(INDEX(N_Bedarf!$CE$2:$CE$141,_xlfn.AGGREGATE(15,6,(ROW(N_Bedarf!$CE$2:$CE$141)-1)/(--(SEARCH(EC$2,N_Bedarf!$CE$2:$CE$141)&gt;0)),ROW()-2),1),"")</f>
        <v>Sommerkörnererbsen</v>
      </c>
      <c r="EC41" s="2356"/>
      <c r="ED41"/>
      <c r="EE41"/>
      <c r="EF41"/>
      <c r="EG41"/>
      <c r="EH41"/>
      <c r="EI41"/>
      <c r="EJ41"/>
      <c r="EK41"/>
      <c r="EL41"/>
      <c r="EM41"/>
      <c r="EN41"/>
      <c r="EO41"/>
      <c r="EP41"/>
      <c r="EQ41"/>
      <c r="ER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row>
    <row r="42" spans="1:291" ht="27" customHeight="1" thickTop="1" thickBot="1">
      <c r="A42" s="156"/>
      <c r="B42" s="156"/>
      <c r="C42" s="2454"/>
      <c r="D42" s="2455"/>
      <c r="E42" s="912"/>
      <c r="F42" s="913"/>
      <c r="G42" s="1916" t="str">
        <f t="shared" si="9"/>
        <v/>
      </c>
      <c r="H42" s="2296"/>
      <c r="I42" s="914">
        <f t="shared" si="22"/>
        <v>0</v>
      </c>
      <c r="J42" s="2297">
        <f t="shared" si="23"/>
        <v>0</v>
      </c>
      <c r="K42" s="2299"/>
      <c r="L42" s="915">
        <f t="shared" si="24"/>
        <v>0</v>
      </c>
      <c r="M42" s="2357">
        <f t="shared" si="25"/>
        <v>0</v>
      </c>
      <c r="AO42" s="156"/>
      <c r="AP42" s="1568" t="str">
        <f t="shared" si="3"/>
        <v/>
      </c>
      <c r="AQ42" s="472">
        <f t="shared" si="14"/>
        <v>0</v>
      </c>
      <c r="AR42" s="472">
        <f t="shared" si="15"/>
        <v>0</v>
      </c>
      <c r="AS42" s="472">
        <f t="shared" si="16"/>
        <v>0</v>
      </c>
      <c r="AT42" s="472">
        <f t="shared" si="17"/>
        <v>0</v>
      </c>
      <c r="AU42" s="472">
        <f t="shared" si="18"/>
        <v>0</v>
      </c>
      <c r="AV42" s="472">
        <f t="shared" si="19"/>
        <v>0</v>
      </c>
      <c r="AW42" s="472">
        <f t="shared" si="20"/>
        <v>0</v>
      </c>
      <c r="AX42" s="1722" t="s">
        <v>1819</v>
      </c>
      <c r="AY42" s="681">
        <v>60</v>
      </c>
      <c r="AZ42" s="681">
        <v>50</v>
      </c>
      <c r="BA42" s="681" t="s">
        <v>2655</v>
      </c>
      <c r="BB42" s="681">
        <v>60</v>
      </c>
      <c r="BC42" s="681">
        <v>50</v>
      </c>
      <c r="BD42" s="681" t="s">
        <v>2658</v>
      </c>
      <c r="BE42" s="681">
        <v>60</v>
      </c>
      <c r="BF42" s="681">
        <v>50</v>
      </c>
      <c r="BG42" s="681" t="s">
        <v>2597</v>
      </c>
      <c r="BH42" s="681">
        <v>60</v>
      </c>
      <c r="BI42" s="681">
        <v>50</v>
      </c>
      <c r="BJ42" s="681" t="s">
        <v>2597</v>
      </c>
      <c r="BK42" s="681">
        <v>60</v>
      </c>
      <c r="BL42" s="681">
        <v>50</v>
      </c>
      <c r="BM42" s="681" t="s">
        <v>2597</v>
      </c>
      <c r="BN42" s="471">
        <v>0</v>
      </c>
      <c r="BO42" s="821">
        <v>20</v>
      </c>
      <c r="BP42"/>
      <c r="BQ42" s="1722" t="s">
        <v>1819</v>
      </c>
      <c r="BR42" s="470">
        <v>60</v>
      </c>
      <c r="BS42" s="470">
        <v>65</v>
      </c>
      <c r="BT42" s="470">
        <v>75</v>
      </c>
      <c r="BV42" s="1722" t="s">
        <v>1819</v>
      </c>
      <c r="BW42" s="470">
        <v>110</v>
      </c>
      <c r="BX42" s="470">
        <v>120</v>
      </c>
      <c r="BY42" s="470">
        <v>140</v>
      </c>
      <c r="CA42" s="397"/>
      <c r="CB42"/>
      <c r="CC42"/>
      <c r="CD42"/>
      <c r="CE42" s="2309" t="s">
        <v>37</v>
      </c>
      <c r="CF42" s="1834" t="str">
        <f>IFERROR(INDEX(N_Bedarf!$CE$2:$CE$141,_xlfn.AGGREGATE(15,6,(ROW(N_Bedarf!$CE$2:$CE$141)-1)/(--(SEARCH(CG$2,N_Bedarf!$CE$2:$CE$141)&gt;0)),ROW()-2),1),"")</f>
        <v>Winterkörnererbsen</v>
      </c>
      <c r="CG42" s="1836"/>
      <c r="CH42" s="1834" t="str">
        <f>IFERROR(INDEX(N_Bedarf!$CE$2:$CE$141,_xlfn.AGGREGATE(15,6,(ROW(N_Bedarf!$CE$2:$CE$141)-1)/(--(SEARCH(CI$2,N_Bedarf!$CE$2:$CE$141)&gt;0)),ROW()-2),1),"")</f>
        <v>Winterkörnererbsen</v>
      </c>
      <c r="CI42" s="1836"/>
      <c r="CJ42" s="1834" t="str">
        <f>IFERROR(INDEX(N_Bedarf!$CE$2:$CE$141,_xlfn.AGGREGATE(15,6,(ROW(N_Bedarf!$CE$2:$CE$141)-1)/(--(SEARCH(CK$2,N_Bedarf!$CE$2:$CE$141)&gt;0)),ROW()-2),1),"")</f>
        <v>Winterkörnererbsen</v>
      </c>
      <c r="CK42" s="1836"/>
      <c r="CL42" s="1834" t="str">
        <f>IFERROR(INDEX(N_Bedarf!$CE$2:$CE$141,_xlfn.AGGREGATE(15,6,(ROW(N_Bedarf!$CE$2:$CE$141)-1)/(--(SEARCH(CM$2,N_Bedarf!$CE$2:$CE$141)&gt;0)),ROW()-2),1),"")</f>
        <v>Winterkörnererbsen</v>
      </c>
      <c r="CM42" s="1836"/>
      <c r="CN42" s="1834" t="str">
        <f>IFERROR(INDEX(N_Bedarf!$CE$2:$CE$141,_xlfn.AGGREGATE(15,6,(ROW(N_Bedarf!$CE$2:$CE$141)-1)/(--(SEARCH(CO$2,N_Bedarf!$CE$2:$CE$141)&gt;0)),ROW()-2),1),"")</f>
        <v>Winterkörnererbsen</v>
      </c>
      <c r="CO42" s="1836"/>
      <c r="CP42" s="1834" t="str">
        <f>IFERROR(INDEX(N_Bedarf!$CE$2:$CE$141,_xlfn.AGGREGATE(15,6,(ROW(N_Bedarf!$CE$2:$CE$141)-1)/(--(SEARCH(CQ$2,N_Bedarf!$CE$2:$CE$141)&gt;0)),ROW()-2),1),"")</f>
        <v>Winterkörnererbsen</v>
      </c>
      <c r="CQ42" s="1836"/>
      <c r="CR42" s="1834" t="str">
        <f>IFERROR(INDEX(N_Bedarf!$CE$2:$CE$141,_xlfn.AGGREGATE(15,6,(ROW(N_Bedarf!$CE$2:$CE$141)-1)/(--(SEARCH(CS$2,N_Bedarf!$CE$2:$CE$141)&gt;0)),ROW()-2),1),"")</f>
        <v>Winterkörnererbsen</v>
      </c>
      <c r="CS42" s="1836"/>
      <c r="CT42" s="1834" t="str">
        <f>IFERROR(INDEX(N_Bedarf!$CE$2:$CE$141,_xlfn.AGGREGATE(15,6,(ROW(N_Bedarf!$CE$2:$CE$141)-1)/(--(SEARCH(CU$2,N_Bedarf!$CE$2:$CE$141)&gt;0)),ROW()-2),1),"")</f>
        <v>Winterkörnererbsen</v>
      </c>
      <c r="CU42" s="1836"/>
      <c r="CV42" s="1834" t="str">
        <f>IFERROR(INDEX(N_Bedarf!$CE$2:$CE$141,_xlfn.AGGREGATE(15,6,(ROW(N_Bedarf!$CE$2:$CE$141)-1)/(--(SEARCH(CW$2,N_Bedarf!$CE$2:$CE$141)&gt;0)),ROW()-2),1),"")</f>
        <v>Winterkörnererbsen</v>
      </c>
      <c r="CW42" s="1836"/>
      <c r="CX42" s="1834" t="str">
        <f>IFERROR(INDEX(N_Bedarf!$CE$2:$CE$141,_xlfn.AGGREGATE(15,6,(ROW(N_Bedarf!$CE$2:$CE$141)-1)/(--(SEARCH(CY$2,N_Bedarf!$CE$2:$CE$141)&gt;0)),ROW()-2),1),"")</f>
        <v>Winterkörnererbsen</v>
      </c>
      <c r="CY42" s="1836"/>
      <c r="CZ42" s="1834" t="str">
        <f>IFERROR(INDEX(N_Bedarf!$CE$2:$CE$141,_xlfn.AGGREGATE(15,6,(ROW(N_Bedarf!$CE$2:$CE$141)-1)/(--(SEARCH(DA$2,N_Bedarf!$CE$2:$CE$141)&gt;0)),ROW()-2),1),"")</f>
        <v>Winterkörnererbsen</v>
      </c>
      <c r="DA42" s="1836"/>
      <c r="DB42" s="1834" t="str">
        <f>IFERROR(INDEX(N_Bedarf!$CE$2:$CE$141,_xlfn.AGGREGATE(15,6,(ROW(N_Bedarf!$CE$2:$CE$141)-1)/(--(SEARCH(DC$2,N_Bedarf!$CE$2:$CE$141)&gt;0)),ROW()-2),1),"")</f>
        <v>Winterkörnererbsen</v>
      </c>
      <c r="DC42" s="1836"/>
      <c r="DD42" s="1834" t="str">
        <f>IFERROR(INDEX(N_Bedarf!$CE$2:$CE$141,_xlfn.AGGREGATE(15,6,(ROW(N_Bedarf!$CE$2:$CE$141)-1)/(--(SEARCH(DE$2,N_Bedarf!$CE$2:$CE$141)&gt;0)),ROW()-2),1),"")</f>
        <v>Winterkörnererbsen</v>
      </c>
      <c r="DE42" s="1836"/>
      <c r="DF42" s="2353" t="str">
        <f t="array" ref="DF42">IFERROR(INDEX(N_Bedarf!$CE$2:$CE$141,_xlfn.AGGREGATE(15,6,(ROW(N_Bedarf!$CE$2:$CE$141)-1)/(--(SEARCH(DG$2,N_Bedarf!$CE$2:$CE$141)&gt;0)),ROW()-2),1),"")</f>
        <v>Winterkörnererbsen</v>
      </c>
      <c r="DG42" s="2353"/>
      <c r="DH42" s="2355" t="str">
        <f t="array" ref="DH42">IFERROR(INDEX(N_Bedarf!$CE$2:$CE$141,_xlfn.AGGREGATE(15,6,(ROW(N_Bedarf!$CE$2:$CE$141)-1)/(--(SEARCH(DI$2,N_Bedarf!$CE$2:$CE$141)&gt;0)),ROW()-2),1),"")</f>
        <v>Winterkörnererbsen</v>
      </c>
      <c r="DI42" s="2355"/>
      <c r="DJ42" s="2356" t="str">
        <f t="array" ref="DJ42">IFERROR(INDEX(N_Bedarf!$CE$2:$CE$141,_xlfn.AGGREGATE(15,6,(ROW(N_Bedarf!$CE$2:$CE$141)-1)/(--(SEARCH(DK$2,N_Bedarf!$CE$2:$CE$141)&gt;0)),ROW()-2),1),"")</f>
        <v>Winterkörnererbsen</v>
      </c>
      <c r="DK42" s="2356"/>
      <c r="DL42" s="2356" t="str">
        <f t="array" ref="DL42">IFERROR(INDEX(N_Bedarf!$CE$2:$CE$141,_xlfn.AGGREGATE(15,6,(ROW(N_Bedarf!$CE$2:$CE$141)-1)/(--(SEARCH(DM$2,N_Bedarf!$CE$2:$CE$141)&gt;0)),ROW()-2),1),"")</f>
        <v>Winterkörnererbsen</v>
      </c>
      <c r="DM42" s="2356"/>
      <c r="DN42" s="2356" t="str">
        <f t="array" ref="DN42">IFERROR(INDEX(N_Bedarf!$CE$2:$CE$141,_xlfn.AGGREGATE(15,6,(ROW(N_Bedarf!$CE$2:$CE$141)-1)/(--(SEARCH(DO$2,N_Bedarf!$CE$2:$CE$141)&gt;0)),ROW()-2),1),"")</f>
        <v>Winterkörnererbsen</v>
      </c>
      <c r="DO42" s="2356"/>
      <c r="DP42" s="2356" t="str">
        <f t="array" ref="DP42">IFERROR(INDEX(N_Bedarf!$CE$2:$CE$141,_xlfn.AGGREGATE(15,6,(ROW(N_Bedarf!$CE$2:$CE$141)-1)/(--(SEARCH(DQ$2,N_Bedarf!$CE$2:$CE$141)&gt;0)),ROW()-2),1),"")</f>
        <v>Winterkörnererbsen</v>
      </c>
      <c r="DQ42" s="2356"/>
      <c r="DR42" s="2356" t="str">
        <f t="array" ref="DR42">IFERROR(INDEX(N_Bedarf!$CE$2:$CE$141,_xlfn.AGGREGATE(15,6,(ROW(N_Bedarf!$CE$2:$CE$141)-1)/(--(SEARCH(DS$2,N_Bedarf!$CE$2:$CE$141)&gt;0)),ROW()-2),1),"")</f>
        <v>Winterkörnererbsen</v>
      </c>
      <c r="DS42" s="2356"/>
      <c r="DT42" s="2356" t="str">
        <f t="array" ref="DT42">IFERROR(INDEX(N_Bedarf!$CE$2:$CE$141,_xlfn.AGGREGATE(15,6,(ROW(N_Bedarf!$CE$2:$CE$141)-1)/(--(SEARCH(DU$2,N_Bedarf!$CE$2:$CE$141)&gt;0)),ROW()-2),1),"")</f>
        <v>Winterkörnererbsen</v>
      </c>
      <c r="DU42" s="2356"/>
      <c r="DV42" s="2356" t="str">
        <f t="array" ref="DV42">IFERROR(INDEX(N_Bedarf!$CE$2:$CE$141,_xlfn.AGGREGATE(15,6,(ROW(N_Bedarf!$CE$2:$CE$141)-1)/(--(SEARCH(DW$2,N_Bedarf!$CE$2:$CE$141)&gt;0)),ROW()-2),1),"")</f>
        <v>Winterkörnererbsen</v>
      </c>
      <c r="DW42" s="2356"/>
      <c r="DX42" s="2356" t="str">
        <f t="array" ref="DX42">IFERROR(INDEX(N_Bedarf!$CE$2:$CE$141,_xlfn.AGGREGATE(15,6,(ROW(N_Bedarf!$CE$2:$CE$141)-1)/(--(SEARCH(DY$2,N_Bedarf!$CE$2:$CE$141)&gt;0)),ROW()-2),1),"")</f>
        <v>Winterkörnererbsen</v>
      </c>
      <c r="DY42" s="2356"/>
      <c r="DZ42" s="2356" t="str">
        <f t="array" ref="DZ42">IFERROR(INDEX(N_Bedarf!$CE$2:$CE$141,_xlfn.AGGREGATE(15,6,(ROW(N_Bedarf!$CE$2:$CE$141)-1)/(--(SEARCH(EA$2,N_Bedarf!$CE$2:$CE$141)&gt;0)),ROW()-2),1),"")</f>
        <v>Winterkörnererbsen</v>
      </c>
      <c r="EA42" s="2356"/>
      <c r="EB42" s="2356" t="str">
        <f t="array" ref="EB42">IFERROR(INDEX(N_Bedarf!$CE$2:$CE$141,_xlfn.AGGREGATE(15,6,(ROW(N_Bedarf!$CE$2:$CE$141)-1)/(--(SEARCH(EC$2,N_Bedarf!$CE$2:$CE$141)&gt;0)),ROW()-2),1),"")</f>
        <v>Winterkörnererbsen</v>
      </c>
      <c r="EC42" s="2356"/>
      <c r="ED42"/>
      <c r="EE42"/>
      <c r="EF42"/>
      <c r="EG42"/>
      <c r="EH42"/>
      <c r="EI42"/>
      <c r="EJ42"/>
      <c r="EK42"/>
      <c r="EL42"/>
      <c r="EM42"/>
      <c r="EN42"/>
      <c r="EO42"/>
      <c r="EP42"/>
      <c r="EQ42"/>
      <c r="ER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row>
    <row r="43" spans="1:291" ht="27" customHeight="1" thickTop="1" thickBot="1">
      <c r="A43" s="156"/>
      <c r="B43" s="156"/>
      <c r="C43" s="2454"/>
      <c r="D43" s="2455"/>
      <c r="E43" s="912"/>
      <c r="F43" s="913"/>
      <c r="G43" s="1916" t="str">
        <f t="shared" si="9"/>
        <v/>
      </c>
      <c r="H43" s="2296"/>
      <c r="I43" s="914">
        <f t="shared" si="22"/>
        <v>0</v>
      </c>
      <c r="J43" s="2297">
        <f t="shared" si="23"/>
        <v>0</v>
      </c>
      <c r="K43" s="2299"/>
      <c r="L43" s="915">
        <f t="shared" si="24"/>
        <v>0</v>
      </c>
      <c r="M43" s="2357">
        <f t="shared" si="25"/>
        <v>0</v>
      </c>
      <c r="AO43" s="156"/>
      <c r="AP43" s="1568" t="str">
        <f t="shared" si="3"/>
        <v/>
      </c>
      <c r="AQ43" s="472">
        <f t="shared" si="14"/>
        <v>0</v>
      </c>
      <c r="AR43" s="472">
        <f t="shared" si="15"/>
        <v>0</v>
      </c>
      <c r="AS43" s="472">
        <f t="shared" si="16"/>
        <v>0</v>
      </c>
      <c r="AT43" s="472">
        <f t="shared" si="17"/>
        <v>0</v>
      </c>
      <c r="AU43" s="472">
        <f t="shared" si="18"/>
        <v>0</v>
      </c>
      <c r="AV43" s="472">
        <f t="shared" si="19"/>
        <v>0</v>
      </c>
      <c r="AW43" s="472">
        <f t="shared" si="20"/>
        <v>0</v>
      </c>
      <c r="AX43" s="1722" t="s">
        <v>1798</v>
      </c>
      <c r="AY43" s="681">
        <v>60</v>
      </c>
      <c r="AZ43" s="681">
        <v>50</v>
      </c>
      <c r="BA43" s="681"/>
      <c r="BB43" s="681">
        <v>60</v>
      </c>
      <c r="BC43" s="681">
        <v>50</v>
      </c>
      <c r="BD43" s="681"/>
      <c r="BE43" s="681">
        <v>60</v>
      </c>
      <c r="BF43" s="681">
        <v>50</v>
      </c>
      <c r="BG43" s="681"/>
      <c r="BH43" s="681">
        <v>60</v>
      </c>
      <c r="BI43" s="681">
        <v>50</v>
      </c>
      <c r="BJ43" s="681"/>
      <c r="BK43" s="681">
        <v>60</v>
      </c>
      <c r="BL43" s="681">
        <v>50</v>
      </c>
      <c r="BM43" s="681"/>
      <c r="BN43" s="471">
        <v>0</v>
      </c>
      <c r="BO43" s="821">
        <v>20</v>
      </c>
      <c r="BP43"/>
      <c r="BQ43" s="1722" t="s">
        <v>1798</v>
      </c>
      <c r="BR43" s="470">
        <v>60</v>
      </c>
      <c r="BS43" s="470">
        <v>65</v>
      </c>
      <c r="BT43" s="470">
        <v>75</v>
      </c>
      <c r="BV43" s="1722" t="s">
        <v>1798</v>
      </c>
      <c r="BW43" s="470">
        <v>90</v>
      </c>
      <c r="BX43" s="470">
        <v>100</v>
      </c>
      <c r="BY43" s="470">
        <v>115</v>
      </c>
      <c r="CA43" s="397"/>
      <c r="CB43"/>
      <c r="CC43"/>
      <c r="CD43"/>
      <c r="CE43" s="2310" t="s">
        <v>1725</v>
      </c>
      <c r="CF43" s="1834" t="str">
        <f>IFERROR(INDEX(N_Bedarf!$CE$2:$CE$141,_xlfn.AGGREGATE(15,6,(ROW(N_Bedarf!$CE$2:$CE$141)-1)/(--(SEARCH(CG$2,N_Bedarf!$CE$2:$CE$141)&gt;0)),ROW()-2),1),"")</f>
        <v>Wintermenggetreide</v>
      </c>
      <c r="CG43" s="1830"/>
      <c r="CH43" s="1834" t="str">
        <f>IFERROR(INDEX(N_Bedarf!$CE$2:$CE$141,_xlfn.AGGREGATE(15,6,(ROW(N_Bedarf!$CE$2:$CE$141)-1)/(--(SEARCH(CI$2,N_Bedarf!$CE$2:$CE$141)&gt;0)),ROW()-2),1),"")</f>
        <v>Wintermenggetreide</v>
      </c>
      <c r="CI43" s="1830"/>
      <c r="CJ43" s="1834" t="str">
        <f>IFERROR(INDEX(N_Bedarf!$CE$2:$CE$141,_xlfn.AGGREGATE(15,6,(ROW(N_Bedarf!$CE$2:$CE$141)-1)/(--(SEARCH(CK$2,N_Bedarf!$CE$2:$CE$141)&gt;0)),ROW()-2),1),"")</f>
        <v>Wintermenggetreide</v>
      </c>
      <c r="CK43" s="1830"/>
      <c r="CL43" s="1834" t="str">
        <f>IFERROR(INDEX(N_Bedarf!$CE$2:$CE$141,_xlfn.AGGREGATE(15,6,(ROW(N_Bedarf!$CE$2:$CE$141)-1)/(--(SEARCH(CM$2,N_Bedarf!$CE$2:$CE$141)&gt;0)),ROW()-2),1),"")</f>
        <v>Wintermenggetreide</v>
      </c>
      <c r="CM43" s="1830"/>
      <c r="CN43" s="1834" t="str">
        <f>IFERROR(INDEX(N_Bedarf!$CE$2:$CE$141,_xlfn.AGGREGATE(15,6,(ROW(N_Bedarf!$CE$2:$CE$141)-1)/(--(SEARCH(CO$2,N_Bedarf!$CE$2:$CE$141)&gt;0)),ROW()-2),1),"")</f>
        <v>Wintermenggetreide</v>
      </c>
      <c r="CO43" s="1830"/>
      <c r="CP43" s="1834" t="str">
        <f>IFERROR(INDEX(N_Bedarf!$CE$2:$CE$141,_xlfn.AGGREGATE(15,6,(ROW(N_Bedarf!$CE$2:$CE$141)-1)/(--(SEARCH(CQ$2,N_Bedarf!$CE$2:$CE$141)&gt;0)),ROW()-2),1),"")</f>
        <v>Wintermenggetreide</v>
      </c>
      <c r="CQ43" s="1830"/>
      <c r="CR43" s="1834" t="str">
        <f>IFERROR(INDEX(N_Bedarf!$CE$2:$CE$141,_xlfn.AGGREGATE(15,6,(ROW(N_Bedarf!$CE$2:$CE$141)-1)/(--(SEARCH(CS$2,N_Bedarf!$CE$2:$CE$141)&gt;0)),ROW()-2),1),"")</f>
        <v>Wintermenggetreide</v>
      </c>
      <c r="CS43" s="1830"/>
      <c r="CT43" s="1834" t="str">
        <f>IFERROR(INDEX(N_Bedarf!$CE$2:$CE$141,_xlfn.AGGREGATE(15,6,(ROW(N_Bedarf!$CE$2:$CE$141)-1)/(--(SEARCH(CU$2,N_Bedarf!$CE$2:$CE$141)&gt;0)),ROW()-2),1),"")</f>
        <v>Wintermenggetreide</v>
      </c>
      <c r="CU43" s="1830"/>
      <c r="CV43" s="1834" t="str">
        <f>IFERROR(INDEX(N_Bedarf!$CE$2:$CE$141,_xlfn.AGGREGATE(15,6,(ROW(N_Bedarf!$CE$2:$CE$141)-1)/(--(SEARCH(CW$2,N_Bedarf!$CE$2:$CE$141)&gt;0)),ROW()-2),1),"")</f>
        <v>Wintermenggetreide</v>
      </c>
      <c r="CW43" s="1830"/>
      <c r="CX43" s="1834" t="str">
        <f>IFERROR(INDEX(N_Bedarf!$CE$2:$CE$141,_xlfn.AGGREGATE(15,6,(ROW(N_Bedarf!$CE$2:$CE$141)-1)/(--(SEARCH(CY$2,N_Bedarf!$CE$2:$CE$141)&gt;0)),ROW()-2),1),"")</f>
        <v>Wintermenggetreide</v>
      </c>
      <c r="CY43" s="1830"/>
      <c r="CZ43" s="1834" t="str">
        <f>IFERROR(INDEX(N_Bedarf!$CE$2:$CE$141,_xlfn.AGGREGATE(15,6,(ROW(N_Bedarf!$CE$2:$CE$141)-1)/(--(SEARCH(DA$2,N_Bedarf!$CE$2:$CE$141)&gt;0)),ROW()-2),1),"")</f>
        <v>Wintermenggetreide</v>
      </c>
      <c r="DA43" s="1830"/>
      <c r="DB43" s="1834" t="str">
        <f>IFERROR(INDEX(N_Bedarf!$CE$2:$CE$141,_xlfn.AGGREGATE(15,6,(ROW(N_Bedarf!$CE$2:$CE$141)-1)/(--(SEARCH(DC$2,N_Bedarf!$CE$2:$CE$141)&gt;0)),ROW()-2),1),"")</f>
        <v>Wintermenggetreide</v>
      </c>
      <c r="DC43" s="1830"/>
      <c r="DD43" s="1834" t="str">
        <f>IFERROR(INDEX(N_Bedarf!$CE$2:$CE$141,_xlfn.AGGREGATE(15,6,(ROW(N_Bedarf!$CE$2:$CE$141)-1)/(--(SEARCH(DE$2,N_Bedarf!$CE$2:$CE$141)&gt;0)),ROW()-2),1),"")</f>
        <v>Wintermenggetreide</v>
      </c>
      <c r="DE43" s="1830"/>
      <c r="DF43" s="2353" t="str">
        <f t="array" ref="DF43">IFERROR(INDEX(N_Bedarf!$CE$2:$CE$141,_xlfn.AGGREGATE(15,6,(ROW(N_Bedarf!$CE$2:$CE$141)-1)/(--(SEARCH(DG$2,N_Bedarf!$CE$2:$CE$141)&gt;0)),ROW()-2),1),"")</f>
        <v>Wintermenggetreide</v>
      </c>
      <c r="DG43" s="2353"/>
      <c r="DH43" s="2355" t="str">
        <f t="array" ref="DH43">IFERROR(INDEX(N_Bedarf!$CE$2:$CE$141,_xlfn.AGGREGATE(15,6,(ROW(N_Bedarf!$CE$2:$CE$141)-1)/(--(SEARCH(DI$2,N_Bedarf!$CE$2:$CE$141)&gt;0)),ROW()-2),1),"")</f>
        <v>Wintermenggetreide</v>
      </c>
      <c r="DI43" s="2355"/>
      <c r="DJ43" s="2356" t="str">
        <f t="array" ref="DJ43">IFERROR(INDEX(N_Bedarf!$CE$2:$CE$141,_xlfn.AGGREGATE(15,6,(ROW(N_Bedarf!$CE$2:$CE$141)-1)/(--(SEARCH(DK$2,N_Bedarf!$CE$2:$CE$141)&gt;0)),ROW()-2),1),"")</f>
        <v>Wintermenggetreide</v>
      </c>
      <c r="DK43" s="2356"/>
      <c r="DL43" s="2356" t="str">
        <f t="array" ref="DL43">IFERROR(INDEX(N_Bedarf!$CE$2:$CE$141,_xlfn.AGGREGATE(15,6,(ROW(N_Bedarf!$CE$2:$CE$141)-1)/(--(SEARCH(DM$2,N_Bedarf!$CE$2:$CE$141)&gt;0)),ROW()-2),1),"")</f>
        <v>Wintermenggetreide</v>
      </c>
      <c r="DM43" s="2356"/>
      <c r="DN43" s="2356" t="str">
        <f t="array" ref="DN43">IFERROR(INDEX(N_Bedarf!$CE$2:$CE$141,_xlfn.AGGREGATE(15,6,(ROW(N_Bedarf!$CE$2:$CE$141)-1)/(--(SEARCH(DO$2,N_Bedarf!$CE$2:$CE$141)&gt;0)),ROW()-2),1),"")</f>
        <v>Wintermenggetreide</v>
      </c>
      <c r="DO43" s="2356"/>
      <c r="DP43" s="2356" t="str">
        <f t="array" ref="DP43">IFERROR(INDEX(N_Bedarf!$CE$2:$CE$141,_xlfn.AGGREGATE(15,6,(ROW(N_Bedarf!$CE$2:$CE$141)-1)/(--(SEARCH(DQ$2,N_Bedarf!$CE$2:$CE$141)&gt;0)),ROW()-2),1),"")</f>
        <v>Wintermenggetreide</v>
      </c>
      <c r="DQ43" s="2356"/>
      <c r="DR43" s="2356" t="str">
        <f t="array" ref="DR43">IFERROR(INDEX(N_Bedarf!$CE$2:$CE$141,_xlfn.AGGREGATE(15,6,(ROW(N_Bedarf!$CE$2:$CE$141)-1)/(--(SEARCH(DS$2,N_Bedarf!$CE$2:$CE$141)&gt;0)),ROW()-2),1),"")</f>
        <v>Wintermenggetreide</v>
      </c>
      <c r="DS43" s="2356"/>
      <c r="DT43" s="2356" t="str">
        <f t="array" ref="DT43">IFERROR(INDEX(N_Bedarf!$CE$2:$CE$141,_xlfn.AGGREGATE(15,6,(ROW(N_Bedarf!$CE$2:$CE$141)-1)/(--(SEARCH(DU$2,N_Bedarf!$CE$2:$CE$141)&gt;0)),ROW()-2),1),"")</f>
        <v>Wintermenggetreide</v>
      </c>
      <c r="DU43" s="2356"/>
      <c r="DV43" s="2356" t="str">
        <f t="array" ref="DV43">IFERROR(INDEX(N_Bedarf!$CE$2:$CE$141,_xlfn.AGGREGATE(15,6,(ROW(N_Bedarf!$CE$2:$CE$141)-1)/(--(SEARCH(DW$2,N_Bedarf!$CE$2:$CE$141)&gt;0)),ROW()-2),1),"")</f>
        <v>Wintermenggetreide</v>
      </c>
      <c r="DW43" s="2356"/>
      <c r="DX43" s="2356" t="str">
        <f t="array" ref="DX43">IFERROR(INDEX(N_Bedarf!$CE$2:$CE$141,_xlfn.AGGREGATE(15,6,(ROW(N_Bedarf!$CE$2:$CE$141)-1)/(--(SEARCH(DY$2,N_Bedarf!$CE$2:$CE$141)&gt;0)),ROW()-2),1),"")</f>
        <v>Wintermenggetreide</v>
      </c>
      <c r="DY43" s="2356"/>
      <c r="DZ43" s="2356" t="str">
        <f t="array" ref="DZ43">IFERROR(INDEX(N_Bedarf!$CE$2:$CE$141,_xlfn.AGGREGATE(15,6,(ROW(N_Bedarf!$CE$2:$CE$141)-1)/(--(SEARCH(EA$2,N_Bedarf!$CE$2:$CE$141)&gt;0)),ROW()-2),1),"")</f>
        <v>Wintermenggetreide</v>
      </c>
      <c r="EA43" s="2356"/>
      <c r="EB43" s="2356" t="str">
        <f t="array" ref="EB43">IFERROR(INDEX(N_Bedarf!$CE$2:$CE$141,_xlfn.AGGREGATE(15,6,(ROW(N_Bedarf!$CE$2:$CE$141)-1)/(--(SEARCH(EC$2,N_Bedarf!$CE$2:$CE$141)&gt;0)),ROW()-2),1),"")</f>
        <v>Wintermenggetreide</v>
      </c>
      <c r="EC43" s="2356"/>
      <c r="ED43"/>
      <c r="EE43"/>
      <c r="EF43"/>
      <c r="EG43"/>
      <c r="EH43"/>
      <c r="EI43"/>
      <c r="EJ43"/>
      <c r="EK43"/>
      <c r="EL43"/>
      <c r="EM43"/>
      <c r="EN43"/>
      <c r="EO43"/>
      <c r="EP43"/>
      <c r="EQ43"/>
      <c r="ER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row>
    <row r="44" spans="1:291" ht="27" customHeight="1" thickTop="1" thickBot="1">
      <c r="A44" s="156"/>
      <c r="B44" s="156"/>
      <c r="C44" s="2454"/>
      <c r="D44" s="2455"/>
      <c r="E44" s="912"/>
      <c r="F44" s="913"/>
      <c r="G44" s="1916" t="str">
        <f t="shared" si="9"/>
        <v/>
      </c>
      <c r="H44" s="2296"/>
      <c r="I44" s="914">
        <f t="shared" si="22"/>
        <v>0</v>
      </c>
      <c r="J44" s="2297">
        <f t="shared" si="23"/>
        <v>0</v>
      </c>
      <c r="K44" s="2299"/>
      <c r="L44" s="915">
        <f t="shared" si="24"/>
        <v>0</v>
      </c>
      <c r="M44" s="2357">
        <f t="shared" si="25"/>
        <v>0</v>
      </c>
      <c r="AO44" s="156"/>
      <c r="AP44" s="1568" t="str">
        <f t="shared" si="3"/>
        <v/>
      </c>
      <c r="AQ44" s="472">
        <f t="shared" si="14"/>
        <v>0</v>
      </c>
      <c r="AR44" s="472">
        <f t="shared" si="15"/>
        <v>0</v>
      </c>
      <c r="AS44" s="472">
        <f t="shared" si="16"/>
        <v>0</v>
      </c>
      <c r="AT44" s="472">
        <f t="shared" si="17"/>
        <v>0</v>
      </c>
      <c r="AU44" s="472">
        <f t="shared" si="18"/>
        <v>0</v>
      </c>
      <c r="AV44" s="472">
        <f t="shared" si="19"/>
        <v>0</v>
      </c>
      <c r="AW44" s="472">
        <f t="shared" si="20"/>
        <v>0</v>
      </c>
      <c r="AX44" s="1722" t="s">
        <v>1822</v>
      </c>
      <c r="AY44" s="681">
        <v>60</v>
      </c>
      <c r="AZ44" s="681">
        <v>50</v>
      </c>
      <c r="BA44" s="681"/>
      <c r="BB44" s="681">
        <v>60</v>
      </c>
      <c r="BC44" s="681">
        <v>50</v>
      </c>
      <c r="BD44" s="681"/>
      <c r="BE44" s="681">
        <v>60</v>
      </c>
      <c r="BF44" s="681">
        <v>50</v>
      </c>
      <c r="BG44" s="681"/>
      <c r="BH44" s="681">
        <v>60</v>
      </c>
      <c r="BI44" s="681">
        <v>50</v>
      </c>
      <c r="BJ44" s="681"/>
      <c r="BK44" s="681">
        <v>60</v>
      </c>
      <c r="BL44" s="681">
        <v>50</v>
      </c>
      <c r="BM44" s="681"/>
      <c r="BN44" s="471">
        <v>0</v>
      </c>
      <c r="BO44" s="821">
        <v>20</v>
      </c>
      <c r="BP44"/>
      <c r="BQ44" s="1722" t="s">
        <v>1822</v>
      </c>
      <c r="BR44" s="470">
        <v>60</v>
      </c>
      <c r="BS44" s="470">
        <v>65</v>
      </c>
      <c r="BT44" s="470">
        <v>75</v>
      </c>
      <c r="BV44" s="1722" t="s">
        <v>1822</v>
      </c>
      <c r="BW44" s="470">
        <v>90</v>
      </c>
      <c r="BX44" s="470">
        <v>100</v>
      </c>
      <c r="BY44" s="470">
        <v>115</v>
      </c>
      <c r="CA44" s="397"/>
      <c r="CB44"/>
      <c r="CC44"/>
      <c r="CD44"/>
      <c r="CE44" s="2310" t="s">
        <v>1687</v>
      </c>
      <c r="CF44" s="1834" t="str">
        <f>IFERROR(INDEX(N_Bedarf!$CE$2:$CE$141,_xlfn.AGGREGATE(15,6,(ROW(N_Bedarf!$CE$2:$CE$141)-1)/(--(SEARCH(CG$2,N_Bedarf!$CE$2:$CE$141)&gt;0)),ROW()-2),1),"")</f>
        <v>Süßlupine</v>
      </c>
      <c r="CG44" s="1836"/>
      <c r="CH44" s="1834" t="str">
        <f>IFERROR(INDEX(N_Bedarf!$CE$2:$CE$141,_xlfn.AGGREGATE(15,6,(ROW(N_Bedarf!$CE$2:$CE$141)-1)/(--(SEARCH(CI$2,N_Bedarf!$CE$2:$CE$141)&gt;0)),ROW()-2),1),"")</f>
        <v>Süßlupine</v>
      </c>
      <c r="CI44" s="1836"/>
      <c r="CJ44" s="1834" t="str">
        <f>IFERROR(INDEX(N_Bedarf!$CE$2:$CE$141,_xlfn.AGGREGATE(15,6,(ROW(N_Bedarf!$CE$2:$CE$141)-1)/(--(SEARCH(CK$2,N_Bedarf!$CE$2:$CE$141)&gt;0)),ROW()-2),1),"")</f>
        <v>Süßlupine</v>
      </c>
      <c r="CK44" s="1836"/>
      <c r="CL44" s="1834" t="str">
        <f>IFERROR(INDEX(N_Bedarf!$CE$2:$CE$141,_xlfn.AGGREGATE(15,6,(ROW(N_Bedarf!$CE$2:$CE$141)-1)/(--(SEARCH(CM$2,N_Bedarf!$CE$2:$CE$141)&gt;0)),ROW()-2),1),"")</f>
        <v>Süßlupine</v>
      </c>
      <c r="CM44" s="1836"/>
      <c r="CN44" s="1834" t="str">
        <f>IFERROR(INDEX(N_Bedarf!$CE$2:$CE$141,_xlfn.AGGREGATE(15,6,(ROW(N_Bedarf!$CE$2:$CE$141)-1)/(--(SEARCH(CO$2,N_Bedarf!$CE$2:$CE$141)&gt;0)),ROW()-2),1),"")</f>
        <v>Süßlupine</v>
      </c>
      <c r="CO44" s="1836"/>
      <c r="CP44" s="1834" t="str">
        <f>IFERROR(INDEX(N_Bedarf!$CE$2:$CE$141,_xlfn.AGGREGATE(15,6,(ROW(N_Bedarf!$CE$2:$CE$141)-1)/(--(SEARCH(CQ$2,N_Bedarf!$CE$2:$CE$141)&gt;0)),ROW()-2),1),"")</f>
        <v>Süßlupine</v>
      </c>
      <c r="CQ44" s="1836"/>
      <c r="CR44" s="1834" t="str">
        <f>IFERROR(INDEX(N_Bedarf!$CE$2:$CE$141,_xlfn.AGGREGATE(15,6,(ROW(N_Bedarf!$CE$2:$CE$141)-1)/(--(SEARCH(CS$2,N_Bedarf!$CE$2:$CE$141)&gt;0)),ROW()-2),1),"")</f>
        <v>Süßlupine</v>
      </c>
      <c r="CS44" s="1836"/>
      <c r="CT44" s="1834" t="str">
        <f>IFERROR(INDEX(N_Bedarf!$CE$2:$CE$141,_xlfn.AGGREGATE(15,6,(ROW(N_Bedarf!$CE$2:$CE$141)-1)/(--(SEARCH(CU$2,N_Bedarf!$CE$2:$CE$141)&gt;0)),ROW()-2),1),"")</f>
        <v>Süßlupine</v>
      </c>
      <c r="CU44" s="1836"/>
      <c r="CV44" s="1834" t="str">
        <f>IFERROR(INDEX(N_Bedarf!$CE$2:$CE$141,_xlfn.AGGREGATE(15,6,(ROW(N_Bedarf!$CE$2:$CE$141)-1)/(--(SEARCH(CW$2,N_Bedarf!$CE$2:$CE$141)&gt;0)),ROW()-2),1),"")</f>
        <v>Süßlupine</v>
      </c>
      <c r="CW44" s="1836"/>
      <c r="CX44" s="1834" t="str">
        <f>IFERROR(INDEX(N_Bedarf!$CE$2:$CE$141,_xlfn.AGGREGATE(15,6,(ROW(N_Bedarf!$CE$2:$CE$141)-1)/(--(SEARCH(CY$2,N_Bedarf!$CE$2:$CE$141)&gt;0)),ROW()-2),1),"")</f>
        <v>Süßlupine</v>
      </c>
      <c r="CY44" s="1836"/>
      <c r="CZ44" s="1834" t="str">
        <f>IFERROR(INDEX(N_Bedarf!$CE$2:$CE$141,_xlfn.AGGREGATE(15,6,(ROW(N_Bedarf!$CE$2:$CE$141)-1)/(--(SEARCH(DA$2,N_Bedarf!$CE$2:$CE$141)&gt;0)),ROW()-2),1),"")</f>
        <v>Süßlupine</v>
      </c>
      <c r="DA44" s="1836"/>
      <c r="DB44" s="1834" t="str">
        <f>IFERROR(INDEX(N_Bedarf!$CE$2:$CE$141,_xlfn.AGGREGATE(15,6,(ROW(N_Bedarf!$CE$2:$CE$141)-1)/(--(SEARCH(DC$2,N_Bedarf!$CE$2:$CE$141)&gt;0)),ROW()-2),1),"")</f>
        <v>Süßlupine</v>
      </c>
      <c r="DC44" s="1836"/>
      <c r="DD44" s="1834" t="str">
        <f>IFERROR(INDEX(N_Bedarf!$CE$2:$CE$141,_xlfn.AGGREGATE(15,6,(ROW(N_Bedarf!$CE$2:$CE$141)-1)/(--(SEARCH(DE$2,N_Bedarf!$CE$2:$CE$141)&gt;0)),ROW()-2),1),"")</f>
        <v>Süßlupine</v>
      </c>
      <c r="DE44" s="1836"/>
      <c r="DF44" s="2353" t="str">
        <f t="array" ref="DF44">IFERROR(INDEX(N_Bedarf!$CE$2:$CE$141,_xlfn.AGGREGATE(15,6,(ROW(N_Bedarf!$CE$2:$CE$141)-1)/(--(SEARCH(DG$2,N_Bedarf!$CE$2:$CE$141)&gt;0)),ROW()-2),1),"")</f>
        <v>Süßlupine</v>
      </c>
      <c r="DG44" s="2353"/>
      <c r="DH44" s="2355" t="str">
        <f t="array" ref="DH44">IFERROR(INDEX(N_Bedarf!$CE$2:$CE$141,_xlfn.AGGREGATE(15,6,(ROW(N_Bedarf!$CE$2:$CE$141)-1)/(--(SEARCH(DI$2,N_Bedarf!$CE$2:$CE$141)&gt;0)),ROW()-2),1),"")</f>
        <v>Süßlupine</v>
      </c>
      <c r="DI44" s="2355"/>
      <c r="DJ44" s="2356" t="str">
        <f t="array" ref="DJ44">IFERROR(INDEX(N_Bedarf!$CE$2:$CE$141,_xlfn.AGGREGATE(15,6,(ROW(N_Bedarf!$CE$2:$CE$141)-1)/(--(SEARCH(DK$2,N_Bedarf!$CE$2:$CE$141)&gt;0)),ROW()-2),1),"")</f>
        <v>Süßlupine</v>
      </c>
      <c r="DK44" s="2356"/>
      <c r="DL44" s="2356" t="str">
        <f t="array" ref="DL44">IFERROR(INDEX(N_Bedarf!$CE$2:$CE$141,_xlfn.AGGREGATE(15,6,(ROW(N_Bedarf!$CE$2:$CE$141)-1)/(--(SEARCH(DM$2,N_Bedarf!$CE$2:$CE$141)&gt;0)),ROW()-2),1),"")</f>
        <v>Süßlupine</v>
      </c>
      <c r="DM44" s="2356"/>
      <c r="DN44" s="2356" t="str">
        <f t="array" ref="DN44">IFERROR(INDEX(N_Bedarf!$CE$2:$CE$141,_xlfn.AGGREGATE(15,6,(ROW(N_Bedarf!$CE$2:$CE$141)-1)/(--(SEARCH(DO$2,N_Bedarf!$CE$2:$CE$141)&gt;0)),ROW()-2),1),"")</f>
        <v>Süßlupine</v>
      </c>
      <c r="DO44" s="2356"/>
      <c r="DP44" s="2356" t="str">
        <f t="array" ref="DP44">IFERROR(INDEX(N_Bedarf!$CE$2:$CE$141,_xlfn.AGGREGATE(15,6,(ROW(N_Bedarf!$CE$2:$CE$141)-1)/(--(SEARCH(DQ$2,N_Bedarf!$CE$2:$CE$141)&gt;0)),ROW()-2),1),"")</f>
        <v>Süßlupine</v>
      </c>
      <c r="DQ44" s="2356"/>
      <c r="DR44" s="2356" t="str">
        <f t="array" ref="DR44">IFERROR(INDEX(N_Bedarf!$CE$2:$CE$141,_xlfn.AGGREGATE(15,6,(ROW(N_Bedarf!$CE$2:$CE$141)-1)/(--(SEARCH(DS$2,N_Bedarf!$CE$2:$CE$141)&gt;0)),ROW()-2),1),"")</f>
        <v>Süßlupine</v>
      </c>
      <c r="DS44" s="2356"/>
      <c r="DT44" s="2356" t="str">
        <f t="array" ref="DT44">IFERROR(INDEX(N_Bedarf!$CE$2:$CE$141,_xlfn.AGGREGATE(15,6,(ROW(N_Bedarf!$CE$2:$CE$141)-1)/(--(SEARCH(DU$2,N_Bedarf!$CE$2:$CE$141)&gt;0)),ROW()-2),1),"")</f>
        <v>Süßlupine</v>
      </c>
      <c r="DU44" s="2356"/>
      <c r="DV44" s="2356" t="str">
        <f t="array" ref="DV44">IFERROR(INDEX(N_Bedarf!$CE$2:$CE$141,_xlfn.AGGREGATE(15,6,(ROW(N_Bedarf!$CE$2:$CE$141)-1)/(--(SEARCH(DW$2,N_Bedarf!$CE$2:$CE$141)&gt;0)),ROW()-2),1),"")</f>
        <v>Süßlupine</v>
      </c>
      <c r="DW44" s="2356"/>
      <c r="DX44" s="2356" t="str">
        <f t="array" ref="DX44">IFERROR(INDEX(N_Bedarf!$CE$2:$CE$141,_xlfn.AGGREGATE(15,6,(ROW(N_Bedarf!$CE$2:$CE$141)-1)/(--(SEARCH(DY$2,N_Bedarf!$CE$2:$CE$141)&gt;0)),ROW()-2),1),"")</f>
        <v>Süßlupine</v>
      </c>
      <c r="DY44" s="2356"/>
      <c r="DZ44" s="2356" t="str">
        <f t="array" ref="DZ44">IFERROR(INDEX(N_Bedarf!$CE$2:$CE$141,_xlfn.AGGREGATE(15,6,(ROW(N_Bedarf!$CE$2:$CE$141)-1)/(--(SEARCH(EA$2,N_Bedarf!$CE$2:$CE$141)&gt;0)),ROW()-2),1),"")</f>
        <v>Süßlupine</v>
      </c>
      <c r="EA44" s="2356"/>
      <c r="EB44" s="2356" t="str">
        <f t="array" ref="EB44">IFERROR(INDEX(N_Bedarf!$CE$2:$CE$141,_xlfn.AGGREGATE(15,6,(ROW(N_Bedarf!$CE$2:$CE$141)-1)/(--(SEARCH(EC$2,N_Bedarf!$CE$2:$CE$141)&gt;0)),ROW()-2),1),"")</f>
        <v>Süßlupine</v>
      </c>
      <c r="EC44" s="2356"/>
      <c r="ED44"/>
      <c r="EE44"/>
      <c r="EF44"/>
      <c r="EG44"/>
      <c r="EH44"/>
      <c r="EI44"/>
      <c r="EJ44"/>
      <c r="EK44"/>
      <c r="EL44"/>
      <c r="EM44"/>
      <c r="EN44"/>
      <c r="EO44"/>
      <c r="EP44"/>
      <c r="EQ44"/>
      <c r="ER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row>
    <row r="45" spans="1:291" ht="27" customHeight="1" thickTop="1" thickBot="1">
      <c r="A45" s="156"/>
      <c r="B45" s="156"/>
      <c r="C45" s="2454"/>
      <c r="D45" s="2455"/>
      <c r="E45" s="912"/>
      <c r="F45" s="913"/>
      <c r="G45" s="1916" t="str">
        <f t="shared" si="9"/>
        <v/>
      </c>
      <c r="H45" s="2296"/>
      <c r="I45" s="914">
        <f t="shared" si="22"/>
        <v>0</v>
      </c>
      <c r="J45" s="2297">
        <f t="shared" si="23"/>
        <v>0</v>
      </c>
      <c r="K45" s="2299"/>
      <c r="L45" s="915">
        <f t="shared" si="24"/>
        <v>0</v>
      </c>
      <c r="M45" s="2357">
        <f t="shared" si="25"/>
        <v>0</v>
      </c>
      <c r="AO45" s="156"/>
      <c r="AP45" s="1568" t="str">
        <f t="shared" si="3"/>
        <v/>
      </c>
      <c r="AQ45" s="472">
        <f t="shared" si="14"/>
        <v>0</v>
      </c>
      <c r="AR45" s="472">
        <f t="shared" si="15"/>
        <v>0</v>
      </c>
      <c r="AS45" s="472">
        <f t="shared" si="16"/>
        <v>0</v>
      </c>
      <c r="AT45" s="472">
        <f t="shared" si="17"/>
        <v>0</v>
      </c>
      <c r="AU45" s="472">
        <f t="shared" si="18"/>
        <v>0</v>
      </c>
      <c r="AV45" s="472">
        <f t="shared" si="19"/>
        <v>0</v>
      </c>
      <c r="AW45" s="472">
        <f t="shared" si="20"/>
        <v>0</v>
      </c>
      <c r="AX45" s="1722" t="s">
        <v>37</v>
      </c>
      <c r="AY45" s="681">
        <v>80</v>
      </c>
      <c r="AZ45" s="681">
        <v>70</v>
      </c>
      <c r="BA45" s="681" t="s">
        <v>585</v>
      </c>
      <c r="BB45" s="681">
        <v>110</v>
      </c>
      <c r="BC45" s="681">
        <v>95</v>
      </c>
      <c r="BD45" s="681" t="s">
        <v>1582</v>
      </c>
      <c r="BE45" s="681">
        <v>130</v>
      </c>
      <c r="BF45" s="681">
        <v>110</v>
      </c>
      <c r="BG45" s="681" t="s">
        <v>1399</v>
      </c>
      <c r="BH45" s="681">
        <v>140</v>
      </c>
      <c r="BI45" s="681">
        <v>120</v>
      </c>
      <c r="BJ45" s="681" t="s">
        <v>1400</v>
      </c>
      <c r="BK45" s="681">
        <v>150</v>
      </c>
      <c r="BL45" s="681">
        <v>130</v>
      </c>
      <c r="BM45" s="681" t="s">
        <v>1401</v>
      </c>
      <c r="BN45" s="471"/>
      <c r="BO45" s="821"/>
      <c r="BQ45" s="1722" t="s">
        <v>37</v>
      </c>
      <c r="BR45" s="470">
        <v>50</v>
      </c>
      <c r="BS45" s="470">
        <v>55</v>
      </c>
      <c r="BT45" s="470">
        <v>65</v>
      </c>
      <c r="BV45" s="1722" t="s">
        <v>37</v>
      </c>
      <c r="BW45" s="470">
        <v>70</v>
      </c>
      <c r="BX45" s="470">
        <v>80</v>
      </c>
      <c r="BY45" s="470">
        <v>90</v>
      </c>
      <c r="CA45" s="397"/>
      <c r="CB45"/>
      <c r="CC45"/>
      <c r="CD45"/>
      <c r="CE45" s="2310" t="s">
        <v>1800</v>
      </c>
      <c r="CF45" s="1834" t="str">
        <f>IFERROR(INDEX(N_Bedarf!$CE$2:$CE$141,_xlfn.AGGREGATE(15,6,(ROW(N_Bedarf!$CE$2:$CE$141)-1)/(--(SEARCH(CG$2,N_Bedarf!$CE$2:$CE$141)&gt;0)),ROW()-2),1),"")</f>
        <v>Bitterlupine</v>
      </c>
      <c r="CG45" s="1830"/>
      <c r="CH45" s="1834" t="str">
        <f>IFERROR(INDEX(N_Bedarf!$CE$2:$CE$141,_xlfn.AGGREGATE(15,6,(ROW(N_Bedarf!$CE$2:$CE$141)-1)/(--(SEARCH(CI$2,N_Bedarf!$CE$2:$CE$141)&gt;0)),ROW()-2),1),"")</f>
        <v>Bitterlupine</v>
      </c>
      <c r="CI45" s="1830"/>
      <c r="CJ45" s="1834" t="str">
        <f>IFERROR(INDEX(N_Bedarf!$CE$2:$CE$141,_xlfn.AGGREGATE(15,6,(ROW(N_Bedarf!$CE$2:$CE$141)-1)/(--(SEARCH(CK$2,N_Bedarf!$CE$2:$CE$141)&gt;0)),ROW()-2),1),"")</f>
        <v>Bitterlupine</v>
      </c>
      <c r="CK45" s="1830"/>
      <c r="CL45" s="1834" t="str">
        <f>IFERROR(INDEX(N_Bedarf!$CE$2:$CE$141,_xlfn.AGGREGATE(15,6,(ROW(N_Bedarf!$CE$2:$CE$141)-1)/(--(SEARCH(CM$2,N_Bedarf!$CE$2:$CE$141)&gt;0)),ROW()-2),1),"")</f>
        <v>Bitterlupine</v>
      </c>
      <c r="CM45" s="1830"/>
      <c r="CN45" s="1834" t="str">
        <f>IFERROR(INDEX(N_Bedarf!$CE$2:$CE$141,_xlfn.AGGREGATE(15,6,(ROW(N_Bedarf!$CE$2:$CE$141)-1)/(--(SEARCH(CO$2,N_Bedarf!$CE$2:$CE$141)&gt;0)),ROW()-2),1),"")</f>
        <v>Bitterlupine</v>
      </c>
      <c r="CO45" s="1830"/>
      <c r="CP45" s="1834" t="str">
        <f>IFERROR(INDEX(N_Bedarf!$CE$2:$CE$141,_xlfn.AGGREGATE(15,6,(ROW(N_Bedarf!$CE$2:$CE$141)-1)/(--(SEARCH(CQ$2,N_Bedarf!$CE$2:$CE$141)&gt;0)),ROW()-2),1),"")</f>
        <v>Bitterlupine</v>
      </c>
      <c r="CQ45" s="1830"/>
      <c r="CR45" s="1834" t="str">
        <f>IFERROR(INDEX(N_Bedarf!$CE$2:$CE$141,_xlfn.AGGREGATE(15,6,(ROW(N_Bedarf!$CE$2:$CE$141)-1)/(--(SEARCH(CS$2,N_Bedarf!$CE$2:$CE$141)&gt;0)),ROW()-2),1),"")</f>
        <v>Bitterlupine</v>
      </c>
      <c r="CS45" s="1830"/>
      <c r="CT45" s="1834" t="str">
        <f>IFERROR(INDEX(N_Bedarf!$CE$2:$CE$141,_xlfn.AGGREGATE(15,6,(ROW(N_Bedarf!$CE$2:$CE$141)-1)/(--(SEARCH(CU$2,N_Bedarf!$CE$2:$CE$141)&gt;0)),ROW()-2),1),"")</f>
        <v>Bitterlupine</v>
      </c>
      <c r="CU45" s="1830"/>
      <c r="CV45" s="1834" t="str">
        <f>IFERROR(INDEX(N_Bedarf!$CE$2:$CE$141,_xlfn.AGGREGATE(15,6,(ROW(N_Bedarf!$CE$2:$CE$141)-1)/(--(SEARCH(CW$2,N_Bedarf!$CE$2:$CE$141)&gt;0)),ROW()-2),1),"")</f>
        <v>Bitterlupine</v>
      </c>
      <c r="CW45" s="1830"/>
      <c r="CX45" s="1834" t="str">
        <f>IFERROR(INDEX(N_Bedarf!$CE$2:$CE$141,_xlfn.AGGREGATE(15,6,(ROW(N_Bedarf!$CE$2:$CE$141)-1)/(--(SEARCH(CY$2,N_Bedarf!$CE$2:$CE$141)&gt;0)),ROW()-2),1),"")</f>
        <v>Bitterlupine</v>
      </c>
      <c r="CY45" s="1830"/>
      <c r="CZ45" s="1834" t="str">
        <f>IFERROR(INDEX(N_Bedarf!$CE$2:$CE$141,_xlfn.AGGREGATE(15,6,(ROW(N_Bedarf!$CE$2:$CE$141)-1)/(--(SEARCH(DA$2,N_Bedarf!$CE$2:$CE$141)&gt;0)),ROW()-2),1),"")</f>
        <v>Bitterlupine</v>
      </c>
      <c r="DA45" s="1830"/>
      <c r="DB45" s="1834" t="str">
        <f>IFERROR(INDEX(N_Bedarf!$CE$2:$CE$141,_xlfn.AGGREGATE(15,6,(ROW(N_Bedarf!$CE$2:$CE$141)-1)/(--(SEARCH(DC$2,N_Bedarf!$CE$2:$CE$141)&gt;0)),ROW()-2),1),"")</f>
        <v>Bitterlupine</v>
      </c>
      <c r="DC45" s="1830"/>
      <c r="DD45" s="1834" t="str">
        <f>IFERROR(INDEX(N_Bedarf!$CE$2:$CE$141,_xlfn.AGGREGATE(15,6,(ROW(N_Bedarf!$CE$2:$CE$141)-1)/(--(SEARCH(DE$2,N_Bedarf!$CE$2:$CE$141)&gt;0)),ROW()-2),1),"")</f>
        <v>Bitterlupine</v>
      </c>
      <c r="DE45" s="1830"/>
      <c r="DF45" s="2353" t="str">
        <f t="array" ref="DF45">IFERROR(INDEX(N_Bedarf!$CE$2:$CE$141,_xlfn.AGGREGATE(15,6,(ROW(N_Bedarf!$CE$2:$CE$141)-1)/(--(SEARCH(DG$2,N_Bedarf!$CE$2:$CE$141)&gt;0)),ROW()-2),1),"")</f>
        <v>Bitterlupine</v>
      </c>
      <c r="DG45" s="2353"/>
      <c r="DH45" s="2355" t="str">
        <f t="array" ref="DH45">IFERROR(INDEX(N_Bedarf!$CE$2:$CE$141,_xlfn.AGGREGATE(15,6,(ROW(N_Bedarf!$CE$2:$CE$141)-1)/(--(SEARCH(DI$2,N_Bedarf!$CE$2:$CE$141)&gt;0)),ROW()-2),1),"")</f>
        <v>Bitterlupine</v>
      </c>
      <c r="DI45" s="2355"/>
      <c r="DJ45" s="2356" t="str">
        <f t="array" ref="DJ45">IFERROR(INDEX(N_Bedarf!$CE$2:$CE$141,_xlfn.AGGREGATE(15,6,(ROW(N_Bedarf!$CE$2:$CE$141)-1)/(--(SEARCH(DK$2,N_Bedarf!$CE$2:$CE$141)&gt;0)),ROW()-2),1),"")</f>
        <v>Bitterlupine</v>
      </c>
      <c r="DK45" s="2356"/>
      <c r="DL45" s="2356" t="str">
        <f t="array" ref="DL45">IFERROR(INDEX(N_Bedarf!$CE$2:$CE$141,_xlfn.AGGREGATE(15,6,(ROW(N_Bedarf!$CE$2:$CE$141)-1)/(--(SEARCH(DM$2,N_Bedarf!$CE$2:$CE$141)&gt;0)),ROW()-2),1),"")</f>
        <v>Bitterlupine</v>
      </c>
      <c r="DM45" s="2356"/>
      <c r="DN45" s="2356" t="str">
        <f t="array" ref="DN45">IFERROR(INDEX(N_Bedarf!$CE$2:$CE$141,_xlfn.AGGREGATE(15,6,(ROW(N_Bedarf!$CE$2:$CE$141)-1)/(--(SEARCH(DO$2,N_Bedarf!$CE$2:$CE$141)&gt;0)),ROW()-2),1),"")</f>
        <v>Bitterlupine</v>
      </c>
      <c r="DO45" s="2356"/>
      <c r="DP45" s="2356" t="str">
        <f t="array" ref="DP45">IFERROR(INDEX(N_Bedarf!$CE$2:$CE$141,_xlfn.AGGREGATE(15,6,(ROW(N_Bedarf!$CE$2:$CE$141)-1)/(--(SEARCH(DQ$2,N_Bedarf!$CE$2:$CE$141)&gt;0)),ROW()-2),1),"")</f>
        <v>Bitterlupine</v>
      </c>
      <c r="DQ45" s="2356"/>
      <c r="DR45" s="2356" t="str">
        <f t="array" ref="DR45">IFERROR(INDEX(N_Bedarf!$CE$2:$CE$141,_xlfn.AGGREGATE(15,6,(ROW(N_Bedarf!$CE$2:$CE$141)-1)/(--(SEARCH(DS$2,N_Bedarf!$CE$2:$CE$141)&gt;0)),ROW()-2),1),"")</f>
        <v>Bitterlupine</v>
      </c>
      <c r="DS45" s="2356"/>
      <c r="DT45" s="2356" t="str">
        <f t="array" ref="DT45">IFERROR(INDEX(N_Bedarf!$CE$2:$CE$141,_xlfn.AGGREGATE(15,6,(ROW(N_Bedarf!$CE$2:$CE$141)-1)/(--(SEARCH(DU$2,N_Bedarf!$CE$2:$CE$141)&gt;0)),ROW()-2),1),"")</f>
        <v>Bitterlupine</v>
      </c>
      <c r="DU45" s="2356"/>
      <c r="DV45" s="2356" t="str">
        <f t="array" ref="DV45">IFERROR(INDEX(N_Bedarf!$CE$2:$CE$141,_xlfn.AGGREGATE(15,6,(ROW(N_Bedarf!$CE$2:$CE$141)-1)/(--(SEARCH(DW$2,N_Bedarf!$CE$2:$CE$141)&gt;0)),ROW()-2),1),"")</f>
        <v>Bitterlupine</v>
      </c>
      <c r="DW45" s="2356"/>
      <c r="DX45" s="2356" t="str">
        <f t="array" ref="DX45">IFERROR(INDEX(N_Bedarf!$CE$2:$CE$141,_xlfn.AGGREGATE(15,6,(ROW(N_Bedarf!$CE$2:$CE$141)-1)/(--(SEARCH(DY$2,N_Bedarf!$CE$2:$CE$141)&gt;0)),ROW()-2),1),"")</f>
        <v>Bitterlupine</v>
      </c>
      <c r="DY45" s="2356"/>
      <c r="DZ45" s="2356" t="str">
        <f t="array" ref="DZ45">IFERROR(INDEX(N_Bedarf!$CE$2:$CE$141,_xlfn.AGGREGATE(15,6,(ROW(N_Bedarf!$CE$2:$CE$141)-1)/(--(SEARCH(EA$2,N_Bedarf!$CE$2:$CE$141)&gt;0)),ROW()-2),1),"")</f>
        <v>Bitterlupine</v>
      </c>
      <c r="EA45" s="2356"/>
      <c r="EB45" s="2356" t="str">
        <f t="array" ref="EB45">IFERROR(INDEX(N_Bedarf!$CE$2:$CE$141,_xlfn.AGGREGATE(15,6,(ROW(N_Bedarf!$CE$2:$CE$141)-1)/(--(SEARCH(EC$2,N_Bedarf!$CE$2:$CE$141)&gt;0)),ROW()-2),1),"")</f>
        <v>Bitterlupine</v>
      </c>
      <c r="EC45" s="2356"/>
      <c r="ED45"/>
      <c r="EE45"/>
      <c r="EF45"/>
      <c r="EG45"/>
      <c r="EH45"/>
      <c r="EI45"/>
      <c r="EJ45"/>
      <c r="EK45"/>
      <c r="EL45"/>
      <c r="EM45"/>
      <c r="EN45"/>
      <c r="EO45"/>
      <c r="EP45"/>
      <c r="EQ45"/>
      <c r="ER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row>
    <row r="46" spans="1:291" ht="27" customHeight="1" thickTop="1" thickBot="1">
      <c r="A46" s="156"/>
      <c r="B46" s="156"/>
      <c r="C46" s="2454"/>
      <c r="D46" s="2455"/>
      <c r="E46" s="912"/>
      <c r="F46" s="913"/>
      <c r="G46" s="1916" t="str">
        <f t="shared" si="9"/>
        <v/>
      </c>
      <c r="H46" s="2296"/>
      <c r="I46" s="914">
        <f t="shared" si="22"/>
        <v>0</v>
      </c>
      <c r="J46" s="2297">
        <f t="shared" si="23"/>
        <v>0</v>
      </c>
      <c r="K46" s="2299"/>
      <c r="L46" s="915">
        <f t="shared" si="24"/>
        <v>0</v>
      </c>
      <c r="M46" s="2357">
        <f t="shared" si="25"/>
        <v>0</v>
      </c>
      <c r="AO46" s="156"/>
      <c r="AP46" s="1568" t="str">
        <f t="shared" si="3"/>
        <v/>
      </c>
      <c r="AQ46" s="472">
        <f t="shared" si="14"/>
        <v>0</v>
      </c>
      <c r="AR46" s="472">
        <f t="shared" si="15"/>
        <v>0</v>
      </c>
      <c r="AS46" s="472">
        <f t="shared" si="16"/>
        <v>0</v>
      </c>
      <c r="AT46" s="472">
        <f t="shared" si="17"/>
        <v>0</v>
      </c>
      <c r="AU46" s="472">
        <f t="shared" si="18"/>
        <v>0</v>
      </c>
      <c r="AV46" s="472">
        <f t="shared" si="19"/>
        <v>0</v>
      </c>
      <c r="AW46" s="472">
        <f t="shared" si="20"/>
        <v>0</v>
      </c>
      <c r="AX46" s="1722" t="s">
        <v>1725</v>
      </c>
      <c r="AY46" s="681">
        <v>60</v>
      </c>
      <c r="AZ46" s="681">
        <v>50</v>
      </c>
      <c r="BA46" s="681"/>
      <c r="BB46" s="681">
        <v>60</v>
      </c>
      <c r="BC46" s="681">
        <v>50</v>
      </c>
      <c r="BD46" s="681"/>
      <c r="BE46" s="681">
        <v>60</v>
      </c>
      <c r="BF46" s="681">
        <v>50</v>
      </c>
      <c r="BG46" s="681"/>
      <c r="BH46" s="681">
        <v>60</v>
      </c>
      <c r="BI46" s="681">
        <v>50</v>
      </c>
      <c r="BJ46" s="681"/>
      <c r="BK46" s="681">
        <v>60</v>
      </c>
      <c r="BL46" s="681">
        <v>50</v>
      </c>
      <c r="BM46" s="681"/>
      <c r="BN46" s="471">
        <v>0</v>
      </c>
      <c r="BO46" s="821" t="s">
        <v>1764</v>
      </c>
      <c r="BP46"/>
      <c r="BQ46" s="1722" t="s">
        <v>1725</v>
      </c>
      <c r="BR46" s="470">
        <v>60</v>
      </c>
      <c r="BS46" s="470">
        <v>65</v>
      </c>
      <c r="BT46" s="470">
        <v>75</v>
      </c>
      <c r="BV46" s="1722" t="s">
        <v>1725</v>
      </c>
      <c r="BW46" s="470">
        <v>90</v>
      </c>
      <c r="BX46" s="470">
        <v>100</v>
      </c>
      <c r="BY46" s="470">
        <v>115</v>
      </c>
      <c r="CA46" s="397"/>
      <c r="CB46"/>
      <c r="CC46"/>
      <c r="CD46"/>
      <c r="CE46" s="2310" t="s">
        <v>1824</v>
      </c>
      <c r="CF46" s="1834" t="str">
        <f>IFERROR(INDEX(N_Bedarf!$CE$2:$CE$141,_xlfn.AGGREGATE(15,6,(ROW(N_Bedarf!$CE$2:$CE$141)-1)/(--(SEARCH(CG$2,N_Bedarf!$CE$2:$CE$141)&gt;0)),ROW()-2),1),"")</f>
        <v>Sommerlinsen</v>
      </c>
      <c r="CG46" s="1836"/>
      <c r="CH46" s="1834" t="str">
        <f>IFERROR(INDEX(N_Bedarf!$CE$2:$CE$141,_xlfn.AGGREGATE(15,6,(ROW(N_Bedarf!$CE$2:$CE$141)-1)/(--(SEARCH(CI$2,N_Bedarf!$CE$2:$CE$141)&gt;0)),ROW()-2),1),"")</f>
        <v>Sommerlinsen</v>
      </c>
      <c r="CI46" s="1836"/>
      <c r="CJ46" s="1834" t="str">
        <f>IFERROR(INDEX(N_Bedarf!$CE$2:$CE$141,_xlfn.AGGREGATE(15,6,(ROW(N_Bedarf!$CE$2:$CE$141)-1)/(--(SEARCH(CK$2,N_Bedarf!$CE$2:$CE$141)&gt;0)),ROW()-2),1),"")</f>
        <v>Sommerlinsen</v>
      </c>
      <c r="CK46" s="1836"/>
      <c r="CL46" s="1834" t="str">
        <f>IFERROR(INDEX(N_Bedarf!$CE$2:$CE$141,_xlfn.AGGREGATE(15,6,(ROW(N_Bedarf!$CE$2:$CE$141)-1)/(--(SEARCH(CM$2,N_Bedarf!$CE$2:$CE$141)&gt;0)),ROW()-2),1),"")</f>
        <v>Sommerlinsen</v>
      </c>
      <c r="CM46" s="1836"/>
      <c r="CN46" s="1834" t="str">
        <f>IFERROR(INDEX(N_Bedarf!$CE$2:$CE$141,_xlfn.AGGREGATE(15,6,(ROW(N_Bedarf!$CE$2:$CE$141)-1)/(--(SEARCH(CO$2,N_Bedarf!$CE$2:$CE$141)&gt;0)),ROW()-2),1),"")</f>
        <v>Sommerlinsen</v>
      </c>
      <c r="CO46" s="1836"/>
      <c r="CP46" s="1834" t="str">
        <f>IFERROR(INDEX(N_Bedarf!$CE$2:$CE$141,_xlfn.AGGREGATE(15,6,(ROW(N_Bedarf!$CE$2:$CE$141)-1)/(--(SEARCH(CQ$2,N_Bedarf!$CE$2:$CE$141)&gt;0)),ROW()-2),1),"")</f>
        <v>Sommerlinsen</v>
      </c>
      <c r="CQ46" s="1836"/>
      <c r="CR46" s="1834" t="str">
        <f>IFERROR(INDEX(N_Bedarf!$CE$2:$CE$141,_xlfn.AGGREGATE(15,6,(ROW(N_Bedarf!$CE$2:$CE$141)-1)/(--(SEARCH(CS$2,N_Bedarf!$CE$2:$CE$141)&gt;0)),ROW()-2),1),"")</f>
        <v>Sommerlinsen</v>
      </c>
      <c r="CS46" s="1836"/>
      <c r="CT46" s="1834" t="str">
        <f>IFERROR(INDEX(N_Bedarf!$CE$2:$CE$141,_xlfn.AGGREGATE(15,6,(ROW(N_Bedarf!$CE$2:$CE$141)-1)/(--(SEARCH(CU$2,N_Bedarf!$CE$2:$CE$141)&gt;0)),ROW()-2),1),"")</f>
        <v>Sommerlinsen</v>
      </c>
      <c r="CU46" s="1836"/>
      <c r="CV46" s="1834" t="str">
        <f>IFERROR(INDEX(N_Bedarf!$CE$2:$CE$141,_xlfn.AGGREGATE(15,6,(ROW(N_Bedarf!$CE$2:$CE$141)-1)/(--(SEARCH(CW$2,N_Bedarf!$CE$2:$CE$141)&gt;0)),ROW()-2),1),"")</f>
        <v>Sommerlinsen</v>
      </c>
      <c r="CW46" s="1836"/>
      <c r="CX46" s="1834" t="str">
        <f>IFERROR(INDEX(N_Bedarf!$CE$2:$CE$141,_xlfn.AGGREGATE(15,6,(ROW(N_Bedarf!$CE$2:$CE$141)-1)/(--(SEARCH(CY$2,N_Bedarf!$CE$2:$CE$141)&gt;0)),ROW()-2),1),"")</f>
        <v>Sommerlinsen</v>
      </c>
      <c r="CY46" s="1836"/>
      <c r="CZ46" s="1834" t="str">
        <f>IFERROR(INDEX(N_Bedarf!$CE$2:$CE$141,_xlfn.AGGREGATE(15,6,(ROW(N_Bedarf!$CE$2:$CE$141)-1)/(--(SEARCH(DA$2,N_Bedarf!$CE$2:$CE$141)&gt;0)),ROW()-2),1),"")</f>
        <v>Sommerlinsen</v>
      </c>
      <c r="DA46" s="1836"/>
      <c r="DB46" s="1834" t="str">
        <f>IFERROR(INDEX(N_Bedarf!$CE$2:$CE$141,_xlfn.AGGREGATE(15,6,(ROW(N_Bedarf!$CE$2:$CE$141)-1)/(--(SEARCH(DC$2,N_Bedarf!$CE$2:$CE$141)&gt;0)),ROW()-2),1),"")</f>
        <v>Sommerlinsen</v>
      </c>
      <c r="DC46" s="1836"/>
      <c r="DD46" s="1834" t="str">
        <f>IFERROR(INDEX(N_Bedarf!$CE$2:$CE$141,_xlfn.AGGREGATE(15,6,(ROW(N_Bedarf!$CE$2:$CE$141)-1)/(--(SEARCH(DE$2,N_Bedarf!$CE$2:$CE$141)&gt;0)),ROW()-2),1),"")</f>
        <v>Sommerlinsen</v>
      </c>
      <c r="DE46" s="1836"/>
      <c r="DF46" s="2353" t="str">
        <f t="array" ref="DF46">IFERROR(INDEX(N_Bedarf!$CE$2:$CE$141,_xlfn.AGGREGATE(15,6,(ROW(N_Bedarf!$CE$2:$CE$141)-1)/(--(SEARCH(DG$2,N_Bedarf!$CE$2:$CE$141)&gt;0)),ROW()-2),1),"")</f>
        <v>Sommerlinsen</v>
      </c>
      <c r="DG46" s="2353"/>
      <c r="DH46" s="2355" t="str">
        <f t="array" ref="DH46">IFERROR(INDEX(N_Bedarf!$CE$2:$CE$141,_xlfn.AGGREGATE(15,6,(ROW(N_Bedarf!$CE$2:$CE$141)-1)/(--(SEARCH(DI$2,N_Bedarf!$CE$2:$CE$141)&gt;0)),ROW()-2),1),"")</f>
        <v>Sommerlinsen</v>
      </c>
      <c r="DI46" s="2355"/>
      <c r="DJ46" s="2356" t="str">
        <f t="array" ref="DJ46">IFERROR(INDEX(N_Bedarf!$CE$2:$CE$141,_xlfn.AGGREGATE(15,6,(ROW(N_Bedarf!$CE$2:$CE$141)-1)/(--(SEARCH(DK$2,N_Bedarf!$CE$2:$CE$141)&gt;0)),ROW()-2),1),"")</f>
        <v>Sommerlinsen</v>
      </c>
      <c r="DK46" s="2356"/>
      <c r="DL46" s="2356" t="str">
        <f t="array" ref="DL46">IFERROR(INDEX(N_Bedarf!$CE$2:$CE$141,_xlfn.AGGREGATE(15,6,(ROW(N_Bedarf!$CE$2:$CE$141)-1)/(--(SEARCH(DM$2,N_Bedarf!$CE$2:$CE$141)&gt;0)),ROW()-2),1),"")</f>
        <v>Sommerlinsen</v>
      </c>
      <c r="DM46" s="2356"/>
      <c r="DN46" s="2356" t="str">
        <f t="array" ref="DN46">IFERROR(INDEX(N_Bedarf!$CE$2:$CE$141,_xlfn.AGGREGATE(15,6,(ROW(N_Bedarf!$CE$2:$CE$141)-1)/(--(SEARCH(DO$2,N_Bedarf!$CE$2:$CE$141)&gt;0)),ROW()-2),1),"")</f>
        <v>Sommerlinsen</v>
      </c>
      <c r="DO46" s="2356"/>
      <c r="DP46" s="2356" t="str">
        <f t="array" ref="DP46">IFERROR(INDEX(N_Bedarf!$CE$2:$CE$141,_xlfn.AGGREGATE(15,6,(ROW(N_Bedarf!$CE$2:$CE$141)-1)/(--(SEARCH(DQ$2,N_Bedarf!$CE$2:$CE$141)&gt;0)),ROW()-2),1),"")</f>
        <v>Sommerlinsen</v>
      </c>
      <c r="DQ46" s="2356"/>
      <c r="DR46" s="2356" t="str">
        <f t="array" ref="DR46">IFERROR(INDEX(N_Bedarf!$CE$2:$CE$141,_xlfn.AGGREGATE(15,6,(ROW(N_Bedarf!$CE$2:$CE$141)-1)/(--(SEARCH(DS$2,N_Bedarf!$CE$2:$CE$141)&gt;0)),ROW()-2),1),"")</f>
        <v>Sommerlinsen</v>
      </c>
      <c r="DS46" s="2356"/>
      <c r="DT46" s="2356" t="str">
        <f t="array" ref="DT46">IFERROR(INDEX(N_Bedarf!$CE$2:$CE$141,_xlfn.AGGREGATE(15,6,(ROW(N_Bedarf!$CE$2:$CE$141)-1)/(--(SEARCH(DU$2,N_Bedarf!$CE$2:$CE$141)&gt;0)),ROW()-2),1),"")</f>
        <v>Sommerlinsen</v>
      </c>
      <c r="DU46" s="2356"/>
      <c r="DV46" s="2356" t="str">
        <f t="array" ref="DV46">IFERROR(INDEX(N_Bedarf!$CE$2:$CE$141,_xlfn.AGGREGATE(15,6,(ROW(N_Bedarf!$CE$2:$CE$141)-1)/(--(SEARCH(DW$2,N_Bedarf!$CE$2:$CE$141)&gt;0)),ROW()-2),1),"")</f>
        <v>Sommerlinsen</v>
      </c>
      <c r="DW46" s="2356"/>
      <c r="DX46" s="2356" t="str">
        <f t="array" ref="DX46">IFERROR(INDEX(N_Bedarf!$CE$2:$CE$141,_xlfn.AGGREGATE(15,6,(ROW(N_Bedarf!$CE$2:$CE$141)-1)/(--(SEARCH(DY$2,N_Bedarf!$CE$2:$CE$141)&gt;0)),ROW()-2),1),"")</f>
        <v>Sommerlinsen</v>
      </c>
      <c r="DY46" s="2356"/>
      <c r="DZ46" s="2356" t="str">
        <f t="array" ref="DZ46">IFERROR(INDEX(N_Bedarf!$CE$2:$CE$141,_xlfn.AGGREGATE(15,6,(ROW(N_Bedarf!$CE$2:$CE$141)-1)/(--(SEARCH(EA$2,N_Bedarf!$CE$2:$CE$141)&gt;0)),ROW()-2),1),"")</f>
        <v>Sommerlinsen</v>
      </c>
      <c r="EA46" s="2356"/>
      <c r="EB46" s="2356" t="str">
        <f t="array" ref="EB46">IFERROR(INDEX(N_Bedarf!$CE$2:$CE$141,_xlfn.AGGREGATE(15,6,(ROW(N_Bedarf!$CE$2:$CE$141)-1)/(--(SEARCH(EC$2,N_Bedarf!$CE$2:$CE$141)&gt;0)),ROW()-2),1),"")</f>
        <v>Sommerlinsen</v>
      </c>
      <c r="EC46" s="2356"/>
      <c r="ED46"/>
      <c r="EE46"/>
      <c r="EF46"/>
      <c r="EG46"/>
      <c r="EH46"/>
      <c r="EI46"/>
      <c r="EJ46"/>
      <c r="EK46"/>
      <c r="EL46"/>
      <c r="EM46"/>
      <c r="EN46"/>
      <c r="EO46"/>
      <c r="EP46"/>
      <c r="EQ46"/>
      <c r="ER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row>
    <row r="47" spans="1:291" ht="27" customHeight="1" thickTop="1" thickBot="1">
      <c r="A47" s="156"/>
      <c r="B47" s="156"/>
      <c r="C47" s="2454"/>
      <c r="D47" s="2455"/>
      <c r="E47" s="912"/>
      <c r="F47" s="913"/>
      <c r="G47" s="1916" t="str">
        <f t="shared" si="9"/>
        <v/>
      </c>
      <c r="H47" s="2296"/>
      <c r="I47" s="914">
        <f t="shared" si="22"/>
        <v>0</v>
      </c>
      <c r="J47" s="2297">
        <f t="shared" si="23"/>
        <v>0</v>
      </c>
      <c r="K47" s="2299"/>
      <c r="L47" s="915">
        <f t="shared" si="24"/>
        <v>0</v>
      </c>
      <c r="M47" s="2357">
        <f t="shared" si="25"/>
        <v>0</v>
      </c>
      <c r="AO47" s="156"/>
      <c r="AP47" s="1568" t="str">
        <f t="shared" si="3"/>
        <v/>
      </c>
      <c r="AQ47" s="472">
        <f t="shared" si="14"/>
        <v>0</v>
      </c>
      <c r="AR47" s="472">
        <f t="shared" si="15"/>
        <v>0</v>
      </c>
      <c r="AS47" s="472">
        <f t="shared" si="16"/>
        <v>0</v>
      </c>
      <c r="AT47" s="472">
        <f t="shared" si="17"/>
        <v>0</v>
      </c>
      <c r="AU47" s="472">
        <f t="shared" si="18"/>
        <v>0</v>
      </c>
      <c r="AV47" s="472">
        <f t="shared" si="19"/>
        <v>0</v>
      </c>
      <c r="AW47" s="472">
        <f t="shared" si="20"/>
        <v>0</v>
      </c>
      <c r="AX47" s="1722" t="s">
        <v>1687</v>
      </c>
      <c r="AY47" s="681">
        <v>60</v>
      </c>
      <c r="AZ47" s="681">
        <v>50</v>
      </c>
      <c r="BA47" s="681" t="s">
        <v>2655</v>
      </c>
      <c r="BB47" s="681">
        <v>60</v>
      </c>
      <c r="BC47" s="681">
        <v>50</v>
      </c>
      <c r="BD47" s="681" t="s">
        <v>2706</v>
      </c>
      <c r="BE47" s="681">
        <v>60</v>
      </c>
      <c r="BF47" s="681">
        <v>50</v>
      </c>
      <c r="BG47" s="681" t="s">
        <v>2737</v>
      </c>
      <c r="BH47" s="681">
        <v>60</v>
      </c>
      <c r="BI47" s="681">
        <v>50</v>
      </c>
      <c r="BJ47" s="681" t="s">
        <v>2750</v>
      </c>
      <c r="BK47" s="681">
        <v>60</v>
      </c>
      <c r="BL47" s="681">
        <v>50</v>
      </c>
      <c r="BM47" s="681" t="s">
        <v>2611</v>
      </c>
      <c r="BN47" s="471" t="s">
        <v>1764</v>
      </c>
      <c r="BO47" s="821" t="s">
        <v>1764</v>
      </c>
      <c r="BP47"/>
      <c r="BQ47" s="1722" t="s">
        <v>1687</v>
      </c>
      <c r="BR47" s="470">
        <v>60</v>
      </c>
      <c r="BS47" s="470">
        <v>65</v>
      </c>
      <c r="BT47" s="470">
        <v>75</v>
      </c>
      <c r="BV47" s="1722" t="s">
        <v>1687</v>
      </c>
      <c r="BW47" s="470">
        <v>90</v>
      </c>
      <c r="BX47" s="470">
        <v>100</v>
      </c>
      <c r="BY47" s="470">
        <v>115</v>
      </c>
      <c r="CA47" s="397"/>
      <c r="CB47"/>
      <c r="CC47"/>
      <c r="CD47"/>
      <c r="CE47" s="2310" t="s">
        <v>1705</v>
      </c>
      <c r="CF47" s="1834" t="str">
        <f>IFERROR(INDEX(N_Bedarf!$CE$2:$CE$141,_xlfn.AGGREGATE(15,6,(ROW(N_Bedarf!$CE$2:$CE$141)-1)/(--(SEARCH(CG$2,N_Bedarf!$CE$2:$CE$141)&gt;0)),ROW()-2),1),"")</f>
        <v>Winterlinsen</v>
      </c>
      <c r="CG47" s="1830"/>
      <c r="CH47" s="1834" t="str">
        <f>IFERROR(INDEX(N_Bedarf!$CE$2:$CE$141,_xlfn.AGGREGATE(15,6,(ROW(N_Bedarf!$CE$2:$CE$141)-1)/(--(SEARCH(CI$2,N_Bedarf!$CE$2:$CE$141)&gt;0)),ROW()-2),1),"")</f>
        <v>Winterlinsen</v>
      </c>
      <c r="CI47" s="1830"/>
      <c r="CJ47" s="1834" t="str">
        <f>IFERROR(INDEX(N_Bedarf!$CE$2:$CE$141,_xlfn.AGGREGATE(15,6,(ROW(N_Bedarf!$CE$2:$CE$141)-1)/(--(SEARCH(CK$2,N_Bedarf!$CE$2:$CE$141)&gt;0)),ROW()-2),1),"")</f>
        <v>Winterlinsen</v>
      </c>
      <c r="CK47" s="1830"/>
      <c r="CL47" s="1834" t="str">
        <f>IFERROR(INDEX(N_Bedarf!$CE$2:$CE$141,_xlfn.AGGREGATE(15,6,(ROW(N_Bedarf!$CE$2:$CE$141)-1)/(--(SEARCH(CM$2,N_Bedarf!$CE$2:$CE$141)&gt;0)),ROW()-2),1),"")</f>
        <v>Winterlinsen</v>
      </c>
      <c r="CM47" s="1830"/>
      <c r="CN47" s="1834" t="str">
        <f>IFERROR(INDEX(N_Bedarf!$CE$2:$CE$141,_xlfn.AGGREGATE(15,6,(ROW(N_Bedarf!$CE$2:$CE$141)-1)/(--(SEARCH(CO$2,N_Bedarf!$CE$2:$CE$141)&gt;0)),ROW()-2),1),"")</f>
        <v>Winterlinsen</v>
      </c>
      <c r="CO47" s="1830"/>
      <c r="CP47" s="1834" t="str">
        <f>IFERROR(INDEX(N_Bedarf!$CE$2:$CE$141,_xlfn.AGGREGATE(15,6,(ROW(N_Bedarf!$CE$2:$CE$141)-1)/(--(SEARCH(CQ$2,N_Bedarf!$CE$2:$CE$141)&gt;0)),ROW()-2),1),"")</f>
        <v>Winterlinsen</v>
      </c>
      <c r="CQ47" s="1830"/>
      <c r="CR47" s="1834" t="str">
        <f>IFERROR(INDEX(N_Bedarf!$CE$2:$CE$141,_xlfn.AGGREGATE(15,6,(ROW(N_Bedarf!$CE$2:$CE$141)-1)/(--(SEARCH(CS$2,N_Bedarf!$CE$2:$CE$141)&gt;0)),ROW()-2),1),"")</f>
        <v>Winterlinsen</v>
      </c>
      <c r="CS47" s="1830"/>
      <c r="CT47" s="1834" t="str">
        <f>IFERROR(INDEX(N_Bedarf!$CE$2:$CE$141,_xlfn.AGGREGATE(15,6,(ROW(N_Bedarf!$CE$2:$CE$141)-1)/(--(SEARCH(CU$2,N_Bedarf!$CE$2:$CE$141)&gt;0)),ROW()-2),1),"")</f>
        <v>Winterlinsen</v>
      </c>
      <c r="CU47" s="1830"/>
      <c r="CV47" s="1834" t="str">
        <f>IFERROR(INDEX(N_Bedarf!$CE$2:$CE$141,_xlfn.AGGREGATE(15,6,(ROW(N_Bedarf!$CE$2:$CE$141)-1)/(--(SEARCH(CW$2,N_Bedarf!$CE$2:$CE$141)&gt;0)),ROW()-2),1),"")</f>
        <v>Winterlinsen</v>
      </c>
      <c r="CW47" s="1830"/>
      <c r="CX47" s="1834" t="str">
        <f>IFERROR(INDEX(N_Bedarf!$CE$2:$CE$141,_xlfn.AGGREGATE(15,6,(ROW(N_Bedarf!$CE$2:$CE$141)-1)/(--(SEARCH(CY$2,N_Bedarf!$CE$2:$CE$141)&gt;0)),ROW()-2),1),"")</f>
        <v>Winterlinsen</v>
      </c>
      <c r="CY47" s="1830"/>
      <c r="CZ47" s="1834" t="str">
        <f>IFERROR(INDEX(N_Bedarf!$CE$2:$CE$141,_xlfn.AGGREGATE(15,6,(ROW(N_Bedarf!$CE$2:$CE$141)-1)/(--(SEARCH(DA$2,N_Bedarf!$CE$2:$CE$141)&gt;0)),ROW()-2),1),"")</f>
        <v>Winterlinsen</v>
      </c>
      <c r="DA47" s="1830"/>
      <c r="DB47" s="1834" t="str">
        <f>IFERROR(INDEX(N_Bedarf!$CE$2:$CE$141,_xlfn.AGGREGATE(15,6,(ROW(N_Bedarf!$CE$2:$CE$141)-1)/(--(SEARCH(DC$2,N_Bedarf!$CE$2:$CE$141)&gt;0)),ROW()-2),1),"")</f>
        <v>Winterlinsen</v>
      </c>
      <c r="DC47" s="1830"/>
      <c r="DD47" s="1834" t="str">
        <f>IFERROR(INDEX(N_Bedarf!$CE$2:$CE$141,_xlfn.AGGREGATE(15,6,(ROW(N_Bedarf!$CE$2:$CE$141)-1)/(--(SEARCH(DE$2,N_Bedarf!$CE$2:$CE$141)&gt;0)),ROW()-2),1),"")</f>
        <v>Winterlinsen</v>
      </c>
      <c r="DE47" s="1830"/>
      <c r="DF47" s="2353" t="str">
        <f t="array" ref="DF47">IFERROR(INDEX(N_Bedarf!$CE$2:$CE$141,_xlfn.AGGREGATE(15,6,(ROW(N_Bedarf!$CE$2:$CE$141)-1)/(--(SEARCH(DG$2,N_Bedarf!$CE$2:$CE$141)&gt;0)),ROW()-2),1),"")</f>
        <v>Winterlinsen</v>
      </c>
      <c r="DG47" s="2353"/>
      <c r="DH47" s="2355" t="str">
        <f t="array" ref="DH47">IFERROR(INDEX(N_Bedarf!$CE$2:$CE$141,_xlfn.AGGREGATE(15,6,(ROW(N_Bedarf!$CE$2:$CE$141)-1)/(--(SEARCH(DI$2,N_Bedarf!$CE$2:$CE$141)&gt;0)),ROW()-2),1),"")</f>
        <v>Winterlinsen</v>
      </c>
      <c r="DI47" s="2355"/>
      <c r="DJ47" s="2356" t="str">
        <f t="array" ref="DJ47">IFERROR(INDEX(N_Bedarf!$CE$2:$CE$141,_xlfn.AGGREGATE(15,6,(ROW(N_Bedarf!$CE$2:$CE$141)-1)/(--(SEARCH(DK$2,N_Bedarf!$CE$2:$CE$141)&gt;0)),ROW()-2),1),"")</f>
        <v>Winterlinsen</v>
      </c>
      <c r="DK47" s="2356"/>
      <c r="DL47" s="2356" t="str">
        <f t="array" ref="DL47">IFERROR(INDEX(N_Bedarf!$CE$2:$CE$141,_xlfn.AGGREGATE(15,6,(ROW(N_Bedarf!$CE$2:$CE$141)-1)/(--(SEARCH(DM$2,N_Bedarf!$CE$2:$CE$141)&gt;0)),ROW()-2),1),"")</f>
        <v>Winterlinsen</v>
      </c>
      <c r="DM47" s="2356"/>
      <c r="DN47" s="2356" t="str">
        <f t="array" ref="DN47">IFERROR(INDEX(N_Bedarf!$CE$2:$CE$141,_xlfn.AGGREGATE(15,6,(ROW(N_Bedarf!$CE$2:$CE$141)-1)/(--(SEARCH(DO$2,N_Bedarf!$CE$2:$CE$141)&gt;0)),ROW()-2),1),"")</f>
        <v>Winterlinsen</v>
      </c>
      <c r="DO47" s="2356"/>
      <c r="DP47" s="2356" t="str">
        <f t="array" ref="DP47">IFERROR(INDEX(N_Bedarf!$CE$2:$CE$141,_xlfn.AGGREGATE(15,6,(ROW(N_Bedarf!$CE$2:$CE$141)-1)/(--(SEARCH(DQ$2,N_Bedarf!$CE$2:$CE$141)&gt;0)),ROW()-2),1),"")</f>
        <v>Winterlinsen</v>
      </c>
      <c r="DQ47" s="2356"/>
      <c r="DR47" s="2356" t="str">
        <f t="array" ref="DR47">IFERROR(INDEX(N_Bedarf!$CE$2:$CE$141,_xlfn.AGGREGATE(15,6,(ROW(N_Bedarf!$CE$2:$CE$141)-1)/(--(SEARCH(DS$2,N_Bedarf!$CE$2:$CE$141)&gt;0)),ROW()-2),1),"")</f>
        <v>Winterlinsen</v>
      </c>
      <c r="DS47" s="2356"/>
      <c r="DT47" s="2356" t="str">
        <f t="array" ref="DT47">IFERROR(INDEX(N_Bedarf!$CE$2:$CE$141,_xlfn.AGGREGATE(15,6,(ROW(N_Bedarf!$CE$2:$CE$141)-1)/(--(SEARCH(DU$2,N_Bedarf!$CE$2:$CE$141)&gt;0)),ROW()-2),1),"")</f>
        <v>Winterlinsen</v>
      </c>
      <c r="DU47" s="2356"/>
      <c r="DV47" s="2356" t="str">
        <f t="array" ref="DV47">IFERROR(INDEX(N_Bedarf!$CE$2:$CE$141,_xlfn.AGGREGATE(15,6,(ROW(N_Bedarf!$CE$2:$CE$141)-1)/(--(SEARCH(DW$2,N_Bedarf!$CE$2:$CE$141)&gt;0)),ROW()-2),1),"")</f>
        <v>Winterlinsen</v>
      </c>
      <c r="DW47" s="2356"/>
      <c r="DX47" s="2356" t="str">
        <f t="array" ref="DX47">IFERROR(INDEX(N_Bedarf!$CE$2:$CE$141,_xlfn.AGGREGATE(15,6,(ROW(N_Bedarf!$CE$2:$CE$141)-1)/(--(SEARCH(DY$2,N_Bedarf!$CE$2:$CE$141)&gt;0)),ROW()-2),1),"")</f>
        <v>Winterlinsen</v>
      </c>
      <c r="DY47" s="2356"/>
      <c r="DZ47" s="2356" t="str">
        <f t="array" ref="DZ47">IFERROR(INDEX(N_Bedarf!$CE$2:$CE$141,_xlfn.AGGREGATE(15,6,(ROW(N_Bedarf!$CE$2:$CE$141)-1)/(--(SEARCH(EA$2,N_Bedarf!$CE$2:$CE$141)&gt;0)),ROW()-2),1),"")</f>
        <v>Winterlinsen</v>
      </c>
      <c r="EA47" s="2356"/>
      <c r="EB47" s="2356" t="str">
        <f t="array" ref="EB47">IFERROR(INDEX(N_Bedarf!$CE$2:$CE$141,_xlfn.AGGREGATE(15,6,(ROW(N_Bedarf!$CE$2:$CE$141)-1)/(--(SEARCH(EC$2,N_Bedarf!$CE$2:$CE$141)&gt;0)),ROW()-2),1),"")</f>
        <v>Winterlinsen</v>
      </c>
      <c r="EC47" s="2356"/>
      <c r="ED47"/>
      <c r="EE47"/>
      <c r="EF47"/>
      <c r="EG47"/>
      <c r="EH47"/>
      <c r="EI47"/>
      <c r="EJ47"/>
      <c r="EK47"/>
      <c r="EL47"/>
      <c r="EM47"/>
      <c r="EN47"/>
      <c r="EO47"/>
      <c r="EP47"/>
      <c r="EQ47"/>
      <c r="ER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row>
    <row r="48" spans="1:291" ht="27" customHeight="1" thickTop="1" thickBot="1">
      <c r="A48" s="156"/>
      <c r="B48" s="156"/>
      <c r="C48" s="2454"/>
      <c r="D48" s="2455"/>
      <c r="E48" s="912"/>
      <c r="F48" s="913"/>
      <c r="G48" s="1916" t="str">
        <f t="shared" si="9"/>
        <v/>
      </c>
      <c r="H48" s="2296"/>
      <c r="I48" s="914">
        <f t="shared" si="22"/>
        <v>0</v>
      </c>
      <c r="J48" s="2297">
        <f t="shared" si="23"/>
        <v>0</v>
      </c>
      <c r="K48" s="2299"/>
      <c r="L48" s="915">
        <f t="shared" si="24"/>
        <v>0</v>
      </c>
      <c r="M48" s="2357">
        <f t="shared" si="25"/>
        <v>0</v>
      </c>
      <c r="AO48" s="156"/>
      <c r="AP48" s="1568" t="str">
        <f t="shared" si="3"/>
        <v/>
      </c>
      <c r="AQ48" s="472">
        <f t="shared" si="14"/>
        <v>0</v>
      </c>
      <c r="AR48" s="472">
        <f t="shared" si="15"/>
        <v>0</v>
      </c>
      <c r="AS48" s="472">
        <f t="shared" si="16"/>
        <v>0</v>
      </c>
      <c r="AT48" s="472">
        <f t="shared" si="17"/>
        <v>0</v>
      </c>
      <c r="AU48" s="472">
        <f t="shared" si="18"/>
        <v>0</v>
      </c>
      <c r="AV48" s="472">
        <f t="shared" si="19"/>
        <v>0</v>
      </c>
      <c r="AW48" s="472">
        <f t="shared" si="20"/>
        <v>0</v>
      </c>
      <c r="AX48" s="1722" t="s">
        <v>1800</v>
      </c>
      <c r="AY48" s="681">
        <v>60</v>
      </c>
      <c r="AZ48" s="681">
        <v>50</v>
      </c>
      <c r="BA48" s="681" t="s">
        <v>2652</v>
      </c>
      <c r="BB48" s="681">
        <v>60</v>
      </c>
      <c r="BC48" s="681">
        <v>50</v>
      </c>
      <c r="BD48" s="681" t="s">
        <v>2665</v>
      </c>
      <c r="BE48" s="681">
        <v>60</v>
      </c>
      <c r="BF48" s="681">
        <v>50</v>
      </c>
      <c r="BG48" s="681" t="s">
        <v>2682</v>
      </c>
      <c r="BH48" s="681">
        <v>60</v>
      </c>
      <c r="BI48" s="681">
        <v>50</v>
      </c>
      <c r="BJ48" s="681" t="s">
        <v>2666</v>
      </c>
      <c r="BK48" s="681">
        <v>60</v>
      </c>
      <c r="BL48" s="681">
        <v>50</v>
      </c>
      <c r="BM48" s="681" t="s">
        <v>2568</v>
      </c>
      <c r="BN48" s="471" t="s">
        <v>1764</v>
      </c>
      <c r="BO48" s="821" t="s">
        <v>1764</v>
      </c>
      <c r="BP48"/>
      <c r="BQ48" s="1722" t="s">
        <v>1800</v>
      </c>
      <c r="BR48" s="470">
        <v>60</v>
      </c>
      <c r="BS48" s="470">
        <v>65</v>
      </c>
      <c r="BT48" s="470">
        <v>75</v>
      </c>
      <c r="BV48" s="1722" t="s">
        <v>1800</v>
      </c>
      <c r="BW48" s="470">
        <v>45</v>
      </c>
      <c r="BX48" s="470">
        <v>50</v>
      </c>
      <c r="BY48" s="470">
        <v>60</v>
      </c>
      <c r="CA48" s="397"/>
      <c r="CB48"/>
      <c r="CC48"/>
      <c r="CD48"/>
      <c r="CE48" s="2310" t="s">
        <v>1721</v>
      </c>
      <c r="CF48" s="1834" t="str">
        <f>IFERROR(INDEX(N_Bedarf!$CE$2:$CE$141,_xlfn.AGGREGATE(15,6,(ROW(N_Bedarf!$CE$2:$CE$141)-1)/(--(SEARCH(CG$2,N_Bedarf!$CE$2:$CE$141)&gt;0)),ROW()-2),1),"")</f>
        <v>Kichererbse</v>
      </c>
      <c r="CG48" s="1836"/>
      <c r="CH48" s="1834" t="str">
        <f>IFERROR(INDEX(N_Bedarf!$CE$2:$CE$141,_xlfn.AGGREGATE(15,6,(ROW(N_Bedarf!$CE$2:$CE$141)-1)/(--(SEARCH(CI$2,N_Bedarf!$CE$2:$CE$141)&gt;0)),ROW()-2),1),"")</f>
        <v>Kichererbse</v>
      </c>
      <c r="CI48" s="1836"/>
      <c r="CJ48" s="1834" t="str">
        <f>IFERROR(INDEX(N_Bedarf!$CE$2:$CE$141,_xlfn.AGGREGATE(15,6,(ROW(N_Bedarf!$CE$2:$CE$141)-1)/(--(SEARCH(CK$2,N_Bedarf!$CE$2:$CE$141)&gt;0)),ROW()-2),1),"")</f>
        <v>Kichererbse</v>
      </c>
      <c r="CK48" s="1836"/>
      <c r="CL48" s="1834" t="str">
        <f>IFERROR(INDEX(N_Bedarf!$CE$2:$CE$141,_xlfn.AGGREGATE(15,6,(ROW(N_Bedarf!$CE$2:$CE$141)-1)/(--(SEARCH(CM$2,N_Bedarf!$CE$2:$CE$141)&gt;0)),ROW()-2),1),"")</f>
        <v>Kichererbse</v>
      </c>
      <c r="CM48" s="1836"/>
      <c r="CN48" s="1834" t="str">
        <f>IFERROR(INDEX(N_Bedarf!$CE$2:$CE$141,_xlfn.AGGREGATE(15,6,(ROW(N_Bedarf!$CE$2:$CE$141)-1)/(--(SEARCH(CO$2,N_Bedarf!$CE$2:$CE$141)&gt;0)),ROW()-2),1),"")</f>
        <v>Kichererbse</v>
      </c>
      <c r="CO48" s="1836"/>
      <c r="CP48" s="1834" t="str">
        <f>IFERROR(INDEX(N_Bedarf!$CE$2:$CE$141,_xlfn.AGGREGATE(15,6,(ROW(N_Bedarf!$CE$2:$CE$141)-1)/(--(SEARCH(CQ$2,N_Bedarf!$CE$2:$CE$141)&gt;0)),ROW()-2),1),"")</f>
        <v>Kichererbse</v>
      </c>
      <c r="CQ48" s="1836"/>
      <c r="CR48" s="1834" t="str">
        <f>IFERROR(INDEX(N_Bedarf!$CE$2:$CE$141,_xlfn.AGGREGATE(15,6,(ROW(N_Bedarf!$CE$2:$CE$141)-1)/(--(SEARCH(CS$2,N_Bedarf!$CE$2:$CE$141)&gt;0)),ROW()-2),1),"")</f>
        <v>Kichererbse</v>
      </c>
      <c r="CS48" s="1836"/>
      <c r="CT48" s="1834" t="str">
        <f>IFERROR(INDEX(N_Bedarf!$CE$2:$CE$141,_xlfn.AGGREGATE(15,6,(ROW(N_Bedarf!$CE$2:$CE$141)-1)/(--(SEARCH(CU$2,N_Bedarf!$CE$2:$CE$141)&gt;0)),ROW()-2),1),"")</f>
        <v>Kichererbse</v>
      </c>
      <c r="CU48" s="1836"/>
      <c r="CV48" s="1834" t="str">
        <f>IFERROR(INDEX(N_Bedarf!$CE$2:$CE$141,_xlfn.AGGREGATE(15,6,(ROW(N_Bedarf!$CE$2:$CE$141)-1)/(--(SEARCH(CW$2,N_Bedarf!$CE$2:$CE$141)&gt;0)),ROW()-2),1),"")</f>
        <v>Kichererbse</v>
      </c>
      <c r="CW48" s="1836"/>
      <c r="CX48" s="1834" t="str">
        <f>IFERROR(INDEX(N_Bedarf!$CE$2:$CE$141,_xlfn.AGGREGATE(15,6,(ROW(N_Bedarf!$CE$2:$CE$141)-1)/(--(SEARCH(CY$2,N_Bedarf!$CE$2:$CE$141)&gt;0)),ROW()-2),1),"")</f>
        <v>Kichererbse</v>
      </c>
      <c r="CY48" s="1836"/>
      <c r="CZ48" s="1834" t="str">
        <f>IFERROR(INDEX(N_Bedarf!$CE$2:$CE$141,_xlfn.AGGREGATE(15,6,(ROW(N_Bedarf!$CE$2:$CE$141)-1)/(--(SEARCH(DA$2,N_Bedarf!$CE$2:$CE$141)&gt;0)),ROW()-2),1),"")</f>
        <v>Kichererbse</v>
      </c>
      <c r="DA48" s="1836"/>
      <c r="DB48" s="1834" t="str">
        <f>IFERROR(INDEX(N_Bedarf!$CE$2:$CE$141,_xlfn.AGGREGATE(15,6,(ROW(N_Bedarf!$CE$2:$CE$141)-1)/(--(SEARCH(DC$2,N_Bedarf!$CE$2:$CE$141)&gt;0)),ROW()-2),1),"")</f>
        <v>Kichererbse</v>
      </c>
      <c r="DC48" s="1836"/>
      <c r="DD48" s="1834" t="str">
        <f>IFERROR(INDEX(N_Bedarf!$CE$2:$CE$141,_xlfn.AGGREGATE(15,6,(ROW(N_Bedarf!$CE$2:$CE$141)-1)/(--(SEARCH(DE$2,N_Bedarf!$CE$2:$CE$141)&gt;0)),ROW()-2),1),"")</f>
        <v>Kichererbse</v>
      </c>
      <c r="DE48" s="1836"/>
      <c r="DF48" s="2353" t="str">
        <f t="array" ref="DF48">IFERROR(INDEX(N_Bedarf!$CE$2:$CE$141,_xlfn.AGGREGATE(15,6,(ROW(N_Bedarf!$CE$2:$CE$141)-1)/(--(SEARCH(DG$2,N_Bedarf!$CE$2:$CE$141)&gt;0)),ROW()-2),1),"")</f>
        <v>Kichererbse</v>
      </c>
      <c r="DG48" s="2353"/>
      <c r="DH48" s="2355" t="str">
        <f t="array" ref="DH48">IFERROR(INDEX(N_Bedarf!$CE$2:$CE$141,_xlfn.AGGREGATE(15,6,(ROW(N_Bedarf!$CE$2:$CE$141)-1)/(--(SEARCH(DI$2,N_Bedarf!$CE$2:$CE$141)&gt;0)),ROW()-2),1),"")</f>
        <v>Kichererbse</v>
      </c>
      <c r="DI48" s="2355"/>
      <c r="DJ48" s="2356" t="str">
        <f t="array" ref="DJ48">IFERROR(INDEX(N_Bedarf!$CE$2:$CE$141,_xlfn.AGGREGATE(15,6,(ROW(N_Bedarf!$CE$2:$CE$141)-1)/(--(SEARCH(DK$2,N_Bedarf!$CE$2:$CE$141)&gt;0)),ROW()-2),1),"")</f>
        <v>Kichererbse</v>
      </c>
      <c r="DK48" s="2356"/>
      <c r="DL48" s="2356" t="str">
        <f t="array" ref="DL48">IFERROR(INDEX(N_Bedarf!$CE$2:$CE$141,_xlfn.AGGREGATE(15,6,(ROW(N_Bedarf!$CE$2:$CE$141)-1)/(--(SEARCH(DM$2,N_Bedarf!$CE$2:$CE$141)&gt;0)),ROW()-2),1),"")</f>
        <v>Kichererbse</v>
      </c>
      <c r="DM48" s="2356"/>
      <c r="DN48" s="2356" t="str">
        <f t="array" ref="DN48">IFERROR(INDEX(N_Bedarf!$CE$2:$CE$141,_xlfn.AGGREGATE(15,6,(ROW(N_Bedarf!$CE$2:$CE$141)-1)/(--(SEARCH(DO$2,N_Bedarf!$CE$2:$CE$141)&gt;0)),ROW()-2),1),"")</f>
        <v>Kichererbse</v>
      </c>
      <c r="DO48" s="2356"/>
      <c r="DP48" s="2356" t="str">
        <f t="array" ref="DP48">IFERROR(INDEX(N_Bedarf!$CE$2:$CE$141,_xlfn.AGGREGATE(15,6,(ROW(N_Bedarf!$CE$2:$CE$141)-1)/(--(SEARCH(DQ$2,N_Bedarf!$CE$2:$CE$141)&gt;0)),ROW()-2),1),"")</f>
        <v>Kichererbse</v>
      </c>
      <c r="DQ48" s="2356"/>
      <c r="DR48" s="2356" t="str">
        <f t="array" ref="DR48">IFERROR(INDEX(N_Bedarf!$CE$2:$CE$141,_xlfn.AGGREGATE(15,6,(ROW(N_Bedarf!$CE$2:$CE$141)-1)/(--(SEARCH(DS$2,N_Bedarf!$CE$2:$CE$141)&gt;0)),ROW()-2),1),"")</f>
        <v>Kichererbse</v>
      </c>
      <c r="DS48" s="2356"/>
      <c r="DT48" s="2356" t="str">
        <f t="array" ref="DT48">IFERROR(INDEX(N_Bedarf!$CE$2:$CE$141,_xlfn.AGGREGATE(15,6,(ROW(N_Bedarf!$CE$2:$CE$141)-1)/(--(SEARCH(DU$2,N_Bedarf!$CE$2:$CE$141)&gt;0)),ROW()-2),1),"")</f>
        <v>Kichererbse</v>
      </c>
      <c r="DU48" s="2356"/>
      <c r="DV48" s="2356" t="str">
        <f t="array" ref="DV48">IFERROR(INDEX(N_Bedarf!$CE$2:$CE$141,_xlfn.AGGREGATE(15,6,(ROW(N_Bedarf!$CE$2:$CE$141)-1)/(--(SEARCH(DW$2,N_Bedarf!$CE$2:$CE$141)&gt;0)),ROW()-2),1),"")</f>
        <v>Kichererbse</v>
      </c>
      <c r="DW48" s="2356"/>
      <c r="DX48" s="2356" t="str">
        <f t="array" ref="DX48">IFERROR(INDEX(N_Bedarf!$CE$2:$CE$141,_xlfn.AGGREGATE(15,6,(ROW(N_Bedarf!$CE$2:$CE$141)-1)/(--(SEARCH(DY$2,N_Bedarf!$CE$2:$CE$141)&gt;0)),ROW()-2),1),"")</f>
        <v>Kichererbse</v>
      </c>
      <c r="DY48" s="2356"/>
      <c r="DZ48" s="2356" t="str">
        <f t="array" ref="DZ48">IFERROR(INDEX(N_Bedarf!$CE$2:$CE$141,_xlfn.AGGREGATE(15,6,(ROW(N_Bedarf!$CE$2:$CE$141)-1)/(--(SEARCH(EA$2,N_Bedarf!$CE$2:$CE$141)&gt;0)),ROW()-2),1),"")</f>
        <v>Kichererbse</v>
      </c>
      <c r="EA48" s="2356"/>
      <c r="EB48" s="2356" t="str">
        <f t="array" ref="EB48">IFERROR(INDEX(N_Bedarf!$CE$2:$CE$141,_xlfn.AGGREGATE(15,6,(ROW(N_Bedarf!$CE$2:$CE$141)-1)/(--(SEARCH(EC$2,N_Bedarf!$CE$2:$CE$141)&gt;0)),ROW()-2),1),"")</f>
        <v>Kichererbse</v>
      </c>
      <c r="EC48" s="2356"/>
      <c r="ED48"/>
      <c r="EE48"/>
      <c r="EF48"/>
      <c r="EG48"/>
      <c r="EH48"/>
      <c r="EI48"/>
      <c r="EJ48"/>
      <c r="EK48"/>
      <c r="EL48"/>
      <c r="EM48"/>
      <c r="EN48"/>
      <c r="EO48"/>
      <c r="EP48"/>
      <c r="EQ48"/>
      <c r="ER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row>
    <row r="49" spans="1:291" ht="27" customHeight="1" thickTop="1" thickBot="1">
      <c r="A49" s="156"/>
      <c r="B49" s="156"/>
      <c r="C49" s="2454"/>
      <c r="D49" s="2455"/>
      <c r="E49" s="912"/>
      <c r="F49" s="913"/>
      <c r="G49" s="1916" t="str">
        <f t="shared" si="9"/>
        <v/>
      </c>
      <c r="H49" s="2296"/>
      <c r="I49" s="914">
        <f t="shared" si="22"/>
        <v>0</v>
      </c>
      <c r="J49" s="2297">
        <f t="shared" si="23"/>
        <v>0</v>
      </c>
      <c r="K49" s="2299"/>
      <c r="L49" s="915">
        <f t="shared" si="24"/>
        <v>0</v>
      </c>
      <c r="M49" s="2357">
        <f t="shared" si="25"/>
        <v>0</v>
      </c>
      <c r="AO49" s="156"/>
      <c r="AP49" s="1568" t="str">
        <f t="shared" si="3"/>
        <v/>
      </c>
      <c r="AQ49" s="472">
        <f t="shared" si="14"/>
        <v>0</v>
      </c>
      <c r="AR49" s="472">
        <f t="shared" si="15"/>
        <v>0</v>
      </c>
      <c r="AS49" s="472">
        <f t="shared" si="16"/>
        <v>0</v>
      </c>
      <c r="AT49" s="472">
        <f t="shared" si="17"/>
        <v>0</v>
      </c>
      <c r="AU49" s="472">
        <f t="shared" si="18"/>
        <v>0</v>
      </c>
      <c r="AV49" s="472">
        <f t="shared" si="19"/>
        <v>0</v>
      </c>
      <c r="AW49" s="472">
        <f t="shared" si="20"/>
        <v>0</v>
      </c>
      <c r="AX49" s="1722" t="s">
        <v>1824</v>
      </c>
      <c r="AY49" s="681">
        <v>60</v>
      </c>
      <c r="AZ49" s="681">
        <v>50</v>
      </c>
      <c r="BA49" s="681" t="s">
        <v>2652</v>
      </c>
      <c r="BB49" s="681">
        <v>60</v>
      </c>
      <c r="BC49" s="681">
        <v>50</v>
      </c>
      <c r="BD49" s="681" t="s">
        <v>2665</v>
      </c>
      <c r="BE49" s="681">
        <v>60</v>
      </c>
      <c r="BF49" s="681">
        <v>50</v>
      </c>
      <c r="BG49" s="681" t="s">
        <v>2682</v>
      </c>
      <c r="BH49" s="681">
        <v>60</v>
      </c>
      <c r="BI49" s="681">
        <v>50</v>
      </c>
      <c r="BJ49" s="681" t="s">
        <v>2666</v>
      </c>
      <c r="BK49" s="681">
        <v>60</v>
      </c>
      <c r="BL49" s="681">
        <v>50</v>
      </c>
      <c r="BM49" s="681" t="s">
        <v>2568</v>
      </c>
      <c r="BN49" s="471" t="s">
        <v>1764</v>
      </c>
      <c r="BO49" s="821" t="s">
        <v>1764</v>
      </c>
      <c r="BP49"/>
      <c r="BQ49" s="1722" t="s">
        <v>1824</v>
      </c>
      <c r="BR49" s="470">
        <v>60</v>
      </c>
      <c r="BS49" s="470">
        <v>65</v>
      </c>
      <c r="BT49" s="470">
        <v>75</v>
      </c>
      <c r="BV49" s="1722" t="s">
        <v>1824</v>
      </c>
      <c r="BW49" s="470">
        <v>45</v>
      </c>
      <c r="BX49" s="470">
        <v>50</v>
      </c>
      <c r="BY49" s="470">
        <v>60</v>
      </c>
      <c r="CA49" s="397"/>
      <c r="CB49"/>
      <c r="CC49"/>
      <c r="CD49"/>
      <c r="CE49" s="2310" t="s">
        <v>1699</v>
      </c>
      <c r="CF49" s="1834" t="str">
        <f>IFERROR(INDEX(N_Bedarf!$CE$2:$CE$141,_xlfn.AGGREGATE(15,6,(ROW(N_Bedarf!$CE$2:$CE$141)-1)/(--(SEARCH(CG$2,N_Bedarf!$CE$2:$CE$141)&gt;0)),ROW()-2),1),"")</f>
        <v>Sonnenblume</v>
      </c>
      <c r="CG49" s="1830"/>
      <c r="CH49" s="1834" t="str">
        <f>IFERROR(INDEX(N_Bedarf!$CE$2:$CE$141,_xlfn.AGGREGATE(15,6,(ROW(N_Bedarf!$CE$2:$CE$141)-1)/(--(SEARCH(CI$2,N_Bedarf!$CE$2:$CE$141)&gt;0)),ROW()-2),1),"")</f>
        <v>Sonnenblume</v>
      </c>
      <c r="CI49" s="1830"/>
      <c r="CJ49" s="1834" t="str">
        <f>IFERROR(INDEX(N_Bedarf!$CE$2:$CE$141,_xlfn.AGGREGATE(15,6,(ROW(N_Bedarf!$CE$2:$CE$141)-1)/(--(SEARCH(CK$2,N_Bedarf!$CE$2:$CE$141)&gt;0)),ROW()-2),1),"")</f>
        <v>Sonnenblume</v>
      </c>
      <c r="CK49" s="1830"/>
      <c r="CL49" s="1834" t="str">
        <f>IFERROR(INDEX(N_Bedarf!$CE$2:$CE$141,_xlfn.AGGREGATE(15,6,(ROW(N_Bedarf!$CE$2:$CE$141)-1)/(--(SEARCH(CM$2,N_Bedarf!$CE$2:$CE$141)&gt;0)),ROW()-2),1),"")</f>
        <v>Sonnenblume</v>
      </c>
      <c r="CM49" s="1830"/>
      <c r="CN49" s="1834" t="str">
        <f>IFERROR(INDEX(N_Bedarf!$CE$2:$CE$141,_xlfn.AGGREGATE(15,6,(ROW(N_Bedarf!$CE$2:$CE$141)-1)/(--(SEARCH(CO$2,N_Bedarf!$CE$2:$CE$141)&gt;0)),ROW()-2),1),"")</f>
        <v>Sonnenblume</v>
      </c>
      <c r="CO49" s="1830"/>
      <c r="CP49" s="1834" t="str">
        <f>IFERROR(INDEX(N_Bedarf!$CE$2:$CE$141,_xlfn.AGGREGATE(15,6,(ROW(N_Bedarf!$CE$2:$CE$141)-1)/(--(SEARCH(CQ$2,N_Bedarf!$CE$2:$CE$141)&gt;0)),ROW()-2),1),"")</f>
        <v>Sonnenblume</v>
      </c>
      <c r="CQ49" s="1830"/>
      <c r="CR49" s="1834" t="str">
        <f>IFERROR(INDEX(N_Bedarf!$CE$2:$CE$141,_xlfn.AGGREGATE(15,6,(ROW(N_Bedarf!$CE$2:$CE$141)-1)/(--(SEARCH(CS$2,N_Bedarf!$CE$2:$CE$141)&gt;0)),ROW()-2),1),"")</f>
        <v>Sonnenblume</v>
      </c>
      <c r="CS49" s="1830"/>
      <c r="CT49" s="1834" t="str">
        <f>IFERROR(INDEX(N_Bedarf!$CE$2:$CE$141,_xlfn.AGGREGATE(15,6,(ROW(N_Bedarf!$CE$2:$CE$141)-1)/(--(SEARCH(CU$2,N_Bedarf!$CE$2:$CE$141)&gt;0)),ROW()-2),1),"")</f>
        <v>Sonnenblume</v>
      </c>
      <c r="CU49" s="1830"/>
      <c r="CV49" s="1834" t="str">
        <f>IFERROR(INDEX(N_Bedarf!$CE$2:$CE$141,_xlfn.AGGREGATE(15,6,(ROW(N_Bedarf!$CE$2:$CE$141)-1)/(--(SEARCH(CW$2,N_Bedarf!$CE$2:$CE$141)&gt;0)),ROW()-2),1),"")</f>
        <v>Sonnenblume</v>
      </c>
      <c r="CW49" s="1830"/>
      <c r="CX49" s="1834" t="str">
        <f>IFERROR(INDEX(N_Bedarf!$CE$2:$CE$141,_xlfn.AGGREGATE(15,6,(ROW(N_Bedarf!$CE$2:$CE$141)-1)/(--(SEARCH(CY$2,N_Bedarf!$CE$2:$CE$141)&gt;0)),ROW()-2),1),"")</f>
        <v>Sonnenblume</v>
      </c>
      <c r="CY49" s="1830"/>
      <c r="CZ49" s="1834" t="str">
        <f>IFERROR(INDEX(N_Bedarf!$CE$2:$CE$141,_xlfn.AGGREGATE(15,6,(ROW(N_Bedarf!$CE$2:$CE$141)-1)/(--(SEARCH(DA$2,N_Bedarf!$CE$2:$CE$141)&gt;0)),ROW()-2),1),"")</f>
        <v>Sonnenblume</v>
      </c>
      <c r="DA49" s="1830"/>
      <c r="DB49" s="1834" t="str">
        <f>IFERROR(INDEX(N_Bedarf!$CE$2:$CE$141,_xlfn.AGGREGATE(15,6,(ROW(N_Bedarf!$CE$2:$CE$141)-1)/(--(SEARCH(DC$2,N_Bedarf!$CE$2:$CE$141)&gt;0)),ROW()-2),1),"")</f>
        <v>Sonnenblume</v>
      </c>
      <c r="DC49" s="1830"/>
      <c r="DD49" s="1834" t="str">
        <f>IFERROR(INDEX(N_Bedarf!$CE$2:$CE$141,_xlfn.AGGREGATE(15,6,(ROW(N_Bedarf!$CE$2:$CE$141)-1)/(--(SEARCH(DE$2,N_Bedarf!$CE$2:$CE$141)&gt;0)),ROW()-2),1),"")</f>
        <v>Sonnenblume</v>
      </c>
      <c r="DE49" s="1830"/>
      <c r="DF49" s="2353" t="str">
        <f t="array" ref="DF49">IFERROR(INDEX(N_Bedarf!$CE$2:$CE$141,_xlfn.AGGREGATE(15,6,(ROW(N_Bedarf!$CE$2:$CE$141)-1)/(--(SEARCH(DG$2,N_Bedarf!$CE$2:$CE$141)&gt;0)),ROW()-2),1),"")</f>
        <v>Sonnenblume</v>
      </c>
      <c r="DG49" s="2353"/>
      <c r="DH49" s="2355" t="str">
        <f t="array" ref="DH49">IFERROR(INDEX(N_Bedarf!$CE$2:$CE$141,_xlfn.AGGREGATE(15,6,(ROW(N_Bedarf!$CE$2:$CE$141)-1)/(--(SEARCH(DI$2,N_Bedarf!$CE$2:$CE$141)&gt;0)),ROW()-2),1),"")</f>
        <v>Sonnenblume</v>
      </c>
      <c r="DI49" s="2355"/>
      <c r="DJ49" s="2356" t="str">
        <f t="array" ref="DJ49">IFERROR(INDEX(N_Bedarf!$CE$2:$CE$141,_xlfn.AGGREGATE(15,6,(ROW(N_Bedarf!$CE$2:$CE$141)-1)/(--(SEARCH(DK$2,N_Bedarf!$CE$2:$CE$141)&gt;0)),ROW()-2),1),"")</f>
        <v>Sonnenblume</v>
      </c>
      <c r="DK49" s="2356"/>
      <c r="DL49" s="2356" t="str">
        <f t="array" ref="DL49">IFERROR(INDEX(N_Bedarf!$CE$2:$CE$141,_xlfn.AGGREGATE(15,6,(ROW(N_Bedarf!$CE$2:$CE$141)-1)/(--(SEARCH(DM$2,N_Bedarf!$CE$2:$CE$141)&gt;0)),ROW()-2),1),"")</f>
        <v>Sonnenblume</v>
      </c>
      <c r="DM49" s="2356"/>
      <c r="DN49" s="2356" t="str">
        <f t="array" ref="DN49">IFERROR(INDEX(N_Bedarf!$CE$2:$CE$141,_xlfn.AGGREGATE(15,6,(ROW(N_Bedarf!$CE$2:$CE$141)-1)/(--(SEARCH(DO$2,N_Bedarf!$CE$2:$CE$141)&gt;0)),ROW()-2),1),"")</f>
        <v>Sonnenblume</v>
      </c>
      <c r="DO49" s="2356"/>
      <c r="DP49" s="2356" t="str">
        <f t="array" ref="DP49">IFERROR(INDEX(N_Bedarf!$CE$2:$CE$141,_xlfn.AGGREGATE(15,6,(ROW(N_Bedarf!$CE$2:$CE$141)-1)/(--(SEARCH(DQ$2,N_Bedarf!$CE$2:$CE$141)&gt;0)),ROW()-2),1),"")</f>
        <v>Sonnenblume</v>
      </c>
      <c r="DQ49" s="2356"/>
      <c r="DR49" s="2356" t="str">
        <f t="array" ref="DR49">IFERROR(INDEX(N_Bedarf!$CE$2:$CE$141,_xlfn.AGGREGATE(15,6,(ROW(N_Bedarf!$CE$2:$CE$141)-1)/(--(SEARCH(DS$2,N_Bedarf!$CE$2:$CE$141)&gt;0)),ROW()-2),1),"")</f>
        <v>Sonnenblume</v>
      </c>
      <c r="DS49" s="2356"/>
      <c r="DT49" s="2356" t="str">
        <f t="array" ref="DT49">IFERROR(INDEX(N_Bedarf!$CE$2:$CE$141,_xlfn.AGGREGATE(15,6,(ROW(N_Bedarf!$CE$2:$CE$141)-1)/(--(SEARCH(DU$2,N_Bedarf!$CE$2:$CE$141)&gt;0)),ROW()-2),1),"")</f>
        <v>Sonnenblume</v>
      </c>
      <c r="DU49" s="2356"/>
      <c r="DV49" s="2356" t="str">
        <f t="array" ref="DV49">IFERROR(INDEX(N_Bedarf!$CE$2:$CE$141,_xlfn.AGGREGATE(15,6,(ROW(N_Bedarf!$CE$2:$CE$141)-1)/(--(SEARCH(DW$2,N_Bedarf!$CE$2:$CE$141)&gt;0)),ROW()-2),1),"")</f>
        <v>Sonnenblume</v>
      </c>
      <c r="DW49" s="2356"/>
      <c r="DX49" s="2356" t="str">
        <f t="array" ref="DX49">IFERROR(INDEX(N_Bedarf!$CE$2:$CE$141,_xlfn.AGGREGATE(15,6,(ROW(N_Bedarf!$CE$2:$CE$141)-1)/(--(SEARCH(DY$2,N_Bedarf!$CE$2:$CE$141)&gt;0)),ROW()-2),1),"")</f>
        <v>Sonnenblume</v>
      </c>
      <c r="DY49" s="2356"/>
      <c r="DZ49" s="2356" t="str">
        <f t="array" ref="DZ49">IFERROR(INDEX(N_Bedarf!$CE$2:$CE$141,_xlfn.AGGREGATE(15,6,(ROW(N_Bedarf!$CE$2:$CE$141)-1)/(--(SEARCH(EA$2,N_Bedarf!$CE$2:$CE$141)&gt;0)),ROW()-2),1),"")</f>
        <v>Sonnenblume</v>
      </c>
      <c r="EA49" s="2356"/>
      <c r="EB49" s="2356" t="str">
        <f t="array" ref="EB49">IFERROR(INDEX(N_Bedarf!$CE$2:$CE$141,_xlfn.AGGREGATE(15,6,(ROW(N_Bedarf!$CE$2:$CE$141)-1)/(--(SEARCH(EC$2,N_Bedarf!$CE$2:$CE$141)&gt;0)),ROW()-2),1),"")</f>
        <v>Sonnenblume</v>
      </c>
      <c r="EC49" s="2356"/>
      <c r="ED49"/>
      <c r="EE49"/>
      <c r="EF49"/>
      <c r="EG49"/>
      <c r="EH49"/>
      <c r="EI49"/>
      <c r="EJ49"/>
      <c r="EK49"/>
      <c r="EL49"/>
      <c r="EM49"/>
      <c r="EN49"/>
      <c r="EO49"/>
      <c r="EP49"/>
      <c r="EQ49"/>
      <c r="ER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row>
    <row r="50" spans="1:291" ht="27" customHeight="1" thickTop="1" thickBot="1">
      <c r="A50" s="156"/>
      <c r="B50" s="156"/>
      <c r="C50" s="2454"/>
      <c r="D50" s="2455"/>
      <c r="E50" s="912"/>
      <c r="F50" s="913"/>
      <c r="G50" s="1916" t="str">
        <f t="shared" si="9"/>
        <v/>
      </c>
      <c r="H50" s="2296"/>
      <c r="I50" s="914">
        <f t="shared" si="22"/>
        <v>0</v>
      </c>
      <c r="J50" s="2297">
        <f t="shared" si="23"/>
        <v>0</v>
      </c>
      <c r="K50" s="2299"/>
      <c r="L50" s="915">
        <f t="shared" si="24"/>
        <v>0</v>
      </c>
      <c r="M50" s="2357">
        <f t="shared" si="25"/>
        <v>0</v>
      </c>
      <c r="AO50" s="156"/>
      <c r="AP50" s="1568" t="str">
        <f t="shared" si="3"/>
        <v/>
      </c>
      <c r="AQ50" s="472">
        <f t="shared" si="14"/>
        <v>0</v>
      </c>
      <c r="AR50" s="472">
        <f t="shared" si="15"/>
        <v>0</v>
      </c>
      <c r="AS50" s="472">
        <f t="shared" si="16"/>
        <v>0</v>
      </c>
      <c r="AT50" s="472">
        <f t="shared" si="17"/>
        <v>0</v>
      </c>
      <c r="AU50" s="472">
        <f t="shared" si="18"/>
        <v>0</v>
      </c>
      <c r="AV50" s="472">
        <f t="shared" si="19"/>
        <v>0</v>
      </c>
      <c r="AW50" s="472">
        <f t="shared" si="20"/>
        <v>0</v>
      </c>
      <c r="AX50" s="1722" t="s">
        <v>1705</v>
      </c>
      <c r="AY50" s="681">
        <v>60</v>
      </c>
      <c r="AZ50" s="681">
        <v>50</v>
      </c>
      <c r="BA50" s="681" t="s">
        <v>2561</v>
      </c>
      <c r="BB50" s="681">
        <v>60</v>
      </c>
      <c r="BC50" s="681">
        <v>50</v>
      </c>
      <c r="BD50" s="681" t="s">
        <v>2707</v>
      </c>
      <c r="BE50" s="681">
        <v>60</v>
      </c>
      <c r="BF50" s="681">
        <v>50</v>
      </c>
      <c r="BG50" s="681" t="s">
        <v>2736</v>
      </c>
      <c r="BH50" s="681">
        <v>60</v>
      </c>
      <c r="BI50" s="681">
        <v>50</v>
      </c>
      <c r="BJ50" s="681" t="s">
        <v>2666</v>
      </c>
      <c r="BK50" s="681">
        <v>60</v>
      </c>
      <c r="BL50" s="681">
        <v>50</v>
      </c>
      <c r="BM50" s="681" t="s">
        <v>2568</v>
      </c>
      <c r="BN50" s="471" t="s">
        <v>1764</v>
      </c>
      <c r="BO50" s="821" t="s">
        <v>1764</v>
      </c>
      <c r="BP50"/>
      <c r="BQ50" s="1722" t="s">
        <v>1705</v>
      </c>
      <c r="BR50" s="470">
        <v>50</v>
      </c>
      <c r="BS50" s="470">
        <v>55</v>
      </c>
      <c r="BT50" s="470">
        <v>65</v>
      </c>
      <c r="BU50"/>
      <c r="BV50" s="1722" t="s">
        <v>1705</v>
      </c>
      <c r="BW50" s="470">
        <v>90</v>
      </c>
      <c r="BX50" s="470">
        <v>100</v>
      </c>
      <c r="BY50" s="470">
        <v>115</v>
      </c>
      <c r="CA50" s="822"/>
      <c r="CB50"/>
      <c r="CC50"/>
      <c r="CD50"/>
      <c r="CE50" s="2310" t="s">
        <v>1736</v>
      </c>
      <c r="CF50" s="1834" t="str">
        <f>IFERROR(INDEX(N_Bedarf!$CE$2:$CE$141,_xlfn.AGGREGATE(15,6,(ROW(N_Bedarf!$CE$2:$CE$141)-1)/(--(SEARCH(CG$2,N_Bedarf!$CE$2:$CE$141)&gt;0)),ROW()-2),1),"")</f>
        <v>Futterrübe (Runkelrübe, Burgund Kohlrübe)</v>
      </c>
      <c r="CG50" s="1836"/>
      <c r="CH50" s="1834" t="str">
        <f>IFERROR(INDEX(N_Bedarf!$CE$2:$CE$141,_xlfn.AGGREGATE(15,6,(ROW(N_Bedarf!$CE$2:$CE$141)-1)/(--(SEARCH(CI$2,N_Bedarf!$CE$2:$CE$141)&gt;0)),ROW()-2),1),"")</f>
        <v>Futterrübe (Runkelrübe, Burgund Kohlrübe)</v>
      </c>
      <c r="CI50" s="1836"/>
      <c r="CJ50" s="1834" t="str">
        <f>IFERROR(INDEX(N_Bedarf!$CE$2:$CE$141,_xlfn.AGGREGATE(15,6,(ROW(N_Bedarf!$CE$2:$CE$141)-1)/(--(SEARCH(CK$2,N_Bedarf!$CE$2:$CE$141)&gt;0)),ROW()-2),1),"")</f>
        <v>Futterrübe (Runkelrübe, Burgund Kohlrübe)</v>
      </c>
      <c r="CK50" s="1836"/>
      <c r="CL50" s="1834" t="str">
        <f>IFERROR(INDEX(N_Bedarf!$CE$2:$CE$141,_xlfn.AGGREGATE(15,6,(ROW(N_Bedarf!$CE$2:$CE$141)-1)/(--(SEARCH(CM$2,N_Bedarf!$CE$2:$CE$141)&gt;0)),ROW()-2),1),"")</f>
        <v>Futterrübe (Runkelrübe, Burgund Kohlrübe)</v>
      </c>
      <c r="CM50" s="1836"/>
      <c r="CN50" s="1834" t="str">
        <f>IFERROR(INDEX(N_Bedarf!$CE$2:$CE$141,_xlfn.AGGREGATE(15,6,(ROW(N_Bedarf!$CE$2:$CE$141)-1)/(--(SEARCH(CO$2,N_Bedarf!$CE$2:$CE$141)&gt;0)),ROW()-2),1),"")</f>
        <v>Futterrübe (Runkelrübe, Burgund Kohlrübe)</v>
      </c>
      <c r="CO50" s="1836"/>
      <c r="CP50" s="1834" t="str">
        <f>IFERROR(INDEX(N_Bedarf!$CE$2:$CE$141,_xlfn.AGGREGATE(15,6,(ROW(N_Bedarf!$CE$2:$CE$141)-1)/(--(SEARCH(CQ$2,N_Bedarf!$CE$2:$CE$141)&gt;0)),ROW()-2),1),"")</f>
        <v>Futterrübe (Runkelrübe, Burgund Kohlrübe)</v>
      </c>
      <c r="CQ50" s="1836"/>
      <c r="CR50" s="1834" t="str">
        <f>IFERROR(INDEX(N_Bedarf!$CE$2:$CE$141,_xlfn.AGGREGATE(15,6,(ROW(N_Bedarf!$CE$2:$CE$141)-1)/(--(SEARCH(CS$2,N_Bedarf!$CE$2:$CE$141)&gt;0)),ROW()-2),1),"")</f>
        <v>Futterrübe (Runkelrübe, Burgund Kohlrübe)</v>
      </c>
      <c r="CS50" s="1836"/>
      <c r="CT50" s="1834" t="str">
        <f>IFERROR(INDEX(N_Bedarf!$CE$2:$CE$141,_xlfn.AGGREGATE(15,6,(ROW(N_Bedarf!$CE$2:$CE$141)-1)/(--(SEARCH(CU$2,N_Bedarf!$CE$2:$CE$141)&gt;0)),ROW()-2),1),"")</f>
        <v>Futterrübe (Runkelrübe, Burgund Kohlrübe)</v>
      </c>
      <c r="CU50" s="1836"/>
      <c r="CV50" s="1834" t="str">
        <f>IFERROR(INDEX(N_Bedarf!$CE$2:$CE$141,_xlfn.AGGREGATE(15,6,(ROW(N_Bedarf!$CE$2:$CE$141)-1)/(--(SEARCH(CW$2,N_Bedarf!$CE$2:$CE$141)&gt;0)),ROW()-2),1),"")</f>
        <v>Futterrübe (Runkelrübe, Burgund Kohlrübe)</v>
      </c>
      <c r="CW50" s="1836"/>
      <c r="CX50" s="1834" t="str">
        <f>IFERROR(INDEX(N_Bedarf!$CE$2:$CE$141,_xlfn.AGGREGATE(15,6,(ROW(N_Bedarf!$CE$2:$CE$141)-1)/(--(SEARCH(CY$2,N_Bedarf!$CE$2:$CE$141)&gt;0)),ROW()-2),1),"")</f>
        <v>Futterrübe (Runkelrübe, Burgund Kohlrübe)</v>
      </c>
      <c r="CY50" s="1836"/>
      <c r="CZ50" s="1834" t="str">
        <f>IFERROR(INDEX(N_Bedarf!$CE$2:$CE$141,_xlfn.AGGREGATE(15,6,(ROW(N_Bedarf!$CE$2:$CE$141)-1)/(--(SEARCH(DA$2,N_Bedarf!$CE$2:$CE$141)&gt;0)),ROW()-2),1),"")</f>
        <v>Futterrübe (Runkelrübe, Burgund Kohlrübe)</v>
      </c>
      <c r="DA50" s="1836"/>
      <c r="DB50" s="1834" t="str">
        <f>IFERROR(INDEX(N_Bedarf!$CE$2:$CE$141,_xlfn.AGGREGATE(15,6,(ROW(N_Bedarf!$CE$2:$CE$141)-1)/(--(SEARCH(DC$2,N_Bedarf!$CE$2:$CE$141)&gt;0)),ROW()-2),1),"")</f>
        <v>Futterrübe (Runkelrübe, Burgund Kohlrübe)</v>
      </c>
      <c r="DC50" s="1836"/>
      <c r="DD50" s="1834" t="str">
        <f>IFERROR(INDEX(N_Bedarf!$CE$2:$CE$141,_xlfn.AGGREGATE(15,6,(ROW(N_Bedarf!$CE$2:$CE$141)-1)/(--(SEARCH(DE$2,N_Bedarf!$CE$2:$CE$141)&gt;0)),ROW()-2),1),"")</f>
        <v>Futterrübe (Runkelrübe, Burgund Kohlrübe)</v>
      </c>
      <c r="DE50" s="1836"/>
      <c r="DF50" s="2353" t="str">
        <f t="array" ref="DF50">IFERROR(INDEX(N_Bedarf!$CE$2:$CE$141,_xlfn.AGGREGATE(15,6,(ROW(N_Bedarf!$CE$2:$CE$141)-1)/(--(SEARCH(DG$2,N_Bedarf!$CE$2:$CE$141)&gt;0)),ROW()-2),1),"")</f>
        <v>Futterrübe (Runkelrübe, Burgund Kohlrübe)</v>
      </c>
      <c r="DG50" s="2353"/>
      <c r="DH50" s="2355" t="str">
        <f t="array" ref="DH50">IFERROR(INDEX(N_Bedarf!$CE$2:$CE$141,_xlfn.AGGREGATE(15,6,(ROW(N_Bedarf!$CE$2:$CE$141)-1)/(--(SEARCH(DI$2,N_Bedarf!$CE$2:$CE$141)&gt;0)),ROW()-2),1),"")</f>
        <v>Futterrübe (Runkelrübe, Burgund Kohlrübe)</v>
      </c>
      <c r="DI50" s="2355"/>
      <c r="DJ50" s="2356" t="str">
        <f t="array" ref="DJ50">IFERROR(INDEX(N_Bedarf!$CE$2:$CE$141,_xlfn.AGGREGATE(15,6,(ROW(N_Bedarf!$CE$2:$CE$141)-1)/(--(SEARCH(DK$2,N_Bedarf!$CE$2:$CE$141)&gt;0)),ROW()-2),1),"")</f>
        <v>Futterrübe (Runkelrübe, Burgund Kohlrübe)</v>
      </c>
      <c r="DK50" s="2356"/>
      <c r="DL50" s="2356" t="str">
        <f t="array" ref="DL50">IFERROR(INDEX(N_Bedarf!$CE$2:$CE$141,_xlfn.AGGREGATE(15,6,(ROW(N_Bedarf!$CE$2:$CE$141)-1)/(--(SEARCH(DM$2,N_Bedarf!$CE$2:$CE$141)&gt;0)),ROW()-2),1),"")</f>
        <v>Futterrübe (Runkelrübe, Burgund Kohlrübe)</v>
      </c>
      <c r="DM50" s="2356"/>
      <c r="DN50" s="2356" t="str">
        <f t="array" ref="DN50">IFERROR(INDEX(N_Bedarf!$CE$2:$CE$141,_xlfn.AGGREGATE(15,6,(ROW(N_Bedarf!$CE$2:$CE$141)-1)/(--(SEARCH(DO$2,N_Bedarf!$CE$2:$CE$141)&gt;0)),ROW()-2),1),"")</f>
        <v>Futterrübe (Runkelrübe, Burgund Kohlrübe)</v>
      </c>
      <c r="DO50" s="2356"/>
      <c r="DP50" s="2356" t="str">
        <f t="array" ref="DP50">IFERROR(INDEX(N_Bedarf!$CE$2:$CE$141,_xlfn.AGGREGATE(15,6,(ROW(N_Bedarf!$CE$2:$CE$141)-1)/(--(SEARCH(DQ$2,N_Bedarf!$CE$2:$CE$141)&gt;0)),ROW()-2),1),"")</f>
        <v>Futterrübe (Runkelrübe, Burgund Kohlrübe)</v>
      </c>
      <c r="DQ50" s="2356"/>
      <c r="DR50" s="2356" t="str">
        <f t="array" ref="DR50">IFERROR(INDEX(N_Bedarf!$CE$2:$CE$141,_xlfn.AGGREGATE(15,6,(ROW(N_Bedarf!$CE$2:$CE$141)-1)/(--(SEARCH(DS$2,N_Bedarf!$CE$2:$CE$141)&gt;0)),ROW()-2),1),"")</f>
        <v>Futterrübe (Runkelrübe, Burgund Kohlrübe)</v>
      </c>
      <c r="DS50" s="2356"/>
      <c r="DT50" s="2356" t="str">
        <f t="array" ref="DT50">IFERROR(INDEX(N_Bedarf!$CE$2:$CE$141,_xlfn.AGGREGATE(15,6,(ROW(N_Bedarf!$CE$2:$CE$141)-1)/(--(SEARCH(DU$2,N_Bedarf!$CE$2:$CE$141)&gt;0)),ROW()-2),1),"")</f>
        <v>Futterrübe (Runkelrübe, Burgund Kohlrübe)</v>
      </c>
      <c r="DU50" s="2356"/>
      <c r="DV50" s="2356" t="str">
        <f t="array" ref="DV50">IFERROR(INDEX(N_Bedarf!$CE$2:$CE$141,_xlfn.AGGREGATE(15,6,(ROW(N_Bedarf!$CE$2:$CE$141)-1)/(--(SEARCH(DW$2,N_Bedarf!$CE$2:$CE$141)&gt;0)),ROW()-2),1),"")</f>
        <v>Futterrübe (Runkelrübe, Burgund Kohlrübe)</v>
      </c>
      <c r="DW50" s="2356"/>
      <c r="DX50" s="2356" t="str">
        <f t="array" ref="DX50">IFERROR(INDEX(N_Bedarf!$CE$2:$CE$141,_xlfn.AGGREGATE(15,6,(ROW(N_Bedarf!$CE$2:$CE$141)-1)/(--(SEARCH(DY$2,N_Bedarf!$CE$2:$CE$141)&gt;0)),ROW()-2),1),"")</f>
        <v>Futterrübe (Runkelrübe, Burgund Kohlrübe)</v>
      </c>
      <c r="DY50" s="2356"/>
      <c r="DZ50" s="2356" t="str">
        <f t="array" ref="DZ50">IFERROR(INDEX(N_Bedarf!$CE$2:$CE$141,_xlfn.AGGREGATE(15,6,(ROW(N_Bedarf!$CE$2:$CE$141)-1)/(--(SEARCH(EA$2,N_Bedarf!$CE$2:$CE$141)&gt;0)),ROW()-2),1),"")</f>
        <v>Futterrübe (Runkelrübe, Burgund Kohlrübe)</v>
      </c>
      <c r="EA50" s="2356"/>
      <c r="EB50" s="2356" t="str">
        <f t="array" ref="EB50">IFERROR(INDEX(N_Bedarf!$CE$2:$CE$141,_xlfn.AGGREGATE(15,6,(ROW(N_Bedarf!$CE$2:$CE$141)-1)/(--(SEARCH(EC$2,N_Bedarf!$CE$2:$CE$141)&gt;0)),ROW()-2),1),"")</f>
        <v>Futterrübe (Runkelrübe, Burgund Kohlrübe)</v>
      </c>
      <c r="EC50" s="2356"/>
      <c r="ED50"/>
      <c r="EE50"/>
      <c r="EF50"/>
      <c r="EG50"/>
      <c r="EH50"/>
      <c r="EI50"/>
      <c r="EJ50"/>
      <c r="EK50"/>
      <c r="EL50"/>
      <c r="EM50"/>
      <c r="EN50"/>
      <c r="EO50"/>
      <c r="EP50"/>
      <c r="EQ50"/>
      <c r="ER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row>
    <row r="51" spans="1:291" ht="27" customHeight="1" thickTop="1" thickBot="1">
      <c r="A51" s="156"/>
      <c r="B51" s="156"/>
      <c r="C51" s="2454"/>
      <c r="D51" s="2455"/>
      <c r="E51" s="912"/>
      <c r="F51" s="913"/>
      <c r="G51" s="1916" t="str">
        <f t="shared" si="9"/>
        <v/>
      </c>
      <c r="H51" s="2296"/>
      <c r="I51" s="914">
        <f t="shared" si="22"/>
        <v>0</v>
      </c>
      <c r="J51" s="2297">
        <f t="shared" si="23"/>
        <v>0</v>
      </c>
      <c r="K51" s="2299"/>
      <c r="L51" s="915">
        <f t="shared" si="24"/>
        <v>0</v>
      </c>
      <c r="M51" s="2357">
        <f t="shared" si="25"/>
        <v>0</v>
      </c>
      <c r="AO51" s="156"/>
      <c r="AP51" s="1568" t="str">
        <f t="shared" si="3"/>
        <v/>
      </c>
      <c r="AQ51" s="472">
        <f t="shared" si="14"/>
        <v>0</v>
      </c>
      <c r="AR51" s="472">
        <f t="shared" si="15"/>
        <v>0</v>
      </c>
      <c r="AS51" s="472">
        <f t="shared" si="16"/>
        <v>0</v>
      </c>
      <c r="AT51" s="472">
        <f t="shared" si="17"/>
        <v>0</v>
      </c>
      <c r="AU51" s="472">
        <f t="shared" si="18"/>
        <v>0</v>
      </c>
      <c r="AV51" s="472">
        <f t="shared" si="19"/>
        <v>0</v>
      </c>
      <c r="AW51" s="472">
        <f t="shared" si="20"/>
        <v>0</v>
      </c>
      <c r="AX51" s="1722" t="s">
        <v>1721</v>
      </c>
      <c r="AY51" s="681">
        <v>50</v>
      </c>
      <c r="AZ51" s="681">
        <v>40</v>
      </c>
      <c r="BA51" s="681" t="s">
        <v>2655</v>
      </c>
      <c r="BB51" s="681">
        <v>65</v>
      </c>
      <c r="BC51" s="681">
        <v>55</v>
      </c>
      <c r="BD51" s="681" t="s">
        <v>2657</v>
      </c>
      <c r="BE51" s="681">
        <v>80</v>
      </c>
      <c r="BF51" s="681">
        <v>70</v>
      </c>
      <c r="BG51" s="681" t="s">
        <v>2710</v>
      </c>
      <c r="BH51" s="681">
        <v>85</v>
      </c>
      <c r="BI51" s="681">
        <v>75</v>
      </c>
      <c r="BJ51" s="681" t="s">
        <v>2749</v>
      </c>
      <c r="BK51" s="681">
        <v>90</v>
      </c>
      <c r="BL51" s="681">
        <v>80</v>
      </c>
      <c r="BM51" s="681" t="s">
        <v>2602</v>
      </c>
      <c r="BN51" s="471">
        <v>26</v>
      </c>
      <c r="BO51" s="821" t="s">
        <v>1764</v>
      </c>
      <c r="BP51"/>
      <c r="BQ51" s="1722" t="s">
        <v>1721</v>
      </c>
      <c r="BR51" s="470">
        <v>60</v>
      </c>
      <c r="BS51" s="470">
        <v>65</v>
      </c>
      <c r="BT51" s="470">
        <v>75</v>
      </c>
      <c r="BU51"/>
      <c r="BV51" s="1722" t="s">
        <v>1721</v>
      </c>
      <c r="BW51" s="470">
        <v>180</v>
      </c>
      <c r="BX51" s="470">
        <v>200</v>
      </c>
      <c r="BY51" s="470">
        <v>230</v>
      </c>
      <c r="CA51" s="822"/>
      <c r="CB51"/>
      <c r="CC51"/>
      <c r="CD51"/>
      <c r="CE51" s="2310" t="s">
        <v>32</v>
      </c>
      <c r="CF51" s="1834" t="str">
        <f>IFERROR(INDEX(N_Bedarf!$CE$2:$CE$141,_xlfn.AGGREGATE(15,6,(ROW(N_Bedarf!$CE$2:$CE$141)-1)/(--(SEARCH(CG$2,N_Bedarf!$CE$2:$CE$141)&gt;0)),ROW()-2),1),"")</f>
        <v>Zuckerrübe</v>
      </c>
      <c r="CG51" s="1830"/>
      <c r="CH51" s="1834" t="str">
        <f>IFERROR(INDEX(N_Bedarf!$CE$2:$CE$141,_xlfn.AGGREGATE(15,6,(ROW(N_Bedarf!$CE$2:$CE$141)-1)/(--(SEARCH(CI$2,N_Bedarf!$CE$2:$CE$141)&gt;0)),ROW()-2),1),"")</f>
        <v>Zuckerrübe</v>
      </c>
      <c r="CI51" s="1830"/>
      <c r="CJ51" s="1834" t="str">
        <f>IFERROR(INDEX(N_Bedarf!$CE$2:$CE$141,_xlfn.AGGREGATE(15,6,(ROW(N_Bedarf!$CE$2:$CE$141)-1)/(--(SEARCH(CK$2,N_Bedarf!$CE$2:$CE$141)&gt;0)),ROW()-2),1),"")</f>
        <v>Zuckerrübe</v>
      </c>
      <c r="CK51" s="1830"/>
      <c r="CL51" s="1834" t="str">
        <f>IFERROR(INDEX(N_Bedarf!$CE$2:$CE$141,_xlfn.AGGREGATE(15,6,(ROW(N_Bedarf!$CE$2:$CE$141)-1)/(--(SEARCH(CM$2,N_Bedarf!$CE$2:$CE$141)&gt;0)),ROW()-2),1),"")</f>
        <v>Zuckerrübe</v>
      </c>
      <c r="CM51" s="1830"/>
      <c r="CN51" s="1834" t="str">
        <f>IFERROR(INDEX(N_Bedarf!$CE$2:$CE$141,_xlfn.AGGREGATE(15,6,(ROW(N_Bedarf!$CE$2:$CE$141)-1)/(--(SEARCH(CO$2,N_Bedarf!$CE$2:$CE$141)&gt;0)),ROW()-2),1),"")</f>
        <v>Zuckerrübe</v>
      </c>
      <c r="CO51" s="1830"/>
      <c r="CP51" s="1834" t="str">
        <f>IFERROR(INDEX(N_Bedarf!$CE$2:$CE$141,_xlfn.AGGREGATE(15,6,(ROW(N_Bedarf!$CE$2:$CE$141)-1)/(--(SEARCH(CQ$2,N_Bedarf!$CE$2:$CE$141)&gt;0)),ROW()-2),1),"")</f>
        <v>Zuckerrübe</v>
      </c>
      <c r="CQ51" s="1830"/>
      <c r="CR51" s="1834" t="str">
        <f>IFERROR(INDEX(N_Bedarf!$CE$2:$CE$141,_xlfn.AGGREGATE(15,6,(ROW(N_Bedarf!$CE$2:$CE$141)-1)/(--(SEARCH(CS$2,N_Bedarf!$CE$2:$CE$141)&gt;0)),ROW()-2),1),"")</f>
        <v>Zuckerrübe</v>
      </c>
      <c r="CS51" s="1830"/>
      <c r="CT51" s="1834" t="str">
        <f>IFERROR(INDEX(N_Bedarf!$CE$2:$CE$141,_xlfn.AGGREGATE(15,6,(ROW(N_Bedarf!$CE$2:$CE$141)-1)/(--(SEARCH(CU$2,N_Bedarf!$CE$2:$CE$141)&gt;0)),ROW()-2),1),"")</f>
        <v>Zuckerrübe</v>
      </c>
      <c r="CU51" s="1830"/>
      <c r="CV51" s="1834" t="str">
        <f>IFERROR(INDEX(N_Bedarf!$CE$2:$CE$141,_xlfn.AGGREGATE(15,6,(ROW(N_Bedarf!$CE$2:$CE$141)-1)/(--(SEARCH(CW$2,N_Bedarf!$CE$2:$CE$141)&gt;0)),ROW()-2),1),"")</f>
        <v>Zuckerrübe</v>
      </c>
      <c r="CW51" s="1830"/>
      <c r="CX51" s="1834" t="str">
        <f>IFERROR(INDEX(N_Bedarf!$CE$2:$CE$141,_xlfn.AGGREGATE(15,6,(ROW(N_Bedarf!$CE$2:$CE$141)-1)/(--(SEARCH(CY$2,N_Bedarf!$CE$2:$CE$141)&gt;0)),ROW()-2),1),"")</f>
        <v>Zuckerrübe</v>
      </c>
      <c r="CY51" s="1830"/>
      <c r="CZ51" s="1834" t="str">
        <f>IFERROR(INDEX(N_Bedarf!$CE$2:$CE$141,_xlfn.AGGREGATE(15,6,(ROW(N_Bedarf!$CE$2:$CE$141)-1)/(--(SEARCH(DA$2,N_Bedarf!$CE$2:$CE$141)&gt;0)),ROW()-2),1),"")</f>
        <v>Zuckerrübe</v>
      </c>
      <c r="DA51" s="1830"/>
      <c r="DB51" s="1834" t="str">
        <f>IFERROR(INDEX(N_Bedarf!$CE$2:$CE$141,_xlfn.AGGREGATE(15,6,(ROW(N_Bedarf!$CE$2:$CE$141)-1)/(--(SEARCH(DC$2,N_Bedarf!$CE$2:$CE$141)&gt;0)),ROW()-2),1),"")</f>
        <v>Zuckerrübe</v>
      </c>
      <c r="DC51" s="1830"/>
      <c r="DD51" s="1834" t="str">
        <f>IFERROR(INDEX(N_Bedarf!$CE$2:$CE$141,_xlfn.AGGREGATE(15,6,(ROW(N_Bedarf!$CE$2:$CE$141)-1)/(--(SEARCH(DE$2,N_Bedarf!$CE$2:$CE$141)&gt;0)),ROW()-2),1),"")</f>
        <v>Zuckerrübe</v>
      </c>
      <c r="DE51" s="1830"/>
      <c r="DF51" s="2353" t="str">
        <f t="array" ref="DF51">IFERROR(INDEX(N_Bedarf!$CE$2:$CE$141,_xlfn.AGGREGATE(15,6,(ROW(N_Bedarf!$CE$2:$CE$141)-1)/(--(SEARCH(DG$2,N_Bedarf!$CE$2:$CE$141)&gt;0)),ROW()-2),1),"")</f>
        <v>Zuckerrübe</v>
      </c>
      <c r="DG51" s="2353"/>
      <c r="DH51" s="2355" t="str">
        <f t="array" ref="DH51">IFERROR(INDEX(N_Bedarf!$CE$2:$CE$141,_xlfn.AGGREGATE(15,6,(ROW(N_Bedarf!$CE$2:$CE$141)-1)/(--(SEARCH(DI$2,N_Bedarf!$CE$2:$CE$141)&gt;0)),ROW()-2),1),"")</f>
        <v>Zuckerrübe</v>
      </c>
      <c r="DI51" s="2355"/>
      <c r="DJ51" s="2356" t="str">
        <f t="array" ref="DJ51">IFERROR(INDEX(N_Bedarf!$CE$2:$CE$141,_xlfn.AGGREGATE(15,6,(ROW(N_Bedarf!$CE$2:$CE$141)-1)/(--(SEARCH(DK$2,N_Bedarf!$CE$2:$CE$141)&gt;0)),ROW()-2),1),"")</f>
        <v>Zuckerrübe</v>
      </c>
      <c r="DK51" s="2356"/>
      <c r="DL51" s="2356" t="str">
        <f t="array" ref="DL51">IFERROR(INDEX(N_Bedarf!$CE$2:$CE$141,_xlfn.AGGREGATE(15,6,(ROW(N_Bedarf!$CE$2:$CE$141)-1)/(--(SEARCH(DM$2,N_Bedarf!$CE$2:$CE$141)&gt;0)),ROW()-2),1),"")</f>
        <v>Zuckerrübe</v>
      </c>
      <c r="DM51" s="2356"/>
      <c r="DN51" s="2356" t="str">
        <f t="array" ref="DN51">IFERROR(INDEX(N_Bedarf!$CE$2:$CE$141,_xlfn.AGGREGATE(15,6,(ROW(N_Bedarf!$CE$2:$CE$141)-1)/(--(SEARCH(DO$2,N_Bedarf!$CE$2:$CE$141)&gt;0)),ROW()-2),1),"")</f>
        <v>Zuckerrübe</v>
      </c>
      <c r="DO51" s="2356"/>
      <c r="DP51" s="2356" t="str">
        <f t="array" ref="DP51">IFERROR(INDEX(N_Bedarf!$CE$2:$CE$141,_xlfn.AGGREGATE(15,6,(ROW(N_Bedarf!$CE$2:$CE$141)-1)/(--(SEARCH(DQ$2,N_Bedarf!$CE$2:$CE$141)&gt;0)),ROW()-2),1),"")</f>
        <v>Zuckerrübe</v>
      </c>
      <c r="DQ51" s="2356"/>
      <c r="DR51" s="2356" t="str">
        <f t="array" ref="DR51">IFERROR(INDEX(N_Bedarf!$CE$2:$CE$141,_xlfn.AGGREGATE(15,6,(ROW(N_Bedarf!$CE$2:$CE$141)-1)/(--(SEARCH(DS$2,N_Bedarf!$CE$2:$CE$141)&gt;0)),ROW()-2),1),"")</f>
        <v>Zuckerrübe</v>
      </c>
      <c r="DS51" s="2356"/>
      <c r="DT51" s="2356" t="str">
        <f t="array" ref="DT51">IFERROR(INDEX(N_Bedarf!$CE$2:$CE$141,_xlfn.AGGREGATE(15,6,(ROW(N_Bedarf!$CE$2:$CE$141)-1)/(--(SEARCH(DU$2,N_Bedarf!$CE$2:$CE$141)&gt;0)),ROW()-2),1),"")</f>
        <v>Zuckerrübe</v>
      </c>
      <c r="DU51" s="2356"/>
      <c r="DV51" s="2356" t="str">
        <f t="array" ref="DV51">IFERROR(INDEX(N_Bedarf!$CE$2:$CE$141,_xlfn.AGGREGATE(15,6,(ROW(N_Bedarf!$CE$2:$CE$141)-1)/(--(SEARCH(DW$2,N_Bedarf!$CE$2:$CE$141)&gt;0)),ROW()-2),1),"")</f>
        <v>Zuckerrübe</v>
      </c>
      <c r="DW51" s="2356"/>
      <c r="DX51" s="2356" t="str">
        <f t="array" ref="DX51">IFERROR(INDEX(N_Bedarf!$CE$2:$CE$141,_xlfn.AGGREGATE(15,6,(ROW(N_Bedarf!$CE$2:$CE$141)-1)/(--(SEARCH(DY$2,N_Bedarf!$CE$2:$CE$141)&gt;0)),ROW()-2),1),"")</f>
        <v>Zuckerrübe</v>
      </c>
      <c r="DY51" s="2356"/>
      <c r="DZ51" s="2356" t="str">
        <f t="array" ref="DZ51">IFERROR(INDEX(N_Bedarf!$CE$2:$CE$141,_xlfn.AGGREGATE(15,6,(ROW(N_Bedarf!$CE$2:$CE$141)-1)/(--(SEARCH(EA$2,N_Bedarf!$CE$2:$CE$141)&gt;0)),ROW()-2),1),"")</f>
        <v>Zuckerrübe</v>
      </c>
      <c r="EA51" s="2356"/>
      <c r="EB51" s="2356" t="str">
        <f t="array" ref="EB51">IFERROR(INDEX(N_Bedarf!$CE$2:$CE$141,_xlfn.AGGREGATE(15,6,(ROW(N_Bedarf!$CE$2:$CE$141)-1)/(--(SEARCH(EC$2,N_Bedarf!$CE$2:$CE$141)&gt;0)),ROW()-2),1),"")</f>
        <v>Zuckerrübe</v>
      </c>
      <c r="EC51" s="2356"/>
      <c r="ED51"/>
      <c r="EE51"/>
      <c r="EF51"/>
      <c r="EG51"/>
      <c r="EH51"/>
      <c r="EI51"/>
      <c r="EJ51"/>
      <c r="EK51"/>
      <c r="EL51"/>
      <c r="EM51"/>
      <c r="EN51"/>
      <c r="EO51"/>
      <c r="EP51"/>
      <c r="EQ51"/>
      <c r="ER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row>
    <row r="52" spans="1:291" ht="27" customHeight="1" thickTop="1" thickBot="1">
      <c r="A52" s="156"/>
      <c r="B52" s="156"/>
      <c r="C52" s="2454"/>
      <c r="D52" s="2455"/>
      <c r="E52" s="912"/>
      <c r="F52" s="913"/>
      <c r="G52" s="1916" t="str">
        <f t="shared" si="9"/>
        <v/>
      </c>
      <c r="H52" s="2296"/>
      <c r="I52" s="914">
        <f t="shared" si="22"/>
        <v>0</v>
      </c>
      <c r="J52" s="2297">
        <f t="shared" si="23"/>
        <v>0</v>
      </c>
      <c r="K52" s="2299"/>
      <c r="L52" s="915">
        <f t="shared" si="24"/>
        <v>0</v>
      </c>
      <c r="M52" s="2357">
        <f t="shared" si="25"/>
        <v>0</v>
      </c>
      <c r="AO52" s="156"/>
      <c r="AP52" s="1568" t="str">
        <f t="shared" si="3"/>
        <v/>
      </c>
      <c r="AQ52" s="472">
        <f t="shared" si="14"/>
        <v>0</v>
      </c>
      <c r="AR52" s="472">
        <f t="shared" si="15"/>
        <v>0</v>
      </c>
      <c r="AS52" s="472">
        <f t="shared" si="16"/>
        <v>0</v>
      </c>
      <c r="AT52" s="472">
        <f t="shared" si="17"/>
        <v>0</v>
      </c>
      <c r="AU52" s="472">
        <f t="shared" si="18"/>
        <v>0</v>
      </c>
      <c r="AV52" s="472">
        <f t="shared" si="19"/>
        <v>0</v>
      </c>
      <c r="AW52" s="472">
        <f t="shared" si="20"/>
        <v>0</v>
      </c>
      <c r="AX52" s="1722" t="s">
        <v>1699</v>
      </c>
      <c r="AY52" s="681">
        <v>110</v>
      </c>
      <c r="AZ52" s="681">
        <v>95</v>
      </c>
      <c r="BA52" s="681" t="s">
        <v>2571</v>
      </c>
      <c r="BB52" s="681">
        <v>155</v>
      </c>
      <c r="BC52" s="681">
        <v>130</v>
      </c>
      <c r="BD52" s="681" t="s">
        <v>2708</v>
      </c>
      <c r="BE52" s="681">
        <v>180</v>
      </c>
      <c r="BF52" s="681">
        <v>155</v>
      </c>
      <c r="BG52" s="681" t="s">
        <v>2735</v>
      </c>
      <c r="BH52" s="681">
        <v>180</v>
      </c>
      <c r="BI52" s="681">
        <v>155</v>
      </c>
      <c r="BJ52" s="681" t="s">
        <v>2735</v>
      </c>
      <c r="BK52" s="681">
        <v>180</v>
      </c>
      <c r="BL52" s="681">
        <v>155</v>
      </c>
      <c r="BM52" s="681" t="s">
        <v>2735</v>
      </c>
      <c r="BN52" s="471">
        <v>1.4</v>
      </c>
      <c r="BO52" s="821" t="s">
        <v>1764</v>
      </c>
      <c r="BP52"/>
      <c r="BQ52" s="1722" t="s">
        <v>1699</v>
      </c>
      <c r="BR52" s="470">
        <v>75</v>
      </c>
      <c r="BS52" s="470">
        <v>85</v>
      </c>
      <c r="BT52" s="470">
        <v>100</v>
      </c>
      <c r="BU52"/>
      <c r="BV52" s="1722" t="s">
        <v>1699</v>
      </c>
      <c r="BW52" s="470">
        <v>290</v>
      </c>
      <c r="BX52" s="470">
        <v>320</v>
      </c>
      <c r="BY52" s="470">
        <v>370</v>
      </c>
      <c r="CA52" s="822"/>
      <c r="CB52"/>
      <c r="CC52"/>
      <c r="CD52"/>
      <c r="CE52" s="2310" t="s">
        <v>1697</v>
      </c>
      <c r="CF52" s="1834" t="str">
        <f>IFERROR(INDEX(N_Bedarf!$CE$2:$CE$141,_xlfn.AGGREGATE(15,6,(ROW(N_Bedarf!$CE$2:$CE$141)-1)/(--(SEARCH(CG$2,N_Bedarf!$CE$2:$CE$141)&gt;0)),ROW()-2),1),"")</f>
        <v>Saatgutvermehrung Zuckerrübe</v>
      </c>
      <c r="CG52" s="1836"/>
      <c r="CH52" s="1834" t="str">
        <f>IFERROR(INDEX(N_Bedarf!$CE$2:$CE$141,_xlfn.AGGREGATE(15,6,(ROW(N_Bedarf!$CE$2:$CE$141)-1)/(--(SEARCH(CI$2,N_Bedarf!$CE$2:$CE$141)&gt;0)),ROW()-2),1),"")</f>
        <v>Saatgutvermehrung Zuckerrübe</v>
      </c>
      <c r="CI52" s="1836"/>
      <c r="CJ52" s="1834" t="str">
        <f>IFERROR(INDEX(N_Bedarf!$CE$2:$CE$141,_xlfn.AGGREGATE(15,6,(ROW(N_Bedarf!$CE$2:$CE$141)-1)/(--(SEARCH(CK$2,N_Bedarf!$CE$2:$CE$141)&gt;0)),ROW()-2),1),"")</f>
        <v>Saatgutvermehrung Zuckerrübe</v>
      </c>
      <c r="CK52" s="1836"/>
      <c r="CL52" s="1834" t="str">
        <f>IFERROR(INDEX(N_Bedarf!$CE$2:$CE$141,_xlfn.AGGREGATE(15,6,(ROW(N_Bedarf!$CE$2:$CE$141)-1)/(--(SEARCH(CM$2,N_Bedarf!$CE$2:$CE$141)&gt;0)),ROW()-2),1),"")</f>
        <v>Saatgutvermehrung Zuckerrübe</v>
      </c>
      <c r="CM52" s="1836"/>
      <c r="CN52" s="1834" t="str">
        <f>IFERROR(INDEX(N_Bedarf!$CE$2:$CE$141,_xlfn.AGGREGATE(15,6,(ROW(N_Bedarf!$CE$2:$CE$141)-1)/(--(SEARCH(CO$2,N_Bedarf!$CE$2:$CE$141)&gt;0)),ROW()-2),1),"")</f>
        <v>Saatgutvermehrung Zuckerrübe</v>
      </c>
      <c r="CO52" s="1836"/>
      <c r="CP52" s="1834" t="str">
        <f>IFERROR(INDEX(N_Bedarf!$CE$2:$CE$141,_xlfn.AGGREGATE(15,6,(ROW(N_Bedarf!$CE$2:$CE$141)-1)/(--(SEARCH(CQ$2,N_Bedarf!$CE$2:$CE$141)&gt;0)),ROW()-2),1),"")</f>
        <v>Saatgutvermehrung Zuckerrübe</v>
      </c>
      <c r="CQ52" s="1836"/>
      <c r="CR52" s="1834" t="str">
        <f>IFERROR(INDEX(N_Bedarf!$CE$2:$CE$141,_xlfn.AGGREGATE(15,6,(ROW(N_Bedarf!$CE$2:$CE$141)-1)/(--(SEARCH(CS$2,N_Bedarf!$CE$2:$CE$141)&gt;0)),ROW()-2),1),"")</f>
        <v>Saatgutvermehrung Zuckerrübe</v>
      </c>
      <c r="CS52" s="1836"/>
      <c r="CT52" s="1834" t="str">
        <f>IFERROR(INDEX(N_Bedarf!$CE$2:$CE$141,_xlfn.AGGREGATE(15,6,(ROW(N_Bedarf!$CE$2:$CE$141)-1)/(--(SEARCH(CU$2,N_Bedarf!$CE$2:$CE$141)&gt;0)),ROW()-2),1),"")</f>
        <v>Saatgutvermehrung Zuckerrübe</v>
      </c>
      <c r="CU52" s="1836"/>
      <c r="CV52" s="1834" t="str">
        <f>IFERROR(INDEX(N_Bedarf!$CE$2:$CE$141,_xlfn.AGGREGATE(15,6,(ROW(N_Bedarf!$CE$2:$CE$141)-1)/(--(SEARCH(CW$2,N_Bedarf!$CE$2:$CE$141)&gt;0)),ROW()-2),1),"")</f>
        <v>Saatgutvermehrung Zuckerrübe</v>
      </c>
      <c r="CW52" s="1836"/>
      <c r="CX52" s="1834" t="str">
        <f>IFERROR(INDEX(N_Bedarf!$CE$2:$CE$141,_xlfn.AGGREGATE(15,6,(ROW(N_Bedarf!$CE$2:$CE$141)-1)/(--(SEARCH(CY$2,N_Bedarf!$CE$2:$CE$141)&gt;0)),ROW()-2),1),"")</f>
        <v>Saatgutvermehrung Zuckerrübe</v>
      </c>
      <c r="CY52" s="1836"/>
      <c r="CZ52" s="1834" t="str">
        <f>IFERROR(INDEX(N_Bedarf!$CE$2:$CE$141,_xlfn.AGGREGATE(15,6,(ROW(N_Bedarf!$CE$2:$CE$141)-1)/(--(SEARCH(DA$2,N_Bedarf!$CE$2:$CE$141)&gt;0)),ROW()-2),1),"")</f>
        <v>Saatgutvermehrung Zuckerrübe</v>
      </c>
      <c r="DA52" s="1836"/>
      <c r="DB52" s="1834" t="str">
        <f>IFERROR(INDEX(N_Bedarf!$CE$2:$CE$141,_xlfn.AGGREGATE(15,6,(ROW(N_Bedarf!$CE$2:$CE$141)-1)/(--(SEARCH(DC$2,N_Bedarf!$CE$2:$CE$141)&gt;0)),ROW()-2),1),"")</f>
        <v>Saatgutvermehrung Zuckerrübe</v>
      </c>
      <c r="DC52" s="1836"/>
      <c r="DD52" s="1834" t="str">
        <f>IFERROR(INDEX(N_Bedarf!$CE$2:$CE$141,_xlfn.AGGREGATE(15,6,(ROW(N_Bedarf!$CE$2:$CE$141)-1)/(--(SEARCH(DE$2,N_Bedarf!$CE$2:$CE$141)&gt;0)),ROW()-2),1),"")</f>
        <v>Saatgutvermehrung Zuckerrübe</v>
      </c>
      <c r="DE52" s="1836"/>
      <c r="DF52" s="2353" t="str">
        <f t="array" ref="DF52">IFERROR(INDEX(N_Bedarf!$CE$2:$CE$141,_xlfn.AGGREGATE(15,6,(ROW(N_Bedarf!$CE$2:$CE$141)-1)/(--(SEARCH(DG$2,N_Bedarf!$CE$2:$CE$141)&gt;0)),ROW()-2),1),"")</f>
        <v>Saatgutvermehrung Zuckerrübe</v>
      </c>
      <c r="DG52" s="2353"/>
      <c r="DH52" s="2355" t="str">
        <f t="array" ref="DH52">IFERROR(INDEX(N_Bedarf!$CE$2:$CE$141,_xlfn.AGGREGATE(15,6,(ROW(N_Bedarf!$CE$2:$CE$141)-1)/(--(SEARCH(DI$2,N_Bedarf!$CE$2:$CE$141)&gt;0)),ROW()-2),1),"")</f>
        <v>Saatgutvermehrung Zuckerrübe</v>
      </c>
      <c r="DI52" s="2355"/>
      <c r="DJ52" s="2356" t="str">
        <f t="array" ref="DJ52">IFERROR(INDEX(N_Bedarf!$CE$2:$CE$141,_xlfn.AGGREGATE(15,6,(ROW(N_Bedarf!$CE$2:$CE$141)-1)/(--(SEARCH(DK$2,N_Bedarf!$CE$2:$CE$141)&gt;0)),ROW()-2),1),"")</f>
        <v>Saatgutvermehrung Zuckerrübe</v>
      </c>
      <c r="DK52" s="2356"/>
      <c r="DL52" s="2356" t="str">
        <f t="array" ref="DL52">IFERROR(INDEX(N_Bedarf!$CE$2:$CE$141,_xlfn.AGGREGATE(15,6,(ROW(N_Bedarf!$CE$2:$CE$141)-1)/(--(SEARCH(DM$2,N_Bedarf!$CE$2:$CE$141)&gt;0)),ROW()-2),1),"")</f>
        <v>Saatgutvermehrung Zuckerrübe</v>
      </c>
      <c r="DM52" s="2356"/>
      <c r="DN52" s="2356" t="str">
        <f t="array" ref="DN52">IFERROR(INDEX(N_Bedarf!$CE$2:$CE$141,_xlfn.AGGREGATE(15,6,(ROW(N_Bedarf!$CE$2:$CE$141)-1)/(--(SEARCH(DO$2,N_Bedarf!$CE$2:$CE$141)&gt;0)),ROW()-2),1),"")</f>
        <v>Saatgutvermehrung Zuckerrübe</v>
      </c>
      <c r="DO52" s="2356"/>
      <c r="DP52" s="2356" t="str">
        <f t="array" ref="DP52">IFERROR(INDEX(N_Bedarf!$CE$2:$CE$141,_xlfn.AGGREGATE(15,6,(ROW(N_Bedarf!$CE$2:$CE$141)-1)/(--(SEARCH(DQ$2,N_Bedarf!$CE$2:$CE$141)&gt;0)),ROW()-2),1),"")</f>
        <v>Saatgutvermehrung Zuckerrübe</v>
      </c>
      <c r="DQ52" s="2356"/>
      <c r="DR52" s="2356" t="str">
        <f t="array" ref="DR52">IFERROR(INDEX(N_Bedarf!$CE$2:$CE$141,_xlfn.AGGREGATE(15,6,(ROW(N_Bedarf!$CE$2:$CE$141)-1)/(--(SEARCH(DS$2,N_Bedarf!$CE$2:$CE$141)&gt;0)),ROW()-2),1),"")</f>
        <v>Saatgutvermehrung Zuckerrübe</v>
      </c>
      <c r="DS52" s="2356"/>
      <c r="DT52" s="2356" t="str">
        <f t="array" ref="DT52">IFERROR(INDEX(N_Bedarf!$CE$2:$CE$141,_xlfn.AGGREGATE(15,6,(ROW(N_Bedarf!$CE$2:$CE$141)-1)/(--(SEARCH(DU$2,N_Bedarf!$CE$2:$CE$141)&gt;0)),ROW()-2),1),"")</f>
        <v>Saatgutvermehrung Zuckerrübe</v>
      </c>
      <c r="DU52" s="2356"/>
      <c r="DV52" s="2356" t="str">
        <f t="array" ref="DV52">IFERROR(INDEX(N_Bedarf!$CE$2:$CE$141,_xlfn.AGGREGATE(15,6,(ROW(N_Bedarf!$CE$2:$CE$141)-1)/(--(SEARCH(DW$2,N_Bedarf!$CE$2:$CE$141)&gt;0)),ROW()-2),1),"")</f>
        <v>Saatgutvermehrung Zuckerrübe</v>
      </c>
      <c r="DW52" s="2356"/>
      <c r="DX52" s="2356" t="str">
        <f t="array" ref="DX52">IFERROR(INDEX(N_Bedarf!$CE$2:$CE$141,_xlfn.AGGREGATE(15,6,(ROW(N_Bedarf!$CE$2:$CE$141)-1)/(--(SEARCH(DY$2,N_Bedarf!$CE$2:$CE$141)&gt;0)),ROW()-2),1),"")</f>
        <v>Saatgutvermehrung Zuckerrübe</v>
      </c>
      <c r="DY52" s="2356"/>
      <c r="DZ52" s="2356" t="str">
        <f t="array" ref="DZ52">IFERROR(INDEX(N_Bedarf!$CE$2:$CE$141,_xlfn.AGGREGATE(15,6,(ROW(N_Bedarf!$CE$2:$CE$141)-1)/(--(SEARCH(EA$2,N_Bedarf!$CE$2:$CE$141)&gt;0)),ROW()-2),1),"")</f>
        <v>Saatgutvermehrung Zuckerrübe</v>
      </c>
      <c r="EA52" s="2356"/>
      <c r="EB52" s="2356" t="str">
        <f t="array" ref="EB52">IFERROR(INDEX(N_Bedarf!$CE$2:$CE$141,_xlfn.AGGREGATE(15,6,(ROW(N_Bedarf!$CE$2:$CE$141)-1)/(--(SEARCH(EC$2,N_Bedarf!$CE$2:$CE$141)&gt;0)),ROW()-2),1),"")</f>
        <v>Saatgutvermehrung Zuckerrübe</v>
      </c>
      <c r="EC52" s="2356"/>
      <c r="ED52"/>
      <c r="EE52"/>
      <c r="EF52"/>
      <c r="EG52"/>
      <c r="EH52"/>
      <c r="EI52"/>
      <c r="EJ52"/>
      <c r="EK52"/>
      <c r="EL52"/>
      <c r="EM52"/>
      <c r="EN52"/>
      <c r="EO52"/>
      <c r="EP52"/>
      <c r="EQ52"/>
      <c r="ER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row>
    <row r="53" spans="1:291" ht="27" customHeight="1" thickTop="1" thickBot="1">
      <c r="A53" s="156"/>
      <c r="B53" s="156"/>
      <c r="C53" s="2454"/>
      <c r="D53" s="2455"/>
      <c r="E53" s="912"/>
      <c r="F53" s="913"/>
      <c r="G53" s="1916" t="str">
        <f t="shared" si="9"/>
        <v/>
      </c>
      <c r="H53" s="2296"/>
      <c r="I53" s="914">
        <f t="shared" si="22"/>
        <v>0</v>
      </c>
      <c r="J53" s="2297">
        <f t="shared" si="23"/>
        <v>0</v>
      </c>
      <c r="K53" s="2299"/>
      <c r="L53" s="915">
        <f t="shared" si="24"/>
        <v>0</v>
      </c>
      <c r="M53" s="2357">
        <f t="shared" si="25"/>
        <v>0</v>
      </c>
      <c r="AO53" s="156"/>
      <c r="AP53" s="1568" t="str">
        <f t="shared" si="3"/>
        <v/>
      </c>
      <c r="AQ53" s="472">
        <f t="shared" si="14"/>
        <v>0</v>
      </c>
      <c r="AR53" s="472">
        <f t="shared" si="15"/>
        <v>0</v>
      </c>
      <c r="AS53" s="472">
        <f t="shared" si="16"/>
        <v>0</v>
      </c>
      <c r="AT53" s="472">
        <f t="shared" si="17"/>
        <v>0</v>
      </c>
      <c r="AU53" s="472">
        <f t="shared" si="18"/>
        <v>0</v>
      </c>
      <c r="AV53" s="472">
        <f t="shared" si="19"/>
        <v>0</v>
      </c>
      <c r="AW53" s="472">
        <f t="shared" si="20"/>
        <v>0</v>
      </c>
      <c r="AX53" s="1722" t="s">
        <v>1736</v>
      </c>
      <c r="AY53" s="681">
        <v>110</v>
      </c>
      <c r="AZ53" s="681">
        <v>95</v>
      </c>
      <c r="BA53" s="681" t="s">
        <v>2684</v>
      </c>
      <c r="BB53" s="681">
        <v>155</v>
      </c>
      <c r="BC53" s="681">
        <v>130</v>
      </c>
      <c r="BD53" s="681" t="s">
        <v>2709</v>
      </c>
      <c r="BE53" s="681">
        <v>180</v>
      </c>
      <c r="BF53" s="681">
        <v>155</v>
      </c>
      <c r="BG53" s="681" t="s">
        <v>2734</v>
      </c>
      <c r="BH53" s="681">
        <v>195</v>
      </c>
      <c r="BI53" s="681">
        <v>165</v>
      </c>
      <c r="BJ53" s="681" t="s">
        <v>2748</v>
      </c>
      <c r="BK53" s="681">
        <v>210</v>
      </c>
      <c r="BL53" s="681">
        <v>180</v>
      </c>
      <c r="BM53" s="681" t="s">
        <v>2612</v>
      </c>
      <c r="BN53" s="471">
        <v>1.8</v>
      </c>
      <c r="BO53" s="821" t="s">
        <v>1764</v>
      </c>
      <c r="BP53"/>
      <c r="BQ53" s="1722" t="s">
        <v>1736</v>
      </c>
      <c r="BR53" s="470">
        <v>75</v>
      </c>
      <c r="BS53" s="470">
        <v>85</v>
      </c>
      <c r="BT53" s="470">
        <v>100</v>
      </c>
      <c r="BV53" s="1722" t="s">
        <v>1736</v>
      </c>
      <c r="BW53" s="470">
        <v>290</v>
      </c>
      <c r="BX53" s="470">
        <v>320</v>
      </c>
      <c r="BY53" s="470">
        <v>370</v>
      </c>
      <c r="CA53" s="822"/>
      <c r="CB53"/>
      <c r="CC53"/>
      <c r="CD53"/>
      <c r="CE53" s="2310" t="s">
        <v>1722</v>
      </c>
      <c r="CF53" s="1834" t="str">
        <f>IFERROR(INDEX(N_Bedarf!$CE$2:$CE$141,_xlfn.AGGREGATE(15,6,(ROW(N_Bedarf!$CE$2:$CE$141)-1)/(--(SEARCH(CG$2,N_Bedarf!$CE$2:$CE$141)&gt;0)),ROW()-2),1),"")</f>
        <v>Frühkartoffel</v>
      </c>
      <c r="CG53" s="1830"/>
      <c r="CH53" s="1834" t="str">
        <f>IFERROR(INDEX(N_Bedarf!$CE$2:$CE$141,_xlfn.AGGREGATE(15,6,(ROW(N_Bedarf!$CE$2:$CE$141)-1)/(--(SEARCH(CI$2,N_Bedarf!$CE$2:$CE$141)&gt;0)),ROW()-2),1),"")</f>
        <v>Frühkartoffel</v>
      </c>
      <c r="CI53" s="1830"/>
      <c r="CJ53" s="1834" t="str">
        <f>IFERROR(INDEX(N_Bedarf!$CE$2:$CE$141,_xlfn.AGGREGATE(15,6,(ROW(N_Bedarf!$CE$2:$CE$141)-1)/(--(SEARCH(CK$2,N_Bedarf!$CE$2:$CE$141)&gt;0)),ROW()-2),1),"")</f>
        <v>Frühkartoffel</v>
      </c>
      <c r="CK53" s="1830"/>
      <c r="CL53" s="1834" t="str">
        <f>IFERROR(INDEX(N_Bedarf!$CE$2:$CE$141,_xlfn.AGGREGATE(15,6,(ROW(N_Bedarf!$CE$2:$CE$141)-1)/(--(SEARCH(CM$2,N_Bedarf!$CE$2:$CE$141)&gt;0)),ROW()-2),1),"")</f>
        <v>Frühkartoffel</v>
      </c>
      <c r="CM53" s="1830"/>
      <c r="CN53" s="1834" t="str">
        <f>IFERROR(INDEX(N_Bedarf!$CE$2:$CE$141,_xlfn.AGGREGATE(15,6,(ROW(N_Bedarf!$CE$2:$CE$141)-1)/(--(SEARCH(CO$2,N_Bedarf!$CE$2:$CE$141)&gt;0)),ROW()-2),1),"")</f>
        <v>Frühkartoffel</v>
      </c>
      <c r="CO53" s="1830"/>
      <c r="CP53" s="1834" t="str">
        <f>IFERROR(INDEX(N_Bedarf!$CE$2:$CE$141,_xlfn.AGGREGATE(15,6,(ROW(N_Bedarf!$CE$2:$CE$141)-1)/(--(SEARCH(CQ$2,N_Bedarf!$CE$2:$CE$141)&gt;0)),ROW()-2),1),"")</f>
        <v>Frühkartoffel</v>
      </c>
      <c r="CQ53" s="1830"/>
      <c r="CR53" s="1834" t="str">
        <f>IFERROR(INDEX(N_Bedarf!$CE$2:$CE$141,_xlfn.AGGREGATE(15,6,(ROW(N_Bedarf!$CE$2:$CE$141)-1)/(--(SEARCH(CS$2,N_Bedarf!$CE$2:$CE$141)&gt;0)),ROW()-2),1),"")</f>
        <v>Frühkartoffel</v>
      </c>
      <c r="CS53" s="1830"/>
      <c r="CT53" s="1834" t="str">
        <f>IFERROR(INDEX(N_Bedarf!$CE$2:$CE$141,_xlfn.AGGREGATE(15,6,(ROW(N_Bedarf!$CE$2:$CE$141)-1)/(--(SEARCH(CU$2,N_Bedarf!$CE$2:$CE$141)&gt;0)),ROW()-2),1),"")</f>
        <v>Frühkartoffel</v>
      </c>
      <c r="CU53" s="1830"/>
      <c r="CV53" s="1834" t="str">
        <f>IFERROR(INDEX(N_Bedarf!$CE$2:$CE$141,_xlfn.AGGREGATE(15,6,(ROW(N_Bedarf!$CE$2:$CE$141)-1)/(--(SEARCH(CW$2,N_Bedarf!$CE$2:$CE$141)&gt;0)),ROW()-2),1),"")</f>
        <v>Frühkartoffel</v>
      </c>
      <c r="CW53" s="1830"/>
      <c r="CX53" s="1834" t="str">
        <f>IFERROR(INDEX(N_Bedarf!$CE$2:$CE$141,_xlfn.AGGREGATE(15,6,(ROW(N_Bedarf!$CE$2:$CE$141)-1)/(--(SEARCH(CY$2,N_Bedarf!$CE$2:$CE$141)&gt;0)),ROW()-2),1),"")</f>
        <v>Frühkartoffel</v>
      </c>
      <c r="CY53" s="1830"/>
      <c r="CZ53" s="1834" t="str">
        <f>IFERROR(INDEX(N_Bedarf!$CE$2:$CE$141,_xlfn.AGGREGATE(15,6,(ROW(N_Bedarf!$CE$2:$CE$141)-1)/(--(SEARCH(DA$2,N_Bedarf!$CE$2:$CE$141)&gt;0)),ROW()-2),1),"")</f>
        <v>Frühkartoffel</v>
      </c>
      <c r="DA53" s="1830"/>
      <c r="DB53" s="1834" t="str">
        <f>IFERROR(INDEX(N_Bedarf!$CE$2:$CE$141,_xlfn.AGGREGATE(15,6,(ROW(N_Bedarf!$CE$2:$CE$141)-1)/(--(SEARCH(DC$2,N_Bedarf!$CE$2:$CE$141)&gt;0)),ROW()-2),1),"")</f>
        <v>Frühkartoffel</v>
      </c>
      <c r="DC53" s="1830"/>
      <c r="DD53" s="1834" t="str">
        <f>IFERROR(INDEX(N_Bedarf!$CE$2:$CE$141,_xlfn.AGGREGATE(15,6,(ROW(N_Bedarf!$CE$2:$CE$141)-1)/(--(SEARCH(DE$2,N_Bedarf!$CE$2:$CE$141)&gt;0)),ROW()-2),1),"")</f>
        <v>Frühkartoffel</v>
      </c>
      <c r="DE53" s="1830"/>
      <c r="DF53" s="2353" t="str">
        <f t="array" ref="DF53">IFERROR(INDEX(N_Bedarf!$CE$2:$CE$141,_xlfn.AGGREGATE(15,6,(ROW(N_Bedarf!$CE$2:$CE$141)-1)/(--(SEARCH(DG$2,N_Bedarf!$CE$2:$CE$141)&gt;0)),ROW()-2),1),"")</f>
        <v>Frühkartoffel</v>
      </c>
      <c r="DG53" s="2353"/>
      <c r="DH53" s="2355" t="str">
        <f t="array" ref="DH53">IFERROR(INDEX(N_Bedarf!$CE$2:$CE$141,_xlfn.AGGREGATE(15,6,(ROW(N_Bedarf!$CE$2:$CE$141)-1)/(--(SEARCH(DI$2,N_Bedarf!$CE$2:$CE$141)&gt;0)),ROW()-2),1),"")</f>
        <v>Frühkartoffel</v>
      </c>
      <c r="DI53" s="2355"/>
      <c r="DJ53" s="2356" t="str">
        <f t="array" ref="DJ53">IFERROR(INDEX(N_Bedarf!$CE$2:$CE$141,_xlfn.AGGREGATE(15,6,(ROW(N_Bedarf!$CE$2:$CE$141)-1)/(--(SEARCH(DK$2,N_Bedarf!$CE$2:$CE$141)&gt;0)),ROW()-2),1),"")</f>
        <v>Frühkartoffel</v>
      </c>
      <c r="DK53" s="2356"/>
      <c r="DL53" s="2356" t="str">
        <f t="array" ref="DL53">IFERROR(INDEX(N_Bedarf!$CE$2:$CE$141,_xlfn.AGGREGATE(15,6,(ROW(N_Bedarf!$CE$2:$CE$141)-1)/(--(SEARCH(DM$2,N_Bedarf!$CE$2:$CE$141)&gt;0)),ROW()-2),1),"")</f>
        <v>Frühkartoffel</v>
      </c>
      <c r="DM53" s="2356"/>
      <c r="DN53" s="2356" t="str">
        <f t="array" ref="DN53">IFERROR(INDEX(N_Bedarf!$CE$2:$CE$141,_xlfn.AGGREGATE(15,6,(ROW(N_Bedarf!$CE$2:$CE$141)-1)/(--(SEARCH(DO$2,N_Bedarf!$CE$2:$CE$141)&gt;0)),ROW()-2),1),"")</f>
        <v>Frühkartoffel</v>
      </c>
      <c r="DO53" s="2356"/>
      <c r="DP53" s="2356" t="str">
        <f t="array" ref="DP53">IFERROR(INDEX(N_Bedarf!$CE$2:$CE$141,_xlfn.AGGREGATE(15,6,(ROW(N_Bedarf!$CE$2:$CE$141)-1)/(--(SEARCH(DQ$2,N_Bedarf!$CE$2:$CE$141)&gt;0)),ROW()-2),1),"")</f>
        <v>Frühkartoffel</v>
      </c>
      <c r="DQ53" s="2356"/>
      <c r="DR53" s="2356" t="str">
        <f t="array" ref="DR53">IFERROR(INDEX(N_Bedarf!$CE$2:$CE$141,_xlfn.AGGREGATE(15,6,(ROW(N_Bedarf!$CE$2:$CE$141)-1)/(--(SEARCH(DS$2,N_Bedarf!$CE$2:$CE$141)&gt;0)),ROW()-2),1),"")</f>
        <v>Frühkartoffel</v>
      </c>
      <c r="DS53" s="2356"/>
      <c r="DT53" s="2356" t="str">
        <f t="array" ref="DT53">IFERROR(INDEX(N_Bedarf!$CE$2:$CE$141,_xlfn.AGGREGATE(15,6,(ROW(N_Bedarf!$CE$2:$CE$141)-1)/(--(SEARCH(DU$2,N_Bedarf!$CE$2:$CE$141)&gt;0)),ROW()-2),1),"")</f>
        <v>Frühkartoffel</v>
      </c>
      <c r="DU53" s="2356"/>
      <c r="DV53" s="2356" t="str">
        <f t="array" ref="DV53">IFERROR(INDEX(N_Bedarf!$CE$2:$CE$141,_xlfn.AGGREGATE(15,6,(ROW(N_Bedarf!$CE$2:$CE$141)-1)/(--(SEARCH(DW$2,N_Bedarf!$CE$2:$CE$141)&gt;0)),ROW()-2),1),"")</f>
        <v>Frühkartoffel</v>
      </c>
      <c r="DW53" s="2356"/>
      <c r="DX53" s="2356" t="str">
        <f t="array" ref="DX53">IFERROR(INDEX(N_Bedarf!$CE$2:$CE$141,_xlfn.AGGREGATE(15,6,(ROW(N_Bedarf!$CE$2:$CE$141)-1)/(--(SEARCH(DY$2,N_Bedarf!$CE$2:$CE$141)&gt;0)),ROW()-2),1),"")</f>
        <v>Frühkartoffel</v>
      </c>
      <c r="DY53" s="2356"/>
      <c r="DZ53" s="2356" t="str">
        <f t="array" ref="DZ53">IFERROR(INDEX(N_Bedarf!$CE$2:$CE$141,_xlfn.AGGREGATE(15,6,(ROW(N_Bedarf!$CE$2:$CE$141)-1)/(--(SEARCH(EA$2,N_Bedarf!$CE$2:$CE$141)&gt;0)),ROW()-2),1),"")</f>
        <v>Frühkartoffel</v>
      </c>
      <c r="EA53" s="2356"/>
      <c r="EB53" s="2356" t="str">
        <f t="array" ref="EB53">IFERROR(INDEX(N_Bedarf!$CE$2:$CE$141,_xlfn.AGGREGATE(15,6,(ROW(N_Bedarf!$CE$2:$CE$141)-1)/(--(SEARCH(EC$2,N_Bedarf!$CE$2:$CE$141)&gt;0)),ROW()-2),1),"")</f>
        <v>Frühkartoffel</v>
      </c>
      <c r="EC53" s="2356"/>
      <c r="ED53"/>
      <c r="EE53"/>
      <c r="EF53"/>
      <c r="EG53"/>
      <c r="EH53"/>
      <c r="EI53"/>
      <c r="EJ53"/>
      <c r="EK53"/>
      <c r="EL53"/>
      <c r="EM53"/>
      <c r="EN53"/>
      <c r="EO53"/>
      <c r="EP53"/>
      <c r="EQ53"/>
      <c r="ER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row>
    <row r="54" spans="1:291" ht="27" customHeight="1" thickTop="1" thickBot="1">
      <c r="A54" s="156"/>
      <c r="B54" s="156"/>
      <c r="C54" s="2454"/>
      <c r="D54" s="2455"/>
      <c r="E54" s="912"/>
      <c r="F54" s="913"/>
      <c r="G54" s="1916" t="str">
        <f t="shared" si="9"/>
        <v/>
      </c>
      <c r="H54" s="2296"/>
      <c r="I54" s="914">
        <f t="shared" si="22"/>
        <v>0</v>
      </c>
      <c r="J54" s="2297">
        <f t="shared" si="23"/>
        <v>0</v>
      </c>
      <c r="K54" s="2299"/>
      <c r="L54" s="915">
        <f t="shared" si="24"/>
        <v>0</v>
      </c>
      <c r="M54" s="2357">
        <f t="shared" si="25"/>
        <v>0</v>
      </c>
      <c r="AO54" s="156"/>
      <c r="AP54" s="1568" t="str">
        <f t="shared" si="3"/>
        <v/>
      </c>
      <c r="AQ54" s="472">
        <f t="shared" si="14"/>
        <v>0</v>
      </c>
      <c r="AR54" s="472">
        <f t="shared" si="15"/>
        <v>0</v>
      </c>
      <c r="AS54" s="472">
        <f t="shared" si="16"/>
        <v>0</v>
      </c>
      <c r="AT54" s="472">
        <f t="shared" si="17"/>
        <v>0</v>
      </c>
      <c r="AU54" s="472">
        <f t="shared" si="18"/>
        <v>0</v>
      </c>
      <c r="AV54" s="472">
        <f t="shared" si="19"/>
        <v>0</v>
      </c>
      <c r="AW54" s="472">
        <f t="shared" si="20"/>
        <v>0</v>
      </c>
      <c r="AX54" s="1722" t="s">
        <v>32</v>
      </c>
      <c r="AY54" s="681">
        <v>170</v>
      </c>
      <c r="AZ54" s="681">
        <v>145</v>
      </c>
      <c r="BA54" s="681" t="s">
        <v>2652</v>
      </c>
      <c r="BB54" s="681">
        <v>190</v>
      </c>
      <c r="BC54" s="681">
        <v>160</v>
      </c>
      <c r="BD54" s="681" t="s">
        <v>2710</v>
      </c>
      <c r="BE54" s="681">
        <v>210</v>
      </c>
      <c r="BF54" s="681">
        <v>180</v>
      </c>
      <c r="BG54" s="681" t="s">
        <v>2733</v>
      </c>
      <c r="BH54" s="681">
        <v>210</v>
      </c>
      <c r="BI54" s="681">
        <v>180</v>
      </c>
      <c r="BJ54" s="681" t="s">
        <v>2737</v>
      </c>
      <c r="BK54" s="681">
        <v>210</v>
      </c>
      <c r="BL54" s="681">
        <v>180</v>
      </c>
      <c r="BM54" s="681" t="s">
        <v>2602</v>
      </c>
      <c r="BN54" s="471">
        <v>0</v>
      </c>
      <c r="BO54" s="821" t="s">
        <v>1764</v>
      </c>
      <c r="BP54"/>
      <c r="BQ54" s="1722" t="s">
        <v>32</v>
      </c>
      <c r="BR54" s="470">
        <v>100</v>
      </c>
      <c r="BS54" s="470">
        <v>110</v>
      </c>
      <c r="BT54" s="470">
        <v>125</v>
      </c>
      <c r="BV54" s="1722" t="s">
        <v>32</v>
      </c>
      <c r="BW54" s="470">
        <v>290</v>
      </c>
      <c r="BX54" s="470">
        <v>320</v>
      </c>
      <c r="BY54" s="470">
        <v>370</v>
      </c>
      <c r="CA54" s="822"/>
      <c r="CB54"/>
      <c r="CC54"/>
      <c r="CD54"/>
      <c r="CE54" s="2310" t="s">
        <v>1723</v>
      </c>
      <c r="CF54" s="1834" t="str">
        <f>IFERROR(INDEX(N_Bedarf!$CE$2:$CE$141,_xlfn.AGGREGATE(15,6,(ROW(N_Bedarf!$CE$2:$CE$141)-1)/(--(SEARCH(CG$2,N_Bedarf!$CE$2:$CE$141)&gt;0)),ROW()-2),1),"")</f>
        <v>Speiseindustrie-Kartoffel</v>
      </c>
      <c r="CG54" s="1836"/>
      <c r="CH54" s="1834" t="str">
        <f>IFERROR(INDEX(N_Bedarf!$CE$2:$CE$141,_xlfn.AGGREGATE(15,6,(ROW(N_Bedarf!$CE$2:$CE$141)-1)/(--(SEARCH(CI$2,N_Bedarf!$CE$2:$CE$141)&gt;0)),ROW()-2),1),"")</f>
        <v>Speiseindustrie-Kartoffel</v>
      </c>
      <c r="CI54" s="1836"/>
      <c r="CJ54" s="1834" t="str">
        <f>IFERROR(INDEX(N_Bedarf!$CE$2:$CE$141,_xlfn.AGGREGATE(15,6,(ROW(N_Bedarf!$CE$2:$CE$141)-1)/(--(SEARCH(CK$2,N_Bedarf!$CE$2:$CE$141)&gt;0)),ROW()-2),1),"")</f>
        <v>Speiseindustrie-Kartoffel</v>
      </c>
      <c r="CK54" s="1836"/>
      <c r="CL54" s="1834" t="str">
        <f>IFERROR(INDEX(N_Bedarf!$CE$2:$CE$141,_xlfn.AGGREGATE(15,6,(ROW(N_Bedarf!$CE$2:$CE$141)-1)/(--(SEARCH(CM$2,N_Bedarf!$CE$2:$CE$141)&gt;0)),ROW()-2),1),"")</f>
        <v>Speiseindustrie-Kartoffel</v>
      </c>
      <c r="CM54" s="1836"/>
      <c r="CN54" s="1834" t="str">
        <f>IFERROR(INDEX(N_Bedarf!$CE$2:$CE$141,_xlfn.AGGREGATE(15,6,(ROW(N_Bedarf!$CE$2:$CE$141)-1)/(--(SEARCH(CO$2,N_Bedarf!$CE$2:$CE$141)&gt;0)),ROW()-2),1),"")</f>
        <v>Speiseindustrie-Kartoffel</v>
      </c>
      <c r="CO54" s="1836"/>
      <c r="CP54" s="1834" t="str">
        <f>IFERROR(INDEX(N_Bedarf!$CE$2:$CE$141,_xlfn.AGGREGATE(15,6,(ROW(N_Bedarf!$CE$2:$CE$141)-1)/(--(SEARCH(CQ$2,N_Bedarf!$CE$2:$CE$141)&gt;0)),ROW()-2),1),"")</f>
        <v>Speiseindustrie-Kartoffel</v>
      </c>
      <c r="CQ54" s="1836"/>
      <c r="CR54" s="1834" t="str">
        <f>IFERROR(INDEX(N_Bedarf!$CE$2:$CE$141,_xlfn.AGGREGATE(15,6,(ROW(N_Bedarf!$CE$2:$CE$141)-1)/(--(SEARCH(CS$2,N_Bedarf!$CE$2:$CE$141)&gt;0)),ROW()-2),1),"")</f>
        <v>Speiseindustrie-Kartoffel</v>
      </c>
      <c r="CS54" s="1836"/>
      <c r="CT54" s="1834" t="str">
        <f>IFERROR(INDEX(N_Bedarf!$CE$2:$CE$141,_xlfn.AGGREGATE(15,6,(ROW(N_Bedarf!$CE$2:$CE$141)-1)/(--(SEARCH(CU$2,N_Bedarf!$CE$2:$CE$141)&gt;0)),ROW()-2),1),"")</f>
        <v>Speiseindustrie-Kartoffel</v>
      </c>
      <c r="CU54" s="1836"/>
      <c r="CV54" s="1834" t="str">
        <f>IFERROR(INDEX(N_Bedarf!$CE$2:$CE$141,_xlfn.AGGREGATE(15,6,(ROW(N_Bedarf!$CE$2:$CE$141)-1)/(--(SEARCH(CW$2,N_Bedarf!$CE$2:$CE$141)&gt;0)),ROW()-2),1),"")</f>
        <v>Speiseindustrie-Kartoffel</v>
      </c>
      <c r="CW54" s="1836"/>
      <c r="CX54" s="1834" t="str">
        <f>IFERROR(INDEX(N_Bedarf!$CE$2:$CE$141,_xlfn.AGGREGATE(15,6,(ROW(N_Bedarf!$CE$2:$CE$141)-1)/(--(SEARCH(CY$2,N_Bedarf!$CE$2:$CE$141)&gt;0)),ROW()-2),1),"")</f>
        <v>Speiseindustrie-Kartoffel</v>
      </c>
      <c r="CY54" s="1836"/>
      <c r="CZ54" s="1834" t="str">
        <f>IFERROR(INDEX(N_Bedarf!$CE$2:$CE$141,_xlfn.AGGREGATE(15,6,(ROW(N_Bedarf!$CE$2:$CE$141)-1)/(--(SEARCH(DA$2,N_Bedarf!$CE$2:$CE$141)&gt;0)),ROW()-2),1),"")</f>
        <v>Speiseindustrie-Kartoffel</v>
      </c>
      <c r="DA54" s="1836"/>
      <c r="DB54" s="1834" t="str">
        <f>IFERROR(INDEX(N_Bedarf!$CE$2:$CE$141,_xlfn.AGGREGATE(15,6,(ROW(N_Bedarf!$CE$2:$CE$141)-1)/(--(SEARCH(DC$2,N_Bedarf!$CE$2:$CE$141)&gt;0)),ROW()-2),1),"")</f>
        <v>Speiseindustrie-Kartoffel</v>
      </c>
      <c r="DC54" s="1836"/>
      <c r="DD54" s="1834" t="str">
        <f>IFERROR(INDEX(N_Bedarf!$CE$2:$CE$141,_xlfn.AGGREGATE(15,6,(ROW(N_Bedarf!$CE$2:$CE$141)-1)/(--(SEARCH(DE$2,N_Bedarf!$CE$2:$CE$141)&gt;0)),ROW()-2),1),"")</f>
        <v>Speiseindustrie-Kartoffel</v>
      </c>
      <c r="DE54" s="1836"/>
      <c r="DF54" s="2353" t="str">
        <f t="array" ref="DF54">IFERROR(INDEX(N_Bedarf!$CE$2:$CE$141,_xlfn.AGGREGATE(15,6,(ROW(N_Bedarf!$CE$2:$CE$141)-1)/(--(SEARCH(DG$2,N_Bedarf!$CE$2:$CE$141)&gt;0)),ROW()-2),1),"")</f>
        <v>Speiseindustrie-Kartoffel</v>
      </c>
      <c r="DG54" s="2353"/>
      <c r="DH54" s="2355" t="str">
        <f t="array" ref="DH54">IFERROR(INDEX(N_Bedarf!$CE$2:$CE$141,_xlfn.AGGREGATE(15,6,(ROW(N_Bedarf!$CE$2:$CE$141)-1)/(--(SEARCH(DI$2,N_Bedarf!$CE$2:$CE$141)&gt;0)),ROW()-2),1),"")</f>
        <v>Speiseindustrie-Kartoffel</v>
      </c>
      <c r="DI54" s="2355"/>
      <c r="DJ54" s="2356" t="str">
        <f t="array" ref="DJ54">IFERROR(INDEX(N_Bedarf!$CE$2:$CE$141,_xlfn.AGGREGATE(15,6,(ROW(N_Bedarf!$CE$2:$CE$141)-1)/(--(SEARCH(DK$2,N_Bedarf!$CE$2:$CE$141)&gt;0)),ROW()-2),1),"")</f>
        <v>Speiseindustrie-Kartoffel</v>
      </c>
      <c r="DK54" s="2356"/>
      <c r="DL54" s="2356" t="str">
        <f t="array" ref="DL54">IFERROR(INDEX(N_Bedarf!$CE$2:$CE$141,_xlfn.AGGREGATE(15,6,(ROW(N_Bedarf!$CE$2:$CE$141)-1)/(--(SEARCH(DM$2,N_Bedarf!$CE$2:$CE$141)&gt;0)),ROW()-2),1),"")</f>
        <v>Speiseindustrie-Kartoffel</v>
      </c>
      <c r="DM54" s="2356"/>
      <c r="DN54" s="2356" t="str">
        <f t="array" ref="DN54">IFERROR(INDEX(N_Bedarf!$CE$2:$CE$141,_xlfn.AGGREGATE(15,6,(ROW(N_Bedarf!$CE$2:$CE$141)-1)/(--(SEARCH(DO$2,N_Bedarf!$CE$2:$CE$141)&gt;0)),ROW()-2),1),"")</f>
        <v>Speiseindustrie-Kartoffel</v>
      </c>
      <c r="DO54" s="2356"/>
      <c r="DP54" s="2356" t="str">
        <f t="array" ref="DP54">IFERROR(INDEX(N_Bedarf!$CE$2:$CE$141,_xlfn.AGGREGATE(15,6,(ROW(N_Bedarf!$CE$2:$CE$141)-1)/(--(SEARCH(DQ$2,N_Bedarf!$CE$2:$CE$141)&gt;0)),ROW()-2),1),"")</f>
        <v>Speiseindustrie-Kartoffel</v>
      </c>
      <c r="DQ54" s="2356"/>
      <c r="DR54" s="2356" t="str">
        <f t="array" ref="DR54">IFERROR(INDEX(N_Bedarf!$CE$2:$CE$141,_xlfn.AGGREGATE(15,6,(ROW(N_Bedarf!$CE$2:$CE$141)-1)/(--(SEARCH(DS$2,N_Bedarf!$CE$2:$CE$141)&gt;0)),ROW()-2),1),"")</f>
        <v>Speiseindustrie-Kartoffel</v>
      </c>
      <c r="DS54" s="2356"/>
      <c r="DT54" s="2356" t="str">
        <f t="array" ref="DT54">IFERROR(INDEX(N_Bedarf!$CE$2:$CE$141,_xlfn.AGGREGATE(15,6,(ROW(N_Bedarf!$CE$2:$CE$141)-1)/(--(SEARCH(DU$2,N_Bedarf!$CE$2:$CE$141)&gt;0)),ROW()-2),1),"")</f>
        <v>Speiseindustrie-Kartoffel</v>
      </c>
      <c r="DU54" s="2356"/>
      <c r="DV54" s="2356" t="str">
        <f t="array" ref="DV54">IFERROR(INDEX(N_Bedarf!$CE$2:$CE$141,_xlfn.AGGREGATE(15,6,(ROW(N_Bedarf!$CE$2:$CE$141)-1)/(--(SEARCH(DW$2,N_Bedarf!$CE$2:$CE$141)&gt;0)),ROW()-2),1),"")</f>
        <v>Speiseindustrie-Kartoffel</v>
      </c>
      <c r="DW54" s="2356"/>
      <c r="DX54" s="2356" t="str">
        <f t="array" ref="DX54">IFERROR(INDEX(N_Bedarf!$CE$2:$CE$141,_xlfn.AGGREGATE(15,6,(ROW(N_Bedarf!$CE$2:$CE$141)-1)/(--(SEARCH(DY$2,N_Bedarf!$CE$2:$CE$141)&gt;0)),ROW()-2),1),"")</f>
        <v>Speiseindustrie-Kartoffel</v>
      </c>
      <c r="DY54" s="2356"/>
      <c r="DZ54" s="2356" t="str">
        <f t="array" ref="DZ54">IFERROR(INDEX(N_Bedarf!$CE$2:$CE$141,_xlfn.AGGREGATE(15,6,(ROW(N_Bedarf!$CE$2:$CE$141)-1)/(--(SEARCH(EA$2,N_Bedarf!$CE$2:$CE$141)&gt;0)),ROW()-2),1),"")</f>
        <v>Speiseindustrie-Kartoffel</v>
      </c>
      <c r="EA54" s="2356"/>
      <c r="EB54" s="2356" t="str">
        <f t="array" ref="EB54">IFERROR(INDEX(N_Bedarf!$CE$2:$CE$141,_xlfn.AGGREGATE(15,6,(ROW(N_Bedarf!$CE$2:$CE$141)-1)/(--(SEARCH(EC$2,N_Bedarf!$CE$2:$CE$141)&gt;0)),ROW()-2),1),"")</f>
        <v>Speiseindustrie-Kartoffel</v>
      </c>
      <c r="EC54" s="2356"/>
      <c r="ED54"/>
      <c r="EE54"/>
      <c r="EF54"/>
      <c r="EG54"/>
      <c r="EH54"/>
      <c r="EI54"/>
      <c r="EJ54"/>
      <c r="EK54"/>
      <c r="EL54"/>
      <c r="EM54"/>
      <c r="EN54"/>
      <c r="EO54"/>
      <c r="EP54"/>
      <c r="EQ54"/>
      <c r="ER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row>
    <row r="55" spans="1:291" ht="27" customHeight="1" thickTop="1" thickBot="1">
      <c r="A55" s="156"/>
      <c r="B55" s="156"/>
      <c r="C55" s="2532" t="s">
        <v>1296</v>
      </c>
      <c r="D55" s="2532"/>
      <c r="E55" s="912"/>
      <c r="F55" s="913"/>
      <c r="G55" s="1916"/>
      <c r="H55" s="2296"/>
      <c r="I55" s="914">
        <f t="shared" si="22"/>
        <v>0</v>
      </c>
      <c r="J55" s="2297">
        <f>IFERROR(IF(AND(I55&gt;H55,H55&lt;&gt;""),H55*E55,I55*E55),0)</f>
        <v>0</v>
      </c>
      <c r="K55" s="2299"/>
      <c r="L55" s="915">
        <f t="shared" si="24"/>
        <v>0</v>
      </c>
      <c r="M55" s="2357">
        <f>IF(ISBLANK(K55),E55*L55,E55*K55)</f>
        <v>0</v>
      </c>
      <c r="AO55" s="156"/>
      <c r="AP55" s="1568" t="str">
        <f t="shared" si="3"/>
        <v/>
      </c>
      <c r="AQ55" s="472">
        <f t="shared" si="14"/>
        <v>0</v>
      </c>
      <c r="AR55" s="472">
        <f t="shared" si="15"/>
        <v>0</v>
      </c>
      <c r="AS55" s="472">
        <f t="shared" si="16"/>
        <v>0</v>
      </c>
      <c r="AT55" s="472">
        <f t="shared" si="17"/>
        <v>0</v>
      </c>
      <c r="AU55" s="472">
        <f t="shared" si="18"/>
        <v>0</v>
      </c>
      <c r="AV55" s="472">
        <f t="shared" si="19"/>
        <v>0</v>
      </c>
      <c r="AW55" s="472">
        <f t="shared" si="20"/>
        <v>0</v>
      </c>
      <c r="AX55" s="1722" t="s">
        <v>1697</v>
      </c>
      <c r="AY55" s="681">
        <v>90</v>
      </c>
      <c r="AZ55" s="681">
        <v>75</v>
      </c>
      <c r="BA55" s="681" t="s">
        <v>2685</v>
      </c>
      <c r="BB55" s="681">
        <v>120</v>
      </c>
      <c r="BC55" s="681">
        <v>100</v>
      </c>
      <c r="BD55" s="681" t="s">
        <v>2711</v>
      </c>
      <c r="BE55" s="681">
        <v>145</v>
      </c>
      <c r="BF55" s="681">
        <v>125</v>
      </c>
      <c r="BG55" s="681" t="s">
        <v>2600</v>
      </c>
      <c r="BH55" s="681">
        <v>145</v>
      </c>
      <c r="BI55" s="681">
        <v>125</v>
      </c>
      <c r="BJ55" s="681" t="s">
        <v>2600</v>
      </c>
      <c r="BK55" s="681">
        <v>145</v>
      </c>
      <c r="BL55" s="681">
        <v>125</v>
      </c>
      <c r="BM55" s="681" t="s">
        <v>2600</v>
      </c>
      <c r="BN55" s="471">
        <v>5</v>
      </c>
      <c r="BO55" s="821" t="s">
        <v>1764</v>
      </c>
      <c r="BP55"/>
      <c r="BQ55" s="1722" t="s">
        <v>1697</v>
      </c>
      <c r="BR55" s="470">
        <v>55</v>
      </c>
      <c r="BS55" s="470">
        <v>60</v>
      </c>
      <c r="BT55" s="470">
        <v>70</v>
      </c>
      <c r="BU55" s="426"/>
      <c r="BV55" s="1722" t="s">
        <v>1697</v>
      </c>
      <c r="BW55" s="470">
        <v>160</v>
      </c>
      <c r="BX55" s="470">
        <v>180</v>
      </c>
      <c r="BY55" s="470">
        <v>205</v>
      </c>
      <c r="CA55" s="822"/>
      <c r="CB55"/>
      <c r="CC55"/>
      <c r="CD55"/>
      <c r="CE55" s="2310" t="s">
        <v>1698</v>
      </c>
      <c r="CF55" s="1834" t="str">
        <f>IFERROR(INDEX(N_Bedarf!$CE$2:$CE$141,_xlfn.AGGREGATE(15,6,(ROW(N_Bedarf!$CE$2:$CE$141)-1)/(--(SEARCH(CG$2,N_Bedarf!$CE$2:$CE$141)&gt;0)),ROW()-2),1),"")</f>
        <v>Speise-Kartoffel</v>
      </c>
      <c r="CG55" s="1830"/>
      <c r="CH55" s="1834" t="str">
        <f>IFERROR(INDEX(N_Bedarf!$CE$2:$CE$141,_xlfn.AGGREGATE(15,6,(ROW(N_Bedarf!$CE$2:$CE$141)-1)/(--(SEARCH(CI$2,N_Bedarf!$CE$2:$CE$141)&gt;0)),ROW()-2),1),"")</f>
        <v>Speise-Kartoffel</v>
      </c>
      <c r="CI55" s="1830"/>
      <c r="CJ55" s="1834" t="str">
        <f>IFERROR(INDEX(N_Bedarf!$CE$2:$CE$141,_xlfn.AGGREGATE(15,6,(ROW(N_Bedarf!$CE$2:$CE$141)-1)/(--(SEARCH(CK$2,N_Bedarf!$CE$2:$CE$141)&gt;0)),ROW()-2),1),"")</f>
        <v>Speise-Kartoffel</v>
      </c>
      <c r="CK55" s="1830"/>
      <c r="CL55" s="1834" t="str">
        <f>IFERROR(INDEX(N_Bedarf!$CE$2:$CE$141,_xlfn.AGGREGATE(15,6,(ROW(N_Bedarf!$CE$2:$CE$141)-1)/(--(SEARCH(CM$2,N_Bedarf!$CE$2:$CE$141)&gt;0)),ROW()-2),1),"")</f>
        <v>Speise-Kartoffel</v>
      </c>
      <c r="CM55" s="1830"/>
      <c r="CN55" s="1834" t="str">
        <f>IFERROR(INDEX(N_Bedarf!$CE$2:$CE$141,_xlfn.AGGREGATE(15,6,(ROW(N_Bedarf!$CE$2:$CE$141)-1)/(--(SEARCH(CO$2,N_Bedarf!$CE$2:$CE$141)&gt;0)),ROW()-2),1),"")</f>
        <v>Speise-Kartoffel</v>
      </c>
      <c r="CO55" s="1830"/>
      <c r="CP55" s="1834" t="str">
        <f>IFERROR(INDEX(N_Bedarf!$CE$2:$CE$141,_xlfn.AGGREGATE(15,6,(ROW(N_Bedarf!$CE$2:$CE$141)-1)/(--(SEARCH(CQ$2,N_Bedarf!$CE$2:$CE$141)&gt;0)),ROW()-2),1),"")</f>
        <v>Speise-Kartoffel</v>
      </c>
      <c r="CQ55" s="1830"/>
      <c r="CR55" s="1834" t="str">
        <f>IFERROR(INDEX(N_Bedarf!$CE$2:$CE$141,_xlfn.AGGREGATE(15,6,(ROW(N_Bedarf!$CE$2:$CE$141)-1)/(--(SEARCH(CS$2,N_Bedarf!$CE$2:$CE$141)&gt;0)),ROW()-2),1),"")</f>
        <v>Speise-Kartoffel</v>
      </c>
      <c r="CS55" s="1830"/>
      <c r="CT55" s="1834" t="str">
        <f>IFERROR(INDEX(N_Bedarf!$CE$2:$CE$141,_xlfn.AGGREGATE(15,6,(ROW(N_Bedarf!$CE$2:$CE$141)-1)/(--(SEARCH(CU$2,N_Bedarf!$CE$2:$CE$141)&gt;0)),ROW()-2),1),"")</f>
        <v>Speise-Kartoffel</v>
      </c>
      <c r="CU55" s="1830"/>
      <c r="CV55" s="1834" t="str">
        <f>IFERROR(INDEX(N_Bedarf!$CE$2:$CE$141,_xlfn.AGGREGATE(15,6,(ROW(N_Bedarf!$CE$2:$CE$141)-1)/(--(SEARCH(CW$2,N_Bedarf!$CE$2:$CE$141)&gt;0)),ROW()-2),1),"")</f>
        <v>Speise-Kartoffel</v>
      </c>
      <c r="CW55" s="1830"/>
      <c r="CX55" s="1834" t="str">
        <f>IFERROR(INDEX(N_Bedarf!$CE$2:$CE$141,_xlfn.AGGREGATE(15,6,(ROW(N_Bedarf!$CE$2:$CE$141)-1)/(--(SEARCH(CY$2,N_Bedarf!$CE$2:$CE$141)&gt;0)),ROW()-2),1),"")</f>
        <v>Speise-Kartoffel</v>
      </c>
      <c r="CY55" s="1830"/>
      <c r="CZ55" s="1834" t="str">
        <f>IFERROR(INDEX(N_Bedarf!$CE$2:$CE$141,_xlfn.AGGREGATE(15,6,(ROW(N_Bedarf!$CE$2:$CE$141)-1)/(--(SEARCH(DA$2,N_Bedarf!$CE$2:$CE$141)&gt;0)),ROW()-2),1),"")</f>
        <v>Speise-Kartoffel</v>
      </c>
      <c r="DA55" s="1830"/>
      <c r="DB55" s="1834" t="str">
        <f>IFERROR(INDEX(N_Bedarf!$CE$2:$CE$141,_xlfn.AGGREGATE(15,6,(ROW(N_Bedarf!$CE$2:$CE$141)-1)/(--(SEARCH(DC$2,N_Bedarf!$CE$2:$CE$141)&gt;0)),ROW()-2),1),"")</f>
        <v>Speise-Kartoffel</v>
      </c>
      <c r="DC55" s="1830"/>
      <c r="DD55" s="1834" t="str">
        <f>IFERROR(INDEX(N_Bedarf!$CE$2:$CE$141,_xlfn.AGGREGATE(15,6,(ROW(N_Bedarf!$CE$2:$CE$141)-1)/(--(SEARCH(DE$2,N_Bedarf!$CE$2:$CE$141)&gt;0)),ROW()-2),1),"")</f>
        <v>Speise-Kartoffel</v>
      </c>
      <c r="DE55" s="1830"/>
      <c r="DF55" s="2353" t="str">
        <f t="array" ref="DF55">IFERROR(INDEX(N_Bedarf!$CE$2:$CE$141,_xlfn.AGGREGATE(15,6,(ROW(N_Bedarf!$CE$2:$CE$141)-1)/(--(SEARCH(DG$2,N_Bedarf!$CE$2:$CE$141)&gt;0)),ROW()-2),1),"")</f>
        <v>Speise-Kartoffel</v>
      </c>
      <c r="DG55" s="2353"/>
      <c r="DH55" s="2355" t="str">
        <f t="array" ref="DH55">IFERROR(INDEX(N_Bedarf!$CE$2:$CE$141,_xlfn.AGGREGATE(15,6,(ROW(N_Bedarf!$CE$2:$CE$141)-1)/(--(SEARCH(DI$2,N_Bedarf!$CE$2:$CE$141)&gt;0)),ROW()-2),1),"")</f>
        <v>Speise-Kartoffel</v>
      </c>
      <c r="DI55" s="2355"/>
      <c r="DJ55" s="2356" t="str">
        <f t="array" ref="DJ55">IFERROR(INDEX(N_Bedarf!$CE$2:$CE$141,_xlfn.AGGREGATE(15,6,(ROW(N_Bedarf!$CE$2:$CE$141)-1)/(--(SEARCH(DK$2,N_Bedarf!$CE$2:$CE$141)&gt;0)),ROW()-2),1),"")</f>
        <v>Speise-Kartoffel</v>
      </c>
      <c r="DK55" s="2356"/>
      <c r="DL55" s="2356" t="str">
        <f t="array" ref="DL55">IFERROR(INDEX(N_Bedarf!$CE$2:$CE$141,_xlfn.AGGREGATE(15,6,(ROW(N_Bedarf!$CE$2:$CE$141)-1)/(--(SEARCH(DM$2,N_Bedarf!$CE$2:$CE$141)&gt;0)),ROW()-2),1),"")</f>
        <v>Speise-Kartoffel</v>
      </c>
      <c r="DM55" s="2356"/>
      <c r="DN55" s="2356" t="str">
        <f t="array" ref="DN55">IFERROR(INDEX(N_Bedarf!$CE$2:$CE$141,_xlfn.AGGREGATE(15,6,(ROW(N_Bedarf!$CE$2:$CE$141)-1)/(--(SEARCH(DO$2,N_Bedarf!$CE$2:$CE$141)&gt;0)),ROW()-2),1),"")</f>
        <v>Speise-Kartoffel</v>
      </c>
      <c r="DO55" s="2356"/>
      <c r="DP55" s="2356" t="str">
        <f t="array" ref="DP55">IFERROR(INDEX(N_Bedarf!$CE$2:$CE$141,_xlfn.AGGREGATE(15,6,(ROW(N_Bedarf!$CE$2:$CE$141)-1)/(--(SEARCH(DQ$2,N_Bedarf!$CE$2:$CE$141)&gt;0)),ROW()-2),1),"")</f>
        <v>Speise-Kartoffel</v>
      </c>
      <c r="DQ55" s="2356"/>
      <c r="DR55" s="2356" t="str">
        <f t="array" ref="DR55">IFERROR(INDEX(N_Bedarf!$CE$2:$CE$141,_xlfn.AGGREGATE(15,6,(ROW(N_Bedarf!$CE$2:$CE$141)-1)/(--(SEARCH(DS$2,N_Bedarf!$CE$2:$CE$141)&gt;0)),ROW()-2),1),"")</f>
        <v>Speise-Kartoffel</v>
      </c>
      <c r="DS55" s="2356"/>
      <c r="DT55" s="2356" t="str">
        <f t="array" ref="DT55">IFERROR(INDEX(N_Bedarf!$CE$2:$CE$141,_xlfn.AGGREGATE(15,6,(ROW(N_Bedarf!$CE$2:$CE$141)-1)/(--(SEARCH(DU$2,N_Bedarf!$CE$2:$CE$141)&gt;0)),ROW()-2),1),"")</f>
        <v>Speise-Kartoffel</v>
      </c>
      <c r="DU55" s="2356"/>
      <c r="DV55" s="2356" t="str">
        <f t="array" ref="DV55">IFERROR(INDEX(N_Bedarf!$CE$2:$CE$141,_xlfn.AGGREGATE(15,6,(ROW(N_Bedarf!$CE$2:$CE$141)-1)/(--(SEARCH(DW$2,N_Bedarf!$CE$2:$CE$141)&gt;0)),ROW()-2),1),"")</f>
        <v>Speise-Kartoffel</v>
      </c>
      <c r="DW55" s="2356"/>
      <c r="DX55" s="2356" t="str">
        <f t="array" ref="DX55">IFERROR(INDEX(N_Bedarf!$CE$2:$CE$141,_xlfn.AGGREGATE(15,6,(ROW(N_Bedarf!$CE$2:$CE$141)-1)/(--(SEARCH(DY$2,N_Bedarf!$CE$2:$CE$141)&gt;0)),ROW()-2),1),"")</f>
        <v>Speise-Kartoffel</v>
      </c>
      <c r="DY55" s="2356"/>
      <c r="DZ55" s="2356" t="str">
        <f t="array" ref="DZ55">IFERROR(INDEX(N_Bedarf!$CE$2:$CE$141,_xlfn.AGGREGATE(15,6,(ROW(N_Bedarf!$CE$2:$CE$141)-1)/(--(SEARCH(EA$2,N_Bedarf!$CE$2:$CE$141)&gt;0)),ROW()-2),1),"")</f>
        <v>Speise-Kartoffel</v>
      </c>
      <c r="EA55" s="2356"/>
      <c r="EB55" s="2356" t="str">
        <f t="array" ref="EB55">IFERROR(INDEX(N_Bedarf!$CE$2:$CE$141,_xlfn.AGGREGATE(15,6,(ROW(N_Bedarf!$CE$2:$CE$141)-1)/(--(SEARCH(EC$2,N_Bedarf!$CE$2:$CE$141)&gt;0)),ROW()-2),1),"")</f>
        <v>Speise-Kartoffel</v>
      </c>
      <c r="EC55" s="2356"/>
      <c r="ED55"/>
      <c r="EE55"/>
      <c r="EF55"/>
      <c r="EG55"/>
      <c r="EH55"/>
      <c r="EI55"/>
      <c r="EJ55"/>
      <c r="EK55"/>
      <c r="EL55"/>
      <c r="EM55"/>
      <c r="EN55"/>
      <c r="EO55"/>
      <c r="EP55"/>
      <c r="EQ55"/>
      <c r="ER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row>
    <row r="56" spans="1:291" ht="27" customHeight="1" thickTop="1" thickBot="1">
      <c r="A56" s="156"/>
      <c r="B56" s="156"/>
      <c r="C56" s="1248" t="s">
        <v>1276</v>
      </c>
      <c r="D56" s="1249"/>
      <c r="E56" s="1587" t="s">
        <v>895</v>
      </c>
      <c r="F56" s="1255"/>
      <c r="G56" s="1255"/>
      <c r="H56" s="1255" t="s">
        <v>1251</v>
      </c>
      <c r="I56" s="1255"/>
      <c r="J56" s="1256" t="s">
        <v>1252</v>
      </c>
      <c r="K56" s="1257"/>
      <c r="L56" s="1258"/>
      <c r="M56" s="1259" t="s">
        <v>1252</v>
      </c>
      <c r="AO56" s="156"/>
      <c r="AP56" s="1569"/>
      <c r="AQ56" s="1426"/>
      <c r="AR56" s="1021"/>
      <c r="AS56" s="1021"/>
      <c r="AT56" s="1021"/>
      <c r="AU56" s="1021"/>
      <c r="AV56" s="1542" t="s">
        <v>1424</v>
      </c>
      <c r="AW56" s="1543">
        <f>SUM(AW5:AW30)</f>
        <v>0</v>
      </c>
      <c r="AX56" s="1722" t="s">
        <v>1722</v>
      </c>
      <c r="AY56" s="681">
        <v>120</v>
      </c>
      <c r="AZ56" s="681">
        <v>105</v>
      </c>
      <c r="BA56" s="681" t="s">
        <v>2686</v>
      </c>
      <c r="BB56" s="681">
        <v>165</v>
      </c>
      <c r="BC56" s="681">
        <v>140</v>
      </c>
      <c r="BD56" s="681" t="s">
        <v>2712</v>
      </c>
      <c r="BE56" s="681">
        <v>195</v>
      </c>
      <c r="BF56" s="681">
        <v>165</v>
      </c>
      <c r="BG56" s="681" t="s">
        <v>2732</v>
      </c>
      <c r="BH56" s="681">
        <v>210</v>
      </c>
      <c r="BI56" s="681">
        <v>180</v>
      </c>
      <c r="BJ56" s="681" t="s">
        <v>2747</v>
      </c>
      <c r="BK56" s="681">
        <v>225</v>
      </c>
      <c r="BL56" s="681">
        <v>190</v>
      </c>
      <c r="BM56" s="681" t="s">
        <v>2601</v>
      </c>
      <c r="BN56" s="471">
        <v>3.5</v>
      </c>
      <c r="BO56" s="821" t="s">
        <v>1764</v>
      </c>
      <c r="BP56"/>
      <c r="BQ56" s="1722" t="s">
        <v>1722</v>
      </c>
      <c r="BR56" s="470">
        <v>60</v>
      </c>
      <c r="BS56" s="470">
        <v>65</v>
      </c>
      <c r="BT56" s="470">
        <v>75</v>
      </c>
      <c r="BU56" s="426"/>
      <c r="BV56" s="1722" t="s">
        <v>1722</v>
      </c>
      <c r="BW56" s="470">
        <v>180</v>
      </c>
      <c r="BX56" s="470">
        <v>200</v>
      </c>
      <c r="BY56" s="470">
        <v>230</v>
      </c>
      <c r="CA56" s="822"/>
      <c r="CB56"/>
      <c r="CC56"/>
      <c r="CD56"/>
      <c r="CE56" s="2310" t="s">
        <v>1724</v>
      </c>
      <c r="CF56" s="1834" t="str">
        <f>IFERROR(INDEX(N_Bedarf!$CE$2:$CE$141,_xlfn.AGGREGATE(15,6,(ROW(N_Bedarf!$CE$2:$CE$141)-1)/(--(SEARCH(CG$2,N_Bedarf!$CE$2:$CE$141)&gt;0)),ROW()-2),1),"")</f>
        <v>Futterkartoffel</v>
      </c>
      <c r="CG56" s="1836"/>
      <c r="CH56" s="1834" t="str">
        <f>IFERROR(INDEX(N_Bedarf!$CE$2:$CE$141,_xlfn.AGGREGATE(15,6,(ROW(N_Bedarf!$CE$2:$CE$141)-1)/(--(SEARCH(CI$2,N_Bedarf!$CE$2:$CE$141)&gt;0)),ROW()-2),1),"")</f>
        <v>Futterkartoffel</v>
      </c>
      <c r="CI56" s="1836"/>
      <c r="CJ56" s="1834" t="str">
        <f>IFERROR(INDEX(N_Bedarf!$CE$2:$CE$141,_xlfn.AGGREGATE(15,6,(ROW(N_Bedarf!$CE$2:$CE$141)-1)/(--(SEARCH(CK$2,N_Bedarf!$CE$2:$CE$141)&gt;0)),ROW()-2),1),"")</f>
        <v>Futterkartoffel</v>
      </c>
      <c r="CK56" s="1836"/>
      <c r="CL56" s="1834" t="str">
        <f>IFERROR(INDEX(N_Bedarf!$CE$2:$CE$141,_xlfn.AGGREGATE(15,6,(ROW(N_Bedarf!$CE$2:$CE$141)-1)/(--(SEARCH(CM$2,N_Bedarf!$CE$2:$CE$141)&gt;0)),ROW()-2),1),"")</f>
        <v>Futterkartoffel</v>
      </c>
      <c r="CM56" s="1836"/>
      <c r="CN56" s="1834" t="str">
        <f>IFERROR(INDEX(N_Bedarf!$CE$2:$CE$141,_xlfn.AGGREGATE(15,6,(ROW(N_Bedarf!$CE$2:$CE$141)-1)/(--(SEARCH(CO$2,N_Bedarf!$CE$2:$CE$141)&gt;0)),ROW()-2),1),"")</f>
        <v>Futterkartoffel</v>
      </c>
      <c r="CO56" s="1836"/>
      <c r="CP56" s="1834" t="str">
        <f>IFERROR(INDEX(N_Bedarf!$CE$2:$CE$141,_xlfn.AGGREGATE(15,6,(ROW(N_Bedarf!$CE$2:$CE$141)-1)/(--(SEARCH(CQ$2,N_Bedarf!$CE$2:$CE$141)&gt;0)),ROW()-2),1),"")</f>
        <v>Futterkartoffel</v>
      </c>
      <c r="CQ56" s="1836"/>
      <c r="CR56" s="1834" t="str">
        <f>IFERROR(INDEX(N_Bedarf!$CE$2:$CE$141,_xlfn.AGGREGATE(15,6,(ROW(N_Bedarf!$CE$2:$CE$141)-1)/(--(SEARCH(CS$2,N_Bedarf!$CE$2:$CE$141)&gt;0)),ROW()-2),1),"")</f>
        <v>Futterkartoffel</v>
      </c>
      <c r="CS56" s="1836"/>
      <c r="CT56" s="1834" t="str">
        <f>IFERROR(INDEX(N_Bedarf!$CE$2:$CE$141,_xlfn.AGGREGATE(15,6,(ROW(N_Bedarf!$CE$2:$CE$141)-1)/(--(SEARCH(CU$2,N_Bedarf!$CE$2:$CE$141)&gt;0)),ROW()-2),1),"")</f>
        <v>Futterkartoffel</v>
      </c>
      <c r="CU56" s="1836"/>
      <c r="CV56" s="1834" t="str">
        <f>IFERROR(INDEX(N_Bedarf!$CE$2:$CE$141,_xlfn.AGGREGATE(15,6,(ROW(N_Bedarf!$CE$2:$CE$141)-1)/(--(SEARCH(CW$2,N_Bedarf!$CE$2:$CE$141)&gt;0)),ROW()-2),1),"")</f>
        <v>Futterkartoffel</v>
      </c>
      <c r="CW56" s="1836"/>
      <c r="CX56" s="1834" t="str">
        <f>IFERROR(INDEX(N_Bedarf!$CE$2:$CE$141,_xlfn.AGGREGATE(15,6,(ROW(N_Bedarf!$CE$2:$CE$141)-1)/(--(SEARCH(CY$2,N_Bedarf!$CE$2:$CE$141)&gt;0)),ROW()-2),1),"")</f>
        <v>Futterkartoffel</v>
      </c>
      <c r="CY56" s="1836"/>
      <c r="CZ56" s="1834" t="str">
        <f>IFERROR(INDEX(N_Bedarf!$CE$2:$CE$141,_xlfn.AGGREGATE(15,6,(ROW(N_Bedarf!$CE$2:$CE$141)-1)/(--(SEARCH(DA$2,N_Bedarf!$CE$2:$CE$141)&gt;0)),ROW()-2),1),"")</f>
        <v>Futterkartoffel</v>
      </c>
      <c r="DA56" s="1836"/>
      <c r="DB56" s="1834" t="str">
        <f>IFERROR(INDEX(N_Bedarf!$CE$2:$CE$141,_xlfn.AGGREGATE(15,6,(ROW(N_Bedarf!$CE$2:$CE$141)-1)/(--(SEARCH(DC$2,N_Bedarf!$CE$2:$CE$141)&gt;0)),ROW()-2),1),"")</f>
        <v>Futterkartoffel</v>
      </c>
      <c r="DC56" s="1836"/>
      <c r="DD56" s="1834" t="str">
        <f>IFERROR(INDEX(N_Bedarf!$CE$2:$CE$141,_xlfn.AGGREGATE(15,6,(ROW(N_Bedarf!$CE$2:$CE$141)-1)/(--(SEARCH(DE$2,N_Bedarf!$CE$2:$CE$141)&gt;0)),ROW()-2),1),"")</f>
        <v>Futterkartoffel</v>
      </c>
      <c r="DE56" s="1836"/>
      <c r="DF56" s="2353" t="str">
        <f t="array" ref="DF56">IFERROR(INDEX(N_Bedarf!$CE$2:$CE$141,_xlfn.AGGREGATE(15,6,(ROW(N_Bedarf!$CE$2:$CE$141)-1)/(--(SEARCH(DG$2,N_Bedarf!$CE$2:$CE$141)&gt;0)),ROW()-2),1),"")</f>
        <v>Futterkartoffel</v>
      </c>
      <c r="DG56" s="2353"/>
      <c r="DH56" s="2355" t="str">
        <f t="array" ref="DH56">IFERROR(INDEX(N_Bedarf!$CE$2:$CE$141,_xlfn.AGGREGATE(15,6,(ROW(N_Bedarf!$CE$2:$CE$141)-1)/(--(SEARCH(DI$2,N_Bedarf!$CE$2:$CE$141)&gt;0)),ROW()-2),1),"")</f>
        <v>Futterkartoffel</v>
      </c>
      <c r="DI56" s="2355"/>
      <c r="DJ56" s="2356" t="str">
        <f t="array" ref="DJ56">IFERROR(INDEX(N_Bedarf!$CE$2:$CE$141,_xlfn.AGGREGATE(15,6,(ROW(N_Bedarf!$CE$2:$CE$141)-1)/(--(SEARCH(DK$2,N_Bedarf!$CE$2:$CE$141)&gt;0)),ROW()-2),1),"")</f>
        <v>Futterkartoffel</v>
      </c>
      <c r="DK56" s="2356"/>
      <c r="DL56" s="2356" t="str">
        <f t="array" ref="DL56">IFERROR(INDEX(N_Bedarf!$CE$2:$CE$141,_xlfn.AGGREGATE(15,6,(ROW(N_Bedarf!$CE$2:$CE$141)-1)/(--(SEARCH(DM$2,N_Bedarf!$CE$2:$CE$141)&gt;0)),ROW()-2),1),"")</f>
        <v>Futterkartoffel</v>
      </c>
      <c r="DM56" s="2356"/>
      <c r="DN56" s="2356" t="str">
        <f t="array" ref="DN56">IFERROR(INDEX(N_Bedarf!$CE$2:$CE$141,_xlfn.AGGREGATE(15,6,(ROW(N_Bedarf!$CE$2:$CE$141)-1)/(--(SEARCH(DO$2,N_Bedarf!$CE$2:$CE$141)&gt;0)),ROW()-2),1),"")</f>
        <v>Futterkartoffel</v>
      </c>
      <c r="DO56" s="2356"/>
      <c r="DP56" s="2356" t="str">
        <f t="array" ref="DP56">IFERROR(INDEX(N_Bedarf!$CE$2:$CE$141,_xlfn.AGGREGATE(15,6,(ROW(N_Bedarf!$CE$2:$CE$141)-1)/(--(SEARCH(DQ$2,N_Bedarf!$CE$2:$CE$141)&gt;0)),ROW()-2),1),"")</f>
        <v>Futterkartoffel</v>
      </c>
      <c r="DQ56" s="2356"/>
      <c r="DR56" s="2356" t="str">
        <f t="array" ref="DR56">IFERROR(INDEX(N_Bedarf!$CE$2:$CE$141,_xlfn.AGGREGATE(15,6,(ROW(N_Bedarf!$CE$2:$CE$141)-1)/(--(SEARCH(DS$2,N_Bedarf!$CE$2:$CE$141)&gt;0)),ROW()-2),1),"")</f>
        <v>Futterkartoffel</v>
      </c>
      <c r="DS56" s="2356"/>
      <c r="DT56" s="2356" t="str">
        <f t="array" ref="DT56">IFERROR(INDEX(N_Bedarf!$CE$2:$CE$141,_xlfn.AGGREGATE(15,6,(ROW(N_Bedarf!$CE$2:$CE$141)-1)/(--(SEARCH(DU$2,N_Bedarf!$CE$2:$CE$141)&gt;0)),ROW()-2),1),"")</f>
        <v>Futterkartoffel</v>
      </c>
      <c r="DU56" s="2356"/>
      <c r="DV56" s="2356" t="str">
        <f t="array" ref="DV56">IFERROR(INDEX(N_Bedarf!$CE$2:$CE$141,_xlfn.AGGREGATE(15,6,(ROW(N_Bedarf!$CE$2:$CE$141)-1)/(--(SEARCH(DW$2,N_Bedarf!$CE$2:$CE$141)&gt;0)),ROW()-2),1),"")</f>
        <v>Futterkartoffel</v>
      </c>
      <c r="DW56" s="2356"/>
      <c r="DX56" s="2356" t="str">
        <f t="array" ref="DX56">IFERROR(INDEX(N_Bedarf!$CE$2:$CE$141,_xlfn.AGGREGATE(15,6,(ROW(N_Bedarf!$CE$2:$CE$141)-1)/(--(SEARCH(DY$2,N_Bedarf!$CE$2:$CE$141)&gt;0)),ROW()-2),1),"")</f>
        <v>Futterkartoffel</v>
      </c>
      <c r="DY56" s="2356"/>
      <c r="DZ56" s="2356" t="str">
        <f t="array" ref="DZ56">IFERROR(INDEX(N_Bedarf!$CE$2:$CE$141,_xlfn.AGGREGATE(15,6,(ROW(N_Bedarf!$CE$2:$CE$141)-1)/(--(SEARCH(EA$2,N_Bedarf!$CE$2:$CE$141)&gt;0)),ROW()-2),1),"")</f>
        <v>Futterkartoffel</v>
      </c>
      <c r="EA56" s="2356"/>
      <c r="EB56" s="2356" t="str">
        <f t="array" ref="EB56">IFERROR(INDEX(N_Bedarf!$CE$2:$CE$141,_xlfn.AGGREGATE(15,6,(ROW(N_Bedarf!$CE$2:$CE$141)-1)/(--(SEARCH(EC$2,N_Bedarf!$CE$2:$CE$141)&gt;0)),ROW()-2),1),"")</f>
        <v>Futterkartoffel</v>
      </c>
      <c r="EC56" s="2356"/>
      <c r="ED56"/>
      <c r="EE56"/>
      <c r="EF56"/>
      <c r="EG56"/>
      <c r="EH56"/>
      <c r="EI56"/>
      <c r="EJ56"/>
      <c r="EK56"/>
      <c r="EL56"/>
      <c r="EM56"/>
      <c r="EN56"/>
      <c r="EO56"/>
      <c r="EP56"/>
      <c r="EQ56"/>
      <c r="ER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row>
    <row r="57" spans="1:291" ht="27" customHeight="1" thickTop="1" thickBot="1">
      <c r="A57" s="156"/>
      <c r="B57" s="156"/>
      <c r="C57" s="2533"/>
      <c r="D57" s="2533"/>
      <c r="E57" s="916"/>
      <c r="F57" s="917"/>
      <c r="G57" s="1571" t="str">
        <f t="shared" ref="G57:G62" si="26">IF(ISERROR(AP57),"",AP57)</f>
        <v/>
      </c>
      <c r="H57" s="2296"/>
      <c r="I57" s="914">
        <f>IFERROR(IF(AND(ISNA(AS57),ISBLANK(C57)),0,IF(AND(ISNA(AS57),ISBLANK(H57)),0,IF(AND(ISNA(AS18),H55&gt;0),H55,IF(AND(AS57&gt;0,H57&lt;AS57),AS57,AS57)))),"")</f>
        <v>0</v>
      </c>
      <c r="J57" s="2297">
        <f t="shared" ref="J57:J62" si="27">IFERROR(IF(AND(I57&gt;H57,H57&lt;&gt;""),H57*E57,I57*E57),0)</f>
        <v>0</v>
      </c>
      <c r="K57" s="2296"/>
      <c r="L57" s="915">
        <f t="shared" ref="L57:L62" si="28">IF(ISNA(AT57),0,AT57)</f>
        <v>0</v>
      </c>
      <c r="M57" s="2300">
        <f t="shared" ref="M57:M62" si="29">IF(ISBLANK(K57),E57*L57,E57*K57)</f>
        <v>0</v>
      </c>
      <c r="AO57" s="156"/>
      <c r="AP57" s="1568" t="str">
        <f t="shared" ref="AP57:AP62" si="30">IFERROR(IF(F57="niedrig",VLOOKUP(C57,Liste_N_GL,4,0),IF(F57="mittel",VLOOKUP(C57,Liste_N_GL,7,0),IF(F57="hoch",VLOOKUP(C57,Liste_N_GL,10,0),""))),"")</f>
        <v/>
      </c>
      <c r="AQ57" s="472">
        <f t="shared" ref="AQ57:AQ62" si="31">IF(J57&gt;0,E57,0)</f>
        <v>0</v>
      </c>
      <c r="AR57" s="472"/>
      <c r="AS57" s="472">
        <f t="shared" ref="AS57:AS62" si="32">IF(F57="niedrig",VLOOKUP(C57,Liste_N_GL,2,0),IF(F57="mittel",VLOOKUP(C57,Liste_N_GL,5,0),IF(F57="hoch",VLOOKUP(C57,Liste_N_GL,8,0),0)))</f>
        <v>0</v>
      </c>
      <c r="AT57" s="472">
        <f t="shared" ref="AT57:AT62" si="33">IF(F57="niedrig",VLOOKUP(C57,Liste_P_Bedarf,2,0),IF(F57="mittel",VLOOKUP(C57,Liste_P_Bedarf,3,0),IF(F57="hoch",VLOOKUP(C57,Liste_P_Bedarf,4,0),0)))</f>
        <v>0</v>
      </c>
      <c r="AU57" s="472">
        <f t="shared" ref="AU57:AU62" si="34">IF(F57="niedrig",VLOOKUP(C57,Liste_K_Bedarf,2,0),IF(F57="mittel",VLOOKUP(C57,Liste_K_Bedarf,3,0),IF(F57="hoch",VLOOKUP(C57,Liste_K_Bedarf,4,0),0)))</f>
        <v>0</v>
      </c>
      <c r="AV57" s="1021"/>
      <c r="AW57" s="1432"/>
      <c r="AX57" s="1722" t="s">
        <v>1723</v>
      </c>
      <c r="AY57" s="681">
        <v>120</v>
      </c>
      <c r="AZ57" s="681">
        <v>105</v>
      </c>
      <c r="BA57" s="681" t="s">
        <v>2686</v>
      </c>
      <c r="BB57" s="681">
        <v>165</v>
      </c>
      <c r="BC57" s="681">
        <v>140</v>
      </c>
      <c r="BD57" s="681" t="s">
        <v>2712</v>
      </c>
      <c r="BE57" s="681">
        <v>195</v>
      </c>
      <c r="BF57" s="681">
        <v>165</v>
      </c>
      <c r="BG57" s="681" t="s">
        <v>2732</v>
      </c>
      <c r="BH57" s="681">
        <v>210</v>
      </c>
      <c r="BI57" s="681">
        <v>180</v>
      </c>
      <c r="BJ57" s="681" t="s">
        <v>2747</v>
      </c>
      <c r="BK57" s="681">
        <v>225</v>
      </c>
      <c r="BL57" s="681">
        <v>190</v>
      </c>
      <c r="BM57" s="681" t="s">
        <v>2601</v>
      </c>
      <c r="BN57" s="471">
        <v>3.5</v>
      </c>
      <c r="BO57" s="821" t="s">
        <v>1764</v>
      </c>
      <c r="BP57"/>
      <c r="BQ57" s="1722" t="s">
        <v>1723</v>
      </c>
      <c r="BR57" s="470">
        <v>60</v>
      </c>
      <c r="BS57" s="470">
        <v>65</v>
      </c>
      <c r="BT57" s="470">
        <v>75</v>
      </c>
      <c r="BU57" s="426"/>
      <c r="BV57" s="1722" t="s">
        <v>1723</v>
      </c>
      <c r="BW57" s="470">
        <v>180</v>
      </c>
      <c r="BX57" s="470">
        <v>200</v>
      </c>
      <c r="BY57" s="470">
        <v>230</v>
      </c>
      <c r="CA57" s="822"/>
      <c r="CB57"/>
      <c r="CC57"/>
      <c r="CD57"/>
      <c r="CE57" s="2310" t="s">
        <v>1709</v>
      </c>
      <c r="CF57" s="1834" t="str">
        <f>IFERROR(INDEX(N_Bedarf!$CE$2:$CE$141,_xlfn.AGGREGATE(15,6,(ROW(N_Bedarf!$CE$2:$CE$141)-1)/(--(SEARCH(CG$2,N_Bedarf!$CE$2:$CE$141)&gt;0)),ROW()-2),1),"")</f>
        <v>Stärkeindustrie-Kartoffel</v>
      </c>
      <c r="CG57" s="1830"/>
      <c r="CH57" s="1834" t="str">
        <f>IFERROR(INDEX(N_Bedarf!$CE$2:$CE$141,_xlfn.AGGREGATE(15,6,(ROW(N_Bedarf!$CE$2:$CE$141)-1)/(--(SEARCH(CI$2,N_Bedarf!$CE$2:$CE$141)&gt;0)),ROW()-2),1),"")</f>
        <v>Stärkeindustrie-Kartoffel</v>
      </c>
      <c r="CI57" s="1830"/>
      <c r="CJ57" s="1834" t="str">
        <f>IFERROR(INDEX(N_Bedarf!$CE$2:$CE$141,_xlfn.AGGREGATE(15,6,(ROW(N_Bedarf!$CE$2:$CE$141)-1)/(--(SEARCH(CK$2,N_Bedarf!$CE$2:$CE$141)&gt;0)),ROW()-2),1),"")</f>
        <v>Stärkeindustrie-Kartoffel</v>
      </c>
      <c r="CK57" s="1830"/>
      <c r="CL57" s="1834" t="str">
        <f>IFERROR(INDEX(N_Bedarf!$CE$2:$CE$141,_xlfn.AGGREGATE(15,6,(ROW(N_Bedarf!$CE$2:$CE$141)-1)/(--(SEARCH(CM$2,N_Bedarf!$CE$2:$CE$141)&gt;0)),ROW()-2),1),"")</f>
        <v>Stärkeindustrie-Kartoffel</v>
      </c>
      <c r="CM57" s="1830"/>
      <c r="CN57" s="1834" t="str">
        <f>IFERROR(INDEX(N_Bedarf!$CE$2:$CE$141,_xlfn.AGGREGATE(15,6,(ROW(N_Bedarf!$CE$2:$CE$141)-1)/(--(SEARCH(CO$2,N_Bedarf!$CE$2:$CE$141)&gt;0)),ROW()-2),1),"")</f>
        <v>Stärkeindustrie-Kartoffel</v>
      </c>
      <c r="CO57" s="1830"/>
      <c r="CP57" s="1834" t="str">
        <f>IFERROR(INDEX(N_Bedarf!$CE$2:$CE$141,_xlfn.AGGREGATE(15,6,(ROW(N_Bedarf!$CE$2:$CE$141)-1)/(--(SEARCH(CQ$2,N_Bedarf!$CE$2:$CE$141)&gt;0)),ROW()-2),1),"")</f>
        <v>Stärkeindustrie-Kartoffel</v>
      </c>
      <c r="CQ57" s="1830"/>
      <c r="CR57" s="1834" t="str">
        <f>IFERROR(INDEX(N_Bedarf!$CE$2:$CE$141,_xlfn.AGGREGATE(15,6,(ROW(N_Bedarf!$CE$2:$CE$141)-1)/(--(SEARCH(CS$2,N_Bedarf!$CE$2:$CE$141)&gt;0)),ROW()-2),1),"")</f>
        <v>Stärkeindustrie-Kartoffel</v>
      </c>
      <c r="CS57" s="1830"/>
      <c r="CT57" s="1834" t="str">
        <f>IFERROR(INDEX(N_Bedarf!$CE$2:$CE$141,_xlfn.AGGREGATE(15,6,(ROW(N_Bedarf!$CE$2:$CE$141)-1)/(--(SEARCH(CU$2,N_Bedarf!$CE$2:$CE$141)&gt;0)),ROW()-2),1),"")</f>
        <v>Stärkeindustrie-Kartoffel</v>
      </c>
      <c r="CU57" s="1830"/>
      <c r="CV57" s="1834" t="str">
        <f>IFERROR(INDEX(N_Bedarf!$CE$2:$CE$141,_xlfn.AGGREGATE(15,6,(ROW(N_Bedarf!$CE$2:$CE$141)-1)/(--(SEARCH(CW$2,N_Bedarf!$CE$2:$CE$141)&gt;0)),ROW()-2),1),"")</f>
        <v>Stärkeindustrie-Kartoffel</v>
      </c>
      <c r="CW57" s="1830"/>
      <c r="CX57" s="1834" t="str">
        <f>IFERROR(INDEX(N_Bedarf!$CE$2:$CE$141,_xlfn.AGGREGATE(15,6,(ROW(N_Bedarf!$CE$2:$CE$141)-1)/(--(SEARCH(CY$2,N_Bedarf!$CE$2:$CE$141)&gt;0)),ROW()-2),1),"")</f>
        <v>Stärkeindustrie-Kartoffel</v>
      </c>
      <c r="CY57" s="1830"/>
      <c r="CZ57" s="1834" t="str">
        <f>IFERROR(INDEX(N_Bedarf!$CE$2:$CE$141,_xlfn.AGGREGATE(15,6,(ROW(N_Bedarf!$CE$2:$CE$141)-1)/(--(SEARCH(DA$2,N_Bedarf!$CE$2:$CE$141)&gt;0)),ROW()-2),1),"")</f>
        <v>Stärkeindustrie-Kartoffel</v>
      </c>
      <c r="DA57" s="1830"/>
      <c r="DB57" s="1834" t="str">
        <f>IFERROR(INDEX(N_Bedarf!$CE$2:$CE$141,_xlfn.AGGREGATE(15,6,(ROW(N_Bedarf!$CE$2:$CE$141)-1)/(--(SEARCH(DC$2,N_Bedarf!$CE$2:$CE$141)&gt;0)),ROW()-2),1),"")</f>
        <v>Stärkeindustrie-Kartoffel</v>
      </c>
      <c r="DC57" s="1830"/>
      <c r="DD57" s="1834" t="str">
        <f>IFERROR(INDEX(N_Bedarf!$CE$2:$CE$141,_xlfn.AGGREGATE(15,6,(ROW(N_Bedarf!$CE$2:$CE$141)-1)/(--(SEARCH(DE$2,N_Bedarf!$CE$2:$CE$141)&gt;0)),ROW()-2),1),"")</f>
        <v>Stärkeindustrie-Kartoffel</v>
      </c>
      <c r="DE57" s="1830"/>
      <c r="DF57" s="2353" t="str">
        <f t="array" ref="DF57">IFERROR(INDEX(N_Bedarf!$CE$2:$CE$141,_xlfn.AGGREGATE(15,6,(ROW(N_Bedarf!$CE$2:$CE$141)-1)/(--(SEARCH(DG$2,N_Bedarf!$CE$2:$CE$141)&gt;0)),ROW()-2),1),"")</f>
        <v>Stärkeindustrie-Kartoffel</v>
      </c>
      <c r="DG57" s="2353"/>
      <c r="DH57" s="2355" t="str">
        <f t="array" ref="DH57">IFERROR(INDEX(N_Bedarf!$CE$2:$CE$141,_xlfn.AGGREGATE(15,6,(ROW(N_Bedarf!$CE$2:$CE$141)-1)/(--(SEARCH(DI$2,N_Bedarf!$CE$2:$CE$141)&gt;0)),ROW()-2),1),"")</f>
        <v>Stärkeindustrie-Kartoffel</v>
      </c>
      <c r="DI57" s="2355"/>
      <c r="DJ57" s="2356" t="str">
        <f t="array" ref="DJ57">IFERROR(INDEX(N_Bedarf!$CE$2:$CE$141,_xlfn.AGGREGATE(15,6,(ROW(N_Bedarf!$CE$2:$CE$141)-1)/(--(SEARCH(DK$2,N_Bedarf!$CE$2:$CE$141)&gt;0)),ROW()-2),1),"")</f>
        <v>Stärkeindustrie-Kartoffel</v>
      </c>
      <c r="DK57" s="2356"/>
      <c r="DL57" s="2356" t="str">
        <f t="array" ref="DL57">IFERROR(INDEX(N_Bedarf!$CE$2:$CE$141,_xlfn.AGGREGATE(15,6,(ROW(N_Bedarf!$CE$2:$CE$141)-1)/(--(SEARCH(DM$2,N_Bedarf!$CE$2:$CE$141)&gt;0)),ROW()-2),1),"")</f>
        <v>Stärkeindustrie-Kartoffel</v>
      </c>
      <c r="DM57" s="2356"/>
      <c r="DN57" s="2356" t="str">
        <f t="array" ref="DN57">IFERROR(INDEX(N_Bedarf!$CE$2:$CE$141,_xlfn.AGGREGATE(15,6,(ROW(N_Bedarf!$CE$2:$CE$141)-1)/(--(SEARCH(DO$2,N_Bedarf!$CE$2:$CE$141)&gt;0)),ROW()-2),1),"")</f>
        <v>Stärkeindustrie-Kartoffel</v>
      </c>
      <c r="DO57" s="2356"/>
      <c r="DP57" s="2356" t="str">
        <f t="array" ref="DP57">IFERROR(INDEX(N_Bedarf!$CE$2:$CE$141,_xlfn.AGGREGATE(15,6,(ROW(N_Bedarf!$CE$2:$CE$141)-1)/(--(SEARCH(DQ$2,N_Bedarf!$CE$2:$CE$141)&gt;0)),ROW()-2),1),"")</f>
        <v>Stärkeindustrie-Kartoffel</v>
      </c>
      <c r="DQ57" s="2356"/>
      <c r="DR57" s="2356" t="str">
        <f t="array" ref="DR57">IFERROR(INDEX(N_Bedarf!$CE$2:$CE$141,_xlfn.AGGREGATE(15,6,(ROW(N_Bedarf!$CE$2:$CE$141)-1)/(--(SEARCH(DS$2,N_Bedarf!$CE$2:$CE$141)&gt;0)),ROW()-2),1),"")</f>
        <v>Stärkeindustrie-Kartoffel</v>
      </c>
      <c r="DS57" s="2356"/>
      <c r="DT57" s="2356" t="str">
        <f t="array" ref="DT57">IFERROR(INDEX(N_Bedarf!$CE$2:$CE$141,_xlfn.AGGREGATE(15,6,(ROW(N_Bedarf!$CE$2:$CE$141)-1)/(--(SEARCH(DU$2,N_Bedarf!$CE$2:$CE$141)&gt;0)),ROW()-2),1),"")</f>
        <v>Stärkeindustrie-Kartoffel</v>
      </c>
      <c r="DU57" s="2356"/>
      <c r="DV57" s="2356" t="str">
        <f t="array" ref="DV57">IFERROR(INDEX(N_Bedarf!$CE$2:$CE$141,_xlfn.AGGREGATE(15,6,(ROW(N_Bedarf!$CE$2:$CE$141)-1)/(--(SEARCH(DW$2,N_Bedarf!$CE$2:$CE$141)&gt;0)),ROW()-2),1),"")</f>
        <v>Stärkeindustrie-Kartoffel</v>
      </c>
      <c r="DW57" s="2356"/>
      <c r="DX57" s="2356" t="str">
        <f t="array" ref="DX57">IFERROR(INDEX(N_Bedarf!$CE$2:$CE$141,_xlfn.AGGREGATE(15,6,(ROW(N_Bedarf!$CE$2:$CE$141)-1)/(--(SEARCH(DY$2,N_Bedarf!$CE$2:$CE$141)&gt;0)),ROW()-2),1),"")</f>
        <v>Stärkeindustrie-Kartoffel</v>
      </c>
      <c r="DY57" s="2356"/>
      <c r="DZ57" s="2356" t="str">
        <f t="array" ref="DZ57">IFERROR(INDEX(N_Bedarf!$CE$2:$CE$141,_xlfn.AGGREGATE(15,6,(ROW(N_Bedarf!$CE$2:$CE$141)-1)/(--(SEARCH(EA$2,N_Bedarf!$CE$2:$CE$141)&gt;0)),ROW()-2),1),"")</f>
        <v>Stärkeindustrie-Kartoffel</v>
      </c>
      <c r="EA57" s="2356"/>
      <c r="EB57" s="2356" t="str">
        <f t="array" ref="EB57">IFERROR(INDEX(N_Bedarf!$CE$2:$CE$141,_xlfn.AGGREGATE(15,6,(ROW(N_Bedarf!$CE$2:$CE$141)-1)/(--(SEARCH(EC$2,N_Bedarf!$CE$2:$CE$141)&gt;0)),ROW()-2),1),"")</f>
        <v>Stärkeindustrie-Kartoffel</v>
      </c>
      <c r="EC57" s="2356"/>
      <c r="ED57"/>
      <c r="EE57"/>
      <c r="EF57"/>
      <c r="EG57"/>
      <c r="EH57"/>
      <c r="EI57"/>
      <c r="EJ57"/>
      <c r="EK57"/>
      <c r="EL57"/>
      <c r="EM57"/>
      <c r="EN57"/>
      <c r="EO57"/>
      <c r="EP57"/>
      <c r="EQ57"/>
      <c r="ER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row>
    <row r="58" spans="1:291" ht="27" customHeight="1" thickTop="1" thickBot="1">
      <c r="A58" s="156"/>
      <c r="B58" s="156"/>
      <c r="C58" s="2523"/>
      <c r="D58" s="2523"/>
      <c r="E58" s="916"/>
      <c r="F58" s="917"/>
      <c r="G58" s="1571" t="str">
        <f t="shared" si="26"/>
        <v/>
      </c>
      <c r="H58" s="2296"/>
      <c r="I58" s="914">
        <f>IFERROR(IF(AND(ISNA(AS58),ISBLANK(C58)),0,IF(AND(ISNA(AS58),ISBLANK(H58)),0,IF(AND(ISNA(AS56),H56&gt;0),H56,IF(AND(AS58&gt;0,H58&lt;AS58),AS58,AS58)))),"")</f>
        <v>0</v>
      </c>
      <c r="J58" s="2297">
        <f t="shared" si="27"/>
        <v>0</v>
      </c>
      <c r="K58" s="2296"/>
      <c r="L58" s="915">
        <f t="shared" si="28"/>
        <v>0</v>
      </c>
      <c r="M58" s="2300">
        <f t="shared" si="29"/>
        <v>0</v>
      </c>
      <c r="AO58" s="156"/>
      <c r="AP58" s="1568" t="str">
        <f t="shared" si="30"/>
        <v/>
      </c>
      <c r="AQ58" s="472">
        <f t="shared" si="31"/>
        <v>0</v>
      </c>
      <c r="AR58" s="472"/>
      <c r="AS58" s="472">
        <f t="shared" si="32"/>
        <v>0</v>
      </c>
      <c r="AT58" s="472">
        <f t="shared" si="33"/>
        <v>0</v>
      </c>
      <c r="AU58" s="472">
        <f t="shared" si="34"/>
        <v>0</v>
      </c>
      <c r="AV58" s="1021"/>
      <c r="AW58" s="1426"/>
      <c r="AX58" s="1722" t="s">
        <v>1698</v>
      </c>
      <c r="AY58" s="681">
        <v>90</v>
      </c>
      <c r="AZ58" s="681">
        <v>75</v>
      </c>
      <c r="BA58" s="681" t="s">
        <v>2687</v>
      </c>
      <c r="BB58" s="681">
        <v>120</v>
      </c>
      <c r="BC58" s="681">
        <v>100</v>
      </c>
      <c r="BD58" s="681" t="s">
        <v>2711</v>
      </c>
      <c r="BE58" s="681">
        <v>145</v>
      </c>
      <c r="BF58" s="681">
        <v>125</v>
      </c>
      <c r="BG58" s="681" t="s">
        <v>2600</v>
      </c>
      <c r="BH58" s="681">
        <v>145</v>
      </c>
      <c r="BI58" s="681">
        <v>125</v>
      </c>
      <c r="BJ58" s="681" t="s">
        <v>2600</v>
      </c>
      <c r="BK58" s="681">
        <v>145</v>
      </c>
      <c r="BL58" s="681">
        <v>125</v>
      </c>
      <c r="BM58" s="681" t="s">
        <v>2600</v>
      </c>
      <c r="BN58" s="471">
        <v>5</v>
      </c>
      <c r="BO58" s="821" t="s">
        <v>1764</v>
      </c>
      <c r="BP58"/>
      <c r="BQ58" s="1722" t="s">
        <v>1698</v>
      </c>
      <c r="BR58" s="470">
        <v>55</v>
      </c>
      <c r="BS58" s="470">
        <v>60</v>
      </c>
      <c r="BT58" s="470">
        <v>70</v>
      </c>
      <c r="BU58" s="426"/>
      <c r="BV58" s="1722" t="s">
        <v>1698</v>
      </c>
      <c r="BW58" s="470">
        <v>160</v>
      </c>
      <c r="BX58" s="470">
        <v>180</v>
      </c>
      <c r="BY58" s="470">
        <v>205</v>
      </c>
      <c r="CA58" s="822"/>
      <c r="CB58"/>
      <c r="CC58"/>
      <c r="CD58"/>
      <c r="CE58" s="2310" t="s">
        <v>1818</v>
      </c>
      <c r="CF58" s="1834" t="str">
        <f>IFERROR(INDEX(N_Bedarf!$CE$2:$CE$141,_xlfn.AGGREGATE(15,6,(ROW(N_Bedarf!$CE$2:$CE$141)-1)/(--(SEARCH(CG$2,N_Bedarf!$CE$2:$CE$141)&gt;0)),ROW()-2),1),"")</f>
        <v>Saatkartoffel, Pflanzkartoffel</v>
      </c>
      <c r="CG58" s="1836"/>
      <c r="CH58" s="1834" t="str">
        <f>IFERROR(INDEX(N_Bedarf!$CE$2:$CE$141,_xlfn.AGGREGATE(15,6,(ROW(N_Bedarf!$CE$2:$CE$141)-1)/(--(SEARCH(CI$2,N_Bedarf!$CE$2:$CE$141)&gt;0)),ROW()-2),1),"")</f>
        <v>Saatkartoffel, Pflanzkartoffel</v>
      </c>
      <c r="CI58" s="1836"/>
      <c r="CJ58" s="1834" t="str">
        <f>IFERROR(INDEX(N_Bedarf!$CE$2:$CE$141,_xlfn.AGGREGATE(15,6,(ROW(N_Bedarf!$CE$2:$CE$141)-1)/(--(SEARCH(CK$2,N_Bedarf!$CE$2:$CE$141)&gt;0)),ROW()-2),1),"")</f>
        <v>Saatkartoffel, Pflanzkartoffel</v>
      </c>
      <c r="CK58" s="1836"/>
      <c r="CL58" s="1834" t="str">
        <f>IFERROR(INDEX(N_Bedarf!$CE$2:$CE$141,_xlfn.AGGREGATE(15,6,(ROW(N_Bedarf!$CE$2:$CE$141)-1)/(--(SEARCH(CM$2,N_Bedarf!$CE$2:$CE$141)&gt;0)),ROW()-2),1),"")</f>
        <v>Saatkartoffel, Pflanzkartoffel</v>
      </c>
      <c r="CM58" s="1836"/>
      <c r="CN58" s="1834" t="str">
        <f>IFERROR(INDEX(N_Bedarf!$CE$2:$CE$141,_xlfn.AGGREGATE(15,6,(ROW(N_Bedarf!$CE$2:$CE$141)-1)/(--(SEARCH(CO$2,N_Bedarf!$CE$2:$CE$141)&gt;0)),ROW()-2),1),"")</f>
        <v>Saatkartoffel, Pflanzkartoffel</v>
      </c>
      <c r="CO58" s="1836"/>
      <c r="CP58" s="1834" t="str">
        <f>IFERROR(INDEX(N_Bedarf!$CE$2:$CE$141,_xlfn.AGGREGATE(15,6,(ROW(N_Bedarf!$CE$2:$CE$141)-1)/(--(SEARCH(CQ$2,N_Bedarf!$CE$2:$CE$141)&gt;0)),ROW()-2),1),"")</f>
        <v>Saatkartoffel, Pflanzkartoffel</v>
      </c>
      <c r="CQ58" s="1836"/>
      <c r="CR58" s="1834" t="str">
        <f>IFERROR(INDEX(N_Bedarf!$CE$2:$CE$141,_xlfn.AGGREGATE(15,6,(ROW(N_Bedarf!$CE$2:$CE$141)-1)/(--(SEARCH(CS$2,N_Bedarf!$CE$2:$CE$141)&gt;0)),ROW()-2),1),"")</f>
        <v>Saatkartoffel, Pflanzkartoffel</v>
      </c>
      <c r="CS58" s="1836"/>
      <c r="CT58" s="1834" t="str">
        <f>IFERROR(INDEX(N_Bedarf!$CE$2:$CE$141,_xlfn.AGGREGATE(15,6,(ROW(N_Bedarf!$CE$2:$CE$141)-1)/(--(SEARCH(CU$2,N_Bedarf!$CE$2:$CE$141)&gt;0)),ROW()-2),1),"")</f>
        <v>Saatkartoffel, Pflanzkartoffel</v>
      </c>
      <c r="CU58" s="1836"/>
      <c r="CV58" s="1834" t="str">
        <f>IFERROR(INDEX(N_Bedarf!$CE$2:$CE$141,_xlfn.AGGREGATE(15,6,(ROW(N_Bedarf!$CE$2:$CE$141)-1)/(--(SEARCH(CW$2,N_Bedarf!$CE$2:$CE$141)&gt;0)),ROW()-2),1),"")</f>
        <v>Saatkartoffel, Pflanzkartoffel</v>
      </c>
      <c r="CW58" s="1836"/>
      <c r="CX58" s="1834" t="str">
        <f>IFERROR(INDEX(N_Bedarf!$CE$2:$CE$141,_xlfn.AGGREGATE(15,6,(ROW(N_Bedarf!$CE$2:$CE$141)-1)/(--(SEARCH(CY$2,N_Bedarf!$CE$2:$CE$141)&gt;0)),ROW()-2),1),"")</f>
        <v>Saatkartoffel, Pflanzkartoffel</v>
      </c>
      <c r="CY58" s="1836"/>
      <c r="CZ58" s="1834" t="str">
        <f>IFERROR(INDEX(N_Bedarf!$CE$2:$CE$141,_xlfn.AGGREGATE(15,6,(ROW(N_Bedarf!$CE$2:$CE$141)-1)/(--(SEARCH(DA$2,N_Bedarf!$CE$2:$CE$141)&gt;0)),ROW()-2),1),"")</f>
        <v>Saatkartoffel, Pflanzkartoffel</v>
      </c>
      <c r="DA58" s="1836"/>
      <c r="DB58" s="1834" t="str">
        <f>IFERROR(INDEX(N_Bedarf!$CE$2:$CE$141,_xlfn.AGGREGATE(15,6,(ROW(N_Bedarf!$CE$2:$CE$141)-1)/(--(SEARCH(DC$2,N_Bedarf!$CE$2:$CE$141)&gt;0)),ROW()-2),1),"")</f>
        <v>Saatkartoffel, Pflanzkartoffel</v>
      </c>
      <c r="DC58" s="1836"/>
      <c r="DD58" s="1834" t="str">
        <f>IFERROR(INDEX(N_Bedarf!$CE$2:$CE$141,_xlfn.AGGREGATE(15,6,(ROW(N_Bedarf!$CE$2:$CE$141)-1)/(--(SEARCH(DE$2,N_Bedarf!$CE$2:$CE$141)&gt;0)),ROW()-2),1),"")</f>
        <v>Saatkartoffel, Pflanzkartoffel</v>
      </c>
      <c r="DE58" s="1836"/>
      <c r="DF58" s="2353" t="str">
        <f t="array" ref="DF58">IFERROR(INDEX(N_Bedarf!$CE$2:$CE$141,_xlfn.AGGREGATE(15,6,(ROW(N_Bedarf!$CE$2:$CE$141)-1)/(--(SEARCH(DG$2,N_Bedarf!$CE$2:$CE$141)&gt;0)),ROW()-2),1),"")</f>
        <v>Saatkartoffel, Pflanzkartoffel</v>
      </c>
      <c r="DG58" s="2353"/>
      <c r="DH58" s="2355" t="str">
        <f t="array" ref="DH58">IFERROR(INDEX(N_Bedarf!$CE$2:$CE$141,_xlfn.AGGREGATE(15,6,(ROW(N_Bedarf!$CE$2:$CE$141)-1)/(--(SEARCH(DI$2,N_Bedarf!$CE$2:$CE$141)&gt;0)),ROW()-2),1),"")</f>
        <v>Saatkartoffel, Pflanzkartoffel</v>
      </c>
      <c r="DI58" s="2355"/>
      <c r="DJ58" s="2356" t="str">
        <f t="array" ref="DJ58">IFERROR(INDEX(N_Bedarf!$CE$2:$CE$141,_xlfn.AGGREGATE(15,6,(ROW(N_Bedarf!$CE$2:$CE$141)-1)/(--(SEARCH(DK$2,N_Bedarf!$CE$2:$CE$141)&gt;0)),ROW()-2),1),"")</f>
        <v>Saatkartoffel, Pflanzkartoffel</v>
      </c>
      <c r="DK58" s="2356"/>
      <c r="DL58" s="2356" t="str">
        <f t="array" ref="DL58">IFERROR(INDEX(N_Bedarf!$CE$2:$CE$141,_xlfn.AGGREGATE(15,6,(ROW(N_Bedarf!$CE$2:$CE$141)-1)/(--(SEARCH(DM$2,N_Bedarf!$CE$2:$CE$141)&gt;0)),ROW()-2),1),"")</f>
        <v>Saatkartoffel, Pflanzkartoffel</v>
      </c>
      <c r="DM58" s="2356"/>
      <c r="DN58" s="2356" t="str">
        <f t="array" ref="DN58">IFERROR(INDEX(N_Bedarf!$CE$2:$CE$141,_xlfn.AGGREGATE(15,6,(ROW(N_Bedarf!$CE$2:$CE$141)-1)/(--(SEARCH(DO$2,N_Bedarf!$CE$2:$CE$141)&gt;0)),ROW()-2),1),"")</f>
        <v>Saatkartoffel, Pflanzkartoffel</v>
      </c>
      <c r="DO58" s="2356"/>
      <c r="DP58" s="2356" t="str">
        <f t="array" ref="DP58">IFERROR(INDEX(N_Bedarf!$CE$2:$CE$141,_xlfn.AGGREGATE(15,6,(ROW(N_Bedarf!$CE$2:$CE$141)-1)/(--(SEARCH(DQ$2,N_Bedarf!$CE$2:$CE$141)&gt;0)),ROW()-2),1),"")</f>
        <v>Saatkartoffel, Pflanzkartoffel</v>
      </c>
      <c r="DQ58" s="2356"/>
      <c r="DR58" s="2356" t="str">
        <f t="array" ref="DR58">IFERROR(INDEX(N_Bedarf!$CE$2:$CE$141,_xlfn.AGGREGATE(15,6,(ROW(N_Bedarf!$CE$2:$CE$141)-1)/(--(SEARCH(DS$2,N_Bedarf!$CE$2:$CE$141)&gt;0)),ROW()-2),1),"")</f>
        <v>Saatkartoffel, Pflanzkartoffel</v>
      </c>
      <c r="DS58" s="2356"/>
      <c r="DT58" s="2356" t="str">
        <f t="array" ref="DT58">IFERROR(INDEX(N_Bedarf!$CE$2:$CE$141,_xlfn.AGGREGATE(15,6,(ROW(N_Bedarf!$CE$2:$CE$141)-1)/(--(SEARCH(DU$2,N_Bedarf!$CE$2:$CE$141)&gt;0)),ROW()-2),1),"")</f>
        <v>Saatkartoffel, Pflanzkartoffel</v>
      </c>
      <c r="DU58" s="2356"/>
      <c r="DV58" s="2356" t="str">
        <f t="array" ref="DV58">IFERROR(INDEX(N_Bedarf!$CE$2:$CE$141,_xlfn.AGGREGATE(15,6,(ROW(N_Bedarf!$CE$2:$CE$141)-1)/(--(SEARCH(DW$2,N_Bedarf!$CE$2:$CE$141)&gt;0)),ROW()-2),1),"")</f>
        <v>Saatkartoffel, Pflanzkartoffel</v>
      </c>
      <c r="DW58" s="2356"/>
      <c r="DX58" s="2356" t="str">
        <f t="array" ref="DX58">IFERROR(INDEX(N_Bedarf!$CE$2:$CE$141,_xlfn.AGGREGATE(15,6,(ROW(N_Bedarf!$CE$2:$CE$141)-1)/(--(SEARCH(DY$2,N_Bedarf!$CE$2:$CE$141)&gt;0)),ROW()-2),1),"")</f>
        <v>Saatkartoffel, Pflanzkartoffel</v>
      </c>
      <c r="DY58" s="2356"/>
      <c r="DZ58" s="2356" t="str">
        <f t="array" ref="DZ58">IFERROR(INDEX(N_Bedarf!$CE$2:$CE$141,_xlfn.AGGREGATE(15,6,(ROW(N_Bedarf!$CE$2:$CE$141)-1)/(--(SEARCH(EA$2,N_Bedarf!$CE$2:$CE$141)&gt;0)),ROW()-2),1),"")</f>
        <v>Saatkartoffel, Pflanzkartoffel</v>
      </c>
      <c r="EA58" s="2356"/>
      <c r="EB58" s="2356" t="str">
        <f t="array" ref="EB58">IFERROR(INDEX(N_Bedarf!$CE$2:$CE$141,_xlfn.AGGREGATE(15,6,(ROW(N_Bedarf!$CE$2:$CE$141)-1)/(--(SEARCH(EC$2,N_Bedarf!$CE$2:$CE$141)&gt;0)),ROW()-2),1),"")</f>
        <v>Saatkartoffel, Pflanzkartoffel</v>
      </c>
      <c r="EC58" s="2356"/>
      <c r="ED58"/>
      <c r="EE58"/>
      <c r="EF58"/>
      <c r="EG58"/>
      <c r="EH58"/>
      <c r="EI58"/>
      <c r="EJ58"/>
      <c r="EK58"/>
      <c r="EL58"/>
      <c r="EM58"/>
      <c r="EN58"/>
      <c r="EO58"/>
      <c r="EP58"/>
      <c r="EQ58"/>
      <c r="ER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row>
    <row r="59" spans="1:291" ht="27" customHeight="1" thickTop="1" thickBot="1">
      <c r="A59" s="156"/>
      <c r="B59" s="156"/>
      <c r="C59" s="2523"/>
      <c r="D59" s="2523"/>
      <c r="E59" s="916"/>
      <c r="F59" s="917"/>
      <c r="G59" s="1571" t="str">
        <f t="shared" si="26"/>
        <v/>
      </c>
      <c r="H59" s="2296"/>
      <c r="I59" s="914">
        <f>IFERROR(IF(AND(ISNA(AS59),ISBLANK(C59)),0,IF(AND(ISNA(AS59),ISBLANK(H59)),0,IF(AND(ISNA(AS57),H57&gt;0),H57,IF(AND(AS59&gt;0,H59&lt;AS59),AS59,AS59)))),"")</f>
        <v>0</v>
      </c>
      <c r="J59" s="2297">
        <f t="shared" si="27"/>
        <v>0</v>
      </c>
      <c r="K59" s="2296"/>
      <c r="L59" s="915">
        <f t="shared" si="28"/>
        <v>0</v>
      </c>
      <c r="M59" s="2300">
        <f t="shared" si="29"/>
        <v>0</v>
      </c>
      <c r="AO59" s="156"/>
      <c r="AP59" s="1568" t="str">
        <f t="shared" si="30"/>
        <v/>
      </c>
      <c r="AQ59" s="472">
        <f t="shared" si="31"/>
        <v>0</v>
      </c>
      <c r="AR59" s="472"/>
      <c r="AS59" s="472">
        <f t="shared" si="32"/>
        <v>0</v>
      </c>
      <c r="AT59" s="472">
        <f t="shared" si="33"/>
        <v>0</v>
      </c>
      <c r="AU59" s="472">
        <f t="shared" si="34"/>
        <v>0</v>
      </c>
      <c r="AV59" s="1021"/>
      <c r="AW59" s="1426"/>
      <c r="AX59" s="1722" t="s">
        <v>1724</v>
      </c>
      <c r="AY59" s="681">
        <v>120</v>
      </c>
      <c r="AZ59" s="681">
        <v>105</v>
      </c>
      <c r="BA59" s="681" t="s">
        <v>2686</v>
      </c>
      <c r="BB59" s="681">
        <v>165</v>
      </c>
      <c r="BC59" s="681">
        <v>140</v>
      </c>
      <c r="BD59" s="681" t="s">
        <v>2712</v>
      </c>
      <c r="BE59" s="681">
        <v>195</v>
      </c>
      <c r="BF59" s="681">
        <v>165</v>
      </c>
      <c r="BG59" s="681" t="s">
        <v>2732</v>
      </c>
      <c r="BH59" s="681">
        <v>210</v>
      </c>
      <c r="BI59" s="681">
        <v>180</v>
      </c>
      <c r="BJ59" s="681" t="s">
        <v>2747</v>
      </c>
      <c r="BK59" s="681">
        <v>225</v>
      </c>
      <c r="BL59" s="681">
        <v>190</v>
      </c>
      <c r="BM59" s="681" t="s">
        <v>2601</v>
      </c>
      <c r="BN59" s="471">
        <v>3.5</v>
      </c>
      <c r="BO59" s="821" t="s">
        <v>1764</v>
      </c>
      <c r="BP59"/>
      <c r="BQ59" s="1722" t="s">
        <v>1724</v>
      </c>
      <c r="BR59" s="470">
        <v>60</v>
      </c>
      <c r="BS59" s="470">
        <v>65</v>
      </c>
      <c r="BT59" s="470">
        <v>75</v>
      </c>
      <c r="BV59" s="1722" t="s">
        <v>1724</v>
      </c>
      <c r="BW59" s="470">
        <v>180</v>
      </c>
      <c r="BX59" s="470">
        <v>200</v>
      </c>
      <c r="BY59" s="470">
        <v>230</v>
      </c>
      <c r="CA59" s="822"/>
      <c r="CB59"/>
      <c r="CC59"/>
      <c r="CD59"/>
      <c r="CE59" s="2310" t="s">
        <v>1695</v>
      </c>
      <c r="CF59" s="1834" t="str">
        <f>IFERROR(INDEX(N_Bedarf!$CE$2:$CE$141,_xlfn.AGGREGATE(15,6,(ROW(N_Bedarf!$CE$2:$CE$141)-1)/(--(SEARCH(CG$2,N_Bedarf!$CE$2:$CE$141)&gt;0)),ROW()-2),1),"")</f>
        <v>Topinambur, Süßkartoffel</v>
      </c>
      <c r="CG59" s="1830"/>
      <c r="CH59" s="1834" t="str">
        <f>IFERROR(INDEX(N_Bedarf!$CE$2:$CE$141,_xlfn.AGGREGATE(15,6,(ROW(N_Bedarf!$CE$2:$CE$141)-1)/(--(SEARCH(CI$2,N_Bedarf!$CE$2:$CE$141)&gt;0)),ROW()-2),1),"")</f>
        <v>Topinambur, Süßkartoffel</v>
      </c>
      <c r="CI59" s="1830"/>
      <c r="CJ59" s="1834" t="str">
        <f>IFERROR(INDEX(N_Bedarf!$CE$2:$CE$141,_xlfn.AGGREGATE(15,6,(ROW(N_Bedarf!$CE$2:$CE$141)-1)/(--(SEARCH(CK$2,N_Bedarf!$CE$2:$CE$141)&gt;0)),ROW()-2),1),"")</f>
        <v>Topinambur, Süßkartoffel</v>
      </c>
      <c r="CK59" s="1830"/>
      <c r="CL59" s="1834" t="str">
        <f>IFERROR(INDEX(N_Bedarf!$CE$2:$CE$141,_xlfn.AGGREGATE(15,6,(ROW(N_Bedarf!$CE$2:$CE$141)-1)/(--(SEARCH(CM$2,N_Bedarf!$CE$2:$CE$141)&gt;0)),ROW()-2),1),"")</f>
        <v>Topinambur, Süßkartoffel</v>
      </c>
      <c r="CM59" s="1830"/>
      <c r="CN59" s="1834" t="str">
        <f>IFERROR(INDEX(N_Bedarf!$CE$2:$CE$141,_xlfn.AGGREGATE(15,6,(ROW(N_Bedarf!$CE$2:$CE$141)-1)/(--(SEARCH(CO$2,N_Bedarf!$CE$2:$CE$141)&gt;0)),ROW()-2),1),"")</f>
        <v>Topinambur, Süßkartoffel</v>
      </c>
      <c r="CO59" s="1830"/>
      <c r="CP59" s="1834" t="str">
        <f>IFERROR(INDEX(N_Bedarf!$CE$2:$CE$141,_xlfn.AGGREGATE(15,6,(ROW(N_Bedarf!$CE$2:$CE$141)-1)/(--(SEARCH(CQ$2,N_Bedarf!$CE$2:$CE$141)&gt;0)),ROW()-2),1),"")</f>
        <v>Topinambur, Süßkartoffel</v>
      </c>
      <c r="CQ59" s="1830"/>
      <c r="CR59" s="1834" t="str">
        <f>IFERROR(INDEX(N_Bedarf!$CE$2:$CE$141,_xlfn.AGGREGATE(15,6,(ROW(N_Bedarf!$CE$2:$CE$141)-1)/(--(SEARCH(CS$2,N_Bedarf!$CE$2:$CE$141)&gt;0)),ROW()-2),1),"")</f>
        <v>Topinambur, Süßkartoffel</v>
      </c>
      <c r="CS59" s="1830"/>
      <c r="CT59" s="1834" t="str">
        <f>IFERROR(INDEX(N_Bedarf!$CE$2:$CE$141,_xlfn.AGGREGATE(15,6,(ROW(N_Bedarf!$CE$2:$CE$141)-1)/(--(SEARCH(CU$2,N_Bedarf!$CE$2:$CE$141)&gt;0)),ROW()-2),1),"")</f>
        <v>Topinambur, Süßkartoffel</v>
      </c>
      <c r="CU59" s="1830"/>
      <c r="CV59" s="1834" t="str">
        <f>IFERROR(INDEX(N_Bedarf!$CE$2:$CE$141,_xlfn.AGGREGATE(15,6,(ROW(N_Bedarf!$CE$2:$CE$141)-1)/(--(SEARCH(CW$2,N_Bedarf!$CE$2:$CE$141)&gt;0)),ROW()-2),1),"")</f>
        <v>Topinambur, Süßkartoffel</v>
      </c>
      <c r="CW59" s="1830"/>
      <c r="CX59" s="1834" t="str">
        <f>IFERROR(INDEX(N_Bedarf!$CE$2:$CE$141,_xlfn.AGGREGATE(15,6,(ROW(N_Bedarf!$CE$2:$CE$141)-1)/(--(SEARCH(CY$2,N_Bedarf!$CE$2:$CE$141)&gt;0)),ROW()-2),1),"")</f>
        <v>Topinambur, Süßkartoffel</v>
      </c>
      <c r="CY59" s="1830"/>
      <c r="CZ59" s="1834" t="str">
        <f>IFERROR(INDEX(N_Bedarf!$CE$2:$CE$141,_xlfn.AGGREGATE(15,6,(ROW(N_Bedarf!$CE$2:$CE$141)-1)/(--(SEARCH(DA$2,N_Bedarf!$CE$2:$CE$141)&gt;0)),ROW()-2),1),"")</f>
        <v>Topinambur, Süßkartoffel</v>
      </c>
      <c r="DA59" s="1830"/>
      <c r="DB59" s="1834" t="str">
        <f>IFERROR(INDEX(N_Bedarf!$CE$2:$CE$141,_xlfn.AGGREGATE(15,6,(ROW(N_Bedarf!$CE$2:$CE$141)-1)/(--(SEARCH(DC$2,N_Bedarf!$CE$2:$CE$141)&gt;0)),ROW()-2),1),"")</f>
        <v>Topinambur, Süßkartoffel</v>
      </c>
      <c r="DC59" s="1830"/>
      <c r="DD59" s="1834" t="str">
        <f>IFERROR(INDEX(N_Bedarf!$CE$2:$CE$141,_xlfn.AGGREGATE(15,6,(ROW(N_Bedarf!$CE$2:$CE$141)-1)/(--(SEARCH(DE$2,N_Bedarf!$CE$2:$CE$141)&gt;0)),ROW()-2),1),"")</f>
        <v>Topinambur, Süßkartoffel</v>
      </c>
      <c r="DE59" s="1830"/>
      <c r="DF59" s="2353" t="str">
        <f t="array" ref="DF59">IFERROR(INDEX(N_Bedarf!$CE$2:$CE$141,_xlfn.AGGREGATE(15,6,(ROW(N_Bedarf!$CE$2:$CE$141)-1)/(--(SEARCH(DG$2,N_Bedarf!$CE$2:$CE$141)&gt;0)),ROW()-2),1),"")</f>
        <v>Topinambur, Süßkartoffel</v>
      </c>
      <c r="DG59" s="2353"/>
      <c r="DH59" s="2355" t="str">
        <f t="array" ref="DH59">IFERROR(INDEX(N_Bedarf!$CE$2:$CE$141,_xlfn.AGGREGATE(15,6,(ROW(N_Bedarf!$CE$2:$CE$141)-1)/(--(SEARCH(DI$2,N_Bedarf!$CE$2:$CE$141)&gt;0)),ROW()-2),1),"")</f>
        <v>Topinambur, Süßkartoffel</v>
      </c>
      <c r="DI59" s="2355"/>
      <c r="DJ59" s="2356" t="str">
        <f t="array" ref="DJ59">IFERROR(INDEX(N_Bedarf!$CE$2:$CE$141,_xlfn.AGGREGATE(15,6,(ROW(N_Bedarf!$CE$2:$CE$141)-1)/(--(SEARCH(DK$2,N_Bedarf!$CE$2:$CE$141)&gt;0)),ROW()-2),1),"")</f>
        <v>Topinambur, Süßkartoffel</v>
      </c>
      <c r="DK59" s="2356"/>
      <c r="DL59" s="2356" t="str">
        <f t="array" ref="DL59">IFERROR(INDEX(N_Bedarf!$CE$2:$CE$141,_xlfn.AGGREGATE(15,6,(ROW(N_Bedarf!$CE$2:$CE$141)-1)/(--(SEARCH(DM$2,N_Bedarf!$CE$2:$CE$141)&gt;0)),ROW()-2),1),"")</f>
        <v>Topinambur, Süßkartoffel</v>
      </c>
      <c r="DM59" s="2356"/>
      <c r="DN59" s="2356" t="str">
        <f t="array" ref="DN59">IFERROR(INDEX(N_Bedarf!$CE$2:$CE$141,_xlfn.AGGREGATE(15,6,(ROW(N_Bedarf!$CE$2:$CE$141)-1)/(--(SEARCH(DO$2,N_Bedarf!$CE$2:$CE$141)&gt;0)),ROW()-2),1),"")</f>
        <v>Topinambur, Süßkartoffel</v>
      </c>
      <c r="DO59" s="2356"/>
      <c r="DP59" s="2356" t="str">
        <f t="array" ref="DP59">IFERROR(INDEX(N_Bedarf!$CE$2:$CE$141,_xlfn.AGGREGATE(15,6,(ROW(N_Bedarf!$CE$2:$CE$141)-1)/(--(SEARCH(DQ$2,N_Bedarf!$CE$2:$CE$141)&gt;0)),ROW()-2),1),"")</f>
        <v>Topinambur, Süßkartoffel</v>
      </c>
      <c r="DQ59" s="2356"/>
      <c r="DR59" s="2356" t="str">
        <f t="array" ref="DR59">IFERROR(INDEX(N_Bedarf!$CE$2:$CE$141,_xlfn.AGGREGATE(15,6,(ROW(N_Bedarf!$CE$2:$CE$141)-1)/(--(SEARCH(DS$2,N_Bedarf!$CE$2:$CE$141)&gt;0)),ROW()-2),1),"")</f>
        <v>Topinambur, Süßkartoffel</v>
      </c>
      <c r="DS59" s="2356"/>
      <c r="DT59" s="2356" t="str">
        <f t="array" ref="DT59">IFERROR(INDEX(N_Bedarf!$CE$2:$CE$141,_xlfn.AGGREGATE(15,6,(ROW(N_Bedarf!$CE$2:$CE$141)-1)/(--(SEARCH(DU$2,N_Bedarf!$CE$2:$CE$141)&gt;0)),ROW()-2),1),"")</f>
        <v>Topinambur, Süßkartoffel</v>
      </c>
      <c r="DU59" s="2356"/>
      <c r="DV59" s="2356" t="str">
        <f t="array" ref="DV59">IFERROR(INDEX(N_Bedarf!$CE$2:$CE$141,_xlfn.AGGREGATE(15,6,(ROW(N_Bedarf!$CE$2:$CE$141)-1)/(--(SEARCH(DW$2,N_Bedarf!$CE$2:$CE$141)&gt;0)),ROW()-2),1),"")</f>
        <v>Topinambur, Süßkartoffel</v>
      </c>
      <c r="DW59" s="2356"/>
      <c r="DX59" s="2356" t="str">
        <f t="array" ref="DX59">IFERROR(INDEX(N_Bedarf!$CE$2:$CE$141,_xlfn.AGGREGATE(15,6,(ROW(N_Bedarf!$CE$2:$CE$141)-1)/(--(SEARCH(DY$2,N_Bedarf!$CE$2:$CE$141)&gt;0)),ROW()-2),1),"")</f>
        <v>Topinambur, Süßkartoffel</v>
      </c>
      <c r="DY59" s="2356"/>
      <c r="DZ59" s="2356" t="str">
        <f t="array" ref="DZ59">IFERROR(INDEX(N_Bedarf!$CE$2:$CE$141,_xlfn.AGGREGATE(15,6,(ROW(N_Bedarf!$CE$2:$CE$141)-1)/(--(SEARCH(EA$2,N_Bedarf!$CE$2:$CE$141)&gt;0)),ROW()-2),1),"")</f>
        <v>Topinambur, Süßkartoffel</v>
      </c>
      <c r="EA59" s="2356"/>
      <c r="EB59" s="2356" t="str">
        <f t="array" ref="EB59">IFERROR(INDEX(N_Bedarf!$CE$2:$CE$141,_xlfn.AGGREGATE(15,6,(ROW(N_Bedarf!$CE$2:$CE$141)-1)/(--(SEARCH(EC$2,N_Bedarf!$CE$2:$CE$141)&gt;0)),ROW()-2),1),"")</f>
        <v>Topinambur, Süßkartoffel</v>
      </c>
      <c r="EC59" s="2356"/>
      <c r="ED59"/>
      <c r="EE59"/>
      <c r="EF59"/>
      <c r="EG59"/>
      <c r="EH59"/>
      <c r="EI59"/>
      <c r="EJ59"/>
      <c r="EK59"/>
      <c r="EL59"/>
      <c r="EM59"/>
      <c r="EN59"/>
      <c r="EO59"/>
      <c r="EP59"/>
      <c r="EQ59"/>
      <c r="ER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row>
    <row r="60" spans="1:291" ht="27" customHeight="1" thickTop="1" thickBot="1">
      <c r="A60" s="156"/>
      <c r="B60" s="156"/>
      <c r="C60" s="2523"/>
      <c r="D60" s="2523"/>
      <c r="E60" s="916"/>
      <c r="F60" s="917"/>
      <c r="G60" s="1571" t="str">
        <f t="shared" si="26"/>
        <v/>
      </c>
      <c r="H60" s="2296"/>
      <c r="I60" s="914">
        <f>IFERROR(IF(AND(ISNA(AS60),ISBLANK(C60)),0,IF(AND(ISNA(AS60),ISBLANK(H60)),0,IF(AND(ISNA(AS58),H58&gt;0),H58,IF(AND(AS60&gt;0,H60&lt;AS60),AS60,AS60)))),"")</f>
        <v>0</v>
      </c>
      <c r="J60" s="2297">
        <f t="shared" si="27"/>
        <v>0</v>
      </c>
      <c r="K60" s="2296"/>
      <c r="L60" s="915">
        <f t="shared" si="28"/>
        <v>0</v>
      </c>
      <c r="M60" s="2300">
        <f t="shared" si="29"/>
        <v>0</v>
      </c>
      <c r="N60" s="2550" t="str">
        <f>IF(Mineral!I28&lt;=0,"",IF((M64/Betrieb!D18)&gt;100,"Der Phosphoreinsatz liegt über 100 kg je ha LN, eine Dokumentation und Begründung ist erforderlich!",""))</f>
        <v/>
      </c>
      <c r="O60" s="2550"/>
      <c r="P60" s="2550"/>
      <c r="Q60" s="2550"/>
      <c r="R60" s="2550"/>
      <c r="S60" s="2550"/>
      <c r="AO60" s="156"/>
      <c r="AP60" s="1568" t="str">
        <f t="shared" si="30"/>
        <v/>
      </c>
      <c r="AQ60" s="472">
        <f t="shared" si="31"/>
        <v>0</v>
      </c>
      <c r="AR60" s="472"/>
      <c r="AS60" s="472">
        <f t="shared" si="32"/>
        <v>0</v>
      </c>
      <c r="AT60" s="472">
        <f t="shared" si="33"/>
        <v>0</v>
      </c>
      <c r="AU60" s="472">
        <f t="shared" si="34"/>
        <v>0</v>
      </c>
      <c r="AV60" s="1021"/>
      <c r="AW60" s="1426"/>
      <c r="AX60" s="1722" t="s">
        <v>1709</v>
      </c>
      <c r="AY60" s="681">
        <v>90</v>
      </c>
      <c r="AZ60" s="681">
        <v>75</v>
      </c>
      <c r="BA60" s="681" t="s">
        <v>2687</v>
      </c>
      <c r="BB60" s="681">
        <v>120</v>
      </c>
      <c r="BC60" s="681">
        <v>100</v>
      </c>
      <c r="BD60" s="681" t="s">
        <v>2711</v>
      </c>
      <c r="BE60" s="681">
        <v>145</v>
      </c>
      <c r="BF60" s="681">
        <v>125</v>
      </c>
      <c r="BG60" s="681" t="s">
        <v>2600</v>
      </c>
      <c r="BH60" s="681">
        <v>145</v>
      </c>
      <c r="BI60" s="681">
        <v>125</v>
      </c>
      <c r="BJ60" s="681" t="s">
        <v>2600</v>
      </c>
      <c r="BK60" s="681">
        <v>145</v>
      </c>
      <c r="BL60" s="681">
        <v>125</v>
      </c>
      <c r="BM60" s="681" t="s">
        <v>2600</v>
      </c>
      <c r="BN60" s="471">
        <v>5</v>
      </c>
      <c r="BO60" s="821" t="s">
        <v>1764</v>
      </c>
      <c r="BP60"/>
      <c r="BQ60" s="1722" t="s">
        <v>1709</v>
      </c>
      <c r="BR60" s="470">
        <v>55</v>
      </c>
      <c r="BS60" s="470">
        <v>60</v>
      </c>
      <c r="BT60" s="470">
        <v>70</v>
      </c>
      <c r="BV60" s="1722" t="s">
        <v>1709</v>
      </c>
      <c r="BW60" s="470">
        <v>160</v>
      </c>
      <c r="BX60" s="470">
        <v>180</v>
      </c>
      <c r="BY60" s="470">
        <v>205</v>
      </c>
      <c r="CA60" s="822"/>
      <c r="CB60"/>
      <c r="CC60"/>
      <c r="CD60"/>
      <c r="CE60" s="2310" t="s">
        <v>1701</v>
      </c>
      <c r="CF60" s="1834" t="str">
        <f>IFERROR(INDEX(N_Bedarf!$CE$2:$CE$141,_xlfn.AGGREGATE(15,6,(ROW(N_Bedarf!$CE$2:$CE$141)-1)/(--(SEARCH(CG$2,N_Bedarf!$CE$2:$CE$141)&gt;0)),ROW()-2),1),"")</f>
        <v>Erdbeere</v>
      </c>
      <c r="CG60" s="1836"/>
      <c r="CH60" s="1834" t="str">
        <f>IFERROR(INDEX(N_Bedarf!$CE$2:$CE$141,_xlfn.AGGREGATE(15,6,(ROW(N_Bedarf!$CE$2:$CE$141)-1)/(--(SEARCH(CI$2,N_Bedarf!$CE$2:$CE$141)&gt;0)),ROW()-2),1),"")</f>
        <v>Erdbeere</v>
      </c>
      <c r="CI60" s="1836"/>
      <c r="CJ60" s="1834" t="str">
        <f>IFERROR(INDEX(N_Bedarf!$CE$2:$CE$141,_xlfn.AGGREGATE(15,6,(ROW(N_Bedarf!$CE$2:$CE$141)-1)/(--(SEARCH(CK$2,N_Bedarf!$CE$2:$CE$141)&gt;0)),ROW()-2),1),"")</f>
        <v>Erdbeere</v>
      </c>
      <c r="CK60" s="1836"/>
      <c r="CL60" s="1834" t="str">
        <f>IFERROR(INDEX(N_Bedarf!$CE$2:$CE$141,_xlfn.AGGREGATE(15,6,(ROW(N_Bedarf!$CE$2:$CE$141)-1)/(--(SEARCH(CM$2,N_Bedarf!$CE$2:$CE$141)&gt;0)),ROW()-2),1),"")</f>
        <v>Erdbeere</v>
      </c>
      <c r="CM60" s="1836"/>
      <c r="CN60" s="1834" t="str">
        <f>IFERROR(INDEX(N_Bedarf!$CE$2:$CE$141,_xlfn.AGGREGATE(15,6,(ROW(N_Bedarf!$CE$2:$CE$141)-1)/(--(SEARCH(CO$2,N_Bedarf!$CE$2:$CE$141)&gt;0)),ROW()-2),1),"")</f>
        <v>Erdbeere</v>
      </c>
      <c r="CO60" s="1836"/>
      <c r="CP60" s="1834" t="str">
        <f>IFERROR(INDEX(N_Bedarf!$CE$2:$CE$141,_xlfn.AGGREGATE(15,6,(ROW(N_Bedarf!$CE$2:$CE$141)-1)/(--(SEARCH(CQ$2,N_Bedarf!$CE$2:$CE$141)&gt;0)),ROW()-2),1),"")</f>
        <v>Erdbeere</v>
      </c>
      <c r="CQ60" s="1836"/>
      <c r="CR60" s="1834" t="str">
        <f>IFERROR(INDEX(N_Bedarf!$CE$2:$CE$141,_xlfn.AGGREGATE(15,6,(ROW(N_Bedarf!$CE$2:$CE$141)-1)/(--(SEARCH(CS$2,N_Bedarf!$CE$2:$CE$141)&gt;0)),ROW()-2),1),"")</f>
        <v>Erdbeere</v>
      </c>
      <c r="CS60" s="1836"/>
      <c r="CT60" s="1834" t="str">
        <f>IFERROR(INDEX(N_Bedarf!$CE$2:$CE$141,_xlfn.AGGREGATE(15,6,(ROW(N_Bedarf!$CE$2:$CE$141)-1)/(--(SEARCH(CU$2,N_Bedarf!$CE$2:$CE$141)&gt;0)),ROW()-2),1),"")</f>
        <v>Erdbeere</v>
      </c>
      <c r="CU60" s="1836"/>
      <c r="CV60" s="1834" t="str">
        <f>IFERROR(INDEX(N_Bedarf!$CE$2:$CE$141,_xlfn.AGGREGATE(15,6,(ROW(N_Bedarf!$CE$2:$CE$141)-1)/(--(SEARCH(CW$2,N_Bedarf!$CE$2:$CE$141)&gt;0)),ROW()-2),1),"")</f>
        <v>Erdbeere</v>
      </c>
      <c r="CW60" s="1836"/>
      <c r="CX60" s="1834" t="str">
        <f>IFERROR(INDEX(N_Bedarf!$CE$2:$CE$141,_xlfn.AGGREGATE(15,6,(ROW(N_Bedarf!$CE$2:$CE$141)-1)/(--(SEARCH(CY$2,N_Bedarf!$CE$2:$CE$141)&gt;0)),ROW()-2),1),"")</f>
        <v>Erdbeere</v>
      </c>
      <c r="CY60" s="1836"/>
      <c r="CZ60" s="1834" t="str">
        <f>IFERROR(INDEX(N_Bedarf!$CE$2:$CE$141,_xlfn.AGGREGATE(15,6,(ROW(N_Bedarf!$CE$2:$CE$141)-1)/(--(SEARCH(DA$2,N_Bedarf!$CE$2:$CE$141)&gt;0)),ROW()-2),1),"")</f>
        <v>Erdbeere</v>
      </c>
      <c r="DA60" s="1836"/>
      <c r="DB60" s="1834" t="str">
        <f>IFERROR(INDEX(N_Bedarf!$CE$2:$CE$141,_xlfn.AGGREGATE(15,6,(ROW(N_Bedarf!$CE$2:$CE$141)-1)/(--(SEARCH(DC$2,N_Bedarf!$CE$2:$CE$141)&gt;0)),ROW()-2),1),"")</f>
        <v>Erdbeere</v>
      </c>
      <c r="DC60" s="1836"/>
      <c r="DD60" s="1834" t="str">
        <f>IFERROR(INDEX(N_Bedarf!$CE$2:$CE$141,_xlfn.AGGREGATE(15,6,(ROW(N_Bedarf!$CE$2:$CE$141)-1)/(--(SEARCH(DE$2,N_Bedarf!$CE$2:$CE$141)&gt;0)),ROW()-2),1),"")</f>
        <v>Erdbeere</v>
      </c>
      <c r="DE60" s="1836"/>
      <c r="DF60" s="2353" t="str">
        <f t="array" ref="DF60">IFERROR(INDEX(N_Bedarf!$CE$2:$CE$141,_xlfn.AGGREGATE(15,6,(ROW(N_Bedarf!$CE$2:$CE$141)-1)/(--(SEARCH(DG$2,N_Bedarf!$CE$2:$CE$141)&gt;0)),ROW()-2),1),"")</f>
        <v>Erdbeere</v>
      </c>
      <c r="DG60" s="2353"/>
      <c r="DH60" s="2355" t="str">
        <f t="array" ref="DH60">IFERROR(INDEX(N_Bedarf!$CE$2:$CE$141,_xlfn.AGGREGATE(15,6,(ROW(N_Bedarf!$CE$2:$CE$141)-1)/(--(SEARCH(DI$2,N_Bedarf!$CE$2:$CE$141)&gt;0)),ROW()-2),1),"")</f>
        <v>Erdbeere</v>
      </c>
      <c r="DI60" s="2355"/>
      <c r="DJ60" s="2356" t="str">
        <f t="array" ref="DJ60">IFERROR(INDEX(N_Bedarf!$CE$2:$CE$141,_xlfn.AGGREGATE(15,6,(ROW(N_Bedarf!$CE$2:$CE$141)-1)/(--(SEARCH(DK$2,N_Bedarf!$CE$2:$CE$141)&gt;0)),ROW()-2),1),"")</f>
        <v>Erdbeere</v>
      </c>
      <c r="DK60" s="2356"/>
      <c r="DL60" s="2356" t="str">
        <f t="array" ref="DL60">IFERROR(INDEX(N_Bedarf!$CE$2:$CE$141,_xlfn.AGGREGATE(15,6,(ROW(N_Bedarf!$CE$2:$CE$141)-1)/(--(SEARCH(DM$2,N_Bedarf!$CE$2:$CE$141)&gt;0)),ROW()-2),1),"")</f>
        <v>Erdbeere</v>
      </c>
      <c r="DM60" s="2356"/>
      <c r="DN60" s="2356" t="str">
        <f t="array" ref="DN60">IFERROR(INDEX(N_Bedarf!$CE$2:$CE$141,_xlfn.AGGREGATE(15,6,(ROW(N_Bedarf!$CE$2:$CE$141)-1)/(--(SEARCH(DO$2,N_Bedarf!$CE$2:$CE$141)&gt;0)),ROW()-2),1),"")</f>
        <v>Erdbeere</v>
      </c>
      <c r="DO60" s="2356"/>
      <c r="DP60" s="2356" t="str">
        <f t="array" ref="DP60">IFERROR(INDEX(N_Bedarf!$CE$2:$CE$141,_xlfn.AGGREGATE(15,6,(ROW(N_Bedarf!$CE$2:$CE$141)-1)/(--(SEARCH(DQ$2,N_Bedarf!$CE$2:$CE$141)&gt;0)),ROW()-2),1),"")</f>
        <v>Erdbeere</v>
      </c>
      <c r="DQ60" s="2356"/>
      <c r="DR60" s="2356" t="str">
        <f t="array" ref="DR60">IFERROR(INDEX(N_Bedarf!$CE$2:$CE$141,_xlfn.AGGREGATE(15,6,(ROW(N_Bedarf!$CE$2:$CE$141)-1)/(--(SEARCH(DS$2,N_Bedarf!$CE$2:$CE$141)&gt;0)),ROW()-2),1),"")</f>
        <v>Erdbeere</v>
      </c>
      <c r="DS60" s="2356"/>
      <c r="DT60" s="2356" t="str">
        <f t="array" ref="DT60">IFERROR(INDEX(N_Bedarf!$CE$2:$CE$141,_xlfn.AGGREGATE(15,6,(ROW(N_Bedarf!$CE$2:$CE$141)-1)/(--(SEARCH(DU$2,N_Bedarf!$CE$2:$CE$141)&gt;0)),ROW()-2),1),"")</f>
        <v>Erdbeere</v>
      </c>
      <c r="DU60" s="2356"/>
      <c r="DV60" s="2356" t="str">
        <f t="array" ref="DV60">IFERROR(INDEX(N_Bedarf!$CE$2:$CE$141,_xlfn.AGGREGATE(15,6,(ROW(N_Bedarf!$CE$2:$CE$141)-1)/(--(SEARCH(DW$2,N_Bedarf!$CE$2:$CE$141)&gt;0)),ROW()-2),1),"")</f>
        <v>Erdbeere</v>
      </c>
      <c r="DW60" s="2356"/>
      <c r="DX60" s="2356" t="str">
        <f t="array" ref="DX60">IFERROR(INDEX(N_Bedarf!$CE$2:$CE$141,_xlfn.AGGREGATE(15,6,(ROW(N_Bedarf!$CE$2:$CE$141)-1)/(--(SEARCH(DY$2,N_Bedarf!$CE$2:$CE$141)&gt;0)),ROW()-2),1),"")</f>
        <v>Erdbeere</v>
      </c>
      <c r="DY60" s="2356"/>
      <c r="DZ60" s="2356" t="str">
        <f t="array" ref="DZ60">IFERROR(INDEX(N_Bedarf!$CE$2:$CE$141,_xlfn.AGGREGATE(15,6,(ROW(N_Bedarf!$CE$2:$CE$141)-1)/(--(SEARCH(EA$2,N_Bedarf!$CE$2:$CE$141)&gt;0)),ROW()-2),1),"")</f>
        <v>Erdbeere</v>
      </c>
      <c r="EA60" s="2356"/>
      <c r="EB60" s="2356" t="str">
        <f t="array" ref="EB60">IFERROR(INDEX(N_Bedarf!$CE$2:$CE$141,_xlfn.AGGREGATE(15,6,(ROW(N_Bedarf!$CE$2:$CE$141)-1)/(--(SEARCH(EC$2,N_Bedarf!$CE$2:$CE$141)&gt;0)),ROW()-2),1),"")</f>
        <v>Erdbeere</v>
      </c>
      <c r="EC60" s="2356"/>
      <c r="ED60"/>
      <c r="EE60"/>
      <c r="EF60"/>
      <c r="EG60"/>
      <c r="EH60"/>
      <c r="EI60"/>
      <c r="EJ60"/>
      <c r="EK60"/>
      <c r="EL60"/>
      <c r="EM60"/>
      <c r="EN60"/>
      <c r="EO60"/>
      <c r="EP60"/>
      <c r="EQ60"/>
      <c r="ER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row>
    <row r="61" spans="1:291" ht="27" customHeight="1" thickTop="1" thickBot="1">
      <c r="A61" s="156"/>
      <c r="B61" s="156"/>
      <c r="C61" s="2523"/>
      <c r="D61" s="2523"/>
      <c r="E61" s="916"/>
      <c r="F61" s="917"/>
      <c r="G61" s="1571" t="str">
        <f t="shared" si="26"/>
        <v/>
      </c>
      <c r="H61" s="2296"/>
      <c r="I61" s="914">
        <f>IFERROR(IF(AND(ISNA(AS61),ISBLANK(C61)),0,IF(AND(ISNA(AS61),ISBLANK(H61)),0,IF(AND(ISNA(AS59),H59&gt;0),H59,IF(AND(AS61&gt;0,H61&lt;AS61),AS61,AS61)))),"")</f>
        <v>0</v>
      </c>
      <c r="J61" s="2297">
        <f t="shared" si="27"/>
        <v>0</v>
      </c>
      <c r="K61" s="2296"/>
      <c r="L61" s="915">
        <f t="shared" si="28"/>
        <v>0</v>
      </c>
      <c r="M61" s="2300">
        <f t="shared" si="29"/>
        <v>0</v>
      </c>
      <c r="N61" s="2550"/>
      <c r="O61" s="2550"/>
      <c r="P61" s="2550"/>
      <c r="Q61" s="2550"/>
      <c r="R61" s="2550"/>
      <c r="S61" s="2550"/>
      <c r="AO61" s="156"/>
      <c r="AP61" s="1568" t="str">
        <f t="shared" si="30"/>
        <v/>
      </c>
      <c r="AQ61" s="472">
        <f t="shared" si="31"/>
        <v>0</v>
      </c>
      <c r="AR61" s="472"/>
      <c r="AS61" s="472">
        <f t="shared" si="32"/>
        <v>0</v>
      </c>
      <c r="AT61" s="472">
        <f t="shared" si="33"/>
        <v>0</v>
      </c>
      <c r="AU61" s="472">
        <f t="shared" si="34"/>
        <v>0</v>
      </c>
      <c r="AV61" s="1021"/>
      <c r="AW61" s="1426"/>
      <c r="AX61" s="1722" t="s">
        <v>1818</v>
      </c>
      <c r="AY61" s="681">
        <v>100</v>
      </c>
      <c r="AZ61" s="681">
        <v>85</v>
      </c>
      <c r="BA61" s="681" t="s">
        <v>2562</v>
      </c>
      <c r="BB61" s="681">
        <v>100</v>
      </c>
      <c r="BC61" s="681">
        <v>85</v>
      </c>
      <c r="BD61" s="681" t="s">
        <v>2713</v>
      </c>
      <c r="BE61" s="681">
        <v>100</v>
      </c>
      <c r="BF61" s="681">
        <v>85</v>
      </c>
      <c r="BG61" s="681" t="s">
        <v>2569</v>
      </c>
      <c r="BH61" s="681">
        <v>100</v>
      </c>
      <c r="BI61" s="681">
        <v>85</v>
      </c>
      <c r="BJ61" s="681" t="s">
        <v>2566</v>
      </c>
      <c r="BK61" s="681">
        <v>100</v>
      </c>
      <c r="BL61" s="681">
        <v>85</v>
      </c>
      <c r="BM61" s="681" t="s">
        <v>2567</v>
      </c>
      <c r="BN61" s="471" t="s">
        <v>1764</v>
      </c>
      <c r="BO61" s="821" t="s">
        <v>1764</v>
      </c>
      <c r="BP61"/>
      <c r="BQ61" s="1722" t="s">
        <v>1818</v>
      </c>
      <c r="BR61" s="470">
        <v>50</v>
      </c>
      <c r="BS61" s="470">
        <v>55</v>
      </c>
      <c r="BT61" s="470">
        <v>65</v>
      </c>
      <c r="BU61" s="426"/>
      <c r="BV61" s="1722" t="s">
        <v>1818</v>
      </c>
      <c r="BW61" s="470">
        <v>225</v>
      </c>
      <c r="BX61" s="470">
        <v>250</v>
      </c>
      <c r="BY61" s="470">
        <v>290</v>
      </c>
      <c r="CA61" s="822"/>
      <c r="CB61"/>
      <c r="CC61"/>
      <c r="CD61"/>
      <c r="CE61" s="2310" t="s">
        <v>1700</v>
      </c>
      <c r="CF61" s="1834" t="str">
        <f>IFERROR(INDEX(N_Bedarf!$CE$2:$CE$141,_xlfn.AGGREGATE(15,6,(ROW(N_Bedarf!$CE$2:$CE$141)-1)/(--(SEARCH(CG$2,N_Bedarf!$CE$2:$CE$141)&gt;0)),ROW()-2),1),"")</f>
        <v>Futter-Zwischenfrucht (&lt; 60% Legum.)</v>
      </c>
      <c r="CG61" s="1830"/>
      <c r="CH61" s="1834" t="str">
        <f>IFERROR(INDEX(N_Bedarf!$CE$2:$CE$141,_xlfn.AGGREGATE(15,6,(ROW(N_Bedarf!$CE$2:$CE$141)-1)/(--(SEARCH(CI$2,N_Bedarf!$CE$2:$CE$141)&gt;0)),ROW()-2),1),"")</f>
        <v>Futter-Zwischenfrucht (&lt; 60% Legum.)</v>
      </c>
      <c r="CI61" s="1830"/>
      <c r="CJ61" s="1834" t="str">
        <f>IFERROR(INDEX(N_Bedarf!$CE$2:$CE$141,_xlfn.AGGREGATE(15,6,(ROW(N_Bedarf!$CE$2:$CE$141)-1)/(--(SEARCH(CK$2,N_Bedarf!$CE$2:$CE$141)&gt;0)),ROW()-2),1),"")</f>
        <v>Futter-Zwischenfrucht (&lt; 60% Legum.)</v>
      </c>
      <c r="CK61" s="1830"/>
      <c r="CL61" s="1834" t="str">
        <f>IFERROR(INDEX(N_Bedarf!$CE$2:$CE$141,_xlfn.AGGREGATE(15,6,(ROW(N_Bedarf!$CE$2:$CE$141)-1)/(--(SEARCH(CM$2,N_Bedarf!$CE$2:$CE$141)&gt;0)),ROW()-2),1),"")</f>
        <v>Futter-Zwischenfrucht (&lt; 60% Legum.)</v>
      </c>
      <c r="CM61" s="1830"/>
      <c r="CN61" s="1834" t="str">
        <f>IFERROR(INDEX(N_Bedarf!$CE$2:$CE$141,_xlfn.AGGREGATE(15,6,(ROW(N_Bedarf!$CE$2:$CE$141)-1)/(--(SEARCH(CO$2,N_Bedarf!$CE$2:$CE$141)&gt;0)),ROW()-2),1),"")</f>
        <v>Futter-Zwischenfrucht (&lt; 60% Legum.)</v>
      </c>
      <c r="CO61" s="1830"/>
      <c r="CP61" s="1834" t="str">
        <f>IFERROR(INDEX(N_Bedarf!$CE$2:$CE$141,_xlfn.AGGREGATE(15,6,(ROW(N_Bedarf!$CE$2:$CE$141)-1)/(--(SEARCH(CQ$2,N_Bedarf!$CE$2:$CE$141)&gt;0)),ROW()-2),1),"")</f>
        <v>Futter-Zwischenfrucht (&lt; 60% Legum.)</v>
      </c>
      <c r="CQ61" s="1830"/>
      <c r="CR61" s="1834" t="str">
        <f>IFERROR(INDEX(N_Bedarf!$CE$2:$CE$141,_xlfn.AGGREGATE(15,6,(ROW(N_Bedarf!$CE$2:$CE$141)-1)/(--(SEARCH(CS$2,N_Bedarf!$CE$2:$CE$141)&gt;0)),ROW()-2),1),"")</f>
        <v>Futter-Zwischenfrucht (&lt; 60% Legum.)</v>
      </c>
      <c r="CS61" s="1830"/>
      <c r="CT61" s="1834" t="str">
        <f>IFERROR(INDEX(N_Bedarf!$CE$2:$CE$141,_xlfn.AGGREGATE(15,6,(ROW(N_Bedarf!$CE$2:$CE$141)-1)/(--(SEARCH(CU$2,N_Bedarf!$CE$2:$CE$141)&gt;0)),ROW()-2),1),"")</f>
        <v>Futter-Zwischenfrucht (&lt; 60% Legum.)</v>
      </c>
      <c r="CU61" s="1830"/>
      <c r="CV61" s="1834" t="str">
        <f>IFERROR(INDEX(N_Bedarf!$CE$2:$CE$141,_xlfn.AGGREGATE(15,6,(ROW(N_Bedarf!$CE$2:$CE$141)-1)/(--(SEARCH(CW$2,N_Bedarf!$CE$2:$CE$141)&gt;0)),ROW()-2),1),"")</f>
        <v>Futter-Zwischenfrucht (&lt; 60% Legum.)</v>
      </c>
      <c r="CW61" s="1830"/>
      <c r="CX61" s="1834" t="str">
        <f>IFERROR(INDEX(N_Bedarf!$CE$2:$CE$141,_xlfn.AGGREGATE(15,6,(ROW(N_Bedarf!$CE$2:$CE$141)-1)/(--(SEARCH(CY$2,N_Bedarf!$CE$2:$CE$141)&gt;0)),ROW()-2),1),"")</f>
        <v>Futter-Zwischenfrucht (&lt; 60% Legum.)</v>
      </c>
      <c r="CY61" s="1830"/>
      <c r="CZ61" s="1834" t="str">
        <f>IFERROR(INDEX(N_Bedarf!$CE$2:$CE$141,_xlfn.AGGREGATE(15,6,(ROW(N_Bedarf!$CE$2:$CE$141)-1)/(--(SEARCH(DA$2,N_Bedarf!$CE$2:$CE$141)&gt;0)),ROW()-2),1),"")</f>
        <v>Futter-Zwischenfrucht (&lt; 60% Legum.)</v>
      </c>
      <c r="DA61" s="1830"/>
      <c r="DB61" s="1834" t="str">
        <f>IFERROR(INDEX(N_Bedarf!$CE$2:$CE$141,_xlfn.AGGREGATE(15,6,(ROW(N_Bedarf!$CE$2:$CE$141)-1)/(--(SEARCH(DC$2,N_Bedarf!$CE$2:$CE$141)&gt;0)),ROW()-2),1),"")</f>
        <v>Futter-Zwischenfrucht (&lt; 60% Legum.)</v>
      </c>
      <c r="DC61" s="1830"/>
      <c r="DD61" s="1834" t="str">
        <f>IFERROR(INDEX(N_Bedarf!$CE$2:$CE$141,_xlfn.AGGREGATE(15,6,(ROW(N_Bedarf!$CE$2:$CE$141)-1)/(--(SEARCH(DE$2,N_Bedarf!$CE$2:$CE$141)&gt;0)),ROW()-2),1),"")</f>
        <v>Futter-Zwischenfrucht (&lt; 60% Legum.)</v>
      </c>
      <c r="DE61" s="1830"/>
      <c r="DF61" s="2353" t="str">
        <f t="array" ref="DF61">IFERROR(INDEX(N_Bedarf!$CE$2:$CE$141,_xlfn.AGGREGATE(15,6,(ROW(N_Bedarf!$CE$2:$CE$141)-1)/(--(SEARCH(DG$2,N_Bedarf!$CE$2:$CE$141)&gt;0)),ROW()-2),1),"")</f>
        <v>Futter-Zwischenfrucht (&lt; 60% Legum.)</v>
      </c>
      <c r="DG61" s="2353"/>
      <c r="DH61" s="2355" t="str">
        <f t="array" ref="DH61">IFERROR(INDEX(N_Bedarf!$CE$2:$CE$141,_xlfn.AGGREGATE(15,6,(ROW(N_Bedarf!$CE$2:$CE$141)-1)/(--(SEARCH(DI$2,N_Bedarf!$CE$2:$CE$141)&gt;0)),ROW()-2),1),"")</f>
        <v>Futter-Zwischenfrucht (&lt; 60% Legum.)</v>
      </c>
      <c r="DI61" s="2355"/>
      <c r="DJ61" s="2356" t="str">
        <f t="array" ref="DJ61">IFERROR(INDEX(N_Bedarf!$CE$2:$CE$141,_xlfn.AGGREGATE(15,6,(ROW(N_Bedarf!$CE$2:$CE$141)-1)/(--(SEARCH(DK$2,N_Bedarf!$CE$2:$CE$141)&gt;0)),ROW()-2),1),"")</f>
        <v>Futter-Zwischenfrucht (&lt; 60% Legum.)</v>
      </c>
      <c r="DK61" s="2356"/>
      <c r="DL61" s="2356" t="str">
        <f t="array" ref="DL61">IFERROR(INDEX(N_Bedarf!$CE$2:$CE$141,_xlfn.AGGREGATE(15,6,(ROW(N_Bedarf!$CE$2:$CE$141)-1)/(--(SEARCH(DM$2,N_Bedarf!$CE$2:$CE$141)&gt;0)),ROW()-2),1),"")</f>
        <v>Futter-Zwischenfrucht (&lt; 60% Legum.)</v>
      </c>
      <c r="DM61" s="2356"/>
      <c r="DN61" s="2356" t="str">
        <f t="array" ref="DN61">IFERROR(INDEX(N_Bedarf!$CE$2:$CE$141,_xlfn.AGGREGATE(15,6,(ROW(N_Bedarf!$CE$2:$CE$141)-1)/(--(SEARCH(DO$2,N_Bedarf!$CE$2:$CE$141)&gt;0)),ROW()-2),1),"")</f>
        <v>Futter-Zwischenfrucht (&lt; 60% Legum.)</v>
      </c>
      <c r="DO61" s="2356"/>
      <c r="DP61" s="2356" t="str">
        <f t="array" ref="DP61">IFERROR(INDEX(N_Bedarf!$CE$2:$CE$141,_xlfn.AGGREGATE(15,6,(ROW(N_Bedarf!$CE$2:$CE$141)-1)/(--(SEARCH(DQ$2,N_Bedarf!$CE$2:$CE$141)&gt;0)),ROW()-2),1),"")</f>
        <v>Futter-Zwischenfrucht (&lt; 60% Legum.)</v>
      </c>
      <c r="DQ61" s="2356"/>
      <c r="DR61" s="2356" t="str">
        <f t="array" ref="DR61">IFERROR(INDEX(N_Bedarf!$CE$2:$CE$141,_xlfn.AGGREGATE(15,6,(ROW(N_Bedarf!$CE$2:$CE$141)-1)/(--(SEARCH(DS$2,N_Bedarf!$CE$2:$CE$141)&gt;0)),ROW()-2),1),"")</f>
        <v>Futter-Zwischenfrucht (&lt; 60% Legum.)</v>
      </c>
      <c r="DS61" s="2356"/>
      <c r="DT61" s="2356" t="str">
        <f t="array" ref="DT61">IFERROR(INDEX(N_Bedarf!$CE$2:$CE$141,_xlfn.AGGREGATE(15,6,(ROW(N_Bedarf!$CE$2:$CE$141)-1)/(--(SEARCH(DU$2,N_Bedarf!$CE$2:$CE$141)&gt;0)),ROW()-2),1),"")</f>
        <v>Futter-Zwischenfrucht (&lt; 60% Legum.)</v>
      </c>
      <c r="DU61" s="2356"/>
      <c r="DV61" s="2356" t="str">
        <f t="array" ref="DV61">IFERROR(INDEX(N_Bedarf!$CE$2:$CE$141,_xlfn.AGGREGATE(15,6,(ROW(N_Bedarf!$CE$2:$CE$141)-1)/(--(SEARCH(DW$2,N_Bedarf!$CE$2:$CE$141)&gt;0)),ROW()-2),1),"")</f>
        <v>Futter-Zwischenfrucht (&lt; 60% Legum.)</v>
      </c>
      <c r="DW61" s="2356"/>
      <c r="DX61" s="2356" t="str">
        <f t="array" ref="DX61">IFERROR(INDEX(N_Bedarf!$CE$2:$CE$141,_xlfn.AGGREGATE(15,6,(ROW(N_Bedarf!$CE$2:$CE$141)-1)/(--(SEARCH(DY$2,N_Bedarf!$CE$2:$CE$141)&gt;0)),ROW()-2),1),"")</f>
        <v>Futter-Zwischenfrucht (&lt; 60% Legum.)</v>
      </c>
      <c r="DY61" s="2356"/>
      <c r="DZ61" s="2356" t="str">
        <f t="array" ref="DZ61">IFERROR(INDEX(N_Bedarf!$CE$2:$CE$141,_xlfn.AGGREGATE(15,6,(ROW(N_Bedarf!$CE$2:$CE$141)-1)/(--(SEARCH(EA$2,N_Bedarf!$CE$2:$CE$141)&gt;0)),ROW()-2),1),"")</f>
        <v>Futter-Zwischenfrucht (&lt; 60% Legum.)</v>
      </c>
      <c r="EA61" s="2356"/>
      <c r="EB61" s="2356" t="str">
        <f t="array" ref="EB61">IFERROR(INDEX(N_Bedarf!$CE$2:$CE$141,_xlfn.AGGREGATE(15,6,(ROW(N_Bedarf!$CE$2:$CE$141)-1)/(--(SEARCH(EC$2,N_Bedarf!$CE$2:$CE$141)&gt;0)),ROW()-2),1),"")</f>
        <v>Futter-Zwischenfrucht (&lt; 60% Legum.)</v>
      </c>
      <c r="EC61" s="2356"/>
      <c r="ED61"/>
      <c r="EE61"/>
      <c r="EF61"/>
      <c r="EG61"/>
      <c r="EH61"/>
      <c r="EI61"/>
      <c r="EJ61"/>
      <c r="EK61"/>
      <c r="EL61"/>
      <c r="EM61"/>
      <c r="EN61"/>
      <c r="EO61"/>
      <c r="EP61"/>
      <c r="EQ61"/>
      <c r="ER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row>
    <row r="62" spans="1:291" ht="27" customHeight="1" thickTop="1" thickBot="1">
      <c r="A62" s="156"/>
      <c r="B62" s="156"/>
      <c r="C62" s="2620"/>
      <c r="D62" s="2620"/>
      <c r="E62" s="916"/>
      <c r="F62" s="917"/>
      <c r="G62" s="1571" t="str">
        <f t="shared" si="26"/>
        <v/>
      </c>
      <c r="H62" s="2296"/>
      <c r="I62" s="914">
        <f>IFERROR(IF(AND(ISNA(AS62),ISBLANK(C62)),0,IF(AND(ISNA(AS62),ISBLANK(H62)),0,IF(AND(ISNA(AS60),H60&gt;0),H60,IF(AND(AS62&gt;0,H62&lt;AS62),AS62,AS62)))),"")</f>
        <v>0</v>
      </c>
      <c r="J62" s="2297">
        <f t="shared" si="27"/>
        <v>0</v>
      </c>
      <c r="K62" s="2296"/>
      <c r="L62" s="915">
        <f t="shared" si="28"/>
        <v>0</v>
      </c>
      <c r="M62" s="2300">
        <f t="shared" si="29"/>
        <v>0</v>
      </c>
      <c r="N62" s="2550"/>
      <c r="O62" s="2550"/>
      <c r="P62" s="2550"/>
      <c r="Q62" s="2550"/>
      <c r="R62" s="2550"/>
      <c r="S62" s="2550"/>
      <c r="AO62" s="156"/>
      <c r="AP62" s="1568" t="str">
        <f t="shared" si="30"/>
        <v/>
      </c>
      <c r="AQ62" s="472">
        <f t="shared" si="31"/>
        <v>0</v>
      </c>
      <c r="AR62" s="472"/>
      <c r="AS62" s="472">
        <f t="shared" si="32"/>
        <v>0</v>
      </c>
      <c r="AT62" s="472">
        <f t="shared" si="33"/>
        <v>0</v>
      </c>
      <c r="AU62" s="472">
        <f t="shared" si="34"/>
        <v>0</v>
      </c>
      <c r="AV62" s="1021"/>
      <c r="AW62" s="1021"/>
      <c r="AX62" s="1722" t="s">
        <v>1695</v>
      </c>
      <c r="AY62" s="681">
        <v>100</v>
      </c>
      <c r="AZ62" s="681">
        <v>85</v>
      </c>
      <c r="BA62" s="681" t="s">
        <v>2688</v>
      </c>
      <c r="BB62" s="681">
        <v>100</v>
      </c>
      <c r="BC62" s="681">
        <v>85</v>
      </c>
      <c r="BD62" s="681" t="s">
        <v>2714</v>
      </c>
      <c r="BE62" s="681">
        <v>120</v>
      </c>
      <c r="BF62" s="681">
        <v>100</v>
      </c>
      <c r="BG62" s="681" t="s">
        <v>2731</v>
      </c>
      <c r="BH62" s="681">
        <v>120</v>
      </c>
      <c r="BI62" s="681">
        <v>100</v>
      </c>
      <c r="BJ62" s="681" t="s">
        <v>2731</v>
      </c>
      <c r="BK62" s="681">
        <v>120</v>
      </c>
      <c r="BL62" s="681">
        <v>100</v>
      </c>
      <c r="BM62" s="681" t="s">
        <v>2731</v>
      </c>
      <c r="BN62" s="471" t="s">
        <v>1764</v>
      </c>
      <c r="BO62" s="821" t="s">
        <v>1764</v>
      </c>
      <c r="BP62"/>
      <c r="BQ62" s="1722" t="s">
        <v>1695</v>
      </c>
      <c r="BR62" s="470">
        <v>35</v>
      </c>
      <c r="BS62" s="470">
        <v>35</v>
      </c>
      <c r="BT62" s="470">
        <v>45</v>
      </c>
      <c r="BU62" s="426"/>
      <c r="BV62" s="1722" t="s">
        <v>1695</v>
      </c>
      <c r="BW62" s="470">
        <v>130</v>
      </c>
      <c r="BX62" s="470">
        <v>130</v>
      </c>
      <c r="BY62" s="470">
        <v>170</v>
      </c>
      <c r="CA62" s="822"/>
      <c r="CB62"/>
      <c r="CC62"/>
      <c r="CD62"/>
      <c r="CE62" s="2310" t="s">
        <v>1295</v>
      </c>
      <c r="CF62" s="1834" t="str">
        <f>IFERROR(INDEX(N_Bedarf!$CE$2:$CE$141,_xlfn.AGGREGATE(15,6,(ROW(N_Bedarf!$CE$2:$CE$141)-1)/(--(SEARCH(CG$2,N_Bedarf!$CE$2:$CE$141)&gt;0)),ROW()-2),1),"")</f>
        <v>Futter-Zwischenfrucht (&gt; 60% Legum.)</v>
      </c>
      <c r="CG62" s="1836"/>
      <c r="CH62" s="1834" t="str">
        <f>IFERROR(INDEX(N_Bedarf!$CE$2:$CE$141,_xlfn.AGGREGATE(15,6,(ROW(N_Bedarf!$CE$2:$CE$141)-1)/(--(SEARCH(CI$2,N_Bedarf!$CE$2:$CE$141)&gt;0)),ROW()-2),1),"")</f>
        <v>Futter-Zwischenfrucht (&gt; 60% Legum.)</v>
      </c>
      <c r="CI62" s="1836"/>
      <c r="CJ62" s="1834" t="str">
        <f>IFERROR(INDEX(N_Bedarf!$CE$2:$CE$141,_xlfn.AGGREGATE(15,6,(ROW(N_Bedarf!$CE$2:$CE$141)-1)/(--(SEARCH(CK$2,N_Bedarf!$CE$2:$CE$141)&gt;0)),ROW()-2),1),"")</f>
        <v>Futter-Zwischenfrucht (&gt; 60% Legum.)</v>
      </c>
      <c r="CK62" s="1836"/>
      <c r="CL62" s="1834" t="str">
        <f>IFERROR(INDEX(N_Bedarf!$CE$2:$CE$141,_xlfn.AGGREGATE(15,6,(ROW(N_Bedarf!$CE$2:$CE$141)-1)/(--(SEARCH(CM$2,N_Bedarf!$CE$2:$CE$141)&gt;0)),ROW()-2),1),"")</f>
        <v>Futter-Zwischenfrucht (&gt; 60% Legum.)</v>
      </c>
      <c r="CM62" s="1836"/>
      <c r="CN62" s="1834" t="str">
        <f>IFERROR(INDEX(N_Bedarf!$CE$2:$CE$141,_xlfn.AGGREGATE(15,6,(ROW(N_Bedarf!$CE$2:$CE$141)-1)/(--(SEARCH(CO$2,N_Bedarf!$CE$2:$CE$141)&gt;0)),ROW()-2),1),"")</f>
        <v>Futter-Zwischenfrucht (&gt; 60% Legum.)</v>
      </c>
      <c r="CO62" s="1836"/>
      <c r="CP62" s="1834" t="str">
        <f>IFERROR(INDEX(N_Bedarf!$CE$2:$CE$141,_xlfn.AGGREGATE(15,6,(ROW(N_Bedarf!$CE$2:$CE$141)-1)/(--(SEARCH(CQ$2,N_Bedarf!$CE$2:$CE$141)&gt;0)),ROW()-2),1),"")</f>
        <v>Futter-Zwischenfrucht (&gt; 60% Legum.)</v>
      </c>
      <c r="CQ62" s="1836"/>
      <c r="CR62" s="1834" t="str">
        <f>IFERROR(INDEX(N_Bedarf!$CE$2:$CE$141,_xlfn.AGGREGATE(15,6,(ROW(N_Bedarf!$CE$2:$CE$141)-1)/(--(SEARCH(CS$2,N_Bedarf!$CE$2:$CE$141)&gt;0)),ROW()-2),1),"")</f>
        <v>Futter-Zwischenfrucht (&gt; 60% Legum.)</v>
      </c>
      <c r="CS62" s="1836"/>
      <c r="CT62" s="1834" t="str">
        <f>IFERROR(INDEX(N_Bedarf!$CE$2:$CE$141,_xlfn.AGGREGATE(15,6,(ROW(N_Bedarf!$CE$2:$CE$141)-1)/(--(SEARCH(CU$2,N_Bedarf!$CE$2:$CE$141)&gt;0)),ROW()-2),1),"")</f>
        <v>Futter-Zwischenfrucht (&gt; 60% Legum.)</v>
      </c>
      <c r="CU62" s="1836"/>
      <c r="CV62" s="1834" t="str">
        <f>IFERROR(INDEX(N_Bedarf!$CE$2:$CE$141,_xlfn.AGGREGATE(15,6,(ROW(N_Bedarf!$CE$2:$CE$141)-1)/(--(SEARCH(CW$2,N_Bedarf!$CE$2:$CE$141)&gt;0)),ROW()-2),1),"")</f>
        <v>Futter-Zwischenfrucht (&gt; 60% Legum.)</v>
      </c>
      <c r="CW62" s="1836"/>
      <c r="CX62" s="1834" t="str">
        <f>IFERROR(INDEX(N_Bedarf!$CE$2:$CE$141,_xlfn.AGGREGATE(15,6,(ROW(N_Bedarf!$CE$2:$CE$141)-1)/(--(SEARCH(CY$2,N_Bedarf!$CE$2:$CE$141)&gt;0)),ROW()-2),1),"")</f>
        <v>Futter-Zwischenfrucht (&gt; 60% Legum.)</v>
      </c>
      <c r="CY62" s="1836"/>
      <c r="CZ62" s="1834" t="str">
        <f>IFERROR(INDEX(N_Bedarf!$CE$2:$CE$141,_xlfn.AGGREGATE(15,6,(ROW(N_Bedarf!$CE$2:$CE$141)-1)/(--(SEARCH(DA$2,N_Bedarf!$CE$2:$CE$141)&gt;0)),ROW()-2),1),"")</f>
        <v>Futter-Zwischenfrucht (&gt; 60% Legum.)</v>
      </c>
      <c r="DA62" s="1836"/>
      <c r="DB62" s="1834" t="str">
        <f>IFERROR(INDEX(N_Bedarf!$CE$2:$CE$141,_xlfn.AGGREGATE(15,6,(ROW(N_Bedarf!$CE$2:$CE$141)-1)/(--(SEARCH(DC$2,N_Bedarf!$CE$2:$CE$141)&gt;0)),ROW()-2),1),"")</f>
        <v>Futter-Zwischenfrucht (&gt; 60% Legum.)</v>
      </c>
      <c r="DC62" s="1836"/>
      <c r="DD62" s="1834" t="str">
        <f>IFERROR(INDEX(N_Bedarf!$CE$2:$CE$141,_xlfn.AGGREGATE(15,6,(ROW(N_Bedarf!$CE$2:$CE$141)-1)/(--(SEARCH(DE$2,N_Bedarf!$CE$2:$CE$141)&gt;0)),ROW()-2),1),"")</f>
        <v>Futter-Zwischenfrucht (&gt; 60% Legum.)</v>
      </c>
      <c r="DE62" s="1836"/>
      <c r="DF62" s="2353" t="str">
        <f t="array" ref="DF62">IFERROR(INDEX(N_Bedarf!$CE$2:$CE$141,_xlfn.AGGREGATE(15,6,(ROW(N_Bedarf!$CE$2:$CE$141)-1)/(--(SEARCH(DG$2,N_Bedarf!$CE$2:$CE$141)&gt;0)),ROW()-2),1),"")</f>
        <v>Futter-Zwischenfrucht (&gt; 60% Legum.)</v>
      </c>
      <c r="DG62" s="2353"/>
      <c r="DH62" s="2355" t="str">
        <f t="array" ref="DH62">IFERROR(INDEX(N_Bedarf!$CE$2:$CE$141,_xlfn.AGGREGATE(15,6,(ROW(N_Bedarf!$CE$2:$CE$141)-1)/(--(SEARCH(DI$2,N_Bedarf!$CE$2:$CE$141)&gt;0)),ROW()-2),1),"")</f>
        <v>Futter-Zwischenfrucht (&gt; 60% Legum.)</v>
      </c>
      <c r="DI62" s="2355"/>
      <c r="DJ62" s="2356" t="str">
        <f t="array" ref="DJ62">IFERROR(INDEX(N_Bedarf!$CE$2:$CE$141,_xlfn.AGGREGATE(15,6,(ROW(N_Bedarf!$CE$2:$CE$141)-1)/(--(SEARCH(DK$2,N_Bedarf!$CE$2:$CE$141)&gt;0)),ROW()-2),1),"")</f>
        <v>Futter-Zwischenfrucht (&gt; 60% Legum.)</v>
      </c>
      <c r="DK62" s="2356"/>
      <c r="DL62" s="2356" t="str">
        <f t="array" ref="DL62">IFERROR(INDEX(N_Bedarf!$CE$2:$CE$141,_xlfn.AGGREGATE(15,6,(ROW(N_Bedarf!$CE$2:$CE$141)-1)/(--(SEARCH(DM$2,N_Bedarf!$CE$2:$CE$141)&gt;0)),ROW()-2),1),"")</f>
        <v>Futter-Zwischenfrucht (&gt; 60% Legum.)</v>
      </c>
      <c r="DM62" s="2356"/>
      <c r="DN62" s="2356" t="str">
        <f t="array" ref="DN62">IFERROR(INDEX(N_Bedarf!$CE$2:$CE$141,_xlfn.AGGREGATE(15,6,(ROW(N_Bedarf!$CE$2:$CE$141)-1)/(--(SEARCH(DO$2,N_Bedarf!$CE$2:$CE$141)&gt;0)),ROW()-2),1),"")</f>
        <v>Futter-Zwischenfrucht (&gt; 60% Legum.)</v>
      </c>
      <c r="DO62" s="2356"/>
      <c r="DP62" s="2356" t="str">
        <f t="array" ref="DP62">IFERROR(INDEX(N_Bedarf!$CE$2:$CE$141,_xlfn.AGGREGATE(15,6,(ROW(N_Bedarf!$CE$2:$CE$141)-1)/(--(SEARCH(DQ$2,N_Bedarf!$CE$2:$CE$141)&gt;0)),ROW()-2),1),"")</f>
        <v>Futter-Zwischenfrucht (&gt; 60% Legum.)</v>
      </c>
      <c r="DQ62" s="2356"/>
      <c r="DR62" s="2356" t="str">
        <f t="array" ref="DR62">IFERROR(INDEX(N_Bedarf!$CE$2:$CE$141,_xlfn.AGGREGATE(15,6,(ROW(N_Bedarf!$CE$2:$CE$141)-1)/(--(SEARCH(DS$2,N_Bedarf!$CE$2:$CE$141)&gt;0)),ROW()-2),1),"")</f>
        <v>Futter-Zwischenfrucht (&gt; 60% Legum.)</v>
      </c>
      <c r="DS62" s="2356"/>
      <c r="DT62" s="2356" t="str">
        <f t="array" ref="DT62">IFERROR(INDEX(N_Bedarf!$CE$2:$CE$141,_xlfn.AGGREGATE(15,6,(ROW(N_Bedarf!$CE$2:$CE$141)-1)/(--(SEARCH(DU$2,N_Bedarf!$CE$2:$CE$141)&gt;0)),ROW()-2),1),"")</f>
        <v>Futter-Zwischenfrucht (&gt; 60% Legum.)</v>
      </c>
      <c r="DU62" s="2356"/>
      <c r="DV62" s="2356" t="str">
        <f t="array" ref="DV62">IFERROR(INDEX(N_Bedarf!$CE$2:$CE$141,_xlfn.AGGREGATE(15,6,(ROW(N_Bedarf!$CE$2:$CE$141)-1)/(--(SEARCH(DW$2,N_Bedarf!$CE$2:$CE$141)&gt;0)),ROW()-2),1),"")</f>
        <v>Futter-Zwischenfrucht (&gt; 60% Legum.)</v>
      </c>
      <c r="DW62" s="2356"/>
      <c r="DX62" s="2356" t="str">
        <f t="array" ref="DX62">IFERROR(INDEX(N_Bedarf!$CE$2:$CE$141,_xlfn.AGGREGATE(15,6,(ROW(N_Bedarf!$CE$2:$CE$141)-1)/(--(SEARCH(DY$2,N_Bedarf!$CE$2:$CE$141)&gt;0)),ROW()-2),1),"")</f>
        <v>Futter-Zwischenfrucht (&gt; 60% Legum.)</v>
      </c>
      <c r="DY62" s="2356"/>
      <c r="DZ62" s="2356" t="str">
        <f t="array" ref="DZ62">IFERROR(INDEX(N_Bedarf!$CE$2:$CE$141,_xlfn.AGGREGATE(15,6,(ROW(N_Bedarf!$CE$2:$CE$141)-1)/(--(SEARCH(EA$2,N_Bedarf!$CE$2:$CE$141)&gt;0)),ROW()-2),1),"")</f>
        <v>Futter-Zwischenfrucht (&gt; 60% Legum.)</v>
      </c>
      <c r="EA62" s="2356"/>
      <c r="EB62" s="2356" t="str">
        <f t="array" ref="EB62">IFERROR(INDEX(N_Bedarf!$CE$2:$CE$141,_xlfn.AGGREGATE(15,6,(ROW(N_Bedarf!$CE$2:$CE$141)-1)/(--(SEARCH(EC$2,N_Bedarf!$CE$2:$CE$141)&gt;0)),ROW()-2),1),"")</f>
        <v>Futter-Zwischenfrucht (&gt; 60% Legum.)</v>
      </c>
      <c r="EC62" s="2356"/>
      <c r="ED62"/>
      <c r="EE62"/>
      <c r="EF62"/>
      <c r="EG62"/>
      <c r="EH62"/>
      <c r="EI62"/>
      <c r="EJ62"/>
      <c r="EK62"/>
      <c r="EL62"/>
      <c r="EM62"/>
      <c r="EN62"/>
      <c r="EO62"/>
      <c r="EP62"/>
      <c r="EQ62"/>
      <c r="ER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row>
    <row r="63" spans="1:291" ht="27" customHeight="1" thickTop="1" thickBot="1">
      <c r="A63" s="156"/>
      <c r="B63" s="156"/>
      <c r="C63" s="1260" t="s">
        <v>364</v>
      </c>
      <c r="D63" s="1261"/>
      <c r="E63" s="1262"/>
      <c r="F63" s="1263"/>
      <c r="G63" s="1263"/>
      <c r="H63" s="1263"/>
      <c r="I63" s="1264"/>
      <c r="J63" s="1123">
        <f>-S19</f>
        <v>0</v>
      </c>
      <c r="K63" s="1267"/>
      <c r="L63" s="1273" t="s">
        <v>1284</v>
      </c>
      <c r="M63" s="1167">
        <f>SUM(M5:M62)</f>
        <v>0</v>
      </c>
      <c r="N63" s="2559" t="str">
        <f>IF(AND(M66&gt;0,Mineral!I28&gt;0),"P-Mineraldünger reduzieren und eventuell den P-Bedarf genau nach Bodenversorgung und Ertragslagen eingeben!",IF(Betrieb!D18=0,"Betriebsfläche am Tabellenblatt Betrieb
 muss noch angeführt werden",""))</f>
        <v>Betriebsfläche am Tabellenblatt Betrieb
 muss noch angeführt werden</v>
      </c>
      <c r="O63" s="2560"/>
      <c r="P63" s="2560"/>
      <c r="Q63" s="2560"/>
      <c r="R63" s="2560"/>
      <c r="S63" s="2561"/>
      <c r="AO63" s="156"/>
      <c r="AP63" s="769"/>
      <c r="AQ63" s="473">
        <f>SUM(AQ5:AQ62)</f>
        <v>0</v>
      </c>
      <c r="AR63" s="185"/>
      <c r="AS63" s="185"/>
      <c r="AT63" s="185"/>
      <c r="AU63" s="185"/>
      <c r="AV63" s="185"/>
      <c r="AW63" s="185"/>
      <c r="AX63" s="1722" t="s">
        <v>1701</v>
      </c>
      <c r="AY63" s="681">
        <v>80</v>
      </c>
      <c r="AZ63" s="681">
        <v>70</v>
      </c>
      <c r="BA63" s="681" t="s">
        <v>714</v>
      </c>
      <c r="BB63" s="681">
        <v>80</v>
      </c>
      <c r="BC63" s="681">
        <v>70</v>
      </c>
      <c r="BD63" s="681" t="s">
        <v>1773</v>
      </c>
      <c r="BE63" s="681">
        <v>80</v>
      </c>
      <c r="BF63" s="681">
        <v>70</v>
      </c>
      <c r="BG63" s="681" t="s">
        <v>1773</v>
      </c>
      <c r="BH63" s="681">
        <v>80</v>
      </c>
      <c r="BI63" s="681">
        <v>70</v>
      </c>
      <c r="BJ63" s="681">
        <v>0</v>
      </c>
      <c r="BK63" s="681">
        <v>80</v>
      </c>
      <c r="BL63" s="681">
        <v>70</v>
      </c>
      <c r="BM63" s="681">
        <v>0</v>
      </c>
      <c r="BN63" s="471" t="s">
        <v>1764</v>
      </c>
      <c r="BO63" s="821" t="s">
        <v>1764</v>
      </c>
      <c r="BP63"/>
      <c r="BQ63" s="1722" t="s">
        <v>1701</v>
      </c>
      <c r="BR63" s="470">
        <v>25</v>
      </c>
      <c r="BS63" s="470">
        <v>25</v>
      </c>
      <c r="BT63" s="470">
        <v>30</v>
      </c>
      <c r="BU63" s="426"/>
      <c r="BV63" s="1722" t="s">
        <v>1701</v>
      </c>
      <c r="BW63" s="470">
        <v>70</v>
      </c>
      <c r="BX63" s="470">
        <v>80</v>
      </c>
      <c r="BY63" s="470">
        <v>90</v>
      </c>
      <c r="CA63" s="822"/>
      <c r="CB63"/>
      <c r="CC63"/>
      <c r="CD63"/>
      <c r="CE63" s="2310" t="s">
        <v>1730</v>
      </c>
      <c r="CF63" s="1834" t="str">
        <f>IFERROR(INDEX(N_Bedarf!$CE$2:$CE$141,_xlfn.AGGREGATE(15,6,(ROW(N_Bedarf!$CE$2:$CE$141)-1)/(--(SEARCH(CG$2,N_Bedarf!$CE$2:$CE$141)&gt;0)),ROW()-2),1),"")</f>
        <v>Ölkürbis</v>
      </c>
      <c r="CG63" s="1830"/>
      <c r="CH63" s="1834" t="str">
        <f>IFERROR(INDEX(N_Bedarf!$CE$2:$CE$141,_xlfn.AGGREGATE(15,6,(ROW(N_Bedarf!$CE$2:$CE$141)-1)/(--(SEARCH(CI$2,N_Bedarf!$CE$2:$CE$141)&gt;0)),ROW()-2),1),"")</f>
        <v>Ölkürbis</v>
      </c>
      <c r="CI63" s="1830"/>
      <c r="CJ63" s="1834" t="str">
        <f>IFERROR(INDEX(N_Bedarf!$CE$2:$CE$141,_xlfn.AGGREGATE(15,6,(ROW(N_Bedarf!$CE$2:$CE$141)-1)/(--(SEARCH(CK$2,N_Bedarf!$CE$2:$CE$141)&gt;0)),ROW()-2),1),"")</f>
        <v>Ölkürbis</v>
      </c>
      <c r="CK63" s="1830"/>
      <c r="CL63" s="1834" t="str">
        <f>IFERROR(INDEX(N_Bedarf!$CE$2:$CE$141,_xlfn.AGGREGATE(15,6,(ROW(N_Bedarf!$CE$2:$CE$141)-1)/(--(SEARCH(CM$2,N_Bedarf!$CE$2:$CE$141)&gt;0)),ROW()-2),1),"")</f>
        <v>Ölkürbis</v>
      </c>
      <c r="CM63" s="1830"/>
      <c r="CN63" s="1834" t="str">
        <f>IFERROR(INDEX(N_Bedarf!$CE$2:$CE$141,_xlfn.AGGREGATE(15,6,(ROW(N_Bedarf!$CE$2:$CE$141)-1)/(--(SEARCH(CO$2,N_Bedarf!$CE$2:$CE$141)&gt;0)),ROW()-2),1),"")</f>
        <v>Ölkürbis</v>
      </c>
      <c r="CO63" s="1830"/>
      <c r="CP63" s="1834" t="str">
        <f>IFERROR(INDEX(N_Bedarf!$CE$2:$CE$141,_xlfn.AGGREGATE(15,6,(ROW(N_Bedarf!$CE$2:$CE$141)-1)/(--(SEARCH(CQ$2,N_Bedarf!$CE$2:$CE$141)&gt;0)),ROW()-2),1),"")</f>
        <v>Ölkürbis</v>
      </c>
      <c r="CQ63" s="1830"/>
      <c r="CR63" s="1834" t="str">
        <f>IFERROR(INDEX(N_Bedarf!$CE$2:$CE$141,_xlfn.AGGREGATE(15,6,(ROW(N_Bedarf!$CE$2:$CE$141)-1)/(--(SEARCH(CS$2,N_Bedarf!$CE$2:$CE$141)&gt;0)),ROW()-2),1),"")</f>
        <v>Ölkürbis</v>
      </c>
      <c r="CS63" s="1830"/>
      <c r="CT63" s="1834" t="str">
        <f>IFERROR(INDEX(N_Bedarf!$CE$2:$CE$141,_xlfn.AGGREGATE(15,6,(ROW(N_Bedarf!$CE$2:$CE$141)-1)/(--(SEARCH(CU$2,N_Bedarf!$CE$2:$CE$141)&gt;0)),ROW()-2),1),"")</f>
        <v>Ölkürbis</v>
      </c>
      <c r="CU63" s="1830"/>
      <c r="CV63" s="1834" t="str">
        <f>IFERROR(INDEX(N_Bedarf!$CE$2:$CE$141,_xlfn.AGGREGATE(15,6,(ROW(N_Bedarf!$CE$2:$CE$141)-1)/(--(SEARCH(CW$2,N_Bedarf!$CE$2:$CE$141)&gt;0)),ROW()-2),1),"")</f>
        <v>Ölkürbis</v>
      </c>
      <c r="CW63" s="1830"/>
      <c r="CX63" s="1834" t="str">
        <f>IFERROR(INDEX(N_Bedarf!$CE$2:$CE$141,_xlfn.AGGREGATE(15,6,(ROW(N_Bedarf!$CE$2:$CE$141)-1)/(--(SEARCH(CY$2,N_Bedarf!$CE$2:$CE$141)&gt;0)),ROW()-2),1),"")</f>
        <v>Ölkürbis</v>
      </c>
      <c r="CY63" s="1830"/>
      <c r="CZ63" s="1834" t="str">
        <f>IFERROR(INDEX(N_Bedarf!$CE$2:$CE$141,_xlfn.AGGREGATE(15,6,(ROW(N_Bedarf!$CE$2:$CE$141)-1)/(--(SEARCH(DA$2,N_Bedarf!$CE$2:$CE$141)&gt;0)),ROW()-2),1),"")</f>
        <v>Ölkürbis</v>
      </c>
      <c r="DA63" s="1830"/>
      <c r="DB63" s="1834" t="str">
        <f>IFERROR(INDEX(N_Bedarf!$CE$2:$CE$141,_xlfn.AGGREGATE(15,6,(ROW(N_Bedarf!$CE$2:$CE$141)-1)/(--(SEARCH(DC$2,N_Bedarf!$CE$2:$CE$141)&gt;0)),ROW()-2),1),"")</f>
        <v>Ölkürbis</v>
      </c>
      <c r="DC63" s="1830"/>
      <c r="DD63" s="1834" t="str">
        <f>IFERROR(INDEX(N_Bedarf!$CE$2:$CE$141,_xlfn.AGGREGATE(15,6,(ROW(N_Bedarf!$CE$2:$CE$141)-1)/(--(SEARCH(DE$2,N_Bedarf!$CE$2:$CE$141)&gt;0)),ROW()-2),1),"")</f>
        <v>Ölkürbis</v>
      </c>
      <c r="DE63" s="1830"/>
      <c r="DF63" s="2353" t="str">
        <f t="array" ref="DF63">IFERROR(INDEX(N_Bedarf!$CE$2:$CE$141,_xlfn.AGGREGATE(15,6,(ROW(N_Bedarf!$CE$2:$CE$141)-1)/(--(SEARCH(DG$2,N_Bedarf!$CE$2:$CE$141)&gt;0)),ROW()-2),1),"")</f>
        <v>Ölkürbis</v>
      </c>
      <c r="DG63" s="2353"/>
      <c r="DH63" s="2355" t="str">
        <f t="array" ref="DH63">IFERROR(INDEX(N_Bedarf!$CE$2:$CE$141,_xlfn.AGGREGATE(15,6,(ROW(N_Bedarf!$CE$2:$CE$141)-1)/(--(SEARCH(DI$2,N_Bedarf!$CE$2:$CE$141)&gt;0)),ROW()-2),1),"")</f>
        <v>Ölkürbis</v>
      </c>
      <c r="DI63" s="2355"/>
      <c r="DJ63" s="2356" t="str">
        <f t="array" ref="DJ63">IFERROR(INDEX(N_Bedarf!$CE$2:$CE$141,_xlfn.AGGREGATE(15,6,(ROW(N_Bedarf!$CE$2:$CE$141)-1)/(--(SEARCH(DK$2,N_Bedarf!$CE$2:$CE$141)&gt;0)),ROW()-2),1),"")</f>
        <v>Ölkürbis</v>
      </c>
      <c r="DK63" s="2356"/>
      <c r="DL63" s="2356" t="str">
        <f t="array" ref="DL63">IFERROR(INDEX(N_Bedarf!$CE$2:$CE$141,_xlfn.AGGREGATE(15,6,(ROW(N_Bedarf!$CE$2:$CE$141)-1)/(--(SEARCH(DM$2,N_Bedarf!$CE$2:$CE$141)&gt;0)),ROW()-2),1),"")</f>
        <v>Ölkürbis</v>
      </c>
      <c r="DM63" s="2356"/>
      <c r="DN63" s="2356" t="str">
        <f t="array" ref="DN63">IFERROR(INDEX(N_Bedarf!$CE$2:$CE$141,_xlfn.AGGREGATE(15,6,(ROW(N_Bedarf!$CE$2:$CE$141)-1)/(--(SEARCH(DO$2,N_Bedarf!$CE$2:$CE$141)&gt;0)),ROW()-2),1),"")</f>
        <v>Ölkürbis</v>
      </c>
      <c r="DO63" s="2356"/>
      <c r="DP63" s="2356" t="str">
        <f t="array" ref="DP63">IFERROR(INDEX(N_Bedarf!$CE$2:$CE$141,_xlfn.AGGREGATE(15,6,(ROW(N_Bedarf!$CE$2:$CE$141)-1)/(--(SEARCH(DQ$2,N_Bedarf!$CE$2:$CE$141)&gt;0)),ROW()-2),1),"")</f>
        <v>Ölkürbis</v>
      </c>
      <c r="DQ63" s="2356"/>
      <c r="DR63" s="2356" t="str">
        <f t="array" ref="DR63">IFERROR(INDEX(N_Bedarf!$CE$2:$CE$141,_xlfn.AGGREGATE(15,6,(ROW(N_Bedarf!$CE$2:$CE$141)-1)/(--(SEARCH(DS$2,N_Bedarf!$CE$2:$CE$141)&gt;0)),ROW()-2),1),"")</f>
        <v>Ölkürbis</v>
      </c>
      <c r="DS63" s="2356"/>
      <c r="DT63" s="2356" t="str">
        <f t="array" ref="DT63">IFERROR(INDEX(N_Bedarf!$CE$2:$CE$141,_xlfn.AGGREGATE(15,6,(ROW(N_Bedarf!$CE$2:$CE$141)-1)/(--(SEARCH(DU$2,N_Bedarf!$CE$2:$CE$141)&gt;0)),ROW()-2),1),"")</f>
        <v>Ölkürbis</v>
      </c>
      <c r="DU63" s="2356"/>
      <c r="DV63" s="2356" t="str">
        <f t="array" ref="DV63">IFERROR(INDEX(N_Bedarf!$CE$2:$CE$141,_xlfn.AGGREGATE(15,6,(ROW(N_Bedarf!$CE$2:$CE$141)-1)/(--(SEARCH(DW$2,N_Bedarf!$CE$2:$CE$141)&gt;0)),ROW()-2),1),"")</f>
        <v>Ölkürbis</v>
      </c>
      <c r="DW63" s="2356"/>
      <c r="DX63" s="2356" t="str">
        <f t="array" ref="DX63">IFERROR(INDEX(N_Bedarf!$CE$2:$CE$141,_xlfn.AGGREGATE(15,6,(ROW(N_Bedarf!$CE$2:$CE$141)-1)/(--(SEARCH(DY$2,N_Bedarf!$CE$2:$CE$141)&gt;0)),ROW()-2),1),"")</f>
        <v>Ölkürbis</v>
      </c>
      <c r="DY63" s="2356"/>
      <c r="DZ63" s="2356" t="str">
        <f t="array" ref="DZ63">IFERROR(INDEX(N_Bedarf!$CE$2:$CE$141,_xlfn.AGGREGATE(15,6,(ROW(N_Bedarf!$CE$2:$CE$141)-1)/(--(SEARCH(EA$2,N_Bedarf!$CE$2:$CE$141)&gt;0)),ROW()-2),1),"")</f>
        <v>Ölkürbis</v>
      </c>
      <c r="EA63" s="2356"/>
      <c r="EB63" s="2356" t="str">
        <f t="array" ref="EB63">IFERROR(INDEX(N_Bedarf!$CE$2:$CE$141,_xlfn.AGGREGATE(15,6,(ROW(N_Bedarf!$CE$2:$CE$141)-1)/(--(SEARCH(EC$2,N_Bedarf!$CE$2:$CE$141)&gt;0)),ROW()-2),1),"")</f>
        <v>Ölkürbis</v>
      </c>
      <c r="EC63" s="2356"/>
      <c r="ED63"/>
      <c r="EE63"/>
      <c r="EF63"/>
      <c r="EG63"/>
      <c r="EH63"/>
      <c r="EI63"/>
      <c r="EJ63"/>
      <c r="EK63"/>
      <c r="EL63"/>
      <c r="EM63"/>
      <c r="EN63"/>
      <c r="EO63"/>
      <c r="EP63"/>
      <c r="EQ63"/>
      <c r="ER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row>
    <row r="64" spans="1:291" ht="27" customHeight="1" thickTop="1" thickBot="1">
      <c r="A64" s="156"/>
      <c r="B64" s="156"/>
      <c r="C64" s="1260" t="s">
        <v>2895</v>
      </c>
      <c r="D64" s="1261"/>
      <c r="E64" s="1262"/>
      <c r="F64" s="2215"/>
      <c r="G64" s="2216"/>
      <c r="H64" s="1263"/>
      <c r="I64" s="1264"/>
      <c r="J64" s="2214">
        <f>SUM(Beregnung!$W$18:$W$109)*-1</f>
        <v>0</v>
      </c>
      <c r="K64" s="1267"/>
      <c r="L64" s="1273" t="s">
        <v>1287</v>
      </c>
      <c r="M64" s="1270">
        <f>Tabelle1!BI33</f>
        <v>0</v>
      </c>
      <c r="N64" s="2562"/>
      <c r="O64" s="2563"/>
      <c r="P64" s="2563"/>
      <c r="Q64" s="2563"/>
      <c r="R64" s="2563"/>
      <c r="S64" s="2564"/>
      <c r="AO64" s="156"/>
      <c r="AP64" s="768"/>
      <c r="AQ64" s="1038" t="s">
        <v>1285</v>
      </c>
      <c r="AR64" s="185"/>
      <c r="AS64" s="185"/>
      <c r="AT64" s="185"/>
      <c r="AU64" s="185"/>
      <c r="AV64" s="185"/>
      <c r="AW64" s="185"/>
      <c r="AX64" s="1722" t="s">
        <v>1700</v>
      </c>
      <c r="AY64" s="681">
        <v>40</v>
      </c>
      <c r="AZ64" s="681">
        <v>30</v>
      </c>
      <c r="BA64" s="681" t="s">
        <v>714</v>
      </c>
      <c r="BB64" s="681">
        <v>40</v>
      </c>
      <c r="BC64" s="681">
        <v>30</v>
      </c>
      <c r="BD64" s="681" t="s">
        <v>1773</v>
      </c>
      <c r="BE64" s="681">
        <v>40</v>
      </c>
      <c r="BF64" s="681">
        <v>30</v>
      </c>
      <c r="BG64" s="681" t="s">
        <v>1773</v>
      </c>
      <c r="BH64" s="681">
        <v>40</v>
      </c>
      <c r="BI64" s="681">
        <v>30</v>
      </c>
      <c r="BJ64" s="681">
        <v>0</v>
      </c>
      <c r="BK64" s="681">
        <v>40</v>
      </c>
      <c r="BL64" s="681">
        <v>30</v>
      </c>
      <c r="BM64" s="681">
        <v>0</v>
      </c>
      <c r="BN64" s="471" t="s">
        <v>1764</v>
      </c>
      <c r="BO64" s="821">
        <v>10</v>
      </c>
      <c r="BP64"/>
      <c r="BQ64" s="1722" t="s">
        <v>1700</v>
      </c>
      <c r="BR64" s="470">
        <v>25</v>
      </c>
      <c r="BS64" s="470">
        <v>25</v>
      </c>
      <c r="BT64" s="470">
        <v>30</v>
      </c>
      <c r="BU64" s="426"/>
      <c r="BV64" s="1722" t="s">
        <v>1700</v>
      </c>
      <c r="BW64" s="470">
        <v>70</v>
      </c>
      <c r="BX64" s="470">
        <v>80</v>
      </c>
      <c r="BY64" s="470">
        <v>90</v>
      </c>
      <c r="CA64" s="822"/>
      <c r="CB64"/>
      <c r="CC64"/>
      <c r="CD64"/>
      <c r="CE64" s="2310" t="s">
        <v>1714</v>
      </c>
      <c r="CF64" s="1834" t="str">
        <f>IFERROR(INDEX(N_Bedarf!$CE$2:$CE$141,_xlfn.AGGREGATE(15,6,(ROW(N_Bedarf!$CE$2:$CE$141)-1)/(--(SEARCH(CG$2,N_Bedarf!$CE$2:$CE$141)&gt;0)),ROW()-2),1),"")</f>
        <v>Winterkümmel</v>
      </c>
      <c r="CG64" s="1836"/>
      <c r="CH64" s="1834" t="str">
        <f>IFERROR(INDEX(N_Bedarf!$CE$2:$CE$141,_xlfn.AGGREGATE(15,6,(ROW(N_Bedarf!$CE$2:$CE$141)-1)/(--(SEARCH(CI$2,N_Bedarf!$CE$2:$CE$141)&gt;0)),ROW()-2),1),"")</f>
        <v>Winterkümmel</v>
      </c>
      <c r="CI64" s="1836"/>
      <c r="CJ64" s="1834" t="str">
        <f>IFERROR(INDEX(N_Bedarf!$CE$2:$CE$141,_xlfn.AGGREGATE(15,6,(ROW(N_Bedarf!$CE$2:$CE$141)-1)/(--(SEARCH(CK$2,N_Bedarf!$CE$2:$CE$141)&gt;0)),ROW()-2),1),"")</f>
        <v>Winterkümmel</v>
      </c>
      <c r="CK64" s="1836"/>
      <c r="CL64" s="1834" t="str">
        <f>IFERROR(INDEX(N_Bedarf!$CE$2:$CE$141,_xlfn.AGGREGATE(15,6,(ROW(N_Bedarf!$CE$2:$CE$141)-1)/(--(SEARCH(CM$2,N_Bedarf!$CE$2:$CE$141)&gt;0)),ROW()-2),1),"")</f>
        <v>Winterkümmel</v>
      </c>
      <c r="CM64" s="1836"/>
      <c r="CN64" s="1834" t="str">
        <f>IFERROR(INDEX(N_Bedarf!$CE$2:$CE$141,_xlfn.AGGREGATE(15,6,(ROW(N_Bedarf!$CE$2:$CE$141)-1)/(--(SEARCH(CO$2,N_Bedarf!$CE$2:$CE$141)&gt;0)),ROW()-2),1),"")</f>
        <v>Winterkümmel</v>
      </c>
      <c r="CO64" s="1836"/>
      <c r="CP64" s="1834" t="str">
        <f>IFERROR(INDEX(N_Bedarf!$CE$2:$CE$141,_xlfn.AGGREGATE(15,6,(ROW(N_Bedarf!$CE$2:$CE$141)-1)/(--(SEARCH(CQ$2,N_Bedarf!$CE$2:$CE$141)&gt;0)),ROW()-2),1),"")</f>
        <v>Winterkümmel</v>
      </c>
      <c r="CQ64" s="1836"/>
      <c r="CR64" s="1834" t="str">
        <f>IFERROR(INDEX(N_Bedarf!$CE$2:$CE$141,_xlfn.AGGREGATE(15,6,(ROW(N_Bedarf!$CE$2:$CE$141)-1)/(--(SEARCH(CS$2,N_Bedarf!$CE$2:$CE$141)&gt;0)),ROW()-2),1),"")</f>
        <v>Winterkümmel</v>
      </c>
      <c r="CS64" s="1836"/>
      <c r="CT64" s="1834" t="str">
        <f>IFERROR(INDEX(N_Bedarf!$CE$2:$CE$141,_xlfn.AGGREGATE(15,6,(ROW(N_Bedarf!$CE$2:$CE$141)-1)/(--(SEARCH(CU$2,N_Bedarf!$CE$2:$CE$141)&gt;0)),ROW()-2),1),"")</f>
        <v>Winterkümmel</v>
      </c>
      <c r="CU64" s="1836"/>
      <c r="CV64" s="1834" t="str">
        <f>IFERROR(INDEX(N_Bedarf!$CE$2:$CE$141,_xlfn.AGGREGATE(15,6,(ROW(N_Bedarf!$CE$2:$CE$141)-1)/(--(SEARCH(CW$2,N_Bedarf!$CE$2:$CE$141)&gt;0)),ROW()-2),1),"")</f>
        <v>Winterkümmel</v>
      </c>
      <c r="CW64" s="1836"/>
      <c r="CX64" s="1834" t="str">
        <f>IFERROR(INDEX(N_Bedarf!$CE$2:$CE$141,_xlfn.AGGREGATE(15,6,(ROW(N_Bedarf!$CE$2:$CE$141)-1)/(--(SEARCH(CY$2,N_Bedarf!$CE$2:$CE$141)&gt;0)),ROW()-2),1),"")</f>
        <v>Winterkümmel</v>
      </c>
      <c r="CY64" s="1836"/>
      <c r="CZ64" s="1834" t="str">
        <f>IFERROR(INDEX(N_Bedarf!$CE$2:$CE$141,_xlfn.AGGREGATE(15,6,(ROW(N_Bedarf!$CE$2:$CE$141)-1)/(--(SEARCH(DA$2,N_Bedarf!$CE$2:$CE$141)&gt;0)),ROW()-2),1),"")</f>
        <v>Winterkümmel</v>
      </c>
      <c r="DA64" s="1836"/>
      <c r="DB64" s="1834" t="str">
        <f>IFERROR(INDEX(N_Bedarf!$CE$2:$CE$141,_xlfn.AGGREGATE(15,6,(ROW(N_Bedarf!$CE$2:$CE$141)-1)/(--(SEARCH(DC$2,N_Bedarf!$CE$2:$CE$141)&gt;0)),ROW()-2),1),"")</f>
        <v>Winterkümmel</v>
      </c>
      <c r="DC64" s="1836"/>
      <c r="DD64" s="1834" t="str">
        <f>IFERROR(INDEX(N_Bedarf!$CE$2:$CE$141,_xlfn.AGGREGATE(15,6,(ROW(N_Bedarf!$CE$2:$CE$141)-1)/(--(SEARCH(DE$2,N_Bedarf!$CE$2:$CE$141)&gt;0)),ROW()-2),1),"")</f>
        <v>Winterkümmel</v>
      </c>
      <c r="DE64" s="1836"/>
      <c r="DF64" s="2353" t="str">
        <f t="array" ref="DF64">IFERROR(INDEX(N_Bedarf!$CE$2:$CE$141,_xlfn.AGGREGATE(15,6,(ROW(N_Bedarf!$CE$2:$CE$141)-1)/(--(SEARCH(DG$2,N_Bedarf!$CE$2:$CE$141)&gt;0)),ROW()-2),1),"")</f>
        <v>Winterkümmel</v>
      </c>
      <c r="DG64" s="2353"/>
      <c r="DH64" s="2355" t="str">
        <f t="array" ref="DH64">IFERROR(INDEX(N_Bedarf!$CE$2:$CE$141,_xlfn.AGGREGATE(15,6,(ROW(N_Bedarf!$CE$2:$CE$141)-1)/(--(SEARCH(DI$2,N_Bedarf!$CE$2:$CE$141)&gt;0)),ROW()-2),1),"")</f>
        <v>Winterkümmel</v>
      </c>
      <c r="DI64" s="2355"/>
      <c r="DJ64" s="2356" t="str">
        <f t="array" ref="DJ64">IFERROR(INDEX(N_Bedarf!$CE$2:$CE$141,_xlfn.AGGREGATE(15,6,(ROW(N_Bedarf!$CE$2:$CE$141)-1)/(--(SEARCH(DK$2,N_Bedarf!$CE$2:$CE$141)&gt;0)),ROW()-2),1),"")</f>
        <v>Winterkümmel</v>
      </c>
      <c r="DK64" s="2356"/>
      <c r="DL64" s="2356" t="str">
        <f t="array" ref="DL64">IFERROR(INDEX(N_Bedarf!$CE$2:$CE$141,_xlfn.AGGREGATE(15,6,(ROW(N_Bedarf!$CE$2:$CE$141)-1)/(--(SEARCH(DM$2,N_Bedarf!$CE$2:$CE$141)&gt;0)),ROW()-2),1),"")</f>
        <v>Winterkümmel</v>
      </c>
      <c r="DM64" s="2356"/>
      <c r="DN64" s="2356" t="str">
        <f t="array" ref="DN64">IFERROR(INDEX(N_Bedarf!$CE$2:$CE$141,_xlfn.AGGREGATE(15,6,(ROW(N_Bedarf!$CE$2:$CE$141)-1)/(--(SEARCH(DO$2,N_Bedarf!$CE$2:$CE$141)&gt;0)),ROW()-2),1),"")</f>
        <v>Winterkümmel</v>
      </c>
      <c r="DO64" s="2356"/>
      <c r="DP64" s="2356" t="str">
        <f t="array" ref="DP64">IFERROR(INDEX(N_Bedarf!$CE$2:$CE$141,_xlfn.AGGREGATE(15,6,(ROW(N_Bedarf!$CE$2:$CE$141)-1)/(--(SEARCH(DQ$2,N_Bedarf!$CE$2:$CE$141)&gt;0)),ROW()-2),1),"")</f>
        <v>Winterkümmel</v>
      </c>
      <c r="DQ64" s="2356"/>
      <c r="DR64" s="2356" t="str">
        <f t="array" ref="DR64">IFERROR(INDEX(N_Bedarf!$CE$2:$CE$141,_xlfn.AGGREGATE(15,6,(ROW(N_Bedarf!$CE$2:$CE$141)-1)/(--(SEARCH(DS$2,N_Bedarf!$CE$2:$CE$141)&gt;0)),ROW()-2),1),"")</f>
        <v>Winterkümmel</v>
      </c>
      <c r="DS64" s="2356"/>
      <c r="DT64" s="2356" t="str">
        <f t="array" ref="DT64">IFERROR(INDEX(N_Bedarf!$CE$2:$CE$141,_xlfn.AGGREGATE(15,6,(ROW(N_Bedarf!$CE$2:$CE$141)-1)/(--(SEARCH(DU$2,N_Bedarf!$CE$2:$CE$141)&gt;0)),ROW()-2),1),"")</f>
        <v>Winterkümmel</v>
      </c>
      <c r="DU64" s="2356"/>
      <c r="DV64" s="2356" t="str">
        <f t="array" ref="DV64">IFERROR(INDEX(N_Bedarf!$CE$2:$CE$141,_xlfn.AGGREGATE(15,6,(ROW(N_Bedarf!$CE$2:$CE$141)-1)/(--(SEARCH(DW$2,N_Bedarf!$CE$2:$CE$141)&gt;0)),ROW()-2),1),"")</f>
        <v>Winterkümmel</v>
      </c>
      <c r="DW64" s="2356"/>
      <c r="DX64" s="2356" t="str">
        <f t="array" ref="DX64">IFERROR(INDEX(N_Bedarf!$CE$2:$CE$141,_xlfn.AGGREGATE(15,6,(ROW(N_Bedarf!$CE$2:$CE$141)-1)/(--(SEARCH(DY$2,N_Bedarf!$CE$2:$CE$141)&gt;0)),ROW()-2),1),"")</f>
        <v>Winterkümmel</v>
      </c>
      <c r="DY64" s="2356"/>
      <c r="DZ64" s="2356" t="str">
        <f t="array" ref="DZ64">IFERROR(INDEX(N_Bedarf!$CE$2:$CE$141,_xlfn.AGGREGATE(15,6,(ROW(N_Bedarf!$CE$2:$CE$141)-1)/(--(SEARCH(EA$2,N_Bedarf!$CE$2:$CE$141)&gt;0)),ROW()-2),1),"")</f>
        <v>Winterkümmel</v>
      </c>
      <c r="EA64" s="2356"/>
      <c r="EB64" s="2356" t="str">
        <f t="array" ref="EB64">IFERROR(INDEX(N_Bedarf!$CE$2:$CE$141,_xlfn.AGGREGATE(15,6,(ROW(N_Bedarf!$CE$2:$CE$141)-1)/(--(SEARCH(EC$2,N_Bedarf!$CE$2:$CE$141)&gt;0)),ROW()-2),1),"")</f>
        <v>Winterkümmel</v>
      </c>
      <c r="EC64" s="2356"/>
      <c r="ED64"/>
      <c r="EE64"/>
      <c r="EF64"/>
      <c r="EG64"/>
      <c r="EH64"/>
      <c r="EI64"/>
      <c r="EJ64"/>
      <c r="EK64"/>
      <c r="EL64"/>
      <c r="EM64"/>
      <c r="EN64"/>
      <c r="EO64"/>
      <c r="EP64"/>
      <c r="EQ64"/>
      <c r="ER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row>
    <row r="65" spans="1:291" ht="27" customHeight="1" thickTop="1" thickBot="1">
      <c r="A65" s="156"/>
      <c r="B65" s="156"/>
      <c r="C65" s="1260" t="s">
        <v>1283</v>
      </c>
      <c r="D65" s="1261"/>
      <c r="E65" s="1265"/>
      <c r="F65" s="1266"/>
      <c r="G65" s="1266"/>
      <c r="H65" s="1266"/>
      <c r="I65" s="1267"/>
      <c r="J65" s="1166">
        <f>SUM(J5:J64)</f>
        <v>0</v>
      </c>
      <c r="K65" s="1267"/>
      <c r="L65" s="1271" t="s">
        <v>365</v>
      </c>
      <c r="M65" s="1272">
        <f>IF(Betrieb!D18=0,0,M64/Betrieb!D18)</f>
        <v>0</v>
      </c>
      <c r="N65" s="2565"/>
      <c r="O65" s="2566"/>
      <c r="P65" s="2566"/>
      <c r="Q65" s="2566"/>
      <c r="R65" s="2566"/>
      <c r="S65" s="2567"/>
      <c r="AO65" s="156"/>
      <c r="AP65" s="770"/>
      <c r="AQ65" s="476"/>
      <c r="AR65" s="234"/>
      <c r="AS65" s="185"/>
      <c r="AT65" s="1036" t="s">
        <v>1288</v>
      </c>
      <c r="AU65" s="1037" t="s">
        <v>1289</v>
      </c>
      <c r="AV65" s="1698" t="s">
        <v>2350</v>
      </c>
      <c r="AW65" s="1037" t="s">
        <v>1290</v>
      </c>
      <c r="AX65" s="1722" t="s">
        <v>1295</v>
      </c>
      <c r="AY65" s="681">
        <v>65</v>
      </c>
      <c r="AZ65" s="681">
        <v>55</v>
      </c>
      <c r="BA65" s="681" t="s">
        <v>2689</v>
      </c>
      <c r="BB65" s="681">
        <v>90</v>
      </c>
      <c r="BC65" s="681">
        <v>75</v>
      </c>
      <c r="BD65" s="681" t="s">
        <v>2715</v>
      </c>
      <c r="BE65" s="681">
        <v>105</v>
      </c>
      <c r="BF65" s="681">
        <v>90</v>
      </c>
      <c r="BG65" s="681" t="s">
        <v>2599</v>
      </c>
      <c r="BH65" s="681">
        <v>105</v>
      </c>
      <c r="BI65" s="681">
        <v>90</v>
      </c>
      <c r="BJ65" s="681" t="s">
        <v>2599</v>
      </c>
      <c r="BK65" s="681">
        <v>105</v>
      </c>
      <c r="BL65" s="681">
        <v>90</v>
      </c>
      <c r="BM65" s="681" t="s">
        <v>2599</v>
      </c>
      <c r="BN65" s="471" t="s">
        <v>1764</v>
      </c>
      <c r="BO65" s="821">
        <v>10</v>
      </c>
      <c r="BP65"/>
      <c r="BQ65" s="1722" t="s">
        <v>1295</v>
      </c>
      <c r="BR65" s="470">
        <v>45</v>
      </c>
      <c r="BS65" s="470">
        <v>50</v>
      </c>
      <c r="BT65" s="470">
        <v>65</v>
      </c>
      <c r="BV65" s="1722" t="s">
        <v>1295</v>
      </c>
      <c r="BW65" s="470">
        <v>160</v>
      </c>
      <c r="BX65" s="470">
        <v>180</v>
      </c>
      <c r="BY65" s="470">
        <v>205</v>
      </c>
      <c r="CA65" s="822"/>
      <c r="CB65"/>
      <c r="CC65"/>
      <c r="CD65"/>
      <c r="CE65" s="2310" t="s">
        <v>1690</v>
      </c>
      <c r="CF65" s="1834" t="str">
        <f>IFERROR(INDEX(N_Bedarf!$CE$2:$CE$141,_xlfn.AGGREGATE(15,6,(ROW(N_Bedarf!$CE$2:$CE$141)-1)/(--(SEARCH(CG$2,N_Bedarf!$CE$2:$CE$141)&gt;0)),ROW()-2),1),"")</f>
        <v>Sommerkümmel</v>
      </c>
      <c r="CG65" s="1830"/>
      <c r="CH65" s="1834" t="str">
        <f>IFERROR(INDEX(N_Bedarf!$CE$2:$CE$141,_xlfn.AGGREGATE(15,6,(ROW(N_Bedarf!$CE$2:$CE$141)-1)/(--(SEARCH(CI$2,N_Bedarf!$CE$2:$CE$141)&gt;0)),ROW()-2),1),"")</f>
        <v>Sommerkümmel</v>
      </c>
      <c r="CI65" s="1830"/>
      <c r="CJ65" s="1834" t="str">
        <f>IFERROR(INDEX(N_Bedarf!$CE$2:$CE$141,_xlfn.AGGREGATE(15,6,(ROW(N_Bedarf!$CE$2:$CE$141)-1)/(--(SEARCH(CK$2,N_Bedarf!$CE$2:$CE$141)&gt;0)),ROW()-2),1),"")</f>
        <v>Sommerkümmel</v>
      </c>
      <c r="CK65" s="1830"/>
      <c r="CL65" s="1834" t="str">
        <f>IFERROR(INDEX(N_Bedarf!$CE$2:$CE$141,_xlfn.AGGREGATE(15,6,(ROW(N_Bedarf!$CE$2:$CE$141)-1)/(--(SEARCH(CM$2,N_Bedarf!$CE$2:$CE$141)&gt;0)),ROW()-2),1),"")</f>
        <v>Sommerkümmel</v>
      </c>
      <c r="CM65" s="1830"/>
      <c r="CN65" s="1834" t="str">
        <f>IFERROR(INDEX(N_Bedarf!$CE$2:$CE$141,_xlfn.AGGREGATE(15,6,(ROW(N_Bedarf!$CE$2:$CE$141)-1)/(--(SEARCH(CO$2,N_Bedarf!$CE$2:$CE$141)&gt;0)),ROW()-2),1),"")</f>
        <v>Sommerkümmel</v>
      </c>
      <c r="CO65" s="1830"/>
      <c r="CP65" s="1834" t="str">
        <f>IFERROR(INDEX(N_Bedarf!$CE$2:$CE$141,_xlfn.AGGREGATE(15,6,(ROW(N_Bedarf!$CE$2:$CE$141)-1)/(--(SEARCH(CQ$2,N_Bedarf!$CE$2:$CE$141)&gt;0)),ROW()-2),1),"")</f>
        <v>Sommerkümmel</v>
      </c>
      <c r="CQ65" s="1830"/>
      <c r="CR65" s="1834" t="str">
        <f>IFERROR(INDEX(N_Bedarf!$CE$2:$CE$141,_xlfn.AGGREGATE(15,6,(ROW(N_Bedarf!$CE$2:$CE$141)-1)/(--(SEARCH(CS$2,N_Bedarf!$CE$2:$CE$141)&gt;0)),ROW()-2),1),"")</f>
        <v>Sommerkümmel</v>
      </c>
      <c r="CS65" s="1830"/>
      <c r="CT65" s="1834" t="str">
        <f>IFERROR(INDEX(N_Bedarf!$CE$2:$CE$141,_xlfn.AGGREGATE(15,6,(ROW(N_Bedarf!$CE$2:$CE$141)-1)/(--(SEARCH(CU$2,N_Bedarf!$CE$2:$CE$141)&gt;0)),ROW()-2),1),"")</f>
        <v>Sommerkümmel</v>
      </c>
      <c r="CU65" s="1830"/>
      <c r="CV65" s="1834" t="str">
        <f>IFERROR(INDEX(N_Bedarf!$CE$2:$CE$141,_xlfn.AGGREGATE(15,6,(ROW(N_Bedarf!$CE$2:$CE$141)-1)/(--(SEARCH(CW$2,N_Bedarf!$CE$2:$CE$141)&gt;0)),ROW()-2),1),"")</f>
        <v>Sommerkümmel</v>
      </c>
      <c r="CW65" s="1830"/>
      <c r="CX65" s="1834" t="str">
        <f>IFERROR(INDEX(N_Bedarf!$CE$2:$CE$141,_xlfn.AGGREGATE(15,6,(ROW(N_Bedarf!$CE$2:$CE$141)-1)/(--(SEARCH(CY$2,N_Bedarf!$CE$2:$CE$141)&gt;0)),ROW()-2),1),"")</f>
        <v>Sommerkümmel</v>
      </c>
      <c r="CY65" s="1830"/>
      <c r="CZ65" s="1834" t="str">
        <f>IFERROR(INDEX(N_Bedarf!$CE$2:$CE$141,_xlfn.AGGREGATE(15,6,(ROW(N_Bedarf!$CE$2:$CE$141)-1)/(--(SEARCH(DA$2,N_Bedarf!$CE$2:$CE$141)&gt;0)),ROW()-2),1),"")</f>
        <v>Sommerkümmel</v>
      </c>
      <c r="DA65" s="1830"/>
      <c r="DB65" s="1834" t="str">
        <f>IFERROR(INDEX(N_Bedarf!$CE$2:$CE$141,_xlfn.AGGREGATE(15,6,(ROW(N_Bedarf!$CE$2:$CE$141)-1)/(--(SEARCH(DC$2,N_Bedarf!$CE$2:$CE$141)&gt;0)),ROW()-2),1),"")</f>
        <v>Sommerkümmel</v>
      </c>
      <c r="DC65" s="1830"/>
      <c r="DD65" s="1834" t="str">
        <f>IFERROR(INDEX(N_Bedarf!$CE$2:$CE$141,_xlfn.AGGREGATE(15,6,(ROW(N_Bedarf!$CE$2:$CE$141)-1)/(--(SEARCH(DE$2,N_Bedarf!$CE$2:$CE$141)&gt;0)),ROW()-2),1),"")</f>
        <v>Sommerkümmel</v>
      </c>
      <c r="DE65" s="1830"/>
      <c r="DF65" s="2353" t="str">
        <f t="array" ref="DF65">IFERROR(INDEX(N_Bedarf!$CE$2:$CE$141,_xlfn.AGGREGATE(15,6,(ROW(N_Bedarf!$CE$2:$CE$141)-1)/(--(SEARCH(DG$2,N_Bedarf!$CE$2:$CE$141)&gt;0)),ROW()-2),1),"")</f>
        <v>Sommerkümmel</v>
      </c>
      <c r="DG65" s="2353"/>
      <c r="DH65" s="2355" t="str">
        <f t="array" ref="DH65">IFERROR(INDEX(N_Bedarf!$CE$2:$CE$141,_xlfn.AGGREGATE(15,6,(ROW(N_Bedarf!$CE$2:$CE$141)-1)/(--(SEARCH(DI$2,N_Bedarf!$CE$2:$CE$141)&gt;0)),ROW()-2),1),"")</f>
        <v>Sommerkümmel</v>
      </c>
      <c r="DI65" s="2355"/>
      <c r="DJ65" s="2356" t="str">
        <f t="array" ref="DJ65">IFERROR(INDEX(N_Bedarf!$CE$2:$CE$141,_xlfn.AGGREGATE(15,6,(ROW(N_Bedarf!$CE$2:$CE$141)-1)/(--(SEARCH(DK$2,N_Bedarf!$CE$2:$CE$141)&gt;0)),ROW()-2),1),"")</f>
        <v>Sommerkümmel</v>
      </c>
      <c r="DK65" s="2356"/>
      <c r="DL65" s="2356" t="str">
        <f t="array" ref="DL65">IFERROR(INDEX(N_Bedarf!$CE$2:$CE$141,_xlfn.AGGREGATE(15,6,(ROW(N_Bedarf!$CE$2:$CE$141)-1)/(--(SEARCH(DM$2,N_Bedarf!$CE$2:$CE$141)&gt;0)),ROW()-2),1),"")</f>
        <v>Sommerkümmel</v>
      </c>
      <c r="DM65" s="2356"/>
      <c r="DN65" s="2356" t="str">
        <f t="array" ref="DN65">IFERROR(INDEX(N_Bedarf!$CE$2:$CE$141,_xlfn.AGGREGATE(15,6,(ROW(N_Bedarf!$CE$2:$CE$141)-1)/(--(SEARCH(DO$2,N_Bedarf!$CE$2:$CE$141)&gt;0)),ROW()-2),1),"")</f>
        <v>Sommerkümmel</v>
      </c>
      <c r="DO65" s="2356"/>
      <c r="DP65" s="2356" t="str">
        <f t="array" ref="DP65">IFERROR(INDEX(N_Bedarf!$CE$2:$CE$141,_xlfn.AGGREGATE(15,6,(ROW(N_Bedarf!$CE$2:$CE$141)-1)/(--(SEARCH(DQ$2,N_Bedarf!$CE$2:$CE$141)&gt;0)),ROW()-2),1),"")</f>
        <v>Sommerkümmel</v>
      </c>
      <c r="DQ65" s="2356"/>
      <c r="DR65" s="2356" t="str">
        <f t="array" ref="DR65">IFERROR(INDEX(N_Bedarf!$CE$2:$CE$141,_xlfn.AGGREGATE(15,6,(ROW(N_Bedarf!$CE$2:$CE$141)-1)/(--(SEARCH(DS$2,N_Bedarf!$CE$2:$CE$141)&gt;0)),ROW()-2),1),"")</f>
        <v>Sommerkümmel</v>
      </c>
      <c r="DS65" s="2356"/>
      <c r="DT65" s="2356" t="str">
        <f t="array" ref="DT65">IFERROR(INDEX(N_Bedarf!$CE$2:$CE$141,_xlfn.AGGREGATE(15,6,(ROW(N_Bedarf!$CE$2:$CE$141)-1)/(--(SEARCH(DU$2,N_Bedarf!$CE$2:$CE$141)&gt;0)),ROW()-2),1),"")</f>
        <v>Sommerkümmel</v>
      </c>
      <c r="DU65" s="2356"/>
      <c r="DV65" s="2356" t="str">
        <f t="array" ref="DV65">IFERROR(INDEX(N_Bedarf!$CE$2:$CE$141,_xlfn.AGGREGATE(15,6,(ROW(N_Bedarf!$CE$2:$CE$141)-1)/(--(SEARCH(DW$2,N_Bedarf!$CE$2:$CE$141)&gt;0)),ROW()-2),1),"")</f>
        <v>Sommerkümmel</v>
      </c>
      <c r="DW65" s="2356"/>
      <c r="DX65" s="2356" t="str">
        <f t="array" ref="DX65">IFERROR(INDEX(N_Bedarf!$CE$2:$CE$141,_xlfn.AGGREGATE(15,6,(ROW(N_Bedarf!$CE$2:$CE$141)-1)/(--(SEARCH(DY$2,N_Bedarf!$CE$2:$CE$141)&gt;0)),ROW()-2),1),"")</f>
        <v>Sommerkümmel</v>
      </c>
      <c r="DY65" s="2356"/>
      <c r="DZ65" s="2356" t="str">
        <f t="array" ref="DZ65">IFERROR(INDEX(N_Bedarf!$CE$2:$CE$141,_xlfn.AGGREGATE(15,6,(ROW(N_Bedarf!$CE$2:$CE$141)-1)/(--(SEARCH(EA$2,N_Bedarf!$CE$2:$CE$141)&gt;0)),ROW()-2),1),"")</f>
        <v>Sommerkümmel</v>
      </c>
      <c r="EA65" s="2356"/>
      <c r="EB65" s="2356" t="str">
        <f t="array" ref="EB65">IFERROR(INDEX(N_Bedarf!$CE$2:$CE$141,_xlfn.AGGREGATE(15,6,(ROW(N_Bedarf!$CE$2:$CE$141)-1)/(--(SEARCH(EC$2,N_Bedarf!$CE$2:$CE$141)&gt;0)),ROW()-2),1),"")</f>
        <v>Sommerkümmel</v>
      </c>
      <c r="EC65" s="2356"/>
      <c r="ED65"/>
      <c r="EE65"/>
      <c r="EF65"/>
      <c r="EG65"/>
      <c r="EH65"/>
      <c r="EI65"/>
      <c r="EJ65"/>
      <c r="EK65"/>
      <c r="EL65"/>
      <c r="EM65"/>
      <c r="EN65"/>
      <c r="EO65"/>
      <c r="EP65"/>
      <c r="EQ65"/>
      <c r="ER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row>
    <row r="66" spans="1:291" ht="27" customHeight="1" thickTop="1" thickBot="1">
      <c r="A66" s="156"/>
      <c r="B66" s="156"/>
      <c r="C66" s="1260" t="s">
        <v>1286</v>
      </c>
      <c r="D66" s="1261"/>
      <c r="E66" s="1265"/>
      <c r="F66" s="1266"/>
      <c r="G66" s="1266"/>
      <c r="H66" s="1266"/>
      <c r="I66" s="1267"/>
      <c r="J66" s="1270">
        <f>Tabelle1!AX78</f>
        <v>0</v>
      </c>
      <c r="K66" s="2595" t="s">
        <v>510</v>
      </c>
      <c r="L66" s="2596"/>
      <c r="M66" s="2599">
        <f>M64-M63</f>
        <v>0</v>
      </c>
      <c r="N66" s="2601" t="str">
        <f>IF($M$66&lt;=0,"Der P-Saldo ist ok!",IF(AND(M66&gt;0,Mineral!I28&lt;=0,Ergebnis!$F$18&lt;=0,Ergebnis!$F$23="ja",Ergebnis!$F$10&lt;=170),"Ok! Kein mineralischer Phosphor am Betrieb!",IF(AND($M$66&gt;0,Mineral!I28&lt;=0,OR(Ergebnis!$F$18&gt;0,Ergebnis!$F$23="nein",Ergebnis!$F$10&gt;170)),"Achtung, der P-Saldo ist zu hoch!",IF(AND($M$66&gt;0,Mineral!I28&gt;0),"Achtung, der P-Saldo ist zu hoch!",""))))</f>
        <v>Der P-Saldo ist ok!</v>
      </c>
      <c r="O66" s="2602"/>
      <c r="P66" s="2602"/>
      <c r="Q66" s="2602"/>
      <c r="R66" s="2602"/>
      <c r="S66" s="2603"/>
      <c r="AO66" s="156"/>
      <c r="AP66" s="770"/>
      <c r="AQ66" s="476"/>
      <c r="AR66" s="234"/>
      <c r="AS66" s="185"/>
      <c r="AT66" s="474" t="s">
        <v>1292</v>
      </c>
      <c r="AU66" s="1696" t="s">
        <v>1245</v>
      </c>
      <c r="AV66" s="156" t="s">
        <v>1245</v>
      </c>
      <c r="AW66" s="1427" t="s">
        <v>1245</v>
      </c>
      <c r="AX66" s="1722" t="s">
        <v>1730</v>
      </c>
      <c r="AY66" s="681">
        <v>95</v>
      </c>
      <c r="AZ66" s="681">
        <v>80</v>
      </c>
      <c r="BA66" s="681" t="s">
        <v>2690</v>
      </c>
      <c r="BB66" s="681">
        <v>130</v>
      </c>
      <c r="BC66" s="681">
        <v>110</v>
      </c>
      <c r="BD66" s="681" t="s">
        <v>2716</v>
      </c>
      <c r="BE66" s="681">
        <v>155</v>
      </c>
      <c r="BF66" s="681">
        <v>130</v>
      </c>
      <c r="BG66" s="681" t="s">
        <v>2729</v>
      </c>
      <c r="BH66" s="681">
        <v>170</v>
      </c>
      <c r="BI66" s="681">
        <v>145</v>
      </c>
      <c r="BJ66" s="681" t="s">
        <v>2821</v>
      </c>
      <c r="BK66" s="681">
        <v>180</v>
      </c>
      <c r="BL66" s="681">
        <v>155</v>
      </c>
      <c r="BM66" s="681" t="s">
        <v>2598</v>
      </c>
      <c r="BN66" s="471">
        <v>53</v>
      </c>
      <c r="BO66" s="821" t="s">
        <v>1764</v>
      </c>
      <c r="BP66"/>
      <c r="BQ66" s="1722" t="s">
        <v>1730</v>
      </c>
      <c r="BR66" s="470">
        <v>55</v>
      </c>
      <c r="BS66" s="470">
        <v>60</v>
      </c>
      <c r="BT66" s="470">
        <v>70</v>
      </c>
      <c r="BU66" s="426"/>
      <c r="BV66" s="1722" t="s">
        <v>1730</v>
      </c>
      <c r="BW66" s="470">
        <v>70</v>
      </c>
      <c r="BX66" s="470">
        <v>80</v>
      </c>
      <c r="BY66" s="470">
        <v>90</v>
      </c>
      <c r="CA66" s="822"/>
      <c r="CB66"/>
      <c r="CC66"/>
      <c r="CD66"/>
      <c r="CE66" s="2310" t="s">
        <v>1691</v>
      </c>
      <c r="CF66" s="1834" t="str">
        <f>IFERROR(INDEX(N_Bedarf!$CE$2:$CE$141,_xlfn.AGGREGATE(15,6,(ROW(N_Bedarf!$CE$2:$CE$141)-1)/(--(SEARCH(CG$2,N_Bedarf!$CE$2:$CE$141)&gt;0)),ROW()-2),1),"")</f>
        <v>Einkorn (Sommerung)</v>
      </c>
      <c r="CG66" s="1836"/>
      <c r="CH66" s="1834" t="str">
        <f>IFERROR(INDEX(N_Bedarf!$CE$2:$CE$141,_xlfn.AGGREGATE(15,6,(ROW(N_Bedarf!$CE$2:$CE$141)-1)/(--(SEARCH(CI$2,N_Bedarf!$CE$2:$CE$141)&gt;0)),ROW()-2),1),"")</f>
        <v>Einkorn (Sommerung)</v>
      </c>
      <c r="CI66" s="1836"/>
      <c r="CJ66" s="1834" t="str">
        <f>IFERROR(INDEX(N_Bedarf!$CE$2:$CE$141,_xlfn.AGGREGATE(15,6,(ROW(N_Bedarf!$CE$2:$CE$141)-1)/(--(SEARCH(CK$2,N_Bedarf!$CE$2:$CE$141)&gt;0)),ROW()-2),1),"")</f>
        <v>Einkorn (Sommerung)</v>
      </c>
      <c r="CK66" s="1836"/>
      <c r="CL66" s="1834" t="str">
        <f>IFERROR(INDEX(N_Bedarf!$CE$2:$CE$141,_xlfn.AGGREGATE(15,6,(ROW(N_Bedarf!$CE$2:$CE$141)-1)/(--(SEARCH(CM$2,N_Bedarf!$CE$2:$CE$141)&gt;0)),ROW()-2),1),"")</f>
        <v>Einkorn (Sommerung)</v>
      </c>
      <c r="CM66" s="1836"/>
      <c r="CN66" s="1834" t="str">
        <f>IFERROR(INDEX(N_Bedarf!$CE$2:$CE$141,_xlfn.AGGREGATE(15,6,(ROW(N_Bedarf!$CE$2:$CE$141)-1)/(--(SEARCH(CO$2,N_Bedarf!$CE$2:$CE$141)&gt;0)),ROW()-2),1),"")</f>
        <v>Einkorn (Sommerung)</v>
      </c>
      <c r="CO66" s="1836"/>
      <c r="CP66" s="1834" t="str">
        <f>IFERROR(INDEX(N_Bedarf!$CE$2:$CE$141,_xlfn.AGGREGATE(15,6,(ROW(N_Bedarf!$CE$2:$CE$141)-1)/(--(SEARCH(CQ$2,N_Bedarf!$CE$2:$CE$141)&gt;0)),ROW()-2),1),"")</f>
        <v>Einkorn (Sommerung)</v>
      </c>
      <c r="CQ66" s="1836"/>
      <c r="CR66" s="1834" t="str">
        <f>IFERROR(INDEX(N_Bedarf!$CE$2:$CE$141,_xlfn.AGGREGATE(15,6,(ROW(N_Bedarf!$CE$2:$CE$141)-1)/(--(SEARCH(CS$2,N_Bedarf!$CE$2:$CE$141)&gt;0)),ROW()-2),1),"")</f>
        <v>Einkorn (Sommerung)</v>
      </c>
      <c r="CS66" s="1836"/>
      <c r="CT66" s="1834" t="str">
        <f>IFERROR(INDEX(N_Bedarf!$CE$2:$CE$141,_xlfn.AGGREGATE(15,6,(ROW(N_Bedarf!$CE$2:$CE$141)-1)/(--(SEARCH(CU$2,N_Bedarf!$CE$2:$CE$141)&gt;0)),ROW()-2),1),"")</f>
        <v>Einkorn (Sommerung)</v>
      </c>
      <c r="CU66" s="1836"/>
      <c r="CV66" s="1834" t="str">
        <f>IFERROR(INDEX(N_Bedarf!$CE$2:$CE$141,_xlfn.AGGREGATE(15,6,(ROW(N_Bedarf!$CE$2:$CE$141)-1)/(--(SEARCH(CW$2,N_Bedarf!$CE$2:$CE$141)&gt;0)),ROW()-2),1),"")</f>
        <v>Einkorn (Sommerung)</v>
      </c>
      <c r="CW66" s="1836"/>
      <c r="CX66" s="1834" t="str">
        <f>IFERROR(INDEX(N_Bedarf!$CE$2:$CE$141,_xlfn.AGGREGATE(15,6,(ROW(N_Bedarf!$CE$2:$CE$141)-1)/(--(SEARCH(CY$2,N_Bedarf!$CE$2:$CE$141)&gt;0)),ROW()-2),1),"")</f>
        <v>Einkorn (Sommerung)</v>
      </c>
      <c r="CY66" s="1836"/>
      <c r="CZ66" s="1834" t="str">
        <f>IFERROR(INDEX(N_Bedarf!$CE$2:$CE$141,_xlfn.AGGREGATE(15,6,(ROW(N_Bedarf!$CE$2:$CE$141)-1)/(--(SEARCH(DA$2,N_Bedarf!$CE$2:$CE$141)&gt;0)),ROW()-2),1),"")</f>
        <v>Einkorn (Sommerung)</v>
      </c>
      <c r="DA66" s="1836"/>
      <c r="DB66" s="1834" t="str">
        <f>IFERROR(INDEX(N_Bedarf!$CE$2:$CE$141,_xlfn.AGGREGATE(15,6,(ROW(N_Bedarf!$CE$2:$CE$141)-1)/(--(SEARCH(DC$2,N_Bedarf!$CE$2:$CE$141)&gt;0)),ROW()-2),1),"")</f>
        <v>Einkorn (Sommerung)</v>
      </c>
      <c r="DC66" s="1836"/>
      <c r="DD66" s="1834" t="str">
        <f>IFERROR(INDEX(N_Bedarf!$CE$2:$CE$141,_xlfn.AGGREGATE(15,6,(ROW(N_Bedarf!$CE$2:$CE$141)-1)/(--(SEARCH(DE$2,N_Bedarf!$CE$2:$CE$141)&gt;0)),ROW()-2),1),"")</f>
        <v>Einkorn (Sommerung)</v>
      </c>
      <c r="DE66" s="1836"/>
      <c r="DF66" s="2353" t="str">
        <f t="array" ref="DF66">IFERROR(INDEX(N_Bedarf!$CE$2:$CE$141,_xlfn.AGGREGATE(15,6,(ROW(N_Bedarf!$CE$2:$CE$141)-1)/(--(SEARCH(DG$2,N_Bedarf!$CE$2:$CE$141)&gt;0)),ROW()-2),1),"")</f>
        <v>Einkorn (Sommerung)</v>
      </c>
      <c r="DG66" s="2353"/>
      <c r="DH66" s="2355" t="str">
        <f t="array" ref="DH66">IFERROR(INDEX(N_Bedarf!$CE$2:$CE$141,_xlfn.AGGREGATE(15,6,(ROW(N_Bedarf!$CE$2:$CE$141)-1)/(--(SEARCH(DI$2,N_Bedarf!$CE$2:$CE$141)&gt;0)),ROW()-2),1),"")</f>
        <v>Einkorn (Sommerung)</v>
      </c>
      <c r="DI66" s="2355"/>
      <c r="DJ66" s="2356" t="str">
        <f t="array" ref="DJ66">IFERROR(INDEX(N_Bedarf!$CE$2:$CE$141,_xlfn.AGGREGATE(15,6,(ROW(N_Bedarf!$CE$2:$CE$141)-1)/(--(SEARCH(DK$2,N_Bedarf!$CE$2:$CE$141)&gt;0)),ROW()-2),1),"")</f>
        <v>Einkorn (Sommerung)</v>
      </c>
      <c r="DK66" s="2356"/>
      <c r="DL66" s="2356" t="str">
        <f t="array" ref="DL66">IFERROR(INDEX(N_Bedarf!$CE$2:$CE$141,_xlfn.AGGREGATE(15,6,(ROW(N_Bedarf!$CE$2:$CE$141)-1)/(--(SEARCH(DM$2,N_Bedarf!$CE$2:$CE$141)&gt;0)),ROW()-2),1),"")</f>
        <v>Einkorn (Sommerung)</v>
      </c>
      <c r="DM66" s="2356"/>
      <c r="DN66" s="2356" t="str">
        <f t="array" ref="DN66">IFERROR(INDEX(N_Bedarf!$CE$2:$CE$141,_xlfn.AGGREGATE(15,6,(ROW(N_Bedarf!$CE$2:$CE$141)-1)/(--(SEARCH(DO$2,N_Bedarf!$CE$2:$CE$141)&gt;0)),ROW()-2),1),"")</f>
        <v>Einkorn (Sommerung)</v>
      </c>
      <c r="DO66" s="2356"/>
      <c r="DP66" s="2356" t="str">
        <f t="array" ref="DP66">IFERROR(INDEX(N_Bedarf!$CE$2:$CE$141,_xlfn.AGGREGATE(15,6,(ROW(N_Bedarf!$CE$2:$CE$141)-1)/(--(SEARCH(DQ$2,N_Bedarf!$CE$2:$CE$141)&gt;0)),ROW()-2),1),"")</f>
        <v>Einkorn (Sommerung)</v>
      </c>
      <c r="DQ66" s="2356"/>
      <c r="DR66" s="2356" t="str">
        <f t="array" ref="DR66">IFERROR(INDEX(N_Bedarf!$CE$2:$CE$141,_xlfn.AGGREGATE(15,6,(ROW(N_Bedarf!$CE$2:$CE$141)-1)/(--(SEARCH(DS$2,N_Bedarf!$CE$2:$CE$141)&gt;0)),ROW()-2),1),"")</f>
        <v>Einkorn (Sommerung)</v>
      </c>
      <c r="DS66" s="2356"/>
      <c r="DT66" s="2356" t="str">
        <f t="array" ref="DT66">IFERROR(INDEX(N_Bedarf!$CE$2:$CE$141,_xlfn.AGGREGATE(15,6,(ROW(N_Bedarf!$CE$2:$CE$141)-1)/(--(SEARCH(DU$2,N_Bedarf!$CE$2:$CE$141)&gt;0)),ROW()-2),1),"")</f>
        <v>Einkorn (Sommerung)</v>
      </c>
      <c r="DU66" s="2356"/>
      <c r="DV66" s="2356" t="str">
        <f t="array" ref="DV66">IFERROR(INDEX(N_Bedarf!$CE$2:$CE$141,_xlfn.AGGREGATE(15,6,(ROW(N_Bedarf!$CE$2:$CE$141)-1)/(--(SEARCH(DW$2,N_Bedarf!$CE$2:$CE$141)&gt;0)),ROW()-2),1),"")</f>
        <v>Einkorn (Sommerung)</v>
      </c>
      <c r="DW66" s="2356"/>
      <c r="DX66" s="2356" t="str">
        <f t="array" ref="DX66">IFERROR(INDEX(N_Bedarf!$CE$2:$CE$141,_xlfn.AGGREGATE(15,6,(ROW(N_Bedarf!$CE$2:$CE$141)-1)/(--(SEARCH(DY$2,N_Bedarf!$CE$2:$CE$141)&gt;0)),ROW()-2),1),"")</f>
        <v>Einkorn (Sommerung)</v>
      </c>
      <c r="DY66" s="2356"/>
      <c r="DZ66" s="2356" t="str">
        <f t="array" ref="DZ66">IFERROR(INDEX(N_Bedarf!$CE$2:$CE$141,_xlfn.AGGREGATE(15,6,(ROW(N_Bedarf!$CE$2:$CE$141)-1)/(--(SEARCH(EA$2,N_Bedarf!$CE$2:$CE$141)&gt;0)),ROW()-2),1),"")</f>
        <v>Einkorn (Sommerung)</v>
      </c>
      <c r="EA66" s="2356"/>
      <c r="EB66" s="2356" t="str">
        <f t="array" ref="EB66">IFERROR(INDEX(N_Bedarf!$CE$2:$CE$141,_xlfn.AGGREGATE(15,6,(ROW(N_Bedarf!$CE$2:$CE$141)-1)/(--(SEARCH(EC$2,N_Bedarf!$CE$2:$CE$141)&gt;0)),ROW()-2),1),"")</f>
        <v>Einkorn (Sommerung)</v>
      </c>
      <c r="EC66" s="2356"/>
      <c r="ED66"/>
      <c r="EE66"/>
      <c r="EF66"/>
      <c r="EG66"/>
      <c r="EH66"/>
      <c r="EI66"/>
      <c r="EJ66"/>
      <c r="EK66"/>
      <c r="EL66"/>
      <c r="EM66"/>
      <c r="EN66"/>
      <c r="EO66"/>
      <c r="EP66"/>
      <c r="EQ66"/>
      <c r="ER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row>
    <row r="67" spans="1:291" ht="27.75" customHeight="1" thickTop="1" thickBot="1">
      <c r="A67" s="156"/>
      <c r="B67" s="156"/>
      <c r="C67" s="2593" t="str">
        <f>IF(J67&lt;=0,"Der N-Saldo ist ok!","Der N-Saldo ist nicht ok!")</f>
        <v>Der N-Saldo ist ok!</v>
      </c>
      <c r="D67" s="2594"/>
      <c r="E67" s="2594"/>
      <c r="F67" s="2594"/>
      <c r="G67" s="2213"/>
      <c r="H67" s="1268"/>
      <c r="I67" s="1269" t="s">
        <v>1291</v>
      </c>
      <c r="J67" s="1166">
        <f>J66-J65</f>
        <v>0</v>
      </c>
      <c r="K67" s="2597"/>
      <c r="L67" s="2598"/>
      <c r="M67" s="2600"/>
      <c r="N67" s="2604"/>
      <c r="O67" s="2605"/>
      <c r="P67" s="2605"/>
      <c r="Q67" s="2605"/>
      <c r="R67" s="2605"/>
      <c r="S67" s="2606"/>
      <c r="AO67" s="156"/>
      <c r="AP67" s="770"/>
      <c r="AQ67" s="476"/>
      <c r="AR67" s="234"/>
      <c r="AS67" s="185"/>
      <c r="AT67" s="474" t="s">
        <v>1293</v>
      </c>
      <c r="AU67" s="1696" t="s">
        <v>608</v>
      </c>
      <c r="AV67" s="156" t="s">
        <v>1992</v>
      </c>
      <c r="AW67" s="1428" t="s">
        <v>608</v>
      </c>
      <c r="AX67" s="1722" t="s">
        <v>1714</v>
      </c>
      <c r="AY67" s="681">
        <v>95</v>
      </c>
      <c r="AZ67" s="681">
        <v>80</v>
      </c>
      <c r="BA67" s="681" t="s">
        <v>2691</v>
      </c>
      <c r="BB67" s="681">
        <v>130</v>
      </c>
      <c r="BC67" s="681">
        <v>110</v>
      </c>
      <c r="BD67" s="681" t="s">
        <v>2717</v>
      </c>
      <c r="BE67" s="681">
        <v>155</v>
      </c>
      <c r="BF67" s="681">
        <v>130</v>
      </c>
      <c r="BG67" s="681" t="s">
        <v>2730</v>
      </c>
      <c r="BH67" s="681">
        <v>170</v>
      </c>
      <c r="BI67" s="681">
        <v>145</v>
      </c>
      <c r="BJ67" s="681" t="s">
        <v>1780</v>
      </c>
      <c r="BK67" s="681">
        <v>180</v>
      </c>
      <c r="BL67" s="681">
        <v>155</v>
      </c>
      <c r="BM67" s="681" t="s">
        <v>2597</v>
      </c>
      <c r="BN67" s="471">
        <v>53</v>
      </c>
      <c r="BO67" s="821" t="s">
        <v>1764</v>
      </c>
      <c r="BP67"/>
      <c r="BQ67" s="1722" t="s">
        <v>1714</v>
      </c>
      <c r="BR67" s="470">
        <v>55</v>
      </c>
      <c r="BS67" s="470">
        <v>60</v>
      </c>
      <c r="BT67" s="470">
        <v>70</v>
      </c>
      <c r="BU67" s="426"/>
      <c r="BV67" s="1722" t="s">
        <v>1714</v>
      </c>
      <c r="BW67" s="470">
        <v>70</v>
      </c>
      <c r="BX67" s="470">
        <v>80</v>
      </c>
      <c r="BY67" s="470">
        <v>90</v>
      </c>
      <c r="CA67" s="394"/>
      <c r="CB67"/>
      <c r="CC67"/>
      <c r="CD67"/>
      <c r="CE67" s="2310" t="s">
        <v>1692</v>
      </c>
      <c r="CF67" s="1834" t="str">
        <f>IFERROR(INDEX(N_Bedarf!$CE$2:$CE$141,_xlfn.AGGREGATE(15,6,(ROW(N_Bedarf!$CE$2:$CE$141)-1)/(--(SEARCH(CG$2,N_Bedarf!$CE$2:$CE$141)&gt;0)),ROW()-2),1),"")</f>
        <v>Emmer (Sommerung)</v>
      </c>
      <c r="CG67" s="1830"/>
      <c r="CH67" s="1834" t="str">
        <f>IFERROR(INDEX(N_Bedarf!$CE$2:$CE$141,_xlfn.AGGREGATE(15,6,(ROW(N_Bedarf!$CE$2:$CE$141)-1)/(--(SEARCH(CI$2,N_Bedarf!$CE$2:$CE$141)&gt;0)),ROW()-2),1),"")</f>
        <v>Emmer (Sommerung)</v>
      </c>
      <c r="CI67" s="1830"/>
      <c r="CJ67" s="1834" t="str">
        <f>IFERROR(INDEX(N_Bedarf!$CE$2:$CE$141,_xlfn.AGGREGATE(15,6,(ROW(N_Bedarf!$CE$2:$CE$141)-1)/(--(SEARCH(CK$2,N_Bedarf!$CE$2:$CE$141)&gt;0)),ROW()-2),1),"")</f>
        <v>Emmer (Sommerung)</v>
      </c>
      <c r="CK67" s="1830"/>
      <c r="CL67" s="1834" t="str">
        <f>IFERROR(INDEX(N_Bedarf!$CE$2:$CE$141,_xlfn.AGGREGATE(15,6,(ROW(N_Bedarf!$CE$2:$CE$141)-1)/(--(SEARCH(CM$2,N_Bedarf!$CE$2:$CE$141)&gt;0)),ROW()-2),1),"")</f>
        <v>Emmer (Sommerung)</v>
      </c>
      <c r="CM67" s="1830"/>
      <c r="CN67" s="1834" t="str">
        <f>IFERROR(INDEX(N_Bedarf!$CE$2:$CE$141,_xlfn.AGGREGATE(15,6,(ROW(N_Bedarf!$CE$2:$CE$141)-1)/(--(SEARCH(CO$2,N_Bedarf!$CE$2:$CE$141)&gt;0)),ROW()-2),1),"")</f>
        <v>Emmer (Sommerung)</v>
      </c>
      <c r="CO67" s="1830"/>
      <c r="CP67" s="1834" t="str">
        <f>IFERROR(INDEX(N_Bedarf!$CE$2:$CE$141,_xlfn.AGGREGATE(15,6,(ROW(N_Bedarf!$CE$2:$CE$141)-1)/(--(SEARCH(CQ$2,N_Bedarf!$CE$2:$CE$141)&gt;0)),ROW()-2),1),"")</f>
        <v>Emmer (Sommerung)</v>
      </c>
      <c r="CQ67" s="1830"/>
      <c r="CR67" s="1834" t="str">
        <f>IFERROR(INDEX(N_Bedarf!$CE$2:$CE$141,_xlfn.AGGREGATE(15,6,(ROW(N_Bedarf!$CE$2:$CE$141)-1)/(--(SEARCH(CS$2,N_Bedarf!$CE$2:$CE$141)&gt;0)),ROW()-2),1),"")</f>
        <v>Emmer (Sommerung)</v>
      </c>
      <c r="CS67" s="1830"/>
      <c r="CT67" s="1834" t="str">
        <f>IFERROR(INDEX(N_Bedarf!$CE$2:$CE$141,_xlfn.AGGREGATE(15,6,(ROW(N_Bedarf!$CE$2:$CE$141)-1)/(--(SEARCH(CU$2,N_Bedarf!$CE$2:$CE$141)&gt;0)),ROW()-2),1),"")</f>
        <v>Emmer (Sommerung)</v>
      </c>
      <c r="CU67" s="1830"/>
      <c r="CV67" s="1834" t="str">
        <f>IFERROR(INDEX(N_Bedarf!$CE$2:$CE$141,_xlfn.AGGREGATE(15,6,(ROW(N_Bedarf!$CE$2:$CE$141)-1)/(--(SEARCH(CW$2,N_Bedarf!$CE$2:$CE$141)&gt;0)),ROW()-2),1),"")</f>
        <v>Emmer (Sommerung)</v>
      </c>
      <c r="CW67" s="1830"/>
      <c r="CX67" s="1834" t="str">
        <f>IFERROR(INDEX(N_Bedarf!$CE$2:$CE$141,_xlfn.AGGREGATE(15,6,(ROW(N_Bedarf!$CE$2:$CE$141)-1)/(--(SEARCH(CY$2,N_Bedarf!$CE$2:$CE$141)&gt;0)),ROW()-2),1),"")</f>
        <v>Emmer (Sommerung)</v>
      </c>
      <c r="CY67" s="1830"/>
      <c r="CZ67" s="1834" t="str">
        <f>IFERROR(INDEX(N_Bedarf!$CE$2:$CE$141,_xlfn.AGGREGATE(15,6,(ROW(N_Bedarf!$CE$2:$CE$141)-1)/(--(SEARCH(DA$2,N_Bedarf!$CE$2:$CE$141)&gt;0)),ROW()-2),1),"")</f>
        <v>Emmer (Sommerung)</v>
      </c>
      <c r="DA67" s="1830"/>
      <c r="DB67" s="1834" t="str">
        <f>IFERROR(INDEX(N_Bedarf!$CE$2:$CE$141,_xlfn.AGGREGATE(15,6,(ROW(N_Bedarf!$CE$2:$CE$141)-1)/(--(SEARCH(DC$2,N_Bedarf!$CE$2:$CE$141)&gt;0)),ROW()-2),1),"")</f>
        <v>Emmer (Sommerung)</v>
      </c>
      <c r="DC67" s="1830"/>
      <c r="DD67" s="1834" t="str">
        <f>IFERROR(INDEX(N_Bedarf!$CE$2:$CE$141,_xlfn.AGGREGATE(15,6,(ROW(N_Bedarf!$CE$2:$CE$141)-1)/(--(SEARCH(DE$2,N_Bedarf!$CE$2:$CE$141)&gt;0)),ROW()-2),1),"")</f>
        <v>Emmer (Sommerung)</v>
      </c>
      <c r="DE67" s="1830"/>
      <c r="DF67" s="2353" t="str">
        <f t="array" ref="DF67">IFERROR(INDEX(N_Bedarf!$CE$2:$CE$141,_xlfn.AGGREGATE(15,6,(ROW(N_Bedarf!$CE$2:$CE$141)-1)/(--(SEARCH(DG$2,N_Bedarf!$CE$2:$CE$141)&gt;0)),ROW()-2),1),"")</f>
        <v>Emmer (Sommerung)</v>
      </c>
      <c r="DG67" s="2353"/>
      <c r="DH67" s="2355" t="str">
        <f t="array" ref="DH67">IFERROR(INDEX(N_Bedarf!$CE$2:$CE$141,_xlfn.AGGREGATE(15,6,(ROW(N_Bedarf!$CE$2:$CE$141)-1)/(--(SEARCH(DI$2,N_Bedarf!$CE$2:$CE$141)&gt;0)),ROW()-2),1),"")</f>
        <v>Emmer (Sommerung)</v>
      </c>
      <c r="DI67" s="2355"/>
      <c r="DJ67" s="2356" t="str">
        <f t="array" ref="DJ67">IFERROR(INDEX(N_Bedarf!$CE$2:$CE$141,_xlfn.AGGREGATE(15,6,(ROW(N_Bedarf!$CE$2:$CE$141)-1)/(--(SEARCH(DK$2,N_Bedarf!$CE$2:$CE$141)&gt;0)),ROW()-2),1),"")</f>
        <v>Emmer (Sommerung)</v>
      </c>
      <c r="DK67" s="2356"/>
      <c r="DL67" s="2356" t="str">
        <f t="array" ref="DL67">IFERROR(INDEX(N_Bedarf!$CE$2:$CE$141,_xlfn.AGGREGATE(15,6,(ROW(N_Bedarf!$CE$2:$CE$141)-1)/(--(SEARCH(DM$2,N_Bedarf!$CE$2:$CE$141)&gt;0)),ROW()-2),1),"")</f>
        <v>Emmer (Sommerung)</v>
      </c>
      <c r="DM67" s="2356"/>
      <c r="DN67" s="2356" t="str">
        <f t="array" ref="DN67">IFERROR(INDEX(N_Bedarf!$CE$2:$CE$141,_xlfn.AGGREGATE(15,6,(ROW(N_Bedarf!$CE$2:$CE$141)-1)/(--(SEARCH(DO$2,N_Bedarf!$CE$2:$CE$141)&gt;0)),ROW()-2),1),"")</f>
        <v>Emmer (Sommerung)</v>
      </c>
      <c r="DO67" s="2356"/>
      <c r="DP67" s="2356" t="str">
        <f t="array" ref="DP67">IFERROR(INDEX(N_Bedarf!$CE$2:$CE$141,_xlfn.AGGREGATE(15,6,(ROW(N_Bedarf!$CE$2:$CE$141)-1)/(--(SEARCH(DQ$2,N_Bedarf!$CE$2:$CE$141)&gt;0)),ROW()-2),1),"")</f>
        <v>Emmer (Sommerung)</v>
      </c>
      <c r="DQ67" s="2356"/>
      <c r="DR67" s="2356" t="str">
        <f t="array" ref="DR67">IFERROR(INDEX(N_Bedarf!$CE$2:$CE$141,_xlfn.AGGREGATE(15,6,(ROW(N_Bedarf!$CE$2:$CE$141)-1)/(--(SEARCH(DS$2,N_Bedarf!$CE$2:$CE$141)&gt;0)),ROW()-2),1),"")</f>
        <v>Emmer (Sommerung)</v>
      </c>
      <c r="DS67" s="2356"/>
      <c r="DT67" s="2356" t="str">
        <f t="array" ref="DT67">IFERROR(INDEX(N_Bedarf!$CE$2:$CE$141,_xlfn.AGGREGATE(15,6,(ROW(N_Bedarf!$CE$2:$CE$141)-1)/(--(SEARCH(DU$2,N_Bedarf!$CE$2:$CE$141)&gt;0)),ROW()-2),1),"")</f>
        <v>Emmer (Sommerung)</v>
      </c>
      <c r="DU67" s="2356"/>
      <c r="DV67" s="2356" t="str">
        <f t="array" ref="DV67">IFERROR(INDEX(N_Bedarf!$CE$2:$CE$141,_xlfn.AGGREGATE(15,6,(ROW(N_Bedarf!$CE$2:$CE$141)-1)/(--(SEARCH(DW$2,N_Bedarf!$CE$2:$CE$141)&gt;0)),ROW()-2),1),"")</f>
        <v>Emmer (Sommerung)</v>
      </c>
      <c r="DW67" s="2356"/>
      <c r="DX67" s="2356" t="str">
        <f t="array" ref="DX67">IFERROR(INDEX(N_Bedarf!$CE$2:$CE$141,_xlfn.AGGREGATE(15,6,(ROW(N_Bedarf!$CE$2:$CE$141)-1)/(--(SEARCH(DY$2,N_Bedarf!$CE$2:$CE$141)&gt;0)),ROW()-2),1),"")</f>
        <v>Emmer (Sommerung)</v>
      </c>
      <c r="DY67" s="2356"/>
      <c r="DZ67" s="2356" t="str">
        <f t="array" ref="DZ67">IFERROR(INDEX(N_Bedarf!$CE$2:$CE$141,_xlfn.AGGREGATE(15,6,(ROW(N_Bedarf!$CE$2:$CE$141)-1)/(--(SEARCH(EA$2,N_Bedarf!$CE$2:$CE$141)&gt;0)),ROW()-2),1),"")</f>
        <v>Emmer (Sommerung)</v>
      </c>
      <c r="EA67" s="2356"/>
      <c r="EB67" s="2356" t="str">
        <f t="array" ref="EB67">IFERROR(INDEX(N_Bedarf!$CE$2:$CE$141,_xlfn.AGGREGATE(15,6,(ROW(N_Bedarf!$CE$2:$CE$141)-1)/(--(SEARCH(EC$2,N_Bedarf!$CE$2:$CE$141)&gt;0)),ROW()-2),1),"")</f>
        <v>Emmer (Sommerung)</v>
      </c>
      <c r="EC67" s="2356"/>
      <c r="ED67"/>
      <c r="EE67"/>
      <c r="EF67"/>
      <c r="EG67"/>
      <c r="EH67"/>
      <c r="EI67"/>
      <c r="EJ67"/>
      <c r="EK67"/>
      <c r="EL67"/>
      <c r="EM67"/>
      <c r="EN67"/>
      <c r="EO67"/>
      <c r="EP67"/>
      <c r="EQ67"/>
      <c r="ER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row>
    <row r="68" spans="1:291" ht="18.75" customHeight="1" thickTop="1" thickBot="1">
      <c r="A68" s="156"/>
      <c r="B68" s="156"/>
      <c r="C68" s="430" t="s">
        <v>1228</v>
      </c>
      <c r="D68" s="431"/>
      <c r="E68" s="770"/>
      <c r="F68" s="770"/>
      <c r="G68" s="770"/>
      <c r="H68" s="770"/>
      <c r="I68" s="770"/>
      <c r="J68" s="770"/>
      <c r="K68" s="770"/>
      <c r="L68" s="770"/>
      <c r="M68" s="770"/>
      <c r="N68" s="770"/>
      <c r="O68" s="770"/>
      <c r="P68" s="770"/>
      <c r="Q68" s="770"/>
      <c r="R68" s="770"/>
      <c r="S68" s="770"/>
      <c r="AO68" s="156"/>
      <c r="AP68" s="770"/>
      <c r="AQ68" s="476"/>
      <c r="AR68" s="234"/>
      <c r="AS68" s="185"/>
      <c r="AT68" s="1738"/>
      <c r="AU68" s="1696" t="s">
        <v>604</v>
      </c>
      <c r="AV68" s="156" t="s">
        <v>608</v>
      </c>
      <c r="AW68" s="1427" t="s">
        <v>1294</v>
      </c>
      <c r="AX68" s="1722" t="s">
        <v>1690</v>
      </c>
      <c r="AY68" s="681">
        <v>105</v>
      </c>
      <c r="AZ68" s="681">
        <v>90</v>
      </c>
      <c r="BA68" s="681" t="s">
        <v>2638</v>
      </c>
      <c r="BB68" s="681">
        <v>145</v>
      </c>
      <c r="BC68" s="681">
        <v>125</v>
      </c>
      <c r="BD68" s="1915" t="s">
        <v>2637</v>
      </c>
      <c r="BE68" s="681">
        <v>170</v>
      </c>
      <c r="BF68" s="681">
        <v>145</v>
      </c>
      <c r="BG68" s="1915" t="s">
        <v>2636</v>
      </c>
      <c r="BH68" s="681">
        <v>180</v>
      </c>
      <c r="BI68" s="681">
        <v>155</v>
      </c>
      <c r="BJ68" s="1915" t="s">
        <v>2635</v>
      </c>
      <c r="BK68" s="681">
        <v>195</v>
      </c>
      <c r="BL68" s="681">
        <v>165</v>
      </c>
      <c r="BM68" s="1915" t="s">
        <v>2634</v>
      </c>
      <c r="BN68" s="471" t="s">
        <v>1764</v>
      </c>
      <c r="BO68" s="821" t="s">
        <v>1764</v>
      </c>
      <c r="BP68"/>
      <c r="BQ68" s="1722" t="s">
        <v>1690</v>
      </c>
      <c r="BR68" s="470">
        <v>50</v>
      </c>
      <c r="BS68" s="470">
        <v>55</v>
      </c>
      <c r="BT68" s="470">
        <v>65</v>
      </c>
      <c r="BU68" s="426"/>
      <c r="BV68" s="1722" t="s">
        <v>1690</v>
      </c>
      <c r="BW68" s="470">
        <v>70</v>
      </c>
      <c r="BX68" s="470">
        <v>80</v>
      </c>
      <c r="BY68" s="470">
        <v>90</v>
      </c>
      <c r="CA68" s="394"/>
      <c r="CB68"/>
      <c r="CC68"/>
      <c r="CD68"/>
      <c r="CE68" s="2310" t="s">
        <v>1693</v>
      </c>
      <c r="CF68" s="1834" t="str">
        <f>IFERROR(INDEX(N_Bedarf!$CE$2:$CE$141,_xlfn.AGGREGATE(15,6,(ROW(N_Bedarf!$CE$2:$CE$141)-1)/(--(SEARCH(CG$2,N_Bedarf!$CE$2:$CE$141)&gt;0)),ROW()-2),1),"")</f>
        <v>Einkorn (Winterung)</v>
      </c>
      <c r="CG68" s="1836"/>
      <c r="CH68" s="1834" t="str">
        <f>IFERROR(INDEX(N_Bedarf!$CE$2:$CE$141,_xlfn.AGGREGATE(15,6,(ROW(N_Bedarf!$CE$2:$CE$141)-1)/(--(SEARCH(CI$2,N_Bedarf!$CE$2:$CE$141)&gt;0)),ROW()-2),1),"")</f>
        <v>Einkorn (Winterung)</v>
      </c>
      <c r="CI68" s="1836"/>
      <c r="CJ68" s="1834" t="str">
        <f>IFERROR(INDEX(N_Bedarf!$CE$2:$CE$141,_xlfn.AGGREGATE(15,6,(ROW(N_Bedarf!$CE$2:$CE$141)-1)/(--(SEARCH(CK$2,N_Bedarf!$CE$2:$CE$141)&gt;0)),ROW()-2),1),"")</f>
        <v>Einkorn (Winterung)</v>
      </c>
      <c r="CK68" s="1836"/>
      <c r="CL68" s="1834" t="str">
        <f>IFERROR(INDEX(N_Bedarf!$CE$2:$CE$141,_xlfn.AGGREGATE(15,6,(ROW(N_Bedarf!$CE$2:$CE$141)-1)/(--(SEARCH(CM$2,N_Bedarf!$CE$2:$CE$141)&gt;0)),ROW()-2),1),"")</f>
        <v>Einkorn (Winterung)</v>
      </c>
      <c r="CM68" s="1836"/>
      <c r="CN68" s="1834" t="str">
        <f>IFERROR(INDEX(N_Bedarf!$CE$2:$CE$141,_xlfn.AGGREGATE(15,6,(ROW(N_Bedarf!$CE$2:$CE$141)-1)/(--(SEARCH(CO$2,N_Bedarf!$CE$2:$CE$141)&gt;0)),ROW()-2),1),"")</f>
        <v>Einkorn (Winterung)</v>
      </c>
      <c r="CO68" s="1836"/>
      <c r="CP68" s="1834" t="str">
        <f>IFERROR(INDEX(N_Bedarf!$CE$2:$CE$141,_xlfn.AGGREGATE(15,6,(ROW(N_Bedarf!$CE$2:$CE$141)-1)/(--(SEARCH(CQ$2,N_Bedarf!$CE$2:$CE$141)&gt;0)),ROW()-2),1),"")</f>
        <v>Einkorn (Winterung)</v>
      </c>
      <c r="CQ68" s="1836"/>
      <c r="CR68" s="1834" t="str">
        <f>IFERROR(INDEX(N_Bedarf!$CE$2:$CE$141,_xlfn.AGGREGATE(15,6,(ROW(N_Bedarf!$CE$2:$CE$141)-1)/(--(SEARCH(CS$2,N_Bedarf!$CE$2:$CE$141)&gt;0)),ROW()-2),1),"")</f>
        <v>Einkorn (Winterung)</v>
      </c>
      <c r="CS68" s="1836"/>
      <c r="CT68" s="1834" t="str">
        <f>IFERROR(INDEX(N_Bedarf!$CE$2:$CE$141,_xlfn.AGGREGATE(15,6,(ROW(N_Bedarf!$CE$2:$CE$141)-1)/(--(SEARCH(CU$2,N_Bedarf!$CE$2:$CE$141)&gt;0)),ROW()-2),1),"")</f>
        <v>Einkorn (Winterung)</v>
      </c>
      <c r="CU68" s="1836"/>
      <c r="CV68" s="1834" t="str">
        <f>IFERROR(INDEX(N_Bedarf!$CE$2:$CE$141,_xlfn.AGGREGATE(15,6,(ROW(N_Bedarf!$CE$2:$CE$141)-1)/(--(SEARCH(CW$2,N_Bedarf!$CE$2:$CE$141)&gt;0)),ROW()-2),1),"")</f>
        <v>Einkorn (Winterung)</v>
      </c>
      <c r="CW68" s="1836"/>
      <c r="CX68" s="1834" t="str">
        <f>IFERROR(INDEX(N_Bedarf!$CE$2:$CE$141,_xlfn.AGGREGATE(15,6,(ROW(N_Bedarf!$CE$2:$CE$141)-1)/(--(SEARCH(CY$2,N_Bedarf!$CE$2:$CE$141)&gt;0)),ROW()-2),1),"")</f>
        <v>Einkorn (Winterung)</v>
      </c>
      <c r="CY68" s="1836"/>
      <c r="CZ68" s="1834" t="str">
        <f>IFERROR(INDEX(N_Bedarf!$CE$2:$CE$141,_xlfn.AGGREGATE(15,6,(ROW(N_Bedarf!$CE$2:$CE$141)-1)/(--(SEARCH(DA$2,N_Bedarf!$CE$2:$CE$141)&gt;0)),ROW()-2),1),"")</f>
        <v>Einkorn (Winterung)</v>
      </c>
      <c r="DA68" s="1836"/>
      <c r="DB68" s="1834" t="str">
        <f>IFERROR(INDEX(N_Bedarf!$CE$2:$CE$141,_xlfn.AGGREGATE(15,6,(ROW(N_Bedarf!$CE$2:$CE$141)-1)/(--(SEARCH(DC$2,N_Bedarf!$CE$2:$CE$141)&gt;0)),ROW()-2),1),"")</f>
        <v>Einkorn (Winterung)</v>
      </c>
      <c r="DC68" s="1836"/>
      <c r="DD68" s="1834" t="str">
        <f>IFERROR(INDEX(N_Bedarf!$CE$2:$CE$141,_xlfn.AGGREGATE(15,6,(ROW(N_Bedarf!$CE$2:$CE$141)-1)/(--(SEARCH(DE$2,N_Bedarf!$CE$2:$CE$141)&gt;0)),ROW()-2),1),"")</f>
        <v>Einkorn (Winterung)</v>
      </c>
      <c r="DE68" s="1836"/>
      <c r="DF68" s="2353" t="str">
        <f t="array" ref="DF68">IFERROR(INDEX(N_Bedarf!$CE$2:$CE$141,_xlfn.AGGREGATE(15,6,(ROW(N_Bedarf!$CE$2:$CE$141)-1)/(--(SEARCH(DG$2,N_Bedarf!$CE$2:$CE$141)&gt;0)),ROW()-2),1),"")</f>
        <v>Einkorn (Winterung)</v>
      </c>
      <c r="DG68" s="2353"/>
      <c r="DH68" s="2355" t="str">
        <f t="array" ref="DH68">IFERROR(INDEX(N_Bedarf!$CE$2:$CE$141,_xlfn.AGGREGATE(15,6,(ROW(N_Bedarf!$CE$2:$CE$141)-1)/(--(SEARCH(DI$2,N_Bedarf!$CE$2:$CE$141)&gt;0)),ROW()-2),1),"")</f>
        <v>Einkorn (Winterung)</v>
      </c>
      <c r="DI68" s="2355"/>
      <c r="DJ68" s="2356" t="str">
        <f t="array" ref="DJ68">IFERROR(INDEX(N_Bedarf!$CE$2:$CE$141,_xlfn.AGGREGATE(15,6,(ROW(N_Bedarf!$CE$2:$CE$141)-1)/(--(SEARCH(DK$2,N_Bedarf!$CE$2:$CE$141)&gt;0)),ROW()-2),1),"")</f>
        <v>Einkorn (Winterung)</v>
      </c>
      <c r="DK68" s="2356"/>
      <c r="DL68" s="2356" t="str">
        <f t="array" ref="DL68">IFERROR(INDEX(N_Bedarf!$CE$2:$CE$141,_xlfn.AGGREGATE(15,6,(ROW(N_Bedarf!$CE$2:$CE$141)-1)/(--(SEARCH(DM$2,N_Bedarf!$CE$2:$CE$141)&gt;0)),ROW()-2),1),"")</f>
        <v>Einkorn (Winterung)</v>
      </c>
      <c r="DM68" s="2356"/>
      <c r="DN68" s="2356" t="str">
        <f t="array" ref="DN68">IFERROR(INDEX(N_Bedarf!$CE$2:$CE$141,_xlfn.AGGREGATE(15,6,(ROW(N_Bedarf!$CE$2:$CE$141)-1)/(--(SEARCH(DO$2,N_Bedarf!$CE$2:$CE$141)&gt;0)),ROW()-2),1),"")</f>
        <v>Einkorn (Winterung)</v>
      </c>
      <c r="DO68" s="2356"/>
      <c r="DP68" s="2356" t="str">
        <f t="array" ref="DP68">IFERROR(INDEX(N_Bedarf!$CE$2:$CE$141,_xlfn.AGGREGATE(15,6,(ROW(N_Bedarf!$CE$2:$CE$141)-1)/(--(SEARCH(DQ$2,N_Bedarf!$CE$2:$CE$141)&gt;0)),ROW()-2),1),"")</f>
        <v>Einkorn (Winterung)</v>
      </c>
      <c r="DQ68" s="2356"/>
      <c r="DR68" s="2356" t="str">
        <f t="array" ref="DR68">IFERROR(INDEX(N_Bedarf!$CE$2:$CE$141,_xlfn.AGGREGATE(15,6,(ROW(N_Bedarf!$CE$2:$CE$141)-1)/(--(SEARCH(DS$2,N_Bedarf!$CE$2:$CE$141)&gt;0)),ROW()-2),1),"")</f>
        <v>Einkorn (Winterung)</v>
      </c>
      <c r="DS68" s="2356"/>
      <c r="DT68" s="2356" t="str">
        <f t="array" ref="DT68">IFERROR(INDEX(N_Bedarf!$CE$2:$CE$141,_xlfn.AGGREGATE(15,6,(ROW(N_Bedarf!$CE$2:$CE$141)-1)/(--(SEARCH(DU$2,N_Bedarf!$CE$2:$CE$141)&gt;0)),ROW()-2),1),"")</f>
        <v>Einkorn (Winterung)</v>
      </c>
      <c r="DU68" s="2356"/>
      <c r="DV68" s="2356" t="str">
        <f t="array" ref="DV68">IFERROR(INDEX(N_Bedarf!$CE$2:$CE$141,_xlfn.AGGREGATE(15,6,(ROW(N_Bedarf!$CE$2:$CE$141)-1)/(--(SEARCH(DW$2,N_Bedarf!$CE$2:$CE$141)&gt;0)),ROW()-2),1),"")</f>
        <v>Einkorn (Winterung)</v>
      </c>
      <c r="DW68" s="2356"/>
      <c r="DX68" s="2356" t="str">
        <f t="array" ref="DX68">IFERROR(INDEX(N_Bedarf!$CE$2:$CE$141,_xlfn.AGGREGATE(15,6,(ROW(N_Bedarf!$CE$2:$CE$141)-1)/(--(SEARCH(DY$2,N_Bedarf!$CE$2:$CE$141)&gt;0)),ROW()-2),1),"")</f>
        <v>Einkorn (Winterung)</v>
      </c>
      <c r="DY68" s="2356"/>
      <c r="DZ68" s="2356" t="str">
        <f t="array" ref="DZ68">IFERROR(INDEX(N_Bedarf!$CE$2:$CE$141,_xlfn.AGGREGATE(15,6,(ROW(N_Bedarf!$CE$2:$CE$141)-1)/(--(SEARCH(EA$2,N_Bedarf!$CE$2:$CE$141)&gt;0)),ROW()-2),1),"")</f>
        <v>Einkorn (Winterung)</v>
      </c>
      <c r="EA68" s="2356"/>
      <c r="EB68" s="2356" t="str">
        <f t="array" ref="EB68">IFERROR(INDEX(N_Bedarf!$CE$2:$CE$141,_xlfn.AGGREGATE(15,6,(ROW(N_Bedarf!$CE$2:$CE$141)-1)/(--(SEARCH(EC$2,N_Bedarf!$CE$2:$CE$141)&gt;0)),ROW()-2),1),"")</f>
        <v>Einkorn (Winterung)</v>
      </c>
      <c r="EC68" s="2356"/>
      <c r="ED68"/>
      <c r="EE68"/>
      <c r="EF68"/>
      <c r="EG68"/>
      <c r="EH68"/>
      <c r="EI68"/>
      <c r="EJ68"/>
      <c r="EK68"/>
      <c r="EL68"/>
      <c r="EM68"/>
      <c r="EN68"/>
      <c r="EO68"/>
      <c r="EP68"/>
      <c r="EQ68"/>
      <c r="ER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row>
    <row r="69" spans="1:291" ht="24" customHeight="1" thickTop="1" thickBot="1">
      <c r="A69" s="156"/>
      <c r="B69" s="156"/>
      <c r="AO69" s="156"/>
      <c r="AP69" s="1742"/>
      <c r="AQ69" s="476"/>
      <c r="AR69" s="234"/>
      <c r="AS69" s="185"/>
      <c r="AT69" s="1738"/>
      <c r="AU69" s="1696" t="s">
        <v>1246</v>
      </c>
      <c r="AV69" s="1429" t="s">
        <v>1993</v>
      </c>
      <c r="AW69" s="1739"/>
      <c r="AX69" s="1722" t="s">
        <v>1691</v>
      </c>
      <c r="AY69" s="681">
        <v>105</v>
      </c>
      <c r="AZ69" s="681">
        <v>90</v>
      </c>
      <c r="BA69" s="681" t="s">
        <v>2639</v>
      </c>
      <c r="BB69" s="681">
        <v>145</v>
      </c>
      <c r="BC69" s="681">
        <v>125</v>
      </c>
      <c r="BD69" s="1915" t="s">
        <v>2640</v>
      </c>
      <c r="BE69" s="681">
        <v>170</v>
      </c>
      <c r="BF69" s="681">
        <v>145</v>
      </c>
      <c r="BG69" s="1915" t="s">
        <v>2641</v>
      </c>
      <c r="BH69" s="681">
        <v>180</v>
      </c>
      <c r="BI69" s="681">
        <v>155</v>
      </c>
      <c r="BJ69" s="1915" t="s">
        <v>2642</v>
      </c>
      <c r="BK69" s="681">
        <v>195</v>
      </c>
      <c r="BL69" s="681">
        <v>165</v>
      </c>
      <c r="BM69" s="1915" t="s">
        <v>2643</v>
      </c>
      <c r="BN69" s="471" t="s">
        <v>1764</v>
      </c>
      <c r="BO69" s="821" t="s">
        <v>1764</v>
      </c>
      <c r="BP69"/>
      <c r="BQ69" s="1722" t="s">
        <v>1691</v>
      </c>
      <c r="BR69" s="470">
        <v>50</v>
      </c>
      <c r="BS69" s="470">
        <v>55</v>
      </c>
      <c r="BT69" s="470">
        <v>65</v>
      </c>
      <c r="BU69" s="426"/>
      <c r="BV69" s="1722" t="s">
        <v>1691</v>
      </c>
      <c r="BW69" s="470">
        <v>70</v>
      </c>
      <c r="BX69" s="470">
        <v>80</v>
      </c>
      <c r="BY69" s="470">
        <v>90</v>
      </c>
      <c r="CA69" s="394"/>
      <c r="CB69"/>
      <c r="CC69"/>
      <c r="CD69"/>
      <c r="CE69" s="2310" t="s">
        <v>4</v>
      </c>
      <c r="CF69" s="1834" t="str">
        <f>IFERROR(INDEX(N_Bedarf!$CE$2:$CE$141,_xlfn.AGGREGATE(15,6,(ROW(N_Bedarf!$CE$2:$CE$141)-1)/(--(SEARCH(CG$2,N_Bedarf!$CE$2:$CE$141)&gt;0)),ROW()-2),1),"")</f>
        <v>Emmer (Winterung)</v>
      </c>
      <c r="CG69" s="1830"/>
      <c r="CH69" s="1834" t="str">
        <f>IFERROR(INDEX(N_Bedarf!$CE$2:$CE$141,_xlfn.AGGREGATE(15,6,(ROW(N_Bedarf!$CE$2:$CE$141)-1)/(--(SEARCH(CI$2,N_Bedarf!$CE$2:$CE$141)&gt;0)),ROW()-2),1),"")</f>
        <v>Emmer (Winterung)</v>
      </c>
      <c r="CI69" s="1830"/>
      <c r="CJ69" s="1834" t="str">
        <f>IFERROR(INDEX(N_Bedarf!$CE$2:$CE$141,_xlfn.AGGREGATE(15,6,(ROW(N_Bedarf!$CE$2:$CE$141)-1)/(--(SEARCH(CK$2,N_Bedarf!$CE$2:$CE$141)&gt;0)),ROW()-2),1),"")</f>
        <v>Emmer (Winterung)</v>
      </c>
      <c r="CK69" s="1830"/>
      <c r="CL69" s="1834" t="str">
        <f>IFERROR(INDEX(N_Bedarf!$CE$2:$CE$141,_xlfn.AGGREGATE(15,6,(ROW(N_Bedarf!$CE$2:$CE$141)-1)/(--(SEARCH(CM$2,N_Bedarf!$CE$2:$CE$141)&gt;0)),ROW()-2),1),"")</f>
        <v>Emmer (Winterung)</v>
      </c>
      <c r="CM69" s="1830"/>
      <c r="CN69" s="1834" t="str">
        <f>IFERROR(INDEX(N_Bedarf!$CE$2:$CE$141,_xlfn.AGGREGATE(15,6,(ROW(N_Bedarf!$CE$2:$CE$141)-1)/(--(SEARCH(CO$2,N_Bedarf!$CE$2:$CE$141)&gt;0)),ROW()-2),1),"")</f>
        <v>Emmer (Winterung)</v>
      </c>
      <c r="CO69" s="1830"/>
      <c r="CP69" s="1834" t="str">
        <f>IFERROR(INDEX(N_Bedarf!$CE$2:$CE$141,_xlfn.AGGREGATE(15,6,(ROW(N_Bedarf!$CE$2:$CE$141)-1)/(--(SEARCH(CQ$2,N_Bedarf!$CE$2:$CE$141)&gt;0)),ROW()-2),1),"")</f>
        <v>Emmer (Winterung)</v>
      </c>
      <c r="CQ69" s="1830"/>
      <c r="CR69" s="1834" t="str">
        <f>IFERROR(INDEX(N_Bedarf!$CE$2:$CE$141,_xlfn.AGGREGATE(15,6,(ROW(N_Bedarf!$CE$2:$CE$141)-1)/(--(SEARCH(CS$2,N_Bedarf!$CE$2:$CE$141)&gt;0)),ROW()-2),1),"")</f>
        <v>Emmer (Winterung)</v>
      </c>
      <c r="CS69" s="1830"/>
      <c r="CT69" s="1834" t="str">
        <f>IFERROR(INDEX(N_Bedarf!$CE$2:$CE$141,_xlfn.AGGREGATE(15,6,(ROW(N_Bedarf!$CE$2:$CE$141)-1)/(--(SEARCH(CU$2,N_Bedarf!$CE$2:$CE$141)&gt;0)),ROW()-2),1),"")</f>
        <v>Emmer (Winterung)</v>
      </c>
      <c r="CU69" s="1830"/>
      <c r="CV69" s="1834" t="str">
        <f>IFERROR(INDEX(N_Bedarf!$CE$2:$CE$141,_xlfn.AGGREGATE(15,6,(ROW(N_Bedarf!$CE$2:$CE$141)-1)/(--(SEARCH(CW$2,N_Bedarf!$CE$2:$CE$141)&gt;0)),ROW()-2),1),"")</f>
        <v>Emmer (Winterung)</v>
      </c>
      <c r="CW69" s="1830"/>
      <c r="CX69" s="1834" t="str">
        <f>IFERROR(INDEX(N_Bedarf!$CE$2:$CE$141,_xlfn.AGGREGATE(15,6,(ROW(N_Bedarf!$CE$2:$CE$141)-1)/(--(SEARCH(CY$2,N_Bedarf!$CE$2:$CE$141)&gt;0)),ROW()-2),1),"")</f>
        <v>Emmer (Winterung)</v>
      </c>
      <c r="CY69" s="1830"/>
      <c r="CZ69" s="1834" t="str">
        <f>IFERROR(INDEX(N_Bedarf!$CE$2:$CE$141,_xlfn.AGGREGATE(15,6,(ROW(N_Bedarf!$CE$2:$CE$141)-1)/(--(SEARCH(DA$2,N_Bedarf!$CE$2:$CE$141)&gt;0)),ROW()-2),1),"")</f>
        <v>Emmer (Winterung)</v>
      </c>
      <c r="DA69" s="1830"/>
      <c r="DB69" s="1834" t="str">
        <f>IFERROR(INDEX(N_Bedarf!$CE$2:$CE$141,_xlfn.AGGREGATE(15,6,(ROW(N_Bedarf!$CE$2:$CE$141)-1)/(--(SEARCH(DC$2,N_Bedarf!$CE$2:$CE$141)&gt;0)),ROW()-2),1),"")</f>
        <v>Emmer (Winterung)</v>
      </c>
      <c r="DC69" s="1830"/>
      <c r="DD69" s="1834" t="str">
        <f>IFERROR(INDEX(N_Bedarf!$CE$2:$CE$141,_xlfn.AGGREGATE(15,6,(ROW(N_Bedarf!$CE$2:$CE$141)-1)/(--(SEARCH(DE$2,N_Bedarf!$CE$2:$CE$141)&gt;0)),ROW()-2),1),"")</f>
        <v>Emmer (Winterung)</v>
      </c>
      <c r="DE69" s="1830"/>
      <c r="DF69" s="2353" t="str">
        <f t="array" ref="DF69">IFERROR(INDEX(N_Bedarf!$CE$2:$CE$141,_xlfn.AGGREGATE(15,6,(ROW(N_Bedarf!$CE$2:$CE$141)-1)/(--(SEARCH(DG$2,N_Bedarf!$CE$2:$CE$141)&gt;0)),ROW()-2),1),"")</f>
        <v>Emmer (Winterung)</v>
      </c>
      <c r="DG69" s="2353"/>
      <c r="DH69" s="2355" t="str">
        <f t="array" ref="DH69">IFERROR(INDEX(N_Bedarf!$CE$2:$CE$141,_xlfn.AGGREGATE(15,6,(ROW(N_Bedarf!$CE$2:$CE$141)-1)/(--(SEARCH(DI$2,N_Bedarf!$CE$2:$CE$141)&gt;0)),ROW()-2),1),"")</f>
        <v>Emmer (Winterung)</v>
      </c>
      <c r="DI69" s="2355"/>
      <c r="DJ69" s="2356" t="str">
        <f t="array" ref="DJ69">IFERROR(INDEX(N_Bedarf!$CE$2:$CE$141,_xlfn.AGGREGATE(15,6,(ROW(N_Bedarf!$CE$2:$CE$141)-1)/(--(SEARCH(DK$2,N_Bedarf!$CE$2:$CE$141)&gt;0)),ROW()-2),1),"")</f>
        <v>Emmer (Winterung)</v>
      </c>
      <c r="DK69" s="2356"/>
      <c r="DL69" s="2356" t="str">
        <f t="array" ref="DL69">IFERROR(INDEX(N_Bedarf!$CE$2:$CE$141,_xlfn.AGGREGATE(15,6,(ROW(N_Bedarf!$CE$2:$CE$141)-1)/(--(SEARCH(DM$2,N_Bedarf!$CE$2:$CE$141)&gt;0)),ROW()-2),1),"")</f>
        <v>Emmer (Winterung)</v>
      </c>
      <c r="DM69" s="2356"/>
      <c r="DN69" s="2356" t="str">
        <f t="array" ref="DN69">IFERROR(INDEX(N_Bedarf!$CE$2:$CE$141,_xlfn.AGGREGATE(15,6,(ROW(N_Bedarf!$CE$2:$CE$141)-1)/(--(SEARCH(DO$2,N_Bedarf!$CE$2:$CE$141)&gt;0)),ROW()-2),1),"")</f>
        <v>Emmer (Winterung)</v>
      </c>
      <c r="DO69" s="2356"/>
      <c r="DP69" s="2356" t="str">
        <f t="array" ref="DP69">IFERROR(INDEX(N_Bedarf!$CE$2:$CE$141,_xlfn.AGGREGATE(15,6,(ROW(N_Bedarf!$CE$2:$CE$141)-1)/(--(SEARCH(DQ$2,N_Bedarf!$CE$2:$CE$141)&gt;0)),ROW()-2),1),"")</f>
        <v>Emmer (Winterung)</v>
      </c>
      <c r="DQ69" s="2356"/>
      <c r="DR69" s="2356" t="str">
        <f t="array" ref="DR69">IFERROR(INDEX(N_Bedarf!$CE$2:$CE$141,_xlfn.AGGREGATE(15,6,(ROW(N_Bedarf!$CE$2:$CE$141)-1)/(--(SEARCH(DS$2,N_Bedarf!$CE$2:$CE$141)&gt;0)),ROW()-2),1),"")</f>
        <v>Emmer (Winterung)</v>
      </c>
      <c r="DS69" s="2356"/>
      <c r="DT69" s="2356" t="str">
        <f t="array" ref="DT69">IFERROR(INDEX(N_Bedarf!$CE$2:$CE$141,_xlfn.AGGREGATE(15,6,(ROW(N_Bedarf!$CE$2:$CE$141)-1)/(--(SEARCH(DU$2,N_Bedarf!$CE$2:$CE$141)&gt;0)),ROW()-2),1),"")</f>
        <v>Emmer (Winterung)</v>
      </c>
      <c r="DU69" s="2356"/>
      <c r="DV69" s="2356" t="str">
        <f t="array" ref="DV69">IFERROR(INDEX(N_Bedarf!$CE$2:$CE$141,_xlfn.AGGREGATE(15,6,(ROW(N_Bedarf!$CE$2:$CE$141)-1)/(--(SEARCH(DW$2,N_Bedarf!$CE$2:$CE$141)&gt;0)),ROW()-2),1),"")</f>
        <v>Emmer (Winterung)</v>
      </c>
      <c r="DW69" s="2356"/>
      <c r="DX69" s="2356" t="str">
        <f t="array" ref="DX69">IFERROR(INDEX(N_Bedarf!$CE$2:$CE$141,_xlfn.AGGREGATE(15,6,(ROW(N_Bedarf!$CE$2:$CE$141)-1)/(--(SEARCH(DY$2,N_Bedarf!$CE$2:$CE$141)&gt;0)),ROW()-2),1),"")</f>
        <v>Emmer (Winterung)</v>
      </c>
      <c r="DY69" s="2356"/>
      <c r="DZ69" s="2356" t="str">
        <f t="array" ref="DZ69">IFERROR(INDEX(N_Bedarf!$CE$2:$CE$141,_xlfn.AGGREGATE(15,6,(ROW(N_Bedarf!$CE$2:$CE$141)-1)/(--(SEARCH(EA$2,N_Bedarf!$CE$2:$CE$141)&gt;0)),ROW()-2),1),"")</f>
        <v>Emmer (Winterung)</v>
      </c>
      <c r="EA69" s="2356"/>
      <c r="EB69" s="2356" t="str">
        <f t="array" ref="EB69">IFERROR(INDEX(N_Bedarf!$CE$2:$CE$141,_xlfn.AGGREGATE(15,6,(ROW(N_Bedarf!$CE$2:$CE$141)-1)/(--(SEARCH(EC$2,N_Bedarf!$CE$2:$CE$141)&gt;0)),ROW()-2),1),"")</f>
        <v>Emmer (Winterung)</v>
      </c>
      <c r="EC69" s="2356"/>
      <c r="ED69"/>
      <c r="EE69"/>
      <c r="EF69"/>
      <c r="EG69"/>
      <c r="EH69"/>
      <c r="EI69"/>
      <c r="EJ69"/>
      <c r="EK69"/>
      <c r="EL69"/>
      <c r="EM69"/>
      <c r="EN69"/>
      <c r="EO69"/>
      <c r="EP69"/>
      <c r="EQ69"/>
      <c r="ER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row>
    <row r="70" spans="1:291" ht="21" customHeight="1" thickTop="1" thickBot="1">
      <c r="A70" s="156"/>
      <c r="B70" s="156"/>
      <c r="AO70" s="156"/>
      <c r="AP70" s="1742"/>
      <c r="AQ70" s="476"/>
      <c r="AR70" s="234"/>
      <c r="AS70" s="185"/>
      <c r="AT70" s="475"/>
      <c r="AU70" s="1697" t="s">
        <v>1247</v>
      </c>
      <c r="AV70" s="1429" t="s">
        <v>604</v>
      </c>
      <c r="AX70" s="1722" t="s">
        <v>1692</v>
      </c>
      <c r="AY70" s="681">
        <v>105</v>
      </c>
      <c r="AZ70" s="681">
        <v>90</v>
      </c>
      <c r="BA70" s="681" t="s">
        <v>2638</v>
      </c>
      <c r="BB70" s="681">
        <v>145</v>
      </c>
      <c r="BC70" s="681">
        <v>125</v>
      </c>
      <c r="BD70" s="1915" t="s">
        <v>2637</v>
      </c>
      <c r="BE70" s="681">
        <v>170</v>
      </c>
      <c r="BF70" s="681">
        <v>145</v>
      </c>
      <c r="BG70" s="1915" t="s">
        <v>2636</v>
      </c>
      <c r="BH70" s="681">
        <v>180</v>
      </c>
      <c r="BI70" s="681">
        <v>155</v>
      </c>
      <c r="BJ70" s="1915" t="s">
        <v>2635</v>
      </c>
      <c r="BK70" s="681">
        <v>195</v>
      </c>
      <c r="BL70" s="681">
        <v>165</v>
      </c>
      <c r="BM70" s="1915" t="s">
        <v>2634</v>
      </c>
      <c r="BN70" s="471" t="s">
        <v>1764</v>
      </c>
      <c r="BO70" s="821" t="s">
        <v>1764</v>
      </c>
      <c r="BP70"/>
      <c r="BQ70" s="1722" t="s">
        <v>1692</v>
      </c>
      <c r="BR70" s="470">
        <v>50</v>
      </c>
      <c r="BS70" s="470">
        <v>55</v>
      </c>
      <c r="BT70" s="470">
        <v>65</v>
      </c>
      <c r="BU70" s="426"/>
      <c r="BV70" s="1722" t="s">
        <v>1692</v>
      </c>
      <c r="BW70" s="470">
        <v>70</v>
      </c>
      <c r="BX70" s="470">
        <v>80</v>
      </c>
      <c r="BY70" s="470">
        <v>90</v>
      </c>
      <c r="CA70" s="394"/>
      <c r="CB70"/>
      <c r="CC70"/>
      <c r="CD70"/>
      <c r="CE70" s="2310" t="s">
        <v>12</v>
      </c>
      <c r="CF70" s="1834" t="str">
        <f>IFERROR(INDEX(N_Bedarf!$CE$2:$CE$141,_xlfn.AGGREGATE(15,6,(ROW(N_Bedarf!$CE$2:$CE$141)-1)/(--(SEARCH(CG$2,N_Bedarf!$CE$2:$CE$141)&gt;0)),ROW()-2),1),"")</f>
        <v>Amaranth</v>
      </c>
      <c r="CG70" s="1836"/>
      <c r="CH70" s="1834" t="str">
        <f>IFERROR(INDEX(N_Bedarf!$CE$2:$CE$141,_xlfn.AGGREGATE(15,6,(ROW(N_Bedarf!$CE$2:$CE$141)-1)/(--(SEARCH(CI$2,N_Bedarf!$CE$2:$CE$141)&gt;0)),ROW()-2),1),"")</f>
        <v>Amaranth</v>
      </c>
      <c r="CI70" s="1836"/>
      <c r="CJ70" s="1834" t="str">
        <f>IFERROR(INDEX(N_Bedarf!$CE$2:$CE$141,_xlfn.AGGREGATE(15,6,(ROW(N_Bedarf!$CE$2:$CE$141)-1)/(--(SEARCH(CK$2,N_Bedarf!$CE$2:$CE$141)&gt;0)),ROW()-2),1),"")</f>
        <v>Amaranth</v>
      </c>
      <c r="CK70" s="1836"/>
      <c r="CL70" s="1834" t="str">
        <f>IFERROR(INDEX(N_Bedarf!$CE$2:$CE$141,_xlfn.AGGREGATE(15,6,(ROW(N_Bedarf!$CE$2:$CE$141)-1)/(--(SEARCH(CM$2,N_Bedarf!$CE$2:$CE$141)&gt;0)),ROW()-2),1),"")</f>
        <v>Amaranth</v>
      </c>
      <c r="CM70" s="1836"/>
      <c r="CN70" s="1834" t="str">
        <f>IFERROR(INDEX(N_Bedarf!$CE$2:$CE$141,_xlfn.AGGREGATE(15,6,(ROW(N_Bedarf!$CE$2:$CE$141)-1)/(--(SEARCH(CO$2,N_Bedarf!$CE$2:$CE$141)&gt;0)),ROW()-2),1),"")</f>
        <v>Amaranth</v>
      </c>
      <c r="CO70" s="1836"/>
      <c r="CP70" s="1834" t="str">
        <f>IFERROR(INDEX(N_Bedarf!$CE$2:$CE$141,_xlfn.AGGREGATE(15,6,(ROW(N_Bedarf!$CE$2:$CE$141)-1)/(--(SEARCH(CQ$2,N_Bedarf!$CE$2:$CE$141)&gt;0)),ROW()-2),1),"")</f>
        <v>Amaranth</v>
      </c>
      <c r="CQ70" s="1836"/>
      <c r="CR70" s="1834" t="str">
        <f>IFERROR(INDEX(N_Bedarf!$CE$2:$CE$141,_xlfn.AGGREGATE(15,6,(ROW(N_Bedarf!$CE$2:$CE$141)-1)/(--(SEARCH(CS$2,N_Bedarf!$CE$2:$CE$141)&gt;0)),ROW()-2),1),"")</f>
        <v>Amaranth</v>
      </c>
      <c r="CS70" s="1836"/>
      <c r="CT70" s="1834" t="str">
        <f>IFERROR(INDEX(N_Bedarf!$CE$2:$CE$141,_xlfn.AGGREGATE(15,6,(ROW(N_Bedarf!$CE$2:$CE$141)-1)/(--(SEARCH(CU$2,N_Bedarf!$CE$2:$CE$141)&gt;0)),ROW()-2),1),"")</f>
        <v>Amaranth</v>
      </c>
      <c r="CU70" s="1836"/>
      <c r="CV70" s="1834" t="str">
        <f>IFERROR(INDEX(N_Bedarf!$CE$2:$CE$141,_xlfn.AGGREGATE(15,6,(ROW(N_Bedarf!$CE$2:$CE$141)-1)/(--(SEARCH(CW$2,N_Bedarf!$CE$2:$CE$141)&gt;0)),ROW()-2),1),"")</f>
        <v>Amaranth</v>
      </c>
      <c r="CW70" s="1836"/>
      <c r="CX70" s="1834" t="str">
        <f>IFERROR(INDEX(N_Bedarf!$CE$2:$CE$141,_xlfn.AGGREGATE(15,6,(ROW(N_Bedarf!$CE$2:$CE$141)-1)/(--(SEARCH(CY$2,N_Bedarf!$CE$2:$CE$141)&gt;0)),ROW()-2),1),"")</f>
        <v>Amaranth</v>
      </c>
      <c r="CY70" s="1836"/>
      <c r="CZ70" s="1834" t="str">
        <f>IFERROR(INDEX(N_Bedarf!$CE$2:$CE$141,_xlfn.AGGREGATE(15,6,(ROW(N_Bedarf!$CE$2:$CE$141)-1)/(--(SEARCH(DA$2,N_Bedarf!$CE$2:$CE$141)&gt;0)),ROW()-2),1),"")</f>
        <v>Amaranth</v>
      </c>
      <c r="DA70" s="1836"/>
      <c r="DB70" s="1834" t="str">
        <f>IFERROR(INDEX(N_Bedarf!$CE$2:$CE$141,_xlfn.AGGREGATE(15,6,(ROW(N_Bedarf!$CE$2:$CE$141)-1)/(--(SEARCH(DC$2,N_Bedarf!$CE$2:$CE$141)&gt;0)),ROW()-2),1),"")</f>
        <v>Amaranth</v>
      </c>
      <c r="DC70" s="1836"/>
      <c r="DD70" s="1834" t="str">
        <f>IFERROR(INDEX(N_Bedarf!$CE$2:$CE$141,_xlfn.AGGREGATE(15,6,(ROW(N_Bedarf!$CE$2:$CE$141)-1)/(--(SEARCH(DE$2,N_Bedarf!$CE$2:$CE$141)&gt;0)),ROW()-2),1),"")</f>
        <v>Amaranth</v>
      </c>
      <c r="DE70" s="1836"/>
      <c r="DF70" s="2353" t="str">
        <f t="array" ref="DF70">IFERROR(INDEX(N_Bedarf!$CE$2:$CE$141,_xlfn.AGGREGATE(15,6,(ROW(N_Bedarf!$CE$2:$CE$141)-1)/(--(SEARCH(DG$2,N_Bedarf!$CE$2:$CE$141)&gt;0)),ROW()-2),1),"")</f>
        <v>Amaranth</v>
      </c>
      <c r="DG70" s="2353"/>
      <c r="DH70" s="2355" t="str">
        <f t="array" ref="DH70">IFERROR(INDEX(N_Bedarf!$CE$2:$CE$141,_xlfn.AGGREGATE(15,6,(ROW(N_Bedarf!$CE$2:$CE$141)-1)/(--(SEARCH(DI$2,N_Bedarf!$CE$2:$CE$141)&gt;0)),ROW()-2),1),"")</f>
        <v>Amaranth</v>
      </c>
      <c r="DI70" s="2355"/>
      <c r="DJ70" s="2356" t="str">
        <f t="array" ref="DJ70">IFERROR(INDEX(N_Bedarf!$CE$2:$CE$141,_xlfn.AGGREGATE(15,6,(ROW(N_Bedarf!$CE$2:$CE$141)-1)/(--(SEARCH(DK$2,N_Bedarf!$CE$2:$CE$141)&gt;0)),ROW()-2),1),"")</f>
        <v>Amaranth</v>
      </c>
      <c r="DK70" s="2356"/>
      <c r="DL70" s="2356" t="str">
        <f t="array" ref="DL70">IFERROR(INDEX(N_Bedarf!$CE$2:$CE$141,_xlfn.AGGREGATE(15,6,(ROW(N_Bedarf!$CE$2:$CE$141)-1)/(--(SEARCH(DM$2,N_Bedarf!$CE$2:$CE$141)&gt;0)),ROW()-2),1),"")</f>
        <v>Amaranth</v>
      </c>
      <c r="DM70" s="2356"/>
      <c r="DN70" s="2356" t="str">
        <f t="array" ref="DN70">IFERROR(INDEX(N_Bedarf!$CE$2:$CE$141,_xlfn.AGGREGATE(15,6,(ROW(N_Bedarf!$CE$2:$CE$141)-1)/(--(SEARCH(DO$2,N_Bedarf!$CE$2:$CE$141)&gt;0)),ROW()-2),1),"")</f>
        <v>Amaranth</v>
      </c>
      <c r="DO70" s="2356"/>
      <c r="DP70" s="2356" t="str">
        <f t="array" ref="DP70">IFERROR(INDEX(N_Bedarf!$CE$2:$CE$141,_xlfn.AGGREGATE(15,6,(ROW(N_Bedarf!$CE$2:$CE$141)-1)/(--(SEARCH(DQ$2,N_Bedarf!$CE$2:$CE$141)&gt;0)),ROW()-2),1),"")</f>
        <v>Amaranth</v>
      </c>
      <c r="DQ70" s="2356"/>
      <c r="DR70" s="2356" t="str">
        <f t="array" ref="DR70">IFERROR(INDEX(N_Bedarf!$CE$2:$CE$141,_xlfn.AGGREGATE(15,6,(ROW(N_Bedarf!$CE$2:$CE$141)-1)/(--(SEARCH(DS$2,N_Bedarf!$CE$2:$CE$141)&gt;0)),ROW()-2),1),"")</f>
        <v>Amaranth</v>
      </c>
      <c r="DS70" s="2356"/>
      <c r="DT70" s="2356" t="str">
        <f t="array" ref="DT70">IFERROR(INDEX(N_Bedarf!$CE$2:$CE$141,_xlfn.AGGREGATE(15,6,(ROW(N_Bedarf!$CE$2:$CE$141)-1)/(--(SEARCH(DU$2,N_Bedarf!$CE$2:$CE$141)&gt;0)),ROW()-2),1),"")</f>
        <v>Amaranth</v>
      </c>
      <c r="DU70" s="2356"/>
      <c r="DV70" s="2356" t="str">
        <f t="array" ref="DV70">IFERROR(INDEX(N_Bedarf!$CE$2:$CE$141,_xlfn.AGGREGATE(15,6,(ROW(N_Bedarf!$CE$2:$CE$141)-1)/(--(SEARCH(DW$2,N_Bedarf!$CE$2:$CE$141)&gt;0)),ROW()-2),1),"")</f>
        <v>Amaranth</v>
      </c>
      <c r="DW70" s="2356"/>
      <c r="DX70" s="2356" t="str">
        <f t="array" ref="DX70">IFERROR(INDEX(N_Bedarf!$CE$2:$CE$141,_xlfn.AGGREGATE(15,6,(ROW(N_Bedarf!$CE$2:$CE$141)-1)/(--(SEARCH(DY$2,N_Bedarf!$CE$2:$CE$141)&gt;0)),ROW()-2),1),"")</f>
        <v>Amaranth</v>
      </c>
      <c r="DY70" s="2356"/>
      <c r="DZ70" s="2356" t="str">
        <f t="array" ref="DZ70">IFERROR(INDEX(N_Bedarf!$CE$2:$CE$141,_xlfn.AGGREGATE(15,6,(ROW(N_Bedarf!$CE$2:$CE$141)-1)/(--(SEARCH(EA$2,N_Bedarf!$CE$2:$CE$141)&gt;0)),ROW()-2),1),"")</f>
        <v>Amaranth</v>
      </c>
      <c r="EA70" s="2356"/>
      <c r="EB70" s="2356" t="str">
        <f t="array" ref="EB70">IFERROR(INDEX(N_Bedarf!$CE$2:$CE$141,_xlfn.AGGREGATE(15,6,(ROW(N_Bedarf!$CE$2:$CE$141)-1)/(--(SEARCH(EC$2,N_Bedarf!$CE$2:$CE$141)&gt;0)),ROW()-2),1),"")</f>
        <v>Amaranth</v>
      </c>
      <c r="EC70" s="2356"/>
      <c r="ED70"/>
      <c r="EE70"/>
      <c r="EF70"/>
      <c r="EG70"/>
      <c r="EH70"/>
      <c r="EI70"/>
      <c r="EJ70"/>
      <c r="EK70"/>
      <c r="EL70"/>
      <c r="EM70"/>
      <c r="EN70"/>
      <c r="EO70"/>
      <c r="EP70"/>
      <c r="EQ70"/>
      <c r="ER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row>
    <row r="71" spans="1:291" ht="21" customHeight="1" thickTop="1" thickBot="1">
      <c r="A71" s="156"/>
      <c r="B71" s="156"/>
      <c r="AO71" s="156"/>
      <c r="AP71" s="1747"/>
      <c r="AQ71" s="1747"/>
      <c r="AV71" s="185" t="s">
        <v>1994</v>
      </c>
      <c r="AW71" s="1429"/>
      <c r="AX71" s="1722" t="s">
        <v>1693</v>
      </c>
      <c r="AY71" s="681">
        <v>105</v>
      </c>
      <c r="AZ71" s="681">
        <v>90</v>
      </c>
      <c r="BA71" s="681" t="s">
        <v>2639</v>
      </c>
      <c r="BB71" s="681">
        <v>145</v>
      </c>
      <c r="BC71" s="681">
        <v>125</v>
      </c>
      <c r="BD71" s="1915" t="s">
        <v>2640</v>
      </c>
      <c r="BE71" s="681">
        <v>170</v>
      </c>
      <c r="BF71" s="681">
        <v>145</v>
      </c>
      <c r="BG71" s="1915" t="s">
        <v>2641</v>
      </c>
      <c r="BH71" s="681">
        <v>180</v>
      </c>
      <c r="BI71" s="681">
        <v>155</v>
      </c>
      <c r="BJ71" s="1915" t="s">
        <v>2642</v>
      </c>
      <c r="BK71" s="681">
        <v>195</v>
      </c>
      <c r="BL71" s="681">
        <v>165</v>
      </c>
      <c r="BM71" s="1915" t="s">
        <v>2643</v>
      </c>
      <c r="BN71" s="471" t="s">
        <v>1764</v>
      </c>
      <c r="BO71" s="821" t="s">
        <v>1764</v>
      </c>
      <c r="BP71"/>
      <c r="BQ71" s="1722" t="s">
        <v>1693</v>
      </c>
      <c r="BR71" s="470">
        <v>50</v>
      </c>
      <c r="BS71" s="470">
        <v>55</v>
      </c>
      <c r="BT71" s="470">
        <v>65</v>
      </c>
      <c r="BV71" s="1722" t="s">
        <v>1693</v>
      </c>
      <c r="BW71" s="470">
        <v>70</v>
      </c>
      <c r="BX71" s="470">
        <v>80</v>
      </c>
      <c r="BY71" s="470">
        <v>90</v>
      </c>
      <c r="CA71" s="394"/>
      <c r="CB71"/>
      <c r="CC71"/>
      <c r="CD71"/>
      <c r="CE71" s="2310" t="s">
        <v>1715</v>
      </c>
      <c r="CF71" s="1834" t="str">
        <f>IFERROR(INDEX(N_Bedarf!$CE$2:$CE$141,_xlfn.AGGREGATE(15,6,(ROW(N_Bedarf!$CE$2:$CE$141)-1)/(--(SEARCH(CG$2,N_Bedarf!$CE$2:$CE$141)&gt;0)),ROW()-2),1),"")</f>
        <v>Buchweizen</v>
      </c>
      <c r="CG71" s="1830"/>
      <c r="CH71" s="1834" t="str">
        <f>IFERROR(INDEX(N_Bedarf!$CE$2:$CE$141,_xlfn.AGGREGATE(15,6,(ROW(N_Bedarf!$CE$2:$CE$141)-1)/(--(SEARCH(CI$2,N_Bedarf!$CE$2:$CE$141)&gt;0)),ROW()-2),1),"")</f>
        <v>Buchweizen</v>
      </c>
      <c r="CI71" s="1830"/>
      <c r="CJ71" s="1834" t="str">
        <f>IFERROR(INDEX(N_Bedarf!$CE$2:$CE$141,_xlfn.AGGREGATE(15,6,(ROW(N_Bedarf!$CE$2:$CE$141)-1)/(--(SEARCH(CK$2,N_Bedarf!$CE$2:$CE$141)&gt;0)),ROW()-2),1),"")</f>
        <v>Buchweizen</v>
      </c>
      <c r="CK71" s="1830"/>
      <c r="CL71" s="1834" t="str">
        <f>IFERROR(INDEX(N_Bedarf!$CE$2:$CE$141,_xlfn.AGGREGATE(15,6,(ROW(N_Bedarf!$CE$2:$CE$141)-1)/(--(SEARCH(CM$2,N_Bedarf!$CE$2:$CE$141)&gt;0)),ROW()-2),1),"")</f>
        <v>Buchweizen</v>
      </c>
      <c r="CM71" s="1830"/>
      <c r="CN71" s="1834" t="str">
        <f>IFERROR(INDEX(N_Bedarf!$CE$2:$CE$141,_xlfn.AGGREGATE(15,6,(ROW(N_Bedarf!$CE$2:$CE$141)-1)/(--(SEARCH(CO$2,N_Bedarf!$CE$2:$CE$141)&gt;0)),ROW()-2),1),"")</f>
        <v>Buchweizen</v>
      </c>
      <c r="CO71" s="1830"/>
      <c r="CP71" s="1834" t="str">
        <f>IFERROR(INDEX(N_Bedarf!$CE$2:$CE$141,_xlfn.AGGREGATE(15,6,(ROW(N_Bedarf!$CE$2:$CE$141)-1)/(--(SEARCH(CQ$2,N_Bedarf!$CE$2:$CE$141)&gt;0)),ROW()-2),1),"")</f>
        <v>Buchweizen</v>
      </c>
      <c r="CQ71" s="1830"/>
      <c r="CR71" s="1834" t="str">
        <f>IFERROR(INDEX(N_Bedarf!$CE$2:$CE$141,_xlfn.AGGREGATE(15,6,(ROW(N_Bedarf!$CE$2:$CE$141)-1)/(--(SEARCH(CS$2,N_Bedarf!$CE$2:$CE$141)&gt;0)),ROW()-2),1),"")</f>
        <v>Buchweizen</v>
      </c>
      <c r="CS71" s="1830"/>
      <c r="CT71" s="1834" t="str">
        <f>IFERROR(INDEX(N_Bedarf!$CE$2:$CE$141,_xlfn.AGGREGATE(15,6,(ROW(N_Bedarf!$CE$2:$CE$141)-1)/(--(SEARCH(CU$2,N_Bedarf!$CE$2:$CE$141)&gt;0)),ROW()-2),1),"")</f>
        <v>Buchweizen</v>
      </c>
      <c r="CU71" s="1830"/>
      <c r="CV71" s="1834" t="str">
        <f>IFERROR(INDEX(N_Bedarf!$CE$2:$CE$141,_xlfn.AGGREGATE(15,6,(ROW(N_Bedarf!$CE$2:$CE$141)-1)/(--(SEARCH(CW$2,N_Bedarf!$CE$2:$CE$141)&gt;0)),ROW()-2),1),"")</f>
        <v>Buchweizen</v>
      </c>
      <c r="CW71" s="1830"/>
      <c r="CX71" s="1834" t="str">
        <f>IFERROR(INDEX(N_Bedarf!$CE$2:$CE$141,_xlfn.AGGREGATE(15,6,(ROW(N_Bedarf!$CE$2:$CE$141)-1)/(--(SEARCH(CY$2,N_Bedarf!$CE$2:$CE$141)&gt;0)),ROW()-2),1),"")</f>
        <v>Buchweizen</v>
      </c>
      <c r="CY71" s="1830"/>
      <c r="CZ71" s="1834" t="str">
        <f>IFERROR(INDEX(N_Bedarf!$CE$2:$CE$141,_xlfn.AGGREGATE(15,6,(ROW(N_Bedarf!$CE$2:$CE$141)-1)/(--(SEARCH(DA$2,N_Bedarf!$CE$2:$CE$141)&gt;0)),ROW()-2),1),"")</f>
        <v>Buchweizen</v>
      </c>
      <c r="DA71" s="1830"/>
      <c r="DB71" s="1834" t="str">
        <f>IFERROR(INDEX(N_Bedarf!$CE$2:$CE$141,_xlfn.AGGREGATE(15,6,(ROW(N_Bedarf!$CE$2:$CE$141)-1)/(--(SEARCH(DC$2,N_Bedarf!$CE$2:$CE$141)&gt;0)),ROW()-2),1),"")</f>
        <v>Buchweizen</v>
      </c>
      <c r="DC71" s="1830"/>
      <c r="DD71" s="1834" t="str">
        <f>IFERROR(INDEX(N_Bedarf!$CE$2:$CE$141,_xlfn.AGGREGATE(15,6,(ROW(N_Bedarf!$CE$2:$CE$141)-1)/(--(SEARCH(DE$2,N_Bedarf!$CE$2:$CE$141)&gt;0)),ROW()-2),1),"")</f>
        <v>Buchweizen</v>
      </c>
      <c r="DE71" s="1830"/>
      <c r="DF71" s="2353" t="str">
        <f t="array" ref="DF71">IFERROR(INDEX(N_Bedarf!$CE$2:$CE$141,_xlfn.AGGREGATE(15,6,(ROW(N_Bedarf!$CE$2:$CE$141)-1)/(--(SEARCH(DG$2,N_Bedarf!$CE$2:$CE$141)&gt;0)),ROW()-2),1),"")</f>
        <v>Buchweizen</v>
      </c>
      <c r="DG71" s="2353"/>
      <c r="DH71" s="2355" t="str">
        <f t="array" ref="DH71">IFERROR(INDEX(N_Bedarf!$CE$2:$CE$141,_xlfn.AGGREGATE(15,6,(ROW(N_Bedarf!$CE$2:$CE$141)-1)/(--(SEARCH(DI$2,N_Bedarf!$CE$2:$CE$141)&gt;0)),ROW()-2),1),"")</f>
        <v>Buchweizen</v>
      </c>
      <c r="DI71" s="2355"/>
      <c r="DJ71" s="2356" t="str">
        <f t="array" ref="DJ71">IFERROR(INDEX(N_Bedarf!$CE$2:$CE$141,_xlfn.AGGREGATE(15,6,(ROW(N_Bedarf!$CE$2:$CE$141)-1)/(--(SEARCH(DK$2,N_Bedarf!$CE$2:$CE$141)&gt;0)),ROW()-2),1),"")</f>
        <v>Buchweizen</v>
      </c>
      <c r="DK71" s="2356"/>
      <c r="DL71" s="2356" t="str">
        <f t="array" ref="DL71">IFERROR(INDEX(N_Bedarf!$CE$2:$CE$141,_xlfn.AGGREGATE(15,6,(ROW(N_Bedarf!$CE$2:$CE$141)-1)/(--(SEARCH(DM$2,N_Bedarf!$CE$2:$CE$141)&gt;0)),ROW()-2),1),"")</f>
        <v>Buchweizen</v>
      </c>
      <c r="DM71" s="2356"/>
      <c r="DN71" s="2356" t="str">
        <f t="array" ref="DN71">IFERROR(INDEX(N_Bedarf!$CE$2:$CE$141,_xlfn.AGGREGATE(15,6,(ROW(N_Bedarf!$CE$2:$CE$141)-1)/(--(SEARCH(DO$2,N_Bedarf!$CE$2:$CE$141)&gt;0)),ROW()-2),1),"")</f>
        <v>Buchweizen</v>
      </c>
      <c r="DO71" s="2356"/>
      <c r="DP71" s="2356" t="str">
        <f t="array" ref="DP71">IFERROR(INDEX(N_Bedarf!$CE$2:$CE$141,_xlfn.AGGREGATE(15,6,(ROW(N_Bedarf!$CE$2:$CE$141)-1)/(--(SEARCH(DQ$2,N_Bedarf!$CE$2:$CE$141)&gt;0)),ROW()-2),1),"")</f>
        <v>Buchweizen</v>
      </c>
      <c r="DQ71" s="2356"/>
      <c r="DR71" s="2356" t="str">
        <f t="array" ref="DR71">IFERROR(INDEX(N_Bedarf!$CE$2:$CE$141,_xlfn.AGGREGATE(15,6,(ROW(N_Bedarf!$CE$2:$CE$141)-1)/(--(SEARCH(DS$2,N_Bedarf!$CE$2:$CE$141)&gt;0)),ROW()-2),1),"")</f>
        <v>Buchweizen</v>
      </c>
      <c r="DS71" s="2356"/>
      <c r="DT71" s="2356" t="str">
        <f t="array" ref="DT71">IFERROR(INDEX(N_Bedarf!$CE$2:$CE$141,_xlfn.AGGREGATE(15,6,(ROW(N_Bedarf!$CE$2:$CE$141)-1)/(--(SEARCH(DU$2,N_Bedarf!$CE$2:$CE$141)&gt;0)),ROW()-2),1),"")</f>
        <v>Buchweizen</v>
      </c>
      <c r="DU71" s="2356"/>
      <c r="DV71" s="2356" t="str">
        <f t="array" ref="DV71">IFERROR(INDEX(N_Bedarf!$CE$2:$CE$141,_xlfn.AGGREGATE(15,6,(ROW(N_Bedarf!$CE$2:$CE$141)-1)/(--(SEARCH(DW$2,N_Bedarf!$CE$2:$CE$141)&gt;0)),ROW()-2),1),"")</f>
        <v>Buchweizen</v>
      </c>
      <c r="DW71" s="2356"/>
      <c r="DX71" s="2356" t="str">
        <f t="array" ref="DX71">IFERROR(INDEX(N_Bedarf!$CE$2:$CE$141,_xlfn.AGGREGATE(15,6,(ROW(N_Bedarf!$CE$2:$CE$141)-1)/(--(SEARCH(DY$2,N_Bedarf!$CE$2:$CE$141)&gt;0)),ROW()-2),1),"")</f>
        <v>Buchweizen</v>
      </c>
      <c r="DY71" s="2356"/>
      <c r="DZ71" s="2356" t="str">
        <f t="array" ref="DZ71">IFERROR(INDEX(N_Bedarf!$CE$2:$CE$141,_xlfn.AGGREGATE(15,6,(ROW(N_Bedarf!$CE$2:$CE$141)-1)/(--(SEARCH(EA$2,N_Bedarf!$CE$2:$CE$141)&gt;0)),ROW()-2),1),"")</f>
        <v>Buchweizen</v>
      </c>
      <c r="EA71" s="2356"/>
      <c r="EB71" s="2356" t="str">
        <f t="array" ref="EB71">IFERROR(INDEX(N_Bedarf!$CE$2:$CE$141,_xlfn.AGGREGATE(15,6,(ROW(N_Bedarf!$CE$2:$CE$141)-1)/(--(SEARCH(EC$2,N_Bedarf!$CE$2:$CE$141)&gt;0)),ROW()-2),1),"")</f>
        <v>Buchweizen</v>
      </c>
      <c r="EC71" s="2356"/>
      <c r="ED71"/>
      <c r="EE71"/>
      <c r="EF71"/>
      <c r="EG71"/>
      <c r="EH71"/>
      <c r="EI71"/>
      <c r="EJ71"/>
      <c r="EK71"/>
      <c r="EL71"/>
      <c r="EM71"/>
      <c r="EN71"/>
      <c r="EO71"/>
      <c r="EP71"/>
      <c r="EQ71"/>
      <c r="ER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row>
    <row r="72" spans="1:291" ht="21" customHeight="1" thickTop="1" thickBot="1">
      <c r="A72" s="156"/>
      <c r="B72" s="156"/>
      <c r="C72" s="2498" t="s">
        <v>2819</v>
      </c>
      <c r="D72" s="2501" t="s">
        <v>2366</v>
      </c>
      <c r="E72" s="2502"/>
      <c r="F72" s="2502"/>
      <c r="G72" s="2502"/>
      <c r="H72" s="2502"/>
      <c r="I72" s="2502"/>
      <c r="J72" s="2502"/>
      <c r="K72" s="2502"/>
      <c r="L72" s="2502"/>
      <c r="M72" s="2502"/>
      <c r="N72" s="2502"/>
      <c r="O72" s="2502"/>
      <c r="P72" s="2502"/>
      <c r="Q72" s="2502"/>
      <c r="R72" s="2502"/>
      <c r="S72" s="2503" t="s">
        <v>1747</v>
      </c>
      <c r="T72" s="2502"/>
      <c r="U72" s="2502"/>
      <c r="V72" s="2502"/>
      <c r="W72" s="2502"/>
      <c r="X72" s="2502"/>
      <c r="Y72" s="2502"/>
      <c r="Z72" s="2502"/>
      <c r="AA72" s="2502"/>
      <c r="AB72" s="2502"/>
      <c r="AC72" s="2504"/>
      <c r="AD72" s="2502" t="s">
        <v>1748</v>
      </c>
      <c r="AE72" s="2502"/>
      <c r="AF72" s="2502"/>
      <c r="AG72" s="2502"/>
      <c r="AH72" s="2502"/>
      <c r="AI72" s="2502"/>
      <c r="AJ72" s="2502"/>
      <c r="AK72" s="2502"/>
      <c r="AL72" s="2502"/>
      <c r="AM72" s="2502"/>
      <c r="AN72" s="2504"/>
      <c r="AO72" s="156"/>
      <c r="AP72" s="1748"/>
      <c r="AQ72" s="1748"/>
      <c r="AV72" s="185" t="s">
        <v>1246</v>
      </c>
      <c r="AW72" s="1429"/>
      <c r="AX72" s="1722" t="s">
        <v>4</v>
      </c>
      <c r="AY72" s="681">
        <v>40</v>
      </c>
      <c r="AZ72" s="681">
        <v>35</v>
      </c>
      <c r="BA72" s="681" t="s">
        <v>2690</v>
      </c>
      <c r="BB72" s="681">
        <v>40</v>
      </c>
      <c r="BC72" s="681">
        <v>35</v>
      </c>
      <c r="BD72" s="681" t="s">
        <v>2716</v>
      </c>
      <c r="BE72" s="681">
        <v>40</v>
      </c>
      <c r="BF72" s="681">
        <v>35</v>
      </c>
      <c r="BG72" s="681" t="s">
        <v>2722</v>
      </c>
      <c r="BH72" s="681">
        <v>40</v>
      </c>
      <c r="BI72" s="681">
        <v>35</v>
      </c>
      <c r="BJ72" s="681" t="s">
        <v>2726</v>
      </c>
      <c r="BK72" s="681">
        <v>40</v>
      </c>
      <c r="BL72" s="681">
        <v>35</v>
      </c>
      <c r="BM72" s="681" t="s">
        <v>2575</v>
      </c>
      <c r="BN72" s="471" t="s">
        <v>1764</v>
      </c>
      <c r="BO72" s="821" t="s">
        <v>1764</v>
      </c>
      <c r="BP72"/>
      <c r="BQ72" s="1722" t="s">
        <v>4</v>
      </c>
      <c r="BR72" s="470">
        <v>50</v>
      </c>
      <c r="BS72" s="470">
        <v>55</v>
      </c>
      <c r="BT72" s="470">
        <v>65</v>
      </c>
      <c r="BU72" s="426"/>
      <c r="BV72" s="1722" t="s">
        <v>4</v>
      </c>
      <c r="BW72" s="470">
        <v>45</v>
      </c>
      <c r="BX72" s="470">
        <v>50</v>
      </c>
      <c r="BY72" s="470">
        <v>60</v>
      </c>
      <c r="CA72" s="394"/>
      <c r="CB72"/>
      <c r="CC72"/>
      <c r="CD72"/>
      <c r="CE72" s="2310" t="s">
        <v>1731</v>
      </c>
      <c r="CF72" s="1834" t="str">
        <f>IFERROR(INDEX(N_Bedarf!$CE$2:$CE$141,_xlfn.AGGREGATE(15,6,(ROW(N_Bedarf!$CE$2:$CE$141)-1)/(--(SEARCH(CG$2,N_Bedarf!$CE$2:$CE$141)&gt;0)),ROW()-2),1),"")</f>
        <v>Sommermohn</v>
      </c>
      <c r="CG72" s="1836"/>
      <c r="CH72" s="1834" t="str">
        <f>IFERROR(INDEX(N_Bedarf!$CE$2:$CE$141,_xlfn.AGGREGATE(15,6,(ROW(N_Bedarf!$CE$2:$CE$141)-1)/(--(SEARCH(CI$2,N_Bedarf!$CE$2:$CE$141)&gt;0)),ROW()-2),1),"")</f>
        <v>Sommermohn</v>
      </c>
      <c r="CI72" s="1836"/>
      <c r="CJ72" s="1834" t="str">
        <f>IFERROR(INDEX(N_Bedarf!$CE$2:$CE$141,_xlfn.AGGREGATE(15,6,(ROW(N_Bedarf!$CE$2:$CE$141)-1)/(--(SEARCH(CK$2,N_Bedarf!$CE$2:$CE$141)&gt;0)),ROW()-2),1),"")</f>
        <v>Sommermohn</v>
      </c>
      <c r="CK72" s="1836"/>
      <c r="CL72" s="1834" t="str">
        <f>IFERROR(INDEX(N_Bedarf!$CE$2:$CE$141,_xlfn.AGGREGATE(15,6,(ROW(N_Bedarf!$CE$2:$CE$141)-1)/(--(SEARCH(CM$2,N_Bedarf!$CE$2:$CE$141)&gt;0)),ROW()-2),1),"")</f>
        <v>Sommermohn</v>
      </c>
      <c r="CM72" s="1836"/>
      <c r="CN72" s="1834" t="str">
        <f>IFERROR(INDEX(N_Bedarf!$CE$2:$CE$141,_xlfn.AGGREGATE(15,6,(ROW(N_Bedarf!$CE$2:$CE$141)-1)/(--(SEARCH(CO$2,N_Bedarf!$CE$2:$CE$141)&gt;0)),ROW()-2),1),"")</f>
        <v>Sommermohn</v>
      </c>
      <c r="CO72" s="1836"/>
      <c r="CP72" s="1834" t="str">
        <f>IFERROR(INDEX(N_Bedarf!$CE$2:$CE$141,_xlfn.AGGREGATE(15,6,(ROW(N_Bedarf!$CE$2:$CE$141)-1)/(--(SEARCH(CQ$2,N_Bedarf!$CE$2:$CE$141)&gt;0)),ROW()-2),1),"")</f>
        <v>Sommermohn</v>
      </c>
      <c r="CQ72" s="1836"/>
      <c r="CR72" s="1834" t="str">
        <f>IFERROR(INDEX(N_Bedarf!$CE$2:$CE$141,_xlfn.AGGREGATE(15,6,(ROW(N_Bedarf!$CE$2:$CE$141)-1)/(--(SEARCH(CS$2,N_Bedarf!$CE$2:$CE$141)&gt;0)),ROW()-2),1),"")</f>
        <v>Sommermohn</v>
      </c>
      <c r="CS72" s="1836"/>
      <c r="CT72" s="1834" t="str">
        <f>IFERROR(INDEX(N_Bedarf!$CE$2:$CE$141,_xlfn.AGGREGATE(15,6,(ROW(N_Bedarf!$CE$2:$CE$141)-1)/(--(SEARCH(CU$2,N_Bedarf!$CE$2:$CE$141)&gt;0)),ROW()-2),1),"")</f>
        <v>Sommermohn</v>
      </c>
      <c r="CU72" s="1836"/>
      <c r="CV72" s="1834" t="str">
        <f>IFERROR(INDEX(N_Bedarf!$CE$2:$CE$141,_xlfn.AGGREGATE(15,6,(ROW(N_Bedarf!$CE$2:$CE$141)-1)/(--(SEARCH(CW$2,N_Bedarf!$CE$2:$CE$141)&gt;0)),ROW()-2),1),"")</f>
        <v>Sommermohn</v>
      </c>
      <c r="CW72" s="1836"/>
      <c r="CX72" s="1834" t="str">
        <f>IFERROR(INDEX(N_Bedarf!$CE$2:$CE$141,_xlfn.AGGREGATE(15,6,(ROW(N_Bedarf!$CE$2:$CE$141)-1)/(--(SEARCH(CY$2,N_Bedarf!$CE$2:$CE$141)&gt;0)),ROW()-2),1),"")</f>
        <v>Sommermohn</v>
      </c>
      <c r="CY72" s="1836"/>
      <c r="CZ72" s="1834" t="str">
        <f>IFERROR(INDEX(N_Bedarf!$CE$2:$CE$141,_xlfn.AGGREGATE(15,6,(ROW(N_Bedarf!$CE$2:$CE$141)-1)/(--(SEARCH(DA$2,N_Bedarf!$CE$2:$CE$141)&gt;0)),ROW()-2),1),"")</f>
        <v>Sommermohn</v>
      </c>
      <c r="DA72" s="1836"/>
      <c r="DB72" s="1834" t="str">
        <f>IFERROR(INDEX(N_Bedarf!$CE$2:$CE$141,_xlfn.AGGREGATE(15,6,(ROW(N_Bedarf!$CE$2:$CE$141)-1)/(--(SEARCH(DC$2,N_Bedarf!$CE$2:$CE$141)&gt;0)),ROW()-2),1),"")</f>
        <v>Sommermohn</v>
      </c>
      <c r="DC72" s="1836"/>
      <c r="DD72" s="1834" t="str">
        <f>IFERROR(INDEX(N_Bedarf!$CE$2:$CE$141,_xlfn.AGGREGATE(15,6,(ROW(N_Bedarf!$CE$2:$CE$141)-1)/(--(SEARCH(DE$2,N_Bedarf!$CE$2:$CE$141)&gt;0)),ROW()-2),1),"")</f>
        <v>Sommermohn</v>
      </c>
      <c r="DE72" s="1836"/>
      <c r="DF72" s="2353" t="str">
        <f t="array" ref="DF72">IFERROR(INDEX(N_Bedarf!$CE$2:$CE$141,_xlfn.AGGREGATE(15,6,(ROW(N_Bedarf!$CE$2:$CE$141)-1)/(--(SEARCH(DG$2,N_Bedarf!$CE$2:$CE$141)&gt;0)),ROW()-2),1),"")</f>
        <v>Sommermohn</v>
      </c>
      <c r="DG72" s="2353"/>
      <c r="DH72" s="2355" t="str">
        <f t="array" ref="DH72">IFERROR(INDEX(N_Bedarf!$CE$2:$CE$141,_xlfn.AGGREGATE(15,6,(ROW(N_Bedarf!$CE$2:$CE$141)-1)/(--(SEARCH(DI$2,N_Bedarf!$CE$2:$CE$141)&gt;0)),ROW()-2),1),"")</f>
        <v>Sommermohn</v>
      </c>
      <c r="DI72" s="2355"/>
      <c r="DJ72" s="2356" t="str">
        <f t="array" ref="DJ72">IFERROR(INDEX(N_Bedarf!$CE$2:$CE$141,_xlfn.AGGREGATE(15,6,(ROW(N_Bedarf!$CE$2:$CE$141)-1)/(--(SEARCH(DK$2,N_Bedarf!$CE$2:$CE$141)&gt;0)),ROW()-2),1),"")</f>
        <v>Sommermohn</v>
      </c>
      <c r="DK72" s="2356"/>
      <c r="DL72" s="2356" t="str">
        <f t="array" ref="DL72">IFERROR(INDEX(N_Bedarf!$CE$2:$CE$141,_xlfn.AGGREGATE(15,6,(ROW(N_Bedarf!$CE$2:$CE$141)-1)/(--(SEARCH(DM$2,N_Bedarf!$CE$2:$CE$141)&gt;0)),ROW()-2),1),"")</f>
        <v>Sommermohn</v>
      </c>
      <c r="DM72" s="2356"/>
      <c r="DN72" s="2356" t="str">
        <f t="array" ref="DN72">IFERROR(INDEX(N_Bedarf!$CE$2:$CE$141,_xlfn.AGGREGATE(15,6,(ROW(N_Bedarf!$CE$2:$CE$141)-1)/(--(SEARCH(DO$2,N_Bedarf!$CE$2:$CE$141)&gt;0)),ROW()-2),1),"")</f>
        <v>Sommermohn</v>
      </c>
      <c r="DO72" s="2356"/>
      <c r="DP72" s="2356" t="str">
        <f t="array" ref="DP72">IFERROR(INDEX(N_Bedarf!$CE$2:$CE$141,_xlfn.AGGREGATE(15,6,(ROW(N_Bedarf!$CE$2:$CE$141)-1)/(--(SEARCH(DQ$2,N_Bedarf!$CE$2:$CE$141)&gt;0)),ROW()-2),1),"")</f>
        <v>Sommermohn</v>
      </c>
      <c r="DQ72" s="2356"/>
      <c r="DR72" s="2356" t="str">
        <f t="array" ref="DR72">IFERROR(INDEX(N_Bedarf!$CE$2:$CE$141,_xlfn.AGGREGATE(15,6,(ROW(N_Bedarf!$CE$2:$CE$141)-1)/(--(SEARCH(DS$2,N_Bedarf!$CE$2:$CE$141)&gt;0)),ROW()-2),1),"")</f>
        <v>Sommermohn</v>
      </c>
      <c r="DS72" s="2356"/>
      <c r="DT72" s="2356" t="str">
        <f t="array" ref="DT72">IFERROR(INDEX(N_Bedarf!$CE$2:$CE$141,_xlfn.AGGREGATE(15,6,(ROW(N_Bedarf!$CE$2:$CE$141)-1)/(--(SEARCH(DU$2,N_Bedarf!$CE$2:$CE$141)&gt;0)),ROW()-2),1),"")</f>
        <v>Sommermohn</v>
      </c>
      <c r="DU72" s="2356"/>
      <c r="DV72" s="2356" t="str">
        <f t="array" ref="DV72">IFERROR(INDEX(N_Bedarf!$CE$2:$CE$141,_xlfn.AGGREGATE(15,6,(ROW(N_Bedarf!$CE$2:$CE$141)-1)/(--(SEARCH(DW$2,N_Bedarf!$CE$2:$CE$141)&gt;0)),ROW()-2),1),"")</f>
        <v>Sommermohn</v>
      </c>
      <c r="DW72" s="2356"/>
      <c r="DX72" s="2356" t="str">
        <f t="array" ref="DX72">IFERROR(INDEX(N_Bedarf!$CE$2:$CE$141,_xlfn.AGGREGATE(15,6,(ROW(N_Bedarf!$CE$2:$CE$141)-1)/(--(SEARCH(DY$2,N_Bedarf!$CE$2:$CE$141)&gt;0)),ROW()-2),1),"")</f>
        <v>Sommermohn</v>
      </c>
      <c r="DY72" s="2356"/>
      <c r="DZ72" s="2356" t="str">
        <f t="array" ref="DZ72">IFERROR(INDEX(N_Bedarf!$CE$2:$CE$141,_xlfn.AGGREGATE(15,6,(ROW(N_Bedarf!$CE$2:$CE$141)-1)/(--(SEARCH(EA$2,N_Bedarf!$CE$2:$CE$141)&gt;0)),ROW()-2),1),"")</f>
        <v>Sommermohn</v>
      </c>
      <c r="EA72" s="2356"/>
      <c r="EB72" s="2356" t="str">
        <f t="array" ref="EB72">IFERROR(INDEX(N_Bedarf!$CE$2:$CE$141,_xlfn.AGGREGATE(15,6,(ROW(N_Bedarf!$CE$2:$CE$141)-1)/(--(SEARCH(EC$2,N_Bedarf!$CE$2:$CE$141)&gt;0)),ROW()-2),1),"")</f>
        <v>Sommermohn</v>
      </c>
      <c r="EC72" s="2356"/>
      <c r="ED72"/>
      <c r="EE72"/>
      <c r="EF72"/>
      <c r="EG72"/>
      <c r="EH72"/>
      <c r="EI72"/>
      <c r="EJ72"/>
      <c r="EK72"/>
      <c r="EL72"/>
      <c r="EM72"/>
      <c r="EN72"/>
      <c r="EO72"/>
      <c r="EP72"/>
      <c r="EQ72"/>
      <c r="ER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row>
    <row r="73" spans="1:291" ht="21" customHeight="1" thickTop="1" thickBot="1">
      <c r="A73" s="156"/>
      <c r="B73" s="156"/>
      <c r="C73" s="2499"/>
      <c r="D73" s="2477" t="s">
        <v>1193</v>
      </c>
      <c r="E73" s="2478"/>
      <c r="F73" s="2478"/>
      <c r="G73" s="2478"/>
      <c r="H73" s="2478"/>
      <c r="I73" s="2478"/>
      <c r="J73" s="2478"/>
      <c r="K73" s="2478"/>
      <c r="L73" s="2478"/>
      <c r="M73" s="2478"/>
      <c r="N73" s="2478"/>
      <c r="O73" s="2478"/>
      <c r="P73" s="2478"/>
      <c r="Q73" s="2478"/>
      <c r="R73" s="2478"/>
      <c r="S73" s="2479" t="s">
        <v>1749</v>
      </c>
      <c r="T73" s="2478"/>
      <c r="U73" s="2478"/>
      <c r="V73" s="2478"/>
      <c r="W73" s="2478"/>
      <c r="X73" s="2478"/>
      <c r="Y73" s="2480"/>
      <c r="Z73" s="2480"/>
      <c r="AA73" s="2480"/>
      <c r="AB73" s="2480"/>
      <c r="AC73" s="2481"/>
      <c r="AD73" s="2480" t="s">
        <v>1750</v>
      </c>
      <c r="AE73" s="2480"/>
      <c r="AF73" s="2480"/>
      <c r="AG73" s="2480"/>
      <c r="AH73" s="2480"/>
      <c r="AI73" s="2480"/>
      <c r="AJ73" s="2480"/>
      <c r="AK73" s="2480"/>
      <c r="AL73" s="2480"/>
      <c r="AM73" s="2480"/>
      <c r="AN73" s="2481"/>
      <c r="AO73" s="156"/>
      <c r="AP73" s="156"/>
      <c r="AR73" s="388"/>
      <c r="AS73" s="389"/>
      <c r="AT73" s="398"/>
      <c r="AU73" s="3"/>
      <c r="AV73" s="156" t="s">
        <v>1995</v>
      </c>
      <c r="AW73" s="185"/>
      <c r="AX73" s="1722" t="s">
        <v>12</v>
      </c>
      <c r="AY73" s="681">
        <v>50</v>
      </c>
      <c r="AZ73" s="681">
        <v>45</v>
      </c>
      <c r="BA73" s="681" t="s">
        <v>2690</v>
      </c>
      <c r="BB73" s="681">
        <v>50</v>
      </c>
      <c r="BC73" s="681">
        <v>45</v>
      </c>
      <c r="BD73" s="681" t="s">
        <v>2716</v>
      </c>
      <c r="BE73" s="681">
        <v>50</v>
      </c>
      <c r="BF73" s="681">
        <v>45</v>
      </c>
      <c r="BG73" s="681" t="s">
        <v>2722</v>
      </c>
      <c r="BH73" s="681">
        <v>50</v>
      </c>
      <c r="BI73" s="681">
        <v>45</v>
      </c>
      <c r="BJ73" s="681" t="s">
        <v>2657</v>
      </c>
      <c r="BK73" s="681">
        <v>50</v>
      </c>
      <c r="BL73" s="681">
        <v>45</v>
      </c>
      <c r="BM73" s="681" t="s">
        <v>2576</v>
      </c>
      <c r="BN73" s="471" t="s">
        <v>1764</v>
      </c>
      <c r="BO73" s="821" t="s">
        <v>1764</v>
      </c>
      <c r="BP73"/>
      <c r="BQ73" s="1722" t="s">
        <v>12</v>
      </c>
      <c r="BR73" s="470">
        <v>50</v>
      </c>
      <c r="BS73" s="470">
        <v>55</v>
      </c>
      <c r="BT73" s="470">
        <v>65</v>
      </c>
      <c r="BU73" s="426"/>
      <c r="BV73" s="1722" t="s">
        <v>12</v>
      </c>
      <c r="BW73" s="470">
        <v>45</v>
      </c>
      <c r="BX73" s="470">
        <v>50</v>
      </c>
      <c r="BY73" s="470">
        <v>60</v>
      </c>
      <c r="CA73" s="394"/>
      <c r="CB73"/>
      <c r="CC73"/>
      <c r="CD73"/>
      <c r="CE73" s="2310" t="s">
        <v>1696</v>
      </c>
      <c r="CF73" s="1834" t="str">
        <f>IFERROR(INDEX(N_Bedarf!$CE$2:$CE$141,_xlfn.AGGREGATE(15,6,(ROW(N_Bedarf!$CE$2:$CE$141)-1)/(--(SEARCH(CG$2,N_Bedarf!$CE$2:$CE$141)&gt;0)),ROW()-2),1),"")</f>
        <v>Wintermohn</v>
      </c>
      <c r="CG73" s="1830"/>
      <c r="CH73" s="1834" t="str">
        <f>IFERROR(INDEX(N_Bedarf!$CE$2:$CE$141,_xlfn.AGGREGATE(15,6,(ROW(N_Bedarf!$CE$2:$CE$141)-1)/(--(SEARCH(CI$2,N_Bedarf!$CE$2:$CE$141)&gt;0)),ROW()-2),1),"")</f>
        <v>Wintermohn</v>
      </c>
      <c r="CI73" s="1830"/>
      <c r="CJ73" s="1834" t="str">
        <f>IFERROR(INDEX(N_Bedarf!$CE$2:$CE$141,_xlfn.AGGREGATE(15,6,(ROW(N_Bedarf!$CE$2:$CE$141)-1)/(--(SEARCH(CK$2,N_Bedarf!$CE$2:$CE$141)&gt;0)),ROW()-2),1),"")</f>
        <v>Wintermohn</v>
      </c>
      <c r="CK73" s="1830"/>
      <c r="CL73" s="1834" t="str">
        <f>IFERROR(INDEX(N_Bedarf!$CE$2:$CE$141,_xlfn.AGGREGATE(15,6,(ROW(N_Bedarf!$CE$2:$CE$141)-1)/(--(SEARCH(CM$2,N_Bedarf!$CE$2:$CE$141)&gt;0)),ROW()-2),1),"")</f>
        <v>Wintermohn</v>
      </c>
      <c r="CM73" s="1830"/>
      <c r="CN73" s="1834" t="str">
        <f>IFERROR(INDEX(N_Bedarf!$CE$2:$CE$141,_xlfn.AGGREGATE(15,6,(ROW(N_Bedarf!$CE$2:$CE$141)-1)/(--(SEARCH(CO$2,N_Bedarf!$CE$2:$CE$141)&gt;0)),ROW()-2),1),"")</f>
        <v>Wintermohn</v>
      </c>
      <c r="CO73" s="1830"/>
      <c r="CP73" s="1834" t="str">
        <f>IFERROR(INDEX(N_Bedarf!$CE$2:$CE$141,_xlfn.AGGREGATE(15,6,(ROW(N_Bedarf!$CE$2:$CE$141)-1)/(--(SEARCH(CQ$2,N_Bedarf!$CE$2:$CE$141)&gt;0)),ROW()-2),1),"")</f>
        <v>Wintermohn</v>
      </c>
      <c r="CQ73" s="1830"/>
      <c r="CR73" s="1834" t="str">
        <f>IFERROR(INDEX(N_Bedarf!$CE$2:$CE$141,_xlfn.AGGREGATE(15,6,(ROW(N_Bedarf!$CE$2:$CE$141)-1)/(--(SEARCH(CS$2,N_Bedarf!$CE$2:$CE$141)&gt;0)),ROW()-2),1),"")</f>
        <v>Wintermohn</v>
      </c>
      <c r="CS73" s="1830"/>
      <c r="CT73" s="1834" t="str">
        <f>IFERROR(INDEX(N_Bedarf!$CE$2:$CE$141,_xlfn.AGGREGATE(15,6,(ROW(N_Bedarf!$CE$2:$CE$141)-1)/(--(SEARCH(CU$2,N_Bedarf!$CE$2:$CE$141)&gt;0)),ROW()-2),1),"")</f>
        <v>Wintermohn</v>
      </c>
      <c r="CU73" s="1830"/>
      <c r="CV73" s="1834" t="str">
        <f>IFERROR(INDEX(N_Bedarf!$CE$2:$CE$141,_xlfn.AGGREGATE(15,6,(ROW(N_Bedarf!$CE$2:$CE$141)-1)/(--(SEARCH(CW$2,N_Bedarf!$CE$2:$CE$141)&gt;0)),ROW()-2),1),"")</f>
        <v>Wintermohn</v>
      </c>
      <c r="CW73" s="1830"/>
      <c r="CX73" s="1834" t="str">
        <f>IFERROR(INDEX(N_Bedarf!$CE$2:$CE$141,_xlfn.AGGREGATE(15,6,(ROW(N_Bedarf!$CE$2:$CE$141)-1)/(--(SEARCH(CY$2,N_Bedarf!$CE$2:$CE$141)&gt;0)),ROW()-2),1),"")</f>
        <v>Wintermohn</v>
      </c>
      <c r="CY73" s="1830"/>
      <c r="CZ73" s="1834" t="str">
        <f>IFERROR(INDEX(N_Bedarf!$CE$2:$CE$141,_xlfn.AGGREGATE(15,6,(ROW(N_Bedarf!$CE$2:$CE$141)-1)/(--(SEARCH(DA$2,N_Bedarf!$CE$2:$CE$141)&gt;0)),ROW()-2),1),"")</f>
        <v>Wintermohn</v>
      </c>
      <c r="DA73" s="1830"/>
      <c r="DB73" s="1834" t="str">
        <f>IFERROR(INDEX(N_Bedarf!$CE$2:$CE$141,_xlfn.AGGREGATE(15,6,(ROW(N_Bedarf!$CE$2:$CE$141)-1)/(--(SEARCH(DC$2,N_Bedarf!$CE$2:$CE$141)&gt;0)),ROW()-2),1),"")</f>
        <v>Wintermohn</v>
      </c>
      <c r="DC73" s="1830"/>
      <c r="DD73" s="1834" t="str">
        <f>IFERROR(INDEX(N_Bedarf!$CE$2:$CE$141,_xlfn.AGGREGATE(15,6,(ROW(N_Bedarf!$CE$2:$CE$141)-1)/(--(SEARCH(DE$2,N_Bedarf!$CE$2:$CE$141)&gt;0)),ROW()-2),1),"")</f>
        <v>Wintermohn</v>
      </c>
      <c r="DE73" s="1830"/>
      <c r="DF73" s="2353" t="str">
        <f t="array" ref="DF73">IFERROR(INDEX(N_Bedarf!$CE$2:$CE$141,_xlfn.AGGREGATE(15,6,(ROW(N_Bedarf!$CE$2:$CE$141)-1)/(--(SEARCH(DG$2,N_Bedarf!$CE$2:$CE$141)&gt;0)),ROW()-2),1),"")</f>
        <v>Wintermohn</v>
      </c>
      <c r="DG73" s="2353"/>
      <c r="DH73" s="2355" t="str">
        <f t="array" ref="DH73">IFERROR(INDEX(N_Bedarf!$CE$2:$CE$141,_xlfn.AGGREGATE(15,6,(ROW(N_Bedarf!$CE$2:$CE$141)-1)/(--(SEARCH(DI$2,N_Bedarf!$CE$2:$CE$141)&gt;0)),ROW()-2),1),"")</f>
        <v>Wintermohn</v>
      </c>
      <c r="DI73" s="2355"/>
      <c r="DJ73" s="2356" t="str">
        <f t="array" ref="DJ73">IFERROR(INDEX(N_Bedarf!$CE$2:$CE$141,_xlfn.AGGREGATE(15,6,(ROW(N_Bedarf!$CE$2:$CE$141)-1)/(--(SEARCH(DK$2,N_Bedarf!$CE$2:$CE$141)&gt;0)),ROW()-2),1),"")</f>
        <v>Wintermohn</v>
      </c>
      <c r="DK73" s="2356"/>
      <c r="DL73" s="2356" t="str">
        <f t="array" ref="DL73">IFERROR(INDEX(N_Bedarf!$CE$2:$CE$141,_xlfn.AGGREGATE(15,6,(ROW(N_Bedarf!$CE$2:$CE$141)-1)/(--(SEARCH(DM$2,N_Bedarf!$CE$2:$CE$141)&gt;0)),ROW()-2),1),"")</f>
        <v>Wintermohn</v>
      </c>
      <c r="DM73" s="2356"/>
      <c r="DN73" s="2356" t="str">
        <f t="array" ref="DN73">IFERROR(INDEX(N_Bedarf!$CE$2:$CE$141,_xlfn.AGGREGATE(15,6,(ROW(N_Bedarf!$CE$2:$CE$141)-1)/(--(SEARCH(DO$2,N_Bedarf!$CE$2:$CE$141)&gt;0)),ROW()-2),1),"")</f>
        <v>Wintermohn</v>
      </c>
      <c r="DO73" s="2356"/>
      <c r="DP73" s="2356" t="str">
        <f t="array" ref="DP73">IFERROR(INDEX(N_Bedarf!$CE$2:$CE$141,_xlfn.AGGREGATE(15,6,(ROW(N_Bedarf!$CE$2:$CE$141)-1)/(--(SEARCH(DQ$2,N_Bedarf!$CE$2:$CE$141)&gt;0)),ROW()-2),1),"")</f>
        <v>Wintermohn</v>
      </c>
      <c r="DQ73" s="2356"/>
      <c r="DR73" s="2356" t="str">
        <f t="array" ref="DR73">IFERROR(INDEX(N_Bedarf!$CE$2:$CE$141,_xlfn.AGGREGATE(15,6,(ROW(N_Bedarf!$CE$2:$CE$141)-1)/(--(SEARCH(DS$2,N_Bedarf!$CE$2:$CE$141)&gt;0)),ROW()-2),1),"")</f>
        <v>Wintermohn</v>
      </c>
      <c r="DS73" s="2356"/>
      <c r="DT73" s="2356" t="str">
        <f t="array" ref="DT73">IFERROR(INDEX(N_Bedarf!$CE$2:$CE$141,_xlfn.AGGREGATE(15,6,(ROW(N_Bedarf!$CE$2:$CE$141)-1)/(--(SEARCH(DU$2,N_Bedarf!$CE$2:$CE$141)&gt;0)),ROW()-2),1),"")</f>
        <v>Wintermohn</v>
      </c>
      <c r="DU73" s="2356"/>
      <c r="DV73" s="2356" t="str">
        <f t="array" ref="DV73">IFERROR(INDEX(N_Bedarf!$CE$2:$CE$141,_xlfn.AGGREGATE(15,6,(ROW(N_Bedarf!$CE$2:$CE$141)-1)/(--(SEARCH(DW$2,N_Bedarf!$CE$2:$CE$141)&gt;0)),ROW()-2),1),"")</f>
        <v>Wintermohn</v>
      </c>
      <c r="DW73" s="2356"/>
      <c r="DX73" s="2356" t="str">
        <f t="array" ref="DX73">IFERROR(INDEX(N_Bedarf!$CE$2:$CE$141,_xlfn.AGGREGATE(15,6,(ROW(N_Bedarf!$CE$2:$CE$141)-1)/(--(SEARCH(DY$2,N_Bedarf!$CE$2:$CE$141)&gt;0)),ROW()-2),1),"")</f>
        <v>Wintermohn</v>
      </c>
      <c r="DY73" s="2356"/>
      <c r="DZ73" s="2356" t="str">
        <f t="array" ref="DZ73">IFERROR(INDEX(N_Bedarf!$CE$2:$CE$141,_xlfn.AGGREGATE(15,6,(ROW(N_Bedarf!$CE$2:$CE$141)-1)/(--(SEARCH(EA$2,N_Bedarf!$CE$2:$CE$141)&gt;0)),ROW()-2),1),"")</f>
        <v>Wintermohn</v>
      </c>
      <c r="EA73" s="2356"/>
      <c r="EB73" s="2356" t="str">
        <f t="array" ref="EB73">IFERROR(INDEX(N_Bedarf!$CE$2:$CE$141,_xlfn.AGGREGATE(15,6,(ROW(N_Bedarf!$CE$2:$CE$141)-1)/(--(SEARCH(EC$2,N_Bedarf!$CE$2:$CE$141)&gt;0)),ROW()-2),1),"")</f>
        <v>Wintermohn</v>
      </c>
      <c r="EC73" s="2356"/>
      <c r="ED73"/>
      <c r="EE73"/>
      <c r="EF73"/>
      <c r="EG73"/>
      <c r="EH73"/>
      <c r="EI73"/>
      <c r="EJ73"/>
      <c r="EK73"/>
      <c r="EL73"/>
      <c r="EM73"/>
      <c r="EN73"/>
      <c r="EO73"/>
      <c r="EP73"/>
      <c r="EQ73"/>
      <c r="ER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row>
    <row r="74" spans="1:291" ht="21.75" thickTop="1" thickBot="1">
      <c r="A74" s="156"/>
      <c r="B74" s="156"/>
      <c r="C74" s="2500"/>
      <c r="D74" s="2482" t="s">
        <v>1751</v>
      </c>
      <c r="E74" s="2483"/>
      <c r="F74" s="2483"/>
      <c r="G74" s="2483"/>
      <c r="H74" s="2483"/>
      <c r="I74" s="2483"/>
      <c r="J74" s="2483"/>
      <c r="K74" s="2483"/>
      <c r="L74" s="2483"/>
      <c r="M74" s="2483"/>
      <c r="N74" s="2483"/>
      <c r="O74" s="2483"/>
      <c r="P74" s="2483"/>
      <c r="Q74" s="2483"/>
      <c r="R74" s="2483"/>
      <c r="S74" s="2505" t="s">
        <v>1377</v>
      </c>
      <c r="T74" s="2506"/>
      <c r="U74" s="2507"/>
      <c r="V74" s="2508" t="s">
        <v>1378</v>
      </c>
      <c r="W74" s="2506"/>
      <c r="X74" s="2507"/>
      <c r="Y74" s="2508" t="s">
        <v>1752</v>
      </c>
      <c r="Z74" s="2506"/>
      <c r="AA74" s="2507"/>
      <c r="AB74" s="1970" t="s">
        <v>1379</v>
      </c>
      <c r="AC74" s="1971" t="s">
        <v>1380</v>
      </c>
      <c r="AD74" s="2479" t="s">
        <v>1377</v>
      </c>
      <c r="AE74" s="2478"/>
      <c r="AF74" s="2509"/>
      <c r="AG74" s="2477" t="s">
        <v>1378</v>
      </c>
      <c r="AH74" s="2478"/>
      <c r="AI74" s="2509"/>
      <c r="AJ74" s="2508" t="s">
        <v>1752</v>
      </c>
      <c r="AK74" s="2506"/>
      <c r="AL74" s="2507"/>
      <c r="AM74" s="1970" t="s">
        <v>1379</v>
      </c>
      <c r="AN74" s="1971" t="s">
        <v>1380</v>
      </c>
      <c r="AO74" s="156"/>
      <c r="AP74" s="156"/>
      <c r="AR74" s="388"/>
      <c r="AS74" s="389"/>
      <c r="AT74" s="398"/>
      <c r="AV74" s="156" t="s">
        <v>1247</v>
      </c>
      <c r="AW74" s="185"/>
      <c r="AX74" s="1722" t="s">
        <v>1715</v>
      </c>
      <c r="AY74" s="681">
        <v>65</v>
      </c>
      <c r="AZ74" s="681">
        <v>55</v>
      </c>
      <c r="BA74" s="681" t="s">
        <v>2689</v>
      </c>
      <c r="BB74" s="681">
        <v>90</v>
      </c>
      <c r="BC74" s="681">
        <v>75</v>
      </c>
      <c r="BD74" s="681" t="s">
        <v>2715</v>
      </c>
      <c r="BE74" s="681">
        <v>105</v>
      </c>
      <c r="BF74" s="681">
        <v>90</v>
      </c>
      <c r="BG74" s="681" t="s">
        <v>2723</v>
      </c>
      <c r="BH74" s="681">
        <v>110</v>
      </c>
      <c r="BI74" s="681">
        <v>95</v>
      </c>
      <c r="BJ74" s="681" t="s">
        <v>2744</v>
      </c>
      <c r="BK74" s="681">
        <v>120</v>
      </c>
      <c r="BL74" s="681">
        <v>100</v>
      </c>
      <c r="BM74" s="681" t="s">
        <v>2577</v>
      </c>
      <c r="BN74" s="471">
        <v>100</v>
      </c>
      <c r="BO74" s="821" t="s">
        <v>1764</v>
      </c>
      <c r="BP74"/>
      <c r="BQ74" s="1722" t="s">
        <v>1715</v>
      </c>
      <c r="BR74" s="470">
        <v>50</v>
      </c>
      <c r="BS74" s="470">
        <v>55</v>
      </c>
      <c r="BT74" s="470">
        <v>65</v>
      </c>
      <c r="BU74" s="426"/>
      <c r="BV74" s="1722" t="s">
        <v>1715</v>
      </c>
      <c r="BW74" s="470">
        <v>90</v>
      </c>
      <c r="BX74" s="470">
        <v>100</v>
      </c>
      <c r="BY74" s="470">
        <v>115</v>
      </c>
      <c r="CA74" s="394"/>
      <c r="CB74"/>
      <c r="CC74"/>
      <c r="CD74"/>
      <c r="CE74" s="2310" t="s">
        <v>26</v>
      </c>
      <c r="CF74" s="1834" t="str">
        <f>IFERROR(INDEX(N_Bedarf!$CE$2:$CE$141,_xlfn.AGGREGATE(15,6,(ROW(N_Bedarf!$CE$2:$CE$141)-1)/(--(SEARCH(CG$2,N_Bedarf!$CE$2:$CE$141)&gt;0)),ROW()-2),1),"")</f>
        <v>Flachs (Faserlein)</v>
      </c>
      <c r="CG74" s="1836"/>
      <c r="CH74" s="1834" t="str">
        <f>IFERROR(INDEX(N_Bedarf!$CE$2:$CE$141,_xlfn.AGGREGATE(15,6,(ROW(N_Bedarf!$CE$2:$CE$141)-1)/(--(SEARCH(CI$2,N_Bedarf!$CE$2:$CE$141)&gt;0)),ROW()-2),1),"")</f>
        <v>Flachs (Faserlein)</v>
      </c>
      <c r="CI74" s="1836"/>
      <c r="CJ74" s="1834" t="str">
        <f>IFERROR(INDEX(N_Bedarf!$CE$2:$CE$141,_xlfn.AGGREGATE(15,6,(ROW(N_Bedarf!$CE$2:$CE$141)-1)/(--(SEARCH(CK$2,N_Bedarf!$CE$2:$CE$141)&gt;0)),ROW()-2),1),"")</f>
        <v>Flachs (Faserlein)</v>
      </c>
      <c r="CK74" s="1836"/>
      <c r="CL74" s="1834" t="str">
        <f>IFERROR(INDEX(N_Bedarf!$CE$2:$CE$141,_xlfn.AGGREGATE(15,6,(ROW(N_Bedarf!$CE$2:$CE$141)-1)/(--(SEARCH(CM$2,N_Bedarf!$CE$2:$CE$141)&gt;0)),ROW()-2),1),"")</f>
        <v>Flachs (Faserlein)</v>
      </c>
      <c r="CM74" s="1836"/>
      <c r="CN74" s="1834" t="str">
        <f>IFERROR(INDEX(N_Bedarf!$CE$2:$CE$141,_xlfn.AGGREGATE(15,6,(ROW(N_Bedarf!$CE$2:$CE$141)-1)/(--(SEARCH(CO$2,N_Bedarf!$CE$2:$CE$141)&gt;0)),ROW()-2),1),"")</f>
        <v>Flachs (Faserlein)</v>
      </c>
      <c r="CO74" s="1836"/>
      <c r="CP74" s="1834" t="str">
        <f>IFERROR(INDEX(N_Bedarf!$CE$2:$CE$141,_xlfn.AGGREGATE(15,6,(ROW(N_Bedarf!$CE$2:$CE$141)-1)/(--(SEARCH(CQ$2,N_Bedarf!$CE$2:$CE$141)&gt;0)),ROW()-2),1),"")</f>
        <v>Flachs (Faserlein)</v>
      </c>
      <c r="CQ74" s="1836"/>
      <c r="CR74" s="1834" t="str">
        <f>IFERROR(INDEX(N_Bedarf!$CE$2:$CE$141,_xlfn.AGGREGATE(15,6,(ROW(N_Bedarf!$CE$2:$CE$141)-1)/(--(SEARCH(CS$2,N_Bedarf!$CE$2:$CE$141)&gt;0)),ROW()-2),1),"")</f>
        <v>Flachs (Faserlein)</v>
      </c>
      <c r="CS74" s="1836"/>
      <c r="CT74" s="1834" t="str">
        <f>IFERROR(INDEX(N_Bedarf!$CE$2:$CE$141,_xlfn.AGGREGATE(15,6,(ROW(N_Bedarf!$CE$2:$CE$141)-1)/(--(SEARCH(CU$2,N_Bedarf!$CE$2:$CE$141)&gt;0)),ROW()-2),1),"")</f>
        <v>Flachs (Faserlein)</v>
      </c>
      <c r="CU74" s="1836"/>
      <c r="CV74" s="1834" t="str">
        <f>IFERROR(INDEX(N_Bedarf!$CE$2:$CE$141,_xlfn.AGGREGATE(15,6,(ROW(N_Bedarf!$CE$2:$CE$141)-1)/(--(SEARCH(CW$2,N_Bedarf!$CE$2:$CE$141)&gt;0)),ROW()-2),1),"")</f>
        <v>Flachs (Faserlein)</v>
      </c>
      <c r="CW74" s="1836"/>
      <c r="CX74" s="1834" t="str">
        <f>IFERROR(INDEX(N_Bedarf!$CE$2:$CE$141,_xlfn.AGGREGATE(15,6,(ROW(N_Bedarf!$CE$2:$CE$141)-1)/(--(SEARCH(CY$2,N_Bedarf!$CE$2:$CE$141)&gt;0)),ROW()-2),1),"")</f>
        <v>Flachs (Faserlein)</v>
      </c>
      <c r="CY74" s="1836"/>
      <c r="CZ74" s="1834" t="str">
        <f>IFERROR(INDEX(N_Bedarf!$CE$2:$CE$141,_xlfn.AGGREGATE(15,6,(ROW(N_Bedarf!$CE$2:$CE$141)-1)/(--(SEARCH(DA$2,N_Bedarf!$CE$2:$CE$141)&gt;0)),ROW()-2),1),"")</f>
        <v>Flachs (Faserlein)</v>
      </c>
      <c r="DA74" s="1836"/>
      <c r="DB74" s="1834" t="str">
        <f>IFERROR(INDEX(N_Bedarf!$CE$2:$CE$141,_xlfn.AGGREGATE(15,6,(ROW(N_Bedarf!$CE$2:$CE$141)-1)/(--(SEARCH(DC$2,N_Bedarf!$CE$2:$CE$141)&gt;0)),ROW()-2),1),"")</f>
        <v>Flachs (Faserlein)</v>
      </c>
      <c r="DC74" s="1836"/>
      <c r="DD74" s="1834" t="str">
        <f>IFERROR(INDEX(N_Bedarf!$CE$2:$CE$141,_xlfn.AGGREGATE(15,6,(ROW(N_Bedarf!$CE$2:$CE$141)-1)/(--(SEARCH(DE$2,N_Bedarf!$CE$2:$CE$141)&gt;0)),ROW()-2),1),"")</f>
        <v>Flachs (Faserlein)</v>
      </c>
      <c r="DE74" s="1836"/>
      <c r="DF74" s="2353" t="str">
        <f t="array" ref="DF74">IFERROR(INDEX(N_Bedarf!$CE$2:$CE$141,_xlfn.AGGREGATE(15,6,(ROW(N_Bedarf!$CE$2:$CE$141)-1)/(--(SEARCH(DG$2,N_Bedarf!$CE$2:$CE$141)&gt;0)),ROW()-2),1),"")</f>
        <v>Flachs (Faserlein)</v>
      </c>
      <c r="DG74" s="2353"/>
      <c r="DH74" s="2355" t="str">
        <f t="array" ref="DH74">IFERROR(INDEX(N_Bedarf!$CE$2:$CE$141,_xlfn.AGGREGATE(15,6,(ROW(N_Bedarf!$CE$2:$CE$141)-1)/(--(SEARCH(DI$2,N_Bedarf!$CE$2:$CE$141)&gt;0)),ROW()-2),1),"")</f>
        <v>Flachs (Faserlein)</v>
      </c>
      <c r="DI74" s="2355"/>
      <c r="DJ74" s="2356" t="str">
        <f t="array" ref="DJ74">IFERROR(INDEX(N_Bedarf!$CE$2:$CE$141,_xlfn.AGGREGATE(15,6,(ROW(N_Bedarf!$CE$2:$CE$141)-1)/(--(SEARCH(DK$2,N_Bedarf!$CE$2:$CE$141)&gt;0)),ROW()-2),1),"")</f>
        <v>Flachs (Faserlein)</v>
      </c>
      <c r="DK74" s="2356"/>
      <c r="DL74" s="2356" t="str">
        <f t="array" ref="DL74">IFERROR(INDEX(N_Bedarf!$CE$2:$CE$141,_xlfn.AGGREGATE(15,6,(ROW(N_Bedarf!$CE$2:$CE$141)-1)/(--(SEARCH(DM$2,N_Bedarf!$CE$2:$CE$141)&gt;0)),ROW()-2),1),"")</f>
        <v>Flachs (Faserlein)</v>
      </c>
      <c r="DM74" s="2356"/>
      <c r="DN74" s="2356" t="str">
        <f t="array" ref="DN74">IFERROR(INDEX(N_Bedarf!$CE$2:$CE$141,_xlfn.AGGREGATE(15,6,(ROW(N_Bedarf!$CE$2:$CE$141)-1)/(--(SEARCH(DO$2,N_Bedarf!$CE$2:$CE$141)&gt;0)),ROW()-2),1),"")</f>
        <v>Flachs (Faserlein)</v>
      </c>
      <c r="DO74" s="2356"/>
      <c r="DP74" s="2356" t="str">
        <f t="array" ref="DP74">IFERROR(INDEX(N_Bedarf!$CE$2:$CE$141,_xlfn.AGGREGATE(15,6,(ROW(N_Bedarf!$CE$2:$CE$141)-1)/(--(SEARCH(DQ$2,N_Bedarf!$CE$2:$CE$141)&gt;0)),ROW()-2),1),"")</f>
        <v>Flachs (Faserlein)</v>
      </c>
      <c r="DQ74" s="2356"/>
      <c r="DR74" s="2356" t="str">
        <f t="array" ref="DR74">IFERROR(INDEX(N_Bedarf!$CE$2:$CE$141,_xlfn.AGGREGATE(15,6,(ROW(N_Bedarf!$CE$2:$CE$141)-1)/(--(SEARCH(DS$2,N_Bedarf!$CE$2:$CE$141)&gt;0)),ROW()-2),1),"")</f>
        <v>Flachs (Faserlein)</v>
      </c>
      <c r="DS74" s="2356"/>
      <c r="DT74" s="2356" t="str">
        <f t="array" ref="DT74">IFERROR(INDEX(N_Bedarf!$CE$2:$CE$141,_xlfn.AGGREGATE(15,6,(ROW(N_Bedarf!$CE$2:$CE$141)-1)/(--(SEARCH(DU$2,N_Bedarf!$CE$2:$CE$141)&gt;0)),ROW()-2),1),"")</f>
        <v>Flachs (Faserlein)</v>
      </c>
      <c r="DU74" s="2356"/>
      <c r="DV74" s="2356" t="str">
        <f t="array" ref="DV74">IFERROR(INDEX(N_Bedarf!$CE$2:$CE$141,_xlfn.AGGREGATE(15,6,(ROW(N_Bedarf!$CE$2:$CE$141)-1)/(--(SEARCH(DW$2,N_Bedarf!$CE$2:$CE$141)&gt;0)),ROW()-2),1),"")</f>
        <v>Flachs (Faserlein)</v>
      </c>
      <c r="DW74" s="2356"/>
      <c r="DX74" s="2356" t="str">
        <f t="array" ref="DX74">IFERROR(INDEX(N_Bedarf!$CE$2:$CE$141,_xlfn.AGGREGATE(15,6,(ROW(N_Bedarf!$CE$2:$CE$141)-1)/(--(SEARCH(DY$2,N_Bedarf!$CE$2:$CE$141)&gt;0)),ROW()-2),1),"")</f>
        <v>Flachs (Faserlein)</v>
      </c>
      <c r="DY74" s="2356"/>
      <c r="DZ74" s="2356" t="str">
        <f t="array" ref="DZ74">IFERROR(INDEX(N_Bedarf!$CE$2:$CE$141,_xlfn.AGGREGATE(15,6,(ROW(N_Bedarf!$CE$2:$CE$141)-1)/(--(SEARCH(EA$2,N_Bedarf!$CE$2:$CE$141)&gt;0)),ROW()-2),1),"")</f>
        <v>Flachs (Faserlein)</v>
      </c>
      <c r="EA74" s="2356"/>
      <c r="EB74" s="2356" t="str">
        <f t="array" ref="EB74">IFERROR(INDEX(N_Bedarf!$CE$2:$CE$141,_xlfn.AGGREGATE(15,6,(ROW(N_Bedarf!$CE$2:$CE$141)-1)/(--(SEARCH(EC$2,N_Bedarf!$CE$2:$CE$141)&gt;0)),ROW()-2),1),"")</f>
        <v>Flachs (Faserlein)</v>
      </c>
      <c r="EC74" s="2356"/>
      <c r="ED74"/>
      <c r="EE74"/>
      <c r="EF74"/>
      <c r="EG74"/>
      <c r="EH74"/>
      <c r="EI74"/>
      <c r="EJ74"/>
      <c r="EK74"/>
      <c r="EL74"/>
      <c r="EM74"/>
      <c r="EN74"/>
      <c r="EO74"/>
      <c r="EP74"/>
      <c r="EQ74"/>
      <c r="ER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row>
    <row r="75" spans="1:291" ht="17.25" thickTop="1" thickBot="1">
      <c r="A75" s="156"/>
      <c r="B75" s="156"/>
      <c r="C75" s="1985" t="s">
        <v>1753</v>
      </c>
      <c r="D75" s="2510" t="s">
        <v>1245</v>
      </c>
      <c r="E75" s="2511"/>
      <c r="F75" s="2512"/>
      <c r="G75" s="2513" t="s">
        <v>608</v>
      </c>
      <c r="H75" s="2514"/>
      <c r="I75" s="2515"/>
      <c r="J75" s="2513" t="s">
        <v>604</v>
      </c>
      <c r="K75" s="2514"/>
      <c r="L75" s="2515"/>
      <c r="M75" s="2513" t="s">
        <v>1246</v>
      </c>
      <c r="N75" s="2514"/>
      <c r="O75" s="2515"/>
      <c r="P75" s="2513" t="s">
        <v>1247</v>
      </c>
      <c r="Q75" s="2514"/>
      <c r="R75" s="2514"/>
      <c r="S75" s="1972" t="s">
        <v>1245</v>
      </c>
      <c r="T75" s="1973" t="s">
        <v>608</v>
      </c>
      <c r="U75" s="1974" t="s">
        <v>1294</v>
      </c>
      <c r="V75" s="1975" t="s">
        <v>1245</v>
      </c>
      <c r="W75" s="1973" t="s">
        <v>608</v>
      </c>
      <c r="X75" s="1974" t="s">
        <v>1294</v>
      </c>
      <c r="Y75" s="1975" t="s">
        <v>1245</v>
      </c>
      <c r="Z75" s="1973" t="s">
        <v>608</v>
      </c>
      <c r="AA75" s="1974" t="s">
        <v>1294</v>
      </c>
      <c r="AB75" s="1976"/>
      <c r="AC75" s="1977"/>
      <c r="AD75" s="2028" t="s">
        <v>1245</v>
      </c>
      <c r="AE75" s="2029" t="s">
        <v>608</v>
      </c>
      <c r="AF75" s="2030" t="s">
        <v>1294</v>
      </c>
      <c r="AG75" s="2031" t="s">
        <v>1245</v>
      </c>
      <c r="AH75" s="2029" t="s">
        <v>608</v>
      </c>
      <c r="AI75" s="2030" t="s">
        <v>1294</v>
      </c>
      <c r="AJ75" s="2031" t="s">
        <v>1245</v>
      </c>
      <c r="AK75" s="2029" t="s">
        <v>608</v>
      </c>
      <c r="AL75" s="2030" t="s">
        <v>1294</v>
      </c>
      <c r="AM75" s="2032"/>
      <c r="AN75" s="2033"/>
      <c r="AO75" s="156"/>
      <c r="AP75" s="156"/>
      <c r="AR75" s="388"/>
      <c r="AS75" s="389"/>
      <c r="AT75" s="398"/>
      <c r="AU75" s="3"/>
      <c r="AV75" s="156" t="s">
        <v>1996</v>
      </c>
      <c r="AX75" s="1722" t="s">
        <v>1731</v>
      </c>
      <c r="AY75" s="681">
        <v>65</v>
      </c>
      <c r="AZ75" s="681">
        <v>55</v>
      </c>
      <c r="BA75" s="681" t="s">
        <v>2689</v>
      </c>
      <c r="BB75" s="681">
        <v>90</v>
      </c>
      <c r="BC75" s="681">
        <v>75</v>
      </c>
      <c r="BD75" s="681" t="s">
        <v>2715</v>
      </c>
      <c r="BE75" s="681">
        <v>105</v>
      </c>
      <c r="BF75" s="681">
        <v>90</v>
      </c>
      <c r="BG75" s="681" t="s">
        <v>2728</v>
      </c>
      <c r="BH75" s="681">
        <v>110</v>
      </c>
      <c r="BI75" s="681">
        <v>95</v>
      </c>
      <c r="BJ75" s="681" t="s">
        <v>2745</v>
      </c>
      <c r="BK75" s="681">
        <v>120</v>
      </c>
      <c r="BL75" s="681">
        <v>100</v>
      </c>
      <c r="BM75" s="681" t="s">
        <v>2578</v>
      </c>
      <c r="BN75" s="471">
        <v>100</v>
      </c>
      <c r="BO75" s="821" t="s">
        <v>1764</v>
      </c>
      <c r="BP75"/>
      <c r="BQ75" s="1722" t="s">
        <v>1731</v>
      </c>
      <c r="BR75" s="470">
        <v>50</v>
      </c>
      <c r="BS75" s="470">
        <v>55</v>
      </c>
      <c r="BT75" s="470">
        <v>65</v>
      </c>
      <c r="BU75" s="426"/>
      <c r="BV75" s="1722" t="s">
        <v>1731</v>
      </c>
      <c r="BW75" s="470">
        <v>90</v>
      </c>
      <c r="BX75" s="470">
        <v>100</v>
      </c>
      <c r="BY75" s="470">
        <v>115</v>
      </c>
      <c r="CA75" s="394"/>
      <c r="CB75"/>
      <c r="CC75"/>
      <c r="CD75"/>
      <c r="CE75" s="2310" t="s">
        <v>23</v>
      </c>
      <c r="CF75" s="1834" t="str">
        <f>IFERROR(INDEX(N_Bedarf!$CE$2:$CE$141,_xlfn.AGGREGATE(15,6,(ROW(N_Bedarf!$CE$2:$CE$141)-1)/(--(SEARCH(CG$2,N_Bedarf!$CE$2:$CE$141)&gt;0)),ROW()-2),1),"")</f>
        <v>Öllein</v>
      </c>
      <c r="CG75" s="1830"/>
      <c r="CH75" s="1834" t="str">
        <f>IFERROR(INDEX(N_Bedarf!$CE$2:$CE$141,_xlfn.AGGREGATE(15,6,(ROW(N_Bedarf!$CE$2:$CE$141)-1)/(--(SEARCH(CI$2,N_Bedarf!$CE$2:$CE$141)&gt;0)),ROW()-2),1),"")</f>
        <v>Öllein</v>
      </c>
      <c r="CI75" s="1830"/>
      <c r="CJ75" s="1834" t="str">
        <f>IFERROR(INDEX(N_Bedarf!$CE$2:$CE$141,_xlfn.AGGREGATE(15,6,(ROW(N_Bedarf!$CE$2:$CE$141)-1)/(--(SEARCH(CK$2,N_Bedarf!$CE$2:$CE$141)&gt;0)),ROW()-2),1),"")</f>
        <v>Öllein</v>
      </c>
      <c r="CK75" s="1830"/>
      <c r="CL75" s="1834" t="str">
        <f>IFERROR(INDEX(N_Bedarf!$CE$2:$CE$141,_xlfn.AGGREGATE(15,6,(ROW(N_Bedarf!$CE$2:$CE$141)-1)/(--(SEARCH(CM$2,N_Bedarf!$CE$2:$CE$141)&gt;0)),ROW()-2),1),"")</f>
        <v>Öllein</v>
      </c>
      <c r="CM75" s="1830"/>
      <c r="CN75" s="1834" t="str">
        <f>IFERROR(INDEX(N_Bedarf!$CE$2:$CE$141,_xlfn.AGGREGATE(15,6,(ROW(N_Bedarf!$CE$2:$CE$141)-1)/(--(SEARCH(CO$2,N_Bedarf!$CE$2:$CE$141)&gt;0)),ROW()-2),1),"")</f>
        <v>Öllein</v>
      </c>
      <c r="CO75" s="1830"/>
      <c r="CP75" s="1834" t="str">
        <f>IFERROR(INDEX(N_Bedarf!$CE$2:$CE$141,_xlfn.AGGREGATE(15,6,(ROW(N_Bedarf!$CE$2:$CE$141)-1)/(--(SEARCH(CQ$2,N_Bedarf!$CE$2:$CE$141)&gt;0)),ROW()-2),1),"")</f>
        <v>Öllein</v>
      </c>
      <c r="CQ75" s="1830"/>
      <c r="CR75" s="1834" t="str">
        <f>IFERROR(INDEX(N_Bedarf!$CE$2:$CE$141,_xlfn.AGGREGATE(15,6,(ROW(N_Bedarf!$CE$2:$CE$141)-1)/(--(SEARCH(CS$2,N_Bedarf!$CE$2:$CE$141)&gt;0)),ROW()-2),1),"")</f>
        <v>Öllein</v>
      </c>
      <c r="CS75" s="1830"/>
      <c r="CT75" s="1834" t="str">
        <f>IFERROR(INDEX(N_Bedarf!$CE$2:$CE$141,_xlfn.AGGREGATE(15,6,(ROW(N_Bedarf!$CE$2:$CE$141)-1)/(--(SEARCH(CU$2,N_Bedarf!$CE$2:$CE$141)&gt;0)),ROW()-2),1),"")</f>
        <v>Öllein</v>
      </c>
      <c r="CU75" s="1830"/>
      <c r="CV75" s="1834" t="str">
        <f>IFERROR(INDEX(N_Bedarf!$CE$2:$CE$141,_xlfn.AGGREGATE(15,6,(ROW(N_Bedarf!$CE$2:$CE$141)-1)/(--(SEARCH(CW$2,N_Bedarf!$CE$2:$CE$141)&gt;0)),ROW()-2),1),"")</f>
        <v>Öllein</v>
      </c>
      <c r="CW75" s="1830"/>
      <c r="CX75" s="1834" t="str">
        <f>IFERROR(INDEX(N_Bedarf!$CE$2:$CE$141,_xlfn.AGGREGATE(15,6,(ROW(N_Bedarf!$CE$2:$CE$141)-1)/(--(SEARCH(CY$2,N_Bedarf!$CE$2:$CE$141)&gt;0)),ROW()-2),1),"")</f>
        <v>Öllein</v>
      </c>
      <c r="CY75" s="1830"/>
      <c r="CZ75" s="1834" t="str">
        <f>IFERROR(INDEX(N_Bedarf!$CE$2:$CE$141,_xlfn.AGGREGATE(15,6,(ROW(N_Bedarf!$CE$2:$CE$141)-1)/(--(SEARCH(DA$2,N_Bedarf!$CE$2:$CE$141)&gt;0)),ROW()-2),1),"")</f>
        <v>Öllein</v>
      </c>
      <c r="DA75" s="1830"/>
      <c r="DB75" s="1834" t="str">
        <f>IFERROR(INDEX(N_Bedarf!$CE$2:$CE$141,_xlfn.AGGREGATE(15,6,(ROW(N_Bedarf!$CE$2:$CE$141)-1)/(--(SEARCH(DC$2,N_Bedarf!$CE$2:$CE$141)&gt;0)),ROW()-2),1),"")</f>
        <v>Öllein</v>
      </c>
      <c r="DC75" s="1830"/>
      <c r="DD75" s="1834" t="str">
        <f>IFERROR(INDEX(N_Bedarf!$CE$2:$CE$141,_xlfn.AGGREGATE(15,6,(ROW(N_Bedarf!$CE$2:$CE$141)-1)/(--(SEARCH(DE$2,N_Bedarf!$CE$2:$CE$141)&gt;0)),ROW()-2),1),"")</f>
        <v>Öllein</v>
      </c>
      <c r="DE75" s="1830"/>
      <c r="DF75" s="2353" t="str">
        <f t="array" ref="DF75">IFERROR(INDEX(N_Bedarf!$CE$2:$CE$141,_xlfn.AGGREGATE(15,6,(ROW(N_Bedarf!$CE$2:$CE$141)-1)/(--(SEARCH(DG$2,N_Bedarf!$CE$2:$CE$141)&gt;0)),ROW()-2),1),"")</f>
        <v>Öllein</v>
      </c>
      <c r="DG75" s="2353"/>
      <c r="DH75" s="2355" t="str">
        <f t="array" ref="DH75">IFERROR(INDEX(N_Bedarf!$CE$2:$CE$141,_xlfn.AGGREGATE(15,6,(ROW(N_Bedarf!$CE$2:$CE$141)-1)/(--(SEARCH(DI$2,N_Bedarf!$CE$2:$CE$141)&gt;0)),ROW()-2),1),"")</f>
        <v>Öllein</v>
      </c>
      <c r="DI75" s="2355"/>
      <c r="DJ75" s="2356" t="str">
        <f t="array" ref="DJ75">IFERROR(INDEX(N_Bedarf!$CE$2:$CE$141,_xlfn.AGGREGATE(15,6,(ROW(N_Bedarf!$CE$2:$CE$141)-1)/(--(SEARCH(DK$2,N_Bedarf!$CE$2:$CE$141)&gt;0)),ROW()-2),1),"")</f>
        <v>Öllein</v>
      </c>
      <c r="DK75" s="2356"/>
      <c r="DL75" s="2356" t="str">
        <f t="array" ref="DL75">IFERROR(INDEX(N_Bedarf!$CE$2:$CE$141,_xlfn.AGGREGATE(15,6,(ROW(N_Bedarf!$CE$2:$CE$141)-1)/(--(SEARCH(DM$2,N_Bedarf!$CE$2:$CE$141)&gt;0)),ROW()-2),1),"")</f>
        <v>Öllein</v>
      </c>
      <c r="DM75" s="2356"/>
      <c r="DN75" s="2356" t="str">
        <f t="array" ref="DN75">IFERROR(INDEX(N_Bedarf!$CE$2:$CE$141,_xlfn.AGGREGATE(15,6,(ROW(N_Bedarf!$CE$2:$CE$141)-1)/(--(SEARCH(DO$2,N_Bedarf!$CE$2:$CE$141)&gt;0)),ROW()-2),1),"")</f>
        <v>Öllein</v>
      </c>
      <c r="DO75" s="2356"/>
      <c r="DP75" s="2356" t="str">
        <f t="array" ref="DP75">IFERROR(INDEX(N_Bedarf!$CE$2:$CE$141,_xlfn.AGGREGATE(15,6,(ROW(N_Bedarf!$CE$2:$CE$141)-1)/(--(SEARCH(DQ$2,N_Bedarf!$CE$2:$CE$141)&gt;0)),ROW()-2),1),"")</f>
        <v>Öllein</v>
      </c>
      <c r="DQ75" s="2356"/>
      <c r="DR75" s="2356" t="str">
        <f t="array" ref="DR75">IFERROR(INDEX(N_Bedarf!$CE$2:$CE$141,_xlfn.AGGREGATE(15,6,(ROW(N_Bedarf!$CE$2:$CE$141)-1)/(--(SEARCH(DS$2,N_Bedarf!$CE$2:$CE$141)&gt;0)),ROW()-2),1),"")</f>
        <v>Öllein</v>
      </c>
      <c r="DS75" s="2356"/>
      <c r="DT75" s="2356" t="str">
        <f t="array" ref="DT75">IFERROR(INDEX(N_Bedarf!$CE$2:$CE$141,_xlfn.AGGREGATE(15,6,(ROW(N_Bedarf!$CE$2:$CE$141)-1)/(--(SEARCH(DU$2,N_Bedarf!$CE$2:$CE$141)&gt;0)),ROW()-2),1),"")</f>
        <v>Öllein</v>
      </c>
      <c r="DU75" s="2356"/>
      <c r="DV75" s="2356" t="str">
        <f t="array" ref="DV75">IFERROR(INDEX(N_Bedarf!$CE$2:$CE$141,_xlfn.AGGREGATE(15,6,(ROW(N_Bedarf!$CE$2:$CE$141)-1)/(--(SEARCH(DW$2,N_Bedarf!$CE$2:$CE$141)&gt;0)),ROW()-2),1),"")</f>
        <v>Öllein</v>
      </c>
      <c r="DW75" s="2356"/>
      <c r="DX75" s="2356" t="str">
        <f t="array" ref="DX75">IFERROR(INDEX(N_Bedarf!$CE$2:$CE$141,_xlfn.AGGREGATE(15,6,(ROW(N_Bedarf!$CE$2:$CE$141)-1)/(--(SEARCH(DY$2,N_Bedarf!$CE$2:$CE$141)&gt;0)),ROW()-2),1),"")</f>
        <v>Öllein</v>
      </c>
      <c r="DY75" s="2356"/>
      <c r="DZ75" s="2356" t="str">
        <f t="array" ref="DZ75">IFERROR(INDEX(N_Bedarf!$CE$2:$CE$141,_xlfn.AGGREGATE(15,6,(ROW(N_Bedarf!$CE$2:$CE$141)-1)/(--(SEARCH(EA$2,N_Bedarf!$CE$2:$CE$141)&gt;0)),ROW()-2),1),"")</f>
        <v>Öllein</v>
      </c>
      <c r="EA75" s="2356"/>
      <c r="EB75" s="2356" t="str">
        <f t="array" ref="EB75">IFERROR(INDEX(N_Bedarf!$CE$2:$CE$141,_xlfn.AGGREGATE(15,6,(ROW(N_Bedarf!$CE$2:$CE$141)-1)/(--(SEARCH(EC$2,N_Bedarf!$CE$2:$CE$141)&gt;0)),ROW()-2),1),"")</f>
        <v>Öllein</v>
      </c>
      <c r="EC75" s="2356"/>
      <c r="ED75"/>
      <c r="EE75"/>
      <c r="EF75"/>
      <c r="EG75"/>
      <c r="EH75"/>
      <c r="EI75"/>
      <c r="EJ75"/>
      <c r="EK75"/>
      <c r="EL75"/>
      <c r="EM75"/>
      <c r="EN75"/>
      <c r="EO75"/>
      <c r="EP75"/>
      <c r="EQ75"/>
      <c r="ER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row>
    <row r="76" spans="1:291" ht="39.75" thickTop="1" thickBot="1">
      <c r="A76" s="156"/>
      <c r="B76" s="156"/>
      <c r="C76" s="1986" t="s">
        <v>2367</v>
      </c>
      <c r="D76" s="1984" t="s">
        <v>2368</v>
      </c>
      <c r="E76" s="1978" t="s">
        <v>2369</v>
      </c>
      <c r="F76" s="1979" t="s">
        <v>1754</v>
      </c>
      <c r="G76" s="1980" t="s">
        <v>2368</v>
      </c>
      <c r="H76" s="1981" t="s">
        <v>2369</v>
      </c>
      <c r="I76" s="1982" t="s">
        <v>1755</v>
      </c>
      <c r="J76" s="1980" t="s">
        <v>2368</v>
      </c>
      <c r="K76" s="1981" t="s">
        <v>2369</v>
      </c>
      <c r="L76" s="1982" t="s">
        <v>1755</v>
      </c>
      <c r="M76" s="1980" t="s">
        <v>2368</v>
      </c>
      <c r="N76" s="1981" t="s">
        <v>2369</v>
      </c>
      <c r="O76" s="1982" t="s">
        <v>1755</v>
      </c>
      <c r="P76" s="1980" t="s">
        <v>2368</v>
      </c>
      <c r="Q76" s="1981" t="s">
        <v>2369</v>
      </c>
      <c r="R76" s="1983" t="s">
        <v>1755</v>
      </c>
      <c r="S76" s="2484" t="s">
        <v>2370</v>
      </c>
      <c r="T76" s="2485"/>
      <c r="U76" s="2485"/>
      <c r="V76" s="2485"/>
      <c r="W76" s="2485"/>
      <c r="X76" s="2485"/>
      <c r="Y76" s="2485"/>
      <c r="Z76" s="2485"/>
      <c r="AA76" s="2485"/>
      <c r="AB76" s="2485"/>
      <c r="AC76" s="2486"/>
      <c r="AD76" s="2487" t="s">
        <v>2371</v>
      </c>
      <c r="AE76" s="2487"/>
      <c r="AF76" s="2487"/>
      <c r="AG76" s="2487"/>
      <c r="AH76" s="2487"/>
      <c r="AI76" s="2487"/>
      <c r="AJ76" s="2487"/>
      <c r="AK76" s="2487"/>
      <c r="AL76" s="2487"/>
      <c r="AM76" s="2487"/>
      <c r="AN76" s="2488"/>
      <c r="AO76" s="156"/>
      <c r="AP76" s="156"/>
      <c r="AR76" s="388"/>
      <c r="AS76" s="389"/>
      <c r="AT76" s="398"/>
      <c r="AX76" s="1722" t="s">
        <v>1696</v>
      </c>
      <c r="AY76" s="681">
        <v>50</v>
      </c>
      <c r="AZ76" s="681">
        <v>45</v>
      </c>
      <c r="BA76" s="681" t="s">
        <v>2688</v>
      </c>
      <c r="BB76" s="681">
        <v>50</v>
      </c>
      <c r="BC76" s="681">
        <v>45</v>
      </c>
      <c r="BD76" s="681" t="s">
        <v>2721</v>
      </c>
      <c r="BE76" s="681">
        <v>50</v>
      </c>
      <c r="BF76" s="681">
        <v>45</v>
      </c>
      <c r="BG76" s="681" t="s">
        <v>2727</v>
      </c>
      <c r="BH76" s="681">
        <v>50</v>
      </c>
      <c r="BI76" s="681">
        <v>45</v>
      </c>
      <c r="BJ76" s="681" t="s">
        <v>2746</v>
      </c>
      <c r="BK76" s="681">
        <v>50</v>
      </c>
      <c r="BL76" s="681">
        <v>45</v>
      </c>
      <c r="BM76" s="681" t="s">
        <v>2579</v>
      </c>
      <c r="BN76" s="471" t="s">
        <v>1764</v>
      </c>
      <c r="BO76" s="821" t="s">
        <v>1764</v>
      </c>
      <c r="BP76"/>
      <c r="BQ76" s="1722" t="s">
        <v>1696</v>
      </c>
      <c r="BR76" s="470">
        <v>50</v>
      </c>
      <c r="BS76" s="470">
        <v>55</v>
      </c>
      <c r="BT76" s="470">
        <v>65</v>
      </c>
      <c r="BU76" s="426"/>
      <c r="BV76" s="1722" t="s">
        <v>1696</v>
      </c>
      <c r="BW76" s="470">
        <v>70</v>
      </c>
      <c r="BX76" s="470">
        <v>80</v>
      </c>
      <c r="BY76" s="470">
        <v>90</v>
      </c>
      <c r="CA76" s="394"/>
      <c r="CB76"/>
      <c r="CC76"/>
      <c r="CD76"/>
      <c r="CE76" s="2310" t="s">
        <v>17</v>
      </c>
      <c r="CF76" s="1834" t="str">
        <f>IFERROR(INDEX(N_Bedarf!$CE$2:$CE$141,_xlfn.AGGREGATE(15,6,(ROW(N_Bedarf!$CE$2:$CE$141)-1)/(--(SEARCH(CG$2,N_Bedarf!$CE$2:$CE$141)&gt;0)),ROW()-2),1),"")</f>
        <v>Leindotter</v>
      </c>
      <c r="CG76" s="1836"/>
      <c r="CH76" s="1834" t="str">
        <f>IFERROR(INDEX(N_Bedarf!$CE$2:$CE$141,_xlfn.AGGREGATE(15,6,(ROW(N_Bedarf!$CE$2:$CE$141)-1)/(--(SEARCH(CI$2,N_Bedarf!$CE$2:$CE$141)&gt;0)),ROW()-2),1),"")</f>
        <v>Leindotter</v>
      </c>
      <c r="CI76" s="1836"/>
      <c r="CJ76" s="1834" t="str">
        <f>IFERROR(INDEX(N_Bedarf!$CE$2:$CE$141,_xlfn.AGGREGATE(15,6,(ROW(N_Bedarf!$CE$2:$CE$141)-1)/(--(SEARCH(CK$2,N_Bedarf!$CE$2:$CE$141)&gt;0)),ROW()-2),1),"")</f>
        <v>Leindotter</v>
      </c>
      <c r="CK76" s="1836"/>
      <c r="CL76" s="1834" t="str">
        <f>IFERROR(INDEX(N_Bedarf!$CE$2:$CE$141,_xlfn.AGGREGATE(15,6,(ROW(N_Bedarf!$CE$2:$CE$141)-1)/(--(SEARCH(CM$2,N_Bedarf!$CE$2:$CE$141)&gt;0)),ROW()-2),1),"")</f>
        <v>Leindotter</v>
      </c>
      <c r="CM76" s="1836"/>
      <c r="CN76" s="1834" t="str">
        <f>IFERROR(INDEX(N_Bedarf!$CE$2:$CE$141,_xlfn.AGGREGATE(15,6,(ROW(N_Bedarf!$CE$2:$CE$141)-1)/(--(SEARCH(CO$2,N_Bedarf!$CE$2:$CE$141)&gt;0)),ROW()-2),1),"")</f>
        <v>Leindotter</v>
      </c>
      <c r="CO76" s="1836"/>
      <c r="CP76" s="1834" t="str">
        <f>IFERROR(INDEX(N_Bedarf!$CE$2:$CE$141,_xlfn.AGGREGATE(15,6,(ROW(N_Bedarf!$CE$2:$CE$141)-1)/(--(SEARCH(CQ$2,N_Bedarf!$CE$2:$CE$141)&gt;0)),ROW()-2),1),"")</f>
        <v>Leindotter</v>
      </c>
      <c r="CQ76" s="1836"/>
      <c r="CR76" s="1834" t="str">
        <f>IFERROR(INDEX(N_Bedarf!$CE$2:$CE$141,_xlfn.AGGREGATE(15,6,(ROW(N_Bedarf!$CE$2:$CE$141)-1)/(--(SEARCH(CS$2,N_Bedarf!$CE$2:$CE$141)&gt;0)),ROW()-2),1),"")</f>
        <v>Leindotter</v>
      </c>
      <c r="CS76" s="1836"/>
      <c r="CT76" s="1834" t="str">
        <f>IFERROR(INDEX(N_Bedarf!$CE$2:$CE$141,_xlfn.AGGREGATE(15,6,(ROW(N_Bedarf!$CE$2:$CE$141)-1)/(--(SEARCH(CU$2,N_Bedarf!$CE$2:$CE$141)&gt;0)),ROW()-2),1),"")</f>
        <v>Leindotter</v>
      </c>
      <c r="CU76" s="1836"/>
      <c r="CV76" s="1834" t="str">
        <f>IFERROR(INDEX(N_Bedarf!$CE$2:$CE$141,_xlfn.AGGREGATE(15,6,(ROW(N_Bedarf!$CE$2:$CE$141)-1)/(--(SEARCH(CW$2,N_Bedarf!$CE$2:$CE$141)&gt;0)),ROW()-2),1),"")</f>
        <v>Leindotter</v>
      </c>
      <c r="CW76" s="1836"/>
      <c r="CX76" s="1834" t="str">
        <f>IFERROR(INDEX(N_Bedarf!$CE$2:$CE$141,_xlfn.AGGREGATE(15,6,(ROW(N_Bedarf!$CE$2:$CE$141)-1)/(--(SEARCH(CY$2,N_Bedarf!$CE$2:$CE$141)&gt;0)),ROW()-2),1),"")</f>
        <v>Leindotter</v>
      </c>
      <c r="CY76" s="1836"/>
      <c r="CZ76" s="1834" t="str">
        <f>IFERROR(INDEX(N_Bedarf!$CE$2:$CE$141,_xlfn.AGGREGATE(15,6,(ROW(N_Bedarf!$CE$2:$CE$141)-1)/(--(SEARCH(DA$2,N_Bedarf!$CE$2:$CE$141)&gt;0)),ROW()-2),1),"")</f>
        <v>Leindotter</v>
      </c>
      <c r="DA76" s="1836"/>
      <c r="DB76" s="1834" t="str">
        <f>IFERROR(INDEX(N_Bedarf!$CE$2:$CE$141,_xlfn.AGGREGATE(15,6,(ROW(N_Bedarf!$CE$2:$CE$141)-1)/(--(SEARCH(DC$2,N_Bedarf!$CE$2:$CE$141)&gt;0)),ROW()-2),1),"")</f>
        <v>Leindotter</v>
      </c>
      <c r="DC76" s="1836"/>
      <c r="DD76" s="1834" t="str">
        <f>IFERROR(INDEX(N_Bedarf!$CE$2:$CE$141,_xlfn.AGGREGATE(15,6,(ROW(N_Bedarf!$CE$2:$CE$141)-1)/(--(SEARCH(DE$2,N_Bedarf!$CE$2:$CE$141)&gt;0)),ROW()-2),1),"")</f>
        <v>Leindotter</v>
      </c>
      <c r="DE76" s="1836"/>
      <c r="DF76" s="2353" t="str">
        <f t="array" ref="DF76">IFERROR(INDEX(N_Bedarf!$CE$2:$CE$141,_xlfn.AGGREGATE(15,6,(ROW(N_Bedarf!$CE$2:$CE$141)-1)/(--(SEARCH(DG$2,N_Bedarf!$CE$2:$CE$141)&gt;0)),ROW()-2),1),"")</f>
        <v>Leindotter</v>
      </c>
      <c r="DG76" s="2353"/>
      <c r="DH76" s="2355" t="str">
        <f t="array" ref="DH76">IFERROR(INDEX(N_Bedarf!$CE$2:$CE$141,_xlfn.AGGREGATE(15,6,(ROW(N_Bedarf!$CE$2:$CE$141)-1)/(--(SEARCH(DI$2,N_Bedarf!$CE$2:$CE$141)&gt;0)),ROW()-2),1),"")</f>
        <v>Leindotter</v>
      </c>
      <c r="DI76" s="2355"/>
      <c r="DJ76" s="2356" t="str">
        <f t="array" ref="DJ76">IFERROR(INDEX(N_Bedarf!$CE$2:$CE$141,_xlfn.AGGREGATE(15,6,(ROW(N_Bedarf!$CE$2:$CE$141)-1)/(--(SEARCH(DK$2,N_Bedarf!$CE$2:$CE$141)&gt;0)),ROW()-2),1),"")</f>
        <v>Leindotter</v>
      </c>
      <c r="DK76" s="2356"/>
      <c r="DL76" s="2356" t="str">
        <f t="array" ref="DL76">IFERROR(INDEX(N_Bedarf!$CE$2:$CE$141,_xlfn.AGGREGATE(15,6,(ROW(N_Bedarf!$CE$2:$CE$141)-1)/(--(SEARCH(DM$2,N_Bedarf!$CE$2:$CE$141)&gt;0)),ROW()-2),1),"")</f>
        <v>Leindotter</v>
      </c>
      <c r="DM76" s="2356"/>
      <c r="DN76" s="2356" t="str">
        <f t="array" ref="DN76">IFERROR(INDEX(N_Bedarf!$CE$2:$CE$141,_xlfn.AGGREGATE(15,6,(ROW(N_Bedarf!$CE$2:$CE$141)-1)/(--(SEARCH(DO$2,N_Bedarf!$CE$2:$CE$141)&gt;0)),ROW()-2),1),"")</f>
        <v>Leindotter</v>
      </c>
      <c r="DO76" s="2356"/>
      <c r="DP76" s="2356" t="str">
        <f t="array" ref="DP76">IFERROR(INDEX(N_Bedarf!$CE$2:$CE$141,_xlfn.AGGREGATE(15,6,(ROW(N_Bedarf!$CE$2:$CE$141)-1)/(--(SEARCH(DQ$2,N_Bedarf!$CE$2:$CE$141)&gt;0)),ROW()-2),1),"")</f>
        <v>Leindotter</v>
      </c>
      <c r="DQ76" s="2356"/>
      <c r="DR76" s="2356" t="str">
        <f t="array" ref="DR76">IFERROR(INDEX(N_Bedarf!$CE$2:$CE$141,_xlfn.AGGREGATE(15,6,(ROW(N_Bedarf!$CE$2:$CE$141)-1)/(--(SEARCH(DS$2,N_Bedarf!$CE$2:$CE$141)&gt;0)),ROW()-2),1),"")</f>
        <v>Leindotter</v>
      </c>
      <c r="DS76" s="2356"/>
      <c r="DT76" s="2356" t="str">
        <f t="array" ref="DT76">IFERROR(INDEX(N_Bedarf!$CE$2:$CE$141,_xlfn.AGGREGATE(15,6,(ROW(N_Bedarf!$CE$2:$CE$141)-1)/(--(SEARCH(DU$2,N_Bedarf!$CE$2:$CE$141)&gt;0)),ROW()-2),1),"")</f>
        <v>Leindotter</v>
      </c>
      <c r="DU76" s="2356"/>
      <c r="DV76" s="2356" t="str">
        <f t="array" ref="DV76">IFERROR(INDEX(N_Bedarf!$CE$2:$CE$141,_xlfn.AGGREGATE(15,6,(ROW(N_Bedarf!$CE$2:$CE$141)-1)/(--(SEARCH(DW$2,N_Bedarf!$CE$2:$CE$141)&gt;0)),ROW()-2),1),"")</f>
        <v>Leindotter</v>
      </c>
      <c r="DW76" s="2356"/>
      <c r="DX76" s="2356" t="str">
        <f t="array" ref="DX76">IFERROR(INDEX(N_Bedarf!$CE$2:$CE$141,_xlfn.AGGREGATE(15,6,(ROW(N_Bedarf!$CE$2:$CE$141)-1)/(--(SEARCH(DY$2,N_Bedarf!$CE$2:$CE$141)&gt;0)),ROW()-2),1),"")</f>
        <v>Leindotter</v>
      </c>
      <c r="DY76" s="2356"/>
      <c r="DZ76" s="2356" t="str">
        <f t="array" ref="DZ76">IFERROR(INDEX(N_Bedarf!$CE$2:$CE$141,_xlfn.AGGREGATE(15,6,(ROW(N_Bedarf!$CE$2:$CE$141)-1)/(--(SEARCH(EA$2,N_Bedarf!$CE$2:$CE$141)&gt;0)),ROW()-2),1),"")</f>
        <v>Leindotter</v>
      </c>
      <c r="EA76" s="2356"/>
      <c r="EB76" s="2356" t="str">
        <f t="array" ref="EB76">IFERROR(INDEX(N_Bedarf!$CE$2:$CE$141,_xlfn.AGGREGATE(15,6,(ROW(N_Bedarf!$CE$2:$CE$141)-1)/(--(SEARCH(EC$2,N_Bedarf!$CE$2:$CE$141)&gt;0)),ROW()-2),1),"")</f>
        <v>Leindotter</v>
      </c>
      <c r="EC76" s="2356"/>
      <c r="ED76"/>
      <c r="EE76"/>
      <c r="EF76"/>
      <c r="EG76"/>
      <c r="EH76"/>
      <c r="EI76"/>
      <c r="EJ76"/>
      <c r="EK76"/>
      <c r="EL76"/>
      <c r="EM76"/>
      <c r="EN76"/>
      <c r="EO76"/>
      <c r="EP76"/>
      <c r="EQ76"/>
      <c r="ER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row>
    <row r="77" spans="1:291" ht="21" customHeight="1" thickTop="1" thickBot="1">
      <c r="A77" s="156"/>
      <c r="B77" s="156"/>
      <c r="C77" s="2489" t="s">
        <v>1381</v>
      </c>
      <c r="D77" s="2490"/>
      <c r="E77" s="2490"/>
      <c r="F77" s="2490"/>
      <c r="G77" s="2490"/>
      <c r="H77" s="2490"/>
      <c r="I77" s="2490"/>
      <c r="J77" s="2490"/>
      <c r="K77" s="2490"/>
      <c r="L77" s="2490"/>
      <c r="M77" s="2490"/>
      <c r="N77" s="2490"/>
      <c r="O77" s="2490"/>
      <c r="P77" s="2490"/>
      <c r="Q77" s="2490"/>
      <c r="R77" s="2490"/>
      <c r="S77" s="2490"/>
      <c r="T77" s="2490"/>
      <c r="U77" s="2490"/>
      <c r="V77" s="2490"/>
      <c r="W77" s="2490"/>
      <c r="X77" s="2490"/>
      <c r="Y77" s="2490"/>
      <c r="Z77" s="2490"/>
      <c r="AA77" s="2490"/>
      <c r="AB77" s="2490"/>
      <c r="AC77" s="2490"/>
      <c r="AD77" s="2490"/>
      <c r="AE77" s="2490"/>
      <c r="AF77" s="2490"/>
      <c r="AG77" s="2490"/>
      <c r="AH77" s="2490"/>
      <c r="AI77" s="2490"/>
      <c r="AJ77" s="2490"/>
      <c r="AK77" s="2490"/>
      <c r="AL77" s="2490"/>
      <c r="AM77" s="2490"/>
      <c r="AN77" s="2491"/>
      <c r="AO77" s="156"/>
      <c r="AP77" s="156"/>
      <c r="AR77" s="388"/>
      <c r="AS77" s="389"/>
      <c r="AT77" s="398"/>
      <c r="AU77" s="3"/>
      <c r="AX77" s="1722" t="s">
        <v>26</v>
      </c>
      <c r="AY77" s="681">
        <v>50</v>
      </c>
      <c r="AZ77" s="681">
        <v>45</v>
      </c>
      <c r="BA77" s="681" t="s">
        <v>2691</v>
      </c>
      <c r="BB77" s="681">
        <v>50</v>
      </c>
      <c r="BC77" s="681">
        <v>45</v>
      </c>
      <c r="BD77" s="681" t="s">
        <v>2722</v>
      </c>
      <c r="BE77" s="681">
        <v>50</v>
      </c>
      <c r="BF77" s="681">
        <v>45</v>
      </c>
      <c r="BG77" s="681" t="s">
        <v>2726</v>
      </c>
      <c r="BH77" s="681">
        <v>50</v>
      </c>
      <c r="BI77" s="681">
        <v>45</v>
      </c>
      <c r="BJ77" s="681" t="s">
        <v>2730</v>
      </c>
      <c r="BK77" s="681">
        <v>50</v>
      </c>
      <c r="BL77" s="681">
        <v>45</v>
      </c>
      <c r="BM77" s="681" t="s">
        <v>2576</v>
      </c>
      <c r="BN77" s="471" t="s">
        <v>1764</v>
      </c>
      <c r="BO77" s="821" t="s">
        <v>1764</v>
      </c>
      <c r="BP77"/>
      <c r="BQ77" s="1722" t="s">
        <v>26</v>
      </c>
      <c r="BR77" s="470">
        <v>50</v>
      </c>
      <c r="BS77" s="470">
        <v>55</v>
      </c>
      <c r="BT77" s="470">
        <v>65</v>
      </c>
      <c r="BU77" s="426"/>
      <c r="BV77" s="1722" t="s">
        <v>26</v>
      </c>
      <c r="BW77" s="470">
        <v>65</v>
      </c>
      <c r="BX77" s="470">
        <v>70</v>
      </c>
      <c r="BY77" s="470">
        <v>80</v>
      </c>
      <c r="CA77" s="394"/>
      <c r="CB77"/>
      <c r="CC77"/>
      <c r="CD77"/>
      <c r="CE77" s="2310" t="s">
        <v>2372</v>
      </c>
      <c r="CF77" s="1834" t="str">
        <f>IFERROR(INDEX(N_Bedarf!$CE$2:$CE$141,_xlfn.AGGREGATE(15,6,(ROW(N_Bedarf!$CE$2:$CE$141)-1)/(--(SEARCH(CG$2,N_Bedarf!$CE$2:$CE$141)&gt;0)),ROW()-2),1),"")</f>
        <v>Hanf</v>
      </c>
      <c r="CG77" s="1830"/>
      <c r="CH77" s="1834" t="str">
        <f>IFERROR(INDEX(N_Bedarf!$CE$2:$CE$141,_xlfn.AGGREGATE(15,6,(ROW(N_Bedarf!$CE$2:$CE$141)-1)/(--(SEARCH(CI$2,N_Bedarf!$CE$2:$CE$141)&gt;0)),ROW()-2),1),"")</f>
        <v>Hanf</v>
      </c>
      <c r="CI77" s="1830"/>
      <c r="CJ77" s="1834" t="str">
        <f>IFERROR(INDEX(N_Bedarf!$CE$2:$CE$141,_xlfn.AGGREGATE(15,6,(ROW(N_Bedarf!$CE$2:$CE$141)-1)/(--(SEARCH(CK$2,N_Bedarf!$CE$2:$CE$141)&gt;0)),ROW()-2),1),"")</f>
        <v>Hanf</v>
      </c>
      <c r="CK77" s="1830"/>
      <c r="CL77" s="1834" t="str">
        <f>IFERROR(INDEX(N_Bedarf!$CE$2:$CE$141,_xlfn.AGGREGATE(15,6,(ROW(N_Bedarf!$CE$2:$CE$141)-1)/(--(SEARCH(CM$2,N_Bedarf!$CE$2:$CE$141)&gt;0)),ROW()-2),1),"")</f>
        <v>Hanf</v>
      </c>
      <c r="CM77" s="1830"/>
      <c r="CN77" s="1834" t="str">
        <f>IFERROR(INDEX(N_Bedarf!$CE$2:$CE$141,_xlfn.AGGREGATE(15,6,(ROW(N_Bedarf!$CE$2:$CE$141)-1)/(--(SEARCH(CO$2,N_Bedarf!$CE$2:$CE$141)&gt;0)),ROW()-2),1),"")</f>
        <v>Hanf</v>
      </c>
      <c r="CO77" s="1830"/>
      <c r="CP77" s="1834" t="str">
        <f>IFERROR(INDEX(N_Bedarf!$CE$2:$CE$141,_xlfn.AGGREGATE(15,6,(ROW(N_Bedarf!$CE$2:$CE$141)-1)/(--(SEARCH(CQ$2,N_Bedarf!$CE$2:$CE$141)&gt;0)),ROW()-2),1),"")</f>
        <v>Hanf</v>
      </c>
      <c r="CQ77" s="1830"/>
      <c r="CR77" s="1834" t="str">
        <f>IFERROR(INDEX(N_Bedarf!$CE$2:$CE$141,_xlfn.AGGREGATE(15,6,(ROW(N_Bedarf!$CE$2:$CE$141)-1)/(--(SEARCH(CS$2,N_Bedarf!$CE$2:$CE$141)&gt;0)),ROW()-2),1),"")</f>
        <v>Hanf</v>
      </c>
      <c r="CS77" s="1830"/>
      <c r="CT77" s="1834" t="str">
        <f>IFERROR(INDEX(N_Bedarf!$CE$2:$CE$141,_xlfn.AGGREGATE(15,6,(ROW(N_Bedarf!$CE$2:$CE$141)-1)/(--(SEARCH(CU$2,N_Bedarf!$CE$2:$CE$141)&gt;0)),ROW()-2),1),"")</f>
        <v>Hanf</v>
      </c>
      <c r="CU77" s="1830"/>
      <c r="CV77" s="1834" t="str">
        <f>IFERROR(INDEX(N_Bedarf!$CE$2:$CE$141,_xlfn.AGGREGATE(15,6,(ROW(N_Bedarf!$CE$2:$CE$141)-1)/(--(SEARCH(CW$2,N_Bedarf!$CE$2:$CE$141)&gt;0)),ROW()-2),1),"")</f>
        <v>Hanf</v>
      </c>
      <c r="CW77" s="1830"/>
      <c r="CX77" s="1834" t="str">
        <f>IFERROR(INDEX(N_Bedarf!$CE$2:$CE$141,_xlfn.AGGREGATE(15,6,(ROW(N_Bedarf!$CE$2:$CE$141)-1)/(--(SEARCH(CY$2,N_Bedarf!$CE$2:$CE$141)&gt;0)),ROW()-2),1),"")</f>
        <v>Hanf</v>
      </c>
      <c r="CY77" s="1830"/>
      <c r="CZ77" s="1834" t="str">
        <f>IFERROR(INDEX(N_Bedarf!$CE$2:$CE$141,_xlfn.AGGREGATE(15,6,(ROW(N_Bedarf!$CE$2:$CE$141)-1)/(--(SEARCH(DA$2,N_Bedarf!$CE$2:$CE$141)&gt;0)),ROW()-2),1),"")</f>
        <v>Hanf</v>
      </c>
      <c r="DA77" s="1830"/>
      <c r="DB77" s="1834" t="str">
        <f>IFERROR(INDEX(N_Bedarf!$CE$2:$CE$141,_xlfn.AGGREGATE(15,6,(ROW(N_Bedarf!$CE$2:$CE$141)-1)/(--(SEARCH(DC$2,N_Bedarf!$CE$2:$CE$141)&gt;0)),ROW()-2),1),"")</f>
        <v>Hanf</v>
      </c>
      <c r="DC77" s="1830"/>
      <c r="DD77" s="1834" t="str">
        <f>IFERROR(INDEX(N_Bedarf!$CE$2:$CE$141,_xlfn.AGGREGATE(15,6,(ROW(N_Bedarf!$CE$2:$CE$141)-1)/(--(SEARCH(DE$2,N_Bedarf!$CE$2:$CE$141)&gt;0)),ROW()-2),1),"")</f>
        <v>Hanf</v>
      </c>
      <c r="DE77" s="1830"/>
      <c r="DF77" s="2353" t="str">
        <f t="array" ref="DF77">IFERROR(INDEX(N_Bedarf!$CE$2:$CE$141,_xlfn.AGGREGATE(15,6,(ROW(N_Bedarf!$CE$2:$CE$141)-1)/(--(SEARCH(DG$2,N_Bedarf!$CE$2:$CE$141)&gt;0)),ROW()-2),1),"")</f>
        <v>Hanf</v>
      </c>
      <c r="DG77" s="2353"/>
      <c r="DH77" s="2355" t="str">
        <f t="array" ref="DH77">IFERROR(INDEX(N_Bedarf!$CE$2:$CE$141,_xlfn.AGGREGATE(15,6,(ROW(N_Bedarf!$CE$2:$CE$141)-1)/(--(SEARCH(DI$2,N_Bedarf!$CE$2:$CE$141)&gt;0)),ROW()-2),1),"")</f>
        <v>Hanf</v>
      </c>
      <c r="DI77" s="2355"/>
      <c r="DJ77" s="2356" t="str">
        <f t="array" ref="DJ77">IFERROR(INDEX(N_Bedarf!$CE$2:$CE$141,_xlfn.AGGREGATE(15,6,(ROW(N_Bedarf!$CE$2:$CE$141)-1)/(--(SEARCH(DK$2,N_Bedarf!$CE$2:$CE$141)&gt;0)),ROW()-2),1),"")</f>
        <v>Hanf</v>
      </c>
      <c r="DK77" s="2356"/>
      <c r="DL77" s="2356" t="str">
        <f t="array" ref="DL77">IFERROR(INDEX(N_Bedarf!$CE$2:$CE$141,_xlfn.AGGREGATE(15,6,(ROW(N_Bedarf!$CE$2:$CE$141)-1)/(--(SEARCH(DM$2,N_Bedarf!$CE$2:$CE$141)&gt;0)),ROW()-2),1),"")</f>
        <v>Hanf</v>
      </c>
      <c r="DM77" s="2356"/>
      <c r="DN77" s="2356" t="str">
        <f t="array" ref="DN77">IFERROR(INDEX(N_Bedarf!$CE$2:$CE$141,_xlfn.AGGREGATE(15,6,(ROW(N_Bedarf!$CE$2:$CE$141)-1)/(--(SEARCH(DO$2,N_Bedarf!$CE$2:$CE$141)&gt;0)),ROW()-2),1),"")</f>
        <v>Hanf</v>
      </c>
      <c r="DO77" s="2356"/>
      <c r="DP77" s="2356" t="str">
        <f t="array" ref="DP77">IFERROR(INDEX(N_Bedarf!$CE$2:$CE$141,_xlfn.AGGREGATE(15,6,(ROW(N_Bedarf!$CE$2:$CE$141)-1)/(--(SEARCH(DQ$2,N_Bedarf!$CE$2:$CE$141)&gt;0)),ROW()-2),1),"")</f>
        <v>Hanf</v>
      </c>
      <c r="DQ77" s="2356"/>
      <c r="DR77" s="2356" t="str">
        <f t="array" ref="DR77">IFERROR(INDEX(N_Bedarf!$CE$2:$CE$141,_xlfn.AGGREGATE(15,6,(ROW(N_Bedarf!$CE$2:$CE$141)-1)/(--(SEARCH(DS$2,N_Bedarf!$CE$2:$CE$141)&gt;0)),ROW()-2),1),"")</f>
        <v>Hanf</v>
      </c>
      <c r="DS77" s="2356"/>
      <c r="DT77" s="2356" t="str">
        <f t="array" ref="DT77">IFERROR(INDEX(N_Bedarf!$CE$2:$CE$141,_xlfn.AGGREGATE(15,6,(ROW(N_Bedarf!$CE$2:$CE$141)-1)/(--(SEARCH(DU$2,N_Bedarf!$CE$2:$CE$141)&gt;0)),ROW()-2),1),"")</f>
        <v>Hanf</v>
      </c>
      <c r="DU77" s="2356"/>
      <c r="DV77" s="2356" t="str">
        <f t="array" ref="DV77">IFERROR(INDEX(N_Bedarf!$CE$2:$CE$141,_xlfn.AGGREGATE(15,6,(ROW(N_Bedarf!$CE$2:$CE$141)-1)/(--(SEARCH(DW$2,N_Bedarf!$CE$2:$CE$141)&gt;0)),ROW()-2),1),"")</f>
        <v>Hanf</v>
      </c>
      <c r="DW77" s="2356"/>
      <c r="DX77" s="2356" t="str">
        <f t="array" ref="DX77">IFERROR(INDEX(N_Bedarf!$CE$2:$CE$141,_xlfn.AGGREGATE(15,6,(ROW(N_Bedarf!$CE$2:$CE$141)-1)/(--(SEARCH(DY$2,N_Bedarf!$CE$2:$CE$141)&gt;0)),ROW()-2),1),"")</f>
        <v>Hanf</v>
      </c>
      <c r="DY77" s="2356"/>
      <c r="DZ77" s="2356" t="str">
        <f t="array" ref="DZ77">IFERROR(INDEX(N_Bedarf!$CE$2:$CE$141,_xlfn.AGGREGATE(15,6,(ROW(N_Bedarf!$CE$2:$CE$141)-1)/(--(SEARCH(EA$2,N_Bedarf!$CE$2:$CE$141)&gt;0)),ROW()-2),1),"")</f>
        <v>Hanf</v>
      </c>
      <c r="EA77" s="2356"/>
      <c r="EB77" s="2356" t="str">
        <f t="array" ref="EB77">IFERROR(INDEX(N_Bedarf!$CE$2:$CE$141,_xlfn.AGGREGATE(15,6,(ROW(N_Bedarf!$CE$2:$CE$141)-1)/(--(SEARCH(EC$2,N_Bedarf!$CE$2:$CE$141)&gt;0)),ROW()-2),1),"")</f>
        <v>Hanf</v>
      </c>
      <c r="EC77" s="2356"/>
      <c r="ED77"/>
      <c r="EE77"/>
      <c r="EF77"/>
      <c r="EG77"/>
      <c r="EH77"/>
      <c r="EI77"/>
      <c r="EJ77"/>
      <c r="EK77"/>
      <c r="EL77"/>
      <c r="EM77"/>
      <c r="EN77"/>
      <c r="EO77"/>
      <c r="EP77"/>
      <c r="EQ77"/>
      <c r="ER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row>
    <row r="78" spans="1:291" ht="21" customHeight="1" thickTop="1" thickBot="1">
      <c r="A78" s="156"/>
      <c r="B78" s="156"/>
      <c r="C78" s="1754" t="s">
        <v>1686</v>
      </c>
      <c r="D78" s="2492" t="s">
        <v>596</v>
      </c>
      <c r="E78" s="2493"/>
      <c r="F78" s="2493"/>
      <c r="G78" s="2493"/>
      <c r="H78" s="2493"/>
      <c r="I78" s="2493"/>
      <c r="J78" s="2493"/>
      <c r="K78" s="2493"/>
      <c r="L78" s="2493"/>
      <c r="M78" s="2493"/>
      <c r="N78" s="2493"/>
      <c r="O78" s="2493"/>
      <c r="P78" s="2493"/>
      <c r="Q78" s="2493"/>
      <c r="R78" s="2494"/>
      <c r="S78" s="1755">
        <v>90</v>
      </c>
      <c r="T78" s="1727">
        <v>90</v>
      </c>
      <c r="U78" s="1728">
        <v>90</v>
      </c>
      <c r="V78" s="1726">
        <v>75</v>
      </c>
      <c r="W78" s="1727">
        <v>75</v>
      </c>
      <c r="X78" s="1728">
        <v>75</v>
      </c>
      <c r="Y78" s="2006">
        <v>55</v>
      </c>
      <c r="Z78" s="2007">
        <v>60</v>
      </c>
      <c r="AA78" s="2008">
        <v>70</v>
      </c>
      <c r="AB78" s="1756" t="s">
        <v>1388</v>
      </c>
      <c r="AC78" s="1757" t="s">
        <v>1389</v>
      </c>
      <c r="AD78" s="1755"/>
      <c r="AE78" s="1727"/>
      <c r="AF78" s="1728"/>
      <c r="AG78" s="1726"/>
      <c r="AH78" s="1727"/>
      <c r="AI78" s="1728"/>
      <c r="AJ78" s="2006"/>
      <c r="AK78" s="2007"/>
      <c r="AL78" s="2008"/>
      <c r="AM78" s="1756"/>
      <c r="AN78" s="1757"/>
      <c r="AO78" s="156"/>
      <c r="AP78" s="156"/>
      <c r="AR78" s="388"/>
      <c r="AS78" s="389"/>
      <c r="AT78" s="398"/>
      <c r="AX78" s="1722" t="s">
        <v>23</v>
      </c>
      <c r="AY78" s="681">
        <v>75</v>
      </c>
      <c r="AZ78" s="681">
        <v>65</v>
      </c>
      <c r="BA78" s="681" t="s">
        <v>2652</v>
      </c>
      <c r="BB78" s="681">
        <v>100</v>
      </c>
      <c r="BC78" s="681">
        <v>85</v>
      </c>
      <c r="BD78" s="681" t="s">
        <v>2665</v>
      </c>
      <c r="BE78" s="681">
        <v>115</v>
      </c>
      <c r="BF78" s="681">
        <v>100</v>
      </c>
      <c r="BG78" s="681" t="s">
        <v>2682</v>
      </c>
      <c r="BH78" s="681">
        <v>125</v>
      </c>
      <c r="BI78" s="681">
        <v>105</v>
      </c>
      <c r="BJ78" s="681" t="s">
        <v>2666</v>
      </c>
      <c r="BK78" s="681">
        <v>135</v>
      </c>
      <c r="BL78" s="681">
        <v>115</v>
      </c>
      <c r="BM78" s="681" t="s">
        <v>2568</v>
      </c>
      <c r="BN78" s="471" t="s">
        <v>1764</v>
      </c>
      <c r="BO78" s="821" t="s">
        <v>1764</v>
      </c>
      <c r="BP78"/>
      <c r="BQ78" s="1722" t="s">
        <v>23</v>
      </c>
      <c r="BR78" s="470">
        <v>50</v>
      </c>
      <c r="BS78" s="470">
        <v>55</v>
      </c>
      <c r="BT78" s="470">
        <v>65</v>
      </c>
      <c r="BU78" s="426"/>
      <c r="BV78" s="1722" t="s">
        <v>23</v>
      </c>
      <c r="BW78" s="470">
        <v>70</v>
      </c>
      <c r="BX78" s="470">
        <v>80</v>
      </c>
      <c r="BY78" s="470">
        <v>90</v>
      </c>
      <c r="CA78" s="394"/>
      <c r="CB78"/>
      <c r="CC78"/>
      <c r="CD78"/>
      <c r="CE78" s="2310" t="s">
        <v>1718</v>
      </c>
      <c r="CF78" s="1834" t="str">
        <f>IFERROR(INDEX(N_Bedarf!$CE$2:$CE$141,_xlfn.AGGREGATE(15,6,(ROW(N_Bedarf!$CE$2:$CE$141)-1)/(--(SEARCH(CG$2,N_Bedarf!$CE$2:$CE$141)&gt;0)),ROW()-2),1),"")</f>
        <v>Trockenreis</v>
      </c>
      <c r="CG78" s="1836"/>
      <c r="CH78" s="1834" t="str">
        <f>IFERROR(INDEX(N_Bedarf!$CE$2:$CE$141,_xlfn.AGGREGATE(15,6,(ROW(N_Bedarf!$CE$2:$CE$141)-1)/(--(SEARCH(CI$2,N_Bedarf!$CE$2:$CE$141)&gt;0)),ROW()-2),1),"")</f>
        <v>Trockenreis</v>
      </c>
      <c r="CI78" s="1836"/>
      <c r="CJ78" s="1834" t="str">
        <f>IFERROR(INDEX(N_Bedarf!$CE$2:$CE$141,_xlfn.AGGREGATE(15,6,(ROW(N_Bedarf!$CE$2:$CE$141)-1)/(--(SEARCH(CK$2,N_Bedarf!$CE$2:$CE$141)&gt;0)),ROW()-2),1),"")</f>
        <v>Trockenreis</v>
      </c>
      <c r="CK78" s="1836"/>
      <c r="CL78" s="1834" t="str">
        <f>IFERROR(INDEX(N_Bedarf!$CE$2:$CE$141,_xlfn.AGGREGATE(15,6,(ROW(N_Bedarf!$CE$2:$CE$141)-1)/(--(SEARCH(CM$2,N_Bedarf!$CE$2:$CE$141)&gt;0)),ROW()-2),1),"")</f>
        <v>Trockenreis</v>
      </c>
      <c r="CM78" s="1836"/>
      <c r="CN78" s="1834" t="str">
        <f>IFERROR(INDEX(N_Bedarf!$CE$2:$CE$141,_xlfn.AGGREGATE(15,6,(ROW(N_Bedarf!$CE$2:$CE$141)-1)/(--(SEARCH(CO$2,N_Bedarf!$CE$2:$CE$141)&gt;0)),ROW()-2),1),"")</f>
        <v>Trockenreis</v>
      </c>
      <c r="CO78" s="1836"/>
      <c r="CP78" s="1834" t="str">
        <f>IFERROR(INDEX(N_Bedarf!$CE$2:$CE$141,_xlfn.AGGREGATE(15,6,(ROW(N_Bedarf!$CE$2:$CE$141)-1)/(--(SEARCH(CQ$2,N_Bedarf!$CE$2:$CE$141)&gt;0)),ROW()-2),1),"")</f>
        <v>Trockenreis</v>
      </c>
      <c r="CQ78" s="1836"/>
      <c r="CR78" s="1834" t="str">
        <f>IFERROR(INDEX(N_Bedarf!$CE$2:$CE$141,_xlfn.AGGREGATE(15,6,(ROW(N_Bedarf!$CE$2:$CE$141)-1)/(--(SEARCH(CS$2,N_Bedarf!$CE$2:$CE$141)&gt;0)),ROW()-2),1),"")</f>
        <v>Trockenreis</v>
      </c>
      <c r="CS78" s="1836"/>
      <c r="CT78" s="1834" t="str">
        <f>IFERROR(INDEX(N_Bedarf!$CE$2:$CE$141,_xlfn.AGGREGATE(15,6,(ROW(N_Bedarf!$CE$2:$CE$141)-1)/(--(SEARCH(CU$2,N_Bedarf!$CE$2:$CE$141)&gt;0)),ROW()-2),1),"")</f>
        <v>Trockenreis</v>
      </c>
      <c r="CU78" s="1836"/>
      <c r="CV78" s="1834" t="str">
        <f>IFERROR(INDEX(N_Bedarf!$CE$2:$CE$141,_xlfn.AGGREGATE(15,6,(ROW(N_Bedarf!$CE$2:$CE$141)-1)/(--(SEARCH(CW$2,N_Bedarf!$CE$2:$CE$141)&gt;0)),ROW()-2),1),"")</f>
        <v>Trockenreis</v>
      </c>
      <c r="CW78" s="1836"/>
      <c r="CX78" s="1834" t="str">
        <f>IFERROR(INDEX(N_Bedarf!$CE$2:$CE$141,_xlfn.AGGREGATE(15,6,(ROW(N_Bedarf!$CE$2:$CE$141)-1)/(--(SEARCH(CY$2,N_Bedarf!$CE$2:$CE$141)&gt;0)),ROW()-2),1),"")</f>
        <v>Trockenreis</v>
      </c>
      <c r="CY78" s="1836"/>
      <c r="CZ78" s="1834" t="str">
        <f>IFERROR(INDEX(N_Bedarf!$CE$2:$CE$141,_xlfn.AGGREGATE(15,6,(ROW(N_Bedarf!$CE$2:$CE$141)-1)/(--(SEARCH(DA$2,N_Bedarf!$CE$2:$CE$141)&gt;0)),ROW()-2),1),"")</f>
        <v>Trockenreis</v>
      </c>
      <c r="DA78" s="1836"/>
      <c r="DB78" s="1834" t="str">
        <f>IFERROR(INDEX(N_Bedarf!$CE$2:$CE$141,_xlfn.AGGREGATE(15,6,(ROW(N_Bedarf!$CE$2:$CE$141)-1)/(--(SEARCH(DC$2,N_Bedarf!$CE$2:$CE$141)&gt;0)),ROW()-2),1),"")</f>
        <v>Trockenreis</v>
      </c>
      <c r="DC78" s="1836"/>
      <c r="DD78" s="1834" t="str">
        <f>IFERROR(INDEX(N_Bedarf!$CE$2:$CE$141,_xlfn.AGGREGATE(15,6,(ROW(N_Bedarf!$CE$2:$CE$141)-1)/(--(SEARCH(DE$2,N_Bedarf!$CE$2:$CE$141)&gt;0)),ROW()-2),1),"")</f>
        <v>Trockenreis</v>
      </c>
      <c r="DE78" s="1836"/>
      <c r="DF78" s="2353" t="str">
        <f t="array" ref="DF78">IFERROR(INDEX(N_Bedarf!$CE$2:$CE$141,_xlfn.AGGREGATE(15,6,(ROW(N_Bedarf!$CE$2:$CE$141)-1)/(--(SEARCH(DG$2,N_Bedarf!$CE$2:$CE$141)&gt;0)),ROW()-2),1),"")</f>
        <v>Trockenreis</v>
      </c>
      <c r="DG78" s="2353"/>
      <c r="DH78" s="2355" t="str">
        <f t="array" ref="DH78">IFERROR(INDEX(N_Bedarf!$CE$2:$CE$141,_xlfn.AGGREGATE(15,6,(ROW(N_Bedarf!$CE$2:$CE$141)-1)/(--(SEARCH(DI$2,N_Bedarf!$CE$2:$CE$141)&gt;0)),ROW()-2),1),"")</f>
        <v>Trockenreis</v>
      </c>
      <c r="DI78" s="2355"/>
      <c r="DJ78" s="2356" t="str">
        <f t="array" ref="DJ78">IFERROR(INDEX(N_Bedarf!$CE$2:$CE$141,_xlfn.AGGREGATE(15,6,(ROW(N_Bedarf!$CE$2:$CE$141)-1)/(--(SEARCH(DK$2,N_Bedarf!$CE$2:$CE$141)&gt;0)),ROW()-2),1),"")</f>
        <v>Trockenreis</v>
      </c>
      <c r="DK78" s="2356"/>
      <c r="DL78" s="2356" t="str">
        <f t="array" ref="DL78">IFERROR(INDEX(N_Bedarf!$CE$2:$CE$141,_xlfn.AGGREGATE(15,6,(ROW(N_Bedarf!$CE$2:$CE$141)-1)/(--(SEARCH(DM$2,N_Bedarf!$CE$2:$CE$141)&gt;0)),ROW()-2),1),"")</f>
        <v>Trockenreis</v>
      </c>
      <c r="DM78" s="2356"/>
      <c r="DN78" s="2356" t="str">
        <f t="array" ref="DN78">IFERROR(INDEX(N_Bedarf!$CE$2:$CE$141,_xlfn.AGGREGATE(15,6,(ROW(N_Bedarf!$CE$2:$CE$141)-1)/(--(SEARCH(DO$2,N_Bedarf!$CE$2:$CE$141)&gt;0)),ROW()-2),1),"")</f>
        <v>Trockenreis</v>
      </c>
      <c r="DO78" s="2356"/>
      <c r="DP78" s="2356" t="str">
        <f t="array" ref="DP78">IFERROR(INDEX(N_Bedarf!$CE$2:$CE$141,_xlfn.AGGREGATE(15,6,(ROW(N_Bedarf!$CE$2:$CE$141)-1)/(--(SEARCH(DQ$2,N_Bedarf!$CE$2:$CE$141)&gt;0)),ROW()-2),1),"")</f>
        <v>Trockenreis</v>
      </c>
      <c r="DQ78" s="2356"/>
      <c r="DR78" s="2356" t="str">
        <f t="array" ref="DR78">IFERROR(INDEX(N_Bedarf!$CE$2:$CE$141,_xlfn.AGGREGATE(15,6,(ROW(N_Bedarf!$CE$2:$CE$141)-1)/(--(SEARCH(DS$2,N_Bedarf!$CE$2:$CE$141)&gt;0)),ROW()-2),1),"")</f>
        <v>Trockenreis</v>
      </c>
      <c r="DS78" s="2356"/>
      <c r="DT78" s="2356" t="str">
        <f t="array" ref="DT78">IFERROR(INDEX(N_Bedarf!$CE$2:$CE$141,_xlfn.AGGREGATE(15,6,(ROW(N_Bedarf!$CE$2:$CE$141)-1)/(--(SEARCH(DU$2,N_Bedarf!$CE$2:$CE$141)&gt;0)),ROW()-2),1),"")</f>
        <v>Trockenreis</v>
      </c>
      <c r="DU78" s="2356"/>
      <c r="DV78" s="2356" t="str">
        <f t="array" ref="DV78">IFERROR(INDEX(N_Bedarf!$CE$2:$CE$141,_xlfn.AGGREGATE(15,6,(ROW(N_Bedarf!$CE$2:$CE$141)-1)/(--(SEARCH(DW$2,N_Bedarf!$CE$2:$CE$141)&gt;0)),ROW()-2),1),"")</f>
        <v>Trockenreis</v>
      </c>
      <c r="DW78" s="2356"/>
      <c r="DX78" s="2356" t="str">
        <f t="array" ref="DX78">IFERROR(INDEX(N_Bedarf!$CE$2:$CE$141,_xlfn.AGGREGATE(15,6,(ROW(N_Bedarf!$CE$2:$CE$141)-1)/(--(SEARCH(DY$2,N_Bedarf!$CE$2:$CE$141)&gt;0)),ROW()-2),1),"")</f>
        <v>Trockenreis</v>
      </c>
      <c r="DY78" s="2356"/>
      <c r="DZ78" s="2356" t="str">
        <f t="array" ref="DZ78">IFERROR(INDEX(N_Bedarf!$CE$2:$CE$141,_xlfn.AGGREGATE(15,6,(ROW(N_Bedarf!$CE$2:$CE$141)-1)/(--(SEARCH(EA$2,N_Bedarf!$CE$2:$CE$141)&gt;0)),ROW()-2),1),"")</f>
        <v>Trockenreis</v>
      </c>
      <c r="EA78" s="2356"/>
      <c r="EB78" s="2356" t="str">
        <f t="array" ref="EB78">IFERROR(INDEX(N_Bedarf!$CE$2:$CE$141,_xlfn.AGGREGATE(15,6,(ROW(N_Bedarf!$CE$2:$CE$141)-1)/(--(SEARCH(EC$2,N_Bedarf!$CE$2:$CE$141)&gt;0)),ROW()-2),1),"")</f>
        <v>Trockenreis</v>
      </c>
      <c r="EC78" s="2356"/>
      <c r="ED78"/>
      <c r="EE78"/>
      <c r="EF78"/>
      <c r="EG78"/>
      <c r="EH78"/>
      <c r="EI78"/>
      <c r="EJ78"/>
      <c r="EK78"/>
      <c r="EL78"/>
      <c r="EM78"/>
      <c r="EN78"/>
      <c r="EO78"/>
      <c r="EP78"/>
      <c r="EQ78"/>
      <c r="ER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row>
    <row r="79" spans="1:291" ht="21" customHeight="1" thickTop="1" thickBot="1">
      <c r="A79" s="156"/>
      <c r="B79" s="156"/>
      <c r="C79" s="1758" t="s">
        <v>4</v>
      </c>
      <c r="D79" s="1759" t="s">
        <v>123</v>
      </c>
      <c r="E79" s="1729">
        <v>40</v>
      </c>
      <c r="F79" s="1760">
        <v>35</v>
      </c>
      <c r="G79" s="1993" t="s">
        <v>5</v>
      </c>
      <c r="H79" s="1994">
        <v>40</v>
      </c>
      <c r="I79" s="1995">
        <v>35</v>
      </c>
      <c r="J79" s="1759" t="s">
        <v>6</v>
      </c>
      <c r="K79" s="1729">
        <v>40</v>
      </c>
      <c r="L79" s="1760">
        <v>35</v>
      </c>
      <c r="M79" s="1759" t="s">
        <v>7</v>
      </c>
      <c r="N79" s="1729">
        <v>40</v>
      </c>
      <c r="O79" s="1760">
        <v>35</v>
      </c>
      <c r="P79" s="1759" t="s">
        <v>582</v>
      </c>
      <c r="Q79" s="1729">
        <v>40</v>
      </c>
      <c r="R79" s="1761">
        <v>35</v>
      </c>
      <c r="S79" s="1762">
        <v>85</v>
      </c>
      <c r="T79" s="1729">
        <v>85</v>
      </c>
      <c r="U79" s="1760">
        <v>85</v>
      </c>
      <c r="V79" s="1759">
        <v>70</v>
      </c>
      <c r="W79" s="1729">
        <v>70</v>
      </c>
      <c r="X79" s="1760">
        <v>70</v>
      </c>
      <c r="Y79" s="2009">
        <v>50</v>
      </c>
      <c r="Z79" s="2010">
        <v>55</v>
      </c>
      <c r="AA79" s="2011">
        <v>65</v>
      </c>
      <c r="AB79" s="1871" t="s">
        <v>714</v>
      </c>
      <c r="AC79" s="1763" t="s">
        <v>714</v>
      </c>
      <c r="AD79" s="1762">
        <v>75</v>
      </c>
      <c r="AE79" s="1729">
        <v>75</v>
      </c>
      <c r="AF79" s="1760">
        <v>75</v>
      </c>
      <c r="AG79" s="1759">
        <v>65</v>
      </c>
      <c r="AH79" s="1729">
        <v>65</v>
      </c>
      <c r="AI79" s="1760">
        <v>65</v>
      </c>
      <c r="AJ79" s="2009">
        <v>45</v>
      </c>
      <c r="AK79" s="2010">
        <v>50</v>
      </c>
      <c r="AL79" s="2011">
        <v>60</v>
      </c>
      <c r="AM79" s="1871" t="s">
        <v>1390</v>
      </c>
      <c r="AN79" s="1763" t="s">
        <v>1389</v>
      </c>
      <c r="AO79" s="156"/>
      <c r="AP79" s="156"/>
      <c r="AR79" s="388"/>
      <c r="AS79" s="389"/>
      <c r="AT79" s="398"/>
      <c r="AX79" s="1722" t="s">
        <v>17</v>
      </c>
      <c r="AY79" s="681">
        <v>60</v>
      </c>
      <c r="AZ79" s="681">
        <v>50</v>
      </c>
      <c r="BA79" s="681" t="s">
        <v>2692</v>
      </c>
      <c r="BB79" s="681">
        <v>80</v>
      </c>
      <c r="BC79" s="681">
        <v>70</v>
      </c>
      <c r="BD79" s="681" t="s">
        <v>2723</v>
      </c>
      <c r="BE79" s="681">
        <v>120</v>
      </c>
      <c r="BF79" s="681">
        <v>100</v>
      </c>
      <c r="BG79" s="681" t="s">
        <v>2578</v>
      </c>
      <c r="BH79" s="681">
        <v>120</v>
      </c>
      <c r="BI79" s="681">
        <v>100</v>
      </c>
      <c r="BJ79" s="681" t="s">
        <v>2578</v>
      </c>
      <c r="BK79" s="681">
        <v>120</v>
      </c>
      <c r="BL79" s="681">
        <v>100</v>
      </c>
      <c r="BM79" s="681" t="s">
        <v>2578</v>
      </c>
      <c r="BN79" s="471" t="s">
        <v>1764</v>
      </c>
      <c r="BO79" s="821" t="s">
        <v>1764</v>
      </c>
      <c r="BP79"/>
      <c r="BQ79" s="1722" t="s">
        <v>17</v>
      </c>
      <c r="BR79" s="470">
        <v>50</v>
      </c>
      <c r="BS79" s="470">
        <v>55</v>
      </c>
      <c r="BT79" s="470">
        <v>65</v>
      </c>
      <c r="BU79" s="426"/>
      <c r="BV79" s="1722" t="s">
        <v>17</v>
      </c>
      <c r="BW79" s="470">
        <v>120</v>
      </c>
      <c r="BX79" s="470">
        <v>135</v>
      </c>
      <c r="BY79" s="470">
        <v>155</v>
      </c>
      <c r="CA79" s="394"/>
      <c r="CB79"/>
      <c r="CC79"/>
      <c r="CD79"/>
      <c r="CE79" s="2310" t="s">
        <v>1732</v>
      </c>
      <c r="CF79" s="1834" t="str">
        <f>IFERROR(INDEX(N_Bedarf!$CE$2:$CE$141,_xlfn.AGGREGATE(15,6,(ROW(N_Bedarf!$CE$2:$CE$141)-1)/(--(SEARCH(CG$2,N_Bedarf!$CE$2:$CE$141)&gt;0)),ROW()-2),1),"")</f>
        <v>Sommerrübse</v>
      </c>
      <c r="CG79" s="1830"/>
      <c r="CH79" s="1834" t="str">
        <f>IFERROR(INDEX(N_Bedarf!$CE$2:$CE$141,_xlfn.AGGREGATE(15,6,(ROW(N_Bedarf!$CE$2:$CE$141)-1)/(--(SEARCH(CI$2,N_Bedarf!$CE$2:$CE$141)&gt;0)),ROW()-2),1),"")</f>
        <v>Sommerrübse</v>
      </c>
      <c r="CI79" s="1830"/>
      <c r="CJ79" s="1834" t="str">
        <f>IFERROR(INDEX(N_Bedarf!$CE$2:$CE$141,_xlfn.AGGREGATE(15,6,(ROW(N_Bedarf!$CE$2:$CE$141)-1)/(--(SEARCH(CK$2,N_Bedarf!$CE$2:$CE$141)&gt;0)),ROW()-2),1),"")</f>
        <v>Sommerrübse</v>
      </c>
      <c r="CK79" s="1830"/>
      <c r="CL79" s="1834" t="str">
        <f>IFERROR(INDEX(N_Bedarf!$CE$2:$CE$141,_xlfn.AGGREGATE(15,6,(ROW(N_Bedarf!$CE$2:$CE$141)-1)/(--(SEARCH(CM$2,N_Bedarf!$CE$2:$CE$141)&gt;0)),ROW()-2),1),"")</f>
        <v>Sommerrübse</v>
      </c>
      <c r="CM79" s="1830"/>
      <c r="CN79" s="1834" t="str">
        <f>IFERROR(INDEX(N_Bedarf!$CE$2:$CE$141,_xlfn.AGGREGATE(15,6,(ROW(N_Bedarf!$CE$2:$CE$141)-1)/(--(SEARCH(CO$2,N_Bedarf!$CE$2:$CE$141)&gt;0)),ROW()-2),1),"")</f>
        <v>Sommerrübse</v>
      </c>
      <c r="CO79" s="1830"/>
      <c r="CP79" s="1834" t="str">
        <f>IFERROR(INDEX(N_Bedarf!$CE$2:$CE$141,_xlfn.AGGREGATE(15,6,(ROW(N_Bedarf!$CE$2:$CE$141)-1)/(--(SEARCH(CQ$2,N_Bedarf!$CE$2:$CE$141)&gt;0)),ROW()-2),1),"")</f>
        <v>Sommerrübse</v>
      </c>
      <c r="CQ79" s="1830"/>
      <c r="CR79" s="1834" t="str">
        <f>IFERROR(INDEX(N_Bedarf!$CE$2:$CE$141,_xlfn.AGGREGATE(15,6,(ROW(N_Bedarf!$CE$2:$CE$141)-1)/(--(SEARCH(CS$2,N_Bedarf!$CE$2:$CE$141)&gt;0)),ROW()-2),1),"")</f>
        <v>Sommerrübse</v>
      </c>
      <c r="CS79" s="1830"/>
      <c r="CT79" s="1834" t="str">
        <f>IFERROR(INDEX(N_Bedarf!$CE$2:$CE$141,_xlfn.AGGREGATE(15,6,(ROW(N_Bedarf!$CE$2:$CE$141)-1)/(--(SEARCH(CU$2,N_Bedarf!$CE$2:$CE$141)&gt;0)),ROW()-2),1),"")</f>
        <v>Sommerrübse</v>
      </c>
      <c r="CU79" s="1830"/>
      <c r="CV79" s="1834" t="str">
        <f>IFERROR(INDEX(N_Bedarf!$CE$2:$CE$141,_xlfn.AGGREGATE(15,6,(ROW(N_Bedarf!$CE$2:$CE$141)-1)/(--(SEARCH(CW$2,N_Bedarf!$CE$2:$CE$141)&gt;0)),ROW()-2),1),"")</f>
        <v>Sommerrübse</v>
      </c>
      <c r="CW79" s="1830"/>
      <c r="CX79" s="1834" t="str">
        <f>IFERROR(INDEX(N_Bedarf!$CE$2:$CE$141,_xlfn.AGGREGATE(15,6,(ROW(N_Bedarf!$CE$2:$CE$141)-1)/(--(SEARCH(CY$2,N_Bedarf!$CE$2:$CE$141)&gt;0)),ROW()-2),1),"")</f>
        <v>Sommerrübse</v>
      </c>
      <c r="CY79" s="1830"/>
      <c r="CZ79" s="1834" t="str">
        <f>IFERROR(INDEX(N_Bedarf!$CE$2:$CE$141,_xlfn.AGGREGATE(15,6,(ROW(N_Bedarf!$CE$2:$CE$141)-1)/(--(SEARCH(DA$2,N_Bedarf!$CE$2:$CE$141)&gt;0)),ROW()-2),1),"")</f>
        <v>Sommerrübse</v>
      </c>
      <c r="DA79" s="1830"/>
      <c r="DB79" s="1834" t="str">
        <f>IFERROR(INDEX(N_Bedarf!$CE$2:$CE$141,_xlfn.AGGREGATE(15,6,(ROW(N_Bedarf!$CE$2:$CE$141)-1)/(--(SEARCH(DC$2,N_Bedarf!$CE$2:$CE$141)&gt;0)),ROW()-2),1),"")</f>
        <v>Sommerrübse</v>
      </c>
      <c r="DC79" s="1830"/>
      <c r="DD79" s="1834" t="str">
        <f>IFERROR(INDEX(N_Bedarf!$CE$2:$CE$141,_xlfn.AGGREGATE(15,6,(ROW(N_Bedarf!$CE$2:$CE$141)-1)/(--(SEARCH(DE$2,N_Bedarf!$CE$2:$CE$141)&gt;0)),ROW()-2),1),"")</f>
        <v>Sommerrübse</v>
      </c>
      <c r="DE79" s="1830"/>
      <c r="DF79" s="2353" t="str">
        <f t="array" ref="DF79">IFERROR(INDEX(N_Bedarf!$CE$2:$CE$141,_xlfn.AGGREGATE(15,6,(ROW(N_Bedarf!$CE$2:$CE$141)-1)/(--(SEARCH(DG$2,N_Bedarf!$CE$2:$CE$141)&gt;0)),ROW()-2),1),"")</f>
        <v>Sommerrübse</v>
      </c>
      <c r="DG79" s="2353"/>
      <c r="DH79" s="2355" t="str">
        <f t="array" ref="DH79">IFERROR(INDEX(N_Bedarf!$CE$2:$CE$141,_xlfn.AGGREGATE(15,6,(ROW(N_Bedarf!$CE$2:$CE$141)-1)/(--(SEARCH(DI$2,N_Bedarf!$CE$2:$CE$141)&gt;0)),ROW()-2),1),"")</f>
        <v>Sommerrübse</v>
      </c>
      <c r="DI79" s="2355"/>
      <c r="DJ79" s="2356" t="str">
        <f t="array" ref="DJ79">IFERROR(INDEX(N_Bedarf!$CE$2:$CE$141,_xlfn.AGGREGATE(15,6,(ROW(N_Bedarf!$CE$2:$CE$141)-1)/(--(SEARCH(DK$2,N_Bedarf!$CE$2:$CE$141)&gt;0)),ROW()-2),1),"")</f>
        <v>Sommerrübse</v>
      </c>
      <c r="DK79" s="2356"/>
      <c r="DL79" s="2356" t="str">
        <f t="array" ref="DL79">IFERROR(INDEX(N_Bedarf!$CE$2:$CE$141,_xlfn.AGGREGATE(15,6,(ROW(N_Bedarf!$CE$2:$CE$141)-1)/(--(SEARCH(DM$2,N_Bedarf!$CE$2:$CE$141)&gt;0)),ROW()-2),1),"")</f>
        <v>Sommerrübse</v>
      </c>
      <c r="DM79" s="2356"/>
      <c r="DN79" s="2356" t="str">
        <f t="array" ref="DN79">IFERROR(INDEX(N_Bedarf!$CE$2:$CE$141,_xlfn.AGGREGATE(15,6,(ROW(N_Bedarf!$CE$2:$CE$141)-1)/(--(SEARCH(DO$2,N_Bedarf!$CE$2:$CE$141)&gt;0)),ROW()-2),1),"")</f>
        <v>Sommerrübse</v>
      </c>
      <c r="DO79" s="2356"/>
      <c r="DP79" s="2356" t="str">
        <f t="array" ref="DP79">IFERROR(INDEX(N_Bedarf!$CE$2:$CE$141,_xlfn.AGGREGATE(15,6,(ROW(N_Bedarf!$CE$2:$CE$141)-1)/(--(SEARCH(DQ$2,N_Bedarf!$CE$2:$CE$141)&gt;0)),ROW()-2),1),"")</f>
        <v>Sommerrübse</v>
      </c>
      <c r="DQ79" s="2356"/>
      <c r="DR79" s="2356" t="str">
        <f t="array" ref="DR79">IFERROR(INDEX(N_Bedarf!$CE$2:$CE$141,_xlfn.AGGREGATE(15,6,(ROW(N_Bedarf!$CE$2:$CE$141)-1)/(--(SEARCH(DS$2,N_Bedarf!$CE$2:$CE$141)&gt;0)),ROW()-2),1),"")</f>
        <v>Sommerrübse</v>
      </c>
      <c r="DS79" s="2356"/>
      <c r="DT79" s="2356" t="str">
        <f t="array" ref="DT79">IFERROR(INDEX(N_Bedarf!$CE$2:$CE$141,_xlfn.AGGREGATE(15,6,(ROW(N_Bedarf!$CE$2:$CE$141)-1)/(--(SEARCH(DU$2,N_Bedarf!$CE$2:$CE$141)&gt;0)),ROW()-2),1),"")</f>
        <v>Sommerrübse</v>
      </c>
      <c r="DU79" s="2356"/>
      <c r="DV79" s="2356" t="str">
        <f t="array" ref="DV79">IFERROR(INDEX(N_Bedarf!$CE$2:$CE$141,_xlfn.AGGREGATE(15,6,(ROW(N_Bedarf!$CE$2:$CE$141)-1)/(--(SEARCH(DW$2,N_Bedarf!$CE$2:$CE$141)&gt;0)),ROW()-2),1),"")</f>
        <v>Sommerrübse</v>
      </c>
      <c r="DW79" s="2356"/>
      <c r="DX79" s="2356" t="str">
        <f t="array" ref="DX79">IFERROR(INDEX(N_Bedarf!$CE$2:$CE$141,_xlfn.AGGREGATE(15,6,(ROW(N_Bedarf!$CE$2:$CE$141)-1)/(--(SEARCH(DY$2,N_Bedarf!$CE$2:$CE$141)&gt;0)),ROW()-2),1),"")</f>
        <v>Sommerrübse</v>
      </c>
      <c r="DY79" s="2356"/>
      <c r="DZ79" s="2356" t="str">
        <f t="array" ref="DZ79">IFERROR(INDEX(N_Bedarf!$CE$2:$CE$141,_xlfn.AGGREGATE(15,6,(ROW(N_Bedarf!$CE$2:$CE$141)-1)/(--(SEARCH(EA$2,N_Bedarf!$CE$2:$CE$141)&gt;0)),ROW()-2),1),"")</f>
        <v>Sommerrübse</v>
      </c>
      <c r="EA79" s="2356"/>
      <c r="EB79" s="2356" t="str">
        <f t="array" ref="EB79">IFERROR(INDEX(N_Bedarf!$CE$2:$CE$141,_xlfn.AGGREGATE(15,6,(ROW(N_Bedarf!$CE$2:$CE$141)-1)/(--(SEARCH(EC$2,N_Bedarf!$CE$2:$CE$141)&gt;0)),ROW()-2),1),"")</f>
        <v>Sommerrübse</v>
      </c>
      <c r="EC79" s="2356"/>
      <c r="ED79"/>
      <c r="EE79"/>
      <c r="EF79"/>
      <c r="EG79"/>
      <c r="EH79"/>
      <c r="EI79"/>
      <c r="EJ79"/>
      <c r="EK79"/>
      <c r="EL79"/>
      <c r="EM79"/>
      <c r="EN79"/>
      <c r="EO79"/>
      <c r="EP79"/>
      <c r="EQ79"/>
      <c r="ER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row>
    <row r="80" spans="1:291" ht="21" customHeight="1" thickTop="1" thickBot="1">
      <c r="A80" s="156"/>
      <c r="B80" s="156"/>
      <c r="C80" s="1758" t="s">
        <v>1687</v>
      </c>
      <c r="D80" s="1759" t="s">
        <v>1418</v>
      </c>
      <c r="E80" s="1729">
        <v>60</v>
      </c>
      <c r="F80" s="1760">
        <v>50</v>
      </c>
      <c r="G80" s="1993" t="s">
        <v>8</v>
      </c>
      <c r="H80" s="1994">
        <v>60</v>
      </c>
      <c r="I80" s="1995">
        <v>50</v>
      </c>
      <c r="J80" s="1759" t="s">
        <v>9</v>
      </c>
      <c r="K80" s="1729">
        <v>60</v>
      </c>
      <c r="L80" s="1760">
        <v>50</v>
      </c>
      <c r="M80" s="1759" t="s">
        <v>10</v>
      </c>
      <c r="N80" s="1729">
        <v>60</v>
      </c>
      <c r="O80" s="1760">
        <v>50</v>
      </c>
      <c r="P80" s="1759" t="s">
        <v>11</v>
      </c>
      <c r="Q80" s="1729">
        <v>60</v>
      </c>
      <c r="R80" s="1761">
        <v>50</v>
      </c>
      <c r="S80" s="1762">
        <v>100</v>
      </c>
      <c r="T80" s="1729">
        <v>100</v>
      </c>
      <c r="U80" s="1760">
        <v>100</v>
      </c>
      <c r="V80" s="1759">
        <v>80</v>
      </c>
      <c r="W80" s="1729">
        <v>80</v>
      </c>
      <c r="X80" s="1760">
        <v>80</v>
      </c>
      <c r="Y80" s="2009">
        <v>60</v>
      </c>
      <c r="Z80" s="2010">
        <v>65</v>
      </c>
      <c r="AA80" s="2011">
        <v>75</v>
      </c>
      <c r="AB80" s="1871" t="s">
        <v>1388</v>
      </c>
      <c r="AC80" s="1763" t="s">
        <v>1389</v>
      </c>
      <c r="AD80" s="1762">
        <v>150</v>
      </c>
      <c r="AE80" s="1729">
        <v>150</v>
      </c>
      <c r="AF80" s="1760">
        <v>150</v>
      </c>
      <c r="AG80" s="1759">
        <v>125</v>
      </c>
      <c r="AH80" s="1729">
        <v>125</v>
      </c>
      <c r="AI80" s="1760">
        <v>125</v>
      </c>
      <c r="AJ80" s="2009">
        <v>90</v>
      </c>
      <c r="AK80" s="2010">
        <v>100</v>
      </c>
      <c r="AL80" s="2011">
        <v>115</v>
      </c>
      <c r="AM80" s="1871" t="s">
        <v>1390</v>
      </c>
      <c r="AN80" s="1763" t="s">
        <v>1389</v>
      </c>
      <c r="AO80" s="156"/>
      <c r="AP80" s="156"/>
      <c r="AR80" s="388"/>
      <c r="AS80" s="389"/>
      <c r="AT80" s="398"/>
      <c r="AX80" s="1722" t="s">
        <v>2372</v>
      </c>
      <c r="AY80" s="681">
        <v>60</v>
      </c>
      <c r="AZ80" s="681">
        <v>50</v>
      </c>
      <c r="BA80" s="681" t="s">
        <v>2691</v>
      </c>
      <c r="BB80" s="681">
        <v>80</v>
      </c>
      <c r="BC80" s="681">
        <v>70</v>
      </c>
      <c r="BD80" s="681" t="s">
        <v>2717</v>
      </c>
      <c r="BE80" s="681">
        <v>105</v>
      </c>
      <c r="BF80" s="681">
        <v>90</v>
      </c>
      <c r="BG80" s="681" t="s">
        <v>2575</v>
      </c>
      <c r="BH80" s="681">
        <v>105</v>
      </c>
      <c r="BI80" s="681">
        <v>90</v>
      </c>
      <c r="BJ80" s="681" t="s">
        <v>2575</v>
      </c>
      <c r="BK80" s="681">
        <v>105</v>
      </c>
      <c r="BL80" s="681">
        <v>90</v>
      </c>
      <c r="BM80" s="681" t="s">
        <v>2575</v>
      </c>
      <c r="BN80" s="471">
        <v>0</v>
      </c>
      <c r="BO80" s="821" t="s">
        <v>1764</v>
      </c>
      <c r="BP80"/>
      <c r="BQ80" s="1722" t="s">
        <v>2372</v>
      </c>
      <c r="BR80" s="470">
        <v>50</v>
      </c>
      <c r="BS80" s="470">
        <v>55</v>
      </c>
      <c r="BT80" s="470">
        <v>65</v>
      </c>
      <c r="BU80"/>
      <c r="BV80" s="1722" t="s">
        <v>2372</v>
      </c>
      <c r="BW80" s="470">
        <v>80</v>
      </c>
      <c r="BX80" s="470">
        <v>80</v>
      </c>
      <c r="BY80" s="470">
        <v>80</v>
      </c>
      <c r="BZ80" s="1588"/>
      <c r="CA80" s="429"/>
      <c r="CB80"/>
      <c r="CC80"/>
      <c r="CD80"/>
      <c r="CE80" s="2310" t="s">
        <v>1720</v>
      </c>
      <c r="CF80" s="1834" t="str">
        <f>IFERROR(INDEX(N_Bedarf!$CE$2:$CE$141,_xlfn.AGGREGATE(15,6,(ROW(N_Bedarf!$CE$2:$CE$141)-1)/(--(SEARCH(CG$2,N_Bedarf!$CE$2:$CE$141)&gt;0)),ROW()-2),1),"")</f>
        <v>Winterrübse</v>
      </c>
      <c r="CG80" s="1836"/>
      <c r="CH80" s="1834" t="str">
        <f>IFERROR(INDEX(N_Bedarf!$CE$2:$CE$141,_xlfn.AGGREGATE(15,6,(ROW(N_Bedarf!$CE$2:$CE$141)-1)/(--(SEARCH(CI$2,N_Bedarf!$CE$2:$CE$141)&gt;0)),ROW()-2),1),"")</f>
        <v>Winterrübse</v>
      </c>
      <c r="CI80" s="1836"/>
      <c r="CJ80" s="1834" t="str">
        <f>IFERROR(INDEX(N_Bedarf!$CE$2:$CE$141,_xlfn.AGGREGATE(15,6,(ROW(N_Bedarf!$CE$2:$CE$141)-1)/(--(SEARCH(CK$2,N_Bedarf!$CE$2:$CE$141)&gt;0)),ROW()-2),1),"")</f>
        <v>Winterrübse</v>
      </c>
      <c r="CK80" s="1836"/>
      <c r="CL80" s="1834" t="str">
        <f>IFERROR(INDEX(N_Bedarf!$CE$2:$CE$141,_xlfn.AGGREGATE(15,6,(ROW(N_Bedarf!$CE$2:$CE$141)-1)/(--(SEARCH(CM$2,N_Bedarf!$CE$2:$CE$141)&gt;0)),ROW()-2),1),"")</f>
        <v>Winterrübse</v>
      </c>
      <c r="CM80" s="1836"/>
      <c r="CN80" s="1834" t="str">
        <f>IFERROR(INDEX(N_Bedarf!$CE$2:$CE$141,_xlfn.AGGREGATE(15,6,(ROW(N_Bedarf!$CE$2:$CE$141)-1)/(--(SEARCH(CO$2,N_Bedarf!$CE$2:$CE$141)&gt;0)),ROW()-2),1),"")</f>
        <v>Winterrübse</v>
      </c>
      <c r="CO80" s="1836"/>
      <c r="CP80" s="1834" t="str">
        <f>IFERROR(INDEX(N_Bedarf!$CE$2:$CE$141,_xlfn.AGGREGATE(15,6,(ROW(N_Bedarf!$CE$2:$CE$141)-1)/(--(SEARCH(CQ$2,N_Bedarf!$CE$2:$CE$141)&gt;0)),ROW()-2),1),"")</f>
        <v>Winterrübse</v>
      </c>
      <c r="CQ80" s="1836"/>
      <c r="CR80" s="1834" t="str">
        <f>IFERROR(INDEX(N_Bedarf!$CE$2:$CE$141,_xlfn.AGGREGATE(15,6,(ROW(N_Bedarf!$CE$2:$CE$141)-1)/(--(SEARCH(CS$2,N_Bedarf!$CE$2:$CE$141)&gt;0)),ROW()-2),1),"")</f>
        <v>Winterrübse</v>
      </c>
      <c r="CS80" s="1836"/>
      <c r="CT80" s="1834" t="str">
        <f>IFERROR(INDEX(N_Bedarf!$CE$2:$CE$141,_xlfn.AGGREGATE(15,6,(ROW(N_Bedarf!$CE$2:$CE$141)-1)/(--(SEARCH(CU$2,N_Bedarf!$CE$2:$CE$141)&gt;0)),ROW()-2),1),"")</f>
        <v>Winterrübse</v>
      </c>
      <c r="CU80" s="1836"/>
      <c r="CV80" s="1834" t="str">
        <f>IFERROR(INDEX(N_Bedarf!$CE$2:$CE$141,_xlfn.AGGREGATE(15,6,(ROW(N_Bedarf!$CE$2:$CE$141)-1)/(--(SEARCH(CW$2,N_Bedarf!$CE$2:$CE$141)&gt;0)),ROW()-2),1),"")</f>
        <v>Winterrübse</v>
      </c>
      <c r="CW80" s="1836"/>
      <c r="CX80" s="1834" t="str">
        <f>IFERROR(INDEX(N_Bedarf!$CE$2:$CE$141,_xlfn.AGGREGATE(15,6,(ROW(N_Bedarf!$CE$2:$CE$141)-1)/(--(SEARCH(CY$2,N_Bedarf!$CE$2:$CE$141)&gt;0)),ROW()-2),1),"")</f>
        <v>Winterrübse</v>
      </c>
      <c r="CY80" s="1836"/>
      <c r="CZ80" s="1834" t="str">
        <f>IFERROR(INDEX(N_Bedarf!$CE$2:$CE$141,_xlfn.AGGREGATE(15,6,(ROW(N_Bedarf!$CE$2:$CE$141)-1)/(--(SEARCH(DA$2,N_Bedarf!$CE$2:$CE$141)&gt;0)),ROW()-2),1),"")</f>
        <v>Winterrübse</v>
      </c>
      <c r="DA80" s="1836"/>
      <c r="DB80" s="1834" t="str">
        <f>IFERROR(INDEX(N_Bedarf!$CE$2:$CE$141,_xlfn.AGGREGATE(15,6,(ROW(N_Bedarf!$CE$2:$CE$141)-1)/(--(SEARCH(DC$2,N_Bedarf!$CE$2:$CE$141)&gt;0)),ROW()-2),1),"")</f>
        <v>Winterrübse</v>
      </c>
      <c r="DC80" s="1836"/>
      <c r="DD80" s="1834" t="str">
        <f>IFERROR(INDEX(N_Bedarf!$CE$2:$CE$141,_xlfn.AGGREGATE(15,6,(ROW(N_Bedarf!$CE$2:$CE$141)-1)/(--(SEARCH(DE$2,N_Bedarf!$CE$2:$CE$141)&gt;0)),ROW()-2),1),"")</f>
        <v>Winterrübse</v>
      </c>
      <c r="DE80" s="1836"/>
      <c r="DF80" s="2353" t="str">
        <f t="array" ref="DF80">IFERROR(INDEX(N_Bedarf!$CE$2:$CE$141,_xlfn.AGGREGATE(15,6,(ROW(N_Bedarf!$CE$2:$CE$141)-1)/(--(SEARCH(DG$2,N_Bedarf!$CE$2:$CE$141)&gt;0)),ROW()-2),1),"")</f>
        <v>Winterrübse</v>
      </c>
      <c r="DG80" s="2353"/>
      <c r="DH80" s="2355" t="str">
        <f t="array" ref="DH80">IFERROR(INDEX(N_Bedarf!$CE$2:$CE$141,_xlfn.AGGREGATE(15,6,(ROW(N_Bedarf!$CE$2:$CE$141)-1)/(--(SEARCH(DI$2,N_Bedarf!$CE$2:$CE$141)&gt;0)),ROW()-2),1),"")</f>
        <v>Winterrübse</v>
      </c>
      <c r="DI80" s="2355"/>
      <c r="DJ80" s="2356" t="str">
        <f t="array" ref="DJ80">IFERROR(INDEX(N_Bedarf!$CE$2:$CE$141,_xlfn.AGGREGATE(15,6,(ROW(N_Bedarf!$CE$2:$CE$141)-1)/(--(SEARCH(DK$2,N_Bedarf!$CE$2:$CE$141)&gt;0)),ROW()-2),1),"")</f>
        <v>Winterrübse</v>
      </c>
      <c r="DK80" s="2356"/>
      <c r="DL80" s="2356" t="str">
        <f t="array" ref="DL80">IFERROR(INDEX(N_Bedarf!$CE$2:$CE$141,_xlfn.AGGREGATE(15,6,(ROW(N_Bedarf!$CE$2:$CE$141)-1)/(--(SEARCH(DM$2,N_Bedarf!$CE$2:$CE$141)&gt;0)),ROW()-2),1),"")</f>
        <v>Winterrübse</v>
      </c>
      <c r="DM80" s="2356"/>
      <c r="DN80" s="2356" t="str">
        <f t="array" ref="DN80">IFERROR(INDEX(N_Bedarf!$CE$2:$CE$141,_xlfn.AGGREGATE(15,6,(ROW(N_Bedarf!$CE$2:$CE$141)-1)/(--(SEARCH(DO$2,N_Bedarf!$CE$2:$CE$141)&gt;0)),ROW()-2),1),"")</f>
        <v>Winterrübse</v>
      </c>
      <c r="DO80" s="2356"/>
      <c r="DP80" s="2356" t="str">
        <f t="array" ref="DP80">IFERROR(INDEX(N_Bedarf!$CE$2:$CE$141,_xlfn.AGGREGATE(15,6,(ROW(N_Bedarf!$CE$2:$CE$141)-1)/(--(SEARCH(DQ$2,N_Bedarf!$CE$2:$CE$141)&gt;0)),ROW()-2),1),"")</f>
        <v>Winterrübse</v>
      </c>
      <c r="DQ80" s="2356"/>
      <c r="DR80" s="2356" t="str">
        <f t="array" ref="DR80">IFERROR(INDEX(N_Bedarf!$CE$2:$CE$141,_xlfn.AGGREGATE(15,6,(ROW(N_Bedarf!$CE$2:$CE$141)-1)/(--(SEARCH(DS$2,N_Bedarf!$CE$2:$CE$141)&gt;0)),ROW()-2),1),"")</f>
        <v>Winterrübse</v>
      </c>
      <c r="DS80" s="2356"/>
      <c r="DT80" s="2356" t="str">
        <f t="array" ref="DT80">IFERROR(INDEX(N_Bedarf!$CE$2:$CE$141,_xlfn.AGGREGATE(15,6,(ROW(N_Bedarf!$CE$2:$CE$141)-1)/(--(SEARCH(DU$2,N_Bedarf!$CE$2:$CE$141)&gt;0)),ROW()-2),1),"")</f>
        <v>Winterrübse</v>
      </c>
      <c r="DU80" s="2356"/>
      <c r="DV80" s="2356" t="str">
        <f t="array" ref="DV80">IFERROR(INDEX(N_Bedarf!$CE$2:$CE$141,_xlfn.AGGREGATE(15,6,(ROW(N_Bedarf!$CE$2:$CE$141)-1)/(--(SEARCH(DW$2,N_Bedarf!$CE$2:$CE$141)&gt;0)),ROW()-2),1),"")</f>
        <v>Winterrübse</v>
      </c>
      <c r="DW80" s="2356"/>
      <c r="DX80" s="2356" t="str">
        <f t="array" ref="DX80">IFERROR(INDEX(N_Bedarf!$CE$2:$CE$141,_xlfn.AGGREGATE(15,6,(ROW(N_Bedarf!$CE$2:$CE$141)-1)/(--(SEARCH(DY$2,N_Bedarf!$CE$2:$CE$141)&gt;0)),ROW()-2),1),"")</f>
        <v>Winterrübse</v>
      </c>
      <c r="DY80" s="2356"/>
      <c r="DZ80" s="2356" t="str">
        <f t="array" ref="DZ80">IFERROR(INDEX(N_Bedarf!$CE$2:$CE$141,_xlfn.AGGREGATE(15,6,(ROW(N_Bedarf!$CE$2:$CE$141)-1)/(--(SEARCH(EA$2,N_Bedarf!$CE$2:$CE$141)&gt;0)),ROW()-2),1),"")</f>
        <v>Winterrübse</v>
      </c>
      <c r="EA80" s="2356"/>
      <c r="EB80" s="2356" t="str">
        <f t="array" ref="EB80">IFERROR(INDEX(N_Bedarf!$CE$2:$CE$141,_xlfn.AGGREGATE(15,6,(ROW(N_Bedarf!$CE$2:$CE$141)-1)/(--(SEARCH(EC$2,N_Bedarf!$CE$2:$CE$141)&gt;0)),ROW()-2),1),"")</f>
        <v>Winterrübse</v>
      </c>
      <c r="EC80" s="2356"/>
      <c r="ED80"/>
      <c r="EE80"/>
      <c r="EF80"/>
      <c r="EG80"/>
      <c r="EH80"/>
      <c r="EI80"/>
      <c r="EJ80"/>
      <c r="EK80"/>
      <c r="EL80"/>
      <c r="EM80"/>
      <c r="EN80"/>
      <c r="EO80"/>
      <c r="EP80"/>
      <c r="EQ80"/>
      <c r="ER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row>
    <row r="81" spans="1:291" ht="21" customHeight="1" thickTop="1" thickBot="1">
      <c r="A81" s="156"/>
      <c r="B81" s="156"/>
      <c r="C81" s="1758" t="s">
        <v>1688</v>
      </c>
      <c r="D81" s="2495" t="s">
        <v>596</v>
      </c>
      <c r="E81" s="2496"/>
      <c r="F81" s="2496"/>
      <c r="G81" s="2496"/>
      <c r="H81" s="2496"/>
      <c r="I81" s="2496"/>
      <c r="J81" s="2496"/>
      <c r="K81" s="2496"/>
      <c r="L81" s="2496"/>
      <c r="M81" s="2496"/>
      <c r="N81" s="2496"/>
      <c r="O81" s="2496"/>
      <c r="P81" s="2496"/>
      <c r="Q81" s="2496"/>
      <c r="R81" s="2497"/>
      <c r="S81" s="1762">
        <v>85</v>
      </c>
      <c r="T81" s="1729">
        <v>85</v>
      </c>
      <c r="U81" s="1760">
        <v>85</v>
      </c>
      <c r="V81" s="1759">
        <v>70</v>
      </c>
      <c r="W81" s="1729">
        <v>70</v>
      </c>
      <c r="X81" s="1760">
        <v>70</v>
      </c>
      <c r="Y81" s="2009">
        <v>50</v>
      </c>
      <c r="Z81" s="2010">
        <v>55</v>
      </c>
      <c r="AA81" s="2011">
        <v>65</v>
      </c>
      <c r="AB81" s="1871" t="s">
        <v>1388</v>
      </c>
      <c r="AC81" s="1763" t="s">
        <v>1389</v>
      </c>
      <c r="AD81" s="1762"/>
      <c r="AE81" s="1729"/>
      <c r="AF81" s="1760"/>
      <c r="AG81" s="1759"/>
      <c r="AH81" s="1729"/>
      <c r="AI81" s="1760"/>
      <c r="AJ81" s="2009"/>
      <c r="AK81" s="2010"/>
      <c r="AL81" s="2011"/>
      <c r="AM81" s="1871"/>
      <c r="AN81" s="1763"/>
      <c r="AO81" s="156"/>
      <c r="AP81" s="156"/>
      <c r="AX81" s="1722" t="s">
        <v>1718</v>
      </c>
      <c r="AY81" s="681">
        <v>130</v>
      </c>
      <c r="AZ81" s="681">
        <v>110</v>
      </c>
      <c r="BA81" s="681" t="s">
        <v>2690</v>
      </c>
      <c r="BB81" s="681">
        <v>130</v>
      </c>
      <c r="BC81" s="681">
        <v>100</v>
      </c>
      <c r="BD81" s="681" t="s">
        <v>2716</v>
      </c>
      <c r="BE81" s="681">
        <v>130</v>
      </c>
      <c r="BF81" s="681">
        <v>110</v>
      </c>
      <c r="BG81" s="681" t="s">
        <v>2722</v>
      </c>
      <c r="BH81" s="681">
        <v>130</v>
      </c>
      <c r="BI81" s="681">
        <v>110</v>
      </c>
      <c r="BJ81" s="681" t="s">
        <v>2726</v>
      </c>
      <c r="BK81" s="681">
        <v>130</v>
      </c>
      <c r="BL81" s="681">
        <v>110</v>
      </c>
      <c r="BM81" s="681" t="s">
        <v>2575</v>
      </c>
      <c r="BN81" s="471" t="s">
        <v>1764</v>
      </c>
      <c r="BO81" s="821" t="s">
        <v>1764</v>
      </c>
      <c r="BP81"/>
      <c r="BQ81" s="1722" t="s">
        <v>1718</v>
      </c>
      <c r="BR81" s="470">
        <v>70</v>
      </c>
      <c r="BS81" s="470">
        <v>75</v>
      </c>
      <c r="BT81" s="470">
        <v>85</v>
      </c>
      <c r="BU81" s="1590"/>
      <c r="BV81" s="1722" t="s">
        <v>1718</v>
      </c>
      <c r="BW81" s="470">
        <v>70</v>
      </c>
      <c r="BX81" s="470">
        <v>80</v>
      </c>
      <c r="BY81" s="470">
        <v>90</v>
      </c>
      <c r="BZ81" s="1588"/>
      <c r="CA81" s="429"/>
      <c r="CB81"/>
      <c r="CC81"/>
      <c r="CD81"/>
      <c r="CE81" s="2310" t="s">
        <v>1735</v>
      </c>
      <c r="CF81" s="1834" t="str">
        <f>IFERROR(INDEX(N_Bedarf!$CE$2:$CE$141,_xlfn.AGGREGATE(15,6,(ROW(N_Bedarf!$CE$2:$CE$141)-1)/(--(SEARCH(CG$2,N_Bedarf!$CE$2:$CE$141)&gt;0)),ROW()-2),1),"")</f>
        <v>Sommerwicke</v>
      </c>
      <c r="CG81" s="1830"/>
      <c r="CH81" s="1834" t="str">
        <f>IFERROR(INDEX(N_Bedarf!$CE$2:$CE$141,_xlfn.AGGREGATE(15,6,(ROW(N_Bedarf!$CE$2:$CE$141)-1)/(--(SEARCH(CI$2,N_Bedarf!$CE$2:$CE$141)&gt;0)),ROW()-2),1),"")</f>
        <v>Sommerwicke</v>
      </c>
      <c r="CI81" s="1830"/>
      <c r="CJ81" s="1834" t="str">
        <f>IFERROR(INDEX(N_Bedarf!$CE$2:$CE$141,_xlfn.AGGREGATE(15,6,(ROW(N_Bedarf!$CE$2:$CE$141)-1)/(--(SEARCH(CK$2,N_Bedarf!$CE$2:$CE$141)&gt;0)),ROW()-2),1),"")</f>
        <v>Sommerwicke</v>
      </c>
      <c r="CK81" s="1830"/>
      <c r="CL81" s="1834" t="str">
        <f>IFERROR(INDEX(N_Bedarf!$CE$2:$CE$141,_xlfn.AGGREGATE(15,6,(ROW(N_Bedarf!$CE$2:$CE$141)-1)/(--(SEARCH(CM$2,N_Bedarf!$CE$2:$CE$141)&gt;0)),ROW()-2),1),"")</f>
        <v>Sommerwicke</v>
      </c>
      <c r="CM81" s="1830"/>
      <c r="CN81" s="1834" t="str">
        <f>IFERROR(INDEX(N_Bedarf!$CE$2:$CE$141,_xlfn.AGGREGATE(15,6,(ROW(N_Bedarf!$CE$2:$CE$141)-1)/(--(SEARCH(CO$2,N_Bedarf!$CE$2:$CE$141)&gt;0)),ROW()-2),1),"")</f>
        <v>Sommerwicke</v>
      </c>
      <c r="CO81" s="1830"/>
      <c r="CP81" s="1834" t="str">
        <f>IFERROR(INDEX(N_Bedarf!$CE$2:$CE$141,_xlfn.AGGREGATE(15,6,(ROW(N_Bedarf!$CE$2:$CE$141)-1)/(--(SEARCH(CQ$2,N_Bedarf!$CE$2:$CE$141)&gt;0)),ROW()-2),1),"")</f>
        <v>Sommerwicke</v>
      </c>
      <c r="CQ81" s="1830"/>
      <c r="CR81" s="1834" t="str">
        <f>IFERROR(INDEX(N_Bedarf!$CE$2:$CE$141,_xlfn.AGGREGATE(15,6,(ROW(N_Bedarf!$CE$2:$CE$141)-1)/(--(SEARCH(CS$2,N_Bedarf!$CE$2:$CE$141)&gt;0)),ROW()-2),1),"")</f>
        <v>Sommerwicke</v>
      </c>
      <c r="CS81" s="1830"/>
      <c r="CT81" s="1834" t="str">
        <f>IFERROR(INDEX(N_Bedarf!$CE$2:$CE$141,_xlfn.AGGREGATE(15,6,(ROW(N_Bedarf!$CE$2:$CE$141)-1)/(--(SEARCH(CU$2,N_Bedarf!$CE$2:$CE$141)&gt;0)),ROW()-2),1),"")</f>
        <v>Sommerwicke</v>
      </c>
      <c r="CU81" s="1830"/>
      <c r="CV81" s="1834" t="str">
        <f>IFERROR(INDEX(N_Bedarf!$CE$2:$CE$141,_xlfn.AGGREGATE(15,6,(ROW(N_Bedarf!$CE$2:$CE$141)-1)/(--(SEARCH(CW$2,N_Bedarf!$CE$2:$CE$141)&gt;0)),ROW()-2),1),"")</f>
        <v>Sommerwicke</v>
      </c>
      <c r="CW81" s="1830"/>
      <c r="CX81" s="1834" t="str">
        <f>IFERROR(INDEX(N_Bedarf!$CE$2:$CE$141,_xlfn.AGGREGATE(15,6,(ROW(N_Bedarf!$CE$2:$CE$141)-1)/(--(SEARCH(CY$2,N_Bedarf!$CE$2:$CE$141)&gt;0)),ROW()-2),1),"")</f>
        <v>Sommerwicke</v>
      </c>
      <c r="CY81" s="1830"/>
      <c r="CZ81" s="1834" t="str">
        <f>IFERROR(INDEX(N_Bedarf!$CE$2:$CE$141,_xlfn.AGGREGATE(15,6,(ROW(N_Bedarf!$CE$2:$CE$141)-1)/(--(SEARCH(DA$2,N_Bedarf!$CE$2:$CE$141)&gt;0)),ROW()-2),1),"")</f>
        <v>Sommerwicke</v>
      </c>
      <c r="DA81" s="1830"/>
      <c r="DB81" s="1834" t="str">
        <f>IFERROR(INDEX(N_Bedarf!$CE$2:$CE$141,_xlfn.AGGREGATE(15,6,(ROW(N_Bedarf!$CE$2:$CE$141)-1)/(--(SEARCH(DC$2,N_Bedarf!$CE$2:$CE$141)&gt;0)),ROW()-2),1),"")</f>
        <v>Sommerwicke</v>
      </c>
      <c r="DC81" s="1830"/>
      <c r="DD81" s="1834" t="str">
        <f>IFERROR(INDEX(N_Bedarf!$CE$2:$CE$141,_xlfn.AGGREGATE(15,6,(ROW(N_Bedarf!$CE$2:$CE$141)-1)/(--(SEARCH(DE$2,N_Bedarf!$CE$2:$CE$141)&gt;0)),ROW()-2),1),"")</f>
        <v>Sommerwicke</v>
      </c>
      <c r="DE81" s="1830"/>
      <c r="DF81" s="2353" t="str">
        <f t="array" ref="DF81">IFERROR(INDEX(N_Bedarf!$CE$2:$CE$141,_xlfn.AGGREGATE(15,6,(ROW(N_Bedarf!$CE$2:$CE$141)-1)/(--(SEARCH(DG$2,N_Bedarf!$CE$2:$CE$141)&gt;0)),ROW()-2),1),"")</f>
        <v>Sommerwicke</v>
      </c>
      <c r="DG81" s="2353"/>
      <c r="DH81" s="2355" t="str">
        <f t="array" ref="DH81">IFERROR(INDEX(N_Bedarf!$CE$2:$CE$141,_xlfn.AGGREGATE(15,6,(ROW(N_Bedarf!$CE$2:$CE$141)-1)/(--(SEARCH(DI$2,N_Bedarf!$CE$2:$CE$141)&gt;0)),ROW()-2),1),"")</f>
        <v>Sommerwicke</v>
      </c>
      <c r="DI81" s="2355"/>
      <c r="DJ81" s="2356" t="str">
        <f t="array" ref="DJ81">IFERROR(INDEX(N_Bedarf!$CE$2:$CE$141,_xlfn.AGGREGATE(15,6,(ROW(N_Bedarf!$CE$2:$CE$141)-1)/(--(SEARCH(DK$2,N_Bedarf!$CE$2:$CE$141)&gt;0)),ROW()-2),1),"")</f>
        <v>Sommerwicke</v>
      </c>
      <c r="DK81" s="2356"/>
      <c r="DL81" s="2356" t="str">
        <f t="array" ref="DL81">IFERROR(INDEX(N_Bedarf!$CE$2:$CE$141,_xlfn.AGGREGATE(15,6,(ROW(N_Bedarf!$CE$2:$CE$141)-1)/(--(SEARCH(DM$2,N_Bedarf!$CE$2:$CE$141)&gt;0)),ROW()-2),1),"")</f>
        <v>Sommerwicke</v>
      </c>
      <c r="DM81" s="2356"/>
      <c r="DN81" s="2356" t="str">
        <f t="array" ref="DN81">IFERROR(INDEX(N_Bedarf!$CE$2:$CE$141,_xlfn.AGGREGATE(15,6,(ROW(N_Bedarf!$CE$2:$CE$141)-1)/(--(SEARCH(DO$2,N_Bedarf!$CE$2:$CE$141)&gt;0)),ROW()-2),1),"")</f>
        <v>Sommerwicke</v>
      </c>
      <c r="DO81" s="2356"/>
      <c r="DP81" s="2356" t="str">
        <f t="array" ref="DP81">IFERROR(INDEX(N_Bedarf!$CE$2:$CE$141,_xlfn.AGGREGATE(15,6,(ROW(N_Bedarf!$CE$2:$CE$141)-1)/(--(SEARCH(DQ$2,N_Bedarf!$CE$2:$CE$141)&gt;0)),ROW()-2),1),"")</f>
        <v>Sommerwicke</v>
      </c>
      <c r="DQ81" s="2356"/>
      <c r="DR81" s="2356" t="str">
        <f t="array" ref="DR81">IFERROR(INDEX(N_Bedarf!$CE$2:$CE$141,_xlfn.AGGREGATE(15,6,(ROW(N_Bedarf!$CE$2:$CE$141)-1)/(--(SEARCH(DS$2,N_Bedarf!$CE$2:$CE$141)&gt;0)),ROW()-2),1),"")</f>
        <v>Sommerwicke</v>
      </c>
      <c r="DS81" s="2356"/>
      <c r="DT81" s="2356" t="str">
        <f t="array" ref="DT81">IFERROR(INDEX(N_Bedarf!$CE$2:$CE$141,_xlfn.AGGREGATE(15,6,(ROW(N_Bedarf!$CE$2:$CE$141)-1)/(--(SEARCH(DU$2,N_Bedarf!$CE$2:$CE$141)&gt;0)),ROW()-2),1),"")</f>
        <v>Sommerwicke</v>
      </c>
      <c r="DU81" s="2356"/>
      <c r="DV81" s="2356" t="str">
        <f t="array" ref="DV81">IFERROR(INDEX(N_Bedarf!$CE$2:$CE$141,_xlfn.AGGREGATE(15,6,(ROW(N_Bedarf!$CE$2:$CE$141)-1)/(--(SEARCH(DW$2,N_Bedarf!$CE$2:$CE$141)&gt;0)),ROW()-2),1),"")</f>
        <v>Sommerwicke</v>
      </c>
      <c r="DW81" s="2356"/>
      <c r="DX81" s="2356" t="str">
        <f t="array" ref="DX81">IFERROR(INDEX(N_Bedarf!$CE$2:$CE$141,_xlfn.AGGREGATE(15,6,(ROW(N_Bedarf!$CE$2:$CE$141)-1)/(--(SEARCH(DY$2,N_Bedarf!$CE$2:$CE$141)&gt;0)),ROW()-2),1),"")</f>
        <v>Sommerwicke</v>
      </c>
      <c r="DY81" s="2356"/>
      <c r="DZ81" s="2356" t="str">
        <f t="array" ref="DZ81">IFERROR(INDEX(N_Bedarf!$CE$2:$CE$141,_xlfn.AGGREGATE(15,6,(ROW(N_Bedarf!$CE$2:$CE$141)-1)/(--(SEARCH(EA$2,N_Bedarf!$CE$2:$CE$141)&gt;0)),ROW()-2),1),"")</f>
        <v>Sommerwicke</v>
      </c>
      <c r="EA81" s="2356"/>
      <c r="EB81" s="2356" t="str">
        <f t="array" ref="EB81">IFERROR(INDEX(N_Bedarf!$CE$2:$CE$141,_xlfn.AGGREGATE(15,6,(ROW(N_Bedarf!$CE$2:$CE$141)-1)/(--(SEARCH(EC$2,N_Bedarf!$CE$2:$CE$141)&gt;0)),ROW()-2),1),"")</f>
        <v>Sommerwicke</v>
      </c>
      <c r="EC81" s="2356"/>
      <c r="ED81"/>
      <c r="EE81"/>
      <c r="EF81"/>
      <c r="EG81"/>
      <c r="EH81"/>
      <c r="EI81"/>
      <c r="EJ81"/>
      <c r="EK81"/>
      <c r="EL81"/>
      <c r="EM81"/>
      <c r="EN81"/>
      <c r="EO81"/>
      <c r="EP81"/>
      <c r="EQ81"/>
      <c r="ER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row>
    <row r="82" spans="1:291" ht="21" customHeight="1" thickTop="1" thickBot="1">
      <c r="A82" s="156"/>
      <c r="B82" s="156"/>
      <c r="C82" s="1758" t="s">
        <v>12</v>
      </c>
      <c r="D82" s="1759" t="s">
        <v>123</v>
      </c>
      <c r="E82" s="1729">
        <v>50</v>
      </c>
      <c r="F82" s="1760">
        <v>45</v>
      </c>
      <c r="G82" s="1993" t="s">
        <v>5</v>
      </c>
      <c r="H82" s="1994">
        <v>50</v>
      </c>
      <c r="I82" s="1995">
        <v>45</v>
      </c>
      <c r="J82" s="1759" t="s">
        <v>6</v>
      </c>
      <c r="K82" s="1729">
        <v>50</v>
      </c>
      <c r="L82" s="1760">
        <v>45</v>
      </c>
      <c r="M82" s="1759" t="s">
        <v>118</v>
      </c>
      <c r="N82" s="1729">
        <v>50</v>
      </c>
      <c r="O82" s="1760">
        <v>45</v>
      </c>
      <c r="P82" s="1759" t="s">
        <v>119</v>
      </c>
      <c r="Q82" s="1729">
        <v>50</v>
      </c>
      <c r="R82" s="1761">
        <v>45</v>
      </c>
      <c r="S82" s="1762">
        <v>85</v>
      </c>
      <c r="T82" s="1729">
        <v>85</v>
      </c>
      <c r="U82" s="1760">
        <v>85</v>
      </c>
      <c r="V82" s="1759">
        <v>70</v>
      </c>
      <c r="W82" s="1729">
        <v>70</v>
      </c>
      <c r="X82" s="1760">
        <v>70</v>
      </c>
      <c r="Y82" s="2009">
        <v>50</v>
      </c>
      <c r="Z82" s="2010">
        <v>55</v>
      </c>
      <c r="AA82" s="2011">
        <v>65</v>
      </c>
      <c r="AB82" s="1871" t="s">
        <v>1388</v>
      </c>
      <c r="AC82" s="1763" t="s">
        <v>1389</v>
      </c>
      <c r="AD82" s="1762">
        <v>75</v>
      </c>
      <c r="AE82" s="1729">
        <v>75</v>
      </c>
      <c r="AF82" s="1760">
        <v>75</v>
      </c>
      <c r="AG82" s="1759">
        <v>65</v>
      </c>
      <c r="AH82" s="1729">
        <v>65</v>
      </c>
      <c r="AI82" s="1760">
        <v>65</v>
      </c>
      <c r="AJ82" s="2009">
        <v>45</v>
      </c>
      <c r="AK82" s="2010">
        <v>50</v>
      </c>
      <c r="AL82" s="2011">
        <v>60</v>
      </c>
      <c r="AM82" s="1871" t="s">
        <v>1390</v>
      </c>
      <c r="AN82" s="1763" t="s">
        <v>1389</v>
      </c>
      <c r="AO82" s="156"/>
      <c r="AP82" s="156"/>
      <c r="AX82" s="1722" t="s">
        <v>1732</v>
      </c>
      <c r="AY82" s="681">
        <v>130</v>
      </c>
      <c r="AZ82" s="681">
        <v>110</v>
      </c>
      <c r="BA82" s="681" t="s">
        <v>2690</v>
      </c>
      <c r="BB82" s="681">
        <v>130</v>
      </c>
      <c r="BC82" s="681">
        <v>110</v>
      </c>
      <c r="BD82" s="681" t="s">
        <v>2716</v>
      </c>
      <c r="BE82" s="681">
        <v>130</v>
      </c>
      <c r="BF82" s="681">
        <v>110</v>
      </c>
      <c r="BG82" s="681" t="s">
        <v>2722</v>
      </c>
      <c r="BH82" s="681">
        <v>130</v>
      </c>
      <c r="BI82" s="681">
        <v>110</v>
      </c>
      <c r="BJ82" s="681" t="s">
        <v>2726</v>
      </c>
      <c r="BK82" s="681">
        <v>130</v>
      </c>
      <c r="BL82" s="681">
        <v>110</v>
      </c>
      <c r="BM82" s="681" t="s">
        <v>2575</v>
      </c>
      <c r="BN82" s="471" t="s">
        <v>1764</v>
      </c>
      <c r="BO82" s="821" t="s">
        <v>1764</v>
      </c>
      <c r="BP82"/>
      <c r="BQ82" s="1722" t="s">
        <v>1732</v>
      </c>
      <c r="BR82" s="470">
        <v>70</v>
      </c>
      <c r="BS82" s="470">
        <v>75</v>
      </c>
      <c r="BT82" s="470">
        <v>85</v>
      </c>
      <c r="BU82" s="1590"/>
      <c r="BV82" s="1722" t="s">
        <v>1732</v>
      </c>
      <c r="BW82" s="470">
        <v>180</v>
      </c>
      <c r="BX82" s="470">
        <v>200</v>
      </c>
      <c r="BY82" s="470">
        <v>230</v>
      </c>
      <c r="BZ82" s="1588"/>
      <c r="CA82" s="429"/>
      <c r="CB82"/>
      <c r="CC82"/>
      <c r="CD82"/>
      <c r="CE82" s="2310" t="s">
        <v>1813</v>
      </c>
      <c r="CF82" s="1834" t="str">
        <f>IFERROR(INDEX(N_Bedarf!$CE$2:$CE$141,_xlfn.AGGREGATE(15,6,(ROW(N_Bedarf!$CE$2:$CE$141)-1)/(--(SEARCH(CG$2,N_Bedarf!$CE$2:$CE$141)&gt;0)),ROW()-2),1),"")</f>
        <v>Winterwicke</v>
      </c>
      <c r="CG82" s="1836"/>
      <c r="CH82" s="1834" t="str">
        <f>IFERROR(INDEX(N_Bedarf!$CE$2:$CE$141,_xlfn.AGGREGATE(15,6,(ROW(N_Bedarf!$CE$2:$CE$141)-1)/(--(SEARCH(CI$2,N_Bedarf!$CE$2:$CE$141)&gt;0)),ROW()-2),1),"")</f>
        <v>Winterwicke</v>
      </c>
      <c r="CI82" s="1836"/>
      <c r="CJ82" s="1834" t="str">
        <f>IFERROR(INDEX(N_Bedarf!$CE$2:$CE$141,_xlfn.AGGREGATE(15,6,(ROW(N_Bedarf!$CE$2:$CE$141)-1)/(--(SEARCH(CK$2,N_Bedarf!$CE$2:$CE$141)&gt;0)),ROW()-2),1),"")</f>
        <v>Winterwicke</v>
      </c>
      <c r="CK82" s="1836"/>
      <c r="CL82" s="1834" t="str">
        <f>IFERROR(INDEX(N_Bedarf!$CE$2:$CE$141,_xlfn.AGGREGATE(15,6,(ROW(N_Bedarf!$CE$2:$CE$141)-1)/(--(SEARCH(CM$2,N_Bedarf!$CE$2:$CE$141)&gt;0)),ROW()-2),1),"")</f>
        <v>Winterwicke</v>
      </c>
      <c r="CM82" s="1836"/>
      <c r="CN82" s="1834" t="str">
        <f>IFERROR(INDEX(N_Bedarf!$CE$2:$CE$141,_xlfn.AGGREGATE(15,6,(ROW(N_Bedarf!$CE$2:$CE$141)-1)/(--(SEARCH(CO$2,N_Bedarf!$CE$2:$CE$141)&gt;0)),ROW()-2),1),"")</f>
        <v>Winterwicke</v>
      </c>
      <c r="CO82" s="1836"/>
      <c r="CP82" s="1834" t="str">
        <f>IFERROR(INDEX(N_Bedarf!$CE$2:$CE$141,_xlfn.AGGREGATE(15,6,(ROW(N_Bedarf!$CE$2:$CE$141)-1)/(--(SEARCH(CQ$2,N_Bedarf!$CE$2:$CE$141)&gt;0)),ROW()-2),1),"")</f>
        <v>Winterwicke</v>
      </c>
      <c r="CQ82" s="1836"/>
      <c r="CR82" s="1834" t="str">
        <f>IFERROR(INDEX(N_Bedarf!$CE$2:$CE$141,_xlfn.AGGREGATE(15,6,(ROW(N_Bedarf!$CE$2:$CE$141)-1)/(--(SEARCH(CS$2,N_Bedarf!$CE$2:$CE$141)&gt;0)),ROW()-2),1),"")</f>
        <v>Winterwicke</v>
      </c>
      <c r="CS82" s="1836"/>
      <c r="CT82" s="1834" t="str">
        <f>IFERROR(INDEX(N_Bedarf!$CE$2:$CE$141,_xlfn.AGGREGATE(15,6,(ROW(N_Bedarf!$CE$2:$CE$141)-1)/(--(SEARCH(CU$2,N_Bedarf!$CE$2:$CE$141)&gt;0)),ROW()-2),1),"")</f>
        <v>Winterwicke</v>
      </c>
      <c r="CU82" s="1836"/>
      <c r="CV82" s="1834" t="str">
        <f>IFERROR(INDEX(N_Bedarf!$CE$2:$CE$141,_xlfn.AGGREGATE(15,6,(ROW(N_Bedarf!$CE$2:$CE$141)-1)/(--(SEARCH(CW$2,N_Bedarf!$CE$2:$CE$141)&gt;0)),ROW()-2),1),"")</f>
        <v>Winterwicke</v>
      </c>
      <c r="CW82" s="1836"/>
      <c r="CX82" s="1834" t="str">
        <f>IFERROR(INDEX(N_Bedarf!$CE$2:$CE$141,_xlfn.AGGREGATE(15,6,(ROW(N_Bedarf!$CE$2:$CE$141)-1)/(--(SEARCH(CY$2,N_Bedarf!$CE$2:$CE$141)&gt;0)),ROW()-2),1),"")</f>
        <v>Winterwicke</v>
      </c>
      <c r="CY82" s="1836"/>
      <c r="CZ82" s="1834" t="str">
        <f>IFERROR(INDEX(N_Bedarf!$CE$2:$CE$141,_xlfn.AGGREGATE(15,6,(ROW(N_Bedarf!$CE$2:$CE$141)-1)/(--(SEARCH(DA$2,N_Bedarf!$CE$2:$CE$141)&gt;0)),ROW()-2),1),"")</f>
        <v>Winterwicke</v>
      </c>
      <c r="DA82" s="1836"/>
      <c r="DB82" s="1834" t="str">
        <f>IFERROR(INDEX(N_Bedarf!$CE$2:$CE$141,_xlfn.AGGREGATE(15,6,(ROW(N_Bedarf!$CE$2:$CE$141)-1)/(--(SEARCH(DC$2,N_Bedarf!$CE$2:$CE$141)&gt;0)),ROW()-2),1),"")</f>
        <v>Winterwicke</v>
      </c>
      <c r="DC82" s="1836"/>
      <c r="DD82" s="1834" t="str">
        <f>IFERROR(INDEX(N_Bedarf!$CE$2:$CE$141,_xlfn.AGGREGATE(15,6,(ROW(N_Bedarf!$CE$2:$CE$141)-1)/(--(SEARCH(DE$2,N_Bedarf!$CE$2:$CE$141)&gt;0)),ROW()-2),1),"")</f>
        <v>Winterwicke</v>
      </c>
      <c r="DE82" s="1836"/>
      <c r="DF82" s="2353" t="str">
        <f t="array" ref="DF82">IFERROR(INDEX(N_Bedarf!$CE$2:$CE$141,_xlfn.AGGREGATE(15,6,(ROW(N_Bedarf!$CE$2:$CE$141)-1)/(--(SEARCH(DG$2,N_Bedarf!$CE$2:$CE$141)&gt;0)),ROW()-2),1),"")</f>
        <v>Winterwicke</v>
      </c>
      <c r="DG82" s="2353"/>
      <c r="DH82" s="2355" t="str">
        <f t="array" ref="DH82">IFERROR(INDEX(N_Bedarf!$CE$2:$CE$141,_xlfn.AGGREGATE(15,6,(ROW(N_Bedarf!$CE$2:$CE$141)-1)/(--(SEARCH(DI$2,N_Bedarf!$CE$2:$CE$141)&gt;0)),ROW()-2),1),"")</f>
        <v>Winterwicke</v>
      </c>
      <c r="DI82" s="2355"/>
      <c r="DJ82" s="2356" t="str">
        <f t="array" ref="DJ82">IFERROR(INDEX(N_Bedarf!$CE$2:$CE$141,_xlfn.AGGREGATE(15,6,(ROW(N_Bedarf!$CE$2:$CE$141)-1)/(--(SEARCH(DK$2,N_Bedarf!$CE$2:$CE$141)&gt;0)),ROW()-2),1),"")</f>
        <v>Winterwicke</v>
      </c>
      <c r="DK82" s="2356"/>
      <c r="DL82" s="2356" t="str">
        <f t="array" ref="DL82">IFERROR(INDEX(N_Bedarf!$CE$2:$CE$141,_xlfn.AGGREGATE(15,6,(ROW(N_Bedarf!$CE$2:$CE$141)-1)/(--(SEARCH(DM$2,N_Bedarf!$CE$2:$CE$141)&gt;0)),ROW()-2),1),"")</f>
        <v>Winterwicke</v>
      </c>
      <c r="DM82" s="2356"/>
      <c r="DN82" s="2356" t="str">
        <f t="array" ref="DN82">IFERROR(INDEX(N_Bedarf!$CE$2:$CE$141,_xlfn.AGGREGATE(15,6,(ROW(N_Bedarf!$CE$2:$CE$141)-1)/(--(SEARCH(DO$2,N_Bedarf!$CE$2:$CE$141)&gt;0)),ROW()-2),1),"")</f>
        <v>Winterwicke</v>
      </c>
      <c r="DO82" s="2356"/>
      <c r="DP82" s="2356" t="str">
        <f t="array" ref="DP82">IFERROR(INDEX(N_Bedarf!$CE$2:$CE$141,_xlfn.AGGREGATE(15,6,(ROW(N_Bedarf!$CE$2:$CE$141)-1)/(--(SEARCH(DQ$2,N_Bedarf!$CE$2:$CE$141)&gt;0)),ROW()-2),1),"")</f>
        <v>Winterwicke</v>
      </c>
      <c r="DQ82" s="2356"/>
      <c r="DR82" s="2356" t="str">
        <f t="array" ref="DR82">IFERROR(INDEX(N_Bedarf!$CE$2:$CE$141,_xlfn.AGGREGATE(15,6,(ROW(N_Bedarf!$CE$2:$CE$141)-1)/(--(SEARCH(DS$2,N_Bedarf!$CE$2:$CE$141)&gt;0)),ROW()-2),1),"")</f>
        <v>Winterwicke</v>
      </c>
      <c r="DS82" s="2356"/>
      <c r="DT82" s="2356" t="str">
        <f t="array" ref="DT82">IFERROR(INDEX(N_Bedarf!$CE$2:$CE$141,_xlfn.AGGREGATE(15,6,(ROW(N_Bedarf!$CE$2:$CE$141)-1)/(--(SEARCH(DU$2,N_Bedarf!$CE$2:$CE$141)&gt;0)),ROW()-2),1),"")</f>
        <v>Winterwicke</v>
      </c>
      <c r="DU82" s="2356"/>
      <c r="DV82" s="2356" t="str">
        <f t="array" ref="DV82">IFERROR(INDEX(N_Bedarf!$CE$2:$CE$141,_xlfn.AGGREGATE(15,6,(ROW(N_Bedarf!$CE$2:$CE$141)-1)/(--(SEARCH(DW$2,N_Bedarf!$CE$2:$CE$141)&gt;0)),ROW()-2),1),"")</f>
        <v>Winterwicke</v>
      </c>
      <c r="DW82" s="2356"/>
      <c r="DX82" s="2356" t="str">
        <f t="array" ref="DX82">IFERROR(INDEX(N_Bedarf!$CE$2:$CE$141,_xlfn.AGGREGATE(15,6,(ROW(N_Bedarf!$CE$2:$CE$141)-1)/(--(SEARCH(DY$2,N_Bedarf!$CE$2:$CE$141)&gt;0)),ROW()-2),1),"")</f>
        <v>Winterwicke</v>
      </c>
      <c r="DY82" s="2356"/>
      <c r="DZ82" s="2356" t="str">
        <f t="array" ref="DZ82">IFERROR(INDEX(N_Bedarf!$CE$2:$CE$141,_xlfn.AGGREGATE(15,6,(ROW(N_Bedarf!$CE$2:$CE$141)-1)/(--(SEARCH(EA$2,N_Bedarf!$CE$2:$CE$141)&gt;0)),ROW()-2),1),"")</f>
        <v>Winterwicke</v>
      </c>
      <c r="EA82" s="2356"/>
      <c r="EB82" s="2356" t="str">
        <f t="array" ref="EB82">IFERROR(INDEX(N_Bedarf!$CE$2:$CE$141,_xlfn.AGGREGATE(15,6,(ROW(N_Bedarf!$CE$2:$CE$141)-1)/(--(SEARCH(EC$2,N_Bedarf!$CE$2:$CE$141)&gt;0)),ROW()-2),1),"")</f>
        <v>Winterwicke</v>
      </c>
      <c r="EC82" s="2356"/>
      <c r="ED82"/>
      <c r="EE82"/>
      <c r="EF82"/>
      <c r="EG82"/>
      <c r="EH82"/>
      <c r="EI82"/>
      <c r="EJ82"/>
      <c r="EK82"/>
      <c r="EL82"/>
      <c r="EM82"/>
      <c r="EN82"/>
      <c r="EO82"/>
      <c r="EP82"/>
      <c r="EQ82"/>
      <c r="ER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row>
    <row r="83" spans="1:291" ht="21" customHeight="1" thickTop="1" thickBot="1">
      <c r="A83" s="156"/>
      <c r="B83" s="156"/>
      <c r="C83" s="1758" t="s">
        <v>1689</v>
      </c>
      <c r="D83" s="1759" t="s">
        <v>1756</v>
      </c>
      <c r="E83" s="1729">
        <v>40</v>
      </c>
      <c r="F83" s="1760">
        <v>35</v>
      </c>
      <c r="G83" s="1993" t="s">
        <v>1757</v>
      </c>
      <c r="H83" s="1994">
        <v>40</v>
      </c>
      <c r="I83" s="1995">
        <v>35</v>
      </c>
      <c r="J83" s="1759" t="s">
        <v>1758</v>
      </c>
      <c r="K83" s="1729">
        <v>40</v>
      </c>
      <c r="L83" s="1760">
        <v>35</v>
      </c>
      <c r="M83" s="1759" t="s">
        <v>1759</v>
      </c>
      <c r="N83" s="1729">
        <v>40</v>
      </c>
      <c r="O83" s="1760">
        <v>35</v>
      </c>
      <c r="P83" s="1759" t="s">
        <v>1760</v>
      </c>
      <c r="Q83" s="1729">
        <v>40</v>
      </c>
      <c r="R83" s="1761">
        <v>35</v>
      </c>
      <c r="S83" s="1762">
        <v>85</v>
      </c>
      <c r="T83" s="1729">
        <v>85</v>
      </c>
      <c r="U83" s="1760">
        <v>85</v>
      </c>
      <c r="V83" s="1759">
        <v>70</v>
      </c>
      <c r="W83" s="1729">
        <v>70</v>
      </c>
      <c r="X83" s="1760">
        <v>70</v>
      </c>
      <c r="Y83" s="2009">
        <v>50</v>
      </c>
      <c r="Z83" s="2010">
        <v>55</v>
      </c>
      <c r="AA83" s="2011">
        <v>65</v>
      </c>
      <c r="AB83" s="1871" t="s">
        <v>1388</v>
      </c>
      <c r="AC83" s="1763" t="s">
        <v>1389</v>
      </c>
      <c r="AD83" s="1762">
        <v>150</v>
      </c>
      <c r="AE83" s="1729">
        <v>150</v>
      </c>
      <c r="AF83" s="1760">
        <v>150</v>
      </c>
      <c r="AG83" s="1759">
        <v>125</v>
      </c>
      <c r="AH83" s="1729">
        <v>125</v>
      </c>
      <c r="AI83" s="1760">
        <v>125</v>
      </c>
      <c r="AJ83" s="2009">
        <v>90</v>
      </c>
      <c r="AK83" s="2010">
        <v>100</v>
      </c>
      <c r="AL83" s="2011">
        <v>115</v>
      </c>
      <c r="AM83" s="1871" t="s">
        <v>1390</v>
      </c>
      <c r="AN83" s="1763" t="s">
        <v>1389</v>
      </c>
      <c r="AO83" s="156"/>
      <c r="AP83" s="156"/>
      <c r="AX83" s="1722" t="s">
        <v>1720</v>
      </c>
      <c r="AY83" s="681">
        <v>60</v>
      </c>
      <c r="AZ83" s="681">
        <v>50</v>
      </c>
      <c r="BA83" s="681" t="s">
        <v>2693</v>
      </c>
      <c r="BB83" s="681">
        <v>60</v>
      </c>
      <c r="BC83" s="681">
        <v>50</v>
      </c>
      <c r="BD83" s="681" t="s">
        <v>2724</v>
      </c>
      <c r="BE83" s="681">
        <v>60</v>
      </c>
      <c r="BF83" s="681">
        <v>50</v>
      </c>
      <c r="BG83" s="681" t="s">
        <v>2725</v>
      </c>
      <c r="BH83" s="681">
        <v>60</v>
      </c>
      <c r="BI83" s="681">
        <v>50</v>
      </c>
      <c r="BJ83" s="681" t="s">
        <v>2732</v>
      </c>
      <c r="BK83" s="681">
        <v>60</v>
      </c>
      <c r="BL83" s="681">
        <v>50</v>
      </c>
      <c r="BM83" s="681" t="s">
        <v>2580</v>
      </c>
      <c r="BN83" s="471" t="s">
        <v>1764</v>
      </c>
      <c r="BO83" s="821" t="s">
        <v>1764</v>
      </c>
      <c r="BP83"/>
      <c r="BQ83" s="1722" t="s">
        <v>1720</v>
      </c>
      <c r="BR83" s="470">
        <v>60</v>
      </c>
      <c r="BS83" s="470">
        <v>65</v>
      </c>
      <c r="BT83" s="470">
        <v>75</v>
      </c>
      <c r="BU83" s="1590"/>
      <c r="BV83" s="1722" t="s">
        <v>1720</v>
      </c>
      <c r="BW83" s="470">
        <v>70</v>
      </c>
      <c r="BX83" s="470">
        <v>80</v>
      </c>
      <c r="BY83" s="470">
        <v>90</v>
      </c>
      <c r="BZ83" s="1588"/>
      <c r="CA83" s="429"/>
      <c r="CB83"/>
      <c r="CC83"/>
      <c r="CD83"/>
      <c r="CE83" s="2310" t="s">
        <v>1906</v>
      </c>
      <c r="CF83" s="1834" t="str">
        <f>IFERROR(INDEX(N_Bedarf!$CE$2:$CE$141,_xlfn.AGGREGATE(15,6,(ROW(N_Bedarf!$CE$2:$CE$141)-1)/(--(SEARCH(CG$2,N_Bedarf!$CE$2:$CE$141)&gt;0)),ROW()-2),1),"")</f>
        <v>sonstige Ackerfläche</v>
      </c>
      <c r="CG83" s="1830"/>
      <c r="CH83" s="1834" t="str">
        <f>IFERROR(INDEX(N_Bedarf!$CE$2:$CE$141,_xlfn.AGGREGATE(15,6,(ROW(N_Bedarf!$CE$2:$CE$141)-1)/(--(SEARCH(CI$2,N_Bedarf!$CE$2:$CE$141)&gt;0)),ROW()-2),1),"")</f>
        <v>sonstige Ackerfläche</v>
      </c>
      <c r="CI83" s="1830"/>
      <c r="CJ83" s="1834" t="str">
        <f>IFERROR(INDEX(N_Bedarf!$CE$2:$CE$141,_xlfn.AGGREGATE(15,6,(ROW(N_Bedarf!$CE$2:$CE$141)-1)/(--(SEARCH(CK$2,N_Bedarf!$CE$2:$CE$141)&gt;0)),ROW()-2),1),"")</f>
        <v>sonstige Ackerfläche</v>
      </c>
      <c r="CK83" s="1830"/>
      <c r="CL83" s="1834" t="str">
        <f>IFERROR(INDEX(N_Bedarf!$CE$2:$CE$141,_xlfn.AGGREGATE(15,6,(ROW(N_Bedarf!$CE$2:$CE$141)-1)/(--(SEARCH(CM$2,N_Bedarf!$CE$2:$CE$141)&gt;0)),ROW()-2),1),"")</f>
        <v>sonstige Ackerfläche</v>
      </c>
      <c r="CM83" s="1830"/>
      <c r="CN83" s="1834" t="str">
        <f>IFERROR(INDEX(N_Bedarf!$CE$2:$CE$141,_xlfn.AGGREGATE(15,6,(ROW(N_Bedarf!$CE$2:$CE$141)-1)/(--(SEARCH(CO$2,N_Bedarf!$CE$2:$CE$141)&gt;0)),ROW()-2),1),"")</f>
        <v>sonstige Ackerfläche</v>
      </c>
      <c r="CO83" s="1830"/>
      <c r="CP83" s="1834" t="str">
        <f>IFERROR(INDEX(N_Bedarf!$CE$2:$CE$141,_xlfn.AGGREGATE(15,6,(ROW(N_Bedarf!$CE$2:$CE$141)-1)/(--(SEARCH(CQ$2,N_Bedarf!$CE$2:$CE$141)&gt;0)),ROW()-2),1),"")</f>
        <v>sonstige Ackerfläche</v>
      </c>
      <c r="CQ83" s="1830"/>
      <c r="CR83" s="1834" t="str">
        <f>IFERROR(INDEX(N_Bedarf!$CE$2:$CE$141,_xlfn.AGGREGATE(15,6,(ROW(N_Bedarf!$CE$2:$CE$141)-1)/(--(SEARCH(CS$2,N_Bedarf!$CE$2:$CE$141)&gt;0)),ROW()-2),1),"")</f>
        <v>sonstige Ackerfläche</v>
      </c>
      <c r="CS83" s="1830"/>
      <c r="CT83" s="1834" t="str">
        <f>IFERROR(INDEX(N_Bedarf!$CE$2:$CE$141,_xlfn.AGGREGATE(15,6,(ROW(N_Bedarf!$CE$2:$CE$141)-1)/(--(SEARCH(CU$2,N_Bedarf!$CE$2:$CE$141)&gt;0)),ROW()-2),1),"")</f>
        <v>sonstige Ackerfläche</v>
      </c>
      <c r="CU83" s="1830"/>
      <c r="CV83" s="1834" t="str">
        <f>IFERROR(INDEX(N_Bedarf!$CE$2:$CE$141,_xlfn.AGGREGATE(15,6,(ROW(N_Bedarf!$CE$2:$CE$141)-1)/(--(SEARCH(CW$2,N_Bedarf!$CE$2:$CE$141)&gt;0)),ROW()-2),1),"")</f>
        <v>sonstige Ackerfläche</v>
      </c>
      <c r="CW83" s="1830"/>
      <c r="CX83" s="1834" t="str">
        <f>IFERROR(INDEX(N_Bedarf!$CE$2:$CE$141,_xlfn.AGGREGATE(15,6,(ROW(N_Bedarf!$CE$2:$CE$141)-1)/(--(SEARCH(CY$2,N_Bedarf!$CE$2:$CE$141)&gt;0)),ROW()-2),1),"")</f>
        <v>sonstige Ackerfläche</v>
      </c>
      <c r="CY83" s="1830"/>
      <c r="CZ83" s="1834" t="str">
        <f>IFERROR(INDEX(N_Bedarf!$CE$2:$CE$141,_xlfn.AGGREGATE(15,6,(ROW(N_Bedarf!$CE$2:$CE$141)-1)/(--(SEARCH(DA$2,N_Bedarf!$CE$2:$CE$141)&gt;0)),ROW()-2),1),"")</f>
        <v>sonstige Ackerfläche</v>
      </c>
      <c r="DA83" s="1830"/>
      <c r="DB83" s="1834" t="str">
        <f>IFERROR(INDEX(N_Bedarf!$CE$2:$CE$141,_xlfn.AGGREGATE(15,6,(ROW(N_Bedarf!$CE$2:$CE$141)-1)/(--(SEARCH(DC$2,N_Bedarf!$CE$2:$CE$141)&gt;0)),ROW()-2),1),"")</f>
        <v>sonstige Ackerfläche</v>
      </c>
      <c r="DC83" s="1830"/>
      <c r="DD83" s="1834" t="str">
        <f>IFERROR(INDEX(N_Bedarf!$CE$2:$CE$141,_xlfn.AGGREGATE(15,6,(ROW(N_Bedarf!$CE$2:$CE$141)-1)/(--(SEARCH(DE$2,N_Bedarf!$CE$2:$CE$141)&gt;0)),ROW()-2),1),"")</f>
        <v>sonstige Ackerfläche</v>
      </c>
      <c r="DE83" s="1830"/>
      <c r="DF83" s="2353" t="str">
        <f t="array" ref="DF83">IFERROR(INDEX(N_Bedarf!$CE$2:$CE$141,_xlfn.AGGREGATE(15,6,(ROW(N_Bedarf!$CE$2:$CE$141)-1)/(--(SEARCH(DG$2,N_Bedarf!$CE$2:$CE$141)&gt;0)),ROW()-2),1),"")</f>
        <v>sonstige Ackerfläche</v>
      </c>
      <c r="DG83" s="2353"/>
      <c r="DH83" s="2355" t="str">
        <f t="array" ref="DH83">IFERROR(INDEX(N_Bedarf!$CE$2:$CE$141,_xlfn.AGGREGATE(15,6,(ROW(N_Bedarf!$CE$2:$CE$141)-1)/(--(SEARCH(DI$2,N_Bedarf!$CE$2:$CE$141)&gt;0)),ROW()-2),1),"")</f>
        <v>sonstige Ackerfläche</v>
      </c>
      <c r="DI83" s="2355"/>
      <c r="DJ83" s="2356" t="str">
        <f t="array" ref="DJ83">IFERROR(INDEX(N_Bedarf!$CE$2:$CE$141,_xlfn.AGGREGATE(15,6,(ROW(N_Bedarf!$CE$2:$CE$141)-1)/(--(SEARCH(DK$2,N_Bedarf!$CE$2:$CE$141)&gt;0)),ROW()-2),1),"")</f>
        <v>sonstige Ackerfläche</v>
      </c>
      <c r="DK83" s="2356"/>
      <c r="DL83" s="2356" t="str">
        <f t="array" ref="DL83">IFERROR(INDEX(N_Bedarf!$CE$2:$CE$141,_xlfn.AGGREGATE(15,6,(ROW(N_Bedarf!$CE$2:$CE$141)-1)/(--(SEARCH(DM$2,N_Bedarf!$CE$2:$CE$141)&gt;0)),ROW()-2),1),"")</f>
        <v>sonstige Ackerfläche</v>
      </c>
      <c r="DM83" s="2356"/>
      <c r="DN83" s="2356" t="str">
        <f t="array" ref="DN83">IFERROR(INDEX(N_Bedarf!$CE$2:$CE$141,_xlfn.AGGREGATE(15,6,(ROW(N_Bedarf!$CE$2:$CE$141)-1)/(--(SEARCH(DO$2,N_Bedarf!$CE$2:$CE$141)&gt;0)),ROW()-2),1),"")</f>
        <v>sonstige Ackerfläche</v>
      </c>
      <c r="DO83" s="2356"/>
      <c r="DP83" s="2356" t="str">
        <f t="array" ref="DP83">IFERROR(INDEX(N_Bedarf!$CE$2:$CE$141,_xlfn.AGGREGATE(15,6,(ROW(N_Bedarf!$CE$2:$CE$141)-1)/(--(SEARCH(DQ$2,N_Bedarf!$CE$2:$CE$141)&gt;0)),ROW()-2),1),"")</f>
        <v>sonstige Ackerfläche</v>
      </c>
      <c r="DQ83" s="2356"/>
      <c r="DR83" s="2356" t="str">
        <f t="array" ref="DR83">IFERROR(INDEX(N_Bedarf!$CE$2:$CE$141,_xlfn.AGGREGATE(15,6,(ROW(N_Bedarf!$CE$2:$CE$141)-1)/(--(SEARCH(DS$2,N_Bedarf!$CE$2:$CE$141)&gt;0)),ROW()-2),1),"")</f>
        <v>sonstige Ackerfläche</v>
      </c>
      <c r="DS83" s="2356"/>
      <c r="DT83" s="2356" t="str">
        <f t="array" ref="DT83">IFERROR(INDEX(N_Bedarf!$CE$2:$CE$141,_xlfn.AGGREGATE(15,6,(ROW(N_Bedarf!$CE$2:$CE$141)-1)/(--(SEARCH(DU$2,N_Bedarf!$CE$2:$CE$141)&gt;0)),ROW()-2),1),"")</f>
        <v>sonstige Ackerfläche</v>
      </c>
      <c r="DU83" s="2356"/>
      <c r="DV83" s="2356" t="str">
        <f t="array" ref="DV83">IFERROR(INDEX(N_Bedarf!$CE$2:$CE$141,_xlfn.AGGREGATE(15,6,(ROW(N_Bedarf!$CE$2:$CE$141)-1)/(--(SEARCH(DW$2,N_Bedarf!$CE$2:$CE$141)&gt;0)),ROW()-2),1),"")</f>
        <v>sonstige Ackerfläche</v>
      </c>
      <c r="DW83" s="2356"/>
      <c r="DX83" s="2356" t="str">
        <f t="array" ref="DX83">IFERROR(INDEX(N_Bedarf!$CE$2:$CE$141,_xlfn.AGGREGATE(15,6,(ROW(N_Bedarf!$CE$2:$CE$141)-1)/(--(SEARCH(DY$2,N_Bedarf!$CE$2:$CE$141)&gt;0)),ROW()-2),1),"")</f>
        <v>sonstige Ackerfläche</v>
      </c>
      <c r="DY83" s="2356"/>
      <c r="DZ83" s="2356" t="str">
        <f t="array" ref="DZ83">IFERROR(INDEX(N_Bedarf!$CE$2:$CE$141,_xlfn.AGGREGATE(15,6,(ROW(N_Bedarf!$CE$2:$CE$141)-1)/(--(SEARCH(EA$2,N_Bedarf!$CE$2:$CE$141)&gt;0)),ROW()-2),1),"")</f>
        <v>sonstige Ackerfläche</v>
      </c>
      <c r="EA83" s="2356"/>
      <c r="EB83" s="2356" t="str">
        <f t="array" ref="EB83">IFERROR(INDEX(N_Bedarf!$CE$2:$CE$141,_xlfn.AGGREGATE(15,6,(ROW(N_Bedarf!$CE$2:$CE$141)-1)/(--(SEARCH(EC$2,N_Bedarf!$CE$2:$CE$141)&gt;0)),ROW()-2),1),"")</f>
        <v>sonstige Ackerfläche</v>
      </c>
      <c r="EC83" s="2356"/>
      <c r="ED83"/>
      <c r="EE83"/>
      <c r="EF83"/>
      <c r="EG83"/>
      <c r="EH83"/>
      <c r="EI83"/>
      <c r="EJ83"/>
      <c r="EK83"/>
      <c r="EL83"/>
      <c r="EM83"/>
      <c r="EN83"/>
      <c r="EO83"/>
      <c r="EP83"/>
      <c r="EQ83"/>
      <c r="ER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row>
    <row r="84" spans="1:291" ht="21" customHeight="1" thickTop="1" thickBot="1">
      <c r="A84" s="156"/>
      <c r="B84" s="156"/>
      <c r="C84" s="1758" t="s">
        <v>1691</v>
      </c>
      <c r="D84" s="1759" t="s">
        <v>33</v>
      </c>
      <c r="E84" s="1729">
        <v>105</v>
      </c>
      <c r="F84" s="1760">
        <v>90</v>
      </c>
      <c r="G84" s="1993" t="s">
        <v>13</v>
      </c>
      <c r="H84" s="1994">
        <v>145</v>
      </c>
      <c r="I84" s="1995">
        <v>125</v>
      </c>
      <c r="J84" s="1759" t="s">
        <v>1384</v>
      </c>
      <c r="K84" s="1729">
        <v>170</v>
      </c>
      <c r="L84" s="1760">
        <v>145</v>
      </c>
      <c r="M84" s="1759" t="s">
        <v>1385</v>
      </c>
      <c r="N84" s="1729">
        <v>180</v>
      </c>
      <c r="O84" s="1760">
        <v>155</v>
      </c>
      <c r="P84" s="1759" t="s">
        <v>1393</v>
      </c>
      <c r="Q84" s="1729">
        <v>195</v>
      </c>
      <c r="R84" s="1761">
        <v>165</v>
      </c>
      <c r="S84" s="1762">
        <v>85</v>
      </c>
      <c r="T84" s="1729">
        <v>85</v>
      </c>
      <c r="U84" s="1760">
        <v>85</v>
      </c>
      <c r="V84" s="1759">
        <v>70</v>
      </c>
      <c r="W84" s="1729">
        <v>70</v>
      </c>
      <c r="X84" s="1760">
        <v>70</v>
      </c>
      <c r="Y84" s="2009">
        <v>50</v>
      </c>
      <c r="Z84" s="2010">
        <v>55</v>
      </c>
      <c r="AA84" s="2011">
        <v>65</v>
      </c>
      <c r="AB84" s="1871" t="s">
        <v>1388</v>
      </c>
      <c r="AC84" s="1763" t="s">
        <v>1389</v>
      </c>
      <c r="AD84" s="1762">
        <v>120</v>
      </c>
      <c r="AE84" s="1729">
        <v>120</v>
      </c>
      <c r="AF84" s="1760">
        <v>120</v>
      </c>
      <c r="AG84" s="1759">
        <v>100</v>
      </c>
      <c r="AH84" s="1729">
        <v>100</v>
      </c>
      <c r="AI84" s="1760">
        <v>100</v>
      </c>
      <c r="AJ84" s="2009">
        <v>70</v>
      </c>
      <c r="AK84" s="2010">
        <v>80</v>
      </c>
      <c r="AL84" s="2011">
        <v>90</v>
      </c>
      <c r="AM84" s="1871" t="s">
        <v>1390</v>
      </c>
      <c r="AN84" s="1763" t="s">
        <v>1389</v>
      </c>
      <c r="AO84" s="156"/>
      <c r="AP84" s="156"/>
      <c r="AX84" s="1722" t="s">
        <v>1735</v>
      </c>
      <c r="AY84" s="681">
        <v>60</v>
      </c>
      <c r="AZ84" s="681">
        <v>50</v>
      </c>
      <c r="BA84" s="681" t="s">
        <v>2693</v>
      </c>
      <c r="BB84" s="681">
        <v>60</v>
      </c>
      <c r="BC84" s="681">
        <v>50</v>
      </c>
      <c r="BD84" s="681" t="s">
        <v>2724</v>
      </c>
      <c r="BE84" s="681">
        <v>60</v>
      </c>
      <c r="BF84" s="681">
        <v>50</v>
      </c>
      <c r="BG84" s="681" t="s">
        <v>2725</v>
      </c>
      <c r="BH84" s="681">
        <v>60</v>
      </c>
      <c r="BI84" s="681">
        <v>50</v>
      </c>
      <c r="BJ84" s="681" t="s">
        <v>2732</v>
      </c>
      <c r="BK84" s="681">
        <v>60</v>
      </c>
      <c r="BL84" s="681">
        <v>50</v>
      </c>
      <c r="BM84" s="681" t="s">
        <v>2580</v>
      </c>
      <c r="BN84" s="471" t="s">
        <v>1764</v>
      </c>
      <c r="BO84" s="821" t="s">
        <v>1764</v>
      </c>
      <c r="BP84"/>
      <c r="BQ84" s="1722" t="s">
        <v>1735</v>
      </c>
      <c r="BR84" s="470">
        <v>60</v>
      </c>
      <c r="BS84" s="470">
        <v>65</v>
      </c>
      <c r="BT84" s="470">
        <v>75</v>
      </c>
      <c r="BU84" s="1590"/>
      <c r="BV84" s="1722" t="s">
        <v>1735</v>
      </c>
      <c r="BW84" s="470">
        <v>90</v>
      </c>
      <c r="BX84" s="470">
        <v>100</v>
      </c>
      <c r="BY84" s="470">
        <v>115</v>
      </c>
      <c r="BZ84" s="1588"/>
      <c r="CA84" s="429"/>
      <c r="CB84"/>
      <c r="CC84"/>
      <c r="CD84"/>
      <c r="CE84" s="2310" t="s">
        <v>1907</v>
      </c>
      <c r="CF84" s="1834" t="str">
        <f>IFERROR(INDEX(N_Bedarf!$CE$2:$CE$141,_xlfn.AGGREGATE(15,6,(ROW(N_Bedarf!$CE$2:$CE$141)-1)/(--(SEARCH(CG$2,N_Bedarf!$CE$2:$CE$141)&gt;0)),ROW()-2),1),"")</f>
        <v>Futtergräser 1 Nutzung (&lt;10% Legum.)</v>
      </c>
      <c r="CG84" s="1836"/>
      <c r="CH84" s="1834" t="str">
        <f>IFERROR(INDEX(N_Bedarf!$CE$2:$CE$141,_xlfn.AGGREGATE(15,6,(ROW(N_Bedarf!$CE$2:$CE$141)-1)/(--(SEARCH(CI$2,N_Bedarf!$CE$2:$CE$141)&gt;0)),ROW()-2),1),"")</f>
        <v>Futtergräser 1 Nutzung (&lt;10% Legum.)</v>
      </c>
      <c r="CI84" s="1836"/>
      <c r="CJ84" s="1834" t="str">
        <f>IFERROR(INDEX(N_Bedarf!$CE$2:$CE$141,_xlfn.AGGREGATE(15,6,(ROW(N_Bedarf!$CE$2:$CE$141)-1)/(--(SEARCH(CK$2,N_Bedarf!$CE$2:$CE$141)&gt;0)),ROW()-2),1),"")</f>
        <v>Futtergräser 1 Nutzung (&lt;10% Legum.)</v>
      </c>
      <c r="CK84" s="1836"/>
      <c r="CL84" s="1834" t="str">
        <f>IFERROR(INDEX(N_Bedarf!$CE$2:$CE$141,_xlfn.AGGREGATE(15,6,(ROW(N_Bedarf!$CE$2:$CE$141)-1)/(--(SEARCH(CM$2,N_Bedarf!$CE$2:$CE$141)&gt;0)),ROW()-2),1),"")</f>
        <v>Futtergräser 1 Nutzung (&lt;10% Legum.)</v>
      </c>
      <c r="CM84" s="1836"/>
      <c r="CN84" s="1834" t="str">
        <f>IFERROR(INDEX(N_Bedarf!$CE$2:$CE$141,_xlfn.AGGREGATE(15,6,(ROW(N_Bedarf!$CE$2:$CE$141)-1)/(--(SEARCH(CO$2,N_Bedarf!$CE$2:$CE$141)&gt;0)),ROW()-2),1),"")</f>
        <v>Futtergräser 1 Nutzung (&lt;10% Legum.)</v>
      </c>
      <c r="CO84" s="1836"/>
      <c r="CP84" s="1834" t="str">
        <f>IFERROR(INDEX(N_Bedarf!$CE$2:$CE$141,_xlfn.AGGREGATE(15,6,(ROW(N_Bedarf!$CE$2:$CE$141)-1)/(--(SEARCH(CQ$2,N_Bedarf!$CE$2:$CE$141)&gt;0)),ROW()-2),1),"")</f>
        <v>Futtergräser 1 Nutzung (&lt;10% Legum.)</v>
      </c>
      <c r="CQ84" s="1836"/>
      <c r="CR84" s="1834" t="str">
        <f>IFERROR(INDEX(N_Bedarf!$CE$2:$CE$141,_xlfn.AGGREGATE(15,6,(ROW(N_Bedarf!$CE$2:$CE$141)-1)/(--(SEARCH(CS$2,N_Bedarf!$CE$2:$CE$141)&gt;0)),ROW()-2),1),"")</f>
        <v>Futtergräser 1 Nutzung (&lt;10% Legum.)</v>
      </c>
      <c r="CS84" s="1836"/>
      <c r="CT84" s="1834" t="str">
        <f>IFERROR(INDEX(N_Bedarf!$CE$2:$CE$141,_xlfn.AGGREGATE(15,6,(ROW(N_Bedarf!$CE$2:$CE$141)-1)/(--(SEARCH(CU$2,N_Bedarf!$CE$2:$CE$141)&gt;0)),ROW()-2),1),"")</f>
        <v>Futtergräser 1 Nutzung (&lt;10% Legum.)</v>
      </c>
      <c r="CU84" s="1836"/>
      <c r="CV84" s="1834" t="str">
        <f>IFERROR(INDEX(N_Bedarf!$CE$2:$CE$141,_xlfn.AGGREGATE(15,6,(ROW(N_Bedarf!$CE$2:$CE$141)-1)/(--(SEARCH(CW$2,N_Bedarf!$CE$2:$CE$141)&gt;0)),ROW()-2),1),"")</f>
        <v>Futtergräser 1 Nutzung (&lt;10% Legum.)</v>
      </c>
      <c r="CW84" s="1836"/>
      <c r="CX84" s="1834" t="str">
        <f>IFERROR(INDEX(N_Bedarf!$CE$2:$CE$141,_xlfn.AGGREGATE(15,6,(ROW(N_Bedarf!$CE$2:$CE$141)-1)/(--(SEARCH(CY$2,N_Bedarf!$CE$2:$CE$141)&gt;0)),ROW()-2),1),"")</f>
        <v>Futtergräser 1 Nutzung (&lt;10% Legum.)</v>
      </c>
      <c r="CY84" s="1836"/>
      <c r="CZ84" s="1834" t="str">
        <f>IFERROR(INDEX(N_Bedarf!$CE$2:$CE$141,_xlfn.AGGREGATE(15,6,(ROW(N_Bedarf!$CE$2:$CE$141)-1)/(--(SEARCH(DA$2,N_Bedarf!$CE$2:$CE$141)&gt;0)),ROW()-2),1),"")</f>
        <v>Futtergräser 1 Nutzung (&lt;10% Legum.)</v>
      </c>
      <c r="DA84" s="1836"/>
      <c r="DB84" s="1834" t="str">
        <f>IFERROR(INDEX(N_Bedarf!$CE$2:$CE$141,_xlfn.AGGREGATE(15,6,(ROW(N_Bedarf!$CE$2:$CE$141)-1)/(--(SEARCH(DC$2,N_Bedarf!$CE$2:$CE$141)&gt;0)),ROW()-2),1),"")</f>
        <v>Futtergräser 1 Nutzung (&lt;10% Legum.)</v>
      </c>
      <c r="DC84" s="1836"/>
      <c r="DD84" s="1834" t="str">
        <f>IFERROR(INDEX(N_Bedarf!$CE$2:$CE$141,_xlfn.AGGREGATE(15,6,(ROW(N_Bedarf!$CE$2:$CE$141)-1)/(--(SEARCH(DE$2,N_Bedarf!$CE$2:$CE$141)&gt;0)),ROW()-2),1),"")</f>
        <v>Futtergräser 1 Nutzung (&lt;10% Legum.)</v>
      </c>
      <c r="DE84" s="1836"/>
      <c r="DF84" s="2353" t="str">
        <f t="array" ref="DF84">IFERROR(INDEX(N_Bedarf!$CE$2:$CE$141,_xlfn.AGGREGATE(15,6,(ROW(N_Bedarf!$CE$2:$CE$141)-1)/(--(SEARCH(DG$2,N_Bedarf!$CE$2:$CE$141)&gt;0)),ROW()-2),1),"")</f>
        <v>Futtergräser 1 Nutzung (&lt;10% Legum.)</v>
      </c>
      <c r="DG84" s="2353"/>
      <c r="DH84" s="2355" t="str">
        <f t="array" ref="DH84">IFERROR(INDEX(N_Bedarf!$CE$2:$CE$141,_xlfn.AGGREGATE(15,6,(ROW(N_Bedarf!$CE$2:$CE$141)-1)/(--(SEARCH(DI$2,N_Bedarf!$CE$2:$CE$141)&gt;0)),ROW()-2),1),"")</f>
        <v>Futtergräser 1 Nutzung (&lt;10% Legum.)</v>
      </c>
      <c r="DI84" s="2355"/>
      <c r="DJ84" s="2356" t="str">
        <f t="array" ref="DJ84">IFERROR(INDEX(N_Bedarf!$CE$2:$CE$141,_xlfn.AGGREGATE(15,6,(ROW(N_Bedarf!$CE$2:$CE$141)-1)/(--(SEARCH(DK$2,N_Bedarf!$CE$2:$CE$141)&gt;0)),ROW()-2),1),"")</f>
        <v>Futtergräser 1 Nutzung (&lt;10% Legum.)</v>
      </c>
      <c r="DK84" s="2356"/>
      <c r="DL84" s="2356" t="str">
        <f t="array" ref="DL84">IFERROR(INDEX(N_Bedarf!$CE$2:$CE$141,_xlfn.AGGREGATE(15,6,(ROW(N_Bedarf!$CE$2:$CE$141)-1)/(--(SEARCH(DM$2,N_Bedarf!$CE$2:$CE$141)&gt;0)),ROW()-2),1),"")</f>
        <v>Futtergräser 1 Nutzung (&lt;10% Legum.)</v>
      </c>
      <c r="DM84" s="2356"/>
      <c r="DN84" s="2356" t="str">
        <f t="array" ref="DN84">IFERROR(INDEX(N_Bedarf!$CE$2:$CE$141,_xlfn.AGGREGATE(15,6,(ROW(N_Bedarf!$CE$2:$CE$141)-1)/(--(SEARCH(DO$2,N_Bedarf!$CE$2:$CE$141)&gt;0)),ROW()-2),1),"")</f>
        <v>Futtergräser 1 Nutzung (&lt;10% Legum.)</v>
      </c>
      <c r="DO84" s="2356"/>
      <c r="DP84" s="2356" t="str">
        <f t="array" ref="DP84">IFERROR(INDEX(N_Bedarf!$CE$2:$CE$141,_xlfn.AGGREGATE(15,6,(ROW(N_Bedarf!$CE$2:$CE$141)-1)/(--(SEARCH(DQ$2,N_Bedarf!$CE$2:$CE$141)&gt;0)),ROW()-2),1),"")</f>
        <v>Futtergräser 1 Nutzung (&lt;10% Legum.)</v>
      </c>
      <c r="DQ84" s="2356"/>
      <c r="DR84" s="2356" t="str">
        <f t="array" ref="DR84">IFERROR(INDEX(N_Bedarf!$CE$2:$CE$141,_xlfn.AGGREGATE(15,6,(ROW(N_Bedarf!$CE$2:$CE$141)-1)/(--(SEARCH(DS$2,N_Bedarf!$CE$2:$CE$141)&gt;0)),ROW()-2),1),"")</f>
        <v>Futtergräser 1 Nutzung (&lt;10% Legum.)</v>
      </c>
      <c r="DS84" s="2356"/>
      <c r="DT84" s="2356" t="str">
        <f t="array" ref="DT84">IFERROR(INDEX(N_Bedarf!$CE$2:$CE$141,_xlfn.AGGREGATE(15,6,(ROW(N_Bedarf!$CE$2:$CE$141)-1)/(--(SEARCH(DU$2,N_Bedarf!$CE$2:$CE$141)&gt;0)),ROW()-2),1),"")</f>
        <v>Futtergräser 1 Nutzung (&lt;10% Legum.)</v>
      </c>
      <c r="DU84" s="2356"/>
      <c r="DV84" s="2356" t="str">
        <f t="array" ref="DV84">IFERROR(INDEX(N_Bedarf!$CE$2:$CE$141,_xlfn.AGGREGATE(15,6,(ROW(N_Bedarf!$CE$2:$CE$141)-1)/(--(SEARCH(DW$2,N_Bedarf!$CE$2:$CE$141)&gt;0)),ROW()-2),1),"")</f>
        <v>Futtergräser 1 Nutzung (&lt;10% Legum.)</v>
      </c>
      <c r="DW84" s="2356"/>
      <c r="DX84" s="2356" t="str">
        <f t="array" ref="DX84">IFERROR(INDEX(N_Bedarf!$CE$2:$CE$141,_xlfn.AGGREGATE(15,6,(ROW(N_Bedarf!$CE$2:$CE$141)-1)/(--(SEARCH(DY$2,N_Bedarf!$CE$2:$CE$141)&gt;0)),ROW()-2),1),"")</f>
        <v>Futtergräser 1 Nutzung (&lt;10% Legum.)</v>
      </c>
      <c r="DY84" s="2356"/>
      <c r="DZ84" s="2356" t="str">
        <f t="array" ref="DZ84">IFERROR(INDEX(N_Bedarf!$CE$2:$CE$141,_xlfn.AGGREGATE(15,6,(ROW(N_Bedarf!$CE$2:$CE$141)-1)/(--(SEARCH(EA$2,N_Bedarf!$CE$2:$CE$141)&gt;0)),ROW()-2),1),"")</f>
        <v>Futtergräser 1 Nutzung (&lt;10% Legum.)</v>
      </c>
      <c r="EA84" s="2356"/>
      <c r="EB84" s="2356" t="str">
        <f t="array" ref="EB84">IFERROR(INDEX(N_Bedarf!$CE$2:$CE$141,_xlfn.AGGREGATE(15,6,(ROW(N_Bedarf!$CE$2:$CE$141)-1)/(--(SEARCH(EC$2,N_Bedarf!$CE$2:$CE$141)&gt;0)),ROW()-2),1),"")</f>
        <v>Futtergräser 1 Nutzung (&lt;10% Legum.)</v>
      </c>
      <c r="EC84" s="2356"/>
      <c r="ED84"/>
      <c r="EE84"/>
      <c r="EF84"/>
      <c r="EG84"/>
      <c r="EH84"/>
      <c r="EI84"/>
      <c r="EJ84"/>
      <c r="EK84"/>
      <c r="EL84"/>
      <c r="EM84"/>
      <c r="EN84"/>
      <c r="EO84"/>
      <c r="EP84"/>
      <c r="EQ84"/>
      <c r="ER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row>
    <row r="85" spans="1:291" ht="21" customHeight="1" thickTop="1" thickBot="1">
      <c r="A85" s="156"/>
      <c r="B85" s="156"/>
      <c r="C85" s="1758" t="s">
        <v>1693</v>
      </c>
      <c r="D85" s="1759" t="s">
        <v>33</v>
      </c>
      <c r="E85" s="1729">
        <v>105</v>
      </c>
      <c r="F85" s="1760">
        <v>90</v>
      </c>
      <c r="G85" s="1993" t="s">
        <v>13</v>
      </c>
      <c r="H85" s="1994">
        <v>145</v>
      </c>
      <c r="I85" s="1995">
        <v>125</v>
      </c>
      <c r="J85" s="1759" t="s">
        <v>1384</v>
      </c>
      <c r="K85" s="1729">
        <v>170</v>
      </c>
      <c r="L85" s="1760">
        <v>145</v>
      </c>
      <c r="M85" s="1759" t="s">
        <v>1385</v>
      </c>
      <c r="N85" s="1729">
        <v>180</v>
      </c>
      <c r="O85" s="1760">
        <v>155</v>
      </c>
      <c r="P85" s="1759" t="s">
        <v>1393</v>
      </c>
      <c r="Q85" s="1729">
        <v>195</v>
      </c>
      <c r="R85" s="1761">
        <v>165</v>
      </c>
      <c r="S85" s="1762">
        <v>85</v>
      </c>
      <c r="T85" s="1729">
        <v>85</v>
      </c>
      <c r="U85" s="1760">
        <v>85</v>
      </c>
      <c r="V85" s="1759">
        <v>70</v>
      </c>
      <c r="W85" s="1729">
        <v>70</v>
      </c>
      <c r="X85" s="1760">
        <v>70</v>
      </c>
      <c r="Y85" s="2009">
        <v>50</v>
      </c>
      <c r="Z85" s="2010">
        <v>55</v>
      </c>
      <c r="AA85" s="2011">
        <v>65</v>
      </c>
      <c r="AB85" s="1871" t="s">
        <v>1388</v>
      </c>
      <c r="AC85" s="1763" t="s">
        <v>1389</v>
      </c>
      <c r="AD85" s="1762">
        <v>120</v>
      </c>
      <c r="AE85" s="1729">
        <v>120</v>
      </c>
      <c r="AF85" s="1760">
        <v>120</v>
      </c>
      <c r="AG85" s="1759">
        <v>100</v>
      </c>
      <c r="AH85" s="1729">
        <v>100</v>
      </c>
      <c r="AI85" s="1760">
        <v>100</v>
      </c>
      <c r="AJ85" s="2009">
        <v>70</v>
      </c>
      <c r="AK85" s="2010">
        <v>80</v>
      </c>
      <c r="AL85" s="2011">
        <v>90</v>
      </c>
      <c r="AM85" s="1871" t="s">
        <v>1390</v>
      </c>
      <c r="AN85" s="1763" t="s">
        <v>1389</v>
      </c>
      <c r="AO85" s="156"/>
      <c r="AP85" s="156"/>
      <c r="AX85" s="1722" t="s">
        <v>1813</v>
      </c>
      <c r="AY85" s="681">
        <v>0</v>
      </c>
      <c r="AZ85" s="681">
        <v>0</v>
      </c>
      <c r="BA85" s="681"/>
      <c r="BB85" s="681">
        <v>0</v>
      </c>
      <c r="BC85" s="681">
        <v>0</v>
      </c>
      <c r="BD85" s="681" t="s">
        <v>714</v>
      </c>
      <c r="BE85" s="681">
        <v>0</v>
      </c>
      <c r="BF85" s="681">
        <v>0</v>
      </c>
      <c r="BG85" s="681" t="s">
        <v>714</v>
      </c>
      <c r="BH85" s="681">
        <v>0</v>
      </c>
      <c r="BI85" s="681">
        <v>0</v>
      </c>
      <c r="BJ85" s="681" t="s">
        <v>714</v>
      </c>
      <c r="BK85" s="681">
        <v>0</v>
      </c>
      <c r="BL85" s="681">
        <v>0</v>
      </c>
      <c r="BM85" s="681"/>
      <c r="BN85" s="471">
        <v>0</v>
      </c>
      <c r="BO85" s="821">
        <v>0</v>
      </c>
      <c r="BP85"/>
      <c r="BQ85" s="1722" t="s">
        <v>1813</v>
      </c>
      <c r="BR85" s="470">
        <v>0</v>
      </c>
      <c r="BS85" s="470">
        <v>0</v>
      </c>
      <c r="BT85" s="470">
        <v>0</v>
      </c>
      <c r="BU85" s="1590"/>
      <c r="BV85" s="1722" t="s">
        <v>1813</v>
      </c>
      <c r="BW85" s="470">
        <v>0</v>
      </c>
      <c r="BX85" s="470">
        <v>0</v>
      </c>
      <c r="BY85" s="470">
        <v>0</v>
      </c>
      <c r="BZ85" s="1588"/>
      <c r="CA85" s="429"/>
      <c r="CB85"/>
      <c r="CC85"/>
      <c r="CD85"/>
      <c r="CE85" s="2310" t="s">
        <v>1908</v>
      </c>
      <c r="CF85" s="1834" t="str">
        <f>IFERROR(INDEX(N_Bedarf!$CE$2:$CE$141,_xlfn.AGGREGATE(15,6,(ROW(N_Bedarf!$CE$2:$CE$141)-1)/(--(SEARCH(CG$2,N_Bedarf!$CE$2:$CE$141)&gt;0)),ROW()-2),1),"")</f>
        <v>Futtergräser 2 Nutzungen (&lt;10% Legum.)</v>
      </c>
      <c r="CG85" s="1830"/>
      <c r="CH85" s="1834" t="str">
        <f>IFERROR(INDEX(N_Bedarf!$CE$2:$CE$141,_xlfn.AGGREGATE(15,6,(ROW(N_Bedarf!$CE$2:$CE$141)-1)/(--(SEARCH(CI$2,N_Bedarf!$CE$2:$CE$141)&gt;0)),ROW()-2),1),"")</f>
        <v>Futtergräser 2 Nutzungen (&lt;10% Legum.)</v>
      </c>
      <c r="CI85" s="1830"/>
      <c r="CJ85" s="1834" t="str">
        <f>IFERROR(INDEX(N_Bedarf!$CE$2:$CE$141,_xlfn.AGGREGATE(15,6,(ROW(N_Bedarf!$CE$2:$CE$141)-1)/(--(SEARCH(CK$2,N_Bedarf!$CE$2:$CE$141)&gt;0)),ROW()-2),1),"")</f>
        <v>Futtergräser 2 Nutzungen (&lt;10% Legum.)</v>
      </c>
      <c r="CK85" s="1830"/>
      <c r="CL85" s="1834" t="str">
        <f>IFERROR(INDEX(N_Bedarf!$CE$2:$CE$141,_xlfn.AGGREGATE(15,6,(ROW(N_Bedarf!$CE$2:$CE$141)-1)/(--(SEARCH(CM$2,N_Bedarf!$CE$2:$CE$141)&gt;0)),ROW()-2),1),"")</f>
        <v>Futtergräser 2 Nutzungen (&lt;10% Legum.)</v>
      </c>
      <c r="CM85" s="1830"/>
      <c r="CN85" s="1834" t="str">
        <f>IFERROR(INDEX(N_Bedarf!$CE$2:$CE$141,_xlfn.AGGREGATE(15,6,(ROW(N_Bedarf!$CE$2:$CE$141)-1)/(--(SEARCH(CO$2,N_Bedarf!$CE$2:$CE$141)&gt;0)),ROW()-2),1),"")</f>
        <v>Futtergräser 2 Nutzungen (&lt;10% Legum.)</v>
      </c>
      <c r="CO85" s="1830"/>
      <c r="CP85" s="1834" t="str">
        <f>IFERROR(INDEX(N_Bedarf!$CE$2:$CE$141,_xlfn.AGGREGATE(15,6,(ROW(N_Bedarf!$CE$2:$CE$141)-1)/(--(SEARCH(CQ$2,N_Bedarf!$CE$2:$CE$141)&gt;0)),ROW()-2),1),"")</f>
        <v>Futtergräser 2 Nutzungen (&lt;10% Legum.)</v>
      </c>
      <c r="CQ85" s="1830"/>
      <c r="CR85" s="1834" t="str">
        <f>IFERROR(INDEX(N_Bedarf!$CE$2:$CE$141,_xlfn.AGGREGATE(15,6,(ROW(N_Bedarf!$CE$2:$CE$141)-1)/(--(SEARCH(CS$2,N_Bedarf!$CE$2:$CE$141)&gt;0)),ROW()-2),1),"")</f>
        <v>Futtergräser 2 Nutzungen (&lt;10% Legum.)</v>
      </c>
      <c r="CS85" s="1830"/>
      <c r="CT85" s="1834" t="str">
        <f>IFERROR(INDEX(N_Bedarf!$CE$2:$CE$141,_xlfn.AGGREGATE(15,6,(ROW(N_Bedarf!$CE$2:$CE$141)-1)/(--(SEARCH(CU$2,N_Bedarf!$CE$2:$CE$141)&gt;0)),ROW()-2),1),"")</f>
        <v>Futtergräser 2 Nutzungen (&lt;10% Legum.)</v>
      </c>
      <c r="CU85" s="1830"/>
      <c r="CV85" s="1834" t="str">
        <f>IFERROR(INDEX(N_Bedarf!$CE$2:$CE$141,_xlfn.AGGREGATE(15,6,(ROW(N_Bedarf!$CE$2:$CE$141)-1)/(--(SEARCH(CW$2,N_Bedarf!$CE$2:$CE$141)&gt;0)),ROW()-2),1),"")</f>
        <v>Futtergräser 2 Nutzungen (&lt;10% Legum.)</v>
      </c>
      <c r="CW85" s="1830"/>
      <c r="CX85" s="1834" t="str">
        <f>IFERROR(INDEX(N_Bedarf!$CE$2:$CE$141,_xlfn.AGGREGATE(15,6,(ROW(N_Bedarf!$CE$2:$CE$141)-1)/(--(SEARCH(CY$2,N_Bedarf!$CE$2:$CE$141)&gt;0)),ROW()-2),1),"")</f>
        <v>Futtergräser 2 Nutzungen (&lt;10% Legum.)</v>
      </c>
      <c r="CY85" s="1830"/>
      <c r="CZ85" s="1834" t="str">
        <f>IFERROR(INDEX(N_Bedarf!$CE$2:$CE$141,_xlfn.AGGREGATE(15,6,(ROW(N_Bedarf!$CE$2:$CE$141)-1)/(--(SEARCH(DA$2,N_Bedarf!$CE$2:$CE$141)&gt;0)),ROW()-2),1),"")</f>
        <v>Futtergräser 2 Nutzungen (&lt;10% Legum.)</v>
      </c>
      <c r="DA85" s="1830"/>
      <c r="DB85" s="1834" t="str">
        <f>IFERROR(INDEX(N_Bedarf!$CE$2:$CE$141,_xlfn.AGGREGATE(15,6,(ROW(N_Bedarf!$CE$2:$CE$141)-1)/(--(SEARCH(DC$2,N_Bedarf!$CE$2:$CE$141)&gt;0)),ROW()-2),1),"")</f>
        <v>Futtergräser 2 Nutzungen (&lt;10% Legum.)</v>
      </c>
      <c r="DC85" s="1830"/>
      <c r="DD85" s="1834" t="str">
        <f>IFERROR(INDEX(N_Bedarf!$CE$2:$CE$141,_xlfn.AGGREGATE(15,6,(ROW(N_Bedarf!$CE$2:$CE$141)-1)/(--(SEARCH(DE$2,N_Bedarf!$CE$2:$CE$141)&gt;0)),ROW()-2),1),"")</f>
        <v>Futtergräser 2 Nutzungen (&lt;10% Legum.)</v>
      </c>
      <c r="DE85" s="1830"/>
      <c r="DF85" s="2353" t="str">
        <f t="array" ref="DF85">IFERROR(INDEX(N_Bedarf!$CE$2:$CE$141,_xlfn.AGGREGATE(15,6,(ROW(N_Bedarf!$CE$2:$CE$141)-1)/(--(SEARCH(DG$2,N_Bedarf!$CE$2:$CE$141)&gt;0)),ROW()-2),1),"")</f>
        <v>Futtergräser 2 Nutzungen (&lt;10% Legum.)</v>
      </c>
      <c r="DG85" s="2353"/>
      <c r="DH85" s="2355" t="str">
        <f t="array" ref="DH85">IFERROR(INDEX(N_Bedarf!$CE$2:$CE$141,_xlfn.AGGREGATE(15,6,(ROW(N_Bedarf!$CE$2:$CE$141)-1)/(--(SEARCH(DI$2,N_Bedarf!$CE$2:$CE$141)&gt;0)),ROW()-2),1),"")</f>
        <v>Futtergräser 2 Nutzungen (&lt;10% Legum.)</v>
      </c>
      <c r="DI85" s="2355"/>
      <c r="DJ85" s="2356" t="str">
        <f t="array" ref="DJ85">IFERROR(INDEX(N_Bedarf!$CE$2:$CE$141,_xlfn.AGGREGATE(15,6,(ROW(N_Bedarf!$CE$2:$CE$141)-1)/(--(SEARCH(DK$2,N_Bedarf!$CE$2:$CE$141)&gt;0)),ROW()-2),1),"")</f>
        <v>Futtergräser 2 Nutzungen (&lt;10% Legum.)</v>
      </c>
      <c r="DK85" s="2356"/>
      <c r="DL85" s="2356" t="str">
        <f t="array" ref="DL85">IFERROR(INDEX(N_Bedarf!$CE$2:$CE$141,_xlfn.AGGREGATE(15,6,(ROW(N_Bedarf!$CE$2:$CE$141)-1)/(--(SEARCH(DM$2,N_Bedarf!$CE$2:$CE$141)&gt;0)),ROW()-2),1),"")</f>
        <v>Futtergräser 2 Nutzungen (&lt;10% Legum.)</v>
      </c>
      <c r="DM85" s="2356"/>
      <c r="DN85" s="2356" t="str">
        <f t="array" ref="DN85">IFERROR(INDEX(N_Bedarf!$CE$2:$CE$141,_xlfn.AGGREGATE(15,6,(ROW(N_Bedarf!$CE$2:$CE$141)-1)/(--(SEARCH(DO$2,N_Bedarf!$CE$2:$CE$141)&gt;0)),ROW()-2),1),"")</f>
        <v>Futtergräser 2 Nutzungen (&lt;10% Legum.)</v>
      </c>
      <c r="DO85" s="2356"/>
      <c r="DP85" s="2356" t="str">
        <f t="array" ref="DP85">IFERROR(INDEX(N_Bedarf!$CE$2:$CE$141,_xlfn.AGGREGATE(15,6,(ROW(N_Bedarf!$CE$2:$CE$141)-1)/(--(SEARCH(DQ$2,N_Bedarf!$CE$2:$CE$141)&gt;0)),ROW()-2),1),"")</f>
        <v>Futtergräser 2 Nutzungen (&lt;10% Legum.)</v>
      </c>
      <c r="DQ85" s="2356"/>
      <c r="DR85" s="2356" t="str">
        <f t="array" ref="DR85">IFERROR(INDEX(N_Bedarf!$CE$2:$CE$141,_xlfn.AGGREGATE(15,6,(ROW(N_Bedarf!$CE$2:$CE$141)-1)/(--(SEARCH(DS$2,N_Bedarf!$CE$2:$CE$141)&gt;0)),ROW()-2),1),"")</f>
        <v>Futtergräser 2 Nutzungen (&lt;10% Legum.)</v>
      </c>
      <c r="DS85" s="2356"/>
      <c r="DT85" s="2356" t="str">
        <f t="array" ref="DT85">IFERROR(INDEX(N_Bedarf!$CE$2:$CE$141,_xlfn.AGGREGATE(15,6,(ROW(N_Bedarf!$CE$2:$CE$141)-1)/(--(SEARCH(DU$2,N_Bedarf!$CE$2:$CE$141)&gt;0)),ROW()-2),1),"")</f>
        <v>Futtergräser 2 Nutzungen (&lt;10% Legum.)</v>
      </c>
      <c r="DU85" s="2356"/>
      <c r="DV85" s="2356" t="str">
        <f t="array" ref="DV85">IFERROR(INDEX(N_Bedarf!$CE$2:$CE$141,_xlfn.AGGREGATE(15,6,(ROW(N_Bedarf!$CE$2:$CE$141)-1)/(--(SEARCH(DW$2,N_Bedarf!$CE$2:$CE$141)&gt;0)),ROW()-2),1),"")</f>
        <v>Futtergräser 2 Nutzungen (&lt;10% Legum.)</v>
      </c>
      <c r="DW85" s="2356"/>
      <c r="DX85" s="2356" t="str">
        <f t="array" ref="DX85">IFERROR(INDEX(N_Bedarf!$CE$2:$CE$141,_xlfn.AGGREGATE(15,6,(ROW(N_Bedarf!$CE$2:$CE$141)-1)/(--(SEARCH(DY$2,N_Bedarf!$CE$2:$CE$141)&gt;0)),ROW()-2),1),"")</f>
        <v>Futtergräser 2 Nutzungen (&lt;10% Legum.)</v>
      </c>
      <c r="DY85" s="2356"/>
      <c r="DZ85" s="2356" t="str">
        <f t="array" ref="DZ85">IFERROR(INDEX(N_Bedarf!$CE$2:$CE$141,_xlfn.AGGREGATE(15,6,(ROW(N_Bedarf!$CE$2:$CE$141)-1)/(--(SEARCH(EA$2,N_Bedarf!$CE$2:$CE$141)&gt;0)),ROW()-2),1),"")</f>
        <v>Futtergräser 2 Nutzungen (&lt;10% Legum.)</v>
      </c>
      <c r="EA85" s="2356"/>
      <c r="EB85" s="2356" t="str">
        <f t="array" ref="EB85">IFERROR(INDEX(N_Bedarf!$CE$2:$CE$141,_xlfn.AGGREGATE(15,6,(ROW(N_Bedarf!$CE$2:$CE$141)-1)/(--(SEARCH(EC$2,N_Bedarf!$CE$2:$CE$141)&gt;0)),ROW()-2),1),"")</f>
        <v>Futtergräser 2 Nutzungen (&lt;10% Legum.)</v>
      </c>
      <c r="EC85" s="2356"/>
      <c r="ED85"/>
      <c r="EE85"/>
      <c r="EF85"/>
      <c r="EG85"/>
      <c r="EH85"/>
      <c r="EI85"/>
      <c r="EJ85"/>
      <c r="EK85"/>
      <c r="EL85"/>
      <c r="EM85"/>
      <c r="EN85"/>
      <c r="EO85"/>
      <c r="EP85"/>
      <c r="EQ85"/>
      <c r="ER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row>
    <row r="86" spans="1:291" ht="21" customHeight="1" thickTop="1" thickBot="1">
      <c r="A86" s="156"/>
      <c r="B86" s="156"/>
      <c r="C86" s="1758" t="s">
        <v>1690</v>
      </c>
      <c r="D86" s="1759" t="s">
        <v>33</v>
      </c>
      <c r="E86" s="1729">
        <v>105</v>
      </c>
      <c r="F86" s="1760">
        <v>90</v>
      </c>
      <c r="G86" s="1993" t="s">
        <v>13</v>
      </c>
      <c r="H86" s="1994">
        <v>145</v>
      </c>
      <c r="I86" s="1995">
        <v>125</v>
      </c>
      <c r="J86" s="1759" t="s">
        <v>1384</v>
      </c>
      <c r="K86" s="1729">
        <v>170</v>
      </c>
      <c r="L86" s="1760">
        <v>145</v>
      </c>
      <c r="M86" s="1759" t="s">
        <v>1385</v>
      </c>
      <c r="N86" s="1729">
        <v>180</v>
      </c>
      <c r="O86" s="1760">
        <v>155</v>
      </c>
      <c r="P86" s="1759" t="s">
        <v>1393</v>
      </c>
      <c r="Q86" s="1729">
        <v>195</v>
      </c>
      <c r="R86" s="1761">
        <v>165</v>
      </c>
      <c r="S86" s="1762">
        <v>85</v>
      </c>
      <c r="T86" s="1729">
        <v>85</v>
      </c>
      <c r="U86" s="1760">
        <v>85</v>
      </c>
      <c r="V86" s="1759">
        <v>70</v>
      </c>
      <c r="W86" s="1729">
        <v>70</v>
      </c>
      <c r="X86" s="1760">
        <v>70</v>
      </c>
      <c r="Y86" s="2009">
        <v>50</v>
      </c>
      <c r="Z86" s="2010">
        <v>55</v>
      </c>
      <c r="AA86" s="2011">
        <v>65</v>
      </c>
      <c r="AB86" s="1871" t="s">
        <v>1388</v>
      </c>
      <c r="AC86" s="1763" t="s">
        <v>1389</v>
      </c>
      <c r="AD86" s="1762">
        <v>120</v>
      </c>
      <c r="AE86" s="1729">
        <v>120</v>
      </c>
      <c r="AF86" s="1760">
        <v>120</v>
      </c>
      <c r="AG86" s="1759">
        <v>100</v>
      </c>
      <c r="AH86" s="1729">
        <v>100</v>
      </c>
      <c r="AI86" s="1760">
        <v>100</v>
      </c>
      <c r="AJ86" s="2009">
        <v>70</v>
      </c>
      <c r="AK86" s="2010">
        <v>80</v>
      </c>
      <c r="AL86" s="2011">
        <v>90</v>
      </c>
      <c r="AM86" s="1871" t="s">
        <v>1390</v>
      </c>
      <c r="AN86" s="1763" t="s">
        <v>1389</v>
      </c>
      <c r="AO86" s="156"/>
      <c r="AP86" s="156"/>
      <c r="AX86" s="1722" t="s">
        <v>1906</v>
      </c>
      <c r="AY86" s="681">
        <v>0</v>
      </c>
      <c r="AZ86" s="681" t="s">
        <v>1764</v>
      </c>
      <c r="BA86" s="681" t="s">
        <v>2694</v>
      </c>
      <c r="BB86" s="681">
        <v>200</v>
      </c>
      <c r="BC86" s="681">
        <v>200</v>
      </c>
      <c r="BD86" s="681" t="s">
        <v>2581</v>
      </c>
      <c r="BE86" s="681">
        <v>200</v>
      </c>
      <c r="BF86" s="681">
        <v>200</v>
      </c>
      <c r="BG86" s="681" t="s">
        <v>2581</v>
      </c>
      <c r="BH86" s="681">
        <v>200</v>
      </c>
      <c r="BI86" s="681">
        <v>200</v>
      </c>
      <c r="BJ86" s="681" t="s">
        <v>2581</v>
      </c>
      <c r="BK86" s="681">
        <v>200</v>
      </c>
      <c r="BL86" s="681">
        <v>200</v>
      </c>
      <c r="BM86" s="681" t="s">
        <v>2581</v>
      </c>
      <c r="BN86" s="471">
        <v>0</v>
      </c>
      <c r="BO86" s="821">
        <v>30</v>
      </c>
      <c r="BP86"/>
      <c r="BQ86" s="1722" t="s">
        <v>1906</v>
      </c>
      <c r="BR86" s="470">
        <v>15</v>
      </c>
      <c r="BS86" s="470">
        <v>30</v>
      </c>
      <c r="BT86" s="470">
        <v>30</v>
      </c>
      <c r="BU86" s="1590"/>
      <c r="BV86" s="1722" t="s">
        <v>1906</v>
      </c>
      <c r="BW86" s="470">
        <v>45</v>
      </c>
      <c r="BX86" s="470">
        <v>80</v>
      </c>
      <c r="BY86" s="470">
        <v>80</v>
      </c>
      <c r="BZ86" s="1588"/>
      <c r="CA86" s="429"/>
      <c r="CB86"/>
      <c r="CC86"/>
      <c r="CD86"/>
      <c r="CE86" s="2310" t="s">
        <v>1909</v>
      </c>
      <c r="CF86" s="1834" t="str">
        <f>IFERROR(INDEX(N_Bedarf!$CE$2:$CE$141,_xlfn.AGGREGATE(15,6,(ROW(N_Bedarf!$CE$2:$CE$141)-1)/(--(SEARCH(CG$2,N_Bedarf!$CE$2:$CE$141)&gt;0)),ROW()-2),1),"")</f>
        <v>Futtergräser 3 Nutzungen (&lt;10% Legum.)</v>
      </c>
      <c r="CG86" s="1836"/>
      <c r="CH86" s="1834" t="str">
        <f>IFERROR(INDEX(N_Bedarf!$CE$2:$CE$141,_xlfn.AGGREGATE(15,6,(ROW(N_Bedarf!$CE$2:$CE$141)-1)/(--(SEARCH(CI$2,N_Bedarf!$CE$2:$CE$141)&gt;0)),ROW()-2),1),"")</f>
        <v>Futtergräser 3 Nutzungen (&lt;10% Legum.)</v>
      </c>
      <c r="CI86" s="1836"/>
      <c r="CJ86" s="1834" t="str">
        <f>IFERROR(INDEX(N_Bedarf!$CE$2:$CE$141,_xlfn.AGGREGATE(15,6,(ROW(N_Bedarf!$CE$2:$CE$141)-1)/(--(SEARCH(CK$2,N_Bedarf!$CE$2:$CE$141)&gt;0)),ROW()-2),1),"")</f>
        <v>Futtergräser 3 Nutzungen (&lt;10% Legum.)</v>
      </c>
      <c r="CK86" s="1836"/>
      <c r="CL86" s="1834" t="str">
        <f>IFERROR(INDEX(N_Bedarf!$CE$2:$CE$141,_xlfn.AGGREGATE(15,6,(ROW(N_Bedarf!$CE$2:$CE$141)-1)/(--(SEARCH(CM$2,N_Bedarf!$CE$2:$CE$141)&gt;0)),ROW()-2),1),"")</f>
        <v>Futtergräser 3 Nutzungen (&lt;10% Legum.)</v>
      </c>
      <c r="CM86" s="1836"/>
      <c r="CN86" s="1834" t="str">
        <f>IFERROR(INDEX(N_Bedarf!$CE$2:$CE$141,_xlfn.AGGREGATE(15,6,(ROW(N_Bedarf!$CE$2:$CE$141)-1)/(--(SEARCH(CO$2,N_Bedarf!$CE$2:$CE$141)&gt;0)),ROW()-2),1),"")</f>
        <v>Futtergräser 3 Nutzungen (&lt;10% Legum.)</v>
      </c>
      <c r="CO86" s="1836"/>
      <c r="CP86" s="1834" t="str">
        <f>IFERROR(INDEX(N_Bedarf!$CE$2:$CE$141,_xlfn.AGGREGATE(15,6,(ROW(N_Bedarf!$CE$2:$CE$141)-1)/(--(SEARCH(CQ$2,N_Bedarf!$CE$2:$CE$141)&gt;0)),ROW()-2),1),"")</f>
        <v>Futtergräser 3 Nutzungen (&lt;10% Legum.)</v>
      </c>
      <c r="CQ86" s="1836"/>
      <c r="CR86" s="1834" t="str">
        <f>IFERROR(INDEX(N_Bedarf!$CE$2:$CE$141,_xlfn.AGGREGATE(15,6,(ROW(N_Bedarf!$CE$2:$CE$141)-1)/(--(SEARCH(CS$2,N_Bedarf!$CE$2:$CE$141)&gt;0)),ROW()-2),1),"")</f>
        <v>Futtergräser 3 Nutzungen (&lt;10% Legum.)</v>
      </c>
      <c r="CS86" s="1836"/>
      <c r="CT86" s="1834" t="str">
        <f>IFERROR(INDEX(N_Bedarf!$CE$2:$CE$141,_xlfn.AGGREGATE(15,6,(ROW(N_Bedarf!$CE$2:$CE$141)-1)/(--(SEARCH(CU$2,N_Bedarf!$CE$2:$CE$141)&gt;0)),ROW()-2),1),"")</f>
        <v>Futtergräser 3 Nutzungen (&lt;10% Legum.)</v>
      </c>
      <c r="CU86" s="1836"/>
      <c r="CV86" s="1834" t="str">
        <f>IFERROR(INDEX(N_Bedarf!$CE$2:$CE$141,_xlfn.AGGREGATE(15,6,(ROW(N_Bedarf!$CE$2:$CE$141)-1)/(--(SEARCH(CW$2,N_Bedarf!$CE$2:$CE$141)&gt;0)),ROW()-2),1),"")</f>
        <v>Futtergräser 3 Nutzungen (&lt;10% Legum.)</v>
      </c>
      <c r="CW86" s="1836"/>
      <c r="CX86" s="1834" t="str">
        <f>IFERROR(INDEX(N_Bedarf!$CE$2:$CE$141,_xlfn.AGGREGATE(15,6,(ROW(N_Bedarf!$CE$2:$CE$141)-1)/(--(SEARCH(CY$2,N_Bedarf!$CE$2:$CE$141)&gt;0)),ROW()-2),1),"")</f>
        <v>Futtergräser 3 Nutzungen (&lt;10% Legum.)</v>
      </c>
      <c r="CY86" s="1836"/>
      <c r="CZ86" s="1834" t="str">
        <f>IFERROR(INDEX(N_Bedarf!$CE$2:$CE$141,_xlfn.AGGREGATE(15,6,(ROW(N_Bedarf!$CE$2:$CE$141)-1)/(--(SEARCH(DA$2,N_Bedarf!$CE$2:$CE$141)&gt;0)),ROW()-2),1),"")</f>
        <v>Futtergräser 3 Nutzungen (&lt;10% Legum.)</v>
      </c>
      <c r="DA86" s="1836"/>
      <c r="DB86" s="1834" t="str">
        <f>IFERROR(INDEX(N_Bedarf!$CE$2:$CE$141,_xlfn.AGGREGATE(15,6,(ROW(N_Bedarf!$CE$2:$CE$141)-1)/(--(SEARCH(DC$2,N_Bedarf!$CE$2:$CE$141)&gt;0)),ROW()-2),1),"")</f>
        <v>Futtergräser 3 Nutzungen (&lt;10% Legum.)</v>
      </c>
      <c r="DC86" s="1836"/>
      <c r="DD86" s="1834" t="str">
        <f>IFERROR(INDEX(N_Bedarf!$CE$2:$CE$141,_xlfn.AGGREGATE(15,6,(ROW(N_Bedarf!$CE$2:$CE$141)-1)/(--(SEARCH(DE$2,N_Bedarf!$CE$2:$CE$141)&gt;0)),ROW()-2),1),"")</f>
        <v>Futtergräser 3 Nutzungen (&lt;10% Legum.)</v>
      </c>
      <c r="DE86" s="1836"/>
      <c r="DF86" s="2353" t="str">
        <f t="array" ref="DF86">IFERROR(INDEX(N_Bedarf!$CE$2:$CE$141,_xlfn.AGGREGATE(15,6,(ROW(N_Bedarf!$CE$2:$CE$141)-1)/(--(SEARCH(DG$2,N_Bedarf!$CE$2:$CE$141)&gt;0)),ROW()-2),1),"")</f>
        <v>Futtergräser 3 Nutzungen (&lt;10% Legum.)</v>
      </c>
      <c r="DG86" s="2353"/>
      <c r="DH86" s="2355" t="str">
        <f t="array" ref="DH86">IFERROR(INDEX(N_Bedarf!$CE$2:$CE$141,_xlfn.AGGREGATE(15,6,(ROW(N_Bedarf!$CE$2:$CE$141)-1)/(--(SEARCH(DI$2,N_Bedarf!$CE$2:$CE$141)&gt;0)),ROW()-2),1),"")</f>
        <v>Futtergräser 3 Nutzungen (&lt;10% Legum.)</v>
      </c>
      <c r="DI86" s="2355"/>
      <c r="DJ86" s="2356" t="str">
        <f t="array" ref="DJ86">IFERROR(INDEX(N_Bedarf!$CE$2:$CE$141,_xlfn.AGGREGATE(15,6,(ROW(N_Bedarf!$CE$2:$CE$141)-1)/(--(SEARCH(DK$2,N_Bedarf!$CE$2:$CE$141)&gt;0)),ROW()-2),1),"")</f>
        <v>Futtergräser 3 Nutzungen (&lt;10% Legum.)</v>
      </c>
      <c r="DK86" s="2356"/>
      <c r="DL86" s="2356" t="str">
        <f t="array" ref="DL86">IFERROR(INDEX(N_Bedarf!$CE$2:$CE$141,_xlfn.AGGREGATE(15,6,(ROW(N_Bedarf!$CE$2:$CE$141)-1)/(--(SEARCH(DM$2,N_Bedarf!$CE$2:$CE$141)&gt;0)),ROW()-2),1),"")</f>
        <v>Futtergräser 3 Nutzungen (&lt;10% Legum.)</v>
      </c>
      <c r="DM86" s="2356"/>
      <c r="DN86" s="2356" t="str">
        <f t="array" ref="DN86">IFERROR(INDEX(N_Bedarf!$CE$2:$CE$141,_xlfn.AGGREGATE(15,6,(ROW(N_Bedarf!$CE$2:$CE$141)-1)/(--(SEARCH(DO$2,N_Bedarf!$CE$2:$CE$141)&gt;0)),ROW()-2),1),"")</f>
        <v>Futtergräser 3 Nutzungen (&lt;10% Legum.)</v>
      </c>
      <c r="DO86" s="2356"/>
      <c r="DP86" s="2356" t="str">
        <f t="array" ref="DP86">IFERROR(INDEX(N_Bedarf!$CE$2:$CE$141,_xlfn.AGGREGATE(15,6,(ROW(N_Bedarf!$CE$2:$CE$141)-1)/(--(SEARCH(DQ$2,N_Bedarf!$CE$2:$CE$141)&gt;0)),ROW()-2),1),"")</f>
        <v>Futtergräser 3 Nutzungen (&lt;10% Legum.)</v>
      </c>
      <c r="DQ86" s="2356"/>
      <c r="DR86" s="2356" t="str">
        <f t="array" ref="DR86">IFERROR(INDEX(N_Bedarf!$CE$2:$CE$141,_xlfn.AGGREGATE(15,6,(ROW(N_Bedarf!$CE$2:$CE$141)-1)/(--(SEARCH(DS$2,N_Bedarf!$CE$2:$CE$141)&gt;0)),ROW()-2),1),"")</f>
        <v>Futtergräser 3 Nutzungen (&lt;10% Legum.)</v>
      </c>
      <c r="DS86" s="2356"/>
      <c r="DT86" s="2356" t="str">
        <f t="array" ref="DT86">IFERROR(INDEX(N_Bedarf!$CE$2:$CE$141,_xlfn.AGGREGATE(15,6,(ROW(N_Bedarf!$CE$2:$CE$141)-1)/(--(SEARCH(DU$2,N_Bedarf!$CE$2:$CE$141)&gt;0)),ROW()-2),1),"")</f>
        <v>Futtergräser 3 Nutzungen (&lt;10% Legum.)</v>
      </c>
      <c r="DU86" s="2356"/>
      <c r="DV86" s="2356" t="str">
        <f t="array" ref="DV86">IFERROR(INDEX(N_Bedarf!$CE$2:$CE$141,_xlfn.AGGREGATE(15,6,(ROW(N_Bedarf!$CE$2:$CE$141)-1)/(--(SEARCH(DW$2,N_Bedarf!$CE$2:$CE$141)&gt;0)),ROW()-2),1),"")</f>
        <v>Futtergräser 3 Nutzungen (&lt;10% Legum.)</v>
      </c>
      <c r="DW86" s="2356"/>
      <c r="DX86" s="2356" t="str">
        <f t="array" ref="DX86">IFERROR(INDEX(N_Bedarf!$CE$2:$CE$141,_xlfn.AGGREGATE(15,6,(ROW(N_Bedarf!$CE$2:$CE$141)-1)/(--(SEARCH(DY$2,N_Bedarf!$CE$2:$CE$141)&gt;0)),ROW()-2),1),"")</f>
        <v>Futtergräser 3 Nutzungen (&lt;10% Legum.)</v>
      </c>
      <c r="DY86" s="2356"/>
      <c r="DZ86" s="2356" t="str">
        <f t="array" ref="DZ86">IFERROR(INDEX(N_Bedarf!$CE$2:$CE$141,_xlfn.AGGREGATE(15,6,(ROW(N_Bedarf!$CE$2:$CE$141)-1)/(--(SEARCH(EA$2,N_Bedarf!$CE$2:$CE$141)&gt;0)),ROW()-2),1),"")</f>
        <v>Futtergräser 3 Nutzungen (&lt;10% Legum.)</v>
      </c>
      <c r="EA86" s="2356"/>
      <c r="EB86" s="2356" t="str">
        <f t="array" ref="EB86">IFERROR(INDEX(N_Bedarf!$CE$2:$CE$141,_xlfn.AGGREGATE(15,6,(ROW(N_Bedarf!$CE$2:$CE$141)-1)/(--(SEARCH(EC$2,N_Bedarf!$CE$2:$CE$141)&gt;0)),ROW()-2),1),"")</f>
        <v>Futtergräser 3 Nutzungen (&lt;10% Legum.)</v>
      </c>
      <c r="EC86" s="2356"/>
      <c r="ED86"/>
      <c r="EE86"/>
      <c r="EF86"/>
      <c r="EG86"/>
      <c r="EH86"/>
      <c r="EI86"/>
      <c r="EJ86"/>
      <c r="EK86"/>
      <c r="EL86"/>
      <c r="EM86"/>
      <c r="EN86"/>
      <c r="EO86"/>
      <c r="EP86"/>
      <c r="EQ86"/>
      <c r="ER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row>
    <row r="87" spans="1:291" ht="21" customHeight="1" thickTop="1" thickBot="1">
      <c r="A87" s="156"/>
      <c r="B87" s="156"/>
      <c r="C87" s="1758" t="s">
        <v>1692</v>
      </c>
      <c r="D87" s="1759" t="s">
        <v>33</v>
      </c>
      <c r="E87" s="1729">
        <v>105</v>
      </c>
      <c r="F87" s="1760">
        <v>90</v>
      </c>
      <c r="G87" s="1993" t="s">
        <v>13</v>
      </c>
      <c r="H87" s="1994">
        <v>145</v>
      </c>
      <c r="I87" s="1995">
        <v>125</v>
      </c>
      <c r="J87" s="1759" t="s">
        <v>1384</v>
      </c>
      <c r="K87" s="1729">
        <v>170</v>
      </c>
      <c r="L87" s="1760">
        <v>145</v>
      </c>
      <c r="M87" s="1759" t="s">
        <v>1385</v>
      </c>
      <c r="N87" s="1729">
        <v>180</v>
      </c>
      <c r="O87" s="1760">
        <v>155</v>
      </c>
      <c r="P87" s="1759" t="s">
        <v>1393</v>
      </c>
      <c r="Q87" s="1729">
        <v>195</v>
      </c>
      <c r="R87" s="1761">
        <v>165</v>
      </c>
      <c r="S87" s="1762">
        <v>85</v>
      </c>
      <c r="T87" s="1729">
        <v>85</v>
      </c>
      <c r="U87" s="1760">
        <v>85</v>
      </c>
      <c r="V87" s="1759">
        <v>70</v>
      </c>
      <c r="W87" s="1729">
        <v>70</v>
      </c>
      <c r="X87" s="1760">
        <v>70</v>
      </c>
      <c r="Y87" s="2009">
        <v>50</v>
      </c>
      <c r="Z87" s="2010">
        <v>55</v>
      </c>
      <c r="AA87" s="2011">
        <v>65</v>
      </c>
      <c r="AB87" s="1871" t="s">
        <v>1388</v>
      </c>
      <c r="AC87" s="1763" t="s">
        <v>1389</v>
      </c>
      <c r="AD87" s="1762">
        <v>120</v>
      </c>
      <c r="AE87" s="1729">
        <v>120</v>
      </c>
      <c r="AF87" s="1760">
        <v>120</v>
      </c>
      <c r="AG87" s="1759">
        <v>100</v>
      </c>
      <c r="AH87" s="1729">
        <v>100</v>
      </c>
      <c r="AI87" s="1760">
        <v>100</v>
      </c>
      <c r="AJ87" s="2009">
        <v>70</v>
      </c>
      <c r="AK87" s="2010">
        <v>80</v>
      </c>
      <c r="AL87" s="2011">
        <v>90</v>
      </c>
      <c r="AM87" s="1871" t="s">
        <v>1390</v>
      </c>
      <c r="AN87" s="1763" t="s">
        <v>1389</v>
      </c>
      <c r="AO87" s="156"/>
      <c r="AP87" s="156"/>
      <c r="AX87" s="1722" t="s">
        <v>1907</v>
      </c>
      <c r="AY87" s="681">
        <v>200</v>
      </c>
      <c r="AZ87" s="681">
        <v>200</v>
      </c>
      <c r="BA87" s="681" t="s">
        <v>2561</v>
      </c>
      <c r="BB87" s="681">
        <v>200</v>
      </c>
      <c r="BC87" s="681">
        <v>200</v>
      </c>
      <c r="BD87" s="681" t="s">
        <v>2582</v>
      </c>
      <c r="BE87" s="681">
        <v>200</v>
      </c>
      <c r="BF87" s="681">
        <v>200</v>
      </c>
      <c r="BG87" s="681" t="s">
        <v>2582</v>
      </c>
      <c r="BH87" s="681">
        <v>200</v>
      </c>
      <c r="BI87" s="681">
        <v>200</v>
      </c>
      <c r="BJ87" s="681" t="s">
        <v>2582</v>
      </c>
      <c r="BK87" s="681">
        <v>200</v>
      </c>
      <c r="BL87" s="681">
        <v>200</v>
      </c>
      <c r="BM87" s="681" t="s">
        <v>2582</v>
      </c>
      <c r="BN87" s="471">
        <v>0</v>
      </c>
      <c r="BO87" s="821">
        <v>30</v>
      </c>
      <c r="BP87"/>
      <c r="BQ87" s="1722" t="s">
        <v>1907</v>
      </c>
      <c r="BR87" s="470">
        <v>30</v>
      </c>
      <c r="BS87" s="470">
        <v>45</v>
      </c>
      <c r="BT87" s="470">
        <v>45</v>
      </c>
      <c r="BU87" s="1590"/>
      <c r="BV87" s="1722" t="s">
        <v>1907</v>
      </c>
      <c r="BW87" s="470">
        <v>80</v>
      </c>
      <c r="BX87" s="470">
        <v>120</v>
      </c>
      <c r="BY87" s="470">
        <v>120</v>
      </c>
      <c r="BZ87" s="1588"/>
      <c r="CA87" s="429"/>
      <c r="CB87"/>
      <c r="CC87"/>
      <c r="CD87"/>
      <c r="CE87" s="2310" t="s">
        <v>1910</v>
      </c>
      <c r="CF87" s="1834" t="str">
        <f>IFERROR(INDEX(N_Bedarf!$CE$2:$CE$141,_xlfn.AGGREGATE(15,6,(ROW(N_Bedarf!$CE$2:$CE$141)-1)/(--(SEARCH(CG$2,N_Bedarf!$CE$2:$CE$141)&gt;0)),ROW()-2),1),"")</f>
        <v>Futtergräser 4 Nutzungen (&lt;10% Legum.)</v>
      </c>
      <c r="CG87" s="1830"/>
      <c r="CH87" s="1834" t="str">
        <f>IFERROR(INDEX(N_Bedarf!$CE$2:$CE$141,_xlfn.AGGREGATE(15,6,(ROW(N_Bedarf!$CE$2:$CE$141)-1)/(--(SEARCH(CI$2,N_Bedarf!$CE$2:$CE$141)&gt;0)),ROW()-2),1),"")</f>
        <v>Futtergräser 4 Nutzungen (&lt;10% Legum.)</v>
      </c>
      <c r="CI87" s="1830"/>
      <c r="CJ87" s="1834" t="str">
        <f>IFERROR(INDEX(N_Bedarf!$CE$2:$CE$141,_xlfn.AGGREGATE(15,6,(ROW(N_Bedarf!$CE$2:$CE$141)-1)/(--(SEARCH(CK$2,N_Bedarf!$CE$2:$CE$141)&gt;0)),ROW()-2),1),"")</f>
        <v>Futtergräser 4 Nutzungen (&lt;10% Legum.)</v>
      </c>
      <c r="CK87" s="1830"/>
      <c r="CL87" s="1834" t="str">
        <f>IFERROR(INDEX(N_Bedarf!$CE$2:$CE$141,_xlfn.AGGREGATE(15,6,(ROW(N_Bedarf!$CE$2:$CE$141)-1)/(--(SEARCH(CM$2,N_Bedarf!$CE$2:$CE$141)&gt;0)),ROW()-2),1),"")</f>
        <v>Futtergräser 4 Nutzungen (&lt;10% Legum.)</v>
      </c>
      <c r="CM87" s="1830"/>
      <c r="CN87" s="1834" t="str">
        <f>IFERROR(INDEX(N_Bedarf!$CE$2:$CE$141,_xlfn.AGGREGATE(15,6,(ROW(N_Bedarf!$CE$2:$CE$141)-1)/(--(SEARCH(CO$2,N_Bedarf!$CE$2:$CE$141)&gt;0)),ROW()-2),1),"")</f>
        <v>Futtergräser 4 Nutzungen (&lt;10% Legum.)</v>
      </c>
      <c r="CO87" s="1830"/>
      <c r="CP87" s="1834" t="str">
        <f>IFERROR(INDEX(N_Bedarf!$CE$2:$CE$141,_xlfn.AGGREGATE(15,6,(ROW(N_Bedarf!$CE$2:$CE$141)-1)/(--(SEARCH(CQ$2,N_Bedarf!$CE$2:$CE$141)&gt;0)),ROW()-2),1),"")</f>
        <v>Futtergräser 4 Nutzungen (&lt;10% Legum.)</v>
      </c>
      <c r="CQ87" s="1830"/>
      <c r="CR87" s="1834" t="str">
        <f>IFERROR(INDEX(N_Bedarf!$CE$2:$CE$141,_xlfn.AGGREGATE(15,6,(ROW(N_Bedarf!$CE$2:$CE$141)-1)/(--(SEARCH(CS$2,N_Bedarf!$CE$2:$CE$141)&gt;0)),ROW()-2),1),"")</f>
        <v>Futtergräser 4 Nutzungen (&lt;10% Legum.)</v>
      </c>
      <c r="CS87" s="1830"/>
      <c r="CT87" s="1834" t="str">
        <f>IFERROR(INDEX(N_Bedarf!$CE$2:$CE$141,_xlfn.AGGREGATE(15,6,(ROW(N_Bedarf!$CE$2:$CE$141)-1)/(--(SEARCH(CU$2,N_Bedarf!$CE$2:$CE$141)&gt;0)),ROW()-2),1),"")</f>
        <v>Futtergräser 4 Nutzungen (&lt;10% Legum.)</v>
      </c>
      <c r="CU87" s="1830"/>
      <c r="CV87" s="1834" t="str">
        <f>IFERROR(INDEX(N_Bedarf!$CE$2:$CE$141,_xlfn.AGGREGATE(15,6,(ROW(N_Bedarf!$CE$2:$CE$141)-1)/(--(SEARCH(CW$2,N_Bedarf!$CE$2:$CE$141)&gt;0)),ROW()-2),1),"")</f>
        <v>Futtergräser 4 Nutzungen (&lt;10% Legum.)</v>
      </c>
      <c r="CW87" s="1830"/>
      <c r="CX87" s="1834" t="str">
        <f>IFERROR(INDEX(N_Bedarf!$CE$2:$CE$141,_xlfn.AGGREGATE(15,6,(ROW(N_Bedarf!$CE$2:$CE$141)-1)/(--(SEARCH(CY$2,N_Bedarf!$CE$2:$CE$141)&gt;0)),ROW()-2),1),"")</f>
        <v>Futtergräser 4 Nutzungen (&lt;10% Legum.)</v>
      </c>
      <c r="CY87" s="1830"/>
      <c r="CZ87" s="1834" t="str">
        <f>IFERROR(INDEX(N_Bedarf!$CE$2:$CE$141,_xlfn.AGGREGATE(15,6,(ROW(N_Bedarf!$CE$2:$CE$141)-1)/(--(SEARCH(DA$2,N_Bedarf!$CE$2:$CE$141)&gt;0)),ROW()-2),1),"")</f>
        <v>Futtergräser 4 Nutzungen (&lt;10% Legum.)</v>
      </c>
      <c r="DA87" s="1830"/>
      <c r="DB87" s="1834" t="str">
        <f>IFERROR(INDEX(N_Bedarf!$CE$2:$CE$141,_xlfn.AGGREGATE(15,6,(ROW(N_Bedarf!$CE$2:$CE$141)-1)/(--(SEARCH(DC$2,N_Bedarf!$CE$2:$CE$141)&gt;0)),ROW()-2),1),"")</f>
        <v>Futtergräser 4 Nutzungen (&lt;10% Legum.)</v>
      </c>
      <c r="DC87" s="1830"/>
      <c r="DD87" s="1834" t="str">
        <f>IFERROR(INDEX(N_Bedarf!$CE$2:$CE$141,_xlfn.AGGREGATE(15,6,(ROW(N_Bedarf!$CE$2:$CE$141)-1)/(--(SEARCH(DE$2,N_Bedarf!$CE$2:$CE$141)&gt;0)),ROW()-2),1),"")</f>
        <v>Futtergräser 4 Nutzungen (&lt;10% Legum.)</v>
      </c>
      <c r="DE87" s="1830"/>
      <c r="DF87" s="2353" t="str">
        <f t="array" ref="DF87">IFERROR(INDEX(N_Bedarf!$CE$2:$CE$141,_xlfn.AGGREGATE(15,6,(ROW(N_Bedarf!$CE$2:$CE$141)-1)/(--(SEARCH(DG$2,N_Bedarf!$CE$2:$CE$141)&gt;0)),ROW()-2),1),"")</f>
        <v>Futtergräser 4 Nutzungen (&lt;10% Legum.)</v>
      </c>
      <c r="DG87" s="2353"/>
      <c r="DH87" s="2355" t="str">
        <f t="array" ref="DH87">IFERROR(INDEX(N_Bedarf!$CE$2:$CE$141,_xlfn.AGGREGATE(15,6,(ROW(N_Bedarf!$CE$2:$CE$141)-1)/(--(SEARCH(DI$2,N_Bedarf!$CE$2:$CE$141)&gt;0)),ROW()-2),1),"")</f>
        <v>Futtergräser 4 Nutzungen (&lt;10% Legum.)</v>
      </c>
      <c r="DI87" s="2355"/>
      <c r="DJ87" s="2356" t="str">
        <f t="array" ref="DJ87">IFERROR(INDEX(N_Bedarf!$CE$2:$CE$141,_xlfn.AGGREGATE(15,6,(ROW(N_Bedarf!$CE$2:$CE$141)-1)/(--(SEARCH(DK$2,N_Bedarf!$CE$2:$CE$141)&gt;0)),ROW()-2),1),"")</f>
        <v>Futtergräser 4 Nutzungen (&lt;10% Legum.)</v>
      </c>
      <c r="DK87" s="2356"/>
      <c r="DL87" s="2356" t="str">
        <f t="array" ref="DL87">IFERROR(INDEX(N_Bedarf!$CE$2:$CE$141,_xlfn.AGGREGATE(15,6,(ROW(N_Bedarf!$CE$2:$CE$141)-1)/(--(SEARCH(DM$2,N_Bedarf!$CE$2:$CE$141)&gt;0)),ROW()-2),1),"")</f>
        <v>Futtergräser 4 Nutzungen (&lt;10% Legum.)</v>
      </c>
      <c r="DM87" s="2356"/>
      <c r="DN87" s="2356" t="str">
        <f t="array" ref="DN87">IFERROR(INDEX(N_Bedarf!$CE$2:$CE$141,_xlfn.AGGREGATE(15,6,(ROW(N_Bedarf!$CE$2:$CE$141)-1)/(--(SEARCH(DO$2,N_Bedarf!$CE$2:$CE$141)&gt;0)),ROW()-2),1),"")</f>
        <v>Futtergräser 4 Nutzungen (&lt;10% Legum.)</v>
      </c>
      <c r="DO87" s="2356"/>
      <c r="DP87" s="2356" t="str">
        <f t="array" ref="DP87">IFERROR(INDEX(N_Bedarf!$CE$2:$CE$141,_xlfn.AGGREGATE(15,6,(ROW(N_Bedarf!$CE$2:$CE$141)-1)/(--(SEARCH(DQ$2,N_Bedarf!$CE$2:$CE$141)&gt;0)),ROW()-2),1),"")</f>
        <v>Futtergräser 4 Nutzungen (&lt;10% Legum.)</v>
      </c>
      <c r="DQ87" s="2356"/>
      <c r="DR87" s="2356" t="str">
        <f t="array" ref="DR87">IFERROR(INDEX(N_Bedarf!$CE$2:$CE$141,_xlfn.AGGREGATE(15,6,(ROW(N_Bedarf!$CE$2:$CE$141)-1)/(--(SEARCH(DS$2,N_Bedarf!$CE$2:$CE$141)&gt;0)),ROW()-2),1),"")</f>
        <v>Futtergräser 4 Nutzungen (&lt;10% Legum.)</v>
      </c>
      <c r="DS87" s="2356"/>
      <c r="DT87" s="2356" t="str">
        <f t="array" ref="DT87">IFERROR(INDEX(N_Bedarf!$CE$2:$CE$141,_xlfn.AGGREGATE(15,6,(ROW(N_Bedarf!$CE$2:$CE$141)-1)/(--(SEARCH(DU$2,N_Bedarf!$CE$2:$CE$141)&gt;0)),ROW()-2),1),"")</f>
        <v>Futtergräser 4 Nutzungen (&lt;10% Legum.)</v>
      </c>
      <c r="DU87" s="2356"/>
      <c r="DV87" s="2356" t="str">
        <f t="array" ref="DV87">IFERROR(INDEX(N_Bedarf!$CE$2:$CE$141,_xlfn.AGGREGATE(15,6,(ROW(N_Bedarf!$CE$2:$CE$141)-1)/(--(SEARCH(DW$2,N_Bedarf!$CE$2:$CE$141)&gt;0)),ROW()-2),1),"")</f>
        <v>Futtergräser 4 Nutzungen (&lt;10% Legum.)</v>
      </c>
      <c r="DW87" s="2356"/>
      <c r="DX87" s="2356" t="str">
        <f t="array" ref="DX87">IFERROR(INDEX(N_Bedarf!$CE$2:$CE$141,_xlfn.AGGREGATE(15,6,(ROW(N_Bedarf!$CE$2:$CE$141)-1)/(--(SEARCH(DY$2,N_Bedarf!$CE$2:$CE$141)&gt;0)),ROW()-2),1),"")</f>
        <v>Futtergräser 4 Nutzungen (&lt;10% Legum.)</v>
      </c>
      <c r="DY87" s="2356"/>
      <c r="DZ87" s="2356" t="str">
        <f t="array" ref="DZ87">IFERROR(INDEX(N_Bedarf!$CE$2:$CE$141,_xlfn.AGGREGATE(15,6,(ROW(N_Bedarf!$CE$2:$CE$141)-1)/(--(SEARCH(EA$2,N_Bedarf!$CE$2:$CE$141)&gt;0)),ROW()-2),1),"")</f>
        <v>Futtergräser 4 Nutzungen (&lt;10% Legum.)</v>
      </c>
      <c r="EA87" s="2356"/>
      <c r="EB87" s="2356" t="str">
        <f t="array" ref="EB87">IFERROR(INDEX(N_Bedarf!$CE$2:$CE$141,_xlfn.AGGREGATE(15,6,(ROW(N_Bedarf!$CE$2:$CE$141)-1)/(--(SEARCH(EC$2,N_Bedarf!$CE$2:$CE$141)&gt;0)),ROW()-2),1),"")</f>
        <v>Futtergräser 4 Nutzungen (&lt;10% Legum.)</v>
      </c>
      <c r="EC87" s="2356"/>
      <c r="ED87"/>
      <c r="EE87"/>
      <c r="EF87"/>
      <c r="EG87"/>
      <c r="EH87"/>
      <c r="EI87"/>
      <c r="EJ87"/>
      <c r="EK87"/>
      <c r="EL87"/>
      <c r="EM87"/>
      <c r="EN87"/>
      <c r="EO87"/>
      <c r="EP87"/>
      <c r="EQ87"/>
      <c r="ER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row>
    <row r="88" spans="1:291" ht="21" customHeight="1" thickTop="1" thickBot="1">
      <c r="A88" s="156"/>
      <c r="B88" s="156"/>
      <c r="C88" s="1758" t="s">
        <v>1694</v>
      </c>
      <c r="D88" s="2340" t="s">
        <v>596</v>
      </c>
      <c r="E88" s="2341"/>
      <c r="F88" s="2341"/>
      <c r="G88" s="2341"/>
      <c r="H88" s="2341"/>
      <c r="I88" s="2341"/>
      <c r="J88" s="2341"/>
      <c r="K88" s="2341"/>
      <c r="L88" s="2341"/>
      <c r="M88" s="2341"/>
      <c r="N88" s="2341"/>
      <c r="O88" s="2341"/>
      <c r="P88" s="2341"/>
      <c r="Q88" s="2341"/>
      <c r="R88" s="2342"/>
      <c r="S88" s="1762">
        <v>90</v>
      </c>
      <c r="T88" s="1729">
        <v>90</v>
      </c>
      <c r="U88" s="1760">
        <v>90</v>
      </c>
      <c r="V88" s="1759">
        <v>75</v>
      </c>
      <c r="W88" s="1729">
        <v>75</v>
      </c>
      <c r="X88" s="1760">
        <v>75</v>
      </c>
      <c r="Y88" s="2009">
        <v>55</v>
      </c>
      <c r="Z88" s="2010">
        <v>60</v>
      </c>
      <c r="AA88" s="2011">
        <v>70</v>
      </c>
      <c r="AB88" s="1871" t="s">
        <v>1388</v>
      </c>
      <c r="AC88" s="1763" t="s">
        <v>1389</v>
      </c>
      <c r="AD88" s="1762">
        <v>135</v>
      </c>
      <c r="AE88" s="1729">
        <v>135</v>
      </c>
      <c r="AF88" s="1760">
        <v>135</v>
      </c>
      <c r="AG88" s="1759">
        <v>115</v>
      </c>
      <c r="AH88" s="1729">
        <v>115</v>
      </c>
      <c r="AI88" s="1760">
        <v>115</v>
      </c>
      <c r="AJ88" s="2009">
        <v>80</v>
      </c>
      <c r="AK88" s="2010">
        <v>90</v>
      </c>
      <c r="AL88" s="2011">
        <v>105</v>
      </c>
      <c r="AM88" s="1871" t="s">
        <v>1390</v>
      </c>
      <c r="AN88" s="1763" t="s">
        <v>1389</v>
      </c>
      <c r="AO88" s="156"/>
      <c r="AP88" s="156"/>
      <c r="AX88" s="1722" t="s">
        <v>1908</v>
      </c>
      <c r="AY88" s="681">
        <v>200</v>
      </c>
      <c r="AZ88" s="681">
        <v>200</v>
      </c>
      <c r="BA88" s="681" t="s">
        <v>2695</v>
      </c>
      <c r="BB88" s="681">
        <v>200</v>
      </c>
      <c r="BC88" s="681">
        <v>200</v>
      </c>
      <c r="BD88" s="681" t="s">
        <v>2695</v>
      </c>
      <c r="BE88" s="681">
        <v>210</v>
      </c>
      <c r="BF88" s="681">
        <v>210</v>
      </c>
      <c r="BG88" s="681" t="s">
        <v>2583</v>
      </c>
      <c r="BH88" s="681">
        <v>210</v>
      </c>
      <c r="BI88" s="681">
        <v>210</v>
      </c>
      <c r="BJ88" s="681" t="s">
        <v>2583</v>
      </c>
      <c r="BK88" s="681">
        <v>210</v>
      </c>
      <c r="BL88" s="681">
        <v>210</v>
      </c>
      <c r="BM88" s="681" t="s">
        <v>2583</v>
      </c>
      <c r="BN88" s="471">
        <v>0</v>
      </c>
      <c r="BO88" s="821">
        <v>30</v>
      </c>
      <c r="BP88"/>
      <c r="BQ88" s="1722" t="s">
        <v>1908</v>
      </c>
      <c r="BR88" s="470">
        <v>45</v>
      </c>
      <c r="BS88" s="470">
        <v>65</v>
      </c>
      <c r="BT88" s="470">
        <v>80</v>
      </c>
      <c r="BU88" s="1590"/>
      <c r="BV88" s="1722" t="s">
        <v>1908</v>
      </c>
      <c r="BW88" s="470">
        <v>130</v>
      </c>
      <c r="BX88" s="470">
        <v>170</v>
      </c>
      <c r="BY88" s="470">
        <v>215</v>
      </c>
      <c r="BZ88" s="1588"/>
      <c r="CA88" s="429"/>
      <c r="CB88"/>
      <c r="CC88"/>
      <c r="CD88"/>
      <c r="CE88" s="2310" t="s">
        <v>1911</v>
      </c>
      <c r="CF88" s="1834" t="str">
        <f>IFERROR(INDEX(N_Bedarf!$CE$2:$CE$141,_xlfn.AGGREGATE(15,6,(ROW(N_Bedarf!$CE$2:$CE$141)-1)/(--(SEARCH(CG$2,N_Bedarf!$CE$2:$CE$141)&gt;0)),ROW()-2),1),"")</f>
        <v>Futtergräser 5 Nutzungen (&lt;10% Legum.)</v>
      </c>
      <c r="CG88" s="1836"/>
      <c r="CH88" s="1834" t="str">
        <f>IFERROR(INDEX(N_Bedarf!$CE$2:$CE$141,_xlfn.AGGREGATE(15,6,(ROW(N_Bedarf!$CE$2:$CE$141)-1)/(--(SEARCH(CI$2,N_Bedarf!$CE$2:$CE$141)&gt;0)),ROW()-2),1),"")</f>
        <v>Futtergräser 5 Nutzungen (&lt;10% Legum.)</v>
      </c>
      <c r="CI88" s="1836"/>
      <c r="CJ88" s="1834" t="str">
        <f>IFERROR(INDEX(N_Bedarf!$CE$2:$CE$141,_xlfn.AGGREGATE(15,6,(ROW(N_Bedarf!$CE$2:$CE$141)-1)/(--(SEARCH(CK$2,N_Bedarf!$CE$2:$CE$141)&gt;0)),ROW()-2),1),"")</f>
        <v>Futtergräser 5 Nutzungen (&lt;10% Legum.)</v>
      </c>
      <c r="CK88" s="1836"/>
      <c r="CL88" s="1834" t="str">
        <f>IFERROR(INDEX(N_Bedarf!$CE$2:$CE$141,_xlfn.AGGREGATE(15,6,(ROW(N_Bedarf!$CE$2:$CE$141)-1)/(--(SEARCH(CM$2,N_Bedarf!$CE$2:$CE$141)&gt;0)),ROW()-2),1),"")</f>
        <v>Futtergräser 5 Nutzungen (&lt;10% Legum.)</v>
      </c>
      <c r="CM88" s="1836"/>
      <c r="CN88" s="1834" t="str">
        <f>IFERROR(INDEX(N_Bedarf!$CE$2:$CE$141,_xlfn.AGGREGATE(15,6,(ROW(N_Bedarf!$CE$2:$CE$141)-1)/(--(SEARCH(CO$2,N_Bedarf!$CE$2:$CE$141)&gt;0)),ROW()-2),1),"")</f>
        <v>Futtergräser 5 Nutzungen (&lt;10% Legum.)</v>
      </c>
      <c r="CO88" s="1836"/>
      <c r="CP88" s="1834" t="str">
        <f>IFERROR(INDEX(N_Bedarf!$CE$2:$CE$141,_xlfn.AGGREGATE(15,6,(ROW(N_Bedarf!$CE$2:$CE$141)-1)/(--(SEARCH(CQ$2,N_Bedarf!$CE$2:$CE$141)&gt;0)),ROW()-2),1),"")</f>
        <v>Futtergräser 5 Nutzungen (&lt;10% Legum.)</v>
      </c>
      <c r="CQ88" s="1836"/>
      <c r="CR88" s="1834" t="str">
        <f>IFERROR(INDEX(N_Bedarf!$CE$2:$CE$141,_xlfn.AGGREGATE(15,6,(ROW(N_Bedarf!$CE$2:$CE$141)-1)/(--(SEARCH(CS$2,N_Bedarf!$CE$2:$CE$141)&gt;0)),ROW()-2),1),"")</f>
        <v>Futtergräser 5 Nutzungen (&lt;10% Legum.)</v>
      </c>
      <c r="CS88" s="1836"/>
      <c r="CT88" s="1834" t="str">
        <f>IFERROR(INDEX(N_Bedarf!$CE$2:$CE$141,_xlfn.AGGREGATE(15,6,(ROW(N_Bedarf!$CE$2:$CE$141)-1)/(--(SEARCH(CU$2,N_Bedarf!$CE$2:$CE$141)&gt;0)),ROW()-2),1),"")</f>
        <v>Futtergräser 5 Nutzungen (&lt;10% Legum.)</v>
      </c>
      <c r="CU88" s="1836"/>
      <c r="CV88" s="1834" t="str">
        <f>IFERROR(INDEX(N_Bedarf!$CE$2:$CE$141,_xlfn.AGGREGATE(15,6,(ROW(N_Bedarf!$CE$2:$CE$141)-1)/(--(SEARCH(CW$2,N_Bedarf!$CE$2:$CE$141)&gt;0)),ROW()-2),1),"")</f>
        <v>Futtergräser 5 Nutzungen (&lt;10% Legum.)</v>
      </c>
      <c r="CW88" s="1836"/>
      <c r="CX88" s="1834" t="str">
        <f>IFERROR(INDEX(N_Bedarf!$CE$2:$CE$141,_xlfn.AGGREGATE(15,6,(ROW(N_Bedarf!$CE$2:$CE$141)-1)/(--(SEARCH(CY$2,N_Bedarf!$CE$2:$CE$141)&gt;0)),ROW()-2),1),"")</f>
        <v>Futtergräser 5 Nutzungen (&lt;10% Legum.)</v>
      </c>
      <c r="CY88" s="1836"/>
      <c r="CZ88" s="1834" t="str">
        <f>IFERROR(INDEX(N_Bedarf!$CE$2:$CE$141,_xlfn.AGGREGATE(15,6,(ROW(N_Bedarf!$CE$2:$CE$141)-1)/(--(SEARCH(DA$2,N_Bedarf!$CE$2:$CE$141)&gt;0)),ROW()-2),1),"")</f>
        <v>Futtergräser 5 Nutzungen (&lt;10% Legum.)</v>
      </c>
      <c r="DA88" s="1836"/>
      <c r="DB88" s="1834" t="str">
        <f>IFERROR(INDEX(N_Bedarf!$CE$2:$CE$141,_xlfn.AGGREGATE(15,6,(ROW(N_Bedarf!$CE$2:$CE$141)-1)/(--(SEARCH(DC$2,N_Bedarf!$CE$2:$CE$141)&gt;0)),ROW()-2),1),"")</f>
        <v>Futtergräser 5 Nutzungen (&lt;10% Legum.)</v>
      </c>
      <c r="DC88" s="1836"/>
      <c r="DD88" s="1834" t="str">
        <f>IFERROR(INDEX(N_Bedarf!$CE$2:$CE$141,_xlfn.AGGREGATE(15,6,(ROW(N_Bedarf!$CE$2:$CE$141)-1)/(--(SEARCH(DE$2,N_Bedarf!$CE$2:$CE$141)&gt;0)),ROW()-2),1),"")</f>
        <v>Futtergräser 5 Nutzungen (&lt;10% Legum.)</v>
      </c>
      <c r="DE88" s="1836"/>
      <c r="DF88" s="2353" t="str">
        <f t="array" ref="DF88">IFERROR(INDEX(N_Bedarf!$CE$2:$CE$141,_xlfn.AGGREGATE(15,6,(ROW(N_Bedarf!$CE$2:$CE$141)-1)/(--(SEARCH(DG$2,N_Bedarf!$CE$2:$CE$141)&gt;0)),ROW()-2),1),"")</f>
        <v>Futtergräser 5 Nutzungen (&lt;10% Legum.)</v>
      </c>
      <c r="DG88" s="2353"/>
      <c r="DH88" s="2355" t="str">
        <f t="array" ref="DH88">IFERROR(INDEX(N_Bedarf!$CE$2:$CE$141,_xlfn.AGGREGATE(15,6,(ROW(N_Bedarf!$CE$2:$CE$141)-1)/(--(SEARCH(DI$2,N_Bedarf!$CE$2:$CE$141)&gt;0)),ROW()-2),1),"")</f>
        <v>Futtergräser 5 Nutzungen (&lt;10% Legum.)</v>
      </c>
      <c r="DI88" s="2355"/>
      <c r="DJ88" s="2356" t="str">
        <f t="array" ref="DJ88">IFERROR(INDEX(N_Bedarf!$CE$2:$CE$141,_xlfn.AGGREGATE(15,6,(ROW(N_Bedarf!$CE$2:$CE$141)-1)/(--(SEARCH(DK$2,N_Bedarf!$CE$2:$CE$141)&gt;0)),ROW()-2),1),"")</f>
        <v>Futtergräser 5 Nutzungen (&lt;10% Legum.)</v>
      </c>
      <c r="DK88" s="2356"/>
      <c r="DL88" s="2356" t="str">
        <f t="array" ref="DL88">IFERROR(INDEX(N_Bedarf!$CE$2:$CE$141,_xlfn.AGGREGATE(15,6,(ROW(N_Bedarf!$CE$2:$CE$141)-1)/(--(SEARCH(DM$2,N_Bedarf!$CE$2:$CE$141)&gt;0)),ROW()-2),1),"")</f>
        <v>Futtergräser 5 Nutzungen (&lt;10% Legum.)</v>
      </c>
      <c r="DM88" s="2356"/>
      <c r="DN88" s="2356" t="str">
        <f t="array" ref="DN88">IFERROR(INDEX(N_Bedarf!$CE$2:$CE$141,_xlfn.AGGREGATE(15,6,(ROW(N_Bedarf!$CE$2:$CE$141)-1)/(--(SEARCH(DO$2,N_Bedarf!$CE$2:$CE$141)&gt;0)),ROW()-2),1),"")</f>
        <v>Futtergräser 5 Nutzungen (&lt;10% Legum.)</v>
      </c>
      <c r="DO88" s="2356"/>
      <c r="DP88" s="2356" t="str">
        <f t="array" ref="DP88">IFERROR(INDEX(N_Bedarf!$CE$2:$CE$141,_xlfn.AGGREGATE(15,6,(ROW(N_Bedarf!$CE$2:$CE$141)-1)/(--(SEARCH(DQ$2,N_Bedarf!$CE$2:$CE$141)&gt;0)),ROW()-2),1),"")</f>
        <v>Futtergräser 5 Nutzungen (&lt;10% Legum.)</v>
      </c>
      <c r="DQ88" s="2356"/>
      <c r="DR88" s="2356" t="str">
        <f t="array" ref="DR88">IFERROR(INDEX(N_Bedarf!$CE$2:$CE$141,_xlfn.AGGREGATE(15,6,(ROW(N_Bedarf!$CE$2:$CE$141)-1)/(--(SEARCH(DS$2,N_Bedarf!$CE$2:$CE$141)&gt;0)),ROW()-2),1),"")</f>
        <v>Futtergräser 5 Nutzungen (&lt;10% Legum.)</v>
      </c>
      <c r="DS88" s="2356"/>
      <c r="DT88" s="2356" t="str">
        <f t="array" ref="DT88">IFERROR(INDEX(N_Bedarf!$CE$2:$CE$141,_xlfn.AGGREGATE(15,6,(ROW(N_Bedarf!$CE$2:$CE$141)-1)/(--(SEARCH(DU$2,N_Bedarf!$CE$2:$CE$141)&gt;0)),ROW()-2),1),"")</f>
        <v>Futtergräser 5 Nutzungen (&lt;10% Legum.)</v>
      </c>
      <c r="DU88" s="2356"/>
      <c r="DV88" s="2356" t="str">
        <f t="array" ref="DV88">IFERROR(INDEX(N_Bedarf!$CE$2:$CE$141,_xlfn.AGGREGATE(15,6,(ROW(N_Bedarf!$CE$2:$CE$141)-1)/(--(SEARCH(DW$2,N_Bedarf!$CE$2:$CE$141)&gt;0)),ROW()-2),1),"")</f>
        <v>Futtergräser 5 Nutzungen (&lt;10% Legum.)</v>
      </c>
      <c r="DW88" s="2356"/>
      <c r="DX88" s="2356" t="str">
        <f t="array" ref="DX88">IFERROR(INDEX(N_Bedarf!$CE$2:$CE$141,_xlfn.AGGREGATE(15,6,(ROW(N_Bedarf!$CE$2:$CE$141)-1)/(--(SEARCH(DY$2,N_Bedarf!$CE$2:$CE$141)&gt;0)),ROW()-2),1),"")</f>
        <v>Futtergräser 5 Nutzungen (&lt;10% Legum.)</v>
      </c>
      <c r="DY88" s="2356"/>
      <c r="DZ88" s="2356" t="str">
        <f t="array" ref="DZ88">IFERROR(INDEX(N_Bedarf!$CE$2:$CE$141,_xlfn.AGGREGATE(15,6,(ROW(N_Bedarf!$CE$2:$CE$141)-1)/(--(SEARCH(EA$2,N_Bedarf!$CE$2:$CE$141)&gt;0)),ROW()-2),1),"")</f>
        <v>Futtergräser 5 Nutzungen (&lt;10% Legum.)</v>
      </c>
      <c r="EA88" s="2356"/>
      <c r="EB88" s="2356" t="str">
        <f t="array" ref="EB88">IFERROR(INDEX(N_Bedarf!$CE$2:$CE$141,_xlfn.AGGREGATE(15,6,(ROW(N_Bedarf!$CE$2:$CE$141)-1)/(--(SEARCH(EC$2,N_Bedarf!$CE$2:$CE$141)&gt;0)),ROW()-2),1),"")</f>
        <v>Futtergräser 5 Nutzungen (&lt;10% Legum.)</v>
      </c>
      <c r="EC88" s="2356"/>
      <c r="ED88"/>
      <c r="EE88"/>
      <c r="EF88"/>
      <c r="EG88"/>
      <c r="EH88"/>
      <c r="EI88"/>
      <c r="EJ88"/>
      <c r="EK88"/>
      <c r="EL88"/>
      <c r="EM88"/>
      <c r="EN88"/>
      <c r="EO88"/>
      <c r="EP88"/>
      <c r="EQ88"/>
      <c r="ER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row>
    <row r="89" spans="1:291" ht="21" customHeight="1" thickTop="1" thickBot="1">
      <c r="A89" s="156"/>
      <c r="B89" s="156"/>
      <c r="C89" s="1758" t="s">
        <v>1695</v>
      </c>
      <c r="D89" s="1759" t="s">
        <v>1761</v>
      </c>
      <c r="E89" s="1729">
        <v>100</v>
      </c>
      <c r="F89" s="1760">
        <v>85</v>
      </c>
      <c r="G89" s="1993" t="s">
        <v>1762</v>
      </c>
      <c r="H89" s="1994">
        <v>100</v>
      </c>
      <c r="I89" s="1995">
        <v>85</v>
      </c>
      <c r="J89" s="1759" t="s">
        <v>1763</v>
      </c>
      <c r="K89" s="1729">
        <v>120</v>
      </c>
      <c r="L89" s="1760">
        <v>100</v>
      </c>
      <c r="M89" s="1759"/>
      <c r="N89" s="1729" t="s">
        <v>1764</v>
      </c>
      <c r="O89" s="1760" t="s">
        <v>1764</v>
      </c>
      <c r="P89" s="1759"/>
      <c r="Q89" s="1729" t="s">
        <v>1764</v>
      </c>
      <c r="R89" s="1761" t="s">
        <v>1764</v>
      </c>
      <c r="S89" s="1762">
        <v>70</v>
      </c>
      <c r="T89" s="1729">
        <v>70</v>
      </c>
      <c r="U89" s="1760">
        <v>70</v>
      </c>
      <c r="V89" s="1759">
        <v>55</v>
      </c>
      <c r="W89" s="1729">
        <v>55</v>
      </c>
      <c r="X89" s="1760">
        <v>55</v>
      </c>
      <c r="Y89" s="2009">
        <v>35</v>
      </c>
      <c r="Z89" s="2010">
        <v>35</v>
      </c>
      <c r="AA89" s="2011">
        <v>45</v>
      </c>
      <c r="AB89" s="1871">
        <v>20</v>
      </c>
      <c r="AC89" s="1763" t="s">
        <v>714</v>
      </c>
      <c r="AD89" s="1762">
        <v>260</v>
      </c>
      <c r="AE89" s="1729">
        <v>260</v>
      </c>
      <c r="AF89" s="1760">
        <v>260</v>
      </c>
      <c r="AG89" s="1759">
        <v>195</v>
      </c>
      <c r="AH89" s="1729">
        <v>195</v>
      </c>
      <c r="AI89" s="1760">
        <v>195</v>
      </c>
      <c r="AJ89" s="2009">
        <v>130</v>
      </c>
      <c r="AK89" s="2010">
        <v>130</v>
      </c>
      <c r="AL89" s="2011">
        <v>170</v>
      </c>
      <c r="AM89" s="1871" t="s">
        <v>1390</v>
      </c>
      <c r="AN89" s="1763" t="s">
        <v>714</v>
      </c>
      <c r="AO89" s="156"/>
      <c r="AP89" s="156"/>
      <c r="AX89" s="1722" t="s">
        <v>1909</v>
      </c>
      <c r="AY89" s="681">
        <v>200</v>
      </c>
      <c r="AZ89" s="681">
        <v>200</v>
      </c>
      <c r="BA89" s="681" t="s">
        <v>2695</v>
      </c>
      <c r="BB89" s="681">
        <v>200</v>
      </c>
      <c r="BC89" s="681">
        <v>200</v>
      </c>
      <c r="BD89" s="681" t="s">
        <v>2695</v>
      </c>
      <c r="BE89" s="681">
        <v>210</v>
      </c>
      <c r="BF89" s="681">
        <v>210</v>
      </c>
      <c r="BG89" s="681" t="s">
        <v>2583</v>
      </c>
      <c r="BH89" s="681">
        <v>210</v>
      </c>
      <c r="BI89" s="681">
        <v>200</v>
      </c>
      <c r="BJ89" s="681" t="s">
        <v>2583</v>
      </c>
      <c r="BK89" s="681">
        <v>210</v>
      </c>
      <c r="BL89" s="681">
        <v>210</v>
      </c>
      <c r="BM89" s="681" t="s">
        <v>2583</v>
      </c>
      <c r="BN89" s="471">
        <v>0</v>
      </c>
      <c r="BO89" s="821">
        <v>30</v>
      </c>
      <c r="BP89"/>
      <c r="BQ89" s="1722" t="s">
        <v>1909</v>
      </c>
      <c r="BR89" s="470">
        <v>80</v>
      </c>
      <c r="BS89" s="470">
        <v>80</v>
      </c>
      <c r="BT89" s="470">
        <v>90</v>
      </c>
      <c r="BU89" s="1590"/>
      <c r="BV89" s="1722" t="s">
        <v>1909</v>
      </c>
      <c r="BW89" s="470">
        <v>205</v>
      </c>
      <c r="BX89" s="470">
        <v>205</v>
      </c>
      <c r="BY89" s="470">
        <v>260</v>
      </c>
      <c r="BZ89" s="1588"/>
      <c r="CA89" s="429"/>
      <c r="CB89"/>
      <c r="CC89"/>
      <c r="CD89"/>
      <c r="CE89" s="2310" t="s">
        <v>1945</v>
      </c>
      <c r="CF89" s="1834" t="str">
        <f>IFERROR(INDEX(N_Bedarf!$CE$2:$CE$141,_xlfn.AGGREGATE(15,6,(ROW(N_Bedarf!$CE$2:$CE$141)-1)/(--(SEARCH(CG$2,N_Bedarf!$CE$2:$CE$141)&gt;0)),ROW()-2),1),"")</f>
        <v>Futtergräser 6 Nutzungen (&lt;10% Legum.)</v>
      </c>
      <c r="CG89" s="1830"/>
      <c r="CH89" s="1834" t="str">
        <f>IFERROR(INDEX(N_Bedarf!$CE$2:$CE$141,_xlfn.AGGREGATE(15,6,(ROW(N_Bedarf!$CE$2:$CE$141)-1)/(--(SEARCH(CI$2,N_Bedarf!$CE$2:$CE$141)&gt;0)),ROW()-2),1),"")</f>
        <v>Futtergräser 6 Nutzungen (&lt;10% Legum.)</v>
      </c>
      <c r="CI89" s="1830"/>
      <c r="CJ89" s="1834" t="str">
        <f>IFERROR(INDEX(N_Bedarf!$CE$2:$CE$141,_xlfn.AGGREGATE(15,6,(ROW(N_Bedarf!$CE$2:$CE$141)-1)/(--(SEARCH(CK$2,N_Bedarf!$CE$2:$CE$141)&gt;0)),ROW()-2),1),"")</f>
        <v>Futtergräser 6 Nutzungen (&lt;10% Legum.)</v>
      </c>
      <c r="CK89" s="1830"/>
      <c r="CL89" s="1834" t="str">
        <f>IFERROR(INDEX(N_Bedarf!$CE$2:$CE$141,_xlfn.AGGREGATE(15,6,(ROW(N_Bedarf!$CE$2:$CE$141)-1)/(--(SEARCH(CM$2,N_Bedarf!$CE$2:$CE$141)&gt;0)),ROW()-2),1),"")</f>
        <v>Futtergräser 6 Nutzungen (&lt;10% Legum.)</v>
      </c>
      <c r="CM89" s="1830"/>
      <c r="CN89" s="1834" t="str">
        <f>IFERROR(INDEX(N_Bedarf!$CE$2:$CE$141,_xlfn.AGGREGATE(15,6,(ROW(N_Bedarf!$CE$2:$CE$141)-1)/(--(SEARCH(CO$2,N_Bedarf!$CE$2:$CE$141)&gt;0)),ROW()-2),1),"")</f>
        <v>Futtergräser 6 Nutzungen (&lt;10% Legum.)</v>
      </c>
      <c r="CO89" s="1830"/>
      <c r="CP89" s="1834" t="str">
        <f>IFERROR(INDEX(N_Bedarf!$CE$2:$CE$141,_xlfn.AGGREGATE(15,6,(ROW(N_Bedarf!$CE$2:$CE$141)-1)/(--(SEARCH(CQ$2,N_Bedarf!$CE$2:$CE$141)&gt;0)),ROW()-2),1),"")</f>
        <v>Futtergräser 6 Nutzungen (&lt;10% Legum.)</v>
      </c>
      <c r="CQ89" s="1830"/>
      <c r="CR89" s="1834" t="str">
        <f>IFERROR(INDEX(N_Bedarf!$CE$2:$CE$141,_xlfn.AGGREGATE(15,6,(ROW(N_Bedarf!$CE$2:$CE$141)-1)/(--(SEARCH(CS$2,N_Bedarf!$CE$2:$CE$141)&gt;0)),ROW()-2),1),"")</f>
        <v>Futtergräser 6 Nutzungen (&lt;10% Legum.)</v>
      </c>
      <c r="CS89" s="1830"/>
      <c r="CT89" s="1834" t="str">
        <f>IFERROR(INDEX(N_Bedarf!$CE$2:$CE$141,_xlfn.AGGREGATE(15,6,(ROW(N_Bedarf!$CE$2:$CE$141)-1)/(--(SEARCH(CU$2,N_Bedarf!$CE$2:$CE$141)&gt;0)),ROW()-2),1),"")</f>
        <v>Futtergräser 6 Nutzungen (&lt;10% Legum.)</v>
      </c>
      <c r="CU89" s="1830"/>
      <c r="CV89" s="1834" t="str">
        <f>IFERROR(INDEX(N_Bedarf!$CE$2:$CE$141,_xlfn.AGGREGATE(15,6,(ROW(N_Bedarf!$CE$2:$CE$141)-1)/(--(SEARCH(CW$2,N_Bedarf!$CE$2:$CE$141)&gt;0)),ROW()-2),1),"")</f>
        <v>Futtergräser 6 Nutzungen (&lt;10% Legum.)</v>
      </c>
      <c r="CW89" s="1830"/>
      <c r="CX89" s="1834" t="str">
        <f>IFERROR(INDEX(N_Bedarf!$CE$2:$CE$141,_xlfn.AGGREGATE(15,6,(ROW(N_Bedarf!$CE$2:$CE$141)-1)/(--(SEARCH(CY$2,N_Bedarf!$CE$2:$CE$141)&gt;0)),ROW()-2),1),"")</f>
        <v>Futtergräser 6 Nutzungen (&lt;10% Legum.)</v>
      </c>
      <c r="CY89" s="1830"/>
      <c r="CZ89" s="1834" t="str">
        <f>IFERROR(INDEX(N_Bedarf!$CE$2:$CE$141,_xlfn.AGGREGATE(15,6,(ROW(N_Bedarf!$CE$2:$CE$141)-1)/(--(SEARCH(DA$2,N_Bedarf!$CE$2:$CE$141)&gt;0)),ROW()-2),1),"")</f>
        <v>Futtergräser 6 Nutzungen (&lt;10% Legum.)</v>
      </c>
      <c r="DA89" s="1830"/>
      <c r="DB89" s="1834" t="str">
        <f>IFERROR(INDEX(N_Bedarf!$CE$2:$CE$141,_xlfn.AGGREGATE(15,6,(ROW(N_Bedarf!$CE$2:$CE$141)-1)/(--(SEARCH(DC$2,N_Bedarf!$CE$2:$CE$141)&gt;0)),ROW()-2),1),"")</f>
        <v>Futtergräser 6 Nutzungen (&lt;10% Legum.)</v>
      </c>
      <c r="DC89" s="1830"/>
      <c r="DD89" s="1834" t="str">
        <f>IFERROR(INDEX(N_Bedarf!$CE$2:$CE$141,_xlfn.AGGREGATE(15,6,(ROW(N_Bedarf!$CE$2:$CE$141)-1)/(--(SEARCH(DE$2,N_Bedarf!$CE$2:$CE$141)&gt;0)),ROW()-2),1),"")</f>
        <v>Futtergräser 6 Nutzungen (&lt;10% Legum.)</v>
      </c>
      <c r="DE89" s="1830"/>
      <c r="DF89" s="2353" t="str">
        <f t="array" ref="DF89">IFERROR(INDEX(N_Bedarf!$CE$2:$CE$141,_xlfn.AGGREGATE(15,6,(ROW(N_Bedarf!$CE$2:$CE$141)-1)/(--(SEARCH(DG$2,N_Bedarf!$CE$2:$CE$141)&gt;0)),ROW()-2),1),"")</f>
        <v>Futtergräser 6 Nutzungen (&lt;10% Legum.)</v>
      </c>
      <c r="DG89" s="2353"/>
      <c r="DH89" s="2355" t="str">
        <f t="array" ref="DH89">IFERROR(INDEX(N_Bedarf!$CE$2:$CE$141,_xlfn.AGGREGATE(15,6,(ROW(N_Bedarf!$CE$2:$CE$141)-1)/(--(SEARCH(DI$2,N_Bedarf!$CE$2:$CE$141)&gt;0)),ROW()-2),1),"")</f>
        <v>Futtergräser 6 Nutzungen (&lt;10% Legum.)</v>
      </c>
      <c r="DI89" s="2355"/>
      <c r="DJ89" s="2356" t="str">
        <f t="array" ref="DJ89">IFERROR(INDEX(N_Bedarf!$CE$2:$CE$141,_xlfn.AGGREGATE(15,6,(ROW(N_Bedarf!$CE$2:$CE$141)-1)/(--(SEARCH(DK$2,N_Bedarf!$CE$2:$CE$141)&gt;0)),ROW()-2),1),"")</f>
        <v>Futtergräser 6 Nutzungen (&lt;10% Legum.)</v>
      </c>
      <c r="DK89" s="2356"/>
      <c r="DL89" s="2356" t="str">
        <f t="array" ref="DL89">IFERROR(INDEX(N_Bedarf!$CE$2:$CE$141,_xlfn.AGGREGATE(15,6,(ROW(N_Bedarf!$CE$2:$CE$141)-1)/(--(SEARCH(DM$2,N_Bedarf!$CE$2:$CE$141)&gt;0)),ROW()-2),1),"")</f>
        <v>Futtergräser 6 Nutzungen (&lt;10% Legum.)</v>
      </c>
      <c r="DM89" s="2356"/>
      <c r="DN89" s="2356" t="str">
        <f t="array" ref="DN89">IFERROR(INDEX(N_Bedarf!$CE$2:$CE$141,_xlfn.AGGREGATE(15,6,(ROW(N_Bedarf!$CE$2:$CE$141)-1)/(--(SEARCH(DO$2,N_Bedarf!$CE$2:$CE$141)&gt;0)),ROW()-2),1),"")</f>
        <v>Futtergräser 6 Nutzungen (&lt;10% Legum.)</v>
      </c>
      <c r="DO89" s="2356"/>
      <c r="DP89" s="2356" t="str">
        <f t="array" ref="DP89">IFERROR(INDEX(N_Bedarf!$CE$2:$CE$141,_xlfn.AGGREGATE(15,6,(ROW(N_Bedarf!$CE$2:$CE$141)-1)/(--(SEARCH(DQ$2,N_Bedarf!$CE$2:$CE$141)&gt;0)),ROW()-2),1),"")</f>
        <v>Futtergräser 6 Nutzungen (&lt;10% Legum.)</v>
      </c>
      <c r="DQ89" s="2356"/>
      <c r="DR89" s="2356" t="str">
        <f t="array" ref="DR89">IFERROR(INDEX(N_Bedarf!$CE$2:$CE$141,_xlfn.AGGREGATE(15,6,(ROW(N_Bedarf!$CE$2:$CE$141)-1)/(--(SEARCH(DS$2,N_Bedarf!$CE$2:$CE$141)&gt;0)),ROW()-2),1),"")</f>
        <v>Futtergräser 6 Nutzungen (&lt;10% Legum.)</v>
      </c>
      <c r="DS89" s="2356"/>
      <c r="DT89" s="2356" t="str">
        <f t="array" ref="DT89">IFERROR(INDEX(N_Bedarf!$CE$2:$CE$141,_xlfn.AGGREGATE(15,6,(ROW(N_Bedarf!$CE$2:$CE$141)-1)/(--(SEARCH(DU$2,N_Bedarf!$CE$2:$CE$141)&gt;0)),ROW()-2),1),"")</f>
        <v>Futtergräser 6 Nutzungen (&lt;10% Legum.)</v>
      </c>
      <c r="DU89" s="2356"/>
      <c r="DV89" s="2356" t="str">
        <f t="array" ref="DV89">IFERROR(INDEX(N_Bedarf!$CE$2:$CE$141,_xlfn.AGGREGATE(15,6,(ROW(N_Bedarf!$CE$2:$CE$141)-1)/(--(SEARCH(DW$2,N_Bedarf!$CE$2:$CE$141)&gt;0)),ROW()-2),1),"")</f>
        <v>Futtergräser 6 Nutzungen (&lt;10% Legum.)</v>
      </c>
      <c r="DW89" s="2356"/>
      <c r="DX89" s="2356" t="str">
        <f t="array" ref="DX89">IFERROR(INDEX(N_Bedarf!$CE$2:$CE$141,_xlfn.AGGREGATE(15,6,(ROW(N_Bedarf!$CE$2:$CE$141)-1)/(--(SEARCH(DY$2,N_Bedarf!$CE$2:$CE$141)&gt;0)),ROW()-2),1),"")</f>
        <v>Futtergräser 6 Nutzungen (&lt;10% Legum.)</v>
      </c>
      <c r="DY89" s="2356"/>
      <c r="DZ89" s="2356" t="str">
        <f t="array" ref="DZ89">IFERROR(INDEX(N_Bedarf!$CE$2:$CE$141,_xlfn.AGGREGATE(15,6,(ROW(N_Bedarf!$CE$2:$CE$141)-1)/(--(SEARCH(EA$2,N_Bedarf!$CE$2:$CE$141)&gt;0)),ROW()-2),1),"")</f>
        <v>Futtergräser 6 Nutzungen (&lt;10% Legum.)</v>
      </c>
      <c r="EA89" s="2356"/>
      <c r="EB89" s="2356" t="str">
        <f t="array" ref="EB89">IFERROR(INDEX(N_Bedarf!$CE$2:$CE$141,_xlfn.AGGREGATE(15,6,(ROW(N_Bedarf!$CE$2:$CE$141)-1)/(--(SEARCH(EC$2,N_Bedarf!$CE$2:$CE$141)&gt;0)),ROW()-2),1),"")</f>
        <v>Futtergräser 6 Nutzungen (&lt;10% Legum.)</v>
      </c>
      <c r="EC89" s="2356"/>
      <c r="ED89"/>
      <c r="EE89"/>
      <c r="EF89"/>
      <c r="EG89"/>
      <c r="EH89"/>
      <c r="EI89"/>
      <c r="EJ89"/>
      <c r="EK89"/>
      <c r="EL89"/>
      <c r="EM89"/>
      <c r="EN89"/>
      <c r="EO89"/>
      <c r="EP89"/>
      <c r="EQ89"/>
      <c r="ER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row>
    <row r="90" spans="1:291" ht="21" customHeight="1" thickTop="1" thickBot="1">
      <c r="A90" s="156"/>
      <c r="B90" s="156"/>
      <c r="C90" s="1758" t="s">
        <v>1696</v>
      </c>
      <c r="D90" s="1759" t="s">
        <v>1761</v>
      </c>
      <c r="E90" s="1729">
        <v>50</v>
      </c>
      <c r="F90" s="1760">
        <v>45</v>
      </c>
      <c r="G90" s="1993" t="s">
        <v>1765</v>
      </c>
      <c r="H90" s="1994">
        <v>50</v>
      </c>
      <c r="I90" s="1995">
        <v>45</v>
      </c>
      <c r="J90" s="1759" t="s">
        <v>1766</v>
      </c>
      <c r="K90" s="1729">
        <v>50</v>
      </c>
      <c r="L90" s="1760">
        <v>45</v>
      </c>
      <c r="M90" s="1759" t="s">
        <v>1767</v>
      </c>
      <c r="N90" s="1729">
        <v>50</v>
      </c>
      <c r="O90" s="1760">
        <v>45</v>
      </c>
      <c r="P90" s="1759" t="s">
        <v>1768</v>
      </c>
      <c r="Q90" s="1729">
        <v>50</v>
      </c>
      <c r="R90" s="1761">
        <v>45</v>
      </c>
      <c r="S90" s="1762">
        <v>85</v>
      </c>
      <c r="T90" s="1729">
        <v>85</v>
      </c>
      <c r="U90" s="1760">
        <v>85</v>
      </c>
      <c r="V90" s="1759">
        <v>70</v>
      </c>
      <c r="W90" s="1729">
        <v>70</v>
      </c>
      <c r="X90" s="1760">
        <v>70</v>
      </c>
      <c r="Y90" s="2009">
        <v>50</v>
      </c>
      <c r="Z90" s="2010">
        <v>55</v>
      </c>
      <c r="AA90" s="2011">
        <v>65</v>
      </c>
      <c r="AB90" s="1871" t="s">
        <v>1388</v>
      </c>
      <c r="AC90" s="1763" t="s">
        <v>1389</v>
      </c>
      <c r="AD90" s="1762">
        <v>120</v>
      </c>
      <c r="AE90" s="1729">
        <v>120</v>
      </c>
      <c r="AF90" s="1760">
        <v>120</v>
      </c>
      <c r="AG90" s="1759">
        <v>100</v>
      </c>
      <c r="AH90" s="1729">
        <v>100</v>
      </c>
      <c r="AI90" s="1760">
        <v>100</v>
      </c>
      <c r="AJ90" s="2009">
        <v>70</v>
      </c>
      <c r="AK90" s="2010">
        <v>80</v>
      </c>
      <c r="AL90" s="2011">
        <v>90</v>
      </c>
      <c r="AM90" s="1871" t="s">
        <v>1390</v>
      </c>
      <c r="AN90" s="1763" t="s">
        <v>1389</v>
      </c>
      <c r="AO90" s="156"/>
      <c r="AP90" s="156"/>
      <c r="AX90" s="1722" t="s">
        <v>1910</v>
      </c>
      <c r="AY90" s="681">
        <v>200</v>
      </c>
      <c r="AZ90" s="681">
        <v>200</v>
      </c>
      <c r="BA90" s="681" t="s">
        <v>2695</v>
      </c>
      <c r="BB90" s="681">
        <v>200</v>
      </c>
      <c r="BC90" s="681">
        <v>200</v>
      </c>
      <c r="BD90" s="681" t="s">
        <v>2695</v>
      </c>
      <c r="BE90" s="681">
        <v>280</v>
      </c>
      <c r="BF90" s="681">
        <v>280</v>
      </c>
      <c r="BG90" s="681" t="s">
        <v>2583</v>
      </c>
      <c r="BH90" s="681">
        <v>280</v>
      </c>
      <c r="BI90" s="681">
        <v>280</v>
      </c>
      <c r="BJ90" s="681" t="s">
        <v>2583</v>
      </c>
      <c r="BK90" s="681">
        <v>280</v>
      </c>
      <c r="BL90" s="681">
        <v>280</v>
      </c>
      <c r="BM90" s="681" t="s">
        <v>2583</v>
      </c>
      <c r="BN90" s="471">
        <v>0</v>
      </c>
      <c r="BO90" s="821">
        <v>30</v>
      </c>
      <c r="BP90"/>
      <c r="BQ90" s="1722" t="s">
        <v>1910</v>
      </c>
      <c r="BR90" s="470">
        <v>85</v>
      </c>
      <c r="BS90" s="470">
        <v>85</v>
      </c>
      <c r="BT90" s="470">
        <v>125</v>
      </c>
      <c r="BU90" s="1590"/>
      <c r="BV90" s="1722" t="s">
        <v>1910</v>
      </c>
      <c r="BW90" s="470">
        <v>230</v>
      </c>
      <c r="BX90" s="470">
        <v>230</v>
      </c>
      <c r="BY90" s="470">
        <v>365</v>
      </c>
      <c r="BZ90" s="1588"/>
      <c r="CA90" s="429"/>
      <c r="CB90"/>
      <c r="CC90"/>
      <c r="CD90"/>
      <c r="CE90" s="2310" t="s">
        <v>1946</v>
      </c>
      <c r="CF90" s="1834" t="str">
        <f>IFERROR(INDEX(N_Bedarf!$CE$2:$CE$141,_xlfn.AGGREGATE(15,6,(ROW(N_Bedarf!$CE$2:$CE$141)-1)/(--(SEARCH(CG$2,N_Bedarf!$CE$2:$CE$141)&gt;0)),ROW()-2),1),"")</f>
        <v>Wechselwiese 1 Nutzung</v>
      </c>
      <c r="CG90" s="1836"/>
      <c r="CH90" s="1834" t="str">
        <f>IFERROR(INDEX(N_Bedarf!$CE$2:$CE$141,_xlfn.AGGREGATE(15,6,(ROW(N_Bedarf!$CE$2:$CE$141)-1)/(--(SEARCH(CI$2,N_Bedarf!$CE$2:$CE$141)&gt;0)),ROW()-2),1),"")</f>
        <v>Wechselwiese 1 Nutzung</v>
      </c>
      <c r="CI90" s="1836"/>
      <c r="CJ90" s="1834" t="str">
        <f>IFERROR(INDEX(N_Bedarf!$CE$2:$CE$141,_xlfn.AGGREGATE(15,6,(ROW(N_Bedarf!$CE$2:$CE$141)-1)/(--(SEARCH(CK$2,N_Bedarf!$CE$2:$CE$141)&gt;0)),ROW()-2),1),"")</f>
        <v>Wechselwiese 1 Nutzung</v>
      </c>
      <c r="CK90" s="1836"/>
      <c r="CL90" s="1834" t="str">
        <f>IFERROR(INDEX(N_Bedarf!$CE$2:$CE$141,_xlfn.AGGREGATE(15,6,(ROW(N_Bedarf!$CE$2:$CE$141)-1)/(--(SEARCH(CM$2,N_Bedarf!$CE$2:$CE$141)&gt;0)),ROW()-2),1),"")</f>
        <v>Wechselwiese 1 Nutzung</v>
      </c>
      <c r="CM90" s="1836"/>
      <c r="CN90" s="1834" t="str">
        <f>IFERROR(INDEX(N_Bedarf!$CE$2:$CE$141,_xlfn.AGGREGATE(15,6,(ROW(N_Bedarf!$CE$2:$CE$141)-1)/(--(SEARCH(CO$2,N_Bedarf!$CE$2:$CE$141)&gt;0)),ROW()-2),1),"")</f>
        <v>Wechselwiese 1 Nutzung</v>
      </c>
      <c r="CO90" s="1836"/>
      <c r="CP90" s="1834" t="str">
        <f>IFERROR(INDEX(N_Bedarf!$CE$2:$CE$141,_xlfn.AGGREGATE(15,6,(ROW(N_Bedarf!$CE$2:$CE$141)-1)/(--(SEARCH(CQ$2,N_Bedarf!$CE$2:$CE$141)&gt;0)),ROW()-2),1),"")</f>
        <v>Wechselwiese 1 Nutzung</v>
      </c>
      <c r="CQ90" s="1836"/>
      <c r="CR90" s="1834" t="str">
        <f>IFERROR(INDEX(N_Bedarf!$CE$2:$CE$141,_xlfn.AGGREGATE(15,6,(ROW(N_Bedarf!$CE$2:$CE$141)-1)/(--(SEARCH(CS$2,N_Bedarf!$CE$2:$CE$141)&gt;0)),ROW()-2),1),"")</f>
        <v>Wechselwiese 1 Nutzung</v>
      </c>
      <c r="CS90" s="1836"/>
      <c r="CT90" s="1834" t="str">
        <f>IFERROR(INDEX(N_Bedarf!$CE$2:$CE$141,_xlfn.AGGREGATE(15,6,(ROW(N_Bedarf!$CE$2:$CE$141)-1)/(--(SEARCH(CU$2,N_Bedarf!$CE$2:$CE$141)&gt;0)),ROW()-2),1),"")</f>
        <v>Wechselwiese 1 Nutzung</v>
      </c>
      <c r="CU90" s="1836"/>
      <c r="CV90" s="1834" t="str">
        <f>IFERROR(INDEX(N_Bedarf!$CE$2:$CE$141,_xlfn.AGGREGATE(15,6,(ROW(N_Bedarf!$CE$2:$CE$141)-1)/(--(SEARCH(CW$2,N_Bedarf!$CE$2:$CE$141)&gt;0)),ROW()-2),1),"")</f>
        <v>Wechselwiese 1 Nutzung</v>
      </c>
      <c r="CW90" s="1836"/>
      <c r="CX90" s="1834" t="str">
        <f>IFERROR(INDEX(N_Bedarf!$CE$2:$CE$141,_xlfn.AGGREGATE(15,6,(ROW(N_Bedarf!$CE$2:$CE$141)-1)/(--(SEARCH(CY$2,N_Bedarf!$CE$2:$CE$141)&gt;0)),ROW()-2),1),"")</f>
        <v>Wechselwiese 1 Nutzung</v>
      </c>
      <c r="CY90" s="1836"/>
      <c r="CZ90" s="1834" t="str">
        <f>IFERROR(INDEX(N_Bedarf!$CE$2:$CE$141,_xlfn.AGGREGATE(15,6,(ROW(N_Bedarf!$CE$2:$CE$141)-1)/(--(SEARCH(DA$2,N_Bedarf!$CE$2:$CE$141)&gt;0)),ROW()-2),1),"")</f>
        <v>Wechselwiese 1 Nutzung</v>
      </c>
      <c r="DA90" s="1836"/>
      <c r="DB90" s="1834" t="str">
        <f>IFERROR(INDEX(N_Bedarf!$CE$2:$CE$141,_xlfn.AGGREGATE(15,6,(ROW(N_Bedarf!$CE$2:$CE$141)-1)/(--(SEARCH(DC$2,N_Bedarf!$CE$2:$CE$141)&gt;0)),ROW()-2),1),"")</f>
        <v>Wechselwiese 1 Nutzung</v>
      </c>
      <c r="DC90" s="1836"/>
      <c r="DD90" s="1834" t="str">
        <f>IFERROR(INDEX(N_Bedarf!$CE$2:$CE$141,_xlfn.AGGREGATE(15,6,(ROW(N_Bedarf!$CE$2:$CE$141)-1)/(--(SEARCH(DE$2,N_Bedarf!$CE$2:$CE$141)&gt;0)),ROW()-2),1),"")</f>
        <v>Wechselwiese 1 Nutzung</v>
      </c>
      <c r="DE90" s="1836"/>
      <c r="DF90" s="2353" t="str">
        <f t="array" ref="DF90">IFERROR(INDEX(N_Bedarf!$CE$2:$CE$141,_xlfn.AGGREGATE(15,6,(ROW(N_Bedarf!$CE$2:$CE$141)-1)/(--(SEARCH(DG$2,N_Bedarf!$CE$2:$CE$141)&gt;0)),ROW()-2),1),"")</f>
        <v>Wechselwiese 1 Nutzung</v>
      </c>
      <c r="DG90" s="2353"/>
      <c r="DH90" s="2355" t="str">
        <f t="array" ref="DH90">IFERROR(INDEX(N_Bedarf!$CE$2:$CE$141,_xlfn.AGGREGATE(15,6,(ROW(N_Bedarf!$CE$2:$CE$141)-1)/(--(SEARCH(DI$2,N_Bedarf!$CE$2:$CE$141)&gt;0)),ROW()-2),1),"")</f>
        <v>Wechselwiese 1 Nutzung</v>
      </c>
      <c r="DI90" s="2355"/>
      <c r="DJ90" s="2356" t="str">
        <f t="array" ref="DJ90">IFERROR(INDEX(N_Bedarf!$CE$2:$CE$141,_xlfn.AGGREGATE(15,6,(ROW(N_Bedarf!$CE$2:$CE$141)-1)/(--(SEARCH(DK$2,N_Bedarf!$CE$2:$CE$141)&gt;0)),ROW()-2),1),"")</f>
        <v>Wechselwiese 1 Nutzung</v>
      </c>
      <c r="DK90" s="2356"/>
      <c r="DL90" s="2356" t="str">
        <f t="array" ref="DL90">IFERROR(INDEX(N_Bedarf!$CE$2:$CE$141,_xlfn.AGGREGATE(15,6,(ROW(N_Bedarf!$CE$2:$CE$141)-1)/(--(SEARCH(DM$2,N_Bedarf!$CE$2:$CE$141)&gt;0)),ROW()-2),1),"")</f>
        <v>Wechselwiese 1 Nutzung</v>
      </c>
      <c r="DM90" s="2356"/>
      <c r="DN90" s="2356" t="str">
        <f t="array" ref="DN90">IFERROR(INDEX(N_Bedarf!$CE$2:$CE$141,_xlfn.AGGREGATE(15,6,(ROW(N_Bedarf!$CE$2:$CE$141)-1)/(--(SEARCH(DO$2,N_Bedarf!$CE$2:$CE$141)&gt;0)),ROW()-2),1),"")</f>
        <v>Wechselwiese 1 Nutzung</v>
      </c>
      <c r="DO90" s="2356"/>
      <c r="DP90" s="2356" t="str">
        <f t="array" ref="DP90">IFERROR(INDEX(N_Bedarf!$CE$2:$CE$141,_xlfn.AGGREGATE(15,6,(ROW(N_Bedarf!$CE$2:$CE$141)-1)/(--(SEARCH(DQ$2,N_Bedarf!$CE$2:$CE$141)&gt;0)),ROW()-2),1),"")</f>
        <v>Wechselwiese 1 Nutzung</v>
      </c>
      <c r="DQ90" s="2356"/>
      <c r="DR90" s="2356" t="str">
        <f t="array" ref="DR90">IFERROR(INDEX(N_Bedarf!$CE$2:$CE$141,_xlfn.AGGREGATE(15,6,(ROW(N_Bedarf!$CE$2:$CE$141)-1)/(--(SEARCH(DS$2,N_Bedarf!$CE$2:$CE$141)&gt;0)),ROW()-2),1),"")</f>
        <v>Wechselwiese 1 Nutzung</v>
      </c>
      <c r="DS90" s="2356"/>
      <c r="DT90" s="2356" t="str">
        <f t="array" ref="DT90">IFERROR(INDEX(N_Bedarf!$CE$2:$CE$141,_xlfn.AGGREGATE(15,6,(ROW(N_Bedarf!$CE$2:$CE$141)-1)/(--(SEARCH(DU$2,N_Bedarf!$CE$2:$CE$141)&gt;0)),ROW()-2),1),"")</f>
        <v>Wechselwiese 1 Nutzung</v>
      </c>
      <c r="DU90" s="2356"/>
      <c r="DV90" s="2356" t="str">
        <f t="array" ref="DV90">IFERROR(INDEX(N_Bedarf!$CE$2:$CE$141,_xlfn.AGGREGATE(15,6,(ROW(N_Bedarf!$CE$2:$CE$141)-1)/(--(SEARCH(DW$2,N_Bedarf!$CE$2:$CE$141)&gt;0)),ROW()-2),1),"")</f>
        <v>Wechselwiese 1 Nutzung</v>
      </c>
      <c r="DW90" s="2356"/>
      <c r="DX90" s="2356" t="str">
        <f t="array" ref="DX90">IFERROR(INDEX(N_Bedarf!$CE$2:$CE$141,_xlfn.AGGREGATE(15,6,(ROW(N_Bedarf!$CE$2:$CE$141)-1)/(--(SEARCH(DY$2,N_Bedarf!$CE$2:$CE$141)&gt;0)),ROW()-2),1),"")</f>
        <v>Wechselwiese 1 Nutzung</v>
      </c>
      <c r="DY90" s="2356"/>
      <c r="DZ90" s="2356" t="str">
        <f t="array" ref="DZ90">IFERROR(INDEX(N_Bedarf!$CE$2:$CE$141,_xlfn.AGGREGATE(15,6,(ROW(N_Bedarf!$CE$2:$CE$141)-1)/(--(SEARCH(EA$2,N_Bedarf!$CE$2:$CE$141)&gt;0)),ROW()-2),1),"")</f>
        <v>Wechselwiese 1 Nutzung</v>
      </c>
      <c r="EA90" s="2356"/>
      <c r="EB90" s="2356" t="str">
        <f t="array" ref="EB90">IFERROR(INDEX(N_Bedarf!$CE$2:$CE$141,_xlfn.AGGREGATE(15,6,(ROW(N_Bedarf!$CE$2:$CE$141)-1)/(--(SEARCH(EC$2,N_Bedarf!$CE$2:$CE$141)&gt;0)),ROW()-2),1),"")</f>
        <v>Wechselwiese 1 Nutzung</v>
      </c>
      <c r="EC90" s="2356"/>
      <c r="ED90"/>
      <c r="EE90"/>
      <c r="EF90"/>
      <c r="EG90"/>
      <c r="EH90"/>
      <c r="EI90"/>
      <c r="EJ90"/>
      <c r="EK90"/>
      <c r="EL90"/>
      <c r="EM90"/>
      <c r="EN90"/>
      <c r="EO90"/>
      <c r="EP90"/>
      <c r="EQ90"/>
      <c r="ER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row>
    <row r="91" spans="1:291" ht="21" customHeight="1" thickTop="1" thickBot="1">
      <c r="A91" s="156"/>
      <c r="B91" s="156"/>
      <c r="C91" s="1758" t="s">
        <v>1697</v>
      </c>
      <c r="D91" s="1759" t="s">
        <v>1756</v>
      </c>
      <c r="E91" s="1729">
        <v>90</v>
      </c>
      <c r="F91" s="1760">
        <v>75</v>
      </c>
      <c r="G91" s="1993" t="s">
        <v>1757</v>
      </c>
      <c r="H91" s="1994">
        <v>120</v>
      </c>
      <c r="I91" s="1995">
        <v>100</v>
      </c>
      <c r="J91" s="1759" t="s">
        <v>1769</v>
      </c>
      <c r="K91" s="1729">
        <v>145</v>
      </c>
      <c r="L91" s="1760">
        <v>125</v>
      </c>
      <c r="M91" s="1759"/>
      <c r="N91" s="1729"/>
      <c r="O91" s="1760"/>
      <c r="P91" s="1759"/>
      <c r="Q91" s="1729"/>
      <c r="R91" s="1761"/>
      <c r="S91" s="1762">
        <v>90</v>
      </c>
      <c r="T91" s="1729">
        <v>90</v>
      </c>
      <c r="U91" s="1760">
        <v>90</v>
      </c>
      <c r="V91" s="1759">
        <v>75</v>
      </c>
      <c r="W91" s="1729">
        <v>75</v>
      </c>
      <c r="X91" s="1760">
        <v>75</v>
      </c>
      <c r="Y91" s="2009">
        <v>55</v>
      </c>
      <c r="Z91" s="2010">
        <v>60</v>
      </c>
      <c r="AA91" s="2011">
        <v>70</v>
      </c>
      <c r="AB91" s="1871" t="s">
        <v>1388</v>
      </c>
      <c r="AC91" s="1763" t="s">
        <v>1389</v>
      </c>
      <c r="AD91" s="1762">
        <v>270</v>
      </c>
      <c r="AE91" s="1729">
        <v>270</v>
      </c>
      <c r="AF91" s="1760">
        <v>270</v>
      </c>
      <c r="AG91" s="1759">
        <v>225</v>
      </c>
      <c r="AH91" s="1729">
        <v>225</v>
      </c>
      <c r="AI91" s="1760">
        <v>225</v>
      </c>
      <c r="AJ91" s="2009">
        <v>160</v>
      </c>
      <c r="AK91" s="2010">
        <v>180</v>
      </c>
      <c r="AL91" s="2011">
        <v>205</v>
      </c>
      <c r="AM91" s="1871" t="s">
        <v>1390</v>
      </c>
      <c r="AN91" s="1763" t="s">
        <v>1389</v>
      </c>
      <c r="AO91" s="156"/>
      <c r="AP91" s="156"/>
      <c r="AX91" s="1722" t="s">
        <v>1911</v>
      </c>
      <c r="AY91" s="681">
        <v>280</v>
      </c>
      <c r="AZ91" s="681">
        <v>280</v>
      </c>
      <c r="BA91" s="681" t="s">
        <v>2583</v>
      </c>
      <c r="BB91" s="681">
        <v>280</v>
      </c>
      <c r="BC91" s="681">
        <v>280</v>
      </c>
      <c r="BD91" s="681" t="s">
        <v>2583</v>
      </c>
      <c r="BE91" s="681">
        <v>280</v>
      </c>
      <c r="BF91" s="681">
        <v>280</v>
      </c>
      <c r="BG91" s="681" t="s">
        <v>2583</v>
      </c>
      <c r="BH91" s="681">
        <v>280</v>
      </c>
      <c r="BI91" s="681">
        <v>280</v>
      </c>
      <c r="BJ91" s="681" t="s">
        <v>2583</v>
      </c>
      <c r="BK91" s="681">
        <v>280</v>
      </c>
      <c r="BL91" s="681">
        <v>280</v>
      </c>
      <c r="BM91" s="681" t="s">
        <v>2583</v>
      </c>
      <c r="BN91" s="471">
        <v>0</v>
      </c>
      <c r="BO91" s="821">
        <v>30</v>
      </c>
      <c r="BP91"/>
      <c r="BQ91" s="1722" t="s">
        <v>1911</v>
      </c>
      <c r="BR91" s="470">
        <v>135</v>
      </c>
      <c r="BS91" s="470">
        <v>135</v>
      </c>
      <c r="BT91" s="470">
        <v>135</v>
      </c>
      <c r="BU91" s="1590"/>
      <c r="BV91" s="1722" t="s">
        <v>1911</v>
      </c>
      <c r="BW91" s="470">
        <v>390</v>
      </c>
      <c r="BX91" s="470">
        <v>390</v>
      </c>
      <c r="BY91" s="470">
        <v>390</v>
      </c>
      <c r="BZ91" s="1588"/>
      <c r="CA91" s="429"/>
      <c r="CB91"/>
      <c r="CC91"/>
      <c r="CD91"/>
      <c r="CE91" s="2310" t="s">
        <v>1947</v>
      </c>
      <c r="CF91" s="1834" t="str">
        <f>IFERROR(INDEX(N_Bedarf!$CE$2:$CE$141,_xlfn.AGGREGATE(15,6,(ROW(N_Bedarf!$CE$2:$CE$141)-1)/(--(SEARCH(CG$2,N_Bedarf!$CE$2:$CE$141)&gt;0)),ROW()-2),1),"")</f>
        <v>Wechselwiese 2 Nutzungen</v>
      </c>
      <c r="CG91" s="1830"/>
      <c r="CH91" s="1834" t="str">
        <f>IFERROR(INDEX(N_Bedarf!$CE$2:$CE$141,_xlfn.AGGREGATE(15,6,(ROW(N_Bedarf!$CE$2:$CE$141)-1)/(--(SEARCH(CI$2,N_Bedarf!$CE$2:$CE$141)&gt;0)),ROW()-2),1),"")</f>
        <v>Wechselwiese 2 Nutzungen</v>
      </c>
      <c r="CI91" s="1830"/>
      <c r="CJ91" s="1834" t="str">
        <f>IFERROR(INDEX(N_Bedarf!$CE$2:$CE$141,_xlfn.AGGREGATE(15,6,(ROW(N_Bedarf!$CE$2:$CE$141)-1)/(--(SEARCH(CK$2,N_Bedarf!$CE$2:$CE$141)&gt;0)),ROW()-2),1),"")</f>
        <v>Wechselwiese 2 Nutzungen</v>
      </c>
      <c r="CK91" s="1830"/>
      <c r="CL91" s="1834" t="str">
        <f>IFERROR(INDEX(N_Bedarf!$CE$2:$CE$141,_xlfn.AGGREGATE(15,6,(ROW(N_Bedarf!$CE$2:$CE$141)-1)/(--(SEARCH(CM$2,N_Bedarf!$CE$2:$CE$141)&gt;0)),ROW()-2),1),"")</f>
        <v>Wechselwiese 2 Nutzungen</v>
      </c>
      <c r="CM91" s="1830"/>
      <c r="CN91" s="1834" t="str">
        <f>IFERROR(INDEX(N_Bedarf!$CE$2:$CE$141,_xlfn.AGGREGATE(15,6,(ROW(N_Bedarf!$CE$2:$CE$141)-1)/(--(SEARCH(CO$2,N_Bedarf!$CE$2:$CE$141)&gt;0)),ROW()-2),1),"")</f>
        <v>Wechselwiese 2 Nutzungen</v>
      </c>
      <c r="CO91" s="1830"/>
      <c r="CP91" s="1834" t="str">
        <f>IFERROR(INDEX(N_Bedarf!$CE$2:$CE$141,_xlfn.AGGREGATE(15,6,(ROW(N_Bedarf!$CE$2:$CE$141)-1)/(--(SEARCH(CQ$2,N_Bedarf!$CE$2:$CE$141)&gt;0)),ROW()-2),1),"")</f>
        <v>Wechselwiese 2 Nutzungen</v>
      </c>
      <c r="CQ91" s="1830"/>
      <c r="CR91" s="1834" t="str">
        <f>IFERROR(INDEX(N_Bedarf!$CE$2:$CE$141,_xlfn.AGGREGATE(15,6,(ROW(N_Bedarf!$CE$2:$CE$141)-1)/(--(SEARCH(CS$2,N_Bedarf!$CE$2:$CE$141)&gt;0)),ROW()-2),1),"")</f>
        <v>Wechselwiese 2 Nutzungen</v>
      </c>
      <c r="CS91" s="1830"/>
      <c r="CT91" s="1834" t="str">
        <f>IFERROR(INDEX(N_Bedarf!$CE$2:$CE$141,_xlfn.AGGREGATE(15,6,(ROW(N_Bedarf!$CE$2:$CE$141)-1)/(--(SEARCH(CU$2,N_Bedarf!$CE$2:$CE$141)&gt;0)),ROW()-2),1),"")</f>
        <v>Wechselwiese 2 Nutzungen</v>
      </c>
      <c r="CU91" s="1830"/>
      <c r="CV91" s="1834" t="str">
        <f>IFERROR(INDEX(N_Bedarf!$CE$2:$CE$141,_xlfn.AGGREGATE(15,6,(ROW(N_Bedarf!$CE$2:$CE$141)-1)/(--(SEARCH(CW$2,N_Bedarf!$CE$2:$CE$141)&gt;0)),ROW()-2),1),"")</f>
        <v>Wechselwiese 2 Nutzungen</v>
      </c>
      <c r="CW91" s="1830"/>
      <c r="CX91" s="1834" t="str">
        <f>IFERROR(INDEX(N_Bedarf!$CE$2:$CE$141,_xlfn.AGGREGATE(15,6,(ROW(N_Bedarf!$CE$2:$CE$141)-1)/(--(SEARCH(CY$2,N_Bedarf!$CE$2:$CE$141)&gt;0)),ROW()-2),1),"")</f>
        <v>Wechselwiese 2 Nutzungen</v>
      </c>
      <c r="CY91" s="1830"/>
      <c r="CZ91" s="1834" t="str">
        <f>IFERROR(INDEX(N_Bedarf!$CE$2:$CE$141,_xlfn.AGGREGATE(15,6,(ROW(N_Bedarf!$CE$2:$CE$141)-1)/(--(SEARCH(DA$2,N_Bedarf!$CE$2:$CE$141)&gt;0)),ROW()-2),1),"")</f>
        <v>Wechselwiese 2 Nutzungen</v>
      </c>
      <c r="DA91" s="1830"/>
      <c r="DB91" s="1834" t="str">
        <f>IFERROR(INDEX(N_Bedarf!$CE$2:$CE$141,_xlfn.AGGREGATE(15,6,(ROW(N_Bedarf!$CE$2:$CE$141)-1)/(--(SEARCH(DC$2,N_Bedarf!$CE$2:$CE$141)&gt;0)),ROW()-2),1),"")</f>
        <v>Wechselwiese 2 Nutzungen</v>
      </c>
      <c r="DC91" s="1830"/>
      <c r="DD91" s="1834" t="str">
        <f>IFERROR(INDEX(N_Bedarf!$CE$2:$CE$141,_xlfn.AGGREGATE(15,6,(ROW(N_Bedarf!$CE$2:$CE$141)-1)/(--(SEARCH(DE$2,N_Bedarf!$CE$2:$CE$141)&gt;0)),ROW()-2),1),"")</f>
        <v>Wechselwiese 2 Nutzungen</v>
      </c>
      <c r="DE91" s="1830"/>
      <c r="DF91" s="2353" t="str">
        <f t="array" ref="DF91">IFERROR(INDEX(N_Bedarf!$CE$2:$CE$141,_xlfn.AGGREGATE(15,6,(ROW(N_Bedarf!$CE$2:$CE$141)-1)/(--(SEARCH(DG$2,N_Bedarf!$CE$2:$CE$141)&gt;0)),ROW()-2),1),"")</f>
        <v>Wechselwiese 2 Nutzungen</v>
      </c>
      <c r="DG91" s="2353"/>
      <c r="DH91" s="2355" t="str">
        <f t="array" ref="DH91">IFERROR(INDEX(N_Bedarf!$CE$2:$CE$141,_xlfn.AGGREGATE(15,6,(ROW(N_Bedarf!$CE$2:$CE$141)-1)/(--(SEARCH(DI$2,N_Bedarf!$CE$2:$CE$141)&gt;0)),ROW()-2),1),"")</f>
        <v>Wechselwiese 2 Nutzungen</v>
      </c>
      <c r="DI91" s="2355"/>
      <c r="DJ91" s="2356" t="str">
        <f t="array" ref="DJ91">IFERROR(INDEX(N_Bedarf!$CE$2:$CE$141,_xlfn.AGGREGATE(15,6,(ROW(N_Bedarf!$CE$2:$CE$141)-1)/(--(SEARCH(DK$2,N_Bedarf!$CE$2:$CE$141)&gt;0)),ROW()-2),1),"")</f>
        <v>Wechselwiese 2 Nutzungen</v>
      </c>
      <c r="DK91" s="2356"/>
      <c r="DL91" s="2356" t="str">
        <f t="array" ref="DL91">IFERROR(INDEX(N_Bedarf!$CE$2:$CE$141,_xlfn.AGGREGATE(15,6,(ROW(N_Bedarf!$CE$2:$CE$141)-1)/(--(SEARCH(DM$2,N_Bedarf!$CE$2:$CE$141)&gt;0)),ROW()-2),1),"")</f>
        <v>Wechselwiese 2 Nutzungen</v>
      </c>
      <c r="DM91" s="2356"/>
      <c r="DN91" s="2356" t="str">
        <f t="array" ref="DN91">IFERROR(INDEX(N_Bedarf!$CE$2:$CE$141,_xlfn.AGGREGATE(15,6,(ROW(N_Bedarf!$CE$2:$CE$141)-1)/(--(SEARCH(DO$2,N_Bedarf!$CE$2:$CE$141)&gt;0)),ROW()-2),1),"")</f>
        <v>Wechselwiese 2 Nutzungen</v>
      </c>
      <c r="DO91" s="2356"/>
      <c r="DP91" s="2356" t="str">
        <f t="array" ref="DP91">IFERROR(INDEX(N_Bedarf!$CE$2:$CE$141,_xlfn.AGGREGATE(15,6,(ROW(N_Bedarf!$CE$2:$CE$141)-1)/(--(SEARCH(DQ$2,N_Bedarf!$CE$2:$CE$141)&gt;0)),ROW()-2),1),"")</f>
        <v>Wechselwiese 2 Nutzungen</v>
      </c>
      <c r="DQ91" s="2356"/>
      <c r="DR91" s="2356" t="str">
        <f t="array" ref="DR91">IFERROR(INDEX(N_Bedarf!$CE$2:$CE$141,_xlfn.AGGREGATE(15,6,(ROW(N_Bedarf!$CE$2:$CE$141)-1)/(--(SEARCH(DS$2,N_Bedarf!$CE$2:$CE$141)&gt;0)),ROW()-2),1),"")</f>
        <v>Wechselwiese 2 Nutzungen</v>
      </c>
      <c r="DS91" s="2356"/>
      <c r="DT91" s="2356" t="str">
        <f t="array" ref="DT91">IFERROR(INDEX(N_Bedarf!$CE$2:$CE$141,_xlfn.AGGREGATE(15,6,(ROW(N_Bedarf!$CE$2:$CE$141)-1)/(--(SEARCH(DU$2,N_Bedarf!$CE$2:$CE$141)&gt;0)),ROW()-2),1),"")</f>
        <v>Wechselwiese 2 Nutzungen</v>
      </c>
      <c r="DU91" s="2356"/>
      <c r="DV91" s="2356" t="str">
        <f t="array" ref="DV91">IFERROR(INDEX(N_Bedarf!$CE$2:$CE$141,_xlfn.AGGREGATE(15,6,(ROW(N_Bedarf!$CE$2:$CE$141)-1)/(--(SEARCH(DW$2,N_Bedarf!$CE$2:$CE$141)&gt;0)),ROW()-2),1),"")</f>
        <v>Wechselwiese 2 Nutzungen</v>
      </c>
      <c r="DW91" s="2356"/>
      <c r="DX91" s="2356" t="str">
        <f t="array" ref="DX91">IFERROR(INDEX(N_Bedarf!$CE$2:$CE$141,_xlfn.AGGREGATE(15,6,(ROW(N_Bedarf!$CE$2:$CE$141)-1)/(--(SEARCH(DY$2,N_Bedarf!$CE$2:$CE$141)&gt;0)),ROW()-2),1),"")</f>
        <v>Wechselwiese 2 Nutzungen</v>
      </c>
      <c r="DY91" s="2356"/>
      <c r="DZ91" s="2356" t="str">
        <f t="array" ref="DZ91">IFERROR(INDEX(N_Bedarf!$CE$2:$CE$141,_xlfn.AGGREGATE(15,6,(ROW(N_Bedarf!$CE$2:$CE$141)-1)/(--(SEARCH(EA$2,N_Bedarf!$CE$2:$CE$141)&gt;0)),ROW()-2),1),"")</f>
        <v>Wechselwiese 2 Nutzungen</v>
      </c>
      <c r="EA91" s="2356"/>
      <c r="EB91" s="2356" t="str">
        <f t="array" ref="EB91">IFERROR(INDEX(N_Bedarf!$CE$2:$CE$141,_xlfn.AGGREGATE(15,6,(ROW(N_Bedarf!$CE$2:$CE$141)-1)/(--(SEARCH(EC$2,N_Bedarf!$CE$2:$CE$141)&gt;0)),ROW()-2),1),"")</f>
        <v>Wechselwiese 2 Nutzungen</v>
      </c>
      <c r="EC91" s="2356"/>
      <c r="ED91"/>
      <c r="EE91"/>
      <c r="EF91"/>
      <c r="EG91"/>
      <c r="EH91"/>
      <c r="EI91"/>
      <c r="EJ91"/>
      <c r="EK91"/>
      <c r="EL91"/>
      <c r="EM91"/>
      <c r="EN91"/>
      <c r="EO91"/>
      <c r="EP91"/>
      <c r="EQ91"/>
      <c r="ER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row>
    <row r="92" spans="1:291" ht="21" customHeight="1" thickTop="1" thickBot="1">
      <c r="A92" s="156"/>
      <c r="B92" s="156"/>
      <c r="C92" s="1758" t="s">
        <v>1698</v>
      </c>
      <c r="D92" s="1759" t="s">
        <v>1756</v>
      </c>
      <c r="E92" s="1729">
        <v>90</v>
      </c>
      <c r="F92" s="1760">
        <v>75</v>
      </c>
      <c r="G92" s="1993" t="s">
        <v>1757</v>
      </c>
      <c r="H92" s="1994">
        <v>120</v>
      </c>
      <c r="I92" s="1995">
        <v>100</v>
      </c>
      <c r="J92" s="1759" t="s">
        <v>1769</v>
      </c>
      <c r="K92" s="1729">
        <v>145</v>
      </c>
      <c r="L92" s="1760">
        <v>125</v>
      </c>
      <c r="M92" s="1759"/>
      <c r="N92" s="1729"/>
      <c r="O92" s="1760"/>
      <c r="P92" s="1759"/>
      <c r="Q92" s="1729"/>
      <c r="R92" s="1761"/>
      <c r="S92" s="1762">
        <v>90</v>
      </c>
      <c r="T92" s="1729">
        <v>90</v>
      </c>
      <c r="U92" s="1760">
        <v>90</v>
      </c>
      <c r="V92" s="1759">
        <v>75</v>
      </c>
      <c r="W92" s="1729">
        <v>75</v>
      </c>
      <c r="X92" s="1760">
        <v>75</v>
      </c>
      <c r="Y92" s="2009">
        <v>55</v>
      </c>
      <c r="Z92" s="2010">
        <v>60</v>
      </c>
      <c r="AA92" s="2011">
        <v>70</v>
      </c>
      <c r="AB92" s="1871" t="s">
        <v>1388</v>
      </c>
      <c r="AC92" s="1763" t="s">
        <v>1389</v>
      </c>
      <c r="AD92" s="1762">
        <v>270</v>
      </c>
      <c r="AE92" s="1729">
        <v>270</v>
      </c>
      <c r="AF92" s="1760">
        <v>270</v>
      </c>
      <c r="AG92" s="1759">
        <v>225</v>
      </c>
      <c r="AH92" s="1729">
        <v>225</v>
      </c>
      <c r="AI92" s="1760">
        <v>225</v>
      </c>
      <c r="AJ92" s="2009">
        <v>160</v>
      </c>
      <c r="AK92" s="2010">
        <v>180</v>
      </c>
      <c r="AL92" s="2011">
        <v>205</v>
      </c>
      <c r="AM92" s="1871" t="s">
        <v>1390</v>
      </c>
      <c r="AN92" s="1763" t="s">
        <v>1389</v>
      </c>
      <c r="AO92" s="156"/>
      <c r="AP92" s="156"/>
      <c r="AX92" s="1722" t="s">
        <v>1945</v>
      </c>
      <c r="AY92" s="681">
        <v>20</v>
      </c>
      <c r="AZ92" s="681">
        <v>20</v>
      </c>
      <c r="BA92" s="681" t="s">
        <v>2694</v>
      </c>
      <c r="BB92" s="681">
        <v>30</v>
      </c>
      <c r="BC92" s="681">
        <v>30</v>
      </c>
      <c r="BD92" s="681" t="s">
        <v>2581</v>
      </c>
      <c r="BE92" s="681">
        <v>30</v>
      </c>
      <c r="BF92" s="681">
        <v>30</v>
      </c>
      <c r="BG92" s="681" t="s">
        <v>2581</v>
      </c>
      <c r="BH92" s="681">
        <v>30</v>
      </c>
      <c r="BI92" s="681">
        <v>30</v>
      </c>
      <c r="BJ92" s="681" t="s">
        <v>2581</v>
      </c>
      <c r="BK92" s="681">
        <v>30</v>
      </c>
      <c r="BL92" s="681">
        <v>30</v>
      </c>
      <c r="BM92" s="681" t="s">
        <v>2581</v>
      </c>
      <c r="BN92" s="471">
        <v>0</v>
      </c>
      <c r="BO92" s="821">
        <v>30</v>
      </c>
      <c r="BP92"/>
      <c r="BQ92" s="1722" t="s">
        <v>1945</v>
      </c>
      <c r="BR92" s="470">
        <v>15</v>
      </c>
      <c r="BS92" s="470">
        <v>30</v>
      </c>
      <c r="BT92" s="470">
        <v>30</v>
      </c>
      <c r="BU92" s="1590"/>
      <c r="BV92" s="1722" t="s">
        <v>1945</v>
      </c>
      <c r="BW92" s="470">
        <v>45</v>
      </c>
      <c r="BX92" s="470">
        <v>80</v>
      </c>
      <c r="BY92" s="470">
        <v>80</v>
      </c>
      <c r="BZ92" s="1588"/>
      <c r="CA92" s="429"/>
      <c r="CB92"/>
      <c r="CC92"/>
      <c r="CD92"/>
      <c r="CE92" s="2310" t="s">
        <v>1949</v>
      </c>
      <c r="CF92" s="1834" t="str">
        <f>IFERROR(INDEX(N_Bedarf!$CE$2:$CE$141,_xlfn.AGGREGATE(15,6,(ROW(N_Bedarf!$CE$2:$CE$141)-1)/(--(SEARCH(CG$2,N_Bedarf!$CE$2:$CE$141)&gt;0)),ROW()-2),1),"")</f>
        <v>Wechselwiese 3 Nutzungen, gräserreich (&lt;40% Legum.)</v>
      </c>
      <c r="CG92" s="1836"/>
      <c r="CH92" s="1834" t="str">
        <f>IFERROR(INDEX(N_Bedarf!$CE$2:$CE$141,_xlfn.AGGREGATE(15,6,(ROW(N_Bedarf!$CE$2:$CE$141)-1)/(--(SEARCH(CI$2,N_Bedarf!$CE$2:$CE$141)&gt;0)),ROW()-2),1),"")</f>
        <v>Wechselwiese 3 Nutzungen, gräserreich (&lt;40% Legum.)</v>
      </c>
      <c r="CI92" s="1836"/>
      <c r="CJ92" s="1834" t="str">
        <f>IFERROR(INDEX(N_Bedarf!$CE$2:$CE$141,_xlfn.AGGREGATE(15,6,(ROW(N_Bedarf!$CE$2:$CE$141)-1)/(--(SEARCH(CK$2,N_Bedarf!$CE$2:$CE$141)&gt;0)),ROW()-2),1),"")</f>
        <v>Wechselwiese 3 Nutzungen, gräserreich (&lt;40% Legum.)</v>
      </c>
      <c r="CK92" s="1836"/>
      <c r="CL92" s="1834" t="str">
        <f>IFERROR(INDEX(N_Bedarf!$CE$2:$CE$141,_xlfn.AGGREGATE(15,6,(ROW(N_Bedarf!$CE$2:$CE$141)-1)/(--(SEARCH(CM$2,N_Bedarf!$CE$2:$CE$141)&gt;0)),ROW()-2),1),"")</f>
        <v>Wechselwiese 3 Nutzungen, gräserreich (&lt;40% Legum.)</v>
      </c>
      <c r="CM92" s="1836"/>
      <c r="CN92" s="1834" t="str">
        <f>IFERROR(INDEX(N_Bedarf!$CE$2:$CE$141,_xlfn.AGGREGATE(15,6,(ROW(N_Bedarf!$CE$2:$CE$141)-1)/(--(SEARCH(CO$2,N_Bedarf!$CE$2:$CE$141)&gt;0)),ROW()-2),1),"")</f>
        <v>Wechselwiese 3 Nutzungen, gräserreich (&lt;40% Legum.)</v>
      </c>
      <c r="CO92" s="1836"/>
      <c r="CP92" s="1834" t="str">
        <f>IFERROR(INDEX(N_Bedarf!$CE$2:$CE$141,_xlfn.AGGREGATE(15,6,(ROW(N_Bedarf!$CE$2:$CE$141)-1)/(--(SEARCH(CQ$2,N_Bedarf!$CE$2:$CE$141)&gt;0)),ROW()-2),1),"")</f>
        <v>Wechselwiese 3 Nutzungen, gräserreich (&lt;40% Legum.)</v>
      </c>
      <c r="CQ92" s="1836"/>
      <c r="CR92" s="1834" t="str">
        <f>IFERROR(INDEX(N_Bedarf!$CE$2:$CE$141,_xlfn.AGGREGATE(15,6,(ROW(N_Bedarf!$CE$2:$CE$141)-1)/(--(SEARCH(CS$2,N_Bedarf!$CE$2:$CE$141)&gt;0)),ROW()-2),1),"")</f>
        <v>Wechselwiese 3 Nutzungen, gräserreich (&lt;40% Legum.)</v>
      </c>
      <c r="CS92" s="1836"/>
      <c r="CT92" s="1834" t="str">
        <f>IFERROR(INDEX(N_Bedarf!$CE$2:$CE$141,_xlfn.AGGREGATE(15,6,(ROW(N_Bedarf!$CE$2:$CE$141)-1)/(--(SEARCH(CU$2,N_Bedarf!$CE$2:$CE$141)&gt;0)),ROW()-2),1),"")</f>
        <v>Wechselwiese 3 Nutzungen, gräserreich (&lt;40% Legum.)</v>
      </c>
      <c r="CU92" s="1836"/>
      <c r="CV92" s="1834" t="str">
        <f>IFERROR(INDEX(N_Bedarf!$CE$2:$CE$141,_xlfn.AGGREGATE(15,6,(ROW(N_Bedarf!$CE$2:$CE$141)-1)/(--(SEARCH(CW$2,N_Bedarf!$CE$2:$CE$141)&gt;0)),ROW()-2),1),"")</f>
        <v>Wechselwiese 3 Nutzungen, gräserreich (&lt;40% Legum.)</v>
      </c>
      <c r="CW92" s="1836"/>
      <c r="CX92" s="1834" t="str">
        <f>IFERROR(INDEX(N_Bedarf!$CE$2:$CE$141,_xlfn.AGGREGATE(15,6,(ROW(N_Bedarf!$CE$2:$CE$141)-1)/(--(SEARCH(CY$2,N_Bedarf!$CE$2:$CE$141)&gt;0)),ROW()-2),1),"")</f>
        <v>Wechselwiese 3 Nutzungen, gräserreich (&lt;40% Legum.)</v>
      </c>
      <c r="CY92" s="1836"/>
      <c r="CZ92" s="1834" t="str">
        <f>IFERROR(INDEX(N_Bedarf!$CE$2:$CE$141,_xlfn.AGGREGATE(15,6,(ROW(N_Bedarf!$CE$2:$CE$141)-1)/(--(SEARCH(DA$2,N_Bedarf!$CE$2:$CE$141)&gt;0)),ROW()-2),1),"")</f>
        <v>Wechselwiese 3 Nutzungen, gräserreich (&lt;40% Legum.)</v>
      </c>
      <c r="DA92" s="1836"/>
      <c r="DB92" s="1834" t="str">
        <f>IFERROR(INDEX(N_Bedarf!$CE$2:$CE$141,_xlfn.AGGREGATE(15,6,(ROW(N_Bedarf!$CE$2:$CE$141)-1)/(--(SEARCH(DC$2,N_Bedarf!$CE$2:$CE$141)&gt;0)),ROW()-2),1),"")</f>
        <v>Wechselwiese 3 Nutzungen, gräserreich (&lt;40% Legum.)</v>
      </c>
      <c r="DC92" s="1836"/>
      <c r="DD92" s="1834" t="str">
        <f>IFERROR(INDEX(N_Bedarf!$CE$2:$CE$141,_xlfn.AGGREGATE(15,6,(ROW(N_Bedarf!$CE$2:$CE$141)-1)/(--(SEARCH(DE$2,N_Bedarf!$CE$2:$CE$141)&gt;0)),ROW()-2),1),"")</f>
        <v>Wechselwiese 3 Nutzungen, gräserreich (&lt;40% Legum.)</v>
      </c>
      <c r="DE92" s="1836"/>
      <c r="DF92" s="2353" t="str">
        <f t="array" ref="DF92">IFERROR(INDEX(N_Bedarf!$CE$2:$CE$141,_xlfn.AGGREGATE(15,6,(ROW(N_Bedarf!$CE$2:$CE$141)-1)/(--(SEARCH(DG$2,N_Bedarf!$CE$2:$CE$141)&gt;0)),ROW()-2),1),"")</f>
        <v>Wechselwiese 3 Nutzungen, gräserreich (&lt;40% Legum.)</v>
      </c>
      <c r="DG92" s="2353"/>
      <c r="DH92" s="2355" t="str">
        <f t="array" ref="DH92">IFERROR(INDEX(N_Bedarf!$CE$2:$CE$141,_xlfn.AGGREGATE(15,6,(ROW(N_Bedarf!$CE$2:$CE$141)-1)/(--(SEARCH(DI$2,N_Bedarf!$CE$2:$CE$141)&gt;0)),ROW()-2),1),"")</f>
        <v>Wechselwiese 3 Nutzungen, gräserreich (&lt;40% Legum.)</v>
      </c>
      <c r="DI92" s="2355"/>
      <c r="DJ92" s="2356" t="str">
        <f t="array" ref="DJ92">IFERROR(INDEX(N_Bedarf!$CE$2:$CE$141,_xlfn.AGGREGATE(15,6,(ROW(N_Bedarf!$CE$2:$CE$141)-1)/(--(SEARCH(DK$2,N_Bedarf!$CE$2:$CE$141)&gt;0)),ROW()-2),1),"")</f>
        <v>Wechselwiese 3 Nutzungen, gräserreich (&lt;40% Legum.)</v>
      </c>
      <c r="DK92" s="2356"/>
      <c r="DL92" s="2356" t="str">
        <f t="array" ref="DL92">IFERROR(INDEX(N_Bedarf!$CE$2:$CE$141,_xlfn.AGGREGATE(15,6,(ROW(N_Bedarf!$CE$2:$CE$141)-1)/(--(SEARCH(DM$2,N_Bedarf!$CE$2:$CE$141)&gt;0)),ROW()-2),1),"")</f>
        <v>Wechselwiese 3 Nutzungen, gräserreich (&lt;40% Legum.)</v>
      </c>
      <c r="DM92" s="2356"/>
      <c r="DN92" s="2356" t="str">
        <f t="array" ref="DN92">IFERROR(INDEX(N_Bedarf!$CE$2:$CE$141,_xlfn.AGGREGATE(15,6,(ROW(N_Bedarf!$CE$2:$CE$141)-1)/(--(SEARCH(DO$2,N_Bedarf!$CE$2:$CE$141)&gt;0)),ROW()-2),1),"")</f>
        <v>Wechselwiese 3 Nutzungen, gräserreich (&lt;40% Legum.)</v>
      </c>
      <c r="DO92" s="2356"/>
      <c r="DP92" s="2356" t="str">
        <f t="array" ref="DP92">IFERROR(INDEX(N_Bedarf!$CE$2:$CE$141,_xlfn.AGGREGATE(15,6,(ROW(N_Bedarf!$CE$2:$CE$141)-1)/(--(SEARCH(DQ$2,N_Bedarf!$CE$2:$CE$141)&gt;0)),ROW()-2),1),"")</f>
        <v>Wechselwiese 3 Nutzungen, gräserreich (&lt;40% Legum.)</v>
      </c>
      <c r="DQ92" s="2356"/>
      <c r="DR92" s="2356" t="str">
        <f t="array" ref="DR92">IFERROR(INDEX(N_Bedarf!$CE$2:$CE$141,_xlfn.AGGREGATE(15,6,(ROW(N_Bedarf!$CE$2:$CE$141)-1)/(--(SEARCH(DS$2,N_Bedarf!$CE$2:$CE$141)&gt;0)),ROW()-2),1),"")</f>
        <v>Wechselwiese 3 Nutzungen, gräserreich (&lt;40% Legum.)</v>
      </c>
      <c r="DS92" s="2356"/>
      <c r="DT92" s="2356" t="str">
        <f t="array" ref="DT92">IFERROR(INDEX(N_Bedarf!$CE$2:$CE$141,_xlfn.AGGREGATE(15,6,(ROW(N_Bedarf!$CE$2:$CE$141)-1)/(--(SEARCH(DU$2,N_Bedarf!$CE$2:$CE$141)&gt;0)),ROW()-2),1),"")</f>
        <v>Wechselwiese 3 Nutzungen, gräserreich (&lt;40% Legum.)</v>
      </c>
      <c r="DU92" s="2356"/>
      <c r="DV92" s="2356" t="str">
        <f t="array" ref="DV92">IFERROR(INDEX(N_Bedarf!$CE$2:$CE$141,_xlfn.AGGREGATE(15,6,(ROW(N_Bedarf!$CE$2:$CE$141)-1)/(--(SEARCH(DW$2,N_Bedarf!$CE$2:$CE$141)&gt;0)),ROW()-2),1),"")</f>
        <v>Wechselwiese 3 Nutzungen, gräserreich (&lt;40% Legum.)</v>
      </c>
      <c r="DW92" s="2356"/>
      <c r="DX92" s="2356" t="str">
        <f t="array" ref="DX92">IFERROR(INDEX(N_Bedarf!$CE$2:$CE$141,_xlfn.AGGREGATE(15,6,(ROW(N_Bedarf!$CE$2:$CE$141)-1)/(--(SEARCH(DY$2,N_Bedarf!$CE$2:$CE$141)&gt;0)),ROW()-2),1),"")</f>
        <v>Wechselwiese 3 Nutzungen, gräserreich (&lt;40% Legum.)</v>
      </c>
      <c r="DY92" s="2356"/>
      <c r="DZ92" s="2356" t="str">
        <f t="array" ref="DZ92">IFERROR(INDEX(N_Bedarf!$CE$2:$CE$141,_xlfn.AGGREGATE(15,6,(ROW(N_Bedarf!$CE$2:$CE$141)-1)/(--(SEARCH(EA$2,N_Bedarf!$CE$2:$CE$141)&gt;0)),ROW()-2),1),"")</f>
        <v>Wechselwiese 3 Nutzungen, gräserreich (&lt;40% Legum.)</v>
      </c>
      <c r="EA92" s="2356"/>
      <c r="EB92" s="2356" t="str">
        <f t="array" ref="EB92">IFERROR(INDEX(N_Bedarf!$CE$2:$CE$141,_xlfn.AGGREGATE(15,6,(ROW(N_Bedarf!$CE$2:$CE$141)-1)/(--(SEARCH(EC$2,N_Bedarf!$CE$2:$CE$141)&gt;0)),ROW()-2),1),"")</f>
        <v>Wechselwiese 3 Nutzungen, gräserreich (&lt;40% Legum.)</v>
      </c>
      <c r="EC92" s="2356"/>
      <c r="ED92"/>
      <c r="EE92"/>
      <c r="EF92"/>
      <c r="EG92"/>
      <c r="EH92"/>
      <c r="EI92"/>
      <c r="EJ92"/>
      <c r="EK92"/>
      <c r="EL92"/>
      <c r="EM92"/>
      <c r="EN92"/>
      <c r="EO92"/>
      <c r="EP92"/>
      <c r="EQ92"/>
      <c r="ER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row>
    <row r="93" spans="1:291" ht="21" customHeight="1" thickTop="1" thickBot="1">
      <c r="A93" s="156"/>
      <c r="B93" s="156"/>
      <c r="C93" s="1758" t="s">
        <v>1699</v>
      </c>
      <c r="D93" s="1759" t="s">
        <v>1770</v>
      </c>
      <c r="E93" s="1729">
        <v>110</v>
      </c>
      <c r="F93" s="1760">
        <v>95</v>
      </c>
      <c r="G93" s="1993" t="s">
        <v>1771</v>
      </c>
      <c r="H93" s="1994">
        <v>155</v>
      </c>
      <c r="I93" s="1995">
        <v>130</v>
      </c>
      <c r="J93" s="1759" t="s">
        <v>1772</v>
      </c>
      <c r="K93" s="1729">
        <v>180</v>
      </c>
      <c r="L93" s="1760">
        <v>155</v>
      </c>
      <c r="M93" s="1759"/>
      <c r="N93" s="1729"/>
      <c r="O93" s="1760"/>
      <c r="P93" s="1759"/>
      <c r="Q93" s="1729"/>
      <c r="R93" s="1761"/>
      <c r="S93" s="1762">
        <v>130</v>
      </c>
      <c r="T93" s="1729">
        <v>130</v>
      </c>
      <c r="U93" s="1760">
        <v>130</v>
      </c>
      <c r="V93" s="1759">
        <v>105</v>
      </c>
      <c r="W93" s="1729">
        <v>105</v>
      </c>
      <c r="X93" s="1760">
        <v>105</v>
      </c>
      <c r="Y93" s="2009">
        <v>75</v>
      </c>
      <c r="Z93" s="2010">
        <v>85</v>
      </c>
      <c r="AA93" s="2011">
        <v>100</v>
      </c>
      <c r="AB93" s="1871" t="s">
        <v>1388</v>
      </c>
      <c r="AC93" s="1763" t="s">
        <v>1389</v>
      </c>
      <c r="AD93" s="1762">
        <v>480</v>
      </c>
      <c r="AE93" s="1729">
        <v>480</v>
      </c>
      <c r="AF93" s="1760">
        <v>480</v>
      </c>
      <c r="AG93" s="1759">
        <v>400</v>
      </c>
      <c r="AH93" s="1729">
        <v>400</v>
      </c>
      <c r="AI93" s="1760">
        <v>400</v>
      </c>
      <c r="AJ93" s="2009">
        <v>290</v>
      </c>
      <c r="AK93" s="2010">
        <v>320</v>
      </c>
      <c r="AL93" s="2011">
        <v>370</v>
      </c>
      <c r="AM93" s="1871" t="s">
        <v>1390</v>
      </c>
      <c r="AN93" s="1763" t="s">
        <v>1389</v>
      </c>
      <c r="AO93" s="156"/>
      <c r="AP93" s="156"/>
      <c r="AX93" s="1722" t="s">
        <v>1946</v>
      </c>
      <c r="AY93" s="681">
        <v>60</v>
      </c>
      <c r="AZ93" s="681">
        <v>60</v>
      </c>
      <c r="BA93" s="681" t="s">
        <v>2561</v>
      </c>
      <c r="BB93" s="681">
        <v>90</v>
      </c>
      <c r="BC93" s="681">
        <v>90</v>
      </c>
      <c r="BD93" s="681" t="s">
        <v>2582</v>
      </c>
      <c r="BE93" s="681">
        <v>90</v>
      </c>
      <c r="BF93" s="681">
        <v>90</v>
      </c>
      <c r="BG93" s="681" t="s">
        <v>2582</v>
      </c>
      <c r="BH93" s="681">
        <v>90</v>
      </c>
      <c r="BI93" s="681">
        <v>90</v>
      </c>
      <c r="BJ93" s="681" t="s">
        <v>2582</v>
      </c>
      <c r="BK93" s="681">
        <v>90</v>
      </c>
      <c r="BL93" s="681">
        <v>90</v>
      </c>
      <c r="BM93" s="681" t="s">
        <v>2582</v>
      </c>
      <c r="BN93" s="471">
        <v>0</v>
      </c>
      <c r="BO93" s="821">
        <v>30</v>
      </c>
      <c r="BP93"/>
      <c r="BQ93" s="1722" t="s">
        <v>1946</v>
      </c>
      <c r="BR93" s="470">
        <v>30</v>
      </c>
      <c r="BS93" s="470">
        <v>45</v>
      </c>
      <c r="BT93" s="470">
        <v>45</v>
      </c>
      <c r="BU93" s="1590"/>
      <c r="BV93" s="1722" t="s">
        <v>1946</v>
      </c>
      <c r="BW93" s="470">
        <v>80</v>
      </c>
      <c r="BX93" s="470">
        <v>120</v>
      </c>
      <c r="BY93" s="470">
        <v>120</v>
      </c>
      <c r="BZ93" s="1588"/>
      <c r="CA93" s="429"/>
      <c r="CB93"/>
      <c r="CC93"/>
      <c r="CD93"/>
      <c r="CE93" s="2310" t="s">
        <v>1951</v>
      </c>
      <c r="CF93" s="1834" t="str">
        <f>IFERROR(INDEX(N_Bedarf!$CE$2:$CE$141,_xlfn.AGGREGATE(15,6,(ROW(N_Bedarf!$CE$2:$CE$141)-1)/(--(SEARCH(CG$2,N_Bedarf!$CE$2:$CE$141)&gt;0)),ROW()-2),1),"")</f>
        <v>Wechselwiese 4 Nutzungen, gräserreich (&lt;40% Legum.)</v>
      </c>
      <c r="CG93" s="1830"/>
      <c r="CH93" s="1834" t="str">
        <f>IFERROR(INDEX(N_Bedarf!$CE$2:$CE$141,_xlfn.AGGREGATE(15,6,(ROW(N_Bedarf!$CE$2:$CE$141)-1)/(--(SEARCH(CI$2,N_Bedarf!$CE$2:$CE$141)&gt;0)),ROW()-2),1),"")</f>
        <v>Wechselwiese 4 Nutzungen, gräserreich (&lt;40% Legum.)</v>
      </c>
      <c r="CI93" s="1830"/>
      <c r="CJ93" s="1834" t="str">
        <f>IFERROR(INDEX(N_Bedarf!$CE$2:$CE$141,_xlfn.AGGREGATE(15,6,(ROW(N_Bedarf!$CE$2:$CE$141)-1)/(--(SEARCH(CK$2,N_Bedarf!$CE$2:$CE$141)&gt;0)),ROW()-2),1),"")</f>
        <v>Wechselwiese 4 Nutzungen, gräserreich (&lt;40% Legum.)</v>
      </c>
      <c r="CK93" s="1830"/>
      <c r="CL93" s="1834" t="str">
        <f>IFERROR(INDEX(N_Bedarf!$CE$2:$CE$141,_xlfn.AGGREGATE(15,6,(ROW(N_Bedarf!$CE$2:$CE$141)-1)/(--(SEARCH(CM$2,N_Bedarf!$CE$2:$CE$141)&gt;0)),ROW()-2),1),"")</f>
        <v>Wechselwiese 4 Nutzungen, gräserreich (&lt;40% Legum.)</v>
      </c>
      <c r="CM93" s="1830"/>
      <c r="CN93" s="1834" t="str">
        <f>IFERROR(INDEX(N_Bedarf!$CE$2:$CE$141,_xlfn.AGGREGATE(15,6,(ROW(N_Bedarf!$CE$2:$CE$141)-1)/(--(SEARCH(CO$2,N_Bedarf!$CE$2:$CE$141)&gt;0)),ROW()-2),1),"")</f>
        <v>Wechselwiese 4 Nutzungen, gräserreich (&lt;40% Legum.)</v>
      </c>
      <c r="CO93" s="1830"/>
      <c r="CP93" s="1834" t="str">
        <f>IFERROR(INDEX(N_Bedarf!$CE$2:$CE$141,_xlfn.AGGREGATE(15,6,(ROW(N_Bedarf!$CE$2:$CE$141)-1)/(--(SEARCH(CQ$2,N_Bedarf!$CE$2:$CE$141)&gt;0)),ROW()-2),1),"")</f>
        <v>Wechselwiese 4 Nutzungen, gräserreich (&lt;40% Legum.)</v>
      </c>
      <c r="CQ93" s="1830"/>
      <c r="CR93" s="1834" t="str">
        <f>IFERROR(INDEX(N_Bedarf!$CE$2:$CE$141,_xlfn.AGGREGATE(15,6,(ROW(N_Bedarf!$CE$2:$CE$141)-1)/(--(SEARCH(CS$2,N_Bedarf!$CE$2:$CE$141)&gt;0)),ROW()-2),1),"")</f>
        <v>Wechselwiese 4 Nutzungen, gräserreich (&lt;40% Legum.)</v>
      </c>
      <c r="CS93" s="1830"/>
      <c r="CT93" s="1834" t="str">
        <f>IFERROR(INDEX(N_Bedarf!$CE$2:$CE$141,_xlfn.AGGREGATE(15,6,(ROW(N_Bedarf!$CE$2:$CE$141)-1)/(--(SEARCH(CU$2,N_Bedarf!$CE$2:$CE$141)&gt;0)),ROW()-2),1),"")</f>
        <v>Wechselwiese 4 Nutzungen, gräserreich (&lt;40% Legum.)</v>
      </c>
      <c r="CU93" s="1830"/>
      <c r="CV93" s="1834" t="str">
        <f>IFERROR(INDEX(N_Bedarf!$CE$2:$CE$141,_xlfn.AGGREGATE(15,6,(ROW(N_Bedarf!$CE$2:$CE$141)-1)/(--(SEARCH(CW$2,N_Bedarf!$CE$2:$CE$141)&gt;0)),ROW()-2),1),"")</f>
        <v>Wechselwiese 4 Nutzungen, gräserreich (&lt;40% Legum.)</v>
      </c>
      <c r="CW93" s="1830"/>
      <c r="CX93" s="1834" t="str">
        <f>IFERROR(INDEX(N_Bedarf!$CE$2:$CE$141,_xlfn.AGGREGATE(15,6,(ROW(N_Bedarf!$CE$2:$CE$141)-1)/(--(SEARCH(CY$2,N_Bedarf!$CE$2:$CE$141)&gt;0)),ROW()-2),1),"")</f>
        <v>Wechselwiese 4 Nutzungen, gräserreich (&lt;40% Legum.)</v>
      </c>
      <c r="CY93" s="1830"/>
      <c r="CZ93" s="1834" t="str">
        <f>IFERROR(INDEX(N_Bedarf!$CE$2:$CE$141,_xlfn.AGGREGATE(15,6,(ROW(N_Bedarf!$CE$2:$CE$141)-1)/(--(SEARCH(DA$2,N_Bedarf!$CE$2:$CE$141)&gt;0)),ROW()-2),1),"")</f>
        <v>Wechselwiese 4 Nutzungen, gräserreich (&lt;40% Legum.)</v>
      </c>
      <c r="DA93" s="1830"/>
      <c r="DB93" s="1834" t="str">
        <f>IFERROR(INDEX(N_Bedarf!$CE$2:$CE$141,_xlfn.AGGREGATE(15,6,(ROW(N_Bedarf!$CE$2:$CE$141)-1)/(--(SEARCH(DC$2,N_Bedarf!$CE$2:$CE$141)&gt;0)),ROW()-2),1),"")</f>
        <v>Wechselwiese 4 Nutzungen, gräserreich (&lt;40% Legum.)</v>
      </c>
      <c r="DC93" s="1830"/>
      <c r="DD93" s="1834" t="str">
        <f>IFERROR(INDEX(N_Bedarf!$CE$2:$CE$141,_xlfn.AGGREGATE(15,6,(ROW(N_Bedarf!$CE$2:$CE$141)-1)/(--(SEARCH(DE$2,N_Bedarf!$CE$2:$CE$141)&gt;0)),ROW()-2),1),"")</f>
        <v>Wechselwiese 4 Nutzungen, gräserreich (&lt;40% Legum.)</v>
      </c>
      <c r="DE93" s="1830"/>
      <c r="DF93" s="2353" t="str">
        <f t="array" ref="DF93">IFERROR(INDEX(N_Bedarf!$CE$2:$CE$141,_xlfn.AGGREGATE(15,6,(ROW(N_Bedarf!$CE$2:$CE$141)-1)/(--(SEARCH(DG$2,N_Bedarf!$CE$2:$CE$141)&gt;0)),ROW()-2),1),"")</f>
        <v>Wechselwiese 4 Nutzungen, gräserreich (&lt;40% Legum.)</v>
      </c>
      <c r="DG93" s="2353"/>
      <c r="DH93" s="2355" t="str">
        <f t="array" ref="DH93">IFERROR(INDEX(N_Bedarf!$CE$2:$CE$141,_xlfn.AGGREGATE(15,6,(ROW(N_Bedarf!$CE$2:$CE$141)-1)/(--(SEARCH(DI$2,N_Bedarf!$CE$2:$CE$141)&gt;0)),ROW()-2),1),"")</f>
        <v>Wechselwiese 4 Nutzungen, gräserreich (&lt;40% Legum.)</v>
      </c>
      <c r="DI93" s="2355"/>
      <c r="DJ93" s="2356" t="str">
        <f t="array" ref="DJ93">IFERROR(INDEX(N_Bedarf!$CE$2:$CE$141,_xlfn.AGGREGATE(15,6,(ROW(N_Bedarf!$CE$2:$CE$141)-1)/(--(SEARCH(DK$2,N_Bedarf!$CE$2:$CE$141)&gt;0)),ROW()-2),1),"")</f>
        <v>Wechselwiese 4 Nutzungen, gräserreich (&lt;40% Legum.)</v>
      </c>
      <c r="DK93" s="2356"/>
      <c r="DL93" s="2356" t="str">
        <f t="array" ref="DL93">IFERROR(INDEX(N_Bedarf!$CE$2:$CE$141,_xlfn.AGGREGATE(15,6,(ROW(N_Bedarf!$CE$2:$CE$141)-1)/(--(SEARCH(DM$2,N_Bedarf!$CE$2:$CE$141)&gt;0)),ROW()-2),1),"")</f>
        <v>Wechselwiese 4 Nutzungen, gräserreich (&lt;40% Legum.)</v>
      </c>
      <c r="DM93" s="2356"/>
      <c r="DN93" s="2356" t="str">
        <f t="array" ref="DN93">IFERROR(INDEX(N_Bedarf!$CE$2:$CE$141,_xlfn.AGGREGATE(15,6,(ROW(N_Bedarf!$CE$2:$CE$141)-1)/(--(SEARCH(DO$2,N_Bedarf!$CE$2:$CE$141)&gt;0)),ROW()-2),1),"")</f>
        <v>Wechselwiese 4 Nutzungen, gräserreich (&lt;40% Legum.)</v>
      </c>
      <c r="DO93" s="2356"/>
      <c r="DP93" s="2356" t="str">
        <f t="array" ref="DP93">IFERROR(INDEX(N_Bedarf!$CE$2:$CE$141,_xlfn.AGGREGATE(15,6,(ROW(N_Bedarf!$CE$2:$CE$141)-1)/(--(SEARCH(DQ$2,N_Bedarf!$CE$2:$CE$141)&gt;0)),ROW()-2),1),"")</f>
        <v>Wechselwiese 4 Nutzungen, gräserreich (&lt;40% Legum.)</v>
      </c>
      <c r="DQ93" s="2356"/>
      <c r="DR93" s="2356" t="str">
        <f t="array" ref="DR93">IFERROR(INDEX(N_Bedarf!$CE$2:$CE$141,_xlfn.AGGREGATE(15,6,(ROW(N_Bedarf!$CE$2:$CE$141)-1)/(--(SEARCH(DS$2,N_Bedarf!$CE$2:$CE$141)&gt;0)),ROW()-2),1),"")</f>
        <v>Wechselwiese 4 Nutzungen, gräserreich (&lt;40% Legum.)</v>
      </c>
      <c r="DS93" s="2356"/>
      <c r="DT93" s="2356" t="str">
        <f t="array" ref="DT93">IFERROR(INDEX(N_Bedarf!$CE$2:$CE$141,_xlfn.AGGREGATE(15,6,(ROW(N_Bedarf!$CE$2:$CE$141)-1)/(--(SEARCH(DU$2,N_Bedarf!$CE$2:$CE$141)&gt;0)),ROW()-2),1),"")</f>
        <v>Wechselwiese 4 Nutzungen, gräserreich (&lt;40% Legum.)</v>
      </c>
      <c r="DU93" s="2356"/>
      <c r="DV93" s="2356" t="str">
        <f t="array" ref="DV93">IFERROR(INDEX(N_Bedarf!$CE$2:$CE$141,_xlfn.AGGREGATE(15,6,(ROW(N_Bedarf!$CE$2:$CE$141)-1)/(--(SEARCH(DW$2,N_Bedarf!$CE$2:$CE$141)&gt;0)),ROW()-2),1),"")</f>
        <v>Wechselwiese 4 Nutzungen, gräserreich (&lt;40% Legum.)</v>
      </c>
      <c r="DW93" s="2356"/>
      <c r="DX93" s="2356" t="str">
        <f t="array" ref="DX93">IFERROR(INDEX(N_Bedarf!$CE$2:$CE$141,_xlfn.AGGREGATE(15,6,(ROW(N_Bedarf!$CE$2:$CE$141)-1)/(--(SEARCH(DY$2,N_Bedarf!$CE$2:$CE$141)&gt;0)),ROW()-2),1),"")</f>
        <v>Wechselwiese 4 Nutzungen, gräserreich (&lt;40% Legum.)</v>
      </c>
      <c r="DY93" s="2356"/>
      <c r="DZ93" s="2356" t="str">
        <f t="array" ref="DZ93">IFERROR(INDEX(N_Bedarf!$CE$2:$CE$141,_xlfn.AGGREGATE(15,6,(ROW(N_Bedarf!$CE$2:$CE$141)-1)/(--(SEARCH(EA$2,N_Bedarf!$CE$2:$CE$141)&gt;0)),ROW()-2),1),"")</f>
        <v>Wechselwiese 4 Nutzungen, gräserreich (&lt;40% Legum.)</v>
      </c>
      <c r="EA93" s="2356"/>
      <c r="EB93" s="2356" t="str">
        <f t="array" ref="EB93">IFERROR(INDEX(N_Bedarf!$CE$2:$CE$141,_xlfn.AGGREGATE(15,6,(ROW(N_Bedarf!$CE$2:$CE$141)-1)/(--(SEARCH(EC$2,N_Bedarf!$CE$2:$CE$141)&gt;0)),ROW()-2),1),"")</f>
        <v>Wechselwiese 4 Nutzungen, gräserreich (&lt;40% Legum.)</v>
      </c>
      <c r="EC93" s="2356"/>
      <c r="ED93"/>
      <c r="EE93"/>
      <c r="EF93"/>
      <c r="EG93"/>
      <c r="EH93"/>
      <c r="EI93"/>
      <c r="EJ93"/>
      <c r="EK93"/>
      <c r="EL93"/>
      <c r="EM93"/>
      <c r="EN93"/>
      <c r="EO93"/>
      <c r="EP93"/>
      <c r="EQ93"/>
      <c r="ER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row>
    <row r="94" spans="1:291" ht="21" customHeight="1" thickTop="1" thickBot="1">
      <c r="A94" s="156"/>
      <c r="B94" s="156"/>
      <c r="C94" s="1758" t="s">
        <v>1700</v>
      </c>
      <c r="D94" s="1759" t="s">
        <v>714</v>
      </c>
      <c r="E94" s="1729">
        <v>40</v>
      </c>
      <c r="F94" s="1760">
        <v>30</v>
      </c>
      <c r="G94" s="1993" t="s">
        <v>1773</v>
      </c>
      <c r="H94" s="1994">
        <v>40</v>
      </c>
      <c r="I94" s="1995">
        <v>30</v>
      </c>
      <c r="J94" s="1759" t="s">
        <v>1773</v>
      </c>
      <c r="K94" s="1729">
        <v>40</v>
      </c>
      <c r="L94" s="1760">
        <v>30</v>
      </c>
      <c r="M94" s="1759"/>
      <c r="N94" s="1729"/>
      <c r="O94" s="1760"/>
      <c r="P94" s="1759"/>
      <c r="Q94" s="1729"/>
      <c r="R94" s="1761"/>
      <c r="S94" s="1762">
        <v>40</v>
      </c>
      <c r="T94" s="1729">
        <v>40</v>
      </c>
      <c r="U94" s="1760">
        <v>40</v>
      </c>
      <c r="V94" s="1759">
        <v>30</v>
      </c>
      <c r="W94" s="1729">
        <v>30</v>
      </c>
      <c r="X94" s="1760">
        <v>30</v>
      </c>
      <c r="Y94" s="2009">
        <v>25</v>
      </c>
      <c r="Z94" s="2010">
        <v>25</v>
      </c>
      <c r="AA94" s="2011">
        <v>30</v>
      </c>
      <c r="AB94" s="1871" t="s">
        <v>1388</v>
      </c>
      <c r="AC94" s="1763" t="s">
        <v>1389</v>
      </c>
      <c r="AD94" s="1762">
        <v>120</v>
      </c>
      <c r="AE94" s="1729">
        <v>120</v>
      </c>
      <c r="AF94" s="1760">
        <v>120</v>
      </c>
      <c r="AG94" s="1759">
        <v>100</v>
      </c>
      <c r="AH94" s="1729">
        <v>100</v>
      </c>
      <c r="AI94" s="1760">
        <v>100</v>
      </c>
      <c r="AJ94" s="2009">
        <v>70</v>
      </c>
      <c r="AK94" s="2010">
        <v>80</v>
      </c>
      <c r="AL94" s="2011">
        <v>90</v>
      </c>
      <c r="AM94" s="1871" t="s">
        <v>1390</v>
      </c>
      <c r="AN94" s="1763" t="s">
        <v>1389</v>
      </c>
      <c r="AO94" s="156"/>
      <c r="AP94" s="156"/>
      <c r="AX94" s="1722" t="s">
        <v>1947</v>
      </c>
      <c r="AY94" s="681">
        <v>105</v>
      </c>
      <c r="AZ94" s="681">
        <v>105</v>
      </c>
      <c r="BA94" s="681" t="s">
        <v>2696</v>
      </c>
      <c r="BB94" s="681">
        <v>120</v>
      </c>
      <c r="BC94" s="681">
        <v>120</v>
      </c>
      <c r="BD94" s="681" t="s">
        <v>2739</v>
      </c>
      <c r="BE94" s="681">
        <v>150</v>
      </c>
      <c r="BF94" s="681">
        <v>150</v>
      </c>
      <c r="BG94" s="681" t="s">
        <v>2584</v>
      </c>
      <c r="BH94" s="681">
        <v>150</v>
      </c>
      <c r="BI94" s="681">
        <v>150</v>
      </c>
      <c r="BJ94" s="681" t="s">
        <v>2584</v>
      </c>
      <c r="BK94" s="681">
        <v>150</v>
      </c>
      <c r="BL94" s="681">
        <v>150</v>
      </c>
      <c r="BM94" s="681" t="s">
        <v>2584</v>
      </c>
      <c r="BN94" s="471">
        <v>0</v>
      </c>
      <c r="BO94" s="821">
        <v>30</v>
      </c>
      <c r="BP94"/>
      <c r="BQ94" s="1722" t="s">
        <v>1947</v>
      </c>
      <c r="BR94" s="470">
        <v>45</v>
      </c>
      <c r="BS94" s="470">
        <v>65</v>
      </c>
      <c r="BT94" s="470">
        <v>80</v>
      </c>
      <c r="BU94" s="1590"/>
      <c r="BV94" s="1722" t="s">
        <v>1947</v>
      </c>
      <c r="BW94" s="470">
        <v>130</v>
      </c>
      <c r="BX94" s="470">
        <v>170</v>
      </c>
      <c r="BY94" s="470">
        <v>215</v>
      </c>
      <c r="BZ94" s="1588"/>
      <c r="CA94" s="429"/>
      <c r="CB94"/>
      <c r="CC94"/>
      <c r="CD94"/>
      <c r="CE94" s="2310" t="s">
        <v>1953</v>
      </c>
      <c r="CF94" s="1834" t="str">
        <f>IFERROR(INDEX(N_Bedarf!$CE$2:$CE$141,_xlfn.AGGREGATE(15,6,(ROW(N_Bedarf!$CE$2:$CE$141)-1)/(--(SEARCH(CG$2,N_Bedarf!$CE$2:$CE$141)&gt;0)),ROW()-2),1),"")</f>
        <v>Wechselwiese 5 Nutzungen, gräserreich (&lt;40% Legum.)</v>
      </c>
      <c r="CG94" s="1836"/>
      <c r="CH94" s="1834" t="str">
        <f>IFERROR(INDEX(N_Bedarf!$CE$2:$CE$141,_xlfn.AGGREGATE(15,6,(ROW(N_Bedarf!$CE$2:$CE$141)-1)/(--(SEARCH(CI$2,N_Bedarf!$CE$2:$CE$141)&gt;0)),ROW()-2),1),"")</f>
        <v>Wechselwiese 5 Nutzungen, gräserreich (&lt;40% Legum.)</v>
      </c>
      <c r="CI94" s="1836"/>
      <c r="CJ94" s="1834" t="str">
        <f>IFERROR(INDEX(N_Bedarf!$CE$2:$CE$141,_xlfn.AGGREGATE(15,6,(ROW(N_Bedarf!$CE$2:$CE$141)-1)/(--(SEARCH(CK$2,N_Bedarf!$CE$2:$CE$141)&gt;0)),ROW()-2),1),"")</f>
        <v>Wechselwiese 5 Nutzungen, gräserreich (&lt;40% Legum.)</v>
      </c>
      <c r="CK94" s="1836"/>
      <c r="CL94" s="1834" t="str">
        <f>IFERROR(INDEX(N_Bedarf!$CE$2:$CE$141,_xlfn.AGGREGATE(15,6,(ROW(N_Bedarf!$CE$2:$CE$141)-1)/(--(SEARCH(CM$2,N_Bedarf!$CE$2:$CE$141)&gt;0)),ROW()-2),1),"")</f>
        <v>Wechselwiese 5 Nutzungen, gräserreich (&lt;40% Legum.)</v>
      </c>
      <c r="CM94" s="1836"/>
      <c r="CN94" s="1834" t="str">
        <f>IFERROR(INDEX(N_Bedarf!$CE$2:$CE$141,_xlfn.AGGREGATE(15,6,(ROW(N_Bedarf!$CE$2:$CE$141)-1)/(--(SEARCH(CO$2,N_Bedarf!$CE$2:$CE$141)&gt;0)),ROW()-2),1),"")</f>
        <v>Wechselwiese 5 Nutzungen, gräserreich (&lt;40% Legum.)</v>
      </c>
      <c r="CO94" s="1836"/>
      <c r="CP94" s="1834" t="str">
        <f>IFERROR(INDEX(N_Bedarf!$CE$2:$CE$141,_xlfn.AGGREGATE(15,6,(ROW(N_Bedarf!$CE$2:$CE$141)-1)/(--(SEARCH(CQ$2,N_Bedarf!$CE$2:$CE$141)&gt;0)),ROW()-2),1),"")</f>
        <v>Wechselwiese 5 Nutzungen, gräserreich (&lt;40% Legum.)</v>
      </c>
      <c r="CQ94" s="1836"/>
      <c r="CR94" s="1834" t="str">
        <f>IFERROR(INDEX(N_Bedarf!$CE$2:$CE$141,_xlfn.AGGREGATE(15,6,(ROW(N_Bedarf!$CE$2:$CE$141)-1)/(--(SEARCH(CS$2,N_Bedarf!$CE$2:$CE$141)&gt;0)),ROW()-2),1),"")</f>
        <v>Wechselwiese 5 Nutzungen, gräserreich (&lt;40% Legum.)</v>
      </c>
      <c r="CS94" s="1836"/>
      <c r="CT94" s="1834" t="str">
        <f>IFERROR(INDEX(N_Bedarf!$CE$2:$CE$141,_xlfn.AGGREGATE(15,6,(ROW(N_Bedarf!$CE$2:$CE$141)-1)/(--(SEARCH(CU$2,N_Bedarf!$CE$2:$CE$141)&gt;0)),ROW()-2),1),"")</f>
        <v>Wechselwiese 5 Nutzungen, gräserreich (&lt;40% Legum.)</v>
      </c>
      <c r="CU94" s="1836"/>
      <c r="CV94" s="1834" t="str">
        <f>IFERROR(INDEX(N_Bedarf!$CE$2:$CE$141,_xlfn.AGGREGATE(15,6,(ROW(N_Bedarf!$CE$2:$CE$141)-1)/(--(SEARCH(CW$2,N_Bedarf!$CE$2:$CE$141)&gt;0)),ROW()-2),1),"")</f>
        <v>Wechselwiese 5 Nutzungen, gräserreich (&lt;40% Legum.)</v>
      </c>
      <c r="CW94" s="1836"/>
      <c r="CX94" s="1834" t="str">
        <f>IFERROR(INDEX(N_Bedarf!$CE$2:$CE$141,_xlfn.AGGREGATE(15,6,(ROW(N_Bedarf!$CE$2:$CE$141)-1)/(--(SEARCH(CY$2,N_Bedarf!$CE$2:$CE$141)&gt;0)),ROW()-2),1),"")</f>
        <v>Wechselwiese 5 Nutzungen, gräserreich (&lt;40% Legum.)</v>
      </c>
      <c r="CY94" s="1836"/>
      <c r="CZ94" s="1834" t="str">
        <f>IFERROR(INDEX(N_Bedarf!$CE$2:$CE$141,_xlfn.AGGREGATE(15,6,(ROW(N_Bedarf!$CE$2:$CE$141)-1)/(--(SEARCH(DA$2,N_Bedarf!$CE$2:$CE$141)&gt;0)),ROW()-2),1),"")</f>
        <v>Wechselwiese 5 Nutzungen, gräserreich (&lt;40% Legum.)</v>
      </c>
      <c r="DA94" s="1836"/>
      <c r="DB94" s="1834" t="str">
        <f>IFERROR(INDEX(N_Bedarf!$CE$2:$CE$141,_xlfn.AGGREGATE(15,6,(ROW(N_Bedarf!$CE$2:$CE$141)-1)/(--(SEARCH(DC$2,N_Bedarf!$CE$2:$CE$141)&gt;0)),ROW()-2),1),"")</f>
        <v>Wechselwiese 5 Nutzungen, gräserreich (&lt;40% Legum.)</v>
      </c>
      <c r="DC94" s="1836"/>
      <c r="DD94" s="1834" t="str">
        <f>IFERROR(INDEX(N_Bedarf!$CE$2:$CE$141,_xlfn.AGGREGATE(15,6,(ROW(N_Bedarf!$CE$2:$CE$141)-1)/(--(SEARCH(DE$2,N_Bedarf!$CE$2:$CE$141)&gt;0)),ROW()-2),1),"")</f>
        <v>Wechselwiese 5 Nutzungen, gräserreich (&lt;40% Legum.)</v>
      </c>
      <c r="DE94" s="1836"/>
      <c r="DF94" s="2353" t="str">
        <f t="array" ref="DF94">IFERROR(INDEX(N_Bedarf!$CE$2:$CE$141,_xlfn.AGGREGATE(15,6,(ROW(N_Bedarf!$CE$2:$CE$141)-1)/(--(SEARCH(DG$2,N_Bedarf!$CE$2:$CE$141)&gt;0)),ROW()-2),1),"")</f>
        <v>Wechselwiese 5 Nutzungen, gräserreich (&lt;40% Legum.)</v>
      </c>
      <c r="DG94" s="2353"/>
      <c r="DH94" s="2355" t="str">
        <f t="array" ref="DH94">IFERROR(INDEX(N_Bedarf!$CE$2:$CE$141,_xlfn.AGGREGATE(15,6,(ROW(N_Bedarf!$CE$2:$CE$141)-1)/(--(SEARCH(DI$2,N_Bedarf!$CE$2:$CE$141)&gt;0)),ROW()-2),1),"")</f>
        <v>Wechselwiese 5 Nutzungen, gräserreich (&lt;40% Legum.)</v>
      </c>
      <c r="DI94" s="2355"/>
      <c r="DJ94" s="2356" t="str">
        <f t="array" ref="DJ94">IFERROR(INDEX(N_Bedarf!$CE$2:$CE$141,_xlfn.AGGREGATE(15,6,(ROW(N_Bedarf!$CE$2:$CE$141)-1)/(--(SEARCH(DK$2,N_Bedarf!$CE$2:$CE$141)&gt;0)),ROW()-2),1),"")</f>
        <v>Wechselwiese 5 Nutzungen, gräserreich (&lt;40% Legum.)</v>
      </c>
      <c r="DK94" s="2356"/>
      <c r="DL94" s="2356" t="str">
        <f t="array" ref="DL94">IFERROR(INDEX(N_Bedarf!$CE$2:$CE$141,_xlfn.AGGREGATE(15,6,(ROW(N_Bedarf!$CE$2:$CE$141)-1)/(--(SEARCH(DM$2,N_Bedarf!$CE$2:$CE$141)&gt;0)),ROW()-2),1),"")</f>
        <v>Wechselwiese 5 Nutzungen, gräserreich (&lt;40% Legum.)</v>
      </c>
      <c r="DM94" s="2356"/>
      <c r="DN94" s="2356" t="str">
        <f t="array" ref="DN94">IFERROR(INDEX(N_Bedarf!$CE$2:$CE$141,_xlfn.AGGREGATE(15,6,(ROW(N_Bedarf!$CE$2:$CE$141)-1)/(--(SEARCH(DO$2,N_Bedarf!$CE$2:$CE$141)&gt;0)),ROW()-2),1),"")</f>
        <v>Wechselwiese 5 Nutzungen, gräserreich (&lt;40% Legum.)</v>
      </c>
      <c r="DO94" s="2356"/>
      <c r="DP94" s="2356" t="str">
        <f t="array" ref="DP94">IFERROR(INDEX(N_Bedarf!$CE$2:$CE$141,_xlfn.AGGREGATE(15,6,(ROW(N_Bedarf!$CE$2:$CE$141)-1)/(--(SEARCH(DQ$2,N_Bedarf!$CE$2:$CE$141)&gt;0)),ROW()-2),1),"")</f>
        <v>Wechselwiese 5 Nutzungen, gräserreich (&lt;40% Legum.)</v>
      </c>
      <c r="DQ94" s="2356"/>
      <c r="DR94" s="2356" t="str">
        <f t="array" ref="DR94">IFERROR(INDEX(N_Bedarf!$CE$2:$CE$141,_xlfn.AGGREGATE(15,6,(ROW(N_Bedarf!$CE$2:$CE$141)-1)/(--(SEARCH(DS$2,N_Bedarf!$CE$2:$CE$141)&gt;0)),ROW()-2),1),"")</f>
        <v>Wechselwiese 5 Nutzungen, gräserreich (&lt;40% Legum.)</v>
      </c>
      <c r="DS94" s="2356"/>
      <c r="DT94" s="2356" t="str">
        <f t="array" ref="DT94">IFERROR(INDEX(N_Bedarf!$CE$2:$CE$141,_xlfn.AGGREGATE(15,6,(ROW(N_Bedarf!$CE$2:$CE$141)-1)/(--(SEARCH(DU$2,N_Bedarf!$CE$2:$CE$141)&gt;0)),ROW()-2),1),"")</f>
        <v>Wechselwiese 5 Nutzungen, gräserreich (&lt;40% Legum.)</v>
      </c>
      <c r="DU94" s="2356"/>
      <c r="DV94" s="2356" t="str">
        <f t="array" ref="DV94">IFERROR(INDEX(N_Bedarf!$CE$2:$CE$141,_xlfn.AGGREGATE(15,6,(ROW(N_Bedarf!$CE$2:$CE$141)-1)/(--(SEARCH(DW$2,N_Bedarf!$CE$2:$CE$141)&gt;0)),ROW()-2),1),"")</f>
        <v>Wechselwiese 5 Nutzungen, gräserreich (&lt;40% Legum.)</v>
      </c>
      <c r="DW94" s="2356"/>
      <c r="DX94" s="2356" t="str">
        <f t="array" ref="DX94">IFERROR(INDEX(N_Bedarf!$CE$2:$CE$141,_xlfn.AGGREGATE(15,6,(ROW(N_Bedarf!$CE$2:$CE$141)-1)/(--(SEARCH(DY$2,N_Bedarf!$CE$2:$CE$141)&gt;0)),ROW()-2),1),"")</f>
        <v>Wechselwiese 5 Nutzungen, gräserreich (&lt;40% Legum.)</v>
      </c>
      <c r="DY94" s="2356"/>
      <c r="DZ94" s="2356" t="str">
        <f t="array" ref="DZ94">IFERROR(INDEX(N_Bedarf!$CE$2:$CE$141,_xlfn.AGGREGATE(15,6,(ROW(N_Bedarf!$CE$2:$CE$141)-1)/(--(SEARCH(EA$2,N_Bedarf!$CE$2:$CE$141)&gt;0)),ROW()-2),1),"")</f>
        <v>Wechselwiese 5 Nutzungen, gräserreich (&lt;40% Legum.)</v>
      </c>
      <c r="EA94" s="2356"/>
      <c r="EB94" s="2356" t="str">
        <f t="array" ref="EB94">IFERROR(INDEX(N_Bedarf!$CE$2:$CE$141,_xlfn.AGGREGATE(15,6,(ROW(N_Bedarf!$CE$2:$CE$141)-1)/(--(SEARCH(EC$2,N_Bedarf!$CE$2:$CE$141)&gt;0)),ROW()-2),1),"")</f>
        <v>Wechselwiese 5 Nutzungen, gräserreich (&lt;40% Legum.)</v>
      </c>
      <c r="EC94" s="2356"/>
      <c r="ED94"/>
      <c r="EE94"/>
      <c r="EF94"/>
      <c r="EG94"/>
      <c r="EH94"/>
      <c r="EI94"/>
      <c r="EJ94"/>
      <c r="EK94"/>
      <c r="EL94"/>
      <c r="EM94"/>
      <c r="EN94"/>
      <c r="EO94"/>
      <c r="EP94"/>
      <c r="EQ94"/>
      <c r="ER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row>
    <row r="95" spans="1:291" ht="21" customHeight="1" thickTop="1" thickBot="1">
      <c r="A95" s="156"/>
      <c r="B95" s="156"/>
      <c r="C95" s="1758" t="s">
        <v>1701</v>
      </c>
      <c r="D95" s="1759" t="s">
        <v>714</v>
      </c>
      <c r="E95" s="1729">
        <v>80</v>
      </c>
      <c r="F95" s="1760">
        <v>70</v>
      </c>
      <c r="G95" s="1993" t="s">
        <v>1773</v>
      </c>
      <c r="H95" s="1994">
        <v>80</v>
      </c>
      <c r="I95" s="1995">
        <v>70</v>
      </c>
      <c r="J95" s="1759" t="s">
        <v>1773</v>
      </c>
      <c r="K95" s="1729">
        <v>80</v>
      </c>
      <c r="L95" s="1760">
        <v>70</v>
      </c>
      <c r="M95" s="1759"/>
      <c r="N95" s="1729"/>
      <c r="O95" s="1760"/>
      <c r="P95" s="1759"/>
      <c r="Q95" s="1729"/>
      <c r="R95" s="1761"/>
      <c r="S95" s="1762">
        <v>40</v>
      </c>
      <c r="T95" s="1729">
        <v>40</v>
      </c>
      <c r="U95" s="1760">
        <v>40</v>
      </c>
      <c r="V95" s="1759">
        <v>30</v>
      </c>
      <c r="W95" s="1729">
        <v>30</v>
      </c>
      <c r="X95" s="1760">
        <v>30</v>
      </c>
      <c r="Y95" s="2009">
        <v>25</v>
      </c>
      <c r="Z95" s="2010">
        <v>25</v>
      </c>
      <c r="AA95" s="2011">
        <v>30</v>
      </c>
      <c r="AB95" s="1871" t="s">
        <v>1388</v>
      </c>
      <c r="AC95" s="1763" t="s">
        <v>1389</v>
      </c>
      <c r="AD95" s="1762">
        <v>120</v>
      </c>
      <c r="AE95" s="1729">
        <v>120</v>
      </c>
      <c r="AF95" s="1760">
        <v>120</v>
      </c>
      <c r="AG95" s="1759">
        <v>100</v>
      </c>
      <c r="AH95" s="1729">
        <v>100</v>
      </c>
      <c r="AI95" s="1760">
        <v>100</v>
      </c>
      <c r="AJ95" s="2009">
        <v>70</v>
      </c>
      <c r="AK95" s="2010">
        <v>80</v>
      </c>
      <c r="AL95" s="2011">
        <v>90</v>
      </c>
      <c r="AM95" s="1871" t="s">
        <v>1390</v>
      </c>
      <c r="AN95" s="1763" t="s">
        <v>1389</v>
      </c>
      <c r="AO95" s="156"/>
      <c r="AP95" s="156"/>
      <c r="AX95" s="1722" t="s">
        <v>1949</v>
      </c>
      <c r="AY95" s="681">
        <v>160</v>
      </c>
      <c r="AZ95" s="681">
        <v>160</v>
      </c>
      <c r="BA95" s="681" t="s">
        <v>2697</v>
      </c>
      <c r="BB95" s="681">
        <v>160</v>
      </c>
      <c r="BC95" s="681">
        <v>160</v>
      </c>
      <c r="BD95" s="681" t="s">
        <v>2697</v>
      </c>
      <c r="BE95" s="681">
        <v>200</v>
      </c>
      <c r="BF95" s="681">
        <v>200</v>
      </c>
      <c r="BG95" s="681" t="s">
        <v>2585</v>
      </c>
      <c r="BH95" s="681">
        <v>200</v>
      </c>
      <c r="BI95" s="681">
        <v>200</v>
      </c>
      <c r="BJ95" s="681" t="s">
        <v>2585</v>
      </c>
      <c r="BK95" s="681">
        <v>200</v>
      </c>
      <c r="BL95" s="681">
        <v>200</v>
      </c>
      <c r="BM95" s="681" t="s">
        <v>2585</v>
      </c>
      <c r="BN95" s="471">
        <v>0</v>
      </c>
      <c r="BO95" s="821">
        <v>30</v>
      </c>
      <c r="BP95"/>
      <c r="BQ95" s="1722" t="s">
        <v>1949</v>
      </c>
      <c r="BR95" s="470">
        <v>80</v>
      </c>
      <c r="BS95" s="470">
        <v>80</v>
      </c>
      <c r="BT95" s="470">
        <v>90</v>
      </c>
      <c r="BU95" s="1590"/>
      <c r="BV95" s="1722" t="s">
        <v>1949</v>
      </c>
      <c r="BW95" s="470">
        <v>205</v>
      </c>
      <c r="BX95" s="470">
        <v>205</v>
      </c>
      <c r="BY95" s="470">
        <v>260</v>
      </c>
      <c r="BZ95" s="1588"/>
      <c r="CA95" s="429"/>
      <c r="CB95"/>
      <c r="CC95"/>
      <c r="CD95"/>
      <c r="CE95" s="2310" t="s">
        <v>1948</v>
      </c>
      <c r="CF95" s="1834" t="str">
        <f>IFERROR(INDEX(N_Bedarf!$CE$2:$CE$141,_xlfn.AGGREGATE(15,6,(ROW(N_Bedarf!$CE$2:$CE$141)-1)/(--(SEARCH(CG$2,N_Bedarf!$CE$2:$CE$141)&gt;0)),ROW()-2),1),"")</f>
        <v>Wechselwiese 6 Nutzungen, gräserreich (&lt;40% Legum.)</v>
      </c>
      <c r="CG95" s="1830"/>
      <c r="CH95" s="1834" t="str">
        <f>IFERROR(INDEX(N_Bedarf!$CE$2:$CE$141,_xlfn.AGGREGATE(15,6,(ROW(N_Bedarf!$CE$2:$CE$141)-1)/(--(SEARCH(CI$2,N_Bedarf!$CE$2:$CE$141)&gt;0)),ROW()-2),1),"")</f>
        <v>Wechselwiese 6 Nutzungen, gräserreich (&lt;40% Legum.)</v>
      </c>
      <c r="CI95" s="1830"/>
      <c r="CJ95" s="1834" t="str">
        <f>IFERROR(INDEX(N_Bedarf!$CE$2:$CE$141,_xlfn.AGGREGATE(15,6,(ROW(N_Bedarf!$CE$2:$CE$141)-1)/(--(SEARCH(CK$2,N_Bedarf!$CE$2:$CE$141)&gt;0)),ROW()-2),1),"")</f>
        <v>Wechselwiese 6 Nutzungen, gräserreich (&lt;40% Legum.)</v>
      </c>
      <c r="CK95" s="1830"/>
      <c r="CL95" s="1834" t="str">
        <f>IFERROR(INDEX(N_Bedarf!$CE$2:$CE$141,_xlfn.AGGREGATE(15,6,(ROW(N_Bedarf!$CE$2:$CE$141)-1)/(--(SEARCH(CM$2,N_Bedarf!$CE$2:$CE$141)&gt;0)),ROW()-2),1),"")</f>
        <v>Wechselwiese 6 Nutzungen, gräserreich (&lt;40% Legum.)</v>
      </c>
      <c r="CM95" s="1830"/>
      <c r="CN95" s="1834" t="str">
        <f>IFERROR(INDEX(N_Bedarf!$CE$2:$CE$141,_xlfn.AGGREGATE(15,6,(ROW(N_Bedarf!$CE$2:$CE$141)-1)/(--(SEARCH(CO$2,N_Bedarf!$CE$2:$CE$141)&gt;0)),ROW()-2),1),"")</f>
        <v>Wechselwiese 6 Nutzungen, gräserreich (&lt;40% Legum.)</v>
      </c>
      <c r="CO95" s="1830"/>
      <c r="CP95" s="1834" t="str">
        <f>IFERROR(INDEX(N_Bedarf!$CE$2:$CE$141,_xlfn.AGGREGATE(15,6,(ROW(N_Bedarf!$CE$2:$CE$141)-1)/(--(SEARCH(CQ$2,N_Bedarf!$CE$2:$CE$141)&gt;0)),ROW()-2),1),"")</f>
        <v>Wechselwiese 6 Nutzungen, gräserreich (&lt;40% Legum.)</v>
      </c>
      <c r="CQ95" s="1830"/>
      <c r="CR95" s="1834" t="str">
        <f>IFERROR(INDEX(N_Bedarf!$CE$2:$CE$141,_xlfn.AGGREGATE(15,6,(ROW(N_Bedarf!$CE$2:$CE$141)-1)/(--(SEARCH(CS$2,N_Bedarf!$CE$2:$CE$141)&gt;0)),ROW()-2),1),"")</f>
        <v>Wechselwiese 6 Nutzungen, gräserreich (&lt;40% Legum.)</v>
      </c>
      <c r="CS95" s="1830"/>
      <c r="CT95" s="1834" t="str">
        <f>IFERROR(INDEX(N_Bedarf!$CE$2:$CE$141,_xlfn.AGGREGATE(15,6,(ROW(N_Bedarf!$CE$2:$CE$141)-1)/(--(SEARCH(CU$2,N_Bedarf!$CE$2:$CE$141)&gt;0)),ROW()-2),1),"")</f>
        <v>Wechselwiese 6 Nutzungen, gräserreich (&lt;40% Legum.)</v>
      </c>
      <c r="CU95" s="1830"/>
      <c r="CV95" s="1834" t="str">
        <f>IFERROR(INDEX(N_Bedarf!$CE$2:$CE$141,_xlfn.AGGREGATE(15,6,(ROW(N_Bedarf!$CE$2:$CE$141)-1)/(--(SEARCH(CW$2,N_Bedarf!$CE$2:$CE$141)&gt;0)),ROW()-2),1),"")</f>
        <v>Wechselwiese 6 Nutzungen, gräserreich (&lt;40% Legum.)</v>
      </c>
      <c r="CW95" s="1830"/>
      <c r="CX95" s="1834" t="str">
        <f>IFERROR(INDEX(N_Bedarf!$CE$2:$CE$141,_xlfn.AGGREGATE(15,6,(ROW(N_Bedarf!$CE$2:$CE$141)-1)/(--(SEARCH(CY$2,N_Bedarf!$CE$2:$CE$141)&gt;0)),ROW()-2),1),"")</f>
        <v>Wechselwiese 6 Nutzungen, gräserreich (&lt;40% Legum.)</v>
      </c>
      <c r="CY95" s="1830"/>
      <c r="CZ95" s="1834" t="str">
        <f>IFERROR(INDEX(N_Bedarf!$CE$2:$CE$141,_xlfn.AGGREGATE(15,6,(ROW(N_Bedarf!$CE$2:$CE$141)-1)/(--(SEARCH(DA$2,N_Bedarf!$CE$2:$CE$141)&gt;0)),ROW()-2),1),"")</f>
        <v>Wechselwiese 6 Nutzungen, gräserreich (&lt;40% Legum.)</v>
      </c>
      <c r="DA95" s="1830"/>
      <c r="DB95" s="1834" t="str">
        <f>IFERROR(INDEX(N_Bedarf!$CE$2:$CE$141,_xlfn.AGGREGATE(15,6,(ROW(N_Bedarf!$CE$2:$CE$141)-1)/(--(SEARCH(DC$2,N_Bedarf!$CE$2:$CE$141)&gt;0)),ROW()-2),1),"")</f>
        <v>Wechselwiese 6 Nutzungen, gräserreich (&lt;40% Legum.)</v>
      </c>
      <c r="DC95" s="1830"/>
      <c r="DD95" s="1834" t="str">
        <f>IFERROR(INDEX(N_Bedarf!$CE$2:$CE$141,_xlfn.AGGREGATE(15,6,(ROW(N_Bedarf!$CE$2:$CE$141)-1)/(--(SEARCH(DE$2,N_Bedarf!$CE$2:$CE$141)&gt;0)),ROW()-2),1),"")</f>
        <v>Wechselwiese 6 Nutzungen, gräserreich (&lt;40% Legum.)</v>
      </c>
      <c r="DE95" s="1830"/>
      <c r="DF95" s="2353" t="str">
        <f t="array" ref="DF95">IFERROR(INDEX(N_Bedarf!$CE$2:$CE$141,_xlfn.AGGREGATE(15,6,(ROW(N_Bedarf!$CE$2:$CE$141)-1)/(--(SEARCH(DG$2,N_Bedarf!$CE$2:$CE$141)&gt;0)),ROW()-2),1),"")</f>
        <v>Wechselwiese 6 Nutzungen, gräserreich (&lt;40% Legum.)</v>
      </c>
      <c r="DG95" s="2353"/>
      <c r="DH95" s="2355" t="str">
        <f t="array" ref="DH95">IFERROR(INDEX(N_Bedarf!$CE$2:$CE$141,_xlfn.AGGREGATE(15,6,(ROW(N_Bedarf!$CE$2:$CE$141)-1)/(--(SEARCH(DI$2,N_Bedarf!$CE$2:$CE$141)&gt;0)),ROW()-2),1),"")</f>
        <v>Wechselwiese 6 Nutzungen, gräserreich (&lt;40% Legum.)</v>
      </c>
      <c r="DI95" s="2355"/>
      <c r="DJ95" s="2356" t="str">
        <f t="array" ref="DJ95">IFERROR(INDEX(N_Bedarf!$CE$2:$CE$141,_xlfn.AGGREGATE(15,6,(ROW(N_Bedarf!$CE$2:$CE$141)-1)/(--(SEARCH(DK$2,N_Bedarf!$CE$2:$CE$141)&gt;0)),ROW()-2),1),"")</f>
        <v>Wechselwiese 6 Nutzungen, gräserreich (&lt;40% Legum.)</v>
      </c>
      <c r="DK95" s="2356"/>
      <c r="DL95" s="2356" t="str">
        <f t="array" ref="DL95">IFERROR(INDEX(N_Bedarf!$CE$2:$CE$141,_xlfn.AGGREGATE(15,6,(ROW(N_Bedarf!$CE$2:$CE$141)-1)/(--(SEARCH(DM$2,N_Bedarf!$CE$2:$CE$141)&gt;0)),ROW()-2),1),"")</f>
        <v>Wechselwiese 6 Nutzungen, gräserreich (&lt;40% Legum.)</v>
      </c>
      <c r="DM95" s="2356"/>
      <c r="DN95" s="2356" t="str">
        <f t="array" ref="DN95">IFERROR(INDEX(N_Bedarf!$CE$2:$CE$141,_xlfn.AGGREGATE(15,6,(ROW(N_Bedarf!$CE$2:$CE$141)-1)/(--(SEARCH(DO$2,N_Bedarf!$CE$2:$CE$141)&gt;0)),ROW()-2),1),"")</f>
        <v>Wechselwiese 6 Nutzungen, gräserreich (&lt;40% Legum.)</v>
      </c>
      <c r="DO95" s="2356"/>
      <c r="DP95" s="2356" t="str">
        <f t="array" ref="DP95">IFERROR(INDEX(N_Bedarf!$CE$2:$CE$141,_xlfn.AGGREGATE(15,6,(ROW(N_Bedarf!$CE$2:$CE$141)-1)/(--(SEARCH(DQ$2,N_Bedarf!$CE$2:$CE$141)&gt;0)),ROW()-2),1),"")</f>
        <v>Wechselwiese 6 Nutzungen, gräserreich (&lt;40% Legum.)</v>
      </c>
      <c r="DQ95" s="2356"/>
      <c r="DR95" s="2356" t="str">
        <f t="array" ref="DR95">IFERROR(INDEX(N_Bedarf!$CE$2:$CE$141,_xlfn.AGGREGATE(15,6,(ROW(N_Bedarf!$CE$2:$CE$141)-1)/(--(SEARCH(DS$2,N_Bedarf!$CE$2:$CE$141)&gt;0)),ROW()-2),1),"")</f>
        <v>Wechselwiese 6 Nutzungen, gräserreich (&lt;40% Legum.)</v>
      </c>
      <c r="DS95" s="2356"/>
      <c r="DT95" s="2356" t="str">
        <f t="array" ref="DT95">IFERROR(INDEX(N_Bedarf!$CE$2:$CE$141,_xlfn.AGGREGATE(15,6,(ROW(N_Bedarf!$CE$2:$CE$141)-1)/(--(SEARCH(DU$2,N_Bedarf!$CE$2:$CE$141)&gt;0)),ROW()-2),1),"")</f>
        <v>Wechselwiese 6 Nutzungen, gräserreich (&lt;40% Legum.)</v>
      </c>
      <c r="DU95" s="2356"/>
      <c r="DV95" s="2356" t="str">
        <f t="array" ref="DV95">IFERROR(INDEX(N_Bedarf!$CE$2:$CE$141,_xlfn.AGGREGATE(15,6,(ROW(N_Bedarf!$CE$2:$CE$141)-1)/(--(SEARCH(DW$2,N_Bedarf!$CE$2:$CE$141)&gt;0)),ROW()-2),1),"")</f>
        <v>Wechselwiese 6 Nutzungen, gräserreich (&lt;40% Legum.)</v>
      </c>
      <c r="DW95" s="2356"/>
      <c r="DX95" s="2356" t="str">
        <f t="array" ref="DX95">IFERROR(INDEX(N_Bedarf!$CE$2:$CE$141,_xlfn.AGGREGATE(15,6,(ROW(N_Bedarf!$CE$2:$CE$141)-1)/(--(SEARCH(DY$2,N_Bedarf!$CE$2:$CE$141)&gt;0)),ROW()-2),1),"")</f>
        <v>Wechselwiese 6 Nutzungen, gräserreich (&lt;40% Legum.)</v>
      </c>
      <c r="DY95" s="2356"/>
      <c r="DZ95" s="2356" t="str">
        <f t="array" ref="DZ95">IFERROR(INDEX(N_Bedarf!$CE$2:$CE$141,_xlfn.AGGREGATE(15,6,(ROW(N_Bedarf!$CE$2:$CE$141)-1)/(--(SEARCH(EA$2,N_Bedarf!$CE$2:$CE$141)&gt;0)),ROW()-2),1),"")</f>
        <v>Wechselwiese 6 Nutzungen, gräserreich (&lt;40% Legum.)</v>
      </c>
      <c r="EA95" s="2356"/>
      <c r="EB95" s="2356" t="str">
        <f t="array" ref="EB95">IFERROR(INDEX(N_Bedarf!$CE$2:$CE$141,_xlfn.AGGREGATE(15,6,(ROW(N_Bedarf!$CE$2:$CE$141)-1)/(--(SEARCH(EC$2,N_Bedarf!$CE$2:$CE$141)&gt;0)),ROW()-2),1),"")</f>
        <v>Wechselwiese 6 Nutzungen, gräserreich (&lt;40% Legum.)</v>
      </c>
      <c r="EC95" s="2356"/>
      <c r="ED95"/>
      <c r="EE95"/>
      <c r="EF95"/>
      <c r="EG95"/>
      <c r="EH95"/>
      <c r="EI95"/>
      <c r="EJ95"/>
      <c r="EK95"/>
      <c r="EL95"/>
      <c r="EM95"/>
      <c r="EN95"/>
      <c r="EO95"/>
      <c r="EP95"/>
      <c r="EQ95"/>
      <c r="ER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row>
    <row r="96" spans="1:291" ht="21" customHeight="1" thickTop="1" thickBot="1">
      <c r="A96" s="156"/>
      <c r="B96" s="156"/>
      <c r="C96" s="1758" t="s">
        <v>14</v>
      </c>
      <c r="D96" s="1759" t="s">
        <v>714</v>
      </c>
      <c r="E96" s="1729">
        <v>120</v>
      </c>
      <c r="F96" s="1760">
        <v>100</v>
      </c>
      <c r="G96" s="1993" t="s">
        <v>1773</v>
      </c>
      <c r="H96" s="1994">
        <v>120</v>
      </c>
      <c r="I96" s="1995">
        <v>100</v>
      </c>
      <c r="J96" s="1759" t="s">
        <v>1773</v>
      </c>
      <c r="K96" s="1729">
        <v>120</v>
      </c>
      <c r="L96" s="1760">
        <v>100</v>
      </c>
      <c r="M96" s="1759"/>
      <c r="N96" s="1729"/>
      <c r="O96" s="1760"/>
      <c r="P96" s="1759"/>
      <c r="Q96" s="1729"/>
      <c r="R96" s="1761"/>
      <c r="S96" s="1762">
        <v>85</v>
      </c>
      <c r="T96" s="1729">
        <v>85</v>
      </c>
      <c r="U96" s="1760">
        <v>85</v>
      </c>
      <c r="V96" s="1759">
        <v>70</v>
      </c>
      <c r="W96" s="1729">
        <v>70</v>
      </c>
      <c r="X96" s="1760">
        <v>70</v>
      </c>
      <c r="Y96" s="2009">
        <v>45</v>
      </c>
      <c r="Z96" s="2010">
        <v>50</v>
      </c>
      <c r="AA96" s="2011">
        <v>60</v>
      </c>
      <c r="AB96" s="1871" t="s">
        <v>1388</v>
      </c>
      <c r="AC96" s="1763" t="s">
        <v>1389</v>
      </c>
      <c r="AD96" s="1762">
        <v>270</v>
      </c>
      <c r="AE96" s="1729">
        <v>270</v>
      </c>
      <c r="AF96" s="1760">
        <v>270</v>
      </c>
      <c r="AG96" s="1759">
        <v>225</v>
      </c>
      <c r="AH96" s="1729">
        <v>225</v>
      </c>
      <c r="AI96" s="1760">
        <v>225</v>
      </c>
      <c r="AJ96" s="2009">
        <v>160</v>
      </c>
      <c r="AK96" s="2010">
        <v>180</v>
      </c>
      <c r="AL96" s="2011">
        <v>205</v>
      </c>
      <c r="AM96" s="1871" t="s">
        <v>1390</v>
      </c>
      <c r="AN96" s="1763" t="s">
        <v>1389</v>
      </c>
      <c r="AO96" s="156"/>
      <c r="AP96" s="156"/>
      <c r="AX96" s="1722" t="s">
        <v>1951</v>
      </c>
      <c r="AY96" s="681">
        <v>200</v>
      </c>
      <c r="AZ96" s="681">
        <v>200</v>
      </c>
      <c r="BA96" s="681" t="s">
        <v>2698</v>
      </c>
      <c r="BB96" s="681">
        <v>200</v>
      </c>
      <c r="BC96" s="681">
        <v>200</v>
      </c>
      <c r="BD96" s="681" t="s">
        <v>2698</v>
      </c>
      <c r="BE96" s="681">
        <v>240</v>
      </c>
      <c r="BF96" s="681">
        <v>240</v>
      </c>
      <c r="BG96" s="681" t="s">
        <v>2586</v>
      </c>
      <c r="BH96" s="681">
        <v>240</v>
      </c>
      <c r="BI96" s="681">
        <v>240</v>
      </c>
      <c r="BJ96" s="681" t="s">
        <v>2586</v>
      </c>
      <c r="BK96" s="681">
        <v>240</v>
      </c>
      <c r="BL96" s="681">
        <v>240</v>
      </c>
      <c r="BM96" s="681" t="s">
        <v>2586</v>
      </c>
      <c r="BN96" s="471">
        <v>0</v>
      </c>
      <c r="BO96" s="821">
        <v>30</v>
      </c>
      <c r="BP96"/>
      <c r="BQ96" s="1722" t="s">
        <v>1951</v>
      </c>
      <c r="BR96" s="470">
        <v>85</v>
      </c>
      <c r="BS96" s="470">
        <v>85</v>
      </c>
      <c r="BT96" s="470">
        <v>105</v>
      </c>
      <c r="BU96" s="1590"/>
      <c r="BV96" s="1722" t="s">
        <v>1951</v>
      </c>
      <c r="BW96" s="470">
        <v>230</v>
      </c>
      <c r="BX96" s="470">
        <v>230</v>
      </c>
      <c r="BY96" s="470">
        <v>300</v>
      </c>
      <c r="BZ96" s="1588"/>
      <c r="CA96" s="429"/>
      <c r="CB96"/>
      <c r="CC96"/>
      <c r="CD96"/>
      <c r="CE96" s="2310" t="s">
        <v>1950</v>
      </c>
      <c r="CF96" s="1834" t="str">
        <f>IFERROR(INDEX(N_Bedarf!$CE$2:$CE$141,_xlfn.AGGREGATE(15,6,(ROW(N_Bedarf!$CE$2:$CE$141)-1)/(--(SEARCH(CG$2,N_Bedarf!$CE$2:$CE$141)&gt;0)),ROW()-2),1),"")</f>
        <v>Wechselwiese 3 Nutzungen, kleereich (40-60% Legum.)</v>
      </c>
      <c r="CG96" s="1836"/>
      <c r="CH96" s="1834" t="str">
        <f>IFERROR(INDEX(N_Bedarf!$CE$2:$CE$141,_xlfn.AGGREGATE(15,6,(ROW(N_Bedarf!$CE$2:$CE$141)-1)/(--(SEARCH(CI$2,N_Bedarf!$CE$2:$CE$141)&gt;0)),ROW()-2),1),"")</f>
        <v>Wechselwiese 3 Nutzungen, kleereich (40-60% Legum.)</v>
      </c>
      <c r="CI96" s="1836"/>
      <c r="CJ96" s="1834" t="str">
        <f>IFERROR(INDEX(N_Bedarf!$CE$2:$CE$141,_xlfn.AGGREGATE(15,6,(ROW(N_Bedarf!$CE$2:$CE$141)-1)/(--(SEARCH(CK$2,N_Bedarf!$CE$2:$CE$141)&gt;0)),ROW()-2),1),"")</f>
        <v>Wechselwiese 3 Nutzungen, kleereich (40-60% Legum.)</v>
      </c>
      <c r="CK96" s="1836"/>
      <c r="CL96" s="1834" t="str">
        <f>IFERROR(INDEX(N_Bedarf!$CE$2:$CE$141,_xlfn.AGGREGATE(15,6,(ROW(N_Bedarf!$CE$2:$CE$141)-1)/(--(SEARCH(CM$2,N_Bedarf!$CE$2:$CE$141)&gt;0)),ROW()-2),1),"")</f>
        <v>Wechselwiese 3 Nutzungen, kleereich (40-60% Legum.)</v>
      </c>
      <c r="CM96" s="1836"/>
      <c r="CN96" s="1834" t="str">
        <f>IFERROR(INDEX(N_Bedarf!$CE$2:$CE$141,_xlfn.AGGREGATE(15,6,(ROW(N_Bedarf!$CE$2:$CE$141)-1)/(--(SEARCH(CO$2,N_Bedarf!$CE$2:$CE$141)&gt;0)),ROW()-2),1),"")</f>
        <v>Wechselwiese 3 Nutzungen, kleereich (40-60% Legum.)</v>
      </c>
      <c r="CO96" s="1836"/>
      <c r="CP96" s="1834" t="str">
        <f>IFERROR(INDEX(N_Bedarf!$CE$2:$CE$141,_xlfn.AGGREGATE(15,6,(ROW(N_Bedarf!$CE$2:$CE$141)-1)/(--(SEARCH(CQ$2,N_Bedarf!$CE$2:$CE$141)&gt;0)),ROW()-2),1),"")</f>
        <v>Wechselwiese 3 Nutzungen, kleereich (40-60% Legum.)</v>
      </c>
      <c r="CQ96" s="1836"/>
      <c r="CR96" s="1834" t="str">
        <f>IFERROR(INDEX(N_Bedarf!$CE$2:$CE$141,_xlfn.AGGREGATE(15,6,(ROW(N_Bedarf!$CE$2:$CE$141)-1)/(--(SEARCH(CS$2,N_Bedarf!$CE$2:$CE$141)&gt;0)),ROW()-2),1),"")</f>
        <v>Wechselwiese 3 Nutzungen, kleereich (40-60% Legum.)</v>
      </c>
      <c r="CS96" s="1836"/>
      <c r="CT96" s="1834" t="str">
        <f>IFERROR(INDEX(N_Bedarf!$CE$2:$CE$141,_xlfn.AGGREGATE(15,6,(ROW(N_Bedarf!$CE$2:$CE$141)-1)/(--(SEARCH(CU$2,N_Bedarf!$CE$2:$CE$141)&gt;0)),ROW()-2),1),"")</f>
        <v>Wechselwiese 3 Nutzungen, kleereich (40-60% Legum.)</v>
      </c>
      <c r="CU96" s="1836"/>
      <c r="CV96" s="1834" t="str">
        <f>IFERROR(INDEX(N_Bedarf!$CE$2:$CE$141,_xlfn.AGGREGATE(15,6,(ROW(N_Bedarf!$CE$2:$CE$141)-1)/(--(SEARCH(CW$2,N_Bedarf!$CE$2:$CE$141)&gt;0)),ROW()-2),1),"")</f>
        <v>Wechselwiese 3 Nutzungen, kleereich (40-60% Legum.)</v>
      </c>
      <c r="CW96" s="1836"/>
      <c r="CX96" s="1834" t="str">
        <f>IFERROR(INDEX(N_Bedarf!$CE$2:$CE$141,_xlfn.AGGREGATE(15,6,(ROW(N_Bedarf!$CE$2:$CE$141)-1)/(--(SEARCH(CY$2,N_Bedarf!$CE$2:$CE$141)&gt;0)),ROW()-2),1),"")</f>
        <v>Wechselwiese 3 Nutzungen, kleereich (40-60% Legum.)</v>
      </c>
      <c r="CY96" s="1836"/>
      <c r="CZ96" s="1834" t="str">
        <f>IFERROR(INDEX(N_Bedarf!$CE$2:$CE$141,_xlfn.AGGREGATE(15,6,(ROW(N_Bedarf!$CE$2:$CE$141)-1)/(--(SEARCH(DA$2,N_Bedarf!$CE$2:$CE$141)&gt;0)),ROW()-2),1),"")</f>
        <v>Wechselwiese 3 Nutzungen, kleereich (40-60% Legum.)</v>
      </c>
      <c r="DA96" s="1836"/>
      <c r="DB96" s="1834" t="str">
        <f>IFERROR(INDEX(N_Bedarf!$CE$2:$CE$141,_xlfn.AGGREGATE(15,6,(ROW(N_Bedarf!$CE$2:$CE$141)-1)/(--(SEARCH(DC$2,N_Bedarf!$CE$2:$CE$141)&gt;0)),ROW()-2),1),"")</f>
        <v>Wechselwiese 3 Nutzungen, kleereich (40-60% Legum.)</v>
      </c>
      <c r="DC96" s="1836"/>
      <c r="DD96" s="1834" t="str">
        <f>IFERROR(INDEX(N_Bedarf!$CE$2:$CE$141,_xlfn.AGGREGATE(15,6,(ROW(N_Bedarf!$CE$2:$CE$141)-1)/(--(SEARCH(DE$2,N_Bedarf!$CE$2:$CE$141)&gt;0)),ROW()-2),1),"")</f>
        <v>Wechselwiese 3 Nutzungen, kleereich (40-60% Legum.)</v>
      </c>
      <c r="DE96" s="1836"/>
      <c r="DF96" s="2353" t="str">
        <f t="array" ref="DF96">IFERROR(INDEX(N_Bedarf!$CE$2:$CE$141,_xlfn.AGGREGATE(15,6,(ROW(N_Bedarf!$CE$2:$CE$141)-1)/(--(SEARCH(DG$2,N_Bedarf!$CE$2:$CE$141)&gt;0)),ROW()-2),1),"")</f>
        <v>Wechselwiese 3 Nutzungen, kleereich (40-60% Legum.)</v>
      </c>
      <c r="DG96" s="2353"/>
      <c r="DH96" s="2355" t="str">
        <f t="array" ref="DH96">IFERROR(INDEX(N_Bedarf!$CE$2:$CE$141,_xlfn.AGGREGATE(15,6,(ROW(N_Bedarf!$CE$2:$CE$141)-1)/(--(SEARCH(DI$2,N_Bedarf!$CE$2:$CE$141)&gt;0)),ROW()-2),1),"")</f>
        <v>Wechselwiese 3 Nutzungen, kleereich (40-60% Legum.)</v>
      </c>
      <c r="DI96" s="2355"/>
      <c r="DJ96" s="2356" t="str">
        <f t="array" ref="DJ96">IFERROR(INDEX(N_Bedarf!$CE$2:$CE$141,_xlfn.AGGREGATE(15,6,(ROW(N_Bedarf!$CE$2:$CE$141)-1)/(--(SEARCH(DK$2,N_Bedarf!$CE$2:$CE$141)&gt;0)),ROW()-2),1),"")</f>
        <v>Wechselwiese 3 Nutzungen, kleereich (40-60% Legum.)</v>
      </c>
      <c r="DK96" s="2356"/>
      <c r="DL96" s="2356" t="str">
        <f t="array" ref="DL96">IFERROR(INDEX(N_Bedarf!$CE$2:$CE$141,_xlfn.AGGREGATE(15,6,(ROW(N_Bedarf!$CE$2:$CE$141)-1)/(--(SEARCH(DM$2,N_Bedarf!$CE$2:$CE$141)&gt;0)),ROW()-2),1),"")</f>
        <v>Wechselwiese 3 Nutzungen, kleereich (40-60% Legum.)</v>
      </c>
      <c r="DM96" s="2356"/>
      <c r="DN96" s="2356" t="str">
        <f t="array" ref="DN96">IFERROR(INDEX(N_Bedarf!$CE$2:$CE$141,_xlfn.AGGREGATE(15,6,(ROW(N_Bedarf!$CE$2:$CE$141)-1)/(--(SEARCH(DO$2,N_Bedarf!$CE$2:$CE$141)&gt;0)),ROW()-2),1),"")</f>
        <v>Wechselwiese 3 Nutzungen, kleereich (40-60% Legum.)</v>
      </c>
      <c r="DO96" s="2356"/>
      <c r="DP96" s="2356" t="str">
        <f t="array" ref="DP96">IFERROR(INDEX(N_Bedarf!$CE$2:$CE$141,_xlfn.AGGREGATE(15,6,(ROW(N_Bedarf!$CE$2:$CE$141)-1)/(--(SEARCH(DQ$2,N_Bedarf!$CE$2:$CE$141)&gt;0)),ROW()-2),1),"")</f>
        <v>Wechselwiese 3 Nutzungen, kleereich (40-60% Legum.)</v>
      </c>
      <c r="DQ96" s="2356"/>
      <c r="DR96" s="2356" t="str">
        <f t="array" ref="DR96">IFERROR(INDEX(N_Bedarf!$CE$2:$CE$141,_xlfn.AGGREGATE(15,6,(ROW(N_Bedarf!$CE$2:$CE$141)-1)/(--(SEARCH(DS$2,N_Bedarf!$CE$2:$CE$141)&gt;0)),ROW()-2),1),"")</f>
        <v>Wechselwiese 3 Nutzungen, kleereich (40-60% Legum.)</v>
      </c>
      <c r="DS96" s="2356"/>
      <c r="DT96" s="2356" t="str">
        <f t="array" ref="DT96">IFERROR(INDEX(N_Bedarf!$CE$2:$CE$141,_xlfn.AGGREGATE(15,6,(ROW(N_Bedarf!$CE$2:$CE$141)-1)/(--(SEARCH(DU$2,N_Bedarf!$CE$2:$CE$141)&gt;0)),ROW()-2),1),"")</f>
        <v>Wechselwiese 3 Nutzungen, kleereich (40-60% Legum.)</v>
      </c>
      <c r="DU96" s="2356"/>
      <c r="DV96" s="2356" t="str">
        <f t="array" ref="DV96">IFERROR(INDEX(N_Bedarf!$CE$2:$CE$141,_xlfn.AGGREGATE(15,6,(ROW(N_Bedarf!$CE$2:$CE$141)-1)/(--(SEARCH(DW$2,N_Bedarf!$CE$2:$CE$141)&gt;0)),ROW()-2),1),"")</f>
        <v>Wechselwiese 3 Nutzungen, kleereich (40-60% Legum.)</v>
      </c>
      <c r="DW96" s="2356"/>
      <c r="DX96" s="2356" t="str">
        <f t="array" ref="DX96">IFERROR(INDEX(N_Bedarf!$CE$2:$CE$141,_xlfn.AGGREGATE(15,6,(ROW(N_Bedarf!$CE$2:$CE$141)-1)/(--(SEARCH(DY$2,N_Bedarf!$CE$2:$CE$141)&gt;0)),ROW()-2),1),"")</f>
        <v>Wechselwiese 3 Nutzungen, kleereich (40-60% Legum.)</v>
      </c>
      <c r="DY96" s="2356"/>
      <c r="DZ96" s="2356" t="str">
        <f t="array" ref="DZ96">IFERROR(INDEX(N_Bedarf!$CE$2:$CE$141,_xlfn.AGGREGATE(15,6,(ROW(N_Bedarf!$CE$2:$CE$141)-1)/(--(SEARCH(EA$2,N_Bedarf!$CE$2:$CE$141)&gt;0)),ROW()-2),1),"")</f>
        <v>Wechselwiese 3 Nutzungen, kleereich (40-60% Legum.)</v>
      </c>
      <c r="EA96" s="2356"/>
      <c r="EB96" s="2356" t="str">
        <f t="array" ref="EB96">IFERROR(INDEX(N_Bedarf!$CE$2:$CE$141,_xlfn.AGGREGATE(15,6,(ROW(N_Bedarf!$CE$2:$CE$141)-1)/(--(SEARCH(EC$2,N_Bedarf!$CE$2:$CE$141)&gt;0)),ROW()-2),1),"")</f>
        <v>Wechselwiese 3 Nutzungen, kleereich (40-60% Legum.)</v>
      </c>
      <c r="EC96" s="2356"/>
      <c r="ED96"/>
      <c r="EE96"/>
      <c r="EF96"/>
      <c r="EG96"/>
      <c r="EH96"/>
      <c r="EI96"/>
      <c r="EJ96"/>
      <c r="EK96"/>
      <c r="EL96"/>
      <c r="EM96"/>
      <c r="EN96"/>
      <c r="EO96"/>
      <c r="EP96"/>
      <c r="EQ96"/>
      <c r="ER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row>
    <row r="97" spans="1:291" ht="21" customHeight="1" thickTop="1" thickBot="1">
      <c r="A97" s="156"/>
      <c r="B97" s="156"/>
      <c r="C97" s="1758" t="s">
        <v>1702</v>
      </c>
      <c r="D97" s="1759" t="s">
        <v>714</v>
      </c>
      <c r="E97" s="1729">
        <v>0</v>
      </c>
      <c r="F97" s="1760">
        <v>0</v>
      </c>
      <c r="G97" s="1993" t="s">
        <v>714</v>
      </c>
      <c r="H97" s="1994">
        <v>0</v>
      </c>
      <c r="I97" s="1995">
        <v>0</v>
      </c>
      <c r="J97" s="1759" t="s">
        <v>714</v>
      </c>
      <c r="K97" s="1729">
        <v>0</v>
      </c>
      <c r="L97" s="1760">
        <v>0</v>
      </c>
      <c r="M97" s="1759"/>
      <c r="N97" s="1729"/>
      <c r="O97" s="1760"/>
      <c r="P97" s="1759"/>
      <c r="Q97" s="1729"/>
      <c r="R97" s="1761"/>
      <c r="S97" s="1762">
        <v>0</v>
      </c>
      <c r="T97" s="1729">
        <v>0</v>
      </c>
      <c r="U97" s="1760">
        <v>0</v>
      </c>
      <c r="V97" s="1759">
        <v>0</v>
      </c>
      <c r="W97" s="1729">
        <v>0</v>
      </c>
      <c r="X97" s="1760">
        <v>0</v>
      </c>
      <c r="Y97" s="2009">
        <v>0</v>
      </c>
      <c r="Z97" s="2010">
        <v>0</v>
      </c>
      <c r="AA97" s="2011">
        <v>0</v>
      </c>
      <c r="AB97" s="1871" t="s">
        <v>714</v>
      </c>
      <c r="AC97" s="1763" t="s">
        <v>714</v>
      </c>
      <c r="AD97" s="1762">
        <v>0</v>
      </c>
      <c r="AE97" s="1729">
        <v>0</v>
      </c>
      <c r="AF97" s="1760">
        <v>0</v>
      </c>
      <c r="AG97" s="1759">
        <v>0</v>
      </c>
      <c r="AH97" s="1729">
        <v>0</v>
      </c>
      <c r="AI97" s="1760">
        <v>0</v>
      </c>
      <c r="AJ97" s="2009">
        <v>0</v>
      </c>
      <c r="AK97" s="2010">
        <v>0</v>
      </c>
      <c r="AL97" s="2011">
        <v>0</v>
      </c>
      <c r="AM97" s="1871" t="s">
        <v>714</v>
      </c>
      <c r="AN97" s="1763" t="s">
        <v>714</v>
      </c>
      <c r="AO97" s="156"/>
      <c r="AP97" s="156"/>
      <c r="AX97" s="1722" t="s">
        <v>1953</v>
      </c>
      <c r="AY97" s="681">
        <v>270</v>
      </c>
      <c r="AZ97" s="681">
        <v>270</v>
      </c>
      <c r="BA97" s="681" t="s">
        <v>2587</v>
      </c>
      <c r="BB97" s="681">
        <v>270</v>
      </c>
      <c r="BC97" s="681">
        <v>270</v>
      </c>
      <c r="BD97" s="681" t="s">
        <v>2587</v>
      </c>
      <c r="BE97" s="681">
        <v>270</v>
      </c>
      <c r="BF97" s="681">
        <v>270</v>
      </c>
      <c r="BG97" s="681" t="s">
        <v>2587</v>
      </c>
      <c r="BH97" s="681">
        <v>270</v>
      </c>
      <c r="BI97" s="681">
        <v>270</v>
      </c>
      <c r="BJ97" s="681" t="s">
        <v>2587</v>
      </c>
      <c r="BK97" s="681">
        <v>270</v>
      </c>
      <c r="BL97" s="681">
        <v>270</v>
      </c>
      <c r="BM97" s="681" t="s">
        <v>2587</v>
      </c>
      <c r="BN97" s="471">
        <v>0</v>
      </c>
      <c r="BO97" s="821">
        <v>30</v>
      </c>
      <c r="BP97"/>
      <c r="BQ97" s="1722" t="s">
        <v>1953</v>
      </c>
      <c r="BR97" s="470">
        <v>120</v>
      </c>
      <c r="BS97" s="470">
        <v>120</v>
      </c>
      <c r="BT97" s="470">
        <v>120</v>
      </c>
      <c r="BU97" s="1590"/>
      <c r="BV97" s="1722" t="s">
        <v>1953</v>
      </c>
      <c r="BW97" s="470">
        <v>340</v>
      </c>
      <c r="BX97" s="470">
        <v>340</v>
      </c>
      <c r="BY97" s="470">
        <v>340</v>
      </c>
      <c r="BZ97" s="1588"/>
      <c r="CA97" s="429"/>
      <c r="CB97"/>
      <c r="CC97"/>
      <c r="CD97"/>
      <c r="CE97" s="2310" t="s">
        <v>1952</v>
      </c>
      <c r="CF97" s="1834" t="str">
        <f>IFERROR(INDEX(N_Bedarf!$CE$2:$CE$141,_xlfn.AGGREGATE(15,6,(ROW(N_Bedarf!$CE$2:$CE$141)-1)/(--(SEARCH(CG$2,N_Bedarf!$CE$2:$CE$141)&gt;0)),ROW()-2),1),"")</f>
        <v>Wechselwiese 4 Nutzungen, kleereich (40-60% Legum.)</v>
      </c>
      <c r="CG97" s="1830"/>
      <c r="CH97" s="1834" t="str">
        <f>IFERROR(INDEX(N_Bedarf!$CE$2:$CE$141,_xlfn.AGGREGATE(15,6,(ROW(N_Bedarf!$CE$2:$CE$141)-1)/(--(SEARCH(CI$2,N_Bedarf!$CE$2:$CE$141)&gt;0)),ROW()-2),1),"")</f>
        <v>Wechselwiese 4 Nutzungen, kleereich (40-60% Legum.)</v>
      </c>
      <c r="CI97" s="1830"/>
      <c r="CJ97" s="1834" t="str">
        <f>IFERROR(INDEX(N_Bedarf!$CE$2:$CE$141,_xlfn.AGGREGATE(15,6,(ROW(N_Bedarf!$CE$2:$CE$141)-1)/(--(SEARCH(CK$2,N_Bedarf!$CE$2:$CE$141)&gt;0)),ROW()-2),1),"")</f>
        <v>Wechselwiese 4 Nutzungen, kleereich (40-60% Legum.)</v>
      </c>
      <c r="CK97" s="1830"/>
      <c r="CL97" s="1834" t="str">
        <f>IFERROR(INDEX(N_Bedarf!$CE$2:$CE$141,_xlfn.AGGREGATE(15,6,(ROW(N_Bedarf!$CE$2:$CE$141)-1)/(--(SEARCH(CM$2,N_Bedarf!$CE$2:$CE$141)&gt;0)),ROW()-2),1),"")</f>
        <v>Wechselwiese 4 Nutzungen, kleereich (40-60% Legum.)</v>
      </c>
      <c r="CM97" s="1830"/>
      <c r="CN97" s="1834" t="str">
        <f>IFERROR(INDEX(N_Bedarf!$CE$2:$CE$141,_xlfn.AGGREGATE(15,6,(ROW(N_Bedarf!$CE$2:$CE$141)-1)/(--(SEARCH(CO$2,N_Bedarf!$CE$2:$CE$141)&gt;0)),ROW()-2),1),"")</f>
        <v>Wechselwiese 4 Nutzungen, kleereich (40-60% Legum.)</v>
      </c>
      <c r="CO97" s="1830"/>
      <c r="CP97" s="1834" t="str">
        <f>IFERROR(INDEX(N_Bedarf!$CE$2:$CE$141,_xlfn.AGGREGATE(15,6,(ROW(N_Bedarf!$CE$2:$CE$141)-1)/(--(SEARCH(CQ$2,N_Bedarf!$CE$2:$CE$141)&gt;0)),ROW()-2),1),"")</f>
        <v>Wechselwiese 4 Nutzungen, kleereich (40-60% Legum.)</v>
      </c>
      <c r="CQ97" s="1830"/>
      <c r="CR97" s="1834" t="str">
        <f>IFERROR(INDEX(N_Bedarf!$CE$2:$CE$141,_xlfn.AGGREGATE(15,6,(ROW(N_Bedarf!$CE$2:$CE$141)-1)/(--(SEARCH(CS$2,N_Bedarf!$CE$2:$CE$141)&gt;0)),ROW()-2),1),"")</f>
        <v>Wechselwiese 4 Nutzungen, kleereich (40-60% Legum.)</v>
      </c>
      <c r="CS97" s="1830"/>
      <c r="CT97" s="1834" t="str">
        <f>IFERROR(INDEX(N_Bedarf!$CE$2:$CE$141,_xlfn.AGGREGATE(15,6,(ROW(N_Bedarf!$CE$2:$CE$141)-1)/(--(SEARCH(CU$2,N_Bedarf!$CE$2:$CE$141)&gt;0)),ROW()-2),1),"")</f>
        <v>Wechselwiese 4 Nutzungen, kleereich (40-60% Legum.)</v>
      </c>
      <c r="CU97" s="1830"/>
      <c r="CV97" s="1834" t="str">
        <f>IFERROR(INDEX(N_Bedarf!$CE$2:$CE$141,_xlfn.AGGREGATE(15,6,(ROW(N_Bedarf!$CE$2:$CE$141)-1)/(--(SEARCH(CW$2,N_Bedarf!$CE$2:$CE$141)&gt;0)),ROW()-2),1),"")</f>
        <v>Wechselwiese 4 Nutzungen, kleereich (40-60% Legum.)</v>
      </c>
      <c r="CW97" s="1830"/>
      <c r="CX97" s="1834" t="str">
        <f>IFERROR(INDEX(N_Bedarf!$CE$2:$CE$141,_xlfn.AGGREGATE(15,6,(ROW(N_Bedarf!$CE$2:$CE$141)-1)/(--(SEARCH(CY$2,N_Bedarf!$CE$2:$CE$141)&gt;0)),ROW()-2),1),"")</f>
        <v>Wechselwiese 4 Nutzungen, kleereich (40-60% Legum.)</v>
      </c>
      <c r="CY97" s="1830"/>
      <c r="CZ97" s="1834" t="str">
        <f>IFERROR(INDEX(N_Bedarf!$CE$2:$CE$141,_xlfn.AGGREGATE(15,6,(ROW(N_Bedarf!$CE$2:$CE$141)-1)/(--(SEARCH(DA$2,N_Bedarf!$CE$2:$CE$141)&gt;0)),ROW()-2),1),"")</f>
        <v>Wechselwiese 4 Nutzungen, kleereich (40-60% Legum.)</v>
      </c>
      <c r="DA97" s="1830"/>
      <c r="DB97" s="1834" t="str">
        <f>IFERROR(INDEX(N_Bedarf!$CE$2:$CE$141,_xlfn.AGGREGATE(15,6,(ROW(N_Bedarf!$CE$2:$CE$141)-1)/(--(SEARCH(DC$2,N_Bedarf!$CE$2:$CE$141)&gt;0)),ROW()-2),1),"")</f>
        <v>Wechselwiese 4 Nutzungen, kleereich (40-60% Legum.)</v>
      </c>
      <c r="DC97" s="1830"/>
      <c r="DD97" s="1834" t="str">
        <f>IFERROR(INDEX(N_Bedarf!$CE$2:$CE$141,_xlfn.AGGREGATE(15,6,(ROW(N_Bedarf!$CE$2:$CE$141)-1)/(--(SEARCH(DE$2,N_Bedarf!$CE$2:$CE$141)&gt;0)),ROW()-2),1),"")</f>
        <v>Wechselwiese 4 Nutzungen, kleereich (40-60% Legum.)</v>
      </c>
      <c r="DE97" s="1830"/>
      <c r="DF97" s="2353" t="str">
        <f t="array" ref="DF97">IFERROR(INDEX(N_Bedarf!$CE$2:$CE$141,_xlfn.AGGREGATE(15,6,(ROW(N_Bedarf!$CE$2:$CE$141)-1)/(--(SEARCH(DG$2,N_Bedarf!$CE$2:$CE$141)&gt;0)),ROW()-2),1),"")</f>
        <v>Wechselwiese 4 Nutzungen, kleereich (40-60% Legum.)</v>
      </c>
      <c r="DG97" s="2353"/>
      <c r="DH97" s="2355" t="str">
        <f t="array" ref="DH97">IFERROR(INDEX(N_Bedarf!$CE$2:$CE$141,_xlfn.AGGREGATE(15,6,(ROW(N_Bedarf!$CE$2:$CE$141)-1)/(--(SEARCH(DI$2,N_Bedarf!$CE$2:$CE$141)&gt;0)),ROW()-2),1),"")</f>
        <v>Wechselwiese 4 Nutzungen, kleereich (40-60% Legum.)</v>
      </c>
      <c r="DI97" s="2355"/>
      <c r="DJ97" s="2356" t="str">
        <f t="array" ref="DJ97">IFERROR(INDEX(N_Bedarf!$CE$2:$CE$141,_xlfn.AGGREGATE(15,6,(ROW(N_Bedarf!$CE$2:$CE$141)-1)/(--(SEARCH(DK$2,N_Bedarf!$CE$2:$CE$141)&gt;0)),ROW()-2),1),"")</f>
        <v>Wechselwiese 4 Nutzungen, kleereich (40-60% Legum.)</v>
      </c>
      <c r="DK97" s="2356"/>
      <c r="DL97" s="2356" t="str">
        <f t="array" ref="DL97">IFERROR(INDEX(N_Bedarf!$CE$2:$CE$141,_xlfn.AGGREGATE(15,6,(ROW(N_Bedarf!$CE$2:$CE$141)-1)/(--(SEARCH(DM$2,N_Bedarf!$CE$2:$CE$141)&gt;0)),ROW()-2),1),"")</f>
        <v>Wechselwiese 4 Nutzungen, kleereich (40-60% Legum.)</v>
      </c>
      <c r="DM97" s="2356"/>
      <c r="DN97" s="2356" t="str">
        <f t="array" ref="DN97">IFERROR(INDEX(N_Bedarf!$CE$2:$CE$141,_xlfn.AGGREGATE(15,6,(ROW(N_Bedarf!$CE$2:$CE$141)-1)/(--(SEARCH(DO$2,N_Bedarf!$CE$2:$CE$141)&gt;0)),ROW()-2),1),"")</f>
        <v>Wechselwiese 4 Nutzungen, kleereich (40-60% Legum.)</v>
      </c>
      <c r="DO97" s="2356"/>
      <c r="DP97" s="2356" t="str">
        <f t="array" ref="DP97">IFERROR(INDEX(N_Bedarf!$CE$2:$CE$141,_xlfn.AGGREGATE(15,6,(ROW(N_Bedarf!$CE$2:$CE$141)-1)/(--(SEARCH(DQ$2,N_Bedarf!$CE$2:$CE$141)&gt;0)),ROW()-2),1),"")</f>
        <v>Wechselwiese 4 Nutzungen, kleereich (40-60% Legum.)</v>
      </c>
      <c r="DQ97" s="2356"/>
      <c r="DR97" s="2356" t="str">
        <f t="array" ref="DR97">IFERROR(INDEX(N_Bedarf!$CE$2:$CE$141,_xlfn.AGGREGATE(15,6,(ROW(N_Bedarf!$CE$2:$CE$141)-1)/(--(SEARCH(DS$2,N_Bedarf!$CE$2:$CE$141)&gt;0)),ROW()-2),1),"")</f>
        <v>Wechselwiese 4 Nutzungen, kleereich (40-60% Legum.)</v>
      </c>
      <c r="DS97" s="2356"/>
      <c r="DT97" s="2356" t="str">
        <f t="array" ref="DT97">IFERROR(INDEX(N_Bedarf!$CE$2:$CE$141,_xlfn.AGGREGATE(15,6,(ROW(N_Bedarf!$CE$2:$CE$141)-1)/(--(SEARCH(DU$2,N_Bedarf!$CE$2:$CE$141)&gt;0)),ROW()-2),1),"")</f>
        <v>Wechselwiese 4 Nutzungen, kleereich (40-60% Legum.)</v>
      </c>
      <c r="DU97" s="2356"/>
      <c r="DV97" s="2356" t="str">
        <f t="array" ref="DV97">IFERROR(INDEX(N_Bedarf!$CE$2:$CE$141,_xlfn.AGGREGATE(15,6,(ROW(N_Bedarf!$CE$2:$CE$141)-1)/(--(SEARCH(DW$2,N_Bedarf!$CE$2:$CE$141)&gt;0)),ROW()-2),1),"")</f>
        <v>Wechselwiese 4 Nutzungen, kleereich (40-60% Legum.)</v>
      </c>
      <c r="DW97" s="2356"/>
      <c r="DX97" s="2356" t="str">
        <f t="array" ref="DX97">IFERROR(INDEX(N_Bedarf!$CE$2:$CE$141,_xlfn.AGGREGATE(15,6,(ROW(N_Bedarf!$CE$2:$CE$141)-1)/(--(SEARCH(DY$2,N_Bedarf!$CE$2:$CE$141)&gt;0)),ROW()-2),1),"")</f>
        <v>Wechselwiese 4 Nutzungen, kleereich (40-60% Legum.)</v>
      </c>
      <c r="DY97" s="2356"/>
      <c r="DZ97" s="2356" t="str">
        <f t="array" ref="DZ97">IFERROR(INDEX(N_Bedarf!$CE$2:$CE$141,_xlfn.AGGREGATE(15,6,(ROW(N_Bedarf!$CE$2:$CE$141)-1)/(--(SEARCH(EA$2,N_Bedarf!$CE$2:$CE$141)&gt;0)),ROW()-2),1),"")</f>
        <v>Wechselwiese 4 Nutzungen, kleereich (40-60% Legum.)</v>
      </c>
      <c r="EA97" s="2356"/>
      <c r="EB97" s="2356" t="str">
        <f t="array" ref="EB97">IFERROR(INDEX(N_Bedarf!$CE$2:$CE$141,_xlfn.AGGREGATE(15,6,(ROW(N_Bedarf!$CE$2:$CE$141)-1)/(--(SEARCH(EC$2,N_Bedarf!$CE$2:$CE$141)&gt;0)),ROW()-2),1),"")</f>
        <v>Wechselwiese 4 Nutzungen, kleereich (40-60% Legum.)</v>
      </c>
      <c r="EC97" s="2356"/>
      <c r="ED97"/>
      <c r="EE97"/>
      <c r="EF97"/>
      <c r="EG97"/>
      <c r="EH97"/>
      <c r="EI97"/>
      <c r="EJ97"/>
      <c r="EK97"/>
      <c r="EL97"/>
      <c r="EM97"/>
      <c r="EN97"/>
      <c r="EO97"/>
      <c r="EP97"/>
      <c r="EQ97"/>
      <c r="ER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row>
    <row r="98" spans="1:291" ht="21" customHeight="1" thickTop="1" thickBot="1">
      <c r="A98" s="156"/>
      <c r="B98" s="156"/>
      <c r="C98" s="1758" t="s">
        <v>1703</v>
      </c>
      <c r="D98" s="1759" t="s">
        <v>714</v>
      </c>
      <c r="E98" s="1729">
        <v>0</v>
      </c>
      <c r="F98" s="1760">
        <v>0</v>
      </c>
      <c r="G98" s="1993" t="s">
        <v>714</v>
      </c>
      <c r="H98" s="1994">
        <v>0</v>
      </c>
      <c r="I98" s="1995">
        <v>0</v>
      </c>
      <c r="J98" s="1759" t="s">
        <v>714</v>
      </c>
      <c r="K98" s="1729">
        <v>0</v>
      </c>
      <c r="L98" s="1760">
        <v>0</v>
      </c>
      <c r="M98" s="1759"/>
      <c r="N98" s="1729"/>
      <c r="O98" s="1760"/>
      <c r="P98" s="1759"/>
      <c r="Q98" s="1729"/>
      <c r="R98" s="1761"/>
      <c r="S98" s="1762">
        <v>0</v>
      </c>
      <c r="T98" s="1729">
        <v>0</v>
      </c>
      <c r="U98" s="1760">
        <v>0</v>
      </c>
      <c r="V98" s="1759">
        <v>0</v>
      </c>
      <c r="W98" s="1729">
        <v>0</v>
      </c>
      <c r="X98" s="1760">
        <v>0</v>
      </c>
      <c r="Y98" s="2009">
        <v>0</v>
      </c>
      <c r="Z98" s="2010">
        <v>0</v>
      </c>
      <c r="AA98" s="2011">
        <v>0</v>
      </c>
      <c r="AB98" s="1871" t="s">
        <v>714</v>
      </c>
      <c r="AC98" s="1763" t="s">
        <v>714</v>
      </c>
      <c r="AD98" s="1762">
        <v>0</v>
      </c>
      <c r="AE98" s="1729">
        <v>0</v>
      </c>
      <c r="AF98" s="1760">
        <v>0</v>
      </c>
      <c r="AG98" s="1759">
        <v>0</v>
      </c>
      <c r="AH98" s="1729">
        <v>0</v>
      </c>
      <c r="AI98" s="1760">
        <v>0</v>
      </c>
      <c r="AJ98" s="2009">
        <v>0</v>
      </c>
      <c r="AK98" s="2010">
        <v>0</v>
      </c>
      <c r="AL98" s="2011">
        <v>0</v>
      </c>
      <c r="AM98" s="1871" t="s">
        <v>714</v>
      </c>
      <c r="AN98" s="1763" t="s">
        <v>714</v>
      </c>
      <c r="AO98" s="156"/>
      <c r="AP98" s="156"/>
      <c r="AX98" s="1722" t="s">
        <v>1948</v>
      </c>
      <c r="AY98" s="681">
        <v>80</v>
      </c>
      <c r="AZ98" s="681">
        <v>80</v>
      </c>
      <c r="BA98" s="681" t="s">
        <v>2696</v>
      </c>
      <c r="BB98" s="681">
        <v>100</v>
      </c>
      <c r="BC98" s="681">
        <v>100</v>
      </c>
      <c r="BD98" s="681" t="s">
        <v>2739</v>
      </c>
      <c r="BE98" s="681">
        <v>120</v>
      </c>
      <c r="BF98" s="681">
        <v>120</v>
      </c>
      <c r="BG98" s="681" t="s">
        <v>2584</v>
      </c>
      <c r="BH98" s="681">
        <v>120</v>
      </c>
      <c r="BI98" s="681">
        <v>120</v>
      </c>
      <c r="BJ98" s="681" t="s">
        <v>2584</v>
      </c>
      <c r="BK98" s="681">
        <v>120</v>
      </c>
      <c r="BL98" s="681">
        <v>120</v>
      </c>
      <c r="BM98" s="681" t="s">
        <v>2584</v>
      </c>
      <c r="BN98" s="471">
        <v>0</v>
      </c>
      <c r="BO98" s="821">
        <v>30</v>
      </c>
      <c r="BP98"/>
      <c r="BQ98" s="1722" t="s">
        <v>1948</v>
      </c>
      <c r="BR98" s="470">
        <v>45</v>
      </c>
      <c r="BS98" s="470">
        <v>65</v>
      </c>
      <c r="BT98" s="470">
        <v>80</v>
      </c>
      <c r="BU98" s="1590"/>
      <c r="BV98" s="1722" t="s">
        <v>1948</v>
      </c>
      <c r="BW98" s="470">
        <v>130</v>
      </c>
      <c r="BX98" s="470">
        <v>170</v>
      </c>
      <c r="BY98" s="470">
        <v>215</v>
      </c>
      <c r="BZ98" s="1588"/>
      <c r="CA98" s="429"/>
      <c r="CB98"/>
      <c r="CC98"/>
      <c r="CD98"/>
      <c r="CE98" s="2310" t="s">
        <v>1954</v>
      </c>
      <c r="CF98" s="1834" t="str">
        <f>IFERROR(INDEX(N_Bedarf!$CE$2:$CE$141,_xlfn.AGGREGATE(15,6,(ROW(N_Bedarf!$CE$2:$CE$141)-1)/(--(SEARCH(CG$2,N_Bedarf!$CE$2:$CE$141)&gt;0)),ROW()-2),1),"")</f>
        <v>Wechselwiese 5 Nutzungen, kleereich (40-60% Legum.)</v>
      </c>
      <c r="CG98" s="1836"/>
      <c r="CH98" s="1834" t="str">
        <f>IFERROR(INDEX(N_Bedarf!$CE$2:$CE$141,_xlfn.AGGREGATE(15,6,(ROW(N_Bedarf!$CE$2:$CE$141)-1)/(--(SEARCH(CI$2,N_Bedarf!$CE$2:$CE$141)&gt;0)),ROW()-2),1),"")</f>
        <v>Wechselwiese 5 Nutzungen, kleereich (40-60% Legum.)</v>
      </c>
      <c r="CI98" s="1836"/>
      <c r="CJ98" s="1834" t="str">
        <f>IFERROR(INDEX(N_Bedarf!$CE$2:$CE$141,_xlfn.AGGREGATE(15,6,(ROW(N_Bedarf!$CE$2:$CE$141)-1)/(--(SEARCH(CK$2,N_Bedarf!$CE$2:$CE$141)&gt;0)),ROW()-2),1),"")</f>
        <v>Wechselwiese 5 Nutzungen, kleereich (40-60% Legum.)</v>
      </c>
      <c r="CK98" s="1836"/>
      <c r="CL98" s="1834" t="str">
        <f>IFERROR(INDEX(N_Bedarf!$CE$2:$CE$141,_xlfn.AGGREGATE(15,6,(ROW(N_Bedarf!$CE$2:$CE$141)-1)/(--(SEARCH(CM$2,N_Bedarf!$CE$2:$CE$141)&gt;0)),ROW()-2),1),"")</f>
        <v>Wechselwiese 5 Nutzungen, kleereich (40-60% Legum.)</v>
      </c>
      <c r="CM98" s="1836"/>
      <c r="CN98" s="1834" t="str">
        <f>IFERROR(INDEX(N_Bedarf!$CE$2:$CE$141,_xlfn.AGGREGATE(15,6,(ROW(N_Bedarf!$CE$2:$CE$141)-1)/(--(SEARCH(CO$2,N_Bedarf!$CE$2:$CE$141)&gt;0)),ROW()-2),1),"")</f>
        <v>Wechselwiese 5 Nutzungen, kleereich (40-60% Legum.)</v>
      </c>
      <c r="CO98" s="1836"/>
      <c r="CP98" s="1834" t="str">
        <f>IFERROR(INDEX(N_Bedarf!$CE$2:$CE$141,_xlfn.AGGREGATE(15,6,(ROW(N_Bedarf!$CE$2:$CE$141)-1)/(--(SEARCH(CQ$2,N_Bedarf!$CE$2:$CE$141)&gt;0)),ROW()-2),1),"")</f>
        <v>Wechselwiese 5 Nutzungen, kleereich (40-60% Legum.)</v>
      </c>
      <c r="CQ98" s="1836"/>
      <c r="CR98" s="1834" t="str">
        <f>IFERROR(INDEX(N_Bedarf!$CE$2:$CE$141,_xlfn.AGGREGATE(15,6,(ROW(N_Bedarf!$CE$2:$CE$141)-1)/(--(SEARCH(CS$2,N_Bedarf!$CE$2:$CE$141)&gt;0)),ROW()-2),1),"")</f>
        <v>Wechselwiese 5 Nutzungen, kleereich (40-60% Legum.)</v>
      </c>
      <c r="CS98" s="1836"/>
      <c r="CT98" s="1834" t="str">
        <f>IFERROR(INDEX(N_Bedarf!$CE$2:$CE$141,_xlfn.AGGREGATE(15,6,(ROW(N_Bedarf!$CE$2:$CE$141)-1)/(--(SEARCH(CU$2,N_Bedarf!$CE$2:$CE$141)&gt;0)),ROW()-2),1),"")</f>
        <v>Wechselwiese 5 Nutzungen, kleereich (40-60% Legum.)</v>
      </c>
      <c r="CU98" s="1836"/>
      <c r="CV98" s="1834" t="str">
        <f>IFERROR(INDEX(N_Bedarf!$CE$2:$CE$141,_xlfn.AGGREGATE(15,6,(ROW(N_Bedarf!$CE$2:$CE$141)-1)/(--(SEARCH(CW$2,N_Bedarf!$CE$2:$CE$141)&gt;0)),ROW()-2),1),"")</f>
        <v>Wechselwiese 5 Nutzungen, kleereich (40-60% Legum.)</v>
      </c>
      <c r="CW98" s="1836"/>
      <c r="CX98" s="1834" t="str">
        <f>IFERROR(INDEX(N_Bedarf!$CE$2:$CE$141,_xlfn.AGGREGATE(15,6,(ROW(N_Bedarf!$CE$2:$CE$141)-1)/(--(SEARCH(CY$2,N_Bedarf!$CE$2:$CE$141)&gt;0)),ROW()-2),1),"")</f>
        <v>Wechselwiese 5 Nutzungen, kleereich (40-60% Legum.)</v>
      </c>
      <c r="CY98" s="1836"/>
      <c r="CZ98" s="1834" t="str">
        <f>IFERROR(INDEX(N_Bedarf!$CE$2:$CE$141,_xlfn.AGGREGATE(15,6,(ROW(N_Bedarf!$CE$2:$CE$141)-1)/(--(SEARCH(DA$2,N_Bedarf!$CE$2:$CE$141)&gt;0)),ROW()-2),1),"")</f>
        <v>Wechselwiese 5 Nutzungen, kleereich (40-60% Legum.)</v>
      </c>
      <c r="DA98" s="1836"/>
      <c r="DB98" s="1834" t="str">
        <f>IFERROR(INDEX(N_Bedarf!$CE$2:$CE$141,_xlfn.AGGREGATE(15,6,(ROW(N_Bedarf!$CE$2:$CE$141)-1)/(--(SEARCH(DC$2,N_Bedarf!$CE$2:$CE$141)&gt;0)),ROW()-2),1),"")</f>
        <v>Wechselwiese 5 Nutzungen, kleereich (40-60% Legum.)</v>
      </c>
      <c r="DC98" s="1836"/>
      <c r="DD98" s="1834" t="str">
        <f>IFERROR(INDEX(N_Bedarf!$CE$2:$CE$141,_xlfn.AGGREGATE(15,6,(ROW(N_Bedarf!$CE$2:$CE$141)-1)/(--(SEARCH(DE$2,N_Bedarf!$CE$2:$CE$141)&gt;0)),ROW()-2),1),"")</f>
        <v>Wechselwiese 5 Nutzungen, kleereich (40-60% Legum.)</v>
      </c>
      <c r="DE98" s="1836"/>
      <c r="DF98" s="2353" t="str">
        <f t="array" ref="DF98">IFERROR(INDEX(N_Bedarf!$CE$2:$CE$141,_xlfn.AGGREGATE(15,6,(ROW(N_Bedarf!$CE$2:$CE$141)-1)/(--(SEARCH(DG$2,N_Bedarf!$CE$2:$CE$141)&gt;0)),ROW()-2),1),"")</f>
        <v>Wechselwiese 5 Nutzungen, kleereich (40-60% Legum.)</v>
      </c>
      <c r="DG98" s="2353"/>
      <c r="DH98" s="2355" t="str">
        <f t="array" ref="DH98">IFERROR(INDEX(N_Bedarf!$CE$2:$CE$141,_xlfn.AGGREGATE(15,6,(ROW(N_Bedarf!$CE$2:$CE$141)-1)/(--(SEARCH(DI$2,N_Bedarf!$CE$2:$CE$141)&gt;0)),ROW()-2),1),"")</f>
        <v>Wechselwiese 5 Nutzungen, kleereich (40-60% Legum.)</v>
      </c>
      <c r="DI98" s="2355"/>
      <c r="DJ98" s="2356" t="str">
        <f t="array" ref="DJ98">IFERROR(INDEX(N_Bedarf!$CE$2:$CE$141,_xlfn.AGGREGATE(15,6,(ROW(N_Bedarf!$CE$2:$CE$141)-1)/(--(SEARCH(DK$2,N_Bedarf!$CE$2:$CE$141)&gt;0)),ROW()-2),1),"")</f>
        <v>Wechselwiese 5 Nutzungen, kleereich (40-60% Legum.)</v>
      </c>
      <c r="DK98" s="2356"/>
      <c r="DL98" s="2356" t="str">
        <f t="array" ref="DL98">IFERROR(INDEX(N_Bedarf!$CE$2:$CE$141,_xlfn.AGGREGATE(15,6,(ROW(N_Bedarf!$CE$2:$CE$141)-1)/(--(SEARCH(DM$2,N_Bedarf!$CE$2:$CE$141)&gt;0)),ROW()-2),1),"")</f>
        <v>Wechselwiese 5 Nutzungen, kleereich (40-60% Legum.)</v>
      </c>
      <c r="DM98" s="2356"/>
      <c r="DN98" s="2356" t="str">
        <f t="array" ref="DN98">IFERROR(INDEX(N_Bedarf!$CE$2:$CE$141,_xlfn.AGGREGATE(15,6,(ROW(N_Bedarf!$CE$2:$CE$141)-1)/(--(SEARCH(DO$2,N_Bedarf!$CE$2:$CE$141)&gt;0)),ROW()-2),1),"")</f>
        <v>Wechselwiese 5 Nutzungen, kleereich (40-60% Legum.)</v>
      </c>
      <c r="DO98" s="2356"/>
      <c r="DP98" s="2356" t="str">
        <f t="array" ref="DP98">IFERROR(INDEX(N_Bedarf!$CE$2:$CE$141,_xlfn.AGGREGATE(15,6,(ROW(N_Bedarf!$CE$2:$CE$141)-1)/(--(SEARCH(DQ$2,N_Bedarf!$CE$2:$CE$141)&gt;0)),ROW()-2),1),"")</f>
        <v>Wechselwiese 5 Nutzungen, kleereich (40-60% Legum.)</v>
      </c>
      <c r="DQ98" s="2356"/>
      <c r="DR98" s="2356" t="str">
        <f t="array" ref="DR98">IFERROR(INDEX(N_Bedarf!$CE$2:$CE$141,_xlfn.AGGREGATE(15,6,(ROW(N_Bedarf!$CE$2:$CE$141)-1)/(--(SEARCH(DS$2,N_Bedarf!$CE$2:$CE$141)&gt;0)),ROW()-2),1),"")</f>
        <v>Wechselwiese 5 Nutzungen, kleereich (40-60% Legum.)</v>
      </c>
      <c r="DS98" s="2356"/>
      <c r="DT98" s="2356" t="str">
        <f t="array" ref="DT98">IFERROR(INDEX(N_Bedarf!$CE$2:$CE$141,_xlfn.AGGREGATE(15,6,(ROW(N_Bedarf!$CE$2:$CE$141)-1)/(--(SEARCH(DU$2,N_Bedarf!$CE$2:$CE$141)&gt;0)),ROW()-2),1),"")</f>
        <v>Wechselwiese 5 Nutzungen, kleereich (40-60% Legum.)</v>
      </c>
      <c r="DU98" s="2356"/>
      <c r="DV98" s="2356" t="str">
        <f t="array" ref="DV98">IFERROR(INDEX(N_Bedarf!$CE$2:$CE$141,_xlfn.AGGREGATE(15,6,(ROW(N_Bedarf!$CE$2:$CE$141)-1)/(--(SEARCH(DW$2,N_Bedarf!$CE$2:$CE$141)&gt;0)),ROW()-2),1),"")</f>
        <v>Wechselwiese 5 Nutzungen, kleereich (40-60% Legum.)</v>
      </c>
      <c r="DW98" s="2356"/>
      <c r="DX98" s="2356" t="str">
        <f t="array" ref="DX98">IFERROR(INDEX(N_Bedarf!$CE$2:$CE$141,_xlfn.AGGREGATE(15,6,(ROW(N_Bedarf!$CE$2:$CE$141)-1)/(--(SEARCH(DY$2,N_Bedarf!$CE$2:$CE$141)&gt;0)),ROW()-2),1),"")</f>
        <v>Wechselwiese 5 Nutzungen, kleereich (40-60% Legum.)</v>
      </c>
      <c r="DY98" s="2356"/>
      <c r="DZ98" s="2356" t="str">
        <f t="array" ref="DZ98">IFERROR(INDEX(N_Bedarf!$CE$2:$CE$141,_xlfn.AGGREGATE(15,6,(ROW(N_Bedarf!$CE$2:$CE$141)-1)/(--(SEARCH(EA$2,N_Bedarf!$CE$2:$CE$141)&gt;0)),ROW()-2),1),"")</f>
        <v>Wechselwiese 5 Nutzungen, kleereich (40-60% Legum.)</v>
      </c>
      <c r="EA98" s="2356"/>
      <c r="EB98" s="2356" t="str">
        <f t="array" ref="EB98">IFERROR(INDEX(N_Bedarf!$CE$2:$CE$141,_xlfn.AGGREGATE(15,6,(ROW(N_Bedarf!$CE$2:$CE$141)-1)/(--(SEARCH(EC$2,N_Bedarf!$CE$2:$CE$141)&gt;0)),ROW()-2),1),"")</f>
        <v>Wechselwiese 5 Nutzungen, kleereich (40-60% Legum.)</v>
      </c>
      <c r="EC98" s="2356"/>
      <c r="ED98"/>
      <c r="EE98"/>
      <c r="EF98"/>
      <c r="EG98"/>
      <c r="EH98"/>
      <c r="EI98"/>
      <c r="EJ98"/>
      <c r="EK98"/>
      <c r="EL98"/>
      <c r="EM98"/>
      <c r="EN98"/>
      <c r="EO98"/>
      <c r="EP98"/>
      <c r="EQ98"/>
      <c r="ER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row>
    <row r="99" spans="1:291" ht="21" customHeight="1" thickTop="1" thickBot="1">
      <c r="A99" s="156"/>
      <c r="B99" s="156"/>
      <c r="C99" s="1758" t="s">
        <v>1704</v>
      </c>
      <c r="D99" s="1759" t="s">
        <v>714</v>
      </c>
      <c r="E99" s="1729">
        <v>0</v>
      </c>
      <c r="F99" s="1760">
        <v>0</v>
      </c>
      <c r="G99" s="1993" t="s">
        <v>714</v>
      </c>
      <c r="H99" s="1994">
        <v>0</v>
      </c>
      <c r="I99" s="1995">
        <v>0</v>
      </c>
      <c r="J99" s="1759" t="s">
        <v>714</v>
      </c>
      <c r="K99" s="1729">
        <v>0</v>
      </c>
      <c r="L99" s="1760">
        <v>0</v>
      </c>
      <c r="M99" s="1759"/>
      <c r="N99" s="1729"/>
      <c r="O99" s="1760"/>
      <c r="P99" s="1759"/>
      <c r="Q99" s="1729"/>
      <c r="R99" s="1761"/>
      <c r="S99" s="1762">
        <v>0</v>
      </c>
      <c r="T99" s="1729">
        <v>0</v>
      </c>
      <c r="U99" s="1760">
        <v>0</v>
      </c>
      <c r="V99" s="1759">
        <v>0</v>
      </c>
      <c r="W99" s="1729">
        <v>0</v>
      </c>
      <c r="X99" s="1760">
        <v>0</v>
      </c>
      <c r="Y99" s="2009">
        <v>0</v>
      </c>
      <c r="Z99" s="2010">
        <v>0</v>
      </c>
      <c r="AA99" s="2011">
        <v>0</v>
      </c>
      <c r="AB99" s="1871" t="s">
        <v>714</v>
      </c>
      <c r="AC99" s="1763" t="s">
        <v>714</v>
      </c>
      <c r="AD99" s="1762">
        <v>0</v>
      </c>
      <c r="AE99" s="1729">
        <v>0</v>
      </c>
      <c r="AF99" s="1760">
        <v>0</v>
      </c>
      <c r="AG99" s="1759">
        <v>0</v>
      </c>
      <c r="AH99" s="1729">
        <v>0</v>
      </c>
      <c r="AI99" s="1760">
        <v>0</v>
      </c>
      <c r="AJ99" s="2009">
        <v>0</v>
      </c>
      <c r="AK99" s="2010">
        <v>0</v>
      </c>
      <c r="AL99" s="2011">
        <v>0</v>
      </c>
      <c r="AM99" s="1871" t="s">
        <v>714</v>
      </c>
      <c r="AN99" s="1763" t="s">
        <v>714</v>
      </c>
      <c r="AO99" s="156"/>
      <c r="AP99" s="156"/>
      <c r="AX99" s="1722" t="s">
        <v>1950</v>
      </c>
      <c r="AY99" s="681">
        <v>120</v>
      </c>
      <c r="AZ99" s="681">
        <v>120</v>
      </c>
      <c r="BA99" s="681" t="s">
        <v>2697</v>
      </c>
      <c r="BB99" s="681">
        <v>120</v>
      </c>
      <c r="BC99" s="681">
        <v>120</v>
      </c>
      <c r="BD99" s="681" t="s">
        <v>2697</v>
      </c>
      <c r="BE99" s="681">
        <v>150</v>
      </c>
      <c r="BF99" s="681">
        <v>150</v>
      </c>
      <c r="BG99" s="681" t="s">
        <v>2585</v>
      </c>
      <c r="BH99" s="681">
        <v>150</v>
      </c>
      <c r="BI99" s="681">
        <v>150</v>
      </c>
      <c r="BJ99" s="681" t="s">
        <v>2585</v>
      </c>
      <c r="BK99" s="681">
        <v>150</v>
      </c>
      <c r="BL99" s="681">
        <v>150</v>
      </c>
      <c r="BM99" s="681" t="s">
        <v>2585</v>
      </c>
      <c r="BN99" s="471">
        <v>0</v>
      </c>
      <c r="BO99" s="821">
        <v>30</v>
      </c>
      <c r="BP99"/>
      <c r="BQ99" s="1722" t="s">
        <v>1950</v>
      </c>
      <c r="BR99" s="470">
        <v>80</v>
      </c>
      <c r="BS99" s="470">
        <v>80</v>
      </c>
      <c r="BT99" s="470">
        <v>90</v>
      </c>
      <c r="BU99" s="1590"/>
      <c r="BV99" s="1722" t="s">
        <v>1950</v>
      </c>
      <c r="BW99" s="470">
        <v>205</v>
      </c>
      <c r="BX99" s="470">
        <v>205</v>
      </c>
      <c r="BY99" s="470">
        <v>260</v>
      </c>
      <c r="BZ99" s="1588"/>
      <c r="CA99" s="429"/>
      <c r="CB99"/>
      <c r="CC99"/>
      <c r="CD99"/>
      <c r="CE99" s="2310" t="s">
        <v>1918</v>
      </c>
      <c r="CF99" s="1834" t="str">
        <f>IFERROR(INDEX(N_Bedarf!$CE$2:$CE$141,_xlfn.AGGREGATE(15,6,(ROW(N_Bedarf!$CE$2:$CE$141)-1)/(--(SEARCH(CG$2,N_Bedarf!$CE$2:$CE$141)&gt;0)),ROW()-2),1),"")</f>
        <v>Wechselwiese 6 Nutzungen, kleereich (40-60% Legum.)</v>
      </c>
      <c r="CG99" s="1830"/>
      <c r="CH99" s="1834" t="str">
        <f>IFERROR(INDEX(N_Bedarf!$CE$2:$CE$141,_xlfn.AGGREGATE(15,6,(ROW(N_Bedarf!$CE$2:$CE$141)-1)/(--(SEARCH(CI$2,N_Bedarf!$CE$2:$CE$141)&gt;0)),ROW()-2),1),"")</f>
        <v>Wechselwiese 6 Nutzungen, kleereich (40-60% Legum.)</v>
      </c>
      <c r="CI99" s="1830"/>
      <c r="CJ99" s="1834" t="str">
        <f>IFERROR(INDEX(N_Bedarf!$CE$2:$CE$141,_xlfn.AGGREGATE(15,6,(ROW(N_Bedarf!$CE$2:$CE$141)-1)/(--(SEARCH(CK$2,N_Bedarf!$CE$2:$CE$141)&gt;0)),ROW()-2),1),"")</f>
        <v>Wechselwiese 6 Nutzungen, kleereich (40-60% Legum.)</v>
      </c>
      <c r="CK99" s="1830"/>
      <c r="CL99" s="1834" t="str">
        <f>IFERROR(INDEX(N_Bedarf!$CE$2:$CE$141,_xlfn.AGGREGATE(15,6,(ROW(N_Bedarf!$CE$2:$CE$141)-1)/(--(SEARCH(CM$2,N_Bedarf!$CE$2:$CE$141)&gt;0)),ROW()-2),1),"")</f>
        <v>Wechselwiese 6 Nutzungen, kleereich (40-60% Legum.)</v>
      </c>
      <c r="CM99" s="1830"/>
      <c r="CN99" s="1834" t="str">
        <f>IFERROR(INDEX(N_Bedarf!$CE$2:$CE$141,_xlfn.AGGREGATE(15,6,(ROW(N_Bedarf!$CE$2:$CE$141)-1)/(--(SEARCH(CO$2,N_Bedarf!$CE$2:$CE$141)&gt;0)),ROW()-2),1),"")</f>
        <v>Wechselwiese 6 Nutzungen, kleereich (40-60% Legum.)</v>
      </c>
      <c r="CO99" s="1830"/>
      <c r="CP99" s="1834" t="str">
        <f>IFERROR(INDEX(N_Bedarf!$CE$2:$CE$141,_xlfn.AGGREGATE(15,6,(ROW(N_Bedarf!$CE$2:$CE$141)-1)/(--(SEARCH(CQ$2,N_Bedarf!$CE$2:$CE$141)&gt;0)),ROW()-2),1),"")</f>
        <v>Wechselwiese 6 Nutzungen, kleereich (40-60% Legum.)</v>
      </c>
      <c r="CQ99" s="1830"/>
      <c r="CR99" s="1834" t="str">
        <f>IFERROR(INDEX(N_Bedarf!$CE$2:$CE$141,_xlfn.AGGREGATE(15,6,(ROW(N_Bedarf!$CE$2:$CE$141)-1)/(--(SEARCH(CS$2,N_Bedarf!$CE$2:$CE$141)&gt;0)),ROW()-2),1),"")</f>
        <v>Wechselwiese 6 Nutzungen, kleereich (40-60% Legum.)</v>
      </c>
      <c r="CS99" s="1830"/>
      <c r="CT99" s="1834" t="str">
        <f>IFERROR(INDEX(N_Bedarf!$CE$2:$CE$141,_xlfn.AGGREGATE(15,6,(ROW(N_Bedarf!$CE$2:$CE$141)-1)/(--(SEARCH(CU$2,N_Bedarf!$CE$2:$CE$141)&gt;0)),ROW()-2),1),"")</f>
        <v>Wechselwiese 6 Nutzungen, kleereich (40-60% Legum.)</v>
      </c>
      <c r="CU99" s="1830"/>
      <c r="CV99" s="1834" t="str">
        <f>IFERROR(INDEX(N_Bedarf!$CE$2:$CE$141,_xlfn.AGGREGATE(15,6,(ROW(N_Bedarf!$CE$2:$CE$141)-1)/(--(SEARCH(CW$2,N_Bedarf!$CE$2:$CE$141)&gt;0)),ROW()-2),1),"")</f>
        <v>Wechselwiese 6 Nutzungen, kleereich (40-60% Legum.)</v>
      </c>
      <c r="CW99" s="1830"/>
      <c r="CX99" s="1834" t="str">
        <f>IFERROR(INDEX(N_Bedarf!$CE$2:$CE$141,_xlfn.AGGREGATE(15,6,(ROW(N_Bedarf!$CE$2:$CE$141)-1)/(--(SEARCH(CY$2,N_Bedarf!$CE$2:$CE$141)&gt;0)),ROW()-2),1),"")</f>
        <v>Wechselwiese 6 Nutzungen, kleereich (40-60% Legum.)</v>
      </c>
      <c r="CY99" s="1830"/>
      <c r="CZ99" s="1834" t="str">
        <f>IFERROR(INDEX(N_Bedarf!$CE$2:$CE$141,_xlfn.AGGREGATE(15,6,(ROW(N_Bedarf!$CE$2:$CE$141)-1)/(--(SEARCH(DA$2,N_Bedarf!$CE$2:$CE$141)&gt;0)),ROW()-2),1),"")</f>
        <v>Wechselwiese 6 Nutzungen, kleereich (40-60% Legum.)</v>
      </c>
      <c r="DA99" s="1830"/>
      <c r="DB99" s="1834" t="str">
        <f>IFERROR(INDEX(N_Bedarf!$CE$2:$CE$141,_xlfn.AGGREGATE(15,6,(ROW(N_Bedarf!$CE$2:$CE$141)-1)/(--(SEARCH(DC$2,N_Bedarf!$CE$2:$CE$141)&gt;0)),ROW()-2),1),"")</f>
        <v>Wechselwiese 6 Nutzungen, kleereich (40-60% Legum.)</v>
      </c>
      <c r="DC99" s="1830"/>
      <c r="DD99" s="1834" t="str">
        <f>IFERROR(INDEX(N_Bedarf!$CE$2:$CE$141,_xlfn.AGGREGATE(15,6,(ROW(N_Bedarf!$CE$2:$CE$141)-1)/(--(SEARCH(DE$2,N_Bedarf!$CE$2:$CE$141)&gt;0)),ROW()-2),1),"")</f>
        <v>Wechselwiese 6 Nutzungen, kleereich (40-60% Legum.)</v>
      </c>
      <c r="DE99" s="1830"/>
      <c r="DF99" s="2353" t="str">
        <f t="array" ref="DF99">IFERROR(INDEX(N_Bedarf!$CE$2:$CE$141,_xlfn.AGGREGATE(15,6,(ROW(N_Bedarf!$CE$2:$CE$141)-1)/(--(SEARCH(DG$2,N_Bedarf!$CE$2:$CE$141)&gt;0)),ROW()-2),1),"")</f>
        <v>Wechselwiese 6 Nutzungen, kleereich (40-60% Legum.)</v>
      </c>
      <c r="DG99" s="2353"/>
      <c r="DH99" s="2355" t="str">
        <f t="array" ref="DH99">IFERROR(INDEX(N_Bedarf!$CE$2:$CE$141,_xlfn.AGGREGATE(15,6,(ROW(N_Bedarf!$CE$2:$CE$141)-1)/(--(SEARCH(DI$2,N_Bedarf!$CE$2:$CE$141)&gt;0)),ROW()-2),1),"")</f>
        <v>Wechselwiese 6 Nutzungen, kleereich (40-60% Legum.)</v>
      </c>
      <c r="DI99" s="2355"/>
      <c r="DJ99" s="2356" t="str">
        <f t="array" ref="DJ99">IFERROR(INDEX(N_Bedarf!$CE$2:$CE$141,_xlfn.AGGREGATE(15,6,(ROW(N_Bedarf!$CE$2:$CE$141)-1)/(--(SEARCH(DK$2,N_Bedarf!$CE$2:$CE$141)&gt;0)),ROW()-2),1),"")</f>
        <v>Wechselwiese 6 Nutzungen, kleereich (40-60% Legum.)</v>
      </c>
      <c r="DK99" s="2356"/>
      <c r="DL99" s="2356" t="str">
        <f t="array" ref="DL99">IFERROR(INDEX(N_Bedarf!$CE$2:$CE$141,_xlfn.AGGREGATE(15,6,(ROW(N_Bedarf!$CE$2:$CE$141)-1)/(--(SEARCH(DM$2,N_Bedarf!$CE$2:$CE$141)&gt;0)),ROW()-2),1),"")</f>
        <v>Wechselwiese 6 Nutzungen, kleereich (40-60% Legum.)</v>
      </c>
      <c r="DM99" s="2356"/>
      <c r="DN99" s="2356" t="str">
        <f t="array" ref="DN99">IFERROR(INDEX(N_Bedarf!$CE$2:$CE$141,_xlfn.AGGREGATE(15,6,(ROW(N_Bedarf!$CE$2:$CE$141)-1)/(--(SEARCH(DO$2,N_Bedarf!$CE$2:$CE$141)&gt;0)),ROW()-2),1),"")</f>
        <v>Wechselwiese 6 Nutzungen, kleereich (40-60% Legum.)</v>
      </c>
      <c r="DO99" s="2356"/>
      <c r="DP99" s="2356" t="str">
        <f t="array" ref="DP99">IFERROR(INDEX(N_Bedarf!$CE$2:$CE$141,_xlfn.AGGREGATE(15,6,(ROW(N_Bedarf!$CE$2:$CE$141)-1)/(--(SEARCH(DQ$2,N_Bedarf!$CE$2:$CE$141)&gt;0)),ROW()-2),1),"")</f>
        <v>Wechselwiese 6 Nutzungen, kleereich (40-60% Legum.)</v>
      </c>
      <c r="DQ99" s="2356"/>
      <c r="DR99" s="2356" t="str">
        <f t="array" ref="DR99">IFERROR(INDEX(N_Bedarf!$CE$2:$CE$141,_xlfn.AGGREGATE(15,6,(ROW(N_Bedarf!$CE$2:$CE$141)-1)/(--(SEARCH(DS$2,N_Bedarf!$CE$2:$CE$141)&gt;0)),ROW()-2),1),"")</f>
        <v>Wechselwiese 6 Nutzungen, kleereich (40-60% Legum.)</v>
      </c>
      <c r="DS99" s="2356"/>
      <c r="DT99" s="2356" t="str">
        <f t="array" ref="DT99">IFERROR(INDEX(N_Bedarf!$CE$2:$CE$141,_xlfn.AGGREGATE(15,6,(ROW(N_Bedarf!$CE$2:$CE$141)-1)/(--(SEARCH(DU$2,N_Bedarf!$CE$2:$CE$141)&gt;0)),ROW()-2),1),"")</f>
        <v>Wechselwiese 6 Nutzungen, kleereich (40-60% Legum.)</v>
      </c>
      <c r="DU99" s="2356"/>
      <c r="DV99" s="2356" t="str">
        <f t="array" ref="DV99">IFERROR(INDEX(N_Bedarf!$CE$2:$CE$141,_xlfn.AGGREGATE(15,6,(ROW(N_Bedarf!$CE$2:$CE$141)-1)/(--(SEARCH(DW$2,N_Bedarf!$CE$2:$CE$141)&gt;0)),ROW()-2),1),"")</f>
        <v>Wechselwiese 6 Nutzungen, kleereich (40-60% Legum.)</v>
      </c>
      <c r="DW99" s="2356"/>
      <c r="DX99" s="2356" t="str">
        <f t="array" ref="DX99">IFERROR(INDEX(N_Bedarf!$CE$2:$CE$141,_xlfn.AGGREGATE(15,6,(ROW(N_Bedarf!$CE$2:$CE$141)-1)/(--(SEARCH(DY$2,N_Bedarf!$CE$2:$CE$141)&gt;0)),ROW()-2),1),"")</f>
        <v>Wechselwiese 6 Nutzungen, kleereich (40-60% Legum.)</v>
      </c>
      <c r="DY99" s="2356"/>
      <c r="DZ99" s="2356" t="str">
        <f t="array" ref="DZ99">IFERROR(INDEX(N_Bedarf!$CE$2:$CE$141,_xlfn.AGGREGATE(15,6,(ROW(N_Bedarf!$CE$2:$CE$141)-1)/(--(SEARCH(EA$2,N_Bedarf!$CE$2:$CE$141)&gt;0)),ROW()-2),1),"")</f>
        <v>Wechselwiese 6 Nutzungen, kleereich (40-60% Legum.)</v>
      </c>
      <c r="EA99" s="2356"/>
      <c r="EB99" s="2356" t="str">
        <f t="array" ref="EB99">IFERROR(INDEX(N_Bedarf!$CE$2:$CE$141,_xlfn.AGGREGATE(15,6,(ROW(N_Bedarf!$CE$2:$CE$141)-1)/(--(SEARCH(EC$2,N_Bedarf!$CE$2:$CE$141)&gt;0)),ROW()-2),1),"")</f>
        <v>Wechselwiese 6 Nutzungen, kleereich (40-60% Legum.)</v>
      </c>
      <c r="EC99" s="2356"/>
      <c r="ED99"/>
      <c r="EE99"/>
      <c r="EF99"/>
      <c r="EG99"/>
      <c r="EH99"/>
      <c r="EI99"/>
      <c r="EJ99"/>
      <c r="EK99"/>
      <c r="EL99"/>
      <c r="EM99"/>
      <c r="EN99"/>
      <c r="EO99"/>
      <c r="EP99"/>
      <c r="EQ99"/>
      <c r="ER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row>
    <row r="100" spans="1:291" ht="21" customHeight="1" thickTop="1" thickBot="1">
      <c r="A100" s="156"/>
      <c r="B100" s="156"/>
      <c r="C100" s="1758" t="s">
        <v>15</v>
      </c>
      <c r="D100" s="1759" t="s">
        <v>1774</v>
      </c>
      <c r="E100" s="1729">
        <v>130</v>
      </c>
      <c r="F100" s="1760">
        <v>115</v>
      </c>
      <c r="G100" s="1993" t="s">
        <v>1775</v>
      </c>
      <c r="H100" s="1994">
        <v>175</v>
      </c>
      <c r="I100" s="1995">
        <v>160</v>
      </c>
      <c r="J100" s="1759" t="s">
        <v>1776</v>
      </c>
      <c r="K100" s="1729">
        <v>210</v>
      </c>
      <c r="L100" s="1760">
        <v>190</v>
      </c>
      <c r="M100" s="1759" t="s">
        <v>1409</v>
      </c>
      <c r="N100" s="1729">
        <v>225</v>
      </c>
      <c r="O100" s="1760">
        <v>205</v>
      </c>
      <c r="P100" s="1759" t="s">
        <v>1410</v>
      </c>
      <c r="Q100" s="1729">
        <v>240</v>
      </c>
      <c r="R100" s="1761">
        <v>215</v>
      </c>
      <c r="S100" s="1762">
        <v>130</v>
      </c>
      <c r="T100" s="1729">
        <v>130</v>
      </c>
      <c r="U100" s="1760">
        <v>130</v>
      </c>
      <c r="V100" s="1759">
        <v>105</v>
      </c>
      <c r="W100" s="1729">
        <v>105</v>
      </c>
      <c r="X100" s="1760">
        <v>105</v>
      </c>
      <c r="Y100" s="2009">
        <v>75</v>
      </c>
      <c r="Z100" s="2010">
        <v>85</v>
      </c>
      <c r="AA100" s="2011">
        <v>100</v>
      </c>
      <c r="AB100" s="1871" t="s">
        <v>1388</v>
      </c>
      <c r="AC100" s="1763" t="s">
        <v>1389</v>
      </c>
      <c r="AD100" s="1762">
        <v>340</v>
      </c>
      <c r="AE100" s="1729">
        <v>340</v>
      </c>
      <c r="AF100" s="1760">
        <v>340</v>
      </c>
      <c r="AG100" s="1759">
        <v>280</v>
      </c>
      <c r="AH100" s="1729">
        <v>280</v>
      </c>
      <c r="AI100" s="1760">
        <v>280</v>
      </c>
      <c r="AJ100" s="2009">
        <v>205</v>
      </c>
      <c r="AK100" s="2010">
        <v>225</v>
      </c>
      <c r="AL100" s="2011">
        <v>260</v>
      </c>
      <c r="AM100" s="1871" t="s">
        <v>1390</v>
      </c>
      <c r="AN100" s="1763" t="s">
        <v>1389</v>
      </c>
      <c r="AO100" s="156"/>
      <c r="AP100" s="156"/>
      <c r="AX100" s="1722" t="s">
        <v>1952</v>
      </c>
      <c r="AY100" s="681">
        <v>200</v>
      </c>
      <c r="AZ100" s="681">
        <v>200</v>
      </c>
      <c r="BA100" s="681" t="s">
        <v>2698</v>
      </c>
      <c r="BB100" s="681">
        <v>200</v>
      </c>
      <c r="BC100" s="681">
        <v>200</v>
      </c>
      <c r="BD100" s="681" t="s">
        <v>2698</v>
      </c>
      <c r="BE100" s="681">
        <v>240</v>
      </c>
      <c r="BF100" s="681">
        <v>240</v>
      </c>
      <c r="BG100" s="681" t="s">
        <v>2586</v>
      </c>
      <c r="BH100" s="681">
        <v>240</v>
      </c>
      <c r="BI100" s="681">
        <v>240</v>
      </c>
      <c r="BJ100" s="681" t="s">
        <v>2586</v>
      </c>
      <c r="BK100" s="681">
        <v>240</v>
      </c>
      <c r="BL100" s="681">
        <v>240</v>
      </c>
      <c r="BM100" s="681" t="s">
        <v>2586</v>
      </c>
      <c r="BN100" s="471">
        <v>0</v>
      </c>
      <c r="BO100" s="821">
        <v>30</v>
      </c>
      <c r="BP100"/>
      <c r="BQ100" s="1722" t="s">
        <v>1952</v>
      </c>
      <c r="BR100" s="470">
        <v>85</v>
      </c>
      <c r="BS100" s="470">
        <v>85</v>
      </c>
      <c r="BT100" s="470">
        <v>105</v>
      </c>
      <c r="BU100" s="1590"/>
      <c r="BV100" s="1722" t="s">
        <v>1952</v>
      </c>
      <c r="BW100" s="470">
        <v>230</v>
      </c>
      <c r="BX100" s="470">
        <v>230</v>
      </c>
      <c r="BY100" s="470">
        <v>300</v>
      </c>
      <c r="BZ100" s="1588"/>
      <c r="CA100" s="429"/>
      <c r="CB100"/>
      <c r="CC100"/>
      <c r="CD100"/>
      <c r="CE100" s="2310" t="s">
        <v>1919</v>
      </c>
      <c r="CF100" s="1834" t="str">
        <f>IFERROR(INDEX(N_Bedarf!$CE$2:$CE$141,_xlfn.AGGREGATE(15,6,(ROW(N_Bedarf!$CE$2:$CE$141)-1)/(--(SEARCH(CG$2,N_Bedarf!$CE$2:$CE$141)&gt;0)),ROW()-2),1),"")</f>
        <v>Kleegras 1 Nutzung (&gt;60-90% Legum.)</v>
      </c>
      <c r="CG100" s="1836"/>
      <c r="CH100" s="1834" t="str">
        <f>IFERROR(INDEX(N_Bedarf!$CE$2:$CE$141,_xlfn.AGGREGATE(15,6,(ROW(N_Bedarf!$CE$2:$CE$141)-1)/(--(SEARCH(CI$2,N_Bedarf!$CE$2:$CE$141)&gt;0)),ROW()-2),1),"")</f>
        <v>Kleegras 1 Nutzung (&gt;60-90% Legum.)</v>
      </c>
      <c r="CI100" s="1836"/>
      <c r="CJ100" s="1834" t="str">
        <f>IFERROR(INDEX(N_Bedarf!$CE$2:$CE$141,_xlfn.AGGREGATE(15,6,(ROW(N_Bedarf!$CE$2:$CE$141)-1)/(--(SEARCH(CK$2,N_Bedarf!$CE$2:$CE$141)&gt;0)),ROW()-2),1),"")</f>
        <v>Kleegras 1 Nutzung (&gt;60-90% Legum.)</v>
      </c>
      <c r="CK100" s="1836"/>
      <c r="CL100" s="1834" t="str">
        <f>IFERROR(INDEX(N_Bedarf!$CE$2:$CE$141,_xlfn.AGGREGATE(15,6,(ROW(N_Bedarf!$CE$2:$CE$141)-1)/(--(SEARCH(CM$2,N_Bedarf!$CE$2:$CE$141)&gt;0)),ROW()-2),1),"")</f>
        <v>Kleegras 1 Nutzung (&gt;60-90% Legum.)</v>
      </c>
      <c r="CM100" s="1836"/>
      <c r="CN100" s="1834" t="str">
        <f>IFERROR(INDEX(N_Bedarf!$CE$2:$CE$141,_xlfn.AGGREGATE(15,6,(ROW(N_Bedarf!$CE$2:$CE$141)-1)/(--(SEARCH(CO$2,N_Bedarf!$CE$2:$CE$141)&gt;0)),ROW()-2),1),"")</f>
        <v>Kleegras 1 Nutzung (&gt;60-90% Legum.)</v>
      </c>
      <c r="CO100" s="1836"/>
      <c r="CP100" s="1834" t="str">
        <f>IFERROR(INDEX(N_Bedarf!$CE$2:$CE$141,_xlfn.AGGREGATE(15,6,(ROW(N_Bedarf!$CE$2:$CE$141)-1)/(--(SEARCH(CQ$2,N_Bedarf!$CE$2:$CE$141)&gt;0)),ROW()-2),1),"")</f>
        <v>Kleegras 1 Nutzung (&gt;60-90% Legum.)</v>
      </c>
      <c r="CQ100" s="1836"/>
      <c r="CR100" s="1834" t="str">
        <f>IFERROR(INDEX(N_Bedarf!$CE$2:$CE$141,_xlfn.AGGREGATE(15,6,(ROW(N_Bedarf!$CE$2:$CE$141)-1)/(--(SEARCH(CS$2,N_Bedarf!$CE$2:$CE$141)&gt;0)),ROW()-2),1),"")</f>
        <v>Kleegras 1 Nutzung (&gt;60-90% Legum.)</v>
      </c>
      <c r="CS100" s="1836"/>
      <c r="CT100" s="1834" t="str">
        <f>IFERROR(INDEX(N_Bedarf!$CE$2:$CE$141,_xlfn.AGGREGATE(15,6,(ROW(N_Bedarf!$CE$2:$CE$141)-1)/(--(SEARCH(CU$2,N_Bedarf!$CE$2:$CE$141)&gt;0)),ROW()-2),1),"")</f>
        <v>Kleegras 1 Nutzung (&gt;60-90% Legum.)</v>
      </c>
      <c r="CU100" s="1836"/>
      <c r="CV100" s="1834" t="str">
        <f>IFERROR(INDEX(N_Bedarf!$CE$2:$CE$141,_xlfn.AGGREGATE(15,6,(ROW(N_Bedarf!$CE$2:$CE$141)-1)/(--(SEARCH(CW$2,N_Bedarf!$CE$2:$CE$141)&gt;0)),ROW()-2),1),"")</f>
        <v>Kleegras 1 Nutzung (&gt;60-90% Legum.)</v>
      </c>
      <c r="CW100" s="1836"/>
      <c r="CX100" s="1834" t="str">
        <f>IFERROR(INDEX(N_Bedarf!$CE$2:$CE$141,_xlfn.AGGREGATE(15,6,(ROW(N_Bedarf!$CE$2:$CE$141)-1)/(--(SEARCH(CY$2,N_Bedarf!$CE$2:$CE$141)&gt;0)),ROW()-2),1),"")</f>
        <v>Kleegras 1 Nutzung (&gt;60-90% Legum.)</v>
      </c>
      <c r="CY100" s="1836"/>
      <c r="CZ100" s="1834" t="str">
        <f>IFERROR(INDEX(N_Bedarf!$CE$2:$CE$141,_xlfn.AGGREGATE(15,6,(ROW(N_Bedarf!$CE$2:$CE$141)-1)/(--(SEARCH(DA$2,N_Bedarf!$CE$2:$CE$141)&gt;0)),ROW()-2),1),"")</f>
        <v>Kleegras 1 Nutzung (&gt;60-90% Legum.)</v>
      </c>
      <c r="DA100" s="1836"/>
      <c r="DB100" s="1834" t="str">
        <f>IFERROR(INDEX(N_Bedarf!$CE$2:$CE$141,_xlfn.AGGREGATE(15,6,(ROW(N_Bedarf!$CE$2:$CE$141)-1)/(--(SEARCH(DC$2,N_Bedarf!$CE$2:$CE$141)&gt;0)),ROW()-2),1),"")</f>
        <v>Kleegras 1 Nutzung (&gt;60-90% Legum.)</v>
      </c>
      <c r="DC100" s="1836"/>
      <c r="DD100" s="1834" t="str">
        <f>IFERROR(INDEX(N_Bedarf!$CE$2:$CE$141,_xlfn.AGGREGATE(15,6,(ROW(N_Bedarf!$CE$2:$CE$141)-1)/(--(SEARCH(DE$2,N_Bedarf!$CE$2:$CE$141)&gt;0)),ROW()-2),1),"")</f>
        <v>Kleegras 1 Nutzung (&gt;60-90% Legum.)</v>
      </c>
      <c r="DE100" s="1836"/>
      <c r="DF100" s="2353" t="str">
        <f t="array" ref="DF100">IFERROR(INDEX(N_Bedarf!$CE$2:$CE$141,_xlfn.AGGREGATE(15,6,(ROW(N_Bedarf!$CE$2:$CE$141)-1)/(--(SEARCH(DG$2,N_Bedarf!$CE$2:$CE$141)&gt;0)),ROW()-2),1),"")</f>
        <v>Kleegras 1 Nutzung (&gt;60-90% Legum.)</v>
      </c>
      <c r="DG100" s="2353"/>
      <c r="DH100" s="2355" t="str">
        <f t="array" ref="DH100">IFERROR(INDEX(N_Bedarf!$CE$2:$CE$141,_xlfn.AGGREGATE(15,6,(ROW(N_Bedarf!$CE$2:$CE$141)-1)/(--(SEARCH(DI$2,N_Bedarf!$CE$2:$CE$141)&gt;0)),ROW()-2),1),"")</f>
        <v>Kleegras 1 Nutzung (&gt;60-90% Legum.)</v>
      </c>
      <c r="DI100" s="2355"/>
      <c r="DJ100" s="2356" t="str">
        <f t="array" ref="DJ100">IFERROR(INDEX(N_Bedarf!$CE$2:$CE$141,_xlfn.AGGREGATE(15,6,(ROW(N_Bedarf!$CE$2:$CE$141)-1)/(--(SEARCH(DK$2,N_Bedarf!$CE$2:$CE$141)&gt;0)),ROW()-2),1),"")</f>
        <v>Kleegras 1 Nutzung (&gt;60-90% Legum.)</v>
      </c>
      <c r="DK100" s="2356"/>
      <c r="DL100" s="2356" t="str">
        <f t="array" ref="DL100">IFERROR(INDEX(N_Bedarf!$CE$2:$CE$141,_xlfn.AGGREGATE(15,6,(ROW(N_Bedarf!$CE$2:$CE$141)-1)/(--(SEARCH(DM$2,N_Bedarf!$CE$2:$CE$141)&gt;0)),ROW()-2),1),"")</f>
        <v>Kleegras 1 Nutzung (&gt;60-90% Legum.)</v>
      </c>
      <c r="DM100" s="2356"/>
      <c r="DN100" s="2356" t="str">
        <f t="array" ref="DN100">IFERROR(INDEX(N_Bedarf!$CE$2:$CE$141,_xlfn.AGGREGATE(15,6,(ROW(N_Bedarf!$CE$2:$CE$141)-1)/(--(SEARCH(DO$2,N_Bedarf!$CE$2:$CE$141)&gt;0)),ROW()-2),1),"")</f>
        <v>Kleegras 1 Nutzung (&gt;60-90% Legum.)</v>
      </c>
      <c r="DO100" s="2356"/>
      <c r="DP100" s="2356" t="str">
        <f t="array" ref="DP100">IFERROR(INDEX(N_Bedarf!$CE$2:$CE$141,_xlfn.AGGREGATE(15,6,(ROW(N_Bedarf!$CE$2:$CE$141)-1)/(--(SEARCH(DQ$2,N_Bedarf!$CE$2:$CE$141)&gt;0)),ROW()-2),1),"")</f>
        <v>Kleegras 1 Nutzung (&gt;60-90% Legum.)</v>
      </c>
      <c r="DQ100" s="2356"/>
      <c r="DR100" s="2356" t="str">
        <f t="array" ref="DR100">IFERROR(INDEX(N_Bedarf!$CE$2:$CE$141,_xlfn.AGGREGATE(15,6,(ROW(N_Bedarf!$CE$2:$CE$141)-1)/(--(SEARCH(DS$2,N_Bedarf!$CE$2:$CE$141)&gt;0)),ROW()-2),1),"")</f>
        <v>Kleegras 1 Nutzung (&gt;60-90% Legum.)</v>
      </c>
      <c r="DS100" s="2356"/>
      <c r="DT100" s="2356" t="str">
        <f t="array" ref="DT100">IFERROR(INDEX(N_Bedarf!$CE$2:$CE$141,_xlfn.AGGREGATE(15,6,(ROW(N_Bedarf!$CE$2:$CE$141)-1)/(--(SEARCH(DU$2,N_Bedarf!$CE$2:$CE$141)&gt;0)),ROW()-2),1),"")</f>
        <v>Kleegras 1 Nutzung (&gt;60-90% Legum.)</v>
      </c>
      <c r="DU100" s="2356"/>
      <c r="DV100" s="2356" t="str">
        <f t="array" ref="DV100">IFERROR(INDEX(N_Bedarf!$CE$2:$CE$141,_xlfn.AGGREGATE(15,6,(ROW(N_Bedarf!$CE$2:$CE$141)-1)/(--(SEARCH(DW$2,N_Bedarf!$CE$2:$CE$141)&gt;0)),ROW()-2),1),"")</f>
        <v>Kleegras 1 Nutzung (&gt;60-90% Legum.)</v>
      </c>
      <c r="DW100" s="2356"/>
      <c r="DX100" s="2356" t="str">
        <f t="array" ref="DX100">IFERROR(INDEX(N_Bedarf!$CE$2:$CE$141,_xlfn.AGGREGATE(15,6,(ROW(N_Bedarf!$CE$2:$CE$141)-1)/(--(SEARCH(DY$2,N_Bedarf!$CE$2:$CE$141)&gt;0)),ROW()-2),1),"")</f>
        <v>Kleegras 1 Nutzung (&gt;60-90% Legum.)</v>
      </c>
      <c r="DY100" s="2356"/>
      <c r="DZ100" s="2356" t="str">
        <f t="array" ref="DZ100">IFERROR(INDEX(N_Bedarf!$CE$2:$CE$141,_xlfn.AGGREGATE(15,6,(ROW(N_Bedarf!$CE$2:$CE$141)-1)/(--(SEARCH(EA$2,N_Bedarf!$CE$2:$CE$141)&gt;0)),ROW()-2),1),"")</f>
        <v>Kleegras 1 Nutzung (&gt;60-90% Legum.)</v>
      </c>
      <c r="EA100" s="2356"/>
      <c r="EB100" s="2356" t="str">
        <f t="array" ref="EB100">IFERROR(INDEX(N_Bedarf!$CE$2:$CE$141,_xlfn.AGGREGATE(15,6,(ROW(N_Bedarf!$CE$2:$CE$141)-1)/(--(SEARCH(EC$2,N_Bedarf!$CE$2:$CE$141)&gt;0)),ROW()-2),1),"")</f>
        <v>Kleegras 1 Nutzung (&gt;60-90% Legum.)</v>
      </c>
      <c r="EC100" s="2356"/>
      <c r="ED100"/>
      <c r="EE100"/>
      <c r="EF100"/>
      <c r="EG100"/>
      <c r="EH100"/>
      <c r="EI100"/>
      <c r="EJ100"/>
      <c r="EK100"/>
      <c r="EL100"/>
      <c r="EM100"/>
      <c r="EN100"/>
      <c r="EO100"/>
      <c r="EP100"/>
      <c r="EQ100"/>
      <c r="ER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row>
    <row r="101" spans="1:291" ht="21" customHeight="1" thickTop="1" thickBot="1">
      <c r="A101" s="156"/>
      <c r="B101" s="156"/>
      <c r="C101" s="1758" t="s">
        <v>16</v>
      </c>
      <c r="D101" s="1759" t="s">
        <v>1394</v>
      </c>
      <c r="E101" s="1729">
        <v>80</v>
      </c>
      <c r="F101" s="1760">
        <v>70</v>
      </c>
      <c r="G101" s="1993" t="s">
        <v>1395</v>
      </c>
      <c r="H101" s="1994">
        <v>110</v>
      </c>
      <c r="I101" s="1995">
        <v>95</v>
      </c>
      <c r="J101" s="1759" t="s">
        <v>1399</v>
      </c>
      <c r="K101" s="1729">
        <v>130</v>
      </c>
      <c r="L101" s="1760">
        <v>110</v>
      </c>
      <c r="M101" s="1759" t="s">
        <v>1400</v>
      </c>
      <c r="N101" s="1729">
        <v>140</v>
      </c>
      <c r="O101" s="1760">
        <v>120</v>
      </c>
      <c r="P101" s="1759" t="s">
        <v>1401</v>
      </c>
      <c r="Q101" s="1729">
        <v>150</v>
      </c>
      <c r="R101" s="1761">
        <v>130</v>
      </c>
      <c r="S101" s="1762">
        <v>85</v>
      </c>
      <c r="T101" s="1729">
        <v>85</v>
      </c>
      <c r="U101" s="1760">
        <v>85</v>
      </c>
      <c r="V101" s="1759">
        <v>70</v>
      </c>
      <c r="W101" s="1729">
        <v>70</v>
      </c>
      <c r="X101" s="1760">
        <v>70</v>
      </c>
      <c r="Y101" s="2009">
        <v>50</v>
      </c>
      <c r="Z101" s="2010">
        <v>55</v>
      </c>
      <c r="AA101" s="2011">
        <v>65</v>
      </c>
      <c r="AB101" s="1871" t="s">
        <v>1388</v>
      </c>
      <c r="AC101" s="1763" t="s">
        <v>1389</v>
      </c>
      <c r="AD101" s="1762">
        <v>120</v>
      </c>
      <c r="AE101" s="1729">
        <v>120</v>
      </c>
      <c r="AF101" s="1760">
        <v>120</v>
      </c>
      <c r="AG101" s="1759">
        <v>100</v>
      </c>
      <c r="AH101" s="1729">
        <v>100</v>
      </c>
      <c r="AI101" s="1760">
        <v>100</v>
      </c>
      <c r="AJ101" s="2009">
        <v>70</v>
      </c>
      <c r="AK101" s="2010">
        <v>80</v>
      </c>
      <c r="AL101" s="2011">
        <v>90</v>
      </c>
      <c r="AM101" s="1871" t="s">
        <v>1390</v>
      </c>
      <c r="AN101" s="1763" t="s">
        <v>1389</v>
      </c>
      <c r="AO101" s="156"/>
      <c r="AP101" s="156"/>
      <c r="AX101" s="1722" t="s">
        <v>1954</v>
      </c>
      <c r="AY101" s="681">
        <v>270</v>
      </c>
      <c r="AZ101" s="681">
        <v>270</v>
      </c>
      <c r="BA101" s="681" t="s">
        <v>2587</v>
      </c>
      <c r="BB101" s="681">
        <v>270</v>
      </c>
      <c r="BC101" s="681">
        <v>270</v>
      </c>
      <c r="BD101" s="681" t="s">
        <v>2587</v>
      </c>
      <c r="BE101" s="681">
        <v>270</v>
      </c>
      <c r="BF101" s="681">
        <v>270</v>
      </c>
      <c r="BG101" s="681" t="s">
        <v>2587</v>
      </c>
      <c r="BH101" s="681">
        <v>270</v>
      </c>
      <c r="BI101" s="681">
        <v>270</v>
      </c>
      <c r="BJ101" s="681" t="s">
        <v>2587</v>
      </c>
      <c r="BK101" s="681">
        <v>270</v>
      </c>
      <c r="BL101" s="681">
        <v>270</v>
      </c>
      <c r="BM101" s="681" t="s">
        <v>2587</v>
      </c>
      <c r="BN101" s="471">
        <v>0</v>
      </c>
      <c r="BO101" s="821">
        <v>30</v>
      </c>
      <c r="BP101"/>
      <c r="BQ101" s="1722" t="s">
        <v>1954</v>
      </c>
      <c r="BR101" s="470">
        <v>120</v>
      </c>
      <c r="BS101" s="470">
        <v>120</v>
      </c>
      <c r="BT101" s="470">
        <v>120</v>
      </c>
      <c r="BU101" s="1590"/>
      <c r="BV101" s="1722" t="s">
        <v>1954</v>
      </c>
      <c r="BW101" s="470">
        <v>340</v>
      </c>
      <c r="BX101" s="470">
        <v>340</v>
      </c>
      <c r="BY101" s="470">
        <v>340</v>
      </c>
      <c r="BZ101" s="1588"/>
      <c r="CA101" s="429"/>
      <c r="CB101"/>
      <c r="CC101"/>
      <c r="CD101"/>
      <c r="CE101" s="2310" t="s">
        <v>1920</v>
      </c>
      <c r="CF101" s="1834" t="str">
        <f>IFERROR(INDEX(N_Bedarf!$CE$2:$CE$141,_xlfn.AGGREGATE(15,6,(ROW(N_Bedarf!$CE$2:$CE$141)-1)/(--(SEARCH(CG$2,N_Bedarf!$CE$2:$CE$141)&gt;0)),ROW()-2),1),"")</f>
        <v>Kleegras 2 Nutzungen (60-90% Legum.)</v>
      </c>
      <c r="CG101" s="1830"/>
      <c r="CH101" s="1834" t="str">
        <f>IFERROR(INDEX(N_Bedarf!$CE$2:$CE$141,_xlfn.AGGREGATE(15,6,(ROW(N_Bedarf!$CE$2:$CE$141)-1)/(--(SEARCH(CI$2,N_Bedarf!$CE$2:$CE$141)&gt;0)),ROW()-2),1),"")</f>
        <v>Kleegras 2 Nutzungen (60-90% Legum.)</v>
      </c>
      <c r="CI101" s="1830"/>
      <c r="CJ101" s="1834" t="str">
        <f>IFERROR(INDEX(N_Bedarf!$CE$2:$CE$141,_xlfn.AGGREGATE(15,6,(ROW(N_Bedarf!$CE$2:$CE$141)-1)/(--(SEARCH(CK$2,N_Bedarf!$CE$2:$CE$141)&gt;0)),ROW()-2),1),"")</f>
        <v>Kleegras 2 Nutzungen (60-90% Legum.)</v>
      </c>
      <c r="CK101" s="1830"/>
      <c r="CL101" s="1834" t="str">
        <f>IFERROR(INDEX(N_Bedarf!$CE$2:$CE$141,_xlfn.AGGREGATE(15,6,(ROW(N_Bedarf!$CE$2:$CE$141)-1)/(--(SEARCH(CM$2,N_Bedarf!$CE$2:$CE$141)&gt;0)),ROW()-2),1),"")</f>
        <v>Kleegras 2 Nutzungen (60-90% Legum.)</v>
      </c>
      <c r="CM101" s="1830"/>
      <c r="CN101" s="1834" t="str">
        <f>IFERROR(INDEX(N_Bedarf!$CE$2:$CE$141,_xlfn.AGGREGATE(15,6,(ROW(N_Bedarf!$CE$2:$CE$141)-1)/(--(SEARCH(CO$2,N_Bedarf!$CE$2:$CE$141)&gt;0)),ROW()-2),1),"")</f>
        <v>Kleegras 2 Nutzungen (60-90% Legum.)</v>
      </c>
      <c r="CO101" s="1830"/>
      <c r="CP101" s="1834" t="str">
        <f>IFERROR(INDEX(N_Bedarf!$CE$2:$CE$141,_xlfn.AGGREGATE(15,6,(ROW(N_Bedarf!$CE$2:$CE$141)-1)/(--(SEARCH(CQ$2,N_Bedarf!$CE$2:$CE$141)&gt;0)),ROW()-2),1),"")</f>
        <v>Kleegras 2 Nutzungen (60-90% Legum.)</v>
      </c>
      <c r="CQ101" s="1830"/>
      <c r="CR101" s="1834" t="str">
        <f>IFERROR(INDEX(N_Bedarf!$CE$2:$CE$141,_xlfn.AGGREGATE(15,6,(ROW(N_Bedarf!$CE$2:$CE$141)-1)/(--(SEARCH(CS$2,N_Bedarf!$CE$2:$CE$141)&gt;0)),ROW()-2),1),"")</f>
        <v>Kleegras 2 Nutzungen (60-90% Legum.)</v>
      </c>
      <c r="CS101" s="1830"/>
      <c r="CT101" s="1834" t="str">
        <f>IFERROR(INDEX(N_Bedarf!$CE$2:$CE$141,_xlfn.AGGREGATE(15,6,(ROW(N_Bedarf!$CE$2:$CE$141)-1)/(--(SEARCH(CU$2,N_Bedarf!$CE$2:$CE$141)&gt;0)),ROW()-2),1),"")</f>
        <v>Kleegras 2 Nutzungen (60-90% Legum.)</v>
      </c>
      <c r="CU101" s="1830"/>
      <c r="CV101" s="1834" t="str">
        <f>IFERROR(INDEX(N_Bedarf!$CE$2:$CE$141,_xlfn.AGGREGATE(15,6,(ROW(N_Bedarf!$CE$2:$CE$141)-1)/(--(SEARCH(CW$2,N_Bedarf!$CE$2:$CE$141)&gt;0)),ROW()-2),1),"")</f>
        <v>Kleegras 2 Nutzungen (60-90% Legum.)</v>
      </c>
      <c r="CW101" s="1830"/>
      <c r="CX101" s="1834" t="str">
        <f>IFERROR(INDEX(N_Bedarf!$CE$2:$CE$141,_xlfn.AGGREGATE(15,6,(ROW(N_Bedarf!$CE$2:$CE$141)-1)/(--(SEARCH(CY$2,N_Bedarf!$CE$2:$CE$141)&gt;0)),ROW()-2),1),"")</f>
        <v>Kleegras 2 Nutzungen (60-90% Legum.)</v>
      </c>
      <c r="CY101" s="1830"/>
      <c r="CZ101" s="1834" t="str">
        <f>IFERROR(INDEX(N_Bedarf!$CE$2:$CE$141,_xlfn.AGGREGATE(15,6,(ROW(N_Bedarf!$CE$2:$CE$141)-1)/(--(SEARCH(DA$2,N_Bedarf!$CE$2:$CE$141)&gt;0)),ROW()-2),1),"")</f>
        <v>Kleegras 2 Nutzungen (60-90% Legum.)</v>
      </c>
      <c r="DA101" s="1830"/>
      <c r="DB101" s="1834" t="str">
        <f>IFERROR(INDEX(N_Bedarf!$CE$2:$CE$141,_xlfn.AGGREGATE(15,6,(ROW(N_Bedarf!$CE$2:$CE$141)-1)/(--(SEARCH(DC$2,N_Bedarf!$CE$2:$CE$141)&gt;0)),ROW()-2),1),"")</f>
        <v>Kleegras 2 Nutzungen (60-90% Legum.)</v>
      </c>
      <c r="DC101" s="1830"/>
      <c r="DD101" s="1834" t="str">
        <f>IFERROR(INDEX(N_Bedarf!$CE$2:$CE$141,_xlfn.AGGREGATE(15,6,(ROW(N_Bedarf!$CE$2:$CE$141)-1)/(--(SEARCH(DE$2,N_Bedarf!$CE$2:$CE$141)&gt;0)),ROW()-2),1),"")</f>
        <v>Kleegras 2 Nutzungen (60-90% Legum.)</v>
      </c>
      <c r="DE101" s="1830"/>
      <c r="DF101" s="2353" t="str">
        <f t="array" ref="DF101">IFERROR(INDEX(N_Bedarf!$CE$2:$CE$141,_xlfn.AGGREGATE(15,6,(ROW(N_Bedarf!$CE$2:$CE$141)-1)/(--(SEARCH(DG$2,N_Bedarf!$CE$2:$CE$141)&gt;0)),ROW()-2),1),"")</f>
        <v>Kleegras 2 Nutzungen (60-90% Legum.)</v>
      </c>
      <c r="DG101" s="2353"/>
      <c r="DH101" s="2355" t="str">
        <f t="array" ref="DH101">IFERROR(INDEX(N_Bedarf!$CE$2:$CE$141,_xlfn.AGGREGATE(15,6,(ROW(N_Bedarf!$CE$2:$CE$141)-1)/(--(SEARCH(DI$2,N_Bedarf!$CE$2:$CE$141)&gt;0)),ROW()-2),1),"")</f>
        <v>Kleegras 2 Nutzungen (60-90% Legum.)</v>
      </c>
      <c r="DI101" s="2355"/>
      <c r="DJ101" s="2356" t="str">
        <f t="array" ref="DJ101">IFERROR(INDEX(N_Bedarf!$CE$2:$CE$141,_xlfn.AGGREGATE(15,6,(ROW(N_Bedarf!$CE$2:$CE$141)-1)/(--(SEARCH(DK$2,N_Bedarf!$CE$2:$CE$141)&gt;0)),ROW()-2),1),"")</f>
        <v>Kleegras 2 Nutzungen (60-90% Legum.)</v>
      </c>
      <c r="DK101" s="2356"/>
      <c r="DL101" s="2356" t="str">
        <f t="array" ref="DL101">IFERROR(INDEX(N_Bedarf!$CE$2:$CE$141,_xlfn.AGGREGATE(15,6,(ROW(N_Bedarf!$CE$2:$CE$141)-1)/(--(SEARCH(DM$2,N_Bedarf!$CE$2:$CE$141)&gt;0)),ROW()-2),1),"")</f>
        <v>Kleegras 2 Nutzungen (60-90% Legum.)</v>
      </c>
      <c r="DM101" s="2356"/>
      <c r="DN101" s="2356" t="str">
        <f t="array" ref="DN101">IFERROR(INDEX(N_Bedarf!$CE$2:$CE$141,_xlfn.AGGREGATE(15,6,(ROW(N_Bedarf!$CE$2:$CE$141)-1)/(--(SEARCH(DO$2,N_Bedarf!$CE$2:$CE$141)&gt;0)),ROW()-2),1),"")</f>
        <v>Kleegras 2 Nutzungen (60-90% Legum.)</v>
      </c>
      <c r="DO101" s="2356"/>
      <c r="DP101" s="2356" t="str">
        <f t="array" ref="DP101">IFERROR(INDEX(N_Bedarf!$CE$2:$CE$141,_xlfn.AGGREGATE(15,6,(ROW(N_Bedarf!$CE$2:$CE$141)-1)/(--(SEARCH(DQ$2,N_Bedarf!$CE$2:$CE$141)&gt;0)),ROW()-2),1),"")</f>
        <v>Kleegras 2 Nutzungen (60-90% Legum.)</v>
      </c>
      <c r="DQ101" s="2356"/>
      <c r="DR101" s="2356" t="str">
        <f t="array" ref="DR101">IFERROR(INDEX(N_Bedarf!$CE$2:$CE$141,_xlfn.AGGREGATE(15,6,(ROW(N_Bedarf!$CE$2:$CE$141)-1)/(--(SEARCH(DS$2,N_Bedarf!$CE$2:$CE$141)&gt;0)),ROW()-2),1),"")</f>
        <v>Kleegras 2 Nutzungen (60-90% Legum.)</v>
      </c>
      <c r="DS101" s="2356"/>
      <c r="DT101" s="2356" t="str">
        <f t="array" ref="DT101">IFERROR(INDEX(N_Bedarf!$CE$2:$CE$141,_xlfn.AGGREGATE(15,6,(ROW(N_Bedarf!$CE$2:$CE$141)-1)/(--(SEARCH(DU$2,N_Bedarf!$CE$2:$CE$141)&gt;0)),ROW()-2),1),"")</f>
        <v>Kleegras 2 Nutzungen (60-90% Legum.)</v>
      </c>
      <c r="DU101" s="2356"/>
      <c r="DV101" s="2356" t="str">
        <f t="array" ref="DV101">IFERROR(INDEX(N_Bedarf!$CE$2:$CE$141,_xlfn.AGGREGATE(15,6,(ROW(N_Bedarf!$CE$2:$CE$141)-1)/(--(SEARCH(DW$2,N_Bedarf!$CE$2:$CE$141)&gt;0)),ROW()-2),1),"")</f>
        <v>Kleegras 2 Nutzungen (60-90% Legum.)</v>
      </c>
      <c r="DW101" s="2356"/>
      <c r="DX101" s="2356" t="str">
        <f t="array" ref="DX101">IFERROR(INDEX(N_Bedarf!$CE$2:$CE$141,_xlfn.AGGREGATE(15,6,(ROW(N_Bedarf!$CE$2:$CE$141)-1)/(--(SEARCH(DY$2,N_Bedarf!$CE$2:$CE$141)&gt;0)),ROW()-2),1),"")</f>
        <v>Kleegras 2 Nutzungen (60-90% Legum.)</v>
      </c>
      <c r="DY101" s="2356"/>
      <c r="DZ101" s="2356" t="str">
        <f t="array" ref="DZ101">IFERROR(INDEX(N_Bedarf!$CE$2:$CE$141,_xlfn.AGGREGATE(15,6,(ROW(N_Bedarf!$CE$2:$CE$141)-1)/(--(SEARCH(EA$2,N_Bedarf!$CE$2:$CE$141)&gt;0)),ROW()-2),1),"")</f>
        <v>Kleegras 2 Nutzungen (60-90% Legum.)</v>
      </c>
      <c r="EA101" s="2356"/>
      <c r="EB101" s="2356" t="str">
        <f t="array" ref="EB101">IFERROR(INDEX(N_Bedarf!$CE$2:$CE$141,_xlfn.AGGREGATE(15,6,(ROW(N_Bedarf!$CE$2:$CE$141)-1)/(--(SEARCH(EC$2,N_Bedarf!$CE$2:$CE$141)&gt;0)),ROW()-2),1),"")</f>
        <v>Kleegras 2 Nutzungen (60-90% Legum.)</v>
      </c>
      <c r="EC101" s="2356"/>
      <c r="ED101"/>
      <c r="EE101"/>
      <c r="EF101"/>
      <c r="EG101"/>
      <c r="EH101"/>
      <c r="EI101"/>
      <c r="EJ101"/>
      <c r="EK101"/>
      <c r="EL101"/>
      <c r="EM101"/>
      <c r="EN101"/>
      <c r="EO101"/>
      <c r="EP101"/>
      <c r="EQ101"/>
      <c r="ER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row>
    <row r="102" spans="1:291" ht="22.5" customHeight="1" thickTop="1" thickBot="1">
      <c r="A102" s="156"/>
      <c r="B102" s="156"/>
      <c r="C102" s="1758" t="s">
        <v>17</v>
      </c>
      <c r="D102" s="1759" t="s">
        <v>1777</v>
      </c>
      <c r="E102" s="1729">
        <v>60</v>
      </c>
      <c r="F102" s="1760">
        <v>50</v>
      </c>
      <c r="G102" s="1993" t="s">
        <v>1778</v>
      </c>
      <c r="H102" s="1994">
        <v>80</v>
      </c>
      <c r="I102" s="1995">
        <v>70</v>
      </c>
      <c r="J102" s="1759" t="s">
        <v>1779</v>
      </c>
      <c r="K102" s="1729">
        <v>120</v>
      </c>
      <c r="L102" s="1760">
        <v>100</v>
      </c>
      <c r="M102" s="1759" t="s">
        <v>1779</v>
      </c>
      <c r="N102" s="1729">
        <v>120</v>
      </c>
      <c r="O102" s="1760">
        <v>100</v>
      </c>
      <c r="P102" s="1759" t="s">
        <v>1779</v>
      </c>
      <c r="Q102" s="1729">
        <v>120</v>
      </c>
      <c r="R102" s="1761">
        <v>100</v>
      </c>
      <c r="S102" s="1762">
        <v>85</v>
      </c>
      <c r="T102" s="1729">
        <v>85</v>
      </c>
      <c r="U102" s="1760">
        <v>85</v>
      </c>
      <c r="V102" s="1759">
        <v>70</v>
      </c>
      <c r="W102" s="1729">
        <v>70</v>
      </c>
      <c r="X102" s="1760">
        <v>70</v>
      </c>
      <c r="Y102" s="2009">
        <v>50</v>
      </c>
      <c r="Z102" s="2010">
        <v>55</v>
      </c>
      <c r="AA102" s="2011">
        <v>65</v>
      </c>
      <c r="AB102" s="1871" t="s">
        <v>1388</v>
      </c>
      <c r="AC102" s="1763" t="s">
        <v>1389</v>
      </c>
      <c r="AD102" s="1762">
        <v>205</v>
      </c>
      <c r="AE102" s="1729">
        <v>205</v>
      </c>
      <c r="AF102" s="1760">
        <v>205</v>
      </c>
      <c r="AG102" s="1759">
        <v>170</v>
      </c>
      <c r="AH102" s="1729">
        <v>170</v>
      </c>
      <c r="AI102" s="1760">
        <v>170</v>
      </c>
      <c r="AJ102" s="2009">
        <v>120</v>
      </c>
      <c r="AK102" s="2010">
        <v>135</v>
      </c>
      <c r="AL102" s="2011">
        <v>155</v>
      </c>
      <c r="AM102" s="1871" t="s">
        <v>1390</v>
      </c>
      <c r="AN102" s="1763" t="s">
        <v>1389</v>
      </c>
      <c r="AO102" s="156"/>
      <c r="AP102" s="156"/>
      <c r="AX102" s="1722" t="s">
        <v>1918</v>
      </c>
      <c r="AY102" s="681">
        <v>15</v>
      </c>
      <c r="AZ102" s="681">
        <v>15</v>
      </c>
      <c r="BA102" s="681" t="s">
        <v>2694</v>
      </c>
      <c r="BB102" s="681">
        <v>25</v>
      </c>
      <c r="BC102" s="681">
        <v>25</v>
      </c>
      <c r="BD102" s="681" t="s">
        <v>2581</v>
      </c>
      <c r="BE102" s="681">
        <v>25</v>
      </c>
      <c r="BF102" s="681">
        <v>25</v>
      </c>
      <c r="BG102" s="681" t="s">
        <v>2581</v>
      </c>
      <c r="BH102" s="681">
        <v>25</v>
      </c>
      <c r="BI102" s="681">
        <v>25</v>
      </c>
      <c r="BJ102" s="681" t="s">
        <v>2581</v>
      </c>
      <c r="BK102" s="681">
        <v>25</v>
      </c>
      <c r="BL102" s="681">
        <v>25</v>
      </c>
      <c r="BM102" s="681" t="s">
        <v>2581</v>
      </c>
      <c r="BN102" s="471">
        <v>0</v>
      </c>
      <c r="BO102" s="821">
        <v>40</v>
      </c>
      <c r="BP102"/>
      <c r="BQ102" s="1722" t="s">
        <v>1918</v>
      </c>
      <c r="BR102" s="470">
        <v>15</v>
      </c>
      <c r="BS102" s="470">
        <v>30</v>
      </c>
      <c r="BT102" s="470">
        <v>30</v>
      </c>
      <c r="BU102" s="1590"/>
      <c r="BV102" s="1722" t="s">
        <v>1918</v>
      </c>
      <c r="BW102" s="470">
        <v>45</v>
      </c>
      <c r="BX102" s="470">
        <v>80</v>
      </c>
      <c r="BY102" s="470">
        <v>80</v>
      </c>
      <c r="BZ102" s="1588"/>
      <c r="CA102" s="429"/>
      <c r="CB102"/>
      <c r="CC102"/>
      <c r="CD102"/>
      <c r="CE102" s="2310" t="s">
        <v>1921</v>
      </c>
      <c r="CF102" s="1834" t="str">
        <f>IFERROR(INDEX(N_Bedarf!$CE$2:$CE$141,_xlfn.AGGREGATE(15,6,(ROW(N_Bedarf!$CE$2:$CE$141)-1)/(--(SEARCH(CG$2,N_Bedarf!$CE$2:$CE$141)&gt;0)),ROW()-2),1),"")</f>
        <v>Kleegras 3 Nutzungen (60-90% Legum.)</v>
      </c>
      <c r="CG102" s="1836"/>
      <c r="CH102" s="1834" t="str">
        <f>IFERROR(INDEX(N_Bedarf!$CE$2:$CE$141,_xlfn.AGGREGATE(15,6,(ROW(N_Bedarf!$CE$2:$CE$141)-1)/(--(SEARCH(CI$2,N_Bedarf!$CE$2:$CE$141)&gt;0)),ROW()-2),1),"")</f>
        <v>Kleegras 3 Nutzungen (60-90% Legum.)</v>
      </c>
      <c r="CI102" s="1836"/>
      <c r="CJ102" s="1834" t="str">
        <f>IFERROR(INDEX(N_Bedarf!$CE$2:$CE$141,_xlfn.AGGREGATE(15,6,(ROW(N_Bedarf!$CE$2:$CE$141)-1)/(--(SEARCH(CK$2,N_Bedarf!$CE$2:$CE$141)&gt;0)),ROW()-2),1),"")</f>
        <v>Kleegras 3 Nutzungen (60-90% Legum.)</v>
      </c>
      <c r="CK102" s="1836"/>
      <c r="CL102" s="1834" t="str">
        <f>IFERROR(INDEX(N_Bedarf!$CE$2:$CE$141,_xlfn.AGGREGATE(15,6,(ROW(N_Bedarf!$CE$2:$CE$141)-1)/(--(SEARCH(CM$2,N_Bedarf!$CE$2:$CE$141)&gt;0)),ROW()-2),1),"")</f>
        <v>Kleegras 3 Nutzungen (60-90% Legum.)</v>
      </c>
      <c r="CM102" s="1836"/>
      <c r="CN102" s="1834" t="str">
        <f>IFERROR(INDEX(N_Bedarf!$CE$2:$CE$141,_xlfn.AGGREGATE(15,6,(ROW(N_Bedarf!$CE$2:$CE$141)-1)/(--(SEARCH(CO$2,N_Bedarf!$CE$2:$CE$141)&gt;0)),ROW()-2),1),"")</f>
        <v>Kleegras 3 Nutzungen (60-90% Legum.)</v>
      </c>
      <c r="CO102" s="1836"/>
      <c r="CP102" s="1834" t="str">
        <f>IFERROR(INDEX(N_Bedarf!$CE$2:$CE$141,_xlfn.AGGREGATE(15,6,(ROW(N_Bedarf!$CE$2:$CE$141)-1)/(--(SEARCH(CQ$2,N_Bedarf!$CE$2:$CE$141)&gt;0)),ROW()-2),1),"")</f>
        <v>Kleegras 3 Nutzungen (60-90% Legum.)</v>
      </c>
      <c r="CQ102" s="1836"/>
      <c r="CR102" s="1834" t="str">
        <f>IFERROR(INDEX(N_Bedarf!$CE$2:$CE$141,_xlfn.AGGREGATE(15,6,(ROW(N_Bedarf!$CE$2:$CE$141)-1)/(--(SEARCH(CS$2,N_Bedarf!$CE$2:$CE$141)&gt;0)),ROW()-2),1),"")</f>
        <v>Kleegras 3 Nutzungen (60-90% Legum.)</v>
      </c>
      <c r="CS102" s="1836"/>
      <c r="CT102" s="1834" t="str">
        <f>IFERROR(INDEX(N_Bedarf!$CE$2:$CE$141,_xlfn.AGGREGATE(15,6,(ROW(N_Bedarf!$CE$2:$CE$141)-1)/(--(SEARCH(CU$2,N_Bedarf!$CE$2:$CE$141)&gt;0)),ROW()-2),1),"")</f>
        <v>Kleegras 3 Nutzungen (60-90% Legum.)</v>
      </c>
      <c r="CU102" s="1836"/>
      <c r="CV102" s="1834" t="str">
        <f>IFERROR(INDEX(N_Bedarf!$CE$2:$CE$141,_xlfn.AGGREGATE(15,6,(ROW(N_Bedarf!$CE$2:$CE$141)-1)/(--(SEARCH(CW$2,N_Bedarf!$CE$2:$CE$141)&gt;0)),ROW()-2),1),"")</f>
        <v>Kleegras 3 Nutzungen (60-90% Legum.)</v>
      </c>
      <c r="CW102" s="1836"/>
      <c r="CX102" s="1834" t="str">
        <f>IFERROR(INDEX(N_Bedarf!$CE$2:$CE$141,_xlfn.AGGREGATE(15,6,(ROW(N_Bedarf!$CE$2:$CE$141)-1)/(--(SEARCH(CY$2,N_Bedarf!$CE$2:$CE$141)&gt;0)),ROW()-2),1),"")</f>
        <v>Kleegras 3 Nutzungen (60-90% Legum.)</v>
      </c>
      <c r="CY102" s="1836"/>
      <c r="CZ102" s="1834" t="str">
        <f>IFERROR(INDEX(N_Bedarf!$CE$2:$CE$141,_xlfn.AGGREGATE(15,6,(ROW(N_Bedarf!$CE$2:$CE$141)-1)/(--(SEARCH(DA$2,N_Bedarf!$CE$2:$CE$141)&gt;0)),ROW()-2),1),"")</f>
        <v>Kleegras 3 Nutzungen (60-90% Legum.)</v>
      </c>
      <c r="DA102" s="1836"/>
      <c r="DB102" s="1834" t="str">
        <f>IFERROR(INDEX(N_Bedarf!$CE$2:$CE$141,_xlfn.AGGREGATE(15,6,(ROW(N_Bedarf!$CE$2:$CE$141)-1)/(--(SEARCH(DC$2,N_Bedarf!$CE$2:$CE$141)&gt;0)),ROW()-2),1),"")</f>
        <v>Kleegras 3 Nutzungen (60-90% Legum.)</v>
      </c>
      <c r="DC102" s="1836"/>
      <c r="DD102" s="1834" t="str">
        <f>IFERROR(INDEX(N_Bedarf!$CE$2:$CE$141,_xlfn.AGGREGATE(15,6,(ROW(N_Bedarf!$CE$2:$CE$141)-1)/(--(SEARCH(DE$2,N_Bedarf!$CE$2:$CE$141)&gt;0)),ROW()-2),1),"")</f>
        <v>Kleegras 3 Nutzungen (60-90% Legum.)</v>
      </c>
      <c r="DE102" s="1836"/>
      <c r="DF102" s="2353" t="str">
        <f t="array" ref="DF102">IFERROR(INDEX(N_Bedarf!$CE$2:$CE$141,_xlfn.AGGREGATE(15,6,(ROW(N_Bedarf!$CE$2:$CE$141)-1)/(--(SEARCH(DG$2,N_Bedarf!$CE$2:$CE$141)&gt;0)),ROW()-2),1),"")</f>
        <v>Kleegras 3 Nutzungen (60-90% Legum.)</v>
      </c>
      <c r="DG102" s="2353"/>
      <c r="DH102" s="2355" t="str">
        <f t="array" ref="DH102">IFERROR(INDEX(N_Bedarf!$CE$2:$CE$141,_xlfn.AGGREGATE(15,6,(ROW(N_Bedarf!$CE$2:$CE$141)-1)/(--(SEARCH(DI$2,N_Bedarf!$CE$2:$CE$141)&gt;0)),ROW()-2),1),"")</f>
        <v>Kleegras 3 Nutzungen (60-90% Legum.)</v>
      </c>
      <c r="DI102" s="2355"/>
      <c r="DJ102" s="2356" t="str">
        <f t="array" ref="DJ102">IFERROR(INDEX(N_Bedarf!$CE$2:$CE$141,_xlfn.AGGREGATE(15,6,(ROW(N_Bedarf!$CE$2:$CE$141)-1)/(--(SEARCH(DK$2,N_Bedarf!$CE$2:$CE$141)&gt;0)),ROW()-2),1),"")</f>
        <v>Kleegras 3 Nutzungen (60-90% Legum.)</v>
      </c>
      <c r="DK102" s="2356"/>
      <c r="DL102" s="2356" t="str">
        <f t="array" ref="DL102">IFERROR(INDEX(N_Bedarf!$CE$2:$CE$141,_xlfn.AGGREGATE(15,6,(ROW(N_Bedarf!$CE$2:$CE$141)-1)/(--(SEARCH(DM$2,N_Bedarf!$CE$2:$CE$141)&gt;0)),ROW()-2),1),"")</f>
        <v>Kleegras 3 Nutzungen (60-90% Legum.)</v>
      </c>
      <c r="DM102" s="2356"/>
      <c r="DN102" s="2356" t="str">
        <f t="array" ref="DN102">IFERROR(INDEX(N_Bedarf!$CE$2:$CE$141,_xlfn.AGGREGATE(15,6,(ROW(N_Bedarf!$CE$2:$CE$141)-1)/(--(SEARCH(DO$2,N_Bedarf!$CE$2:$CE$141)&gt;0)),ROW()-2),1),"")</f>
        <v>Kleegras 3 Nutzungen (60-90% Legum.)</v>
      </c>
      <c r="DO102" s="2356"/>
      <c r="DP102" s="2356" t="str">
        <f t="array" ref="DP102">IFERROR(INDEX(N_Bedarf!$CE$2:$CE$141,_xlfn.AGGREGATE(15,6,(ROW(N_Bedarf!$CE$2:$CE$141)-1)/(--(SEARCH(DQ$2,N_Bedarf!$CE$2:$CE$141)&gt;0)),ROW()-2),1),"")</f>
        <v>Kleegras 3 Nutzungen (60-90% Legum.)</v>
      </c>
      <c r="DQ102" s="2356"/>
      <c r="DR102" s="2356" t="str">
        <f t="array" ref="DR102">IFERROR(INDEX(N_Bedarf!$CE$2:$CE$141,_xlfn.AGGREGATE(15,6,(ROW(N_Bedarf!$CE$2:$CE$141)-1)/(--(SEARCH(DS$2,N_Bedarf!$CE$2:$CE$141)&gt;0)),ROW()-2),1),"")</f>
        <v>Kleegras 3 Nutzungen (60-90% Legum.)</v>
      </c>
      <c r="DS102" s="2356"/>
      <c r="DT102" s="2356" t="str">
        <f t="array" ref="DT102">IFERROR(INDEX(N_Bedarf!$CE$2:$CE$141,_xlfn.AGGREGATE(15,6,(ROW(N_Bedarf!$CE$2:$CE$141)-1)/(--(SEARCH(DU$2,N_Bedarf!$CE$2:$CE$141)&gt;0)),ROW()-2),1),"")</f>
        <v>Kleegras 3 Nutzungen (60-90% Legum.)</v>
      </c>
      <c r="DU102" s="2356"/>
      <c r="DV102" s="2356" t="str">
        <f t="array" ref="DV102">IFERROR(INDEX(N_Bedarf!$CE$2:$CE$141,_xlfn.AGGREGATE(15,6,(ROW(N_Bedarf!$CE$2:$CE$141)-1)/(--(SEARCH(DW$2,N_Bedarf!$CE$2:$CE$141)&gt;0)),ROW()-2),1),"")</f>
        <v>Kleegras 3 Nutzungen (60-90% Legum.)</v>
      </c>
      <c r="DW102" s="2356"/>
      <c r="DX102" s="2356" t="str">
        <f t="array" ref="DX102">IFERROR(INDEX(N_Bedarf!$CE$2:$CE$141,_xlfn.AGGREGATE(15,6,(ROW(N_Bedarf!$CE$2:$CE$141)-1)/(--(SEARCH(DY$2,N_Bedarf!$CE$2:$CE$141)&gt;0)),ROW()-2),1),"")</f>
        <v>Kleegras 3 Nutzungen (60-90% Legum.)</v>
      </c>
      <c r="DY102" s="2356"/>
      <c r="DZ102" s="2356" t="str">
        <f t="array" ref="DZ102">IFERROR(INDEX(N_Bedarf!$CE$2:$CE$141,_xlfn.AGGREGATE(15,6,(ROW(N_Bedarf!$CE$2:$CE$141)-1)/(--(SEARCH(EA$2,N_Bedarf!$CE$2:$CE$141)&gt;0)),ROW()-2),1),"")</f>
        <v>Kleegras 3 Nutzungen (60-90% Legum.)</v>
      </c>
      <c r="EA102" s="2356"/>
      <c r="EB102" s="2356" t="str">
        <f t="array" ref="EB102">IFERROR(INDEX(N_Bedarf!$CE$2:$CE$141,_xlfn.AGGREGATE(15,6,(ROW(N_Bedarf!$CE$2:$CE$141)-1)/(--(SEARCH(EC$2,N_Bedarf!$CE$2:$CE$141)&gt;0)),ROW()-2),1),"")</f>
        <v>Kleegras 3 Nutzungen (60-90% Legum.)</v>
      </c>
      <c r="EC102" s="2356"/>
      <c r="ED102"/>
      <c r="EE102"/>
      <c r="EF102"/>
      <c r="EG102"/>
      <c r="EH102"/>
      <c r="EI102"/>
      <c r="EJ102"/>
      <c r="EK102"/>
      <c r="EL102"/>
      <c r="EM102"/>
      <c r="EN102"/>
      <c r="EO102"/>
      <c r="EP102"/>
      <c r="EQ102"/>
      <c r="ER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row>
    <row r="103" spans="1:291" ht="22.5" customHeight="1" thickTop="1" thickBot="1">
      <c r="A103" s="156"/>
      <c r="B103" s="156"/>
      <c r="C103" s="1758" t="s">
        <v>18</v>
      </c>
      <c r="D103" s="1759" t="s">
        <v>714</v>
      </c>
      <c r="E103" s="1729">
        <v>45</v>
      </c>
      <c r="F103" s="1760">
        <v>40</v>
      </c>
      <c r="G103" s="1993" t="s">
        <v>714</v>
      </c>
      <c r="H103" s="1994">
        <v>45</v>
      </c>
      <c r="I103" s="1995">
        <v>40</v>
      </c>
      <c r="J103" s="1759" t="s">
        <v>714</v>
      </c>
      <c r="K103" s="1729">
        <v>45</v>
      </c>
      <c r="L103" s="1760">
        <v>40</v>
      </c>
      <c r="M103" s="1759"/>
      <c r="N103" s="1729"/>
      <c r="O103" s="1760" t="s">
        <v>1764</v>
      </c>
      <c r="P103" s="1759"/>
      <c r="Q103" s="1729"/>
      <c r="R103" s="1761" t="s">
        <v>1764</v>
      </c>
      <c r="S103" s="1762">
        <v>25</v>
      </c>
      <c r="T103" s="1729">
        <v>25</v>
      </c>
      <c r="U103" s="1760">
        <v>25</v>
      </c>
      <c r="V103" s="1759">
        <v>20</v>
      </c>
      <c r="W103" s="1729">
        <v>20</v>
      </c>
      <c r="X103" s="1760">
        <v>20</v>
      </c>
      <c r="Y103" s="2009">
        <v>15</v>
      </c>
      <c r="Z103" s="2010">
        <v>15</v>
      </c>
      <c r="AA103" s="2011">
        <v>15</v>
      </c>
      <c r="AB103" s="1871" t="s">
        <v>1388</v>
      </c>
      <c r="AC103" s="1763" t="s">
        <v>1389</v>
      </c>
      <c r="AD103" s="1762">
        <v>90</v>
      </c>
      <c r="AE103" s="1729">
        <v>90</v>
      </c>
      <c r="AF103" s="1760">
        <v>90</v>
      </c>
      <c r="AG103" s="1759">
        <v>75</v>
      </c>
      <c r="AH103" s="1729">
        <v>75</v>
      </c>
      <c r="AI103" s="1760">
        <v>75</v>
      </c>
      <c r="AJ103" s="2009">
        <v>55</v>
      </c>
      <c r="AK103" s="2010">
        <v>60</v>
      </c>
      <c r="AL103" s="2011">
        <v>70</v>
      </c>
      <c r="AM103" s="1871" t="s">
        <v>1390</v>
      </c>
      <c r="AN103" s="1763" t="s">
        <v>1389</v>
      </c>
      <c r="AO103" s="156"/>
      <c r="AP103" s="156"/>
      <c r="AR103" s="427"/>
      <c r="AS103" s="427"/>
      <c r="AT103" s="427"/>
      <c r="AU103" s="427"/>
      <c r="AV103" s="427"/>
      <c r="AW103" s="427"/>
      <c r="AX103" s="1722" t="s">
        <v>1919</v>
      </c>
      <c r="AY103" s="681">
        <v>45</v>
      </c>
      <c r="AZ103" s="681">
        <v>45</v>
      </c>
      <c r="BA103" s="681" t="s">
        <v>2561</v>
      </c>
      <c r="BB103" s="681">
        <v>70</v>
      </c>
      <c r="BC103" s="681">
        <v>70</v>
      </c>
      <c r="BD103" s="681" t="s">
        <v>2582</v>
      </c>
      <c r="BE103" s="681">
        <v>70</v>
      </c>
      <c r="BF103" s="681">
        <v>70</v>
      </c>
      <c r="BG103" s="681" t="s">
        <v>2582</v>
      </c>
      <c r="BH103" s="681">
        <v>70</v>
      </c>
      <c r="BI103" s="681">
        <v>70</v>
      </c>
      <c r="BJ103" s="681" t="s">
        <v>2582</v>
      </c>
      <c r="BK103" s="681">
        <v>70</v>
      </c>
      <c r="BL103" s="681">
        <v>70</v>
      </c>
      <c r="BM103" s="681" t="s">
        <v>2582</v>
      </c>
      <c r="BN103" s="471">
        <v>0</v>
      </c>
      <c r="BO103" s="821">
        <v>40</v>
      </c>
      <c r="BP103"/>
      <c r="BQ103" s="1722" t="s">
        <v>1919</v>
      </c>
      <c r="BR103" s="470">
        <v>30</v>
      </c>
      <c r="BS103" s="470">
        <v>45</v>
      </c>
      <c r="BT103" s="470">
        <v>45</v>
      </c>
      <c r="BU103" s="1590"/>
      <c r="BV103" s="1722" t="s">
        <v>1919</v>
      </c>
      <c r="BW103" s="470">
        <v>80</v>
      </c>
      <c r="BX103" s="470">
        <v>120</v>
      </c>
      <c r="BY103" s="470">
        <v>120</v>
      </c>
      <c r="BZ103" s="1588"/>
      <c r="CA103" s="429"/>
      <c r="CB103"/>
      <c r="CC103"/>
      <c r="CD103"/>
      <c r="CE103" s="2310" t="s">
        <v>1922</v>
      </c>
      <c r="CF103" s="1834" t="str">
        <f>IFERROR(INDEX(N_Bedarf!$CE$2:$CE$141,_xlfn.AGGREGATE(15,6,(ROW(N_Bedarf!$CE$2:$CE$141)-1)/(--(SEARCH(CG$2,N_Bedarf!$CE$2:$CE$141)&gt;0)),ROW()-2),1),"")</f>
        <v>Kleegras 4 Nutzungen (60-90% Legum.)</v>
      </c>
      <c r="CG103" s="1830"/>
      <c r="CH103" s="1834" t="str">
        <f>IFERROR(INDEX(N_Bedarf!$CE$2:$CE$141,_xlfn.AGGREGATE(15,6,(ROW(N_Bedarf!$CE$2:$CE$141)-1)/(--(SEARCH(CI$2,N_Bedarf!$CE$2:$CE$141)&gt;0)),ROW()-2),1),"")</f>
        <v>Kleegras 4 Nutzungen (60-90% Legum.)</v>
      </c>
      <c r="CI103" s="1830"/>
      <c r="CJ103" s="1834" t="str">
        <f>IFERROR(INDEX(N_Bedarf!$CE$2:$CE$141,_xlfn.AGGREGATE(15,6,(ROW(N_Bedarf!$CE$2:$CE$141)-1)/(--(SEARCH(CK$2,N_Bedarf!$CE$2:$CE$141)&gt;0)),ROW()-2),1),"")</f>
        <v>Kleegras 4 Nutzungen (60-90% Legum.)</v>
      </c>
      <c r="CK103" s="1830"/>
      <c r="CL103" s="1834" t="str">
        <f>IFERROR(INDEX(N_Bedarf!$CE$2:$CE$141,_xlfn.AGGREGATE(15,6,(ROW(N_Bedarf!$CE$2:$CE$141)-1)/(--(SEARCH(CM$2,N_Bedarf!$CE$2:$CE$141)&gt;0)),ROW()-2),1),"")</f>
        <v>Kleegras 4 Nutzungen (60-90% Legum.)</v>
      </c>
      <c r="CM103" s="1830"/>
      <c r="CN103" s="1834" t="str">
        <f>IFERROR(INDEX(N_Bedarf!$CE$2:$CE$141,_xlfn.AGGREGATE(15,6,(ROW(N_Bedarf!$CE$2:$CE$141)-1)/(--(SEARCH(CO$2,N_Bedarf!$CE$2:$CE$141)&gt;0)),ROW()-2),1),"")</f>
        <v>Kleegras 4 Nutzungen (60-90% Legum.)</v>
      </c>
      <c r="CO103" s="1830"/>
      <c r="CP103" s="1834" t="str">
        <f>IFERROR(INDEX(N_Bedarf!$CE$2:$CE$141,_xlfn.AGGREGATE(15,6,(ROW(N_Bedarf!$CE$2:$CE$141)-1)/(--(SEARCH(CQ$2,N_Bedarf!$CE$2:$CE$141)&gt;0)),ROW()-2),1),"")</f>
        <v>Kleegras 4 Nutzungen (60-90% Legum.)</v>
      </c>
      <c r="CQ103" s="1830"/>
      <c r="CR103" s="1834" t="str">
        <f>IFERROR(INDEX(N_Bedarf!$CE$2:$CE$141,_xlfn.AGGREGATE(15,6,(ROW(N_Bedarf!$CE$2:$CE$141)-1)/(--(SEARCH(CS$2,N_Bedarf!$CE$2:$CE$141)&gt;0)),ROW()-2),1),"")</f>
        <v>Kleegras 4 Nutzungen (60-90% Legum.)</v>
      </c>
      <c r="CS103" s="1830"/>
      <c r="CT103" s="1834" t="str">
        <f>IFERROR(INDEX(N_Bedarf!$CE$2:$CE$141,_xlfn.AGGREGATE(15,6,(ROW(N_Bedarf!$CE$2:$CE$141)-1)/(--(SEARCH(CU$2,N_Bedarf!$CE$2:$CE$141)&gt;0)),ROW()-2),1),"")</f>
        <v>Kleegras 4 Nutzungen (60-90% Legum.)</v>
      </c>
      <c r="CU103" s="1830"/>
      <c r="CV103" s="1834" t="str">
        <f>IFERROR(INDEX(N_Bedarf!$CE$2:$CE$141,_xlfn.AGGREGATE(15,6,(ROW(N_Bedarf!$CE$2:$CE$141)-1)/(--(SEARCH(CW$2,N_Bedarf!$CE$2:$CE$141)&gt;0)),ROW()-2),1),"")</f>
        <v>Kleegras 4 Nutzungen (60-90% Legum.)</v>
      </c>
      <c r="CW103" s="1830"/>
      <c r="CX103" s="1834" t="str">
        <f>IFERROR(INDEX(N_Bedarf!$CE$2:$CE$141,_xlfn.AGGREGATE(15,6,(ROW(N_Bedarf!$CE$2:$CE$141)-1)/(--(SEARCH(CY$2,N_Bedarf!$CE$2:$CE$141)&gt;0)),ROW()-2),1),"")</f>
        <v>Kleegras 4 Nutzungen (60-90% Legum.)</v>
      </c>
      <c r="CY103" s="1830"/>
      <c r="CZ103" s="1834" t="str">
        <f>IFERROR(INDEX(N_Bedarf!$CE$2:$CE$141,_xlfn.AGGREGATE(15,6,(ROW(N_Bedarf!$CE$2:$CE$141)-1)/(--(SEARCH(DA$2,N_Bedarf!$CE$2:$CE$141)&gt;0)),ROW()-2),1),"")</f>
        <v>Kleegras 4 Nutzungen (60-90% Legum.)</v>
      </c>
      <c r="DA103" s="1830"/>
      <c r="DB103" s="1834" t="str">
        <f>IFERROR(INDEX(N_Bedarf!$CE$2:$CE$141,_xlfn.AGGREGATE(15,6,(ROW(N_Bedarf!$CE$2:$CE$141)-1)/(--(SEARCH(DC$2,N_Bedarf!$CE$2:$CE$141)&gt;0)),ROW()-2),1),"")</f>
        <v>Kleegras 4 Nutzungen (60-90% Legum.)</v>
      </c>
      <c r="DC103" s="1830"/>
      <c r="DD103" s="1834" t="str">
        <f>IFERROR(INDEX(N_Bedarf!$CE$2:$CE$141,_xlfn.AGGREGATE(15,6,(ROW(N_Bedarf!$CE$2:$CE$141)-1)/(--(SEARCH(DE$2,N_Bedarf!$CE$2:$CE$141)&gt;0)),ROW()-2),1),"")</f>
        <v>Kleegras 4 Nutzungen (60-90% Legum.)</v>
      </c>
      <c r="DE103" s="1830"/>
      <c r="DF103" s="2353" t="str">
        <f t="array" ref="DF103">IFERROR(INDEX(N_Bedarf!$CE$2:$CE$141,_xlfn.AGGREGATE(15,6,(ROW(N_Bedarf!$CE$2:$CE$141)-1)/(--(SEARCH(DG$2,N_Bedarf!$CE$2:$CE$141)&gt;0)),ROW()-2),1),"")</f>
        <v>Kleegras 4 Nutzungen (60-90% Legum.)</v>
      </c>
      <c r="DG103" s="2353"/>
      <c r="DH103" s="2355" t="str">
        <f t="array" ref="DH103">IFERROR(INDEX(N_Bedarf!$CE$2:$CE$141,_xlfn.AGGREGATE(15,6,(ROW(N_Bedarf!$CE$2:$CE$141)-1)/(--(SEARCH(DI$2,N_Bedarf!$CE$2:$CE$141)&gt;0)),ROW()-2),1),"")</f>
        <v>Kleegras 4 Nutzungen (60-90% Legum.)</v>
      </c>
      <c r="DI103" s="2355"/>
      <c r="DJ103" s="2356" t="str">
        <f t="array" ref="DJ103">IFERROR(INDEX(N_Bedarf!$CE$2:$CE$141,_xlfn.AGGREGATE(15,6,(ROW(N_Bedarf!$CE$2:$CE$141)-1)/(--(SEARCH(DK$2,N_Bedarf!$CE$2:$CE$141)&gt;0)),ROW()-2),1),"")</f>
        <v>Kleegras 4 Nutzungen (60-90% Legum.)</v>
      </c>
      <c r="DK103" s="2356"/>
      <c r="DL103" s="2356" t="str">
        <f t="array" ref="DL103">IFERROR(INDEX(N_Bedarf!$CE$2:$CE$141,_xlfn.AGGREGATE(15,6,(ROW(N_Bedarf!$CE$2:$CE$141)-1)/(--(SEARCH(DM$2,N_Bedarf!$CE$2:$CE$141)&gt;0)),ROW()-2),1),"")</f>
        <v>Kleegras 4 Nutzungen (60-90% Legum.)</v>
      </c>
      <c r="DM103" s="2356"/>
      <c r="DN103" s="2356" t="str">
        <f t="array" ref="DN103">IFERROR(INDEX(N_Bedarf!$CE$2:$CE$141,_xlfn.AGGREGATE(15,6,(ROW(N_Bedarf!$CE$2:$CE$141)-1)/(--(SEARCH(DO$2,N_Bedarf!$CE$2:$CE$141)&gt;0)),ROW()-2),1),"")</f>
        <v>Kleegras 4 Nutzungen (60-90% Legum.)</v>
      </c>
      <c r="DO103" s="2356"/>
      <c r="DP103" s="2356" t="str">
        <f t="array" ref="DP103">IFERROR(INDEX(N_Bedarf!$CE$2:$CE$141,_xlfn.AGGREGATE(15,6,(ROW(N_Bedarf!$CE$2:$CE$141)-1)/(--(SEARCH(DQ$2,N_Bedarf!$CE$2:$CE$141)&gt;0)),ROW()-2),1),"")</f>
        <v>Kleegras 4 Nutzungen (60-90% Legum.)</v>
      </c>
      <c r="DQ103" s="2356"/>
      <c r="DR103" s="2356" t="str">
        <f t="array" ref="DR103">IFERROR(INDEX(N_Bedarf!$CE$2:$CE$141,_xlfn.AGGREGATE(15,6,(ROW(N_Bedarf!$CE$2:$CE$141)-1)/(--(SEARCH(DS$2,N_Bedarf!$CE$2:$CE$141)&gt;0)),ROW()-2),1),"")</f>
        <v>Kleegras 4 Nutzungen (60-90% Legum.)</v>
      </c>
      <c r="DS103" s="2356"/>
      <c r="DT103" s="2356" t="str">
        <f t="array" ref="DT103">IFERROR(INDEX(N_Bedarf!$CE$2:$CE$141,_xlfn.AGGREGATE(15,6,(ROW(N_Bedarf!$CE$2:$CE$141)-1)/(--(SEARCH(DU$2,N_Bedarf!$CE$2:$CE$141)&gt;0)),ROW()-2),1),"")</f>
        <v>Kleegras 4 Nutzungen (60-90% Legum.)</v>
      </c>
      <c r="DU103" s="2356"/>
      <c r="DV103" s="2356" t="str">
        <f t="array" ref="DV103">IFERROR(INDEX(N_Bedarf!$CE$2:$CE$141,_xlfn.AGGREGATE(15,6,(ROW(N_Bedarf!$CE$2:$CE$141)-1)/(--(SEARCH(DW$2,N_Bedarf!$CE$2:$CE$141)&gt;0)),ROW()-2),1),"")</f>
        <v>Kleegras 4 Nutzungen (60-90% Legum.)</v>
      </c>
      <c r="DW103" s="2356"/>
      <c r="DX103" s="2356" t="str">
        <f t="array" ref="DX103">IFERROR(INDEX(N_Bedarf!$CE$2:$CE$141,_xlfn.AGGREGATE(15,6,(ROW(N_Bedarf!$CE$2:$CE$141)-1)/(--(SEARCH(DY$2,N_Bedarf!$CE$2:$CE$141)&gt;0)),ROW()-2),1),"")</f>
        <v>Kleegras 4 Nutzungen (60-90% Legum.)</v>
      </c>
      <c r="DY103" s="2356"/>
      <c r="DZ103" s="2356" t="str">
        <f t="array" ref="DZ103">IFERROR(INDEX(N_Bedarf!$CE$2:$CE$141,_xlfn.AGGREGATE(15,6,(ROW(N_Bedarf!$CE$2:$CE$141)-1)/(--(SEARCH(EA$2,N_Bedarf!$CE$2:$CE$141)&gt;0)),ROW()-2),1),"")</f>
        <v>Kleegras 4 Nutzungen (60-90% Legum.)</v>
      </c>
      <c r="EA103" s="2356"/>
      <c r="EB103" s="2356" t="str">
        <f t="array" ref="EB103">IFERROR(INDEX(N_Bedarf!$CE$2:$CE$141,_xlfn.AGGREGATE(15,6,(ROW(N_Bedarf!$CE$2:$CE$141)-1)/(--(SEARCH(EC$2,N_Bedarf!$CE$2:$CE$141)&gt;0)),ROW()-2),1),"")</f>
        <v>Kleegras 4 Nutzungen (60-90% Legum.)</v>
      </c>
      <c r="EC103" s="2356"/>
      <c r="ED103"/>
      <c r="EE103"/>
      <c r="EF103"/>
      <c r="EG103"/>
      <c r="EH103"/>
      <c r="EI103"/>
      <c r="EJ103"/>
      <c r="EK103"/>
      <c r="EL103"/>
      <c r="EM103"/>
      <c r="EN103"/>
      <c r="EO103"/>
      <c r="EP103"/>
      <c r="EQ103"/>
      <c r="ER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row>
    <row r="104" spans="1:291" ht="19.5" customHeight="1" thickTop="1" thickBot="1">
      <c r="A104" s="156"/>
      <c r="B104" s="156"/>
      <c r="C104" s="1758" t="s">
        <v>19</v>
      </c>
      <c r="D104" s="1759" t="s">
        <v>33</v>
      </c>
      <c r="E104" s="1729">
        <v>60</v>
      </c>
      <c r="F104" s="1760">
        <v>50</v>
      </c>
      <c r="G104" s="1993" t="s">
        <v>1780</v>
      </c>
      <c r="H104" s="1994">
        <v>80</v>
      </c>
      <c r="I104" s="1995">
        <v>70</v>
      </c>
      <c r="J104" s="1759" t="s">
        <v>1781</v>
      </c>
      <c r="K104" s="1729">
        <v>100</v>
      </c>
      <c r="L104" s="1760">
        <v>85</v>
      </c>
      <c r="M104" s="1759" t="s">
        <v>1782</v>
      </c>
      <c r="N104" s="1729">
        <v>100</v>
      </c>
      <c r="O104" s="1760">
        <v>85</v>
      </c>
      <c r="P104" s="1759" t="s">
        <v>20</v>
      </c>
      <c r="Q104" s="1729">
        <v>100</v>
      </c>
      <c r="R104" s="1761">
        <v>85</v>
      </c>
      <c r="S104" s="1762">
        <v>85</v>
      </c>
      <c r="T104" s="1729">
        <v>85</v>
      </c>
      <c r="U104" s="1760">
        <v>85</v>
      </c>
      <c r="V104" s="1759">
        <v>70</v>
      </c>
      <c r="W104" s="1729">
        <v>70</v>
      </c>
      <c r="X104" s="1760">
        <v>70</v>
      </c>
      <c r="Y104" s="2009">
        <v>50</v>
      </c>
      <c r="Z104" s="2010">
        <v>55</v>
      </c>
      <c r="AA104" s="2011">
        <v>65</v>
      </c>
      <c r="AB104" s="1871" t="s">
        <v>1388</v>
      </c>
      <c r="AC104" s="1763" t="s">
        <v>1389</v>
      </c>
      <c r="AD104" s="1762">
        <v>75</v>
      </c>
      <c r="AE104" s="1729">
        <v>75</v>
      </c>
      <c r="AF104" s="1760">
        <v>75</v>
      </c>
      <c r="AG104" s="1759">
        <v>65</v>
      </c>
      <c r="AH104" s="1729">
        <v>65</v>
      </c>
      <c r="AI104" s="1760">
        <v>65</v>
      </c>
      <c r="AJ104" s="2009">
        <v>45</v>
      </c>
      <c r="AK104" s="2010">
        <v>50</v>
      </c>
      <c r="AL104" s="2011">
        <v>60</v>
      </c>
      <c r="AM104" s="1871" t="s">
        <v>1390</v>
      </c>
      <c r="AN104" s="1763" t="s">
        <v>1389</v>
      </c>
      <c r="AO104" s="156"/>
      <c r="AP104" s="156"/>
      <c r="AR104" s="385"/>
      <c r="AS104" s="385"/>
      <c r="AT104" s="385"/>
      <c r="AU104" s="385"/>
      <c r="AV104" s="385"/>
      <c r="AW104" s="385"/>
      <c r="AX104" s="1722" t="s">
        <v>1920</v>
      </c>
      <c r="AY104" s="681">
        <v>80</v>
      </c>
      <c r="AZ104" s="681">
        <v>80</v>
      </c>
      <c r="BA104" s="681" t="s">
        <v>2696</v>
      </c>
      <c r="BB104" s="681">
        <v>90</v>
      </c>
      <c r="BC104" s="681">
        <v>90</v>
      </c>
      <c r="BD104" s="681" t="s">
        <v>2739</v>
      </c>
      <c r="BE104" s="681">
        <v>115</v>
      </c>
      <c r="BF104" s="681">
        <v>115</v>
      </c>
      <c r="BG104" s="681" t="s">
        <v>2568</v>
      </c>
      <c r="BH104" s="681">
        <v>115</v>
      </c>
      <c r="BI104" s="681">
        <v>115</v>
      </c>
      <c r="BJ104" s="681" t="s">
        <v>2568</v>
      </c>
      <c r="BK104" s="681">
        <v>115</v>
      </c>
      <c r="BL104" s="681">
        <v>115</v>
      </c>
      <c r="BM104" s="681" t="s">
        <v>2568</v>
      </c>
      <c r="BN104" s="471">
        <v>0</v>
      </c>
      <c r="BO104" s="821">
        <v>40</v>
      </c>
      <c r="BP104"/>
      <c r="BQ104" s="1722" t="s">
        <v>1920</v>
      </c>
      <c r="BR104" s="470">
        <v>45</v>
      </c>
      <c r="BS104" s="470">
        <v>65</v>
      </c>
      <c r="BT104" s="470">
        <v>80</v>
      </c>
      <c r="BU104" s="1590"/>
      <c r="BV104" s="1722" t="s">
        <v>1920</v>
      </c>
      <c r="BW104" s="470">
        <v>130</v>
      </c>
      <c r="BX104" s="470">
        <v>170</v>
      </c>
      <c r="BY104" s="470">
        <v>215</v>
      </c>
      <c r="BZ104" s="1588"/>
      <c r="CA104" s="429"/>
      <c r="CB104"/>
      <c r="CC104"/>
      <c r="CD104"/>
      <c r="CE104" s="2310" t="s">
        <v>1923</v>
      </c>
      <c r="CF104" s="1834" t="str">
        <f>IFERROR(INDEX(N_Bedarf!$CE$2:$CE$141,_xlfn.AGGREGATE(15,6,(ROW(N_Bedarf!$CE$2:$CE$141)-1)/(--(SEARCH(CG$2,N_Bedarf!$CE$2:$CE$141)&gt;0)),ROW()-2),1),"")</f>
        <v>Kleegras 5 Nutzungen (60-90% Legum.)</v>
      </c>
      <c r="CG104" s="1836"/>
      <c r="CH104" s="1834" t="str">
        <f>IFERROR(INDEX(N_Bedarf!$CE$2:$CE$141,_xlfn.AGGREGATE(15,6,(ROW(N_Bedarf!$CE$2:$CE$141)-1)/(--(SEARCH(CI$2,N_Bedarf!$CE$2:$CE$141)&gt;0)),ROW()-2),1),"")</f>
        <v>Kleegras 5 Nutzungen (60-90% Legum.)</v>
      </c>
      <c r="CI104" s="1836"/>
      <c r="CJ104" s="1834" t="str">
        <f>IFERROR(INDEX(N_Bedarf!$CE$2:$CE$141,_xlfn.AGGREGATE(15,6,(ROW(N_Bedarf!$CE$2:$CE$141)-1)/(--(SEARCH(CK$2,N_Bedarf!$CE$2:$CE$141)&gt;0)),ROW()-2),1),"")</f>
        <v>Kleegras 5 Nutzungen (60-90% Legum.)</v>
      </c>
      <c r="CK104" s="1836"/>
      <c r="CL104" s="1834" t="str">
        <f>IFERROR(INDEX(N_Bedarf!$CE$2:$CE$141,_xlfn.AGGREGATE(15,6,(ROW(N_Bedarf!$CE$2:$CE$141)-1)/(--(SEARCH(CM$2,N_Bedarf!$CE$2:$CE$141)&gt;0)),ROW()-2),1),"")</f>
        <v>Kleegras 5 Nutzungen (60-90% Legum.)</v>
      </c>
      <c r="CM104" s="1836"/>
      <c r="CN104" s="1834" t="str">
        <f>IFERROR(INDEX(N_Bedarf!$CE$2:$CE$141,_xlfn.AGGREGATE(15,6,(ROW(N_Bedarf!$CE$2:$CE$141)-1)/(--(SEARCH(CO$2,N_Bedarf!$CE$2:$CE$141)&gt;0)),ROW()-2),1),"")</f>
        <v>Kleegras 5 Nutzungen (60-90% Legum.)</v>
      </c>
      <c r="CO104" s="1836"/>
      <c r="CP104" s="1834" t="str">
        <f>IFERROR(INDEX(N_Bedarf!$CE$2:$CE$141,_xlfn.AGGREGATE(15,6,(ROW(N_Bedarf!$CE$2:$CE$141)-1)/(--(SEARCH(CQ$2,N_Bedarf!$CE$2:$CE$141)&gt;0)),ROW()-2),1),"")</f>
        <v>Kleegras 5 Nutzungen (60-90% Legum.)</v>
      </c>
      <c r="CQ104" s="1836"/>
      <c r="CR104" s="1834" t="str">
        <f>IFERROR(INDEX(N_Bedarf!$CE$2:$CE$141,_xlfn.AGGREGATE(15,6,(ROW(N_Bedarf!$CE$2:$CE$141)-1)/(--(SEARCH(CS$2,N_Bedarf!$CE$2:$CE$141)&gt;0)),ROW()-2),1),"")</f>
        <v>Kleegras 5 Nutzungen (60-90% Legum.)</v>
      </c>
      <c r="CS104" s="1836"/>
      <c r="CT104" s="1834" t="str">
        <f>IFERROR(INDEX(N_Bedarf!$CE$2:$CE$141,_xlfn.AGGREGATE(15,6,(ROW(N_Bedarf!$CE$2:$CE$141)-1)/(--(SEARCH(CU$2,N_Bedarf!$CE$2:$CE$141)&gt;0)),ROW()-2),1),"")</f>
        <v>Kleegras 5 Nutzungen (60-90% Legum.)</v>
      </c>
      <c r="CU104" s="1836"/>
      <c r="CV104" s="1834" t="str">
        <f>IFERROR(INDEX(N_Bedarf!$CE$2:$CE$141,_xlfn.AGGREGATE(15,6,(ROW(N_Bedarf!$CE$2:$CE$141)-1)/(--(SEARCH(CW$2,N_Bedarf!$CE$2:$CE$141)&gt;0)),ROW()-2),1),"")</f>
        <v>Kleegras 5 Nutzungen (60-90% Legum.)</v>
      </c>
      <c r="CW104" s="1836"/>
      <c r="CX104" s="1834" t="str">
        <f>IFERROR(INDEX(N_Bedarf!$CE$2:$CE$141,_xlfn.AGGREGATE(15,6,(ROW(N_Bedarf!$CE$2:$CE$141)-1)/(--(SEARCH(CY$2,N_Bedarf!$CE$2:$CE$141)&gt;0)),ROW()-2),1),"")</f>
        <v>Kleegras 5 Nutzungen (60-90% Legum.)</v>
      </c>
      <c r="CY104" s="1836"/>
      <c r="CZ104" s="1834" t="str">
        <f>IFERROR(INDEX(N_Bedarf!$CE$2:$CE$141,_xlfn.AGGREGATE(15,6,(ROW(N_Bedarf!$CE$2:$CE$141)-1)/(--(SEARCH(DA$2,N_Bedarf!$CE$2:$CE$141)&gt;0)),ROW()-2),1),"")</f>
        <v>Kleegras 5 Nutzungen (60-90% Legum.)</v>
      </c>
      <c r="DA104" s="1836"/>
      <c r="DB104" s="1834" t="str">
        <f>IFERROR(INDEX(N_Bedarf!$CE$2:$CE$141,_xlfn.AGGREGATE(15,6,(ROW(N_Bedarf!$CE$2:$CE$141)-1)/(--(SEARCH(DC$2,N_Bedarf!$CE$2:$CE$141)&gt;0)),ROW()-2),1),"")</f>
        <v>Kleegras 5 Nutzungen (60-90% Legum.)</v>
      </c>
      <c r="DC104" s="1836"/>
      <c r="DD104" s="1834" t="str">
        <f>IFERROR(INDEX(N_Bedarf!$CE$2:$CE$141,_xlfn.AGGREGATE(15,6,(ROW(N_Bedarf!$CE$2:$CE$141)-1)/(--(SEARCH(DE$2,N_Bedarf!$CE$2:$CE$141)&gt;0)),ROW()-2),1),"")</f>
        <v>Kleegras 5 Nutzungen (60-90% Legum.)</v>
      </c>
      <c r="DE104" s="1836"/>
      <c r="DF104" s="2353" t="str">
        <f t="array" ref="DF104">IFERROR(INDEX(N_Bedarf!$CE$2:$CE$141,_xlfn.AGGREGATE(15,6,(ROW(N_Bedarf!$CE$2:$CE$141)-1)/(--(SEARCH(DG$2,N_Bedarf!$CE$2:$CE$141)&gt;0)),ROW()-2),1),"")</f>
        <v>Kleegras 5 Nutzungen (60-90% Legum.)</v>
      </c>
      <c r="DG104" s="2353"/>
      <c r="DH104" s="2355" t="str">
        <f t="array" ref="DH104">IFERROR(INDEX(N_Bedarf!$CE$2:$CE$141,_xlfn.AGGREGATE(15,6,(ROW(N_Bedarf!$CE$2:$CE$141)-1)/(--(SEARCH(DI$2,N_Bedarf!$CE$2:$CE$141)&gt;0)),ROW()-2),1),"")</f>
        <v>Kleegras 5 Nutzungen (60-90% Legum.)</v>
      </c>
      <c r="DI104" s="2355"/>
      <c r="DJ104" s="2356" t="str">
        <f t="array" ref="DJ104">IFERROR(INDEX(N_Bedarf!$CE$2:$CE$141,_xlfn.AGGREGATE(15,6,(ROW(N_Bedarf!$CE$2:$CE$141)-1)/(--(SEARCH(DK$2,N_Bedarf!$CE$2:$CE$141)&gt;0)),ROW()-2),1),"")</f>
        <v>Kleegras 5 Nutzungen (60-90% Legum.)</v>
      </c>
      <c r="DK104" s="2356"/>
      <c r="DL104" s="2356" t="str">
        <f t="array" ref="DL104">IFERROR(INDEX(N_Bedarf!$CE$2:$CE$141,_xlfn.AGGREGATE(15,6,(ROW(N_Bedarf!$CE$2:$CE$141)-1)/(--(SEARCH(DM$2,N_Bedarf!$CE$2:$CE$141)&gt;0)),ROW()-2),1),"")</f>
        <v>Kleegras 5 Nutzungen (60-90% Legum.)</v>
      </c>
      <c r="DM104" s="2356"/>
      <c r="DN104" s="2356" t="str">
        <f t="array" ref="DN104">IFERROR(INDEX(N_Bedarf!$CE$2:$CE$141,_xlfn.AGGREGATE(15,6,(ROW(N_Bedarf!$CE$2:$CE$141)-1)/(--(SEARCH(DO$2,N_Bedarf!$CE$2:$CE$141)&gt;0)),ROW()-2),1),"")</f>
        <v>Kleegras 5 Nutzungen (60-90% Legum.)</v>
      </c>
      <c r="DO104" s="2356"/>
      <c r="DP104" s="2356" t="str">
        <f t="array" ref="DP104">IFERROR(INDEX(N_Bedarf!$CE$2:$CE$141,_xlfn.AGGREGATE(15,6,(ROW(N_Bedarf!$CE$2:$CE$141)-1)/(--(SEARCH(DQ$2,N_Bedarf!$CE$2:$CE$141)&gt;0)),ROW()-2),1),"")</f>
        <v>Kleegras 5 Nutzungen (60-90% Legum.)</v>
      </c>
      <c r="DQ104" s="2356"/>
      <c r="DR104" s="2356" t="str">
        <f t="array" ref="DR104">IFERROR(INDEX(N_Bedarf!$CE$2:$CE$141,_xlfn.AGGREGATE(15,6,(ROW(N_Bedarf!$CE$2:$CE$141)-1)/(--(SEARCH(DS$2,N_Bedarf!$CE$2:$CE$141)&gt;0)),ROW()-2),1),"")</f>
        <v>Kleegras 5 Nutzungen (60-90% Legum.)</v>
      </c>
      <c r="DS104" s="2356"/>
      <c r="DT104" s="2356" t="str">
        <f t="array" ref="DT104">IFERROR(INDEX(N_Bedarf!$CE$2:$CE$141,_xlfn.AGGREGATE(15,6,(ROW(N_Bedarf!$CE$2:$CE$141)-1)/(--(SEARCH(DU$2,N_Bedarf!$CE$2:$CE$141)&gt;0)),ROW()-2),1),"")</f>
        <v>Kleegras 5 Nutzungen (60-90% Legum.)</v>
      </c>
      <c r="DU104" s="2356"/>
      <c r="DV104" s="2356" t="str">
        <f t="array" ref="DV104">IFERROR(INDEX(N_Bedarf!$CE$2:$CE$141,_xlfn.AGGREGATE(15,6,(ROW(N_Bedarf!$CE$2:$CE$141)-1)/(--(SEARCH(DW$2,N_Bedarf!$CE$2:$CE$141)&gt;0)),ROW()-2),1),"")</f>
        <v>Kleegras 5 Nutzungen (60-90% Legum.)</v>
      </c>
      <c r="DW104" s="2356"/>
      <c r="DX104" s="2356" t="str">
        <f t="array" ref="DX104">IFERROR(INDEX(N_Bedarf!$CE$2:$CE$141,_xlfn.AGGREGATE(15,6,(ROW(N_Bedarf!$CE$2:$CE$141)-1)/(--(SEARCH(DY$2,N_Bedarf!$CE$2:$CE$141)&gt;0)),ROW()-2),1),"")</f>
        <v>Kleegras 5 Nutzungen (60-90% Legum.)</v>
      </c>
      <c r="DY104" s="2356"/>
      <c r="DZ104" s="2356" t="str">
        <f t="array" ref="DZ104">IFERROR(INDEX(N_Bedarf!$CE$2:$CE$141,_xlfn.AGGREGATE(15,6,(ROW(N_Bedarf!$CE$2:$CE$141)-1)/(--(SEARCH(EA$2,N_Bedarf!$CE$2:$CE$141)&gt;0)),ROW()-2),1),"")</f>
        <v>Kleegras 5 Nutzungen (60-90% Legum.)</v>
      </c>
      <c r="EA104" s="2356"/>
      <c r="EB104" s="2356" t="str">
        <f t="array" ref="EB104">IFERROR(INDEX(N_Bedarf!$CE$2:$CE$141,_xlfn.AGGREGATE(15,6,(ROW(N_Bedarf!$CE$2:$CE$141)-1)/(--(SEARCH(EC$2,N_Bedarf!$CE$2:$CE$141)&gt;0)),ROW()-2),1),"")</f>
        <v>Kleegras 5 Nutzungen (60-90% Legum.)</v>
      </c>
      <c r="EC104" s="2356"/>
      <c r="ED104"/>
      <c r="EE104"/>
      <c r="EF104"/>
      <c r="EG104"/>
      <c r="EH104"/>
      <c r="EI104"/>
      <c r="EJ104"/>
      <c r="EK104"/>
      <c r="EL104"/>
      <c r="EM104"/>
      <c r="EN104"/>
      <c r="EO104"/>
      <c r="EP104"/>
      <c r="EQ104"/>
      <c r="ER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row>
    <row r="105" spans="1:291" ht="22.5" customHeight="1" thickTop="1" thickBot="1">
      <c r="A105" s="156"/>
      <c r="B105" s="156"/>
      <c r="C105" s="1758" t="s">
        <v>1705</v>
      </c>
      <c r="D105" s="1759" t="s">
        <v>585</v>
      </c>
      <c r="E105" s="1729">
        <v>60</v>
      </c>
      <c r="F105" s="1760">
        <v>50</v>
      </c>
      <c r="G105" s="1993" t="s">
        <v>21</v>
      </c>
      <c r="H105" s="1994">
        <v>60</v>
      </c>
      <c r="I105" s="1995">
        <v>50</v>
      </c>
      <c r="J105" s="1759" t="s">
        <v>22</v>
      </c>
      <c r="K105" s="1729">
        <v>60</v>
      </c>
      <c r="L105" s="1760">
        <v>50</v>
      </c>
      <c r="M105" s="1759" t="s">
        <v>1403</v>
      </c>
      <c r="N105" s="1729">
        <v>60</v>
      </c>
      <c r="O105" s="1760">
        <v>50</v>
      </c>
      <c r="P105" s="1759" t="s">
        <v>1404</v>
      </c>
      <c r="Q105" s="1729">
        <v>60</v>
      </c>
      <c r="R105" s="1761">
        <v>50</v>
      </c>
      <c r="S105" s="1762">
        <v>85</v>
      </c>
      <c r="T105" s="1729">
        <v>85</v>
      </c>
      <c r="U105" s="1760">
        <v>85</v>
      </c>
      <c r="V105" s="1759">
        <v>70</v>
      </c>
      <c r="W105" s="1729">
        <v>70</v>
      </c>
      <c r="X105" s="1760">
        <v>70</v>
      </c>
      <c r="Y105" s="2009">
        <v>50</v>
      </c>
      <c r="Z105" s="2010">
        <v>55</v>
      </c>
      <c r="AA105" s="2011">
        <v>65</v>
      </c>
      <c r="AB105" s="1871" t="s">
        <v>1388</v>
      </c>
      <c r="AC105" s="1763" t="s">
        <v>1389</v>
      </c>
      <c r="AD105" s="1762">
        <v>150</v>
      </c>
      <c r="AE105" s="1729">
        <v>150</v>
      </c>
      <c r="AF105" s="1760">
        <v>150</v>
      </c>
      <c r="AG105" s="1759">
        <v>125</v>
      </c>
      <c r="AH105" s="1729">
        <v>125</v>
      </c>
      <c r="AI105" s="1760">
        <v>125</v>
      </c>
      <c r="AJ105" s="2009">
        <v>90</v>
      </c>
      <c r="AK105" s="2010">
        <v>100</v>
      </c>
      <c r="AL105" s="2011">
        <v>115</v>
      </c>
      <c r="AM105" s="1871" t="s">
        <v>1390</v>
      </c>
      <c r="AN105" s="1763" t="s">
        <v>1389</v>
      </c>
      <c r="AO105" s="156"/>
      <c r="AP105" s="156"/>
      <c r="AX105" s="1722" t="s">
        <v>1921</v>
      </c>
      <c r="AY105" s="681">
        <v>120</v>
      </c>
      <c r="AZ105" s="681">
        <v>120</v>
      </c>
      <c r="BA105" s="681" t="s">
        <v>2697</v>
      </c>
      <c r="BB105" s="681">
        <v>120</v>
      </c>
      <c r="BC105" s="681">
        <v>120</v>
      </c>
      <c r="BD105" s="681" t="s">
        <v>588</v>
      </c>
      <c r="BE105" s="681">
        <v>150</v>
      </c>
      <c r="BF105" s="681">
        <v>150</v>
      </c>
      <c r="BG105" s="681" t="s">
        <v>2588</v>
      </c>
      <c r="BH105" s="681">
        <v>150</v>
      </c>
      <c r="BI105" s="681">
        <v>150</v>
      </c>
      <c r="BJ105" s="681" t="s">
        <v>2588</v>
      </c>
      <c r="BK105" s="681">
        <v>150</v>
      </c>
      <c r="BL105" s="681">
        <v>150</v>
      </c>
      <c r="BM105" s="681" t="s">
        <v>2588</v>
      </c>
      <c r="BN105" s="471">
        <v>0</v>
      </c>
      <c r="BO105" s="821">
        <v>40</v>
      </c>
      <c r="BP105"/>
      <c r="BQ105" s="1722" t="s">
        <v>1921</v>
      </c>
      <c r="BR105" s="470">
        <v>80</v>
      </c>
      <c r="BS105" s="470">
        <v>80</v>
      </c>
      <c r="BT105" s="470">
        <v>90</v>
      </c>
      <c r="BU105" s="1590"/>
      <c r="BV105" s="1722" t="s">
        <v>1921</v>
      </c>
      <c r="BW105" s="470">
        <v>205</v>
      </c>
      <c r="BX105" s="470">
        <v>205</v>
      </c>
      <c r="BY105" s="470">
        <v>260</v>
      </c>
      <c r="BZ105" s="1588"/>
      <c r="CA105" s="429"/>
      <c r="CB105"/>
      <c r="CC105"/>
      <c r="CD105"/>
      <c r="CE105" s="2310" t="s">
        <v>1912</v>
      </c>
      <c r="CF105" s="1834" t="str">
        <f>IFERROR(INDEX(N_Bedarf!$CE$2:$CE$141,_xlfn.AGGREGATE(15,6,(ROW(N_Bedarf!$CE$2:$CE$141)-1)/(--(SEARCH(CG$2,N_Bedarf!$CE$2:$CE$141)&gt;0)),ROW()-2),1),"")</f>
        <v>Kleegras 6 Nutzungen (60-90% Legum.)</v>
      </c>
      <c r="CG105" s="1830"/>
      <c r="CH105" s="1834" t="str">
        <f>IFERROR(INDEX(N_Bedarf!$CE$2:$CE$141,_xlfn.AGGREGATE(15,6,(ROW(N_Bedarf!$CE$2:$CE$141)-1)/(--(SEARCH(CI$2,N_Bedarf!$CE$2:$CE$141)&gt;0)),ROW()-2),1),"")</f>
        <v>Kleegras 6 Nutzungen (60-90% Legum.)</v>
      </c>
      <c r="CI105" s="1830"/>
      <c r="CJ105" s="1834" t="str">
        <f>IFERROR(INDEX(N_Bedarf!$CE$2:$CE$141,_xlfn.AGGREGATE(15,6,(ROW(N_Bedarf!$CE$2:$CE$141)-1)/(--(SEARCH(CK$2,N_Bedarf!$CE$2:$CE$141)&gt;0)),ROW()-2),1),"")</f>
        <v>Kleegras 6 Nutzungen (60-90% Legum.)</v>
      </c>
      <c r="CK105" s="1830"/>
      <c r="CL105" s="1834" t="str">
        <f>IFERROR(INDEX(N_Bedarf!$CE$2:$CE$141,_xlfn.AGGREGATE(15,6,(ROW(N_Bedarf!$CE$2:$CE$141)-1)/(--(SEARCH(CM$2,N_Bedarf!$CE$2:$CE$141)&gt;0)),ROW()-2),1),"")</f>
        <v>Kleegras 6 Nutzungen (60-90% Legum.)</v>
      </c>
      <c r="CM105" s="1830"/>
      <c r="CN105" s="1834" t="str">
        <f>IFERROR(INDEX(N_Bedarf!$CE$2:$CE$141,_xlfn.AGGREGATE(15,6,(ROW(N_Bedarf!$CE$2:$CE$141)-1)/(--(SEARCH(CO$2,N_Bedarf!$CE$2:$CE$141)&gt;0)),ROW()-2),1),"")</f>
        <v>Kleegras 6 Nutzungen (60-90% Legum.)</v>
      </c>
      <c r="CO105" s="1830"/>
      <c r="CP105" s="1834" t="str">
        <f>IFERROR(INDEX(N_Bedarf!$CE$2:$CE$141,_xlfn.AGGREGATE(15,6,(ROW(N_Bedarf!$CE$2:$CE$141)-1)/(--(SEARCH(CQ$2,N_Bedarf!$CE$2:$CE$141)&gt;0)),ROW()-2),1),"")</f>
        <v>Kleegras 6 Nutzungen (60-90% Legum.)</v>
      </c>
      <c r="CQ105" s="1830"/>
      <c r="CR105" s="1834" t="str">
        <f>IFERROR(INDEX(N_Bedarf!$CE$2:$CE$141,_xlfn.AGGREGATE(15,6,(ROW(N_Bedarf!$CE$2:$CE$141)-1)/(--(SEARCH(CS$2,N_Bedarf!$CE$2:$CE$141)&gt;0)),ROW()-2),1),"")</f>
        <v>Kleegras 6 Nutzungen (60-90% Legum.)</v>
      </c>
      <c r="CS105" s="1830"/>
      <c r="CT105" s="1834" t="str">
        <f>IFERROR(INDEX(N_Bedarf!$CE$2:$CE$141,_xlfn.AGGREGATE(15,6,(ROW(N_Bedarf!$CE$2:$CE$141)-1)/(--(SEARCH(CU$2,N_Bedarf!$CE$2:$CE$141)&gt;0)),ROW()-2),1),"")</f>
        <v>Kleegras 6 Nutzungen (60-90% Legum.)</v>
      </c>
      <c r="CU105" s="1830"/>
      <c r="CV105" s="1834" t="str">
        <f>IFERROR(INDEX(N_Bedarf!$CE$2:$CE$141,_xlfn.AGGREGATE(15,6,(ROW(N_Bedarf!$CE$2:$CE$141)-1)/(--(SEARCH(CW$2,N_Bedarf!$CE$2:$CE$141)&gt;0)),ROW()-2),1),"")</f>
        <v>Kleegras 6 Nutzungen (60-90% Legum.)</v>
      </c>
      <c r="CW105" s="1830"/>
      <c r="CX105" s="1834" t="str">
        <f>IFERROR(INDEX(N_Bedarf!$CE$2:$CE$141,_xlfn.AGGREGATE(15,6,(ROW(N_Bedarf!$CE$2:$CE$141)-1)/(--(SEARCH(CY$2,N_Bedarf!$CE$2:$CE$141)&gt;0)),ROW()-2),1),"")</f>
        <v>Kleegras 6 Nutzungen (60-90% Legum.)</v>
      </c>
      <c r="CY105" s="1830"/>
      <c r="CZ105" s="1834" t="str">
        <f>IFERROR(INDEX(N_Bedarf!$CE$2:$CE$141,_xlfn.AGGREGATE(15,6,(ROW(N_Bedarf!$CE$2:$CE$141)-1)/(--(SEARCH(DA$2,N_Bedarf!$CE$2:$CE$141)&gt;0)),ROW()-2),1),"")</f>
        <v>Kleegras 6 Nutzungen (60-90% Legum.)</v>
      </c>
      <c r="DA105" s="1830"/>
      <c r="DB105" s="1834" t="str">
        <f>IFERROR(INDEX(N_Bedarf!$CE$2:$CE$141,_xlfn.AGGREGATE(15,6,(ROW(N_Bedarf!$CE$2:$CE$141)-1)/(--(SEARCH(DC$2,N_Bedarf!$CE$2:$CE$141)&gt;0)),ROW()-2),1),"")</f>
        <v>Kleegras 6 Nutzungen (60-90% Legum.)</v>
      </c>
      <c r="DC105" s="1830"/>
      <c r="DD105" s="1834" t="str">
        <f>IFERROR(INDEX(N_Bedarf!$CE$2:$CE$141,_xlfn.AGGREGATE(15,6,(ROW(N_Bedarf!$CE$2:$CE$141)-1)/(--(SEARCH(DE$2,N_Bedarf!$CE$2:$CE$141)&gt;0)),ROW()-2),1),"")</f>
        <v>Kleegras 6 Nutzungen (60-90% Legum.)</v>
      </c>
      <c r="DE105" s="1830"/>
      <c r="DF105" s="2353" t="str">
        <f t="array" ref="DF105">IFERROR(INDEX(N_Bedarf!$CE$2:$CE$141,_xlfn.AGGREGATE(15,6,(ROW(N_Bedarf!$CE$2:$CE$141)-1)/(--(SEARCH(DG$2,N_Bedarf!$CE$2:$CE$141)&gt;0)),ROW()-2),1),"")</f>
        <v>Kleegras 6 Nutzungen (60-90% Legum.)</v>
      </c>
      <c r="DG105" s="2353"/>
      <c r="DH105" s="2355" t="str">
        <f t="array" ref="DH105">IFERROR(INDEX(N_Bedarf!$CE$2:$CE$141,_xlfn.AGGREGATE(15,6,(ROW(N_Bedarf!$CE$2:$CE$141)-1)/(--(SEARCH(DI$2,N_Bedarf!$CE$2:$CE$141)&gt;0)),ROW()-2),1),"")</f>
        <v>Kleegras 6 Nutzungen (60-90% Legum.)</v>
      </c>
      <c r="DI105" s="2355"/>
      <c r="DJ105" s="2356" t="str">
        <f t="array" ref="DJ105">IFERROR(INDEX(N_Bedarf!$CE$2:$CE$141,_xlfn.AGGREGATE(15,6,(ROW(N_Bedarf!$CE$2:$CE$141)-1)/(--(SEARCH(DK$2,N_Bedarf!$CE$2:$CE$141)&gt;0)),ROW()-2),1),"")</f>
        <v>Kleegras 6 Nutzungen (60-90% Legum.)</v>
      </c>
      <c r="DK105" s="2356"/>
      <c r="DL105" s="2356" t="str">
        <f t="array" ref="DL105">IFERROR(INDEX(N_Bedarf!$CE$2:$CE$141,_xlfn.AGGREGATE(15,6,(ROW(N_Bedarf!$CE$2:$CE$141)-1)/(--(SEARCH(DM$2,N_Bedarf!$CE$2:$CE$141)&gt;0)),ROW()-2),1),"")</f>
        <v>Kleegras 6 Nutzungen (60-90% Legum.)</v>
      </c>
      <c r="DM105" s="2356"/>
      <c r="DN105" s="2356" t="str">
        <f t="array" ref="DN105">IFERROR(INDEX(N_Bedarf!$CE$2:$CE$141,_xlfn.AGGREGATE(15,6,(ROW(N_Bedarf!$CE$2:$CE$141)-1)/(--(SEARCH(DO$2,N_Bedarf!$CE$2:$CE$141)&gt;0)),ROW()-2),1),"")</f>
        <v>Kleegras 6 Nutzungen (60-90% Legum.)</v>
      </c>
      <c r="DO105" s="2356"/>
      <c r="DP105" s="2356" t="str">
        <f t="array" ref="DP105">IFERROR(INDEX(N_Bedarf!$CE$2:$CE$141,_xlfn.AGGREGATE(15,6,(ROW(N_Bedarf!$CE$2:$CE$141)-1)/(--(SEARCH(DQ$2,N_Bedarf!$CE$2:$CE$141)&gt;0)),ROW()-2),1),"")</f>
        <v>Kleegras 6 Nutzungen (60-90% Legum.)</v>
      </c>
      <c r="DQ105" s="2356"/>
      <c r="DR105" s="2356" t="str">
        <f t="array" ref="DR105">IFERROR(INDEX(N_Bedarf!$CE$2:$CE$141,_xlfn.AGGREGATE(15,6,(ROW(N_Bedarf!$CE$2:$CE$141)-1)/(--(SEARCH(DS$2,N_Bedarf!$CE$2:$CE$141)&gt;0)),ROW()-2),1),"")</f>
        <v>Kleegras 6 Nutzungen (60-90% Legum.)</v>
      </c>
      <c r="DS105" s="2356"/>
      <c r="DT105" s="2356" t="str">
        <f t="array" ref="DT105">IFERROR(INDEX(N_Bedarf!$CE$2:$CE$141,_xlfn.AGGREGATE(15,6,(ROW(N_Bedarf!$CE$2:$CE$141)-1)/(--(SEARCH(DU$2,N_Bedarf!$CE$2:$CE$141)&gt;0)),ROW()-2),1),"")</f>
        <v>Kleegras 6 Nutzungen (60-90% Legum.)</v>
      </c>
      <c r="DU105" s="2356"/>
      <c r="DV105" s="2356" t="str">
        <f t="array" ref="DV105">IFERROR(INDEX(N_Bedarf!$CE$2:$CE$141,_xlfn.AGGREGATE(15,6,(ROW(N_Bedarf!$CE$2:$CE$141)-1)/(--(SEARCH(DW$2,N_Bedarf!$CE$2:$CE$141)&gt;0)),ROW()-2),1),"")</f>
        <v>Kleegras 6 Nutzungen (60-90% Legum.)</v>
      </c>
      <c r="DW105" s="2356"/>
      <c r="DX105" s="2356" t="str">
        <f t="array" ref="DX105">IFERROR(INDEX(N_Bedarf!$CE$2:$CE$141,_xlfn.AGGREGATE(15,6,(ROW(N_Bedarf!$CE$2:$CE$141)-1)/(--(SEARCH(DY$2,N_Bedarf!$CE$2:$CE$141)&gt;0)),ROW()-2),1),"")</f>
        <v>Kleegras 6 Nutzungen (60-90% Legum.)</v>
      </c>
      <c r="DY105" s="2356"/>
      <c r="DZ105" s="2356" t="str">
        <f t="array" ref="DZ105">IFERROR(INDEX(N_Bedarf!$CE$2:$CE$141,_xlfn.AGGREGATE(15,6,(ROW(N_Bedarf!$CE$2:$CE$141)-1)/(--(SEARCH(EA$2,N_Bedarf!$CE$2:$CE$141)&gt;0)),ROW()-2),1),"")</f>
        <v>Kleegras 6 Nutzungen (60-90% Legum.)</v>
      </c>
      <c r="EA105" s="2356"/>
      <c r="EB105" s="2356" t="str">
        <f t="array" ref="EB105">IFERROR(INDEX(N_Bedarf!$CE$2:$CE$141,_xlfn.AGGREGATE(15,6,(ROW(N_Bedarf!$CE$2:$CE$141)-1)/(--(SEARCH(EC$2,N_Bedarf!$CE$2:$CE$141)&gt;0)),ROW()-2),1),"")</f>
        <v>Kleegras 6 Nutzungen (60-90% Legum.)</v>
      </c>
      <c r="EC105" s="2356"/>
      <c r="ED105"/>
      <c r="EE105"/>
      <c r="EF105"/>
      <c r="EG105"/>
      <c r="EH105"/>
      <c r="EI105"/>
      <c r="EJ105"/>
      <c r="EK105"/>
      <c r="EL105"/>
      <c r="EM105"/>
      <c r="EN105"/>
      <c r="EO105"/>
      <c r="EP105"/>
      <c r="EQ105"/>
      <c r="ER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row>
    <row r="106" spans="1:291" ht="15.75" customHeight="1" thickTop="1" thickBot="1">
      <c r="A106" s="156"/>
      <c r="B106" s="156"/>
      <c r="C106" s="1758" t="s">
        <v>341</v>
      </c>
      <c r="D106" s="1759" t="s">
        <v>1411</v>
      </c>
      <c r="E106" s="1729">
        <v>110</v>
      </c>
      <c r="F106" s="1760">
        <v>95</v>
      </c>
      <c r="G106" s="1993" t="s">
        <v>1403</v>
      </c>
      <c r="H106" s="1994">
        <v>155</v>
      </c>
      <c r="I106" s="1995">
        <v>130</v>
      </c>
      <c r="J106" s="1759" t="s">
        <v>1412</v>
      </c>
      <c r="K106" s="1729">
        <v>180</v>
      </c>
      <c r="L106" s="1760">
        <v>155</v>
      </c>
      <c r="M106" s="1759" t="s">
        <v>1783</v>
      </c>
      <c r="N106" s="1729">
        <v>195</v>
      </c>
      <c r="O106" s="1760">
        <v>165</v>
      </c>
      <c r="P106" s="1759" t="s">
        <v>1784</v>
      </c>
      <c r="Q106" s="1729">
        <v>210</v>
      </c>
      <c r="R106" s="1761">
        <v>180</v>
      </c>
      <c r="S106" s="1762">
        <v>130</v>
      </c>
      <c r="T106" s="1729">
        <v>130</v>
      </c>
      <c r="U106" s="1760">
        <v>130</v>
      </c>
      <c r="V106" s="1759">
        <v>105</v>
      </c>
      <c r="W106" s="1729">
        <v>105</v>
      </c>
      <c r="X106" s="1760">
        <v>105</v>
      </c>
      <c r="Y106" s="2009">
        <v>75</v>
      </c>
      <c r="Z106" s="2010">
        <v>85</v>
      </c>
      <c r="AA106" s="2011">
        <v>100</v>
      </c>
      <c r="AB106" s="1871" t="s">
        <v>1388</v>
      </c>
      <c r="AC106" s="1763" t="s">
        <v>1389</v>
      </c>
      <c r="AD106" s="1762">
        <v>315</v>
      </c>
      <c r="AE106" s="1729">
        <v>315</v>
      </c>
      <c r="AF106" s="1760">
        <v>315</v>
      </c>
      <c r="AG106" s="1759">
        <v>265</v>
      </c>
      <c r="AH106" s="1729">
        <v>265</v>
      </c>
      <c r="AI106" s="1760">
        <v>265</v>
      </c>
      <c r="AJ106" s="2009">
        <v>190</v>
      </c>
      <c r="AK106" s="2010">
        <v>210</v>
      </c>
      <c r="AL106" s="2011">
        <v>240</v>
      </c>
      <c r="AM106" s="1871" t="s">
        <v>1390</v>
      </c>
      <c r="AN106" s="1763" t="s">
        <v>1389</v>
      </c>
      <c r="AO106" s="171"/>
      <c r="AP106" s="156"/>
      <c r="AX106" s="1722" t="s">
        <v>1922</v>
      </c>
      <c r="AY106" s="681">
        <v>150</v>
      </c>
      <c r="AZ106" s="681">
        <v>150</v>
      </c>
      <c r="BA106" s="681" t="s">
        <v>2698</v>
      </c>
      <c r="BB106" s="681">
        <v>150</v>
      </c>
      <c r="BC106" s="681">
        <v>150</v>
      </c>
      <c r="BD106" s="681" t="s">
        <v>590</v>
      </c>
      <c r="BE106" s="681">
        <v>190</v>
      </c>
      <c r="BF106" s="681">
        <v>190</v>
      </c>
      <c r="BG106" s="681" t="s">
        <v>2589</v>
      </c>
      <c r="BH106" s="681">
        <v>190</v>
      </c>
      <c r="BI106" s="681">
        <v>190</v>
      </c>
      <c r="BJ106" s="681" t="s">
        <v>2589</v>
      </c>
      <c r="BK106" s="681">
        <v>190</v>
      </c>
      <c r="BL106" s="681">
        <v>190</v>
      </c>
      <c r="BM106" s="681" t="s">
        <v>2589</v>
      </c>
      <c r="BN106" s="471">
        <v>0</v>
      </c>
      <c r="BO106" s="821">
        <v>40</v>
      </c>
      <c r="BP106"/>
      <c r="BQ106" s="1722" t="s">
        <v>1922</v>
      </c>
      <c r="BR106" s="470">
        <v>85</v>
      </c>
      <c r="BS106" s="470">
        <v>85</v>
      </c>
      <c r="BT106" s="470">
        <v>105</v>
      </c>
      <c r="BU106" s="1590"/>
      <c r="BV106" s="1722" t="s">
        <v>1922</v>
      </c>
      <c r="BW106" s="470">
        <v>230</v>
      </c>
      <c r="BX106" s="470">
        <v>230</v>
      </c>
      <c r="BY106" s="470">
        <v>300</v>
      </c>
      <c r="BZ106" s="1588"/>
      <c r="CA106" s="429"/>
      <c r="CB106"/>
      <c r="CC106"/>
      <c r="CD106"/>
      <c r="CE106" s="2310" t="s">
        <v>1913</v>
      </c>
      <c r="CF106" s="1834" t="str">
        <f>IFERROR(INDEX(N_Bedarf!$CE$2:$CE$141,_xlfn.AGGREGATE(15,6,(ROW(N_Bedarf!$CE$2:$CE$141)-1)/(--(SEARCH(CG$2,N_Bedarf!$CE$2:$CE$141)&gt;0)),ROW()-2),1),"")</f>
        <v>Klee 1 Nutzung (&gt;90% Legum.)</v>
      </c>
      <c r="CG106" s="1836"/>
      <c r="CH106" s="1834" t="str">
        <f>IFERROR(INDEX(N_Bedarf!$CE$2:$CE$141,_xlfn.AGGREGATE(15,6,(ROW(N_Bedarf!$CE$2:$CE$141)-1)/(--(SEARCH(CI$2,N_Bedarf!$CE$2:$CE$141)&gt;0)),ROW()-2),1),"")</f>
        <v>Klee 1 Nutzung (&gt;90% Legum.)</v>
      </c>
      <c r="CI106" s="1836"/>
      <c r="CJ106" s="1834" t="str">
        <f>IFERROR(INDEX(N_Bedarf!$CE$2:$CE$141,_xlfn.AGGREGATE(15,6,(ROW(N_Bedarf!$CE$2:$CE$141)-1)/(--(SEARCH(CK$2,N_Bedarf!$CE$2:$CE$141)&gt;0)),ROW()-2),1),"")</f>
        <v>Klee 1 Nutzung (&gt;90% Legum.)</v>
      </c>
      <c r="CK106" s="1836"/>
      <c r="CL106" s="1834" t="str">
        <f>IFERROR(INDEX(N_Bedarf!$CE$2:$CE$141,_xlfn.AGGREGATE(15,6,(ROW(N_Bedarf!$CE$2:$CE$141)-1)/(--(SEARCH(CM$2,N_Bedarf!$CE$2:$CE$141)&gt;0)),ROW()-2),1),"")</f>
        <v>Klee 1 Nutzung (&gt;90% Legum.)</v>
      </c>
      <c r="CM106" s="1836"/>
      <c r="CN106" s="1834" t="str">
        <f>IFERROR(INDEX(N_Bedarf!$CE$2:$CE$141,_xlfn.AGGREGATE(15,6,(ROW(N_Bedarf!$CE$2:$CE$141)-1)/(--(SEARCH(CO$2,N_Bedarf!$CE$2:$CE$141)&gt;0)),ROW()-2),1),"")</f>
        <v>Klee 1 Nutzung (&gt;90% Legum.)</v>
      </c>
      <c r="CO106" s="1836"/>
      <c r="CP106" s="1834" t="str">
        <f>IFERROR(INDEX(N_Bedarf!$CE$2:$CE$141,_xlfn.AGGREGATE(15,6,(ROW(N_Bedarf!$CE$2:$CE$141)-1)/(--(SEARCH(CQ$2,N_Bedarf!$CE$2:$CE$141)&gt;0)),ROW()-2),1),"")</f>
        <v>Klee 1 Nutzung (&gt;90% Legum.)</v>
      </c>
      <c r="CQ106" s="1836"/>
      <c r="CR106" s="1834" t="str">
        <f>IFERROR(INDEX(N_Bedarf!$CE$2:$CE$141,_xlfn.AGGREGATE(15,6,(ROW(N_Bedarf!$CE$2:$CE$141)-1)/(--(SEARCH(CS$2,N_Bedarf!$CE$2:$CE$141)&gt;0)),ROW()-2),1),"")</f>
        <v>Klee 1 Nutzung (&gt;90% Legum.)</v>
      </c>
      <c r="CS106" s="1836"/>
      <c r="CT106" s="1834" t="str">
        <f>IFERROR(INDEX(N_Bedarf!$CE$2:$CE$141,_xlfn.AGGREGATE(15,6,(ROW(N_Bedarf!$CE$2:$CE$141)-1)/(--(SEARCH(CU$2,N_Bedarf!$CE$2:$CE$141)&gt;0)),ROW()-2),1),"")</f>
        <v>Klee 1 Nutzung (&gt;90% Legum.)</v>
      </c>
      <c r="CU106" s="1836"/>
      <c r="CV106" s="1834" t="str">
        <f>IFERROR(INDEX(N_Bedarf!$CE$2:$CE$141,_xlfn.AGGREGATE(15,6,(ROW(N_Bedarf!$CE$2:$CE$141)-1)/(--(SEARCH(CW$2,N_Bedarf!$CE$2:$CE$141)&gt;0)),ROW()-2),1),"")</f>
        <v>Klee 1 Nutzung (&gt;90% Legum.)</v>
      </c>
      <c r="CW106" s="1836"/>
      <c r="CX106" s="1834" t="str">
        <f>IFERROR(INDEX(N_Bedarf!$CE$2:$CE$141,_xlfn.AGGREGATE(15,6,(ROW(N_Bedarf!$CE$2:$CE$141)-1)/(--(SEARCH(CY$2,N_Bedarf!$CE$2:$CE$141)&gt;0)),ROW()-2),1),"")</f>
        <v>Klee 1 Nutzung (&gt;90% Legum.)</v>
      </c>
      <c r="CY106" s="1836"/>
      <c r="CZ106" s="1834" t="str">
        <f>IFERROR(INDEX(N_Bedarf!$CE$2:$CE$141,_xlfn.AGGREGATE(15,6,(ROW(N_Bedarf!$CE$2:$CE$141)-1)/(--(SEARCH(DA$2,N_Bedarf!$CE$2:$CE$141)&gt;0)),ROW()-2),1),"")</f>
        <v>Klee 1 Nutzung (&gt;90% Legum.)</v>
      </c>
      <c r="DA106" s="1836"/>
      <c r="DB106" s="1834" t="str">
        <f>IFERROR(INDEX(N_Bedarf!$CE$2:$CE$141,_xlfn.AGGREGATE(15,6,(ROW(N_Bedarf!$CE$2:$CE$141)-1)/(--(SEARCH(DC$2,N_Bedarf!$CE$2:$CE$141)&gt;0)),ROW()-2),1),"")</f>
        <v>Klee 1 Nutzung (&gt;90% Legum.)</v>
      </c>
      <c r="DC106" s="1836"/>
      <c r="DD106" s="1834" t="str">
        <f>IFERROR(INDEX(N_Bedarf!$CE$2:$CE$141,_xlfn.AGGREGATE(15,6,(ROW(N_Bedarf!$CE$2:$CE$141)-1)/(--(SEARCH(DE$2,N_Bedarf!$CE$2:$CE$141)&gt;0)),ROW()-2),1),"")</f>
        <v>Klee 1 Nutzung (&gt;90% Legum.)</v>
      </c>
      <c r="DE106" s="1836"/>
      <c r="DF106" s="2353" t="str">
        <f t="array" ref="DF106">IFERROR(INDEX(N_Bedarf!$CE$2:$CE$141,_xlfn.AGGREGATE(15,6,(ROW(N_Bedarf!$CE$2:$CE$141)-1)/(--(SEARCH(DG$2,N_Bedarf!$CE$2:$CE$141)&gt;0)),ROW()-2),1),"")</f>
        <v>Klee 1 Nutzung (&gt;90% Legum.)</v>
      </c>
      <c r="DG106" s="2353"/>
      <c r="DH106" s="2355" t="str">
        <f t="array" ref="DH106">IFERROR(INDEX(N_Bedarf!$CE$2:$CE$141,_xlfn.AGGREGATE(15,6,(ROW(N_Bedarf!$CE$2:$CE$141)-1)/(--(SEARCH(DI$2,N_Bedarf!$CE$2:$CE$141)&gt;0)),ROW()-2),1),"")</f>
        <v>Klee 1 Nutzung (&gt;90% Legum.)</v>
      </c>
      <c r="DI106" s="2355"/>
      <c r="DJ106" s="2356" t="str">
        <f t="array" ref="DJ106">IFERROR(INDEX(N_Bedarf!$CE$2:$CE$141,_xlfn.AGGREGATE(15,6,(ROW(N_Bedarf!$CE$2:$CE$141)-1)/(--(SEARCH(DK$2,N_Bedarf!$CE$2:$CE$141)&gt;0)),ROW()-2),1),"")</f>
        <v>Klee 1 Nutzung (&gt;90% Legum.)</v>
      </c>
      <c r="DK106" s="2356"/>
      <c r="DL106" s="2356" t="str">
        <f t="array" ref="DL106">IFERROR(INDEX(N_Bedarf!$CE$2:$CE$141,_xlfn.AGGREGATE(15,6,(ROW(N_Bedarf!$CE$2:$CE$141)-1)/(--(SEARCH(DM$2,N_Bedarf!$CE$2:$CE$141)&gt;0)),ROW()-2),1),"")</f>
        <v>Klee 1 Nutzung (&gt;90% Legum.)</v>
      </c>
      <c r="DM106" s="2356"/>
      <c r="DN106" s="2356" t="str">
        <f t="array" ref="DN106">IFERROR(INDEX(N_Bedarf!$CE$2:$CE$141,_xlfn.AGGREGATE(15,6,(ROW(N_Bedarf!$CE$2:$CE$141)-1)/(--(SEARCH(DO$2,N_Bedarf!$CE$2:$CE$141)&gt;0)),ROW()-2),1),"")</f>
        <v>Klee 1 Nutzung (&gt;90% Legum.)</v>
      </c>
      <c r="DO106" s="2356"/>
      <c r="DP106" s="2356" t="str">
        <f t="array" ref="DP106">IFERROR(INDEX(N_Bedarf!$CE$2:$CE$141,_xlfn.AGGREGATE(15,6,(ROW(N_Bedarf!$CE$2:$CE$141)-1)/(--(SEARCH(DQ$2,N_Bedarf!$CE$2:$CE$141)&gt;0)),ROW()-2),1),"")</f>
        <v>Klee 1 Nutzung (&gt;90% Legum.)</v>
      </c>
      <c r="DQ106" s="2356"/>
      <c r="DR106" s="2356" t="str">
        <f t="array" ref="DR106">IFERROR(INDEX(N_Bedarf!$CE$2:$CE$141,_xlfn.AGGREGATE(15,6,(ROW(N_Bedarf!$CE$2:$CE$141)-1)/(--(SEARCH(DS$2,N_Bedarf!$CE$2:$CE$141)&gt;0)),ROW()-2),1),"")</f>
        <v>Klee 1 Nutzung (&gt;90% Legum.)</v>
      </c>
      <c r="DS106" s="2356"/>
      <c r="DT106" s="2356" t="str">
        <f t="array" ref="DT106">IFERROR(INDEX(N_Bedarf!$CE$2:$CE$141,_xlfn.AGGREGATE(15,6,(ROW(N_Bedarf!$CE$2:$CE$141)-1)/(--(SEARCH(DU$2,N_Bedarf!$CE$2:$CE$141)&gt;0)),ROW()-2),1),"")</f>
        <v>Klee 1 Nutzung (&gt;90% Legum.)</v>
      </c>
      <c r="DU106" s="2356"/>
      <c r="DV106" s="2356" t="str">
        <f t="array" ref="DV106">IFERROR(INDEX(N_Bedarf!$CE$2:$CE$141,_xlfn.AGGREGATE(15,6,(ROW(N_Bedarf!$CE$2:$CE$141)-1)/(--(SEARCH(DW$2,N_Bedarf!$CE$2:$CE$141)&gt;0)),ROW()-2),1),"")</f>
        <v>Klee 1 Nutzung (&gt;90% Legum.)</v>
      </c>
      <c r="DW106" s="2356"/>
      <c r="DX106" s="2356" t="str">
        <f t="array" ref="DX106">IFERROR(INDEX(N_Bedarf!$CE$2:$CE$141,_xlfn.AGGREGATE(15,6,(ROW(N_Bedarf!$CE$2:$CE$141)-1)/(--(SEARCH(DY$2,N_Bedarf!$CE$2:$CE$141)&gt;0)),ROW()-2),1),"")</f>
        <v>Klee 1 Nutzung (&gt;90% Legum.)</v>
      </c>
      <c r="DY106" s="2356"/>
      <c r="DZ106" s="2356" t="str">
        <f t="array" ref="DZ106">IFERROR(INDEX(N_Bedarf!$CE$2:$CE$141,_xlfn.AGGREGATE(15,6,(ROW(N_Bedarf!$CE$2:$CE$141)-1)/(--(SEARCH(EA$2,N_Bedarf!$CE$2:$CE$141)&gt;0)),ROW()-2),1),"")</f>
        <v>Klee 1 Nutzung (&gt;90% Legum.)</v>
      </c>
      <c r="EA106" s="2356"/>
      <c r="EB106" s="2356" t="str">
        <f t="array" ref="EB106">IFERROR(INDEX(N_Bedarf!$CE$2:$CE$141,_xlfn.AGGREGATE(15,6,(ROW(N_Bedarf!$CE$2:$CE$141)-1)/(--(SEARCH(EC$2,N_Bedarf!$CE$2:$CE$141)&gt;0)),ROW()-2),1),"")</f>
        <v>Klee 1 Nutzung (&gt;90% Legum.)</v>
      </c>
      <c r="EC106" s="2356"/>
      <c r="ED106"/>
      <c r="EE106"/>
      <c r="EF106"/>
      <c r="EG106"/>
      <c r="EH106"/>
      <c r="EI106"/>
      <c r="EJ106"/>
      <c r="EK106"/>
      <c r="EL106"/>
      <c r="EM106"/>
      <c r="EN106"/>
      <c r="EO106"/>
      <c r="EP106"/>
      <c r="EQ106"/>
      <c r="ER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row>
    <row r="107" spans="1:291" s="171" customFormat="1" ht="24" customHeight="1" thickTop="1" thickBot="1">
      <c r="C107" s="1758" t="s">
        <v>1263</v>
      </c>
      <c r="D107" s="1759" t="s">
        <v>1785</v>
      </c>
      <c r="E107" s="1729">
        <v>110</v>
      </c>
      <c r="F107" s="1760">
        <v>100</v>
      </c>
      <c r="G107" s="1993" t="s">
        <v>1786</v>
      </c>
      <c r="H107" s="1994">
        <v>155</v>
      </c>
      <c r="I107" s="1995">
        <v>140</v>
      </c>
      <c r="J107" s="1759" t="s">
        <v>1787</v>
      </c>
      <c r="K107" s="1729">
        <v>180</v>
      </c>
      <c r="L107" s="1760">
        <v>160</v>
      </c>
      <c r="M107" s="1759" t="s">
        <v>1788</v>
      </c>
      <c r="N107" s="1729">
        <v>195</v>
      </c>
      <c r="O107" s="1760">
        <v>175</v>
      </c>
      <c r="P107" s="1759" t="s">
        <v>1789</v>
      </c>
      <c r="Q107" s="1729">
        <v>210</v>
      </c>
      <c r="R107" s="1761">
        <v>190</v>
      </c>
      <c r="S107" s="1762">
        <v>130</v>
      </c>
      <c r="T107" s="1729">
        <v>130</v>
      </c>
      <c r="U107" s="1760">
        <v>130</v>
      </c>
      <c r="V107" s="1759">
        <v>105</v>
      </c>
      <c r="W107" s="1729">
        <v>105</v>
      </c>
      <c r="X107" s="1760">
        <v>105</v>
      </c>
      <c r="Y107" s="2009">
        <v>75</v>
      </c>
      <c r="Z107" s="2010">
        <v>85</v>
      </c>
      <c r="AA107" s="2011">
        <v>100</v>
      </c>
      <c r="AB107" s="1871" t="s">
        <v>1388</v>
      </c>
      <c r="AC107" s="1763" t="s">
        <v>1389</v>
      </c>
      <c r="AD107" s="1762">
        <v>300</v>
      </c>
      <c r="AE107" s="1729">
        <v>300</v>
      </c>
      <c r="AF107" s="1760">
        <v>300</v>
      </c>
      <c r="AG107" s="1759">
        <v>250</v>
      </c>
      <c r="AH107" s="1729">
        <v>250</v>
      </c>
      <c r="AI107" s="1760">
        <v>250</v>
      </c>
      <c r="AJ107" s="2009">
        <v>180</v>
      </c>
      <c r="AK107" s="2010">
        <v>200</v>
      </c>
      <c r="AL107" s="2011">
        <v>230</v>
      </c>
      <c r="AM107" s="1871" t="s">
        <v>1390</v>
      </c>
      <c r="AN107" s="1763" t="s">
        <v>1389</v>
      </c>
      <c r="AO107" s="156"/>
      <c r="AR107" s="156"/>
      <c r="AS107" s="156"/>
      <c r="AT107" s="156"/>
      <c r="AX107" s="1722" t="s">
        <v>1923</v>
      </c>
      <c r="AY107" s="681">
        <v>210</v>
      </c>
      <c r="AZ107" s="681">
        <v>210</v>
      </c>
      <c r="BA107" s="681" t="s">
        <v>2590</v>
      </c>
      <c r="BB107" s="681">
        <v>210</v>
      </c>
      <c r="BC107" s="681">
        <v>210</v>
      </c>
      <c r="BD107" s="681" t="s">
        <v>2590</v>
      </c>
      <c r="BE107" s="681">
        <v>210</v>
      </c>
      <c r="BF107" s="681">
        <v>210</v>
      </c>
      <c r="BG107" s="681" t="s">
        <v>2590</v>
      </c>
      <c r="BH107" s="681">
        <v>210</v>
      </c>
      <c r="BI107" s="681">
        <v>210</v>
      </c>
      <c r="BJ107" s="681" t="s">
        <v>2590</v>
      </c>
      <c r="BK107" s="681">
        <v>210</v>
      </c>
      <c r="BL107" s="681">
        <v>210</v>
      </c>
      <c r="BM107" s="681" t="s">
        <v>2590</v>
      </c>
      <c r="BN107" s="471">
        <v>0</v>
      </c>
      <c r="BO107" s="821">
        <v>40</v>
      </c>
      <c r="BP107"/>
      <c r="BQ107" s="1722" t="s">
        <v>1923</v>
      </c>
      <c r="BR107" s="470">
        <v>120</v>
      </c>
      <c r="BS107" s="470">
        <v>120</v>
      </c>
      <c r="BT107" s="470">
        <v>120</v>
      </c>
      <c r="BU107" s="1590"/>
      <c r="BV107" s="1722" t="s">
        <v>1923</v>
      </c>
      <c r="BW107" s="470">
        <v>340</v>
      </c>
      <c r="BX107" s="470">
        <v>340</v>
      </c>
      <c r="BY107" s="470">
        <v>340</v>
      </c>
      <c r="BZ107" s="1588"/>
      <c r="CA107" s="429"/>
      <c r="CB107" s="235"/>
      <c r="CC107" s="235"/>
      <c r="CD107" s="235"/>
      <c r="CE107" s="2310" t="s">
        <v>1914</v>
      </c>
      <c r="CF107" s="1834" t="str">
        <f>IFERROR(INDEX(N_Bedarf!$CE$2:$CE$141,_xlfn.AGGREGATE(15,6,(ROW(N_Bedarf!$CE$2:$CE$141)-1)/(--(SEARCH(CG$2,N_Bedarf!$CE$2:$CE$141)&gt;0)),ROW()-2),1),"")</f>
        <v>Klee 2 Nutzungen (&gt;90% Legum.)</v>
      </c>
      <c r="CG107" s="1830"/>
      <c r="CH107" s="1834" t="str">
        <f>IFERROR(INDEX(N_Bedarf!$CE$2:$CE$141,_xlfn.AGGREGATE(15,6,(ROW(N_Bedarf!$CE$2:$CE$141)-1)/(--(SEARCH(CI$2,N_Bedarf!$CE$2:$CE$141)&gt;0)),ROW()-2),1),"")</f>
        <v>Klee 2 Nutzungen (&gt;90% Legum.)</v>
      </c>
      <c r="CI107" s="1830"/>
      <c r="CJ107" s="1834" t="str">
        <f>IFERROR(INDEX(N_Bedarf!$CE$2:$CE$141,_xlfn.AGGREGATE(15,6,(ROW(N_Bedarf!$CE$2:$CE$141)-1)/(--(SEARCH(CK$2,N_Bedarf!$CE$2:$CE$141)&gt;0)),ROW()-2),1),"")</f>
        <v>Klee 2 Nutzungen (&gt;90% Legum.)</v>
      </c>
      <c r="CK107" s="1830"/>
      <c r="CL107" s="1834" t="str">
        <f>IFERROR(INDEX(N_Bedarf!$CE$2:$CE$141,_xlfn.AGGREGATE(15,6,(ROW(N_Bedarf!$CE$2:$CE$141)-1)/(--(SEARCH(CM$2,N_Bedarf!$CE$2:$CE$141)&gt;0)),ROW()-2),1),"")</f>
        <v>Klee 2 Nutzungen (&gt;90% Legum.)</v>
      </c>
      <c r="CM107" s="1830"/>
      <c r="CN107" s="1834" t="str">
        <f>IFERROR(INDEX(N_Bedarf!$CE$2:$CE$141,_xlfn.AGGREGATE(15,6,(ROW(N_Bedarf!$CE$2:$CE$141)-1)/(--(SEARCH(CO$2,N_Bedarf!$CE$2:$CE$141)&gt;0)),ROW()-2),1),"")</f>
        <v>Klee 2 Nutzungen (&gt;90% Legum.)</v>
      </c>
      <c r="CO107" s="1830"/>
      <c r="CP107" s="1834" t="str">
        <f>IFERROR(INDEX(N_Bedarf!$CE$2:$CE$141,_xlfn.AGGREGATE(15,6,(ROW(N_Bedarf!$CE$2:$CE$141)-1)/(--(SEARCH(CQ$2,N_Bedarf!$CE$2:$CE$141)&gt;0)),ROW()-2),1),"")</f>
        <v>Klee 2 Nutzungen (&gt;90% Legum.)</v>
      </c>
      <c r="CQ107" s="1830"/>
      <c r="CR107" s="1834" t="str">
        <f>IFERROR(INDEX(N_Bedarf!$CE$2:$CE$141,_xlfn.AGGREGATE(15,6,(ROW(N_Bedarf!$CE$2:$CE$141)-1)/(--(SEARCH(CS$2,N_Bedarf!$CE$2:$CE$141)&gt;0)),ROW()-2),1),"")</f>
        <v>Klee 2 Nutzungen (&gt;90% Legum.)</v>
      </c>
      <c r="CS107" s="1830"/>
      <c r="CT107" s="1834" t="str">
        <f>IFERROR(INDEX(N_Bedarf!$CE$2:$CE$141,_xlfn.AGGREGATE(15,6,(ROW(N_Bedarf!$CE$2:$CE$141)-1)/(--(SEARCH(CU$2,N_Bedarf!$CE$2:$CE$141)&gt;0)),ROW()-2),1),"")</f>
        <v>Klee 2 Nutzungen (&gt;90% Legum.)</v>
      </c>
      <c r="CU107" s="1830"/>
      <c r="CV107" s="1834" t="str">
        <f>IFERROR(INDEX(N_Bedarf!$CE$2:$CE$141,_xlfn.AGGREGATE(15,6,(ROW(N_Bedarf!$CE$2:$CE$141)-1)/(--(SEARCH(CW$2,N_Bedarf!$CE$2:$CE$141)&gt;0)),ROW()-2),1),"")</f>
        <v>Klee 2 Nutzungen (&gt;90% Legum.)</v>
      </c>
      <c r="CW107" s="1830"/>
      <c r="CX107" s="1834" t="str">
        <f>IFERROR(INDEX(N_Bedarf!$CE$2:$CE$141,_xlfn.AGGREGATE(15,6,(ROW(N_Bedarf!$CE$2:$CE$141)-1)/(--(SEARCH(CY$2,N_Bedarf!$CE$2:$CE$141)&gt;0)),ROW()-2),1),"")</f>
        <v>Klee 2 Nutzungen (&gt;90% Legum.)</v>
      </c>
      <c r="CY107" s="1830"/>
      <c r="CZ107" s="1834" t="str">
        <f>IFERROR(INDEX(N_Bedarf!$CE$2:$CE$141,_xlfn.AGGREGATE(15,6,(ROW(N_Bedarf!$CE$2:$CE$141)-1)/(--(SEARCH(DA$2,N_Bedarf!$CE$2:$CE$141)&gt;0)),ROW()-2),1),"")</f>
        <v>Klee 2 Nutzungen (&gt;90% Legum.)</v>
      </c>
      <c r="DA107" s="1830"/>
      <c r="DB107" s="1834" t="str">
        <f>IFERROR(INDEX(N_Bedarf!$CE$2:$CE$141,_xlfn.AGGREGATE(15,6,(ROW(N_Bedarf!$CE$2:$CE$141)-1)/(--(SEARCH(DC$2,N_Bedarf!$CE$2:$CE$141)&gt;0)),ROW()-2),1),"")</f>
        <v>Klee 2 Nutzungen (&gt;90% Legum.)</v>
      </c>
      <c r="DC107" s="1830"/>
      <c r="DD107" s="1834" t="str">
        <f>IFERROR(INDEX(N_Bedarf!$CE$2:$CE$141,_xlfn.AGGREGATE(15,6,(ROW(N_Bedarf!$CE$2:$CE$141)-1)/(--(SEARCH(DE$2,N_Bedarf!$CE$2:$CE$141)&gt;0)),ROW()-2),1),"")</f>
        <v>Klee 2 Nutzungen (&gt;90% Legum.)</v>
      </c>
      <c r="DE107" s="1830"/>
      <c r="DF107" s="2353" t="str">
        <f t="array" ref="DF107">IFERROR(INDEX(N_Bedarf!$CE$2:$CE$141,_xlfn.AGGREGATE(15,6,(ROW(N_Bedarf!$CE$2:$CE$141)-1)/(--(SEARCH(DG$2,N_Bedarf!$CE$2:$CE$141)&gt;0)),ROW()-2),1),"")</f>
        <v>Klee 2 Nutzungen (&gt;90% Legum.)</v>
      </c>
      <c r="DG107" s="2353"/>
      <c r="DH107" s="2355" t="str">
        <f t="array" ref="DH107">IFERROR(INDEX(N_Bedarf!$CE$2:$CE$141,_xlfn.AGGREGATE(15,6,(ROW(N_Bedarf!$CE$2:$CE$141)-1)/(--(SEARCH(DI$2,N_Bedarf!$CE$2:$CE$141)&gt;0)),ROW()-2),1),"")</f>
        <v>Klee 2 Nutzungen (&gt;90% Legum.)</v>
      </c>
      <c r="DI107" s="2355"/>
      <c r="DJ107" s="2356" t="str">
        <f t="array" ref="DJ107">IFERROR(INDEX(N_Bedarf!$CE$2:$CE$141,_xlfn.AGGREGATE(15,6,(ROW(N_Bedarf!$CE$2:$CE$141)-1)/(--(SEARCH(DK$2,N_Bedarf!$CE$2:$CE$141)&gt;0)),ROW()-2),1),"")</f>
        <v>Klee 2 Nutzungen (&gt;90% Legum.)</v>
      </c>
      <c r="DK107" s="2356"/>
      <c r="DL107" s="2356" t="str">
        <f t="array" ref="DL107">IFERROR(INDEX(N_Bedarf!$CE$2:$CE$141,_xlfn.AGGREGATE(15,6,(ROW(N_Bedarf!$CE$2:$CE$141)-1)/(--(SEARCH(DM$2,N_Bedarf!$CE$2:$CE$141)&gt;0)),ROW()-2),1),"")</f>
        <v>Klee 2 Nutzungen (&gt;90% Legum.)</v>
      </c>
      <c r="DM107" s="2356"/>
      <c r="DN107" s="2356" t="str">
        <f t="array" ref="DN107">IFERROR(INDEX(N_Bedarf!$CE$2:$CE$141,_xlfn.AGGREGATE(15,6,(ROW(N_Bedarf!$CE$2:$CE$141)-1)/(--(SEARCH(DO$2,N_Bedarf!$CE$2:$CE$141)&gt;0)),ROW()-2),1),"")</f>
        <v>Klee 2 Nutzungen (&gt;90% Legum.)</v>
      </c>
      <c r="DO107" s="2356"/>
      <c r="DP107" s="2356" t="str">
        <f t="array" ref="DP107">IFERROR(INDEX(N_Bedarf!$CE$2:$CE$141,_xlfn.AGGREGATE(15,6,(ROW(N_Bedarf!$CE$2:$CE$141)-1)/(--(SEARCH(DQ$2,N_Bedarf!$CE$2:$CE$141)&gt;0)),ROW()-2),1),"")</f>
        <v>Klee 2 Nutzungen (&gt;90% Legum.)</v>
      </c>
      <c r="DQ107" s="2356"/>
      <c r="DR107" s="2356" t="str">
        <f t="array" ref="DR107">IFERROR(INDEX(N_Bedarf!$CE$2:$CE$141,_xlfn.AGGREGATE(15,6,(ROW(N_Bedarf!$CE$2:$CE$141)-1)/(--(SEARCH(DS$2,N_Bedarf!$CE$2:$CE$141)&gt;0)),ROW()-2),1),"")</f>
        <v>Klee 2 Nutzungen (&gt;90% Legum.)</v>
      </c>
      <c r="DS107" s="2356"/>
      <c r="DT107" s="2356" t="str">
        <f t="array" ref="DT107">IFERROR(INDEX(N_Bedarf!$CE$2:$CE$141,_xlfn.AGGREGATE(15,6,(ROW(N_Bedarf!$CE$2:$CE$141)-1)/(--(SEARCH(DU$2,N_Bedarf!$CE$2:$CE$141)&gt;0)),ROW()-2),1),"")</f>
        <v>Klee 2 Nutzungen (&gt;90% Legum.)</v>
      </c>
      <c r="DU107" s="2356"/>
      <c r="DV107" s="2356" t="str">
        <f t="array" ref="DV107">IFERROR(INDEX(N_Bedarf!$CE$2:$CE$141,_xlfn.AGGREGATE(15,6,(ROW(N_Bedarf!$CE$2:$CE$141)-1)/(--(SEARCH(DW$2,N_Bedarf!$CE$2:$CE$141)&gt;0)),ROW()-2),1),"")</f>
        <v>Klee 2 Nutzungen (&gt;90% Legum.)</v>
      </c>
      <c r="DW107" s="2356"/>
      <c r="DX107" s="2356" t="str">
        <f t="array" ref="DX107">IFERROR(INDEX(N_Bedarf!$CE$2:$CE$141,_xlfn.AGGREGATE(15,6,(ROW(N_Bedarf!$CE$2:$CE$141)-1)/(--(SEARCH(DY$2,N_Bedarf!$CE$2:$CE$141)&gt;0)),ROW()-2),1),"")</f>
        <v>Klee 2 Nutzungen (&gt;90% Legum.)</v>
      </c>
      <c r="DY107" s="2356"/>
      <c r="DZ107" s="2356" t="str">
        <f t="array" ref="DZ107">IFERROR(INDEX(N_Bedarf!$CE$2:$CE$141,_xlfn.AGGREGATE(15,6,(ROW(N_Bedarf!$CE$2:$CE$141)-1)/(--(SEARCH(EA$2,N_Bedarf!$CE$2:$CE$141)&gt;0)),ROW()-2),1),"")</f>
        <v>Klee 2 Nutzungen (&gt;90% Legum.)</v>
      </c>
      <c r="EA107" s="2356"/>
      <c r="EB107" s="2356" t="str">
        <f t="array" ref="EB107">IFERROR(INDEX(N_Bedarf!$CE$2:$CE$141,_xlfn.AGGREGATE(15,6,(ROW(N_Bedarf!$CE$2:$CE$141)-1)/(--(SEARCH(EC$2,N_Bedarf!$CE$2:$CE$141)&gt;0)),ROW()-2),1),"")</f>
        <v>Klee 2 Nutzungen (&gt;90% Legum.)</v>
      </c>
      <c r="EC107" s="2356"/>
      <c r="ED107" s="235"/>
      <c r="EE107" s="235"/>
      <c r="EF107" s="235"/>
      <c r="EG107" s="235"/>
      <c r="EH107" s="235"/>
      <c r="EI107" s="235"/>
      <c r="EJ107" s="235"/>
      <c r="EK107" s="235"/>
      <c r="EL107" s="235"/>
      <c r="EM107" s="235"/>
      <c r="EN107" s="235"/>
      <c r="EO107" s="235"/>
      <c r="EP107" s="235"/>
      <c r="EQ107" s="235"/>
      <c r="ER107" s="235"/>
      <c r="ES107" s="768"/>
      <c r="ET107" s="768"/>
      <c r="EU107" s="768"/>
      <c r="EV107" s="768"/>
      <c r="EW107" s="768"/>
      <c r="EX107" s="235"/>
      <c r="EY107" s="235"/>
      <c r="EZ107" s="235"/>
      <c r="FA107" s="235"/>
      <c r="FB107" s="235"/>
      <c r="FC107" s="235"/>
      <c r="FD107" s="235"/>
      <c r="FE107" s="235"/>
      <c r="FF107" s="235"/>
      <c r="FG107" s="235"/>
      <c r="FH107" s="235"/>
      <c r="FI107" s="235"/>
      <c r="FJ107" s="235"/>
      <c r="FK107" s="235"/>
      <c r="FL107" s="235"/>
      <c r="FM107" s="235"/>
      <c r="FN107" s="235"/>
      <c r="FO107" s="235"/>
      <c r="FP107" s="235"/>
      <c r="FQ107" s="235"/>
      <c r="FR107" s="235"/>
      <c r="FS107" s="235"/>
      <c r="FT107" s="235"/>
      <c r="FU107" s="235"/>
      <c r="FV107" s="235"/>
      <c r="FW107" s="235"/>
      <c r="FX107" s="235"/>
      <c r="FY107" s="235"/>
      <c r="FZ107" s="235"/>
      <c r="GA107" s="235"/>
      <c r="GB107" s="235"/>
      <c r="GC107" s="235"/>
      <c r="GD107" s="235"/>
      <c r="GE107" s="235"/>
      <c r="GF107" s="235"/>
      <c r="GG107" s="235"/>
      <c r="GH107" s="235"/>
      <c r="GI107" s="235"/>
      <c r="GJ107" s="235"/>
      <c r="GK107" s="235"/>
      <c r="GL107" s="235"/>
      <c r="GM107" s="235"/>
      <c r="GN107" s="235"/>
      <c r="GO107" s="235"/>
      <c r="GP107" s="235"/>
      <c r="GQ107" s="235"/>
      <c r="GR107" s="235"/>
      <c r="GS107" s="235"/>
      <c r="GT107" s="235"/>
      <c r="GU107" s="235"/>
      <c r="GV107" s="235"/>
      <c r="GW107" s="235"/>
      <c r="GX107" s="235"/>
      <c r="GY107" s="235"/>
      <c r="GZ107" s="235"/>
      <c r="HA107" s="235"/>
      <c r="HB107" s="235"/>
      <c r="HC107" s="235"/>
      <c r="HD107" s="235"/>
      <c r="HE107" s="235"/>
      <c r="HF107" s="235"/>
      <c r="HG107" s="235"/>
      <c r="HH107" s="235"/>
      <c r="HI107" s="235"/>
      <c r="HJ107" s="235"/>
      <c r="HK107" s="235"/>
      <c r="HL107" s="235"/>
      <c r="HM107" s="235"/>
      <c r="HN107" s="235"/>
      <c r="HO107" s="235"/>
      <c r="HP107" s="235"/>
      <c r="HQ107" s="235"/>
      <c r="HR107" s="235"/>
      <c r="HS107" s="235"/>
      <c r="HT107" s="235"/>
      <c r="HU107" s="235"/>
      <c r="HV107" s="235"/>
      <c r="HW107" s="235"/>
      <c r="HX107" s="235"/>
      <c r="HY107" s="235"/>
      <c r="HZ107" s="235"/>
      <c r="IA107" s="235"/>
      <c r="IB107" s="235"/>
      <c r="IC107" s="235"/>
      <c r="ID107" s="235"/>
      <c r="IE107" s="235"/>
      <c r="IF107" s="235"/>
      <c r="IG107" s="235"/>
      <c r="IH107" s="235"/>
      <c r="II107" s="235"/>
      <c r="IJ107" s="235"/>
      <c r="IK107" s="235"/>
      <c r="IL107" s="235"/>
      <c r="IM107" s="235"/>
      <c r="IN107" s="235"/>
      <c r="IO107" s="235"/>
      <c r="IP107" s="235"/>
      <c r="IQ107" s="235"/>
      <c r="IR107" s="235"/>
      <c r="IS107" s="235"/>
      <c r="IT107" s="235"/>
      <c r="IU107" s="235"/>
      <c r="IV107" s="235"/>
      <c r="IW107" s="235"/>
      <c r="IX107" s="235"/>
      <c r="IY107" s="235"/>
      <c r="IZ107" s="235"/>
      <c r="JA107" s="235"/>
      <c r="JB107" s="235"/>
      <c r="JC107" s="235"/>
      <c r="JD107" s="235"/>
      <c r="JE107" s="235"/>
      <c r="JF107" s="235"/>
      <c r="JG107" s="235"/>
      <c r="JH107" s="235"/>
      <c r="JI107" s="235"/>
      <c r="JJ107" s="235"/>
      <c r="JK107" s="235"/>
      <c r="JL107" s="235"/>
      <c r="JM107" s="235"/>
      <c r="JN107" s="235"/>
      <c r="JO107" s="235"/>
      <c r="JP107" s="235"/>
      <c r="JQ107" s="235"/>
      <c r="JR107" s="235"/>
      <c r="JS107" s="235"/>
      <c r="JT107" s="235"/>
      <c r="JU107" s="235"/>
      <c r="JV107" s="235"/>
      <c r="JW107" s="235"/>
      <c r="JX107" s="235"/>
      <c r="JY107" s="235"/>
      <c r="JZ107" s="235"/>
      <c r="KA107" s="235"/>
      <c r="KB107" s="235"/>
      <c r="KC107" s="235"/>
      <c r="KD107" s="235"/>
      <c r="KE107" s="235"/>
    </row>
    <row r="108" spans="1:291" ht="21" customHeight="1" thickTop="1" thickBot="1">
      <c r="A108" s="156"/>
      <c r="B108" s="156"/>
      <c r="C108" s="1764" t="s">
        <v>1790</v>
      </c>
      <c r="D108" s="1759" t="s">
        <v>714</v>
      </c>
      <c r="E108" s="1729">
        <v>100</v>
      </c>
      <c r="F108" s="1760">
        <v>85</v>
      </c>
      <c r="G108" s="1993" t="s">
        <v>1773</v>
      </c>
      <c r="H108" s="1994">
        <v>100</v>
      </c>
      <c r="I108" s="1995">
        <v>85</v>
      </c>
      <c r="J108" s="1759" t="s">
        <v>1773</v>
      </c>
      <c r="K108" s="1729">
        <v>100</v>
      </c>
      <c r="L108" s="1760">
        <v>85</v>
      </c>
      <c r="M108" s="1759" t="s">
        <v>1773</v>
      </c>
      <c r="N108" s="1729">
        <v>100</v>
      </c>
      <c r="O108" s="1760">
        <v>85</v>
      </c>
      <c r="P108" s="1759" t="s">
        <v>714</v>
      </c>
      <c r="Q108" s="1729">
        <v>100</v>
      </c>
      <c r="R108" s="1761">
        <v>85</v>
      </c>
      <c r="S108" s="1762">
        <v>90</v>
      </c>
      <c r="T108" s="1729">
        <v>90</v>
      </c>
      <c r="U108" s="1760">
        <v>90</v>
      </c>
      <c r="V108" s="1759">
        <v>75</v>
      </c>
      <c r="W108" s="1729">
        <v>75</v>
      </c>
      <c r="X108" s="1760">
        <v>75</v>
      </c>
      <c r="Y108" s="2009">
        <v>55</v>
      </c>
      <c r="Z108" s="2010">
        <v>60</v>
      </c>
      <c r="AA108" s="2011">
        <v>70</v>
      </c>
      <c r="AB108" s="1871" t="s">
        <v>1388</v>
      </c>
      <c r="AC108" s="1763" t="s">
        <v>1389</v>
      </c>
      <c r="AD108" s="1762">
        <v>105</v>
      </c>
      <c r="AE108" s="1729">
        <v>105</v>
      </c>
      <c r="AF108" s="1760">
        <v>105</v>
      </c>
      <c r="AG108" s="1759">
        <v>90</v>
      </c>
      <c r="AH108" s="1729">
        <v>90</v>
      </c>
      <c r="AI108" s="1760">
        <v>90</v>
      </c>
      <c r="AJ108" s="2009">
        <v>65</v>
      </c>
      <c r="AK108" s="2010">
        <v>70</v>
      </c>
      <c r="AL108" s="2011">
        <v>80</v>
      </c>
      <c r="AM108" s="1871" t="s">
        <v>1390</v>
      </c>
      <c r="AN108" s="1763" t="s">
        <v>1389</v>
      </c>
      <c r="AO108" s="156"/>
      <c r="AP108" s="156"/>
      <c r="AX108" s="1722" t="s">
        <v>1912</v>
      </c>
      <c r="AY108" s="681">
        <v>40</v>
      </c>
      <c r="AZ108" s="681">
        <v>40</v>
      </c>
      <c r="BA108" s="681" t="s">
        <v>2694</v>
      </c>
      <c r="BB108" s="681">
        <v>40</v>
      </c>
      <c r="BC108" s="681">
        <v>40</v>
      </c>
      <c r="BD108" s="681" t="s">
        <v>1574</v>
      </c>
      <c r="BE108" s="681">
        <v>40</v>
      </c>
      <c r="BF108" s="681">
        <v>40</v>
      </c>
      <c r="BG108" s="681" t="s">
        <v>2581</v>
      </c>
      <c r="BH108" s="681">
        <v>40</v>
      </c>
      <c r="BI108" s="681">
        <v>40</v>
      </c>
      <c r="BJ108" s="681" t="s">
        <v>2581</v>
      </c>
      <c r="BK108" s="681">
        <v>40</v>
      </c>
      <c r="BL108" s="681">
        <v>40</v>
      </c>
      <c r="BM108" s="681" t="s">
        <v>2581</v>
      </c>
      <c r="BN108" s="471">
        <v>0</v>
      </c>
      <c r="BO108" s="821">
        <v>40</v>
      </c>
      <c r="BP108"/>
      <c r="BQ108" s="1722" t="s">
        <v>1912</v>
      </c>
      <c r="BR108" s="470">
        <v>15</v>
      </c>
      <c r="BS108" s="470">
        <v>30</v>
      </c>
      <c r="BT108" s="470">
        <v>30</v>
      </c>
      <c r="BU108" s="1590"/>
      <c r="BV108" s="1722" t="s">
        <v>1912</v>
      </c>
      <c r="BW108" s="470">
        <v>45</v>
      </c>
      <c r="BX108" s="470">
        <v>80</v>
      </c>
      <c r="BY108" s="470">
        <v>80</v>
      </c>
      <c r="BZ108" s="1588"/>
      <c r="CA108" s="429"/>
      <c r="CB108"/>
      <c r="CC108"/>
      <c r="CD108"/>
      <c r="CE108" s="2310" t="s">
        <v>1915</v>
      </c>
      <c r="CF108" s="1834" t="str">
        <f>IFERROR(INDEX(N_Bedarf!$CE$2:$CE$141,_xlfn.AGGREGATE(15,6,(ROW(N_Bedarf!$CE$2:$CE$141)-1)/(--(SEARCH(CG$2,N_Bedarf!$CE$2:$CE$141)&gt;0)),ROW()-2),1),"")</f>
        <v>Klee 3 Nutzungen (&gt;90% Legum.)</v>
      </c>
      <c r="CG108" s="1836"/>
      <c r="CH108" s="1834" t="str">
        <f>IFERROR(INDEX(N_Bedarf!$CE$2:$CE$141,_xlfn.AGGREGATE(15,6,(ROW(N_Bedarf!$CE$2:$CE$141)-1)/(--(SEARCH(CI$2,N_Bedarf!$CE$2:$CE$141)&gt;0)),ROW()-2),1),"")</f>
        <v>Klee 3 Nutzungen (&gt;90% Legum.)</v>
      </c>
      <c r="CI108" s="1836"/>
      <c r="CJ108" s="1834" t="str">
        <f>IFERROR(INDEX(N_Bedarf!$CE$2:$CE$141,_xlfn.AGGREGATE(15,6,(ROW(N_Bedarf!$CE$2:$CE$141)-1)/(--(SEARCH(CK$2,N_Bedarf!$CE$2:$CE$141)&gt;0)),ROW()-2),1),"")</f>
        <v>Klee 3 Nutzungen (&gt;90% Legum.)</v>
      </c>
      <c r="CK108" s="1836"/>
      <c r="CL108" s="1834" t="str">
        <f>IFERROR(INDEX(N_Bedarf!$CE$2:$CE$141,_xlfn.AGGREGATE(15,6,(ROW(N_Bedarf!$CE$2:$CE$141)-1)/(--(SEARCH(CM$2,N_Bedarf!$CE$2:$CE$141)&gt;0)),ROW()-2),1),"")</f>
        <v>Klee 3 Nutzungen (&gt;90% Legum.)</v>
      </c>
      <c r="CM108" s="1836"/>
      <c r="CN108" s="1834" t="str">
        <f>IFERROR(INDEX(N_Bedarf!$CE$2:$CE$141,_xlfn.AGGREGATE(15,6,(ROW(N_Bedarf!$CE$2:$CE$141)-1)/(--(SEARCH(CO$2,N_Bedarf!$CE$2:$CE$141)&gt;0)),ROW()-2),1),"")</f>
        <v>Klee 3 Nutzungen (&gt;90% Legum.)</v>
      </c>
      <c r="CO108" s="1836"/>
      <c r="CP108" s="1834" t="str">
        <f>IFERROR(INDEX(N_Bedarf!$CE$2:$CE$141,_xlfn.AGGREGATE(15,6,(ROW(N_Bedarf!$CE$2:$CE$141)-1)/(--(SEARCH(CQ$2,N_Bedarf!$CE$2:$CE$141)&gt;0)),ROW()-2),1),"")</f>
        <v>Klee 3 Nutzungen (&gt;90% Legum.)</v>
      </c>
      <c r="CQ108" s="1836"/>
      <c r="CR108" s="1834" t="str">
        <f>IFERROR(INDEX(N_Bedarf!$CE$2:$CE$141,_xlfn.AGGREGATE(15,6,(ROW(N_Bedarf!$CE$2:$CE$141)-1)/(--(SEARCH(CS$2,N_Bedarf!$CE$2:$CE$141)&gt;0)),ROW()-2),1),"")</f>
        <v>Klee 3 Nutzungen (&gt;90% Legum.)</v>
      </c>
      <c r="CS108" s="1836"/>
      <c r="CT108" s="1834" t="str">
        <f>IFERROR(INDEX(N_Bedarf!$CE$2:$CE$141,_xlfn.AGGREGATE(15,6,(ROW(N_Bedarf!$CE$2:$CE$141)-1)/(--(SEARCH(CU$2,N_Bedarf!$CE$2:$CE$141)&gt;0)),ROW()-2),1),"")</f>
        <v>Klee 3 Nutzungen (&gt;90% Legum.)</v>
      </c>
      <c r="CU108" s="1836"/>
      <c r="CV108" s="1834" t="str">
        <f>IFERROR(INDEX(N_Bedarf!$CE$2:$CE$141,_xlfn.AGGREGATE(15,6,(ROW(N_Bedarf!$CE$2:$CE$141)-1)/(--(SEARCH(CW$2,N_Bedarf!$CE$2:$CE$141)&gt;0)),ROW()-2),1),"")</f>
        <v>Klee 3 Nutzungen (&gt;90% Legum.)</v>
      </c>
      <c r="CW108" s="1836"/>
      <c r="CX108" s="1834" t="str">
        <f>IFERROR(INDEX(N_Bedarf!$CE$2:$CE$141,_xlfn.AGGREGATE(15,6,(ROW(N_Bedarf!$CE$2:$CE$141)-1)/(--(SEARCH(CY$2,N_Bedarf!$CE$2:$CE$141)&gt;0)),ROW()-2),1),"")</f>
        <v>Klee 3 Nutzungen (&gt;90% Legum.)</v>
      </c>
      <c r="CY108" s="1836"/>
      <c r="CZ108" s="1834" t="str">
        <f>IFERROR(INDEX(N_Bedarf!$CE$2:$CE$141,_xlfn.AGGREGATE(15,6,(ROW(N_Bedarf!$CE$2:$CE$141)-1)/(--(SEARCH(DA$2,N_Bedarf!$CE$2:$CE$141)&gt;0)),ROW()-2),1),"")</f>
        <v>Klee 3 Nutzungen (&gt;90% Legum.)</v>
      </c>
      <c r="DA108" s="1836"/>
      <c r="DB108" s="1834" t="str">
        <f>IFERROR(INDEX(N_Bedarf!$CE$2:$CE$141,_xlfn.AGGREGATE(15,6,(ROW(N_Bedarf!$CE$2:$CE$141)-1)/(--(SEARCH(DC$2,N_Bedarf!$CE$2:$CE$141)&gt;0)),ROW()-2),1),"")</f>
        <v>Klee 3 Nutzungen (&gt;90% Legum.)</v>
      </c>
      <c r="DC108" s="1836"/>
      <c r="DD108" s="1834" t="str">
        <f>IFERROR(INDEX(N_Bedarf!$CE$2:$CE$141,_xlfn.AGGREGATE(15,6,(ROW(N_Bedarf!$CE$2:$CE$141)-1)/(--(SEARCH(DE$2,N_Bedarf!$CE$2:$CE$141)&gt;0)),ROW()-2),1),"")</f>
        <v>Klee 3 Nutzungen (&gt;90% Legum.)</v>
      </c>
      <c r="DE108" s="1836"/>
      <c r="DF108" s="2353" t="str">
        <f t="array" ref="DF108">IFERROR(INDEX(N_Bedarf!$CE$2:$CE$141,_xlfn.AGGREGATE(15,6,(ROW(N_Bedarf!$CE$2:$CE$141)-1)/(--(SEARCH(DG$2,N_Bedarf!$CE$2:$CE$141)&gt;0)),ROW()-2),1),"")</f>
        <v>Klee 3 Nutzungen (&gt;90% Legum.)</v>
      </c>
      <c r="DG108" s="2353"/>
      <c r="DH108" s="2355" t="str">
        <f t="array" ref="DH108">IFERROR(INDEX(N_Bedarf!$CE$2:$CE$141,_xlfn.AGGREGATE(15,6,(ROW(N_Bedarf!$CE$2:$CE$141)-1)/(--(SEARCH(DI$2,N_Bedarf!$CE$2:$CE$141)&gt;0)),ROW()-2),1),"")</f>
        <v>Klee 3 Nutzungen (&gt;90% Legum.)</v>
      </c>
      <c r="DI108" s="2355"/>
      <c r="DJ108" s="2356" t="str">
        <f t="array" ref="DJ108">IFERROR(INDEX(N_Bedarf!$CE$2:$CE$141,_xlfn.AGGREGATE(15,6,(ROW(N_Bedarf!$CE$2:$CE$141)-1)/(--(SEARCH(DK$2,N_Bedarf!$CE$2:$CE$141)&gt;0)),ROW()-2),1),"")</f>
        <v>Klee 3 Nutzungen (&gt;90% Legum.)</v>
      </c>
      <c r="DK108" s="2356"/>
      <c r="DL108" s="2356" t="str">
        <f t="array" ref="DL108">IFERROR(INDEX(N_Bedarf!$CE$2:$CE$141,_xlfn.AGGREGATE(15,6,(ROW(N_Bedarf!$CE$2:$CE$141)-1)/(--(SEARCH(DM$2,N_Bedarf!$CE$2:$CE$141)&gt;0)),ROW()-2),1),"")</f>
        <v>Klee 3 Nutzungen (&gt;90% Legum.)</v>
      </c>
      <c r="DM108" s="2356"/>
      <c r="DN108" s="2356" t="str">
        <f t="array" ref="DN108">IFERROR(INDEX(N_Bedarf!$CE$2:$CE$141,_xlfn.AGGREGATE(15,6,(ROW(N_Bedarf!$CE$2:$CE$141)-1)/(--(SEARCH(DO$2,N_Bedarf!$CE$2:$CE$141)&gt;0)),ROW()-2),1),"")</f>
        <v>Klee 3 Nutzungen (&gt;90% Legum.)</v>
      </c>
      <c r="DO108" s="2356"/>
      <c r="DP108" s="2356" t="str">
        <f t="array" ref="DP108">IFERROR(INDEX(N_Bedarf!$CE$2:$CE$141,_xlfn.AGGREGATE(15,6,(ROW(N_Bedarf!$CE$2:$CE$141)-1)/(--(SEARCH(DQ$2,N_Bedarf!$CE$2:$CE$141)&gt;0)),ROW()-2),1),"")</f>
        <v>Klee 3 Nutzungen (&gt;90% Legum.)</v>
      </c>
      <c r="DQ108" s="2356"/>
      <c r="DR108" s="2356" t="str">
        <f t="array" ref="DR108">IFERROR(INDEX(N_Bedarf!$CE$2:$CE$141,_xlfn.AGGREGATE(15,6,(ROW(N_Bedarf!$CE$2:$CE$141)-1)/(--(SEARCH(DS$2,N_Bedarf!$CE$2:$CE$141)&gt;0)),ROW()-2),1),"")</f>
        <v>Klee 3 Nutzungen (&gt;90% Legum.)</v>
      </c>
      <c r="DS108" s="2356"/>
      <c r="DT108" s="2356" t="str">
        <f t="array" ref="DT108">IFERROR(INDEX(N_Bedarf!$CE$2:$CE$141,_xlfn.AGGREGATE(15,6,(ROW(N_Bedarf!$CE$2:$CE$141)-1)/(--(SEARCH(DU$2,N_Bedarf!$CE$2:$CE$141)&gt;0)),ROW()-2),1),"")</f>
        <v>Klee 3 Nutzungen (&gt;90% Legum.)</v>
      </c>
      <c r="DU108" s="2356"/>
      <c r="DV108" s="2356" t="str">
        <f t="array" ref="DV108">IFERROR(INDEX(N_Bedarf!$CE$2:$CE$141,_xlfn.AGGREGATE(15,6,(ROW(N_Bedarf!$CE$2:$CE$141)-1)/(--(SEARCH(DW$2,N_Bedarf!$CE$2:$CE$141)&gt;0)),ROW()-2),1),"")</f>
        <v>Klee 3 Nutzungen (&gt;90% Legum.)</v>
      </c>
      <c r="DW108" s="2356"/>
      <c r="DX108" s="2356" t="str">
        <f t="array" ref="DX108">IFERROR(INDEX(N_Bedarf!$CE$2:$CE$141,_xlfn.AGGREGATE(15,6,(ROW(N_Bedarf!$CE$2:$CE$141)-1)/(--(SEARCH(DY$2,N_Bedarf!$CE$2:$CE$141)&gt;0)),ROW()-2),1),"")</f>
        <v>Klee 3 Nutzungen (&gt;90% Legum.)</v>
      </c>
      <c r="DY108" s="2356"/>
      <c r="DZ108" s="2356" t="str">
        <f t="array" ref="DZ108">IFERROR(INDEX(N_Bedarf!$CE$2:$CE$141,_xlfn.AGGREGATE(15,6,(ROW(N_Bedarf!$CE$2:$CE$141)-1)/(--(SEARCH(EA$2,N_Bedarf!$CE$2:$CE$141)&gt;0)),ROW()-2),1),"")</f>
        <v>Klee 3 Nutzungen (&gt;90% Legum.)</v>
      </c>
      <c r="EA108" s="2356"/>
      <c r="EB108" s="2356" t="str">
        <f t="array" ref="EB108">IFERROR(INDEX(N_Bedarf!$CE$2:$CE$141,_xlfn.AGGREGATE(15,6,(ROW(N_Bedarf!$CE$2:$CE$141)-1)/(--(SEARCH(EC$2,N_Bedarf!$CE$2:$CE$141)&gt;0)),ROW()-2),1),"")</f>
        <v>Klee 3 Nutzungen (&gt;90% Legum.)</v>
      </c>
      <c r="EC108" s="2356"/>
      <c r="ED108"/>
      <c r="EE108"/>
      <c r="EF108"/>
      <c r="EG108"/>
      <c r="EH108"/>
      <c r="EI108"/>
      <c r="EJ108"/>
      <c r="EK108"/>
      <c r="EL108"/>
      <c r="EM108"/>
      <c r="EN108"/>
      <c r="EO108"/>
      <c r="EP108"/>
      <c r="EQ108"/>
      <c r="ER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row>
    <row r="109" spans="1:291" ht="21" customHeight="1" thickTop="1" thickBot="1">
      <c r="A109" s="156"/>
      <c r="B109" s="156"/>
      <c r="C109" s="1758" t="s">
        <v>23</v>
      </c>
      <c r="D109" s="1759" t="s">
        <v>33</v>
      </c>
      <c r="E109" s="1729">
        <v>75</v>
      </c>
      <c r="F109" s="1760">
        <v>65</v>
      </c>
      <c r="G109" s="1993" t="s">
        <v>1791</v>
      </c>
      <c r="H109" s="1994">
        <v>100</v>
      </c>
      <c r="I109" s="1995">
        <v>85</v>
      </c>
      <c r="J109" s="1759" t="s">
        <v>1402</v>
      </c>
      <c r="K109" s="1729">
        <v>115</v>
      </c>
      <c r="L109" s="1760">
        <v>100</v>
      </c>
      <c r="M109" s="1759" t="s">
        <v>1403</v>
      </c>
      <c r="N109" s="1729">
        <v>125</v>
      </c>
      <c r="O109" s="1760">
        <v>105</v>
      </c>
      <c r="P109" s="1759" t="s">
        <v>1404</v>
      </c>
      <c r="Q109" s="1729">
        <v>135</v>
      </c>
      <c r="R109" s="1761">
        <v>115</v>
      </c>
      <c r="S109" s="1762">
        <v>85</v>
      </c>
      <c r="T109" s="1729">
        <v>85</v>
      </c>
      <c r="U109" s="1760">
        <v>85</v>
      </c>
      <c r="V109" s="1759">
        <v>70</v>
      </c>
      <c r="W109" s="1729">
        <v>70</v>
      </c>
      <c r="X109" s="1760">
        <v>70</v>
      </c>
      <c r="Y109" s="2009">
        <v>50</v>
      </c>
      <c r="Z109" s="2010">
        <v>55</v>
      </c>
      <c r="AA109" s="2011">
        <v>65</v>
      </c>
      <c r="AB109" s="1871" t="s">
        <v>1388</v>
      </c>
      <c r="AC109" s="1763" t="s">
        <v>1389</v>
      </c>
      <c r="AD109" s="1762">
        <v>120</v>
      </c>
      <c r="AE109" s="1729">
        <v>120</v>
      </c>
      <c r="AF109" s="1760">
        <v>120</v>
      </c>
      <c r="AG109" s="1759">
        <v>100</v>
      </c>
      <c r="AH109" s="1729">
        <v>100</v>
      </c>
      <c r="AI109" s="1760">
        <v>100</v>
      </c>
      <c r="AJ109" s="2009">
        <v>70</v>
      </c>
      <c r="AK109" s="2010">
        <v>80</v>
      </c>
      <c r="AL109" s="2011">
        <v>90</v>
      </c>
      <c r="AM109" s="1871" t="s">
        <v>1390</v>
      </c>
      <c r="AN109" s="1763" t="s">
        <v>1389</v>
      </c>
      <c r="AO109" s="156"/>
      <c r="AP109" s="156"/>
      <c r="AX109" s="1722" t="s">
        <v>1913</v>
      </c>
      <c r="AY109" s="681">
        <v>40</v>
      </c>
      <c r="AZ109" s="681">
        <v>40</v>
      </c>
      <c r="BA109" s="681" t="s">
        <v>2561</v>
      </c>
      <c r="BB109" s="681">
        <v>40</v>
      </c>
      <c r="BC109" s="681">
        <v>40</v>
      </c>
      <c r="BD109" s="681" t="s">
        <v>2582</v>
      </c>
      <c r="BE109" s="681">
        <v>40</v>
      </c>
      <c r="BF109" s="681">
        <v>40</v>
      </c>
      <c r="BG109" s="681" t="s">
        <v>2582</v>
      </c>
      <c r="BH109" s="681">
        <v>40</v>
      </c>
      <c r="BI109" s="681">
        <v>40</v>
      </c>
      <c r="BJ109" s="681" t="s">
        <v>2582</v>
      </c>
      <c r="BK109" s="681">
        <v>40</v>
      </c>
      <c r="BL109" s="681">
        <v>40</v>
      </c>
      <c r="BM109" s="681" t="s">
        <v>2582</v>
      </c>
      <c r="BN109" s="471">
        <v>0</v>
      </c>
      <c r="BO109" s="821">
        <v>40</v>
      </c>
      <c r="BP109"/>
      <c r="BQ109" s="1722" t="s">
        <v>1913</v>
      </c>
      <c r="BR109" s="470">
        <v>30</v>
      </c>
      <c r="BS109" s="470">
        <v>45</v>
      </c>
      <c r="BT109" s="470">
        <v>45</v>
      </c>
      <c r="BU109" s="1590"/>
      <c r="BV109" s="1722" t="s">
        <v>1913</v>
      </c>
      <c r="BW109" s="470">
        <v>80</v>
      </c>
      <c r="BX109" s="470">
        <v>120</v>
      </c>
      <c r="BY109" s="470">
        <v>120</v>
      </c>
      <c r="BZ109" s="1588"/>
      <c r="CA109" s="429"/>
      <c r="CB109"/>
      <c r="CC109"/>
      <c r="CD109"/>
      <c r="CE109" s="2310" t="s">
        <v>1916</v>
      </c>
      <c r="CF109" s="1834" t="str">
        <f>IFERROR(INDEX(N_Bedarf!$CE$2:$CE$141,_xlfn.AGGREGATE(15,6,(ROW(N_Bedarf!$CE$2:$CE$141)-1)/(--(SEARCH(CG$2,N_Bedarf!$CE$2:$CE$141)&gt;0)),ROW()-2),1),"")</f>
        <v>Klee 4 Nutzungen (&gt;90% Legum.)</v>
      </c>
      <c r="CG109" s="1830"/>
      <c r="CH109" s="1834" t="str">
        <f>IFERROR(INDEX(N_Bedarf!$CE$2:$CE$141,_xlfn.AGGREGATE(15,6,(ROW(N_Bedarf!$CE$2:$CE$141)-1)/(--(SEARCH(CI$2,N_Bedarf!$CE$2:$CE$141)&gt;0)),ROW()-2),1),"")</f>
        <v>Klee 4 Nutzungen (&gt;90% Legum.)</v>
      </c>
      <c r="CI109" s="1830"/>
      <c r="CJ109" s="1834" t="str">
        <f>IFERROR(INDEX(N_Bedarf!$CE$2:$CE$141,_xlfn.AGGREGATE(15,6,(ROW(N_Bedarf!$CE$2:$CE$141)-1)/(--(SEARCH(CK$2,N_Bedarf!$CE$2:$CE$141)&gt;0)),ROW()-2),1),"")</f>
        <v>Klee 4 Nutzungen (&gt;90% Legum.)</v>
      </c>
      <c r="CK109" s="1830"/>
      <c r="CL109" s="1834" t="str">
        <f>IFERROR(INDEX(N_Bedarf!$CE$2:$CE$141,_xlfn.AGGREGATE(15,6,(ROW(N_Bedarf!$CE$2:$CE$141)-1)/(--(SEARCH(CM$2,N_Bedarf!$CE$2:$CE$141)&gt;0)),ROW()-2),1),"")</f>
        <v>Klee 4 Nutzungen (&gt;90% Legum.)</v>
      </c>
      <c r="CM109" s="1830"/>
      <c r="CN109" s="1834" t="str">
        <f>IFERROR(INDEX(N_Bedarf!$CE$2:$CE$141,_xlfn.AGGREGATE(15,6,(ROW(N_Bedarf!$CE$2:$CE$141)-1)/(--(SEARCH(CO$2,N_Bedarf!$CE$2:$CE$141)&gt;0)),ROW()-2),1),"")</f>
        <v>Klee 4 Nutzungen (&gt;90% Legum.)</v>
      </c>
      <c r="CO109" s="1830"/>
      <c r="CP109" s="1834" t="str">
        <f>IFERROR(INDEX(N_Bedarf!$CE$2:$CE$141,_xlfn.AGGREGATE(15,6,(ROW(N_Bedarf!$CE$2:$CE$141)-1)/(--(SEARCH(CQ$2,N_Bedarf!$CE$2:$CE$141)&gt;0)),ROW()-2),1),"")</f>
        <v>Klee 4 Nutzungen (&gt;90% Legum.)</v>
      </c>
      <c r="CQ109" s="1830"/>
      <c r="CR109" s="1834" t="str">
        <f>IFERROR(INDEX(N_Bedarf!$CE$2:$CE$141,_xlfn.AGGREGATE(15,6,(ROW(N_Bedarf!$CE$2:$CE$141)-1)/(--(SEARCH(CS$2,N_Bedarf!$CE$2:$CE$141)&gt;0)),ROW()-2),1),"")</f>
        <v>Klee 4 Nutzungen (&gt;90% Legum.)</v>
      </c>
      <c r="CS109" s="1830"/>
      <c r="CT109" s="1834" t="str">
        <f>IFERROR(INDEX(N_Bedarf!$CE$2:$CE$141,_xlfn.AGGREGATE(15,6,(ROW(N_Bedarf!$CE$2:$CE$141)-1)/(--(SEARCH(CU$2,N_Bedarf!$CE$2:$CE$141)&gt;0)),ROW()-2),1),"")</f>
        <v>Klee 4 Nutzungen (&gt;90% Legum.)</v>
      </c>
      <c r="CU109" s="1830"/>
      <c r="CV109" s="1834" t="str">
        <f>IFERROR(INDEX(N_Bedarf!$CE$2:$CE$141,_xlfn.AGGREGATE(15,6,(ROW(N_Bedarf!$CE$2:$CE$141)-1)/(--(SEARCH(CW$2,N_Bedarf!$CE$2:$CE$141)&gt;0)),ROW()-2),1),"")</f>
        <v>Klee 4 Nutzungen (&gt;90% Legum.)</v>
      </c>
      <c r="CW109" s="1830"/>
      <c r="CX109" s="1834" t="str">
        <f>IFERROR(INDEX(N_Bedarf!$CE$2:$CE$141,_xlfn.AGGREGATE(15,6,(ROW(N_Bedarf!$CE$2:$CE$141)-1)/(--(SEARCH(CY$2,N_Bedarf!$CE$2:$CE$141)&gt;0)),ROW()-2),1),"")</f>
        <v>Klee 4 Nutzungen (&gt;90% Legum.)</v>
      </c>
      <c r="CY109" s="1830"/>
      <c r="CZ109" s="1834" t="str">
        <f>IFERROR(INDEX(N_Bedarf!$CE$2:$CE$141,_xlfn.AGGREGATE(15,6,(ROW(N_Bedarf!$CE$2:$CE$141)-1)/(--(SEARCH(DA$2,N_Bedarf!$CE$2:$CE$141)&gt;0)),ROW()-2),1),"")</f>
        <v>Klee 4 Nutzungen (&gt;90% Legum.)</v>
      </c>
      <c r="DA109" s="1830"/>
      <c r="DB109" s="1834" t="str">
        <f>IFERROR(INDEX(N_Bedarf!$CE$2:$CE$141,_xlfn.AGGREGATE(15,6,(ROW(N_Bedarf!$CE$2:$CE$141)-1)/(--(SEARCH(DC$2,N_Bedarf!$CE$2:$CE$141)&gt;0)),ROW()-2),1),"")</f>
        <v>Klee 4 Nutzungen (&gt;90% Legum.)</v>
      </c>
      <c r="DC109" s="1830"/>
      <c r="DD109" s="1834" t="str">
        <f>IFERROR(INDEX(N_Bedarf!$CE$2:$CE$141,_xlfn.AGGREGATE(15,6,(ROW(N_Bedarf!$CE$2:$CE$141)-1)/(--(SEARCH(DE$2,N_Bedarf!$CE$2:$CE$141)&gt;0)),ROW()-2),1),"")</f>
        <v>Klee 4 Nutzungen (&gt;90% Legum.)</v>
      </c>
      <c r="DE109" s="1830"/>
      <c r="DF109" s="2353" t="str">
        <f t="array" ref="DF109">IFERROR(INDEX(N_Bedarf!$CE$2:$CE$141,_xlfn.AGGREGATE(15,6,(ROW(N_Bedarf!$CE$2:$CE$141)-1)/(--(SEARCH(DG$2,N_Bedarf!$CE$2:$CE$141)&gt;0)),ROW()-2),1),"")</f>
        <v>Klee 4 Nutzungen (&gt;90% Legum.)</v>
      </c>
      <c r="DG109" s="2353"/>
      <c r="DH109" s="2355" t="str">
        <f t="array" ref="DH109">IFERROR(INDEX(N_Bedarf!$CE$2:$CE$141,_xlfn.AGGREGATE(15,6,(ROW(N_Bedarf!$CE$2:$CE$141)-1)/(--(SEARCH(DI$2,N_Bedarf!$CE$2:$CE$141)&gt;0)),ROW()-2),1),"")</f>
        <v>Klee 4 Nutzungen (&gt;90% Legum.)</v>
      </c>
      <c r="DI109" s="2355"/>
      <c r="DJ109" s="2356" t="str">
        <f t="array" ref="DJ109">IFERROR(INDEX(N_Bedarf!$CE$2:$CE$141,_xlfn.AGGREGATE(15,6,(ROW(N_Bedarf!$CE$2:$CE$141)-1)/(--(SEARCH(DK$2,N_Bedarf!$CE$2:$CE$141)&gt;0)),ROW()-2),1),"")</f>
        <v>Klee 4 Nutzungen (&gt;90% Legum.)</v>
      </c>
      <c r="DK109" s="2356"/>
      <c r="DL109" s="2356" t="str">
        <f t="array" ref="DL109">IFERROR(INDEX(N_Bedarf!$CE$2:$CE$141,_xlfn.AGGREGATE(15,6,(ROW(N_Bedarf!$CE$2:$CE$141)-1)/(--(SEARCH(DM$2,N_Bedarf!$CE$2:$CE$141)&gt;0)),ROW()-2),1),"")</f>
        <v>Klee 4 Nutzungen (&gt;90% Legum.)</v>
      </c>
      <c r="DM109" s="2356"/>
      <c r="DN109" s="2356" t="str">
        <f t="array" ref="DN109">IFERROR(INDEX(N_Bedarf!$CE$2:$CE$141,_xlfn.AGGREGATE(15,6,(ROW(N_Bedarf!$CE$2:$CE$141)-1)/(--(SEARCH(DO$2,N_Bedarf!$CE$2:$CE$141)&gt;0)),ROW()-2),1),"")</f>
        <v>Klee 4 Nutzungen (&gt;90% Legum.)</v>
      </c>
      <c r="DO109" s="2356"/>
      <c r="DP109" s="2356" t="str">
        <f t="array" ref="DP109">IFERROR(INDEX(N_Bedarf!$CE$2:$CE$141,_xlfn.AGGREGATE(15,6,(ROW(N_Bedarf!$CE$2:$CE$141)-1)/(--(SEARCH(DQ$2,N_Bedarf!$CE$2:$CE$141)&gt;0)),ROW()-2),1),"")</f>
        <v>Klee 4 Nutzungen (&gt;90% Legum.)</v>
      </c>
      <c r="DQ109" s="2356"/>
      <c r="DR109" s="2356" t="str">
        <f t="array" ref="DR109">IFERROR(INDEX(N_Bedarf!$CE$2:$CE$141,_xlfn.AGGREGATE(15,6,(ROW(N_Bedarf!$CE$2:$CE$141)-1)/(--(SEARCH(DS$2,N_Bedarf!$CE$2:$CE$141)&gt;0)),ROW()-2),1),"")</f>
        <v>Klee 4 Nutzungen (&gt;90% Legum.)</v>
      </c>
      <c r="DS109" s="2356"/>
      <c r="DT109" s="2356" t="str">
        <f t="array" ref="DT109">IFERROR(INDEX(N_Bedarf!$CE$2:$CE$141,_xlfn.AGGREGATE(15,6,(ROW(N_Bedarf!$CE$2:$CE$141)-1)/(--(SEARCH(DU$2,N_Bedarf!$CE$2:$CE$141)&gt;0)),ROW()-2),1),"")</f>
        <v>Klee 4 Nutzungen (&gt;90% Legum.)</v>
      </c>
      <c r="DU109" s="2356"/>
      <c r="DV109" s="2356" t="str">
        <f t="array" ref="DV109">IFERROR(INDEX(N_Bedarf!$CE$2:$CE$141,_xlfn.AGGREGATE(15,6,(ROW(N_Bedarf!$CE$2:$CE$141)-1)/(--(SEARCH(DW$2,N_Bedarf!$CE$2:$CE$141)&gt;0)),ROW()-2),1),"")</f>
        <v>Klee 4 Nutzungen (&gt;90% Legum.)</v>
      </c>
      <c r="DW109" s="2356"/>
      <c r="DX109" s="2356" t="str">
        <f t="array" ref="DX109">IFERROR(INDEX(N_Bedarf!$CE$2:$CE$141,_xlfn.AGGREGATE(15,6,(ROW(N_Bedarf!$CE$2:$CE$141)-1)/(--(SEARCH(DY$2,N_Bedarf!$CE$2:$CE$141)&gt;0)),ROW()-2),1),"")</f>
        <v>Klee 4 Nutzungen (&gt;90% Legum.)</v>
      </c>
      <c r="DY109" s="2356"/>
      <c r="DZ109" s="2356" t="str">
        <f t="array" ref="DZ109">IFERROR(INDEX(N_Bedarf!$CE$2:$CE$141,_xlfn.AGGREGATE(15,6,(ROW(N_Bedarf!$CE$2:$CE$141)-1)/(--(SEARCH(EA$2,N_Bedarf!$CE$2:$CE$141)&gt;0)),ROW()-2),1),"")</f>
        <v>Klee 4 Nutzungen (&gt;90% Legum.)</v>
      </c>
      <c r="EA109" s="2356"/>
      <c r="EB109" s="2356" t="str">
        <f t="array" ref="EB109">IFERROR(INDEX(N_Bedarf!$CE$2:$CE$141,_xlfn.AGGREGATE(15,6,(ROW(N_Bedarf!$CE$2:$CE$141)-1)/(--(SEARCH(EC$2,N_Bedarf!$CE$2:$CE$141)&gt;0)),ROW()-2),1),"")</f>
        <v>Klee 4 Nutzungen (&gt;90% Legum.)</v>
      </c>
      <c r="EC109" s="2356"/>
      <c r="ED109"/>
      <c r="EE109"/>
      <c r="EF109"/>
      <c r="EG109"/>
      <c r="EH109"/>
      <c r="EI109"/>
      <c r="EJ109"/>
      <c r="EK109"/>
      <c r="EL109"/>
      <c r="EM109"/>
      <c r="EN109"/>
      <c r="EO109"/>
      <c r="EP109"/>
      <c r="EQ109"/>
      <c r="ER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row>
    <row r="110" spans="1:291" ht="21" customHeight="1" thickTop="1" thickBot="1">
      <c r="A110" s="156"/>
      <c r="B110" s="156"/>
      <c r="C110" s="1758" t="s">
        <v>1706</v>
      </c>
      <c r="D110" s="1759" t="s">
        <v>1785</v>
      </c>
      <c r="E110" s="1729">
        <v>110</v>
      </c>
      <c r="F110" s="1760">
        <v>100</v>
      </c>
      <c r="G110" s="1993" t="s">
        <v>1786</v>
      </c>
      <c r="H110" s="1994">
        <v>155</v>
      </c>
      <c r="I110" s="1995">
        <v>140</v>
      </c>
      <c r="J110" s="1759" t="s">
        <v>1787</v>
      </c>
      <c r="K110" s="1729">
        <v>180</v>
      </c>
      <c r="L110" s="1760">
        <v>160</v>
      </c>
      <c r="M110" s="1759" t="s">
        <v>1788</v>
      </c>
      <c r="N110" s="1729">
        <v>195</v>
      </c>
      <c r="O110" s="1760">
        <v>175</v>
      </c>
      <c r="P110" s="1759" t="s">
        <v>1789</v>
      </c>
      <c r="Q110" s="1729">
        <v>210</v>
      </c>
      <c r="R110" s="1761">
        <v>190</v>
      </c>
      <c r="S110" s="1762">
        <v>130</v>
      </c>
      <c r="T110" s="1729">
        <v>130</v>
      </c>
      <c r="U110" s="1760">
        <v>130</v>
      </c>
      <c r="V110" s="1759">
        <v>105</v>
      </c>
      <c r="W110" s="1729">
        <v>105</v>
      </c>
      <c r="X110" s="1760">
        <v>105</v>
      </c>
      <c r="Y110" s="2009">
        <v>75</v>
      </c>
      <c r="Z110" s="2010">
        <v>85</v>
      </c>
      <c r="AA110" s="2011">
        <v>100</v>
      </c>
      <c r="AB110" s="1871" t="s">
        <v>1388</v>
      </c>
      <c r="AC110" s="1763" t="s">
        <v>1389</v>
      </c>
      <c r="AD110" s="1762">
        <v>300</v>
      </c>
      <c r="AE110" s="1729">
        <v>300</v>
      </c>
      <c r="AF110" s="1760">
        <v>300</v>
      </c>
      <c r="AG110" s="1759">
        <v>250</v>
      </c>
      <c r="AH110" s="1729">
        <v>250</v>
      </c>
      <c r="AI110" s="1760">
        <v>250</v>
      </c>
      <c r="AJ110" s="2009">
        <v>180</v>
      </c>
      <c r="AK110" s="2010">
        <v>200</v>
      </c>
      <c r="AL110" s="2011">
        <v>230</v>
      </c>
      <c r="AM110" s="1871" t="s">
        <v>1390</v>
      </c>
      <c r="AN110" s="1763" t="s">
        <v>1389</v>
      </c>
      <c r="AO110" s="156"/>
      <c r="AP110" s="156"/>
      <c r="AX110" s="1722" t="s">
        <v>1914</v>
      </c>
      <c r="AY110" s="681">
        <v>40</v>
      </c>
      <c r="AZ110" s="681">
        <v>40</v>
      </c>
      <c r="BA110" s="681" t="s">
        <v>2696</v>
      </c>
      <c r="BB110" s="681">
        <v>40</v>
      </c>
      <c r="BC110" s="681">
        <v>40</v>
      </c>
      <c r="BD110" s="681" t="s">
        <v>2739</v>
      </c>
      <c r="BE110" s="681">
        <v>40</v>
      </c>
      <c r="BF110" s="681">
        <v>40</v>
      </c>
      <c r="BG110" s="681" t="s">
        <v>2584</v>
      </c>
      <c r="BH110" s="681">
        <v>40</v>
      </c>
      <c r="BI110" s="681">
        <v>40</v>
      </c>
      <c r="BJ110" s="681" t="s">
        <v>2584</v>
      </c>
      <c r="BK110" s="681">
        <v>40</v>
      </c>
      <c r="BL110" s="681">
        <v>40</v>
      </c>
      <c r="BM110" s="681" t="s">
        <v>2584</v>
      </c>
      <c r="BN110" s="471">
        <v>0</v>
      </c>
      <c r="BO110" s="821">
        <v>40</v>
      </c>
      <c r="BP110"/>
      <c r="BQ110" s="1722" t="s">
        <v>1914</v>
      </c>
      <c r="BR110" s="470">
        <v>45</v>
      </c>
      <c r="BS110" s="470">
        <v>65</v>
      </c>
      <c r="BT110" s="470">
        <v>80</v>
      </c>
      <c r="BU110" s="1590"/>
      <c r="BV110" s="1722" t="s">
        <v>1914</v>
      </c>
      <c r="BW110" s="470">
        <v>130</v>
      </c>
      <c r="BX110" s="470">
        <v>170</v>
      </c>
      <c r="BY110" s="470">
        <v>215</v>
      </c>
      <c r="BZ110" s="1588"/>
      <c r="CA110" s="429"/>
      <c r="CB110"/>
      <c r="CC110"/>
      <c r="CD110"/>
      <c r="CE110" s="2310" t="s">
        <v>1917</v>
      </c>
      <c r="CF110" s="1834" t="str">
        <f>IFERROR(INDEX(N_Bedarf!$CE$2:$CE$141,_xlfn.AGGREGATE(15,6,(ROW(N_Bedarf!$CE$2:$CE$141)-1)/(--(SEARCH(CG$2,N_Bedarf!$CE$2:$CE$141)&gt;0)),ROW()-2),1),"")</f>
        <v>Klee 5 Nutzungen (&gt;90% Legum.)</v>
      </c>
      <c r="CG110" s="1836"/>
      <c r="CH110" s="1834" t="str">
        <f>IFERROR(INDEX(N_Bedarf!$CE$2:$CE$141,_xlfn.AGGREGATE(15,6,(ROW(N_Bedarf!$CE$2:$CE$141)-1)/(--(SEARCH(CI$2,N_Bedarf!$CE$2:$CE$141)&gt;0)),ROW()-2),1),"")</f>
        <v>Klee 5 Nutzungen (&gt;90% Legum.)</v>
      </c>
      <c r="CI110" s="1836"/>
      <c r="CJ110" s="1834" t="str">
        <f>IFERROR(INDEX(N_Bedarf!$CE$2:$CE$141,_xlfn.AGGREGATE(15,6,(ROW(N_Bedarf!$CE$2:$CE$141)-1)/(--(SEARCH(CK$2,N_Bedarf!$CE$2:$CE$141)&gt;0)),ROW()-2),1),"")</f>
        <v>Klee 5 Nutzungen (&gt;90% Legum.)</v>
      </c>
      <c r="CK110" s="1836"/>
      <c r="CL110" s="1834" t="str">
        <f>IFERROR(INDEX(N_Bedarf!$CE$2:$CE$141,_xlfn.AGGREGATE(15,6,(ROW(N_Bedarf!$CE$2:$CE$141)-1)/(--(SEARCH(CM$2,N_Bedarf!$CE$2:$CE$141)&gt;0)),ROW()-2),1),"")</f>
        <v>Klee 5 Nutzungen (&gt;90% Legum.)</v>
      </c>
      <c r="CM110" s="1836"/>
      <c r="CN110" s="1834" t="str">
        <f>IFERROR(INDEX(N_Bedarf!$CE$2:$CE$141,_xlfn.AGGREGATE(15,6,(ROW(N_Bedarf!$CE$2:$CE$141)-1)/(--(SEARCH(CO$2,N_Bedarf!$CE$2:$CE$141)&gt;0)),ROW()-2),1),"")</f>
        <v>Klee 5 Nutzungen (&gt;90% Legum.)</v>
      </c>
      <c r="CO110" s="1836"/>
      <c r="CP110" s="1834" t="str">
        <f>IFERROR(INDEX(N_Bedarf!$CE$2:$CE$141,_xlfn.AGGREGATE(15,6,(ROW(N_Bedarf!$CE$2:$CE$141)-1)/(--(SEARCH(CQ$2,N_Bedarf!$CE$2:$CE$141)&gt;0)),ROW()-2),1),"")</f>
        <v>Klee 5 Nutzungen (&gt;90% Legum.)</v>
      </c>
      <c r="CQ110" s="1836"/>
      <c r="CR110" s="1834" t="str">
        <f>IFERROR(INDEX(N_Bedarf!$CE$2:$CE$141,_xlfn.AGGREGATE(15,6,(ROW(N_Bedarf!$CE$2:$CE$141)-1)/(--(SEARCH(CS$2,N_Bedarf!$CE$2:$CE$141)&gt;0)),ROW()-2),1),"")</f>
        <v>Klee 5 Nutzungen (&gt;90% Legum.)</v>
      </c>
      <c r="CS110" s="1836"/>
      <c r="CT110" s="1834" t="str">
        <f>IFERROR(INDEX(N_Bedarf!$CE$2:$CE$141,_xlfn.AGGREGATE(15,6,(ROW(N_Bedarf!$CE$2:$CE$141)-1)/(--(SEARCH(CU$2,N_Bedarf!$CE$2:$CE$141)&gt;0)),ROW()-2),1),"")</f>
        <v>Klee 5 Nutzungen (&gt;90% Legum.)</v>
      </c>
      <c r="CU110" s="1836"/>
      <c r="CV110" s="1834" t="str">
        <f>IFERROR(INDEX(N_Bedarf!$CE$2:$CE$141,_xlfn.AGGREGATE(15,6,(ROW(N_Bedarf!$CE$2:$CE$141)-1)/(--(SEARCH(CW$2,N_Bedarf!$CE$2:$CE$141)&gt;0)),ROW()-2),1),"")</f>
        <v>Klee 5 Nutzungen (&gt;90% Legum.)</v>
      </c>
      <c r="CW110" s="1836"/>
      <c r="CX110" s="1834" t="str">
        <f>IFERROR(INDEX(N_Bedarf!$CE$2:$CE$141,_xlfn.AGGREGATE(15,6,(ROW(N_Bedarf!$CE$2:$CE$141)-1)/(--(SEARCH(CY$2,N_Bedarf!$CE$2:$CE$141)&gt;0)),ROW()-2),1),"")</f>
        <v>Klee 5 Nutzungen (&gt;90% Legum.)</v>
      </c>
      <c r="CY110" s="1836"/>
      <c r="CZ110" s="1834" t="str">
        <f>IFERROR(INDEX(N_Bedarf!$CE$2:$CE$141,_xlfn.AGGREGATE(15,6,(ROW(N_Bedarf!$CE$2:$CE$141)-1)/(--(SEARCH(DA$2,N_Bedarf!$CE$2:$CE$141)&gt;0)),ROW()-2),1),"")</f>
        <v>Klee 5 Nutzungen (&gt;90% Legum.)</v>
      </c>
      <c r="DA110" s="1836"/>
      <c r="DB110" s="1834" t="str">
        <f>IFERROR(INDEX(N_Bedarf!$CE$2:$CE$141,_xlfn.AGGREGATE(15,6,(ROW(N_Bedarf!$CE$2:$CE$141)-1)/(--(SEARCH(DC$2,N_Bedarf!$CE$2:$CE$141)&gt;0)),ROW()-2),1),"")</f>
        <v>Klee 5 Nutzungen (&gt;90% Legum.)</v>
      </c>
      <c r="DC110" s="1836"/>
      <c r="DD110" s="1834" t="str">
        <f>IFERROR(INDEX(N_Bedarf!$CE$2:$CE$141,_xlfn.AGGREGATE(15,6,(ROW(N_Bedarf!$CE$2:$CE$141)-1)/(--(SEARCH(DE$2,N_Bedarf!$CE$2:$CE$141)&gt;0)),ROW()-2),1),"")</f>
        <v>Klee 5 Nutzungen (&gt;90% Legum.)</v>
      </c>
      <c r="DE110" s="1836"/>
      <c r="DF110" s="2353" t="str">
        <f t="array" ref="DF110">IFERROR(INDEX(N_Bedarf!$CE$2:$CE$141,_xlfn.AGGREGATE(15,6,(ROW(N_Bedarf!$CE$2:$CE$141)-1)/(--(SEARCH(DG$2,N_Bedarf!$CE$2:$CE$141)&gt;0)),ROW()-2),1),"")</f>
        <v>Klee 5 Nutzungen (&gt;90% Legum.)</v>
      </c>
      <c r="DG110" s="2353"/>
      <c r="DH110" s="2355" t="str">
        <f t="array" ref="DH110">IFERROR(INDEX(N_Bedarf!$CE$2:$CE$141,_xlfn.AGGREGATE(15,6,(ROW(N_Bedarf!$CE$2:$CE$141)-1)/(--(SEARCH(DI$2,N_Bedarf!$CE$2:$CE$141)&gt;0)),ROW()-2),1),"")</f>
        <v>Klee 5 Nutzungen (&gt;90% Legum.)</v>
      </c>
      <c r="DI110" s="2355"/>
      <c r="DJ110" s="2356" t="str">
        <f t="array" ref="DJ110">IFERROR(INDEX(N_Bedarf!$CE$2:$CE$141,_xlfn.AGGREGATE(15,6,(ROW(N_Bedarf!$CE$2:$CE$141)-1)/(--(SEARCH(DK$2,N_Bedarf!$CE$2:$CE$141)&gt;0)),ROW()-2),1),"")</f>
        <v>Klee 5 Nutzungen (&gt;90% Legum.)</v>
      </c>
      <c r="DK110" s="2356"/>
      <c r="DL110" s="2356" t="str">
        <f t="array" ref="DL110">IFERROR(INDEX(N_Bedarf!$CE$2:$CE$141,_xlfn.AGGREGATE(15,6,(ROW(N_Bedarf!$CE$2:$CE$141)-1)/(--(SEARCH(DM$2,N_Bedarf!$CE$2:$CE$141)&gt;0)),ROW()-2),1),"")</f>
        <v>Klee 5 Nutzungen (&gt;90% Legum.)</v>
      </c>
      <c r="DM110" s="2356"/>
      <c r="DN110" s="2356" t="str">
        <f t="array" ref="DN110">IFERROR(INDEX(N_Bedarf!$CE$2:$CE$141,_xlfn.AGGREGATE(15,6,(ROW(N_Bedarf!$CE$2:$CE$141)-1)/(--(SEARCH(DO$2,N_Bedarf!$CE$2:$CE$141)&gt;0)),ROW()-2),1),"")</f>
        <v>Klee 5 Nutzungen (&gt;90% Legum.)</v>
      </c>
      <c r="DO110" s="2356"/>
      <c r="DP110" s="2356" t="str">
        <f t="array" ref="DP110">IFERROR(INDEX(N_Bedarf!$CE$2:$CE$141,_xlfn.AGGREGATE(15,6,(ROW(N_Bedarf!$CE$2:$CE$141)-1)/(--(SEARCH(DQ$2,N_Bedarf!$CE$2:$CE$141)&gt;0)),ROW()-2),1),"")</f>
        <v>Klee 5 Nutzungen (&gt;90% Legum.)</v>
      </c>
      <c r="DQ110" s="2356"/>
      <c r="DR110" s="2356" t="str">
        <f t="array" ref="DR110">IFERROR(INDEX(N_Bedarf!$CE$2:$CE$141,_xlfn.AGGREGATE(15,6,(ROW(N_Bedarf!$CE$2:$CE$141)-1)/(--(SEARCH(DS$2,N_Bedarf!$CE$2:$CE$141)&gt;0)),ROW()-2),1),"")</f>
        <v>Klee 5 Nutzungen (&gt;90% Legum.)</v>
      </c>
      <c r="DS110" s="2356"/>
      <c r="DT110" s="2356" t="str">
        <f t="array" ref="DT110">IFERROR(INDEX(N_Bedarf!$CE$2:$CE$141,_xlfn.AGGREGATE(15,6,(ROW(N_Bedarf!$CE$2:$CE$141)-1)/(--(SEARCH(DU$2,N_Bedarf!$CE$2:$CE$141)&gt;0)),ROW()-2),1),"")</f>
        <v>Klee 5 Nutzungen (&gt;90% Legum.)</v>
      </c>
      <c r="DU110" s="2356"/>
      <c r="DV110" s="2356" t="str">
        <f t="array" ref="DV110">IFERROR(INDEX(N_Bedarf!$CE$2:$CE$141,_xlfn.AGGREGATE(15,6,(ROW(N_Bedarf!$CE$2:$CE$141)-1)/(--(SEARCH(DW$2,N_Bedarf!$CE$2:$CE$141)&gt;0)),ROW()-2),1),"")</f>
        <v>Klee 5 Nutzungen (&gt;90% Legum.)</v>
      </c>
      <c r="DW110" s="2356"/>
      <c r="DX110" s="2356" t="str">
        <f t="array" ref="DX110">IFERROR(INDEX(N_Bedarf!$CE$2:$CE$141,_xlfn.AGGREGATE(15,6,(ROW(N_Bedarf!$CE$2:$CE$141)-1)/(--(SEARCH(DY$2,N_Bedarf!$CE$2:$CE$141)&gt;0)),ROW()-2),1),"")</f>
        <v>Klee 5 Nutzungen (&gt;90% Legum.)</v>
      </c>
      <c r="DY110" s="2356"/>
      <c r="DZ110" s="2356" t="str">
        <f t="array" ref="DZ110">IFERROR(INDEX(N_Bedarf!$CE$2:$CE$141,_xlfn.AGGREGATE(15,6,(ROW(N_Bedarf!$CE$2:$CE$141)-1)/(--(SEARCH(EA$2,N_Bedarf!$CE$2:$CE$141)&gt;0)),ROW()-2),1),"")</f>
        <v>Klee 5 Nutzungen (&gt;90% Legum.)</v>
      </c>
      <c r="EA110" s="2356"/>
      <c r="EB110" s="2356" t="str">
        <f t="array" ref="EB110">IFERROR(INDEX(N_Bedarf!$CE$2:$CE$141,_xlfn.AGGREGATE(15,6,(ROW(N_Bedarf!$CE$2:$CE$141)-1)/(--(SEARCH(EC$2,N_Bedarf!$CE$2:$CE$141)&gt;0)),ROW()-2),1),"")</f>
        <v>Klee 5 Nutzungen (&gt;90% Legum.)</v>
      </c>
      <c r="EC110" s="2356"/>
      <c r="ED110"/>
      <c r="EE110"/>
      <c r="EF110"/>
      <c r="EG110"/>
      <c r="EH110"/>
      <c r="EI110"/>
      <c r="EJ110"/>
      <c r="EK110"/>
      <c r="EL110"/>
      <c r="EM110"/>
      <c r="EN110"/>
      <c r="EO110"/>
      <c r="EP110"/>
      <c r="EQ110"/>
      <c r="ER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row>
    <row r="111" spans="1:291" ht="21" customHeight="1" thickTop="1" thickBot="1">
      <c r="A111" s="156"/>
      <c r="B111" s="156"/>
      <c r="C111" s="1758" t="s">
        <v>24</v>
      </c>
      <c r="D111" s="1759" t="s">
        <v>714</v>
      </c>
      <c r="E111" s="1729">
        <v>110</v>
      </c>
      <c r="F111" s="1760">
        <v>95</v>
      </c>
      <c r="G111" s="1993" t="s">
        <v>714</v>
      </c>
      <c r="H111" s="1994">
        <v>110</v>
      </c>
      <c r="I111" s="1995">
        <v>95</v>
      </c>
      <c r="J111" s="1759" t="s">
        <v>714</v>
      </c>
      <c r="K111" s="1729">
        <v>110</v>
      </c>
      <c r="L111" s="1760">
        <v>95</v>
      </c>
      <c r="M111" s="1759" t="s">
        <v>714</v>
      </c>
      <c r="N111" s="1729">
        <v>110</v>
      </c>
      <c r="O111" s="1760">
        <v>95</v>
      </c>
      <c r="P111" s="1759" t="s">
        <v>714</v>
      </c>
      <c r="Q111" s="1729">
        <v>110</v>
      </c>
      <c r="R111" s="1761">
        <v>95</v>
      </c>
      <c r="S111" s="1762">
        <v>115</v>
      </c>
      <c r="T111" s="1729">
        <v>115</v>
      </c>
      <c r="U111" s="1760">
        <v>115</v>
      </c>
      <c r="V111" s="1759">
        <v>95</v>
      </c>
      <c r="W111" s="1729">
        <v>95</v>
      </c>
      <c r="X111" s="1760">
        <v>95</v>
      </c>
      <c r="Y111" s="2009">
        <v>75</v>
      </c>
      <c r="Z111" s="2010">
        <v>85</v>
      </c>
      <c r="AA111" s="2011">
        <v>100</v>
      </c>
      <c r="AB111" s="1871" t="s">
        <v>1388</v>
      </c>
      <c r="AC111" s="1763" t="s">
        <v>714</v>
      </c>
      <c r="AD111" s="1762">
        <v>300</v>
      </c>
      <c r="AE111" s="1729">
        <v>300</v>
      </c>
      <c r="AF111" s="1760">
        <v>300</v>
      </c>
      <c r="AG111" s="1759">
        <v>250</v>
      </c>
      <c r="AH111" s="1729">
        <v>250</v>
      </c>
      <c r="AI111" s="1760">
        <v>250</v>
      </c>
      <c r="AJ111" s="2009">
        <v>180</v>
      </c>
      <c r="AK111" s="2010">
        <v>200</v>
      </c>
      <c r="AL111" s="2011">
        <v>230</v>
      </c>
      <c r="AM111" s="1871" t="s">
        <v>1390</v>
      </c>
      <c r="AN111" s="1763" t="s">
        <v>714</v>
      </c>
      <c r="AO111" s="156"/>
      <c r="AP111" s="156"/>
      <c r="AX111" s="1722" t="s">
        <v>1915</v>
      </c>
      <c r="AY111" s="681">
        <v>40</v>
      </c>
      <c r="AZ111" s="681">
        <v>40</v>
      </c>
      <c r="BA111" s="681" t="s">
        <v>2697</v>
      </c>
      <c r="BB111" s="681">
        <v>40</v>
      </c>
      <c r="BC111" s="681">
        <v>40</v>
      </c>
      <c r="BD111" s="681" t="s">
        <v>588</v>
      </c>
      <c r="BE111" s="681">
        <v>40</v>
      </c>
      <c r="BF111" s="681">
        <v>40</v>
      </c>
      <c r="BG111" s="681" t="s">
        <v>2585</v>
      </c>
      <c r="BH111" s="681">
        <v>40</v>
      </c>
      <c r="BI111" s="681">
        <v>40</v>
      </c>
      <c r="BJ111" s="681" t="s">
        <v>2585</v>
      </c>
      <c r="BK111" s="681">
        <v>40</v>
      </c>
      <c r="BL111" s="681">
        <v>40</v>
      </c>
      <c r="BM111" s="681" t="s">
        <v>2585</v>
      </c>
      <c r="BN111" s="471">
        <v>0</v>
      </c>
      <c r="BO111" s="821">
        <v>40</v>
      </c>
      <c r="BP111"/>
      <c r="BQ111" s="1722" t="s">
        <v>1915</v>
      </c>
      <c r="BR111" s="470">
        <v>80</v>
      </c>
      <c r="BS111" s="470">
        <v>80</v>
      </c>
      <c r="BT111" s="470">
        <v>90</v>
      </c>
      <c r="BU111" s="1590"/>
      <c r="BV111" s="1722" t="s">
        <v>1915</v>
      </c>
      <c r="BW111" s="470">
        <v>205</v>
      </c>
      <c r="BX111" s="470">
        <v>205</v>
      </c>
      <c r="BY111" s="470">
        <v>260</v>
      </c>
      <c r="BZ111" s="1588"/>
      <c r="CA111" s="429"/>
      <c r="CB111"/>
      <c r="CC111"/>
      <c r="CD111"/>
      <c r="CE111" s="2310" t="s">
        <v>1924</v>
      </c>
      <c r="CF111" s="1834" t="str">
        <f>IFERROR(INDEX(N_Bedarf!$CE$2:$CE$141,_xlfn.AGGREGATE(15,6,(ROW(N_Bedarf!$CE$2:$CE$141)-1)/(--(SEARCH(CG$2,N_Bedarf!$CE$2:$CE$141)&gt;0)),ROW()-2),1),"")</f>
        <v>Klee 6 Nutzungen (&gt;90% Legum.)</v>
      </c>
      <c r="CG111" s="1830"/>
      <c r="CH111" s="1834" t="str">
        <f>IFERROR(INDEX(N_Bedarf!$CE$2:$CE$141,_xlfn.AGGREGATE(15,6,(ROW(N_Bedarf!$CE$2:$CE$141)-1)/(--(SEARCH(CI$2,N_Bedarf!$CE$2:$CE$141)&gt;0)),ROW()-2),1),"")</f>
        <v>Klee 6 Nutzungen (&gt;90% Legum.)</v>
      </c>
      <c r="CI111" s="1830"/>
      <c r="CJ111" s="1834" t="str">
        <f>IFERROR(INDEX(N_Bedarf!$CE$2:$CE$141,_xlfn.AGGREGATE(15,6,(ROW(N_Bedarf!$CE$2:$CE$141)-1)/(--(SEARCH(CK$2,N_Bedarf!$CE$2:$CE$141)&gt;0)),ROW()-2),1),"")</f>
        <v>Klee 6 Nutzungen (&gt;90% Legum.)</v>
      </c>
      <c r="CK111" s="1830"/>
      <c r="CL111" s="1834" t="str">
        <f>IFERROR(INDEX(N_Bedarf!$CE$2:$CE$141,_xlfn.AGGREGATE(15,6,(ROW(N_Bedarf!$CE$2:$CE$141)-1)/(--(SEARCH(CM$2,N_Bedarf!$CE$2:$CE$141)&gt;0)),ROW()-2),1),"")</f>
        <v>Klee 6 Nutzungen (&gt;90% Legum.)</v>
      </c>
      <c r="CM111" s="1830"/>
      <c r="CN111" s="1834" t="str">
        <f>IFERROR(INDEX(N_Bedarf!$CE$2:$CE$141,_xlfn.AGGREGATE(15,6,(ROW(N_Bedarf!$CE$2:$CE$141)-1)/(--(SEARCH(CO$2,N_Bedarf!$CE$2:$CE$141)&gt;0)),ROW()-2),1),"")</f>
        <v>Klee 6 Nutzungen (&gt;90% Legum.)</v>
      </c>
      <c r="CO111" s="1830"/>
      <c r="CP111" s="1834" t="str">
        <f>IFERROR(INDEX(N_Bedarf!$CE$2:$CE$141,_xlfn.AGGREGATE(15,6,(ROW(N_Bedarf!$CE$2:$CE$141)-1)/(--(SEARCH(CQ$2,N_Bedarf!$CE$2:$CE$141)&gt;0)),ROW()-2),1),"")</f>
        <v>Klee 6 Nutzungen (&gt;90% Legum.)</v>
      </c>
      <c r="CQ111" s="1830"/>
      <c r="CR111" s="1834" t="str">
        <f>IFERROR(INDEX(N_Bedarf!$CE$2:$CE$141,_xlfn.AGGREGATE(15,6,(ROW(N_Bedarf!$CE$2:$CE$141)-1)/(--(SEARCH(CS$2,N_Bedarf!$CE$2:$CE$141)&gt;0)),ROW()-2),1),"")</f>
        <v>Klee 6 Nutzungen (&gt;90% Legum.)</v>
      </c>
      <c r="CS111" s="1830"/>
      <c r="CT111" s="1834" t="str">
        <f>IFERROR(INDEX(N_Bedarf!$CE$2:$CE$141,_xlfn.AGGREGATE(15,6,(ROW(N_Bedarf!$CE$2:$CE$141)-1)/(--(SEARCH(CU$2,N_Bedarf!$CE$2:$CE$141)&gt;0)),ROW()-2),1),"")</f>
        <v>Klee 6 Nutzungen (&gt;90% Legum.)</v>
      </c>
      <c r="CU111" s="1830"/>
      <c r="CV111" s="1834" t="str">
        <f>IFERROR(INDEX(N_Bedarf!$CE$2:$CE$141,_xlfn.AGGREGATE(15,6,(ROW(N_Bedarf!$CE$2:$CE$141)-1)/(--(SEARCH(CW$2,N_Bedarf!$CE$2:$CE$141)&gt;0)),ROW()-2),1),"")</f>
        <v>Klee 6 Nutzungen (&gt;90% Legum.)</v>
      </c>
      <c r="CW111" s="1830"/>
      <c r="CX111" s="1834" t="str">
        <f>IFERROR(INDEX(N_Bedarf!$CE$2:$CE$141,_xlfn.AGGREGATE(15,6,(ROW(N_Bedarf!$CE$2:$CE$141)-1)/(--(SEARCH(CY$2,N_Bedarf!$CE$2:$CE$141)&gt;0)),ROW()-2),1),"")</f>
        <v>Klee 6 Nutzungen (&gt;90% Legum.)</v>
      </c>
      <c r="CY111" s="1830"/>
      <c r="CZ111" s="1834" t="str">
        <f>IFERROR(INDEX(N_Bedarf!$CE$2:$CE$141,_xlfn.AGGREGATE(15,6,(ROW(N_Bedarf!$CE$2:$CE$141)-1)/(--(SEARCH(DA$2,N_Bedarf!$CE$2:$CE$141)&gt;0)),ROW()-2),1),"")</f>
        <v>Klee 6 Nutzungen (&gt;90% Legum.)</v>
      </c>
      <c r="DA111" s="1830"/>
      <c r="DB111" s="1834" t="str">
        <f>IFERROR(INDEX(N_Bedarf!$CE$2:$CE$141,_xlfn.AGGREGATE(15,6,(ROW(N_Bedarf!$CE$2:$CE$141)-1)/(--(SEARCH(DC$2,N_Bedarf!$CE$2:$CE$141)&gt;0)),ROW()-2),1),"")</f>
        <v>Klee 6 Nutzungen (&gt;90% Legum.)</v>
      </c>
      <c r="DC111" s="1830"/>
      <c r="DD111" s="1834" t="str">
        <f>IFERROR(INDEX(N_Bedarf!$CE$2:$CE$141,_xlfn.AGGREGATE(15,6,(ROW(N_Bedarf!$CE$2:$CE$141)-1)/(--(SEARCH(DE$2,N_Bedarf!$CE$2:$CE$141)&gt;0)),ROW()-2),1),"")</f>
        <v>Klee 6 Nutzungen (&gt;90% Legum.)</v>
      </c>
      <c r="DE111" s="1830"/>
      <c r="DF111" s="2353" t="str">
        <f t="array" ref="DF111">IFERROR(INDEX(N_Bedarf!$CE$2:$CE$141,_xlfn.AGGREGATE(15,6,(ROW(N_Bedarf!$CE$2:$CE$141)-1)/(--(SEARCH(DG$2,N_Bedarf!$CE$2:$CE$141)&gt;0)),ROW()-2),1),"")</f>
        <v>Klee 6 Nutzungen (&gt;90% Legum.)</v>
      </c>
      <c r="DG111" s="2353"/>
      <c r="DH111" s="2355" t="str">
        <f t="array" ref="DH111">IFERROR(INDEX(N_Bedarf!$CE$2:$CE$141,_xlfn.AGGREGATE(15,6,(ROW(N_Bedarf!$CE$2:$CE$141)-1)/(--(SEARCH(DI$2,N_Bedarf!$CE$2:$CE$141)&gt;0)),ROW()-2),1),"")</f>
        <v>Klee 6 Nutzungen (&gt;90% Legum.)</v>
      </c>
      <c r="DI111" s="2355"/>
      <c r="DJ111" s="2356" t="str">
        <f t="array" ref="DJ111">IFERROR(INDEX(N_Bedarf!$CE$2:$CE$141,_xlfn.AGGREGATE(15,6,(ROW(N_Bedarf!$CE$2:$CE$141)-1)/(--(SEARCH(DK$2,N_Bedarf!$CE$2:$CE$141)&gt;0)),ROW()-2),1),"")</f>
        <v>Klee 6 Nutzungen (&gt;90% Legum.)</v>
      </c>
      <c r="DK111" s="2356"/>
      <c r="DL111" s="2356" t="str">
        <f t="array" ref="DL111">IFERROR(INDEX(N_Bedarf!$CE$2:$CE$141,_xlfn.AGGREGATE(15,6,(ROW(N_Bedarf!$CE$2:$CE$141)-1)/(--(SEARCH(DM$2,N_Bedarf!$CE$2:$CE$141)&gt;0)),ROW()-2),1),"")</f>
        <v>Klee 6 Nutzungen (&gt;90% Legum.)</v>
      </c>
      <c r="DM111" s="2356"/>
      <c r="DN111" s="2356" t="str">
        <f t="array" ref="DN111">IFERROR(INDEX(N_Bedarf!$CE$2:$CE$141,_xlfn.AGGREGATE(15,6,(ROW(N_Bedarf!$CE$2:$CE$141)-1)/(--(SEARCH(DO$2,N_Bedarf!$CE$2:$CE$141)&gt;0)),ROW()-2),1),"")</f>
        <v>Klee 6 Nutzungen (&gt;90% Legum.)</v>
      </c>
      <c r="DO111" s="2356"/>
      <c r="DP111" s="2356" t="str">
        <f t="array" ref="DP111">IFERROR(INDEX(N_Bedarf!$CE$2:$CE$141,_xlfn.AGGREGATE(15,6,(ROW(N_Bedarf!$CE$2:$CE$141)-1)/(--(SEARCH(DQ$2,N_Bedarf!$CE$2:$CE$141)&gt;0)),ROW()-2),1),"")</f>
        <v>Klee 6 Nutzungen (&gt;90% Legum.)</v>
      </c>
      <c r="DQ111" s="2356"/>
      <c r="DR111" s="2356" t="str">
        <f t="array" ref="DR111">IFERROR(INDEX(N_Bedarf!$CE$2:$CE$141,_xlfn.AGGREGATE(15,6,(ROW(N_Bedarf!$CE$2:$CE$141)-1)/(--(SEARCH(DS$2,N_Bedarf!$CE$2:$CE$141)&gt;0)),ROW()-2),1),"")</f>
        <v>Klee 6 Nutzungen (&gt;90% Legum.)</v>
      </c>
      <c r="DS111" s="2356"/>
      <c r="DT111" s="2356" t="str">
        <f t="array" ref="DT111">IFERROR(INDEX(N_Bedarf!$CE$2:$CE$141,_xlfn.AGGREGATE(15,6,(ROW(N_Bedarf!$CE$2:$CE$141)-1)/(--(SEARCH(DU$2,N_Bedarf!$CE$2:$CE$141)&gt;0)),ROW()-2),1),"")</f>
        <v>Klee 6 Nutzungen (&gt;90% Legum.)</v>
      </c>
      <c r="DU111" s="2356"/>
      <c r="DV111" s="2356" t="str">
        <f t="array" ref="DV111">IFERROR(INDEX(N_Bedarf!$CE$2:$CE$141,_xlfn.AGGREGATE(15,6,(ROW(N_Bedarf!$CE$2:$CE$141)-1)/(--(SEARCH(DW$2,N_Bedarf!$CE$2:$CE$141)&gt;0)),ROW()-2),1),"")</f>
        <v>Klee 6 Nutzungen (&gt;90% Legum.)</v>
      </c>
      <c r="DW111" s="2356"/>
      <c r="DX111" s="2356" t="str">
        <f t="array" ref="DX111">IFERROR(INDEX(N_Bedarf!$CE$2:$CE$141,_xlfn.AGGREGATE(15,6,(ROW(N_Bedarf!$CE$2:$CE$141)-1)/(--(SEARCH(DY$2,N_Bedarf!$CE$2:$CE$141)&gt;0)),ROW()-2),1),"")</f>
        <v>Klee 6 Nutzungen (&gt;90% Legum.)</v>
      </c>
      <c r="DY111" s="2356"/>
      <c r="DZ111" s="2356" t="str">
        <f t="array" ref="DZ111">IFERROR(INDEX(N_Bedarf!$CE$2:$CE$141,_xlfn.AGGREGATE(15,6,(ROW(N_Bedarf!$CE$2:$CE$141)-1)/(--(SEARCH(EA$2,N_Bedarf!$CE$2:$CE$141)&gt;0)),ROW()-2),1),"")</f>
        <v>Klee 6 Nutzungen (&gt;90% Legum.)</v>
      </c>
      <c r="EA111" s="2356"/>
      <c r="EB111" s="2356" t="str">
        <f t="array" ref="EB111">IFERROR(INDEX(N_Bedarf!$CE$2:$CE$141,_xlfn.AGGREGATE(15,6,(ROW(N_Bedarf!$CE$2:$CE$141)-1)/(--(SEARCH(EC$2,N_Bedarf!$CE$2:$CE$141)&gt;0)),ROW()-2),1),"")</f>
        <v>Klee 6 Nutzungen (&gt;90% Legum.)</v>
      </c>
      <c r="EC111" s="2356"/>
      <c r="ED111"/>
      <c r="EE111"/>
      <c r="EF111"/>
      <c r="EG111"/>
      <c r="EH111"/>
      <c r="EI111"/>
      <c r="EJ111"/>
      <c r="EK111"/>
      <c r="EL111"/>
      <c r="EM111"/>
      <c r="EN111"/>
      <c r="EO111"/>
      <c r="EP111"/>
      <c r="EQ111"/>
      <c r="ER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row>
    <row r="112" spans="1:291" ht="21" customHeight="1" thickTop="1" thickBot="1">
      <c r="A112" s="156"/>
      <c r="B112" s="156"/>
      <c r="C112" s="1758" t="s">
        <v>1707</v>
      </c>
      <c r="D112" s="1759" t="s">
        <v>25</v>
      </c>
      <c r="E112" s="1729">
        <v>80</v>
      </c>
      <c r="F112" s="1760">
        <v>70</v>
      </c>
      <c r="G112" s="1993" t="s">
        <v>6</v>
      </c>
      <c r="H112" s="1994">
        <v>80</v>
      </c>
      <c r="I112" s="1995">
        <v>70</v>
      </c>
      <c r="J112" s="1759" t="s">
        <v>7</v>
      </c>
      <c r="K112" s="1729">
        <v>80</v>
      </c>
      <c r="L112" s="1760">
        <v>70</v>
      </c>
      <c r="M112" s="1759" t="s">
        <v>1792</v>
      </c>
      <c r="N112" s="1729">
        <v>80</v>
      </c>
      <c r="O112" s="1760">
        <v>70</v>
      </c>
      <c r="P112" s="1759" t="s">
        <v>119</v>
      </c>
      <c r="Q112" s="1729">
        <v>80</v>
      </c>
      <c r="R112" s="1761">
        <v>70</v>
      </c>
      <c r="S112" s="1762">
        <v>85</v>
      </c>
      <c r="T112" s="1729">
        <v>85</v>
      </c>
      <c r="U112" s="1760">
        <v>85</v>
      </c>
      <c r="V112" s="1759">
        <v>70</v>
      </c>
      <c r="W112" s="1729">
        <v>70</v>
      </c>
      <c r="X112" s="1760">
        <v>70</v>
      </c>
      <c r="Y112" s="2009">
        <v>50</v>
      </c>
      <c r="Z112" s="2010">
        <v>55</v>
      </c>
      <c r="AA112" s="2011">
        <v>65</v>
      </c>
      <c r="AB112" s="1871" t="s">
        <v>1388</v>
      </c>
      <c r="AC112" s="1763" t="s">
        <v>1389</v>
      </c>
      <c r="AD112" s="1762">
        <v>225</v>
      </c>
      <c r="AE112" s="1729">
        <v>225</v>
      </c>
      <c r="AF112" s="1760">
        <v>225</v>
      </c>
      <c r="AG112" s="1759">
        <v>190</v>
      </c>
      <c r="AH112" s="1729">
        <v>190</v>
      </c>
      <c r="AI112" s="1760">
        <v>190</v>
      </c>
      <c r="AJ112" s="2009">
        <v>135</v>
      </c>
      <c r="AK112" s="2010">
        <v>150</v>
      </c>
      <c r="AL112" s="2011">
        <v>175</v>
      </c>
      <c r="AM112" s="1871" t="s">
        <v>1390</v>
      </c>
      <c r="AN112" s="1763" t="s">
        <v>1389</v>
      </c>
      <c r="AO112" s="156"/>
      <c r="AP112" s="156"/>
      <c r="AX112" s="1722" t="s">
        <v>1916</v>
      </c>
      <c r="AY112" s="681">
        <v>40</v>
      </c>
      <c r="AZ112" s="681">
        <v>40</v>
      </c>
      <c r="BA112" s="681" t="s">
        <v>2698</v>
      </c>
      <c r="BB112" s="681">
        <v>40</v>
      </c>
      <c r="BC112" s="681">
        <v>40</v>
      </c>
      <c r="BD112" s="681" t="s">
        <v>2698</v>
      </c>
      <c r="BE112" s="681">
        <v>40</v>
      </c>
      <c r="BF112" s="681">
        <v>40</v>
      </c>
      <c r="BG112" s="681" t="s">
        <v>2591</v>
      </c>
      <c r="BH112" s="681">
        <v>40</v>
      </c>
      <c r="BI112" s="681">
        <v>40</v>
      </c>
      <c r="BJ112" s="681" t="s">
        <v>2591</v>
      </c>
      <c r="BK112" s="681">
        <v>40</v>
      </c>
      <c r="BL112" s="681">
        <v>40</v>
      </c>
      <c r="BM112" s="681" t="s">
        <v>2591</v>
      </c>
      <c r="BN112" s="471">
        <v>0</v>
      </c>
      <c r="BO112" s="821">
        <v>40</v>
      </c>
      <c r="BP112"/>
      <c r="BQ112" s="1722" t="s">
        <v>1916</v>
      </c>
      <c r="BR112" s="470">
        <v>85</v>
      </c>
      <c r="BS112" s="470">
        <v>85</v>
      </c>
      <c r="BT112" s="470">
        <v>105</v>
      </c>
      <c r="BU112" s="1590"/>
      <c r="BV112" s="1722" t="s">
        <v>1916</v>
      </c>
      <c r="BW112" s="470">
        <v>230</v>
      </c>
      <c r="BX112" s="470">
        <v>230</v>
      </c>
      <c r="BY112" s="470">
        <v>300</v>
      </c>
      <c r="BZ112" s="1588"/>
      <c r="CA112" s="429"/>
      <c r="CB112"/>
      <c r="CC112"/>
      <c r="CD112"/>
      <c r="CE112" s="2310" t="s">
        <v>1925</v>
      </c>
      <c r="CF112" s="1834" t="str">
        <f>IFERROR(INDEX(N_Bedarf!$CE$2:$CE$141,_xlfn.AGGREGATE(15,6,(ROW(N_Bedarf!$CE$2:$CE$141)-1)/(--(SEARCH(CG$2,N_Bedarf!$CE$2:$CE$141)&gt;0)),ROW()-2),1),"")</f>
        <v xml:space="preserve">Luzerne 1 Nutzung (&gt;90% Legum.) </v>
      </c>
      <c r="CG112" s="1836"/>
      <c r="CH112" s="1834" t="str">
        <f>IFERROR(INDEX(N_Bedarf!$CE$2:$CE$141,_xlfn.AGGREGATE(15,6,(ROW(N_Bedarf!$CE$2:$CE$141)-1)/(--(SEARCH(CI$2,N_Bedarf!$CE$2:$CE$141)&gt;0)),ROW()-2),1),"")</f>
        <v xml:space="preserve">Luzerne 1 Nutzung (&gt;90% Legum.) </v>
      </c>
      <c r="CI112" s="1836"/>
      <c r="CJ112" s="1834" t="str">
        <f>IFERROR(INDEX(N_Bedarf!$CE$2:$CE$141,_xlfn.AGGREGATE(15,6,(ROW(N_Bedarf!$CE$2:$CE$141)-1)/(--(SEARCH(CK$2,N_Bedarf!$CE$2:$CE$141)&gt;0)),ROW()-2),1),"")</f>
        <v xml:space="preserve">Luzerne 1 Nutzung (&gt;90% Legum.) </v>
      </c>
      <c r="CK112" s="1836"/>
      <c r="CL112" s="1834" t="str">
        <f>IFERROR(INDEX(N_Bedarf!$CE$2:$CE$141,_xlfn.AGGREGATE(15,6,(ROW(N_Bedarf!$CE$2:$CE$141)-1)/(--(SEARCH(CM$2,N_Bedarf!$CE$2:$CE$141)&gt;0)),ROW()-2),1),"")</f>
        <v xml:space="preserve">Luzerne 1 Nutzung (&gt;90% Legum.) </v>
      </c>
      <c r="CM112" s="1836"/>
      <c r="CN112" s="1834" t="str">
        <f>IFERROR(INDEX(N_Bedarf!$CE$2:$CE$141,_xlfn.AGGREGATE(15,6,(ROW(N_Bedarf!$CE$2:$CE$141)-1)/(--(SEARCH(CO$2,N_Bedarf!$CE$2:$CE$141)&gt;0)),ROW()-2),1),"")</f>
        <v xml:space="preserve">Luzerne 1 Nutzung (&gt;90% Legum.) </v>
      </c>
      <c r="CO112" s="1836"/>
      <c r="CP112" s="1834" t="str">
        <f>IFERROR(INDEX(N_Bedarf!$CE$2:$CE$141,_xlfn.AGGREGATE(15,6,(ROW(N_Bedarf!$CE$2:$CE$141)-1)/(--(SEARCH(CQ$2,N_Bedarf!$CE$2:$CE$141)&gt;0)),ROW()-2),1),"")</f>
        <v xml:space="preserve">Luzerne 1 Nutzung (&gt;90% Legum.) </v>
      </c>
      <c r="CQ112" s="1836"/>
      <c r="CR112" s="1834" t="str">
        <f>IFERROR(INDEX(N_Bedarf!$CE$2:$CE$141,_xlfn.AGGREGATE(15,6,(ROW(N_Bedarf!$CE$2:$CE$141)-1)/(--(SEARCH(CS$2,N_Bedarf!$CE$2:$CE$141)&gt;0)),ROW()-2),1),"")</f>
        <v xml:space="preserve">Luzerne 1 Nutzung (&gt;90% Legum.) </v>
      </c>
      <c r="CS112" s="1836"/>
      <c r="CT112" s="1834" t="str">
        <f>IFERROR(INDEX(N_Bedarf!$CE$2:$CE$141,_xlfn.AGGREGATE(15,6,(ROW(N_Bedarf!$CE$2:$CE$141)-1)/(--(SEARCH(CU$2,N_Bedarf!$CE$2:$CE$141)&gt;0)),ROW()-2),1),"")</f>
        <v xml:space="preserve">Luzerne 1 Nutzung (&gt;90% Legum.) </v>
      </c>
      <c r="CU112" s="1836"/>
      <c r="CV112" s="1834" t="str">
        <f>IFERROR(INDEX(N_Bedarf!$CE$2:$CE$141,_xlfn.AGGREGATE(15,6,(ROW(N_Bedarf!$CE$2:$CE$141)-1)/(--(SEARCH(CW$2,N_Bedarf!$CE$2:$CE$141)&gt;0)),ROW()-2),1),"")</f>
        <v xml:space="preserve">Luzerne 1 Nutzung (&gt;90% Legum.) </v>
      </c>
      <c r="CW112" s="1836"/>
      <c r="CX112" s="1834" t="str">
        <f>IFERROR(INDEX(N_Bedarf!$CE$2:$CE$141,_xlfn.AGGREGATE(15,6,(ROW(N_Bedarf!$CE$2:$CE$141)-1)/(--(SEARCH(CY$2,N_Bedarf!$CE$2:$CE$141)&gt;0)),ROW()-2),1),"")</f>
        <v xml:space="preserve">Luzerne 1 Nutzung (&gt;90% Legum.) </v>
      </c>
      <c r="CY112" s="1836"/>
      <c r="CZ112" s="1834" t="str">
        <f>IFERROR(INDEX(N_Bedarf!$CE$2:$CE$141,_xlfn.AGGREGATE(15,6,(ROW(N_Bedarf!$CE$2:$CE$141)-1)/(--(SEARCH(DA$2,N_Bedarf!$CE$2:$CE$141)&gt;0)),ROW()-2),1),"")</f>
        <v xml:space="preserve">Luzerne 1 Nutzung (&gt;90% Legum.) </v>
      </c>
      <c r="DA112" s="1836"/>
      <c r="DB112" s="1834" t="str">
        <f>IFERROR(INDEX(N_Bedarf!$CE$2:$CE$141,_xlfn.AGGREGATE(15,6,(ROW(N_Bedarf!$CE$2:$CE$141)-1)/(--(SEARCH(DC$2,N_Bedarf!$CE$2:$CE$141)&gt;0)),ROW()-2),1),"")</f>
        <v xml:space="preserve">Luzerne 1 Nutzung (&gt;90% Legum.) </v>
      </c>
      <c r="DC112" s="1836"/>
      <c r="DD112" s="1834" t="str">
        <f>IFERROR(INDEX(N_Bedarf!$CE$2:$CE$141,_xlfn.AGGREGATE(15,6,(ROW(N_Bedarf!$CE$2:$CE$141)-1)/(--(SEARCH(DE$2,N_Bedarf!$CE$2:$CE$141)&gt;0)),ROW()-2),1),"")</f>
        <v xml:space="preserve">Luzerne 1 Nutzung (&gt;90% Legum.) </v>
      </c>
      <c r="DE112" s="1836"/>
      <c r="DF112" s="2353" t="str">
        <f t="array" ref="DF112">IFERROR(INDEX(N_Bedarf!$CE$2:$CE$141,_xlfn.AGGREGATE(15,6,(ROW(N_Bedarf!$CE$2:$CE$141)-1)/(--(SEARCH(DG$2,N_Bedarf!$CE$2:$CE$141)&gt;0)),ROW()-2),1),"")</f>
        <v xml:space="preserve">Luzerne 1 Nutzung (&gt;90% Legum.) </v>
      </c>
      <c r="DG112" s="2353"/>
      <c r="DH112" s="2355" t="str">
        <f t="array" ref="DH112">IFERROR(INDEX(N_Bedarf!$CE$2:$CE$141,_xlfn.AGGREGATE(15,6,(ROW(N_Bedarf!$CE$2:$CE$141)-1)/(--(SEARCH(DI$2,N_Bedarf!$CE$2:$CE$141)&gt;0)),ROW()-2),1),"")</f>
        <v xml:space="preserve">Luzerne 1 Nutzung (&gt;90% Legum.) </v>
      </c>
      <c r="DI112" s="2355"/>
      <c r="DJ112" s="2356" t="str">
        <f t="array" ref="DJ112">IFERROR(INDEX(N_Bedarf!$CE$2:$CE$141,_xlfn.AGGREGATE(15,6,(ROW(N_Bedarf!$CE$2:$CE$141)-1)/(--(SEARCH(DK$2,N_Bedarf!$CE$2:$CE$141)&gt;0)),ROW()-2),1),"")</f>
        <v xml:space="preserve">Luzerne 1 Nutzung (&gt;90% Legum.) </v>
      </c>
      <c r="DK112" s="2356"/>
      <c r="DL112" s="2356" t="str">
        <f t="array" ref="DL112">IFERROR(INDEX(N_Bedarf!$CE$2:$CE$141,_xlfn.AGGREGATE(15,6,(ROW(N_Bedarf!$CE$2:$CE$141)-1)/(--(SEARCH(DM$2,N_Bedarf!$CE$2:$CE$141)&gt;0)),ROW()-2),1),"")</f>
        <v xml:space="preserve">Luzerne 1 Nutzung (&gt;90% Legum.) </v>
      </c>
      <c r="DM112" s="2356"/>
      <c r="DN112" s="2356" t="str">
        <f t="array" ref="DN112">IFERROR(INDEX(N_Bedarf!$CE$2:$CE$141,_xlfn.AGGREGATE(15,6,(ROW(N_Bedarf!$CE$2:$CE$141)-1)/(--(SEARCH(DO$2,N_Bedarf!$CE$2:$CE$141)&gt;0)),ROW()-2),1),"")</f>
        <v xml:space="preserve">Luzerne 1 Nutzung (&gt;90% Legum.) </v>
      </c>
      <c r="DO112" s="2356"/>
      <c r="DP112" s="2356" t="str">
        <f t="array" ref="DP112">IFERROR(INDEX(N_Bedarf!$CE$2:$CE$141,_xlfn.AGGREGATE(15,6,(ROW(N_Bedarf!$CE$2:$CE$141)-1)/(--(SEARCH(DQ$2,N_Bedarf!$CE$2:$CE$141)&gt;0)),ROW()-2),1),"")</f>
        <v xml:space="preserve">Luzerne 1 Nutzung (&gt;90% Legum.) </v>
      </c>
      <c r="DQ112" s="2356"/>
      <c r="DR112" s="2356" t="str">
        <f t="array" ref="DR112">IFERROR(INDEX(N_Bedarf!$CE$2:$CE$141,_xlfn.AGGREGATE(15,6,(ROW(N_Bedarf!$CE$2:$CE$141)-1)/(--(SEARCH(DS$2,N_Bedarf!$CE$2:$CE$141)&gt;0)),ROW()-2),1),"")</f>
        <v xml:space="preserve">Luzerne 1 Nutzung (&gt;90% Legum.) </v>
      </c>
      <c r="DS112" s="2356"/>
      <c r="DT112" s="2356" t="str">
        <f t="array" ref="DT112">IFERROR(INDEX(N_Bedarf!$CE$2:$CE$141,_xlfn.AGGREGATE(15,6,(ROW(N_Bedarf!$CE$2:$CE$141)-1)/(--(SEARCH(DU$2,N_Bedarf!$CE$2:$CE$141)&gt;0)),ROW()-2),1),"")</f>
        <v xml:space="preserve">Luzerne 1 Nutzung (&gt;90% Legum.) </v>
      </c>
      <c r="DU112" s="2356"/>
      <c r="DV112" s="2356" t="str">
        <f t="array" ref="DV112">IFERROR(INDEX(N_Bedarf!$CE$2:$CE$141,_xlfn.AGGREGATE(15,6,(ROW(N_Bedarf!$CE$2:$CE$141)-1)/(--(SEARCH(DW$2,N_Bedarf!$CE$2:$CE$141)&gt;0)),ROW()-2),1),"")</f>
        <v xml:space="preserve">Luzerne 1 Nutzung (&gt;90% Legum.) </v>
      </c>
      <c r="DW112" s="2356"/>
      <c r="DX112" s="2356" t="str">
        <f t="array" ref="DX112">IFERROR(INDEX(N_Bedarf!$CE$2:$CE$141,_xlfn.AGGREGATE(15,6,(ROW(N_Bedarf!$CE$2:$CE$141)-1)/(--(SEARCH(DY$2,N_Bedarf!$CE$2:$CE$141)&gt;0)),ROW()-2),1),"")</f>
        <v xml:space="preserve">Luzerne 1 Nutzung (&gt;90% Legum.) </v>
      </c>
      <c r="DY112" s="2356"/>
      <c r="DZ112" s="2356" t="str">
        <f t="array" ref="DZ112">IFERROR(INDEX(N_Bedarf!$CE$2:$CE$141,_xlfn.AGGREGATE(15,6,(ROW(N_Bedarf!$CE$2:$CE$141)-1)/(--(SEARCH(EA$2,N_Bedarf!$CE$2:$CE$141)&gt;0)),ROW()-2),1),"")</f>
        <v xml:space="preserve">Luzerne 1 Nutzung (&gt;90% Legum.) </v>
      </c>
      <c r="EA112" s="2356"/>
      <c r="EB112" s="2356" t="str">
        <f t="array" ref="EB112">IFERROR(INDEX(N_Bedarf!$CE$2:$CE$141,_xlfn.AGGREGATE(15,6,(ROW(N_Bedarf!$CE$2:$CE$141)-1)/(--(SEARCH(EC$2,N_Bedarf!$CE$2:$CE$141)&gt;0)),ROW()-2),1),"")</f>
        <v xml:space="preserve">Luzerne 1 Nutzung (&gt;90% Legum.) </v>
      </c>
      <c r="EC112" s="2356"/>
      <c r="ED112"/>
      <c r="EE112"/>
      <c r="EF112"/>
      <c r="EG112"/>
      <c r="EH112"/>
      <c r="EI112"/>
      <c r="EJ112"/>
      <c r="EK112"/>
      <c r="EL112"/>
      <c r="EM112"/>
      <c r="EN112"/>
      <c r="EO112"/>
      <c r="EP112"/>
      <c r="EQ112"/>
      <c r="ER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row>
    <row r="113" spans="1:291" ht="21" customHeight="1" thickTop="1" thickBot="1">
      <c r="A113" s="156"/>
      <c r="B113" s="156"/>
      <c r="C113" s="1758" t="s">
        <v>1295</v>
      </c>
      <c r="D113" s="1759" t="s">
        <v>126</v>
      </c>
      <c r="E113" s="1729">
        <v>65</v>
      </c>
      <c r="F113" s="1760">
        <v>55</v>
      </c>
      <c r="G113" s="1993" t="s">
        <v>127</v>
      </c>
      <c r="H113" s="1994">
        <v>90</v>
      </c>
      <c r="I113" s="1995">
        <v>75</v>
      </c>
      <c r="J113" s="1759" t="s">
        <v>129</v>
      </c>
      <c r="K113" s="1729">
        <v>105</v>
      </c>
      <c r="L113" s="1760">
        <v>90</v>
      </c>
      <c r="M113" s="1759" t="s">
        <v>129</v>
      </c>
      <c r="N113" s="1729">
        <v>105</v>
      </c>
      <c r="O113" s="1760">
        <v>90</v>
      </c>
      <c r="P113" s="1759" t="s">
        <v>129</v>
      </c>
      <c r="Q113" s="1729">
        <v>105</v>
      </c>
      <c r="R113" s="1761">
        <v>90</v>
      </c>
      <c r="S113" s="1762">
        <v>75</v>
      </c>
      <c r="T113" s="1729">
        <v>75</v>
      </c>
      <c r="U113" s="1760">
        <v>75</v>
      </c>
      <c r="V113" s="1759">
        <v>65</v>
      </c>
      <c r="W113" s="1729">
        <v>65</v>
      </c>
      <c r="X113" s="1760">
        <v>65</v>
      </c>
      <c r="Y113" s="2009">
        <v>45</v>
      </c>
      <c r="Z113" s="2010">
        <v>50</v>
      </c>
      <c r="AA113" s="2011">
        <v>65</v>
      </c>
      <c r="AB113" s="1871" t="s">
        <v>1388</v>
      </c>
      <c r="AC113" s="1763" t="s">
        <v>1389</v>
      </c>
      <c r="AD113" s="1762">
        <v>270</v>
      </c>
      <c r="AE113" s="1729">
        <v>270</v>
      </c>
      <c r="AF113" s="1760">
        <v>270</v>
      </c>
      <c r="AG113" s="1759">
        <v>225</v>
      </c>
      <c r="AH113" s="1729">
        <v>225</v>
      </c>
      <c r="AI113" s="1760">
        <v>225</v>
      </c>
      <c r="AJ113" s="2009">
        <v>160</v>
      </c>
      <c r="AK113" s="2010">
        <v>180</v>
      </c>
      <c r="AL113" s="2011">
        <v>205</v>
      </c>
      <c r="AM113" s="1871" t="s">
        <v>1390</v>
      </c>
      <c r="AN113" s="1763" t="s">
        <v>1389</v>
      </c>
      <c r="AO113" s="156"/>
      <c r="AP113" s="156"/>
      <c r="AX113" s="1722" t="s">
        <v>1917</v>
      </c>
      <c r="AY113" s="681">
        <v>40</v>
      </c>
      <c r="AZ113" s="681">
        <v>40</v>
      </c>
      <c r="BA113" s="681" t="s">
        <v>2583</v>
      </c>
      <c r="BB113" s="681">
        <v>40</v>
      </c>
      <c r="BC113" s="681">
        <v>40</v>
      </c>
      <c r="BD113" s="681" t="s">
        <v>2583</v>
      </c>
      <c r="BE113" s="681">
        <v>40</v>
      </c>
      <c r="BF113" s="681">
        <v>40</v>
      </c>
      <c r="BG113" s="681" t="s">
        <v>2583</v>
      </c>
      <c r="BH113" s="681">
        <v>40</v>
      </c>
      <c r="BI113" s="681">
        <v>40</v>
      </c>
      <c r="BJ113" s="681" t="s">
        <v>2583</v>
      </c>
      <c r="BK113" s="681">
        <v>40</v>
      </c>
      <c r="BL113" s="681">
        <v>40</v>
      </c>
      <c r="BM113" s="681" t="s">
        <v>2583</v>
      </c>
      <c r="BN113" s="471">
        <v>0</v>
      </c>
      <c r="BO113" s="821">
        <v>40</v>
      </c>
      <c r="BP113"/>
      <c r="BQ113" s="1722" t="s">
        <v>1917</v>
      </c>
      <c r="BR113" s="470">
        <v>120</v>
      </c>
      <c r="BS113" s="470">
        <v>120</v>
      </c>
      <c r="BT113" s="470">
        <v>120</v>
      </c>
      <c r="BU113" s="1590"/>
      <c r="BV113" s="1722" t="s">
        <v>1917</v>
      </c>
      <c r="BW113" s="470">
        <v>340</v>
      </c>
      <c r="BX113" s="470">
        <v>340</v>
      </c>
      <c r="BY113" s="470">
        <v>340</v>
      </c>
      <c r="BZ113" s="1588"/>
      <c r="CA113" s="429"/>
      <c r="CB113"/>
      <c r="CC113"/>
      <c r="CD113"/>
      <c r="CE113" s="2310" t="s">
        <v>1926</v>
      </c>
      <c r="CF113" s="1834" t="str">
        <f>IFERROR(INDEX(N_Bedarf!$CE$2:$CE$141,_xlfn.AGGREGATE(15,6,(ROW(N_Bedarf!$CE$2:$CE$141)-1)/(--(SEARCH(CG$2,N_Bedarf!$CE$2:$CE$141)&gt;0)),ROW()-2),1),"")</f>
        <v>Luzerne 2 Nutzungen (&gt;90% Legum.)</v>
      </c>
      <c r="CG113" s="1830"/>
      <c r="CH113" s="1834" t="str">
        <f>IFERROR(INDEX(N_Bedarf!$CE$2:$CE$141,_xlfn.AGGREGATE(15,6,(ROW(N_Bedarf!$CE$2:$CE$141)-1)/(--(SEARCH(CI$2,N_Bedarf!$CE$2:$CE$141)&gt;0)),ROW()-2),1),"")</f>
        <v>Luzerne 2 Nutzungen (&gt;90% Legum.)</v>
      </c>
      <c r="CI113" s="1830"/>
      <c r="CJ113" s="1834" t="str">
        <f>IFERROR(INDEX(N_Bedarf!$CE$2:$CE$141,_xlfn.AGGREGATE(15,6,(ROW(N_Bedarf!$CE$2:$CE$141)-1)/(--(SEARCH(CK$2,N_Bedarf!$CE$2:$CE$141)&gt;0)),ROW()-2),1),"")</f>
        <v>Luzerne 2 Nutzungen (&gt;90% Legum.)</v>
      </c>
      <c r="CK113" s="1830"/>
      <c r="CL113" s="1834" t="str">
        <f>IFERROR(INDEX(N_Bedarf!$CE$2:$CE$141,_xlfn.AGGREGATE(15,6,(ROW(N_Bedarf!$CE$2:$CE$141)-1)/(--(SEARCH(CM$2,N_Bedarf!$CE$2:$CE$141)&gt;0)),ROW()-2),1),"")</f>
        <v>Luzerne 2 Nutzungen (&gt;90% Legum.)</v>
      </c>
      <c r="CM113" s="1830"/>
      <c r="CN113" s="1834" t="str">
        <f>IFERROR(INDEX(N_Bedarf!$CE$2:$CE$141,_xlfn.AGGREGATE(15,6,(ROW(N_Bedarf!$CE$2:$CE$141)-1)/(--(SEARCH(CO$2,N_Bedarf!$CE$2:$CE$141)&gt;0)),ROW()-2),1),"")</f>
        <v>Luzerne 2 Nutzungen (&gt;90% Legum.)</v>
      </c>
      <c r="CO113" s="1830"/>
      <c r="CP113" s="1834" t="str">
        <f>IFERROR(INDEX(N_Bedarf!$CE$2:$CE$141,_xlfn.AGGREGATE(15,6,(ROW(N_Bedarf!$CE$2:$CE$141)-1)/(--(SEARCH(CQ$2,N_Bedarf!$CE$2:$CE$141)&gt;0)),ROW()-2),1),"")</f>
        <v>Luzerne 2 Nutzungen (&gt;90% Legum.)</v>
      </c>
      <c r="CQ113" s="1830"/>
      <c r="CR113" s="1834" t="str">
        <f>IFERROR(INDEX(N_Bedarf!$CE$2:$CE$141,_xlfn.AGGREGATE(15,6,(ROW(N_Bedarf!$CE$2:$CE$141)-1)/(--(SEARCH(CS$2,N_Bedarf!$CE$2:$CE$141)&gt;0)),ROW()-2),1),"")</f>
        <v>Luzerne 2 Nutzungen (&gt;90% Legum.)</v>
      </c>
      <c r="CS113" s="1830"/>
      <c r="CT113" s="1834" t="str">
        <f>IFERROR(INDEX(N_Bedarf!$CE$2:$CE$141,_xlfn.AGGREGATE(15,6,(ROW(N_Bedarf!$CE$2:$CE$141)-1)/(--(SEARCH(CU$2,N_Bedarf!$CE$2:$CE$141)&gt;0)),ROW()-2),1),"")</f>
        <v>Luzerne 2 Nutzungen (&gt;90% Legum.)</v>
      </c>
      <c r="CU113" s="1830"/>
      <c r="CV113" s="1834" t="str">
        <f>IFERROR(INDEX(N_Bedarf!$CE$2:$CE$141,_xlfn.AGGREGATE(15,6,(ROW(N_Bedarf!$CE$2:$CE$141)-1)/(--(SEARCH(CW$2,N_Bedarf!$CE$2:$CE$141)&gt;0)),ROW()-2),1),"")</f>
        <v>Luzerne 2 Nutzungen (&gt;90% Legum.)</v>
      </c>
      <c r="CW113" s="1830"/>
      <c r="CX113" s="1834" t="str">
        <f>IFERROR(INDEX(N_Bedarf!$CE$2:$CE$141,_xlfn.AGGREGATE(15,6,(ROW(N_Bedarf!$CE$2:$CE$141)-1)/(--(SEARCH(CY$2,N_Bedarf!$CE$2:$CE$141)&gt;0)),ROW()-2),1),"")</f>
        <v>Luzerne 2 Nutzungen (&gt;90% Legum.)</v>
      </c>
      <c r="CY113" s="1830"/>
      <c r="CZ113" s="1834" t="str">
        <f>IFERROR(INDEX(N_Bedarf!$CE$2:$CE$141,_xlfn.AGGREGATE(15,6,(ROW(N_Bedarf!$CE$2:$CE$141)-1)/(--(SEARCH(DA$2,N_Bedarf!$CE$2:$CE$141)&gt;0)),ROW()-2),1),"")</f>
        <v>Luzerne 2 Nutzungen (&gt;90% Legum.)</v>
      </c>
      <c r="DA113" s="1830"/>
      <c r="DB113" s="1834" t="str">
        <f>IFERROR(INDEX(N_Bedarf!$CE$2:$CE$141,_xlfn.AGGREGATE(15,6,(ROW(N_Bedarf!$CE$2:$CE$141)-1)/(--(SEARCH(DC$2,N_Bedarf!$CE$2:$CE$141)&gt;0)),ROW()-2),1),"")</f>
        <v>Luzerne 2 Nutzungen (&gt;90% Legum.)</v>
      </c>
      <c r="DC113" s="1830"/>
      <c r="DD113" s="1834" t="str">
        <f>IFERROR(INDEX(N_Bedarf!$CE$2:$CE$141,_xlfn.AGGREGATE(15,6,(ROW(N_Bedarf!$CE$2:$CE$141)-1)/(--(SEARCH(DE$2,N_Bedarf!$CE$2:$CE$141)&gt;0)),ROW()-2),1),"")</f>
        <v>Luzerne 2 Nutzungen (&gt;90% Legum.)</v>
      </c>
      <c r="DE113" s="1830"/>
      <c r="DF113" s="2353" t="str">
        <f t="array" ref="DF113">IFERROR(INDEX(N_Bedarf!$CE$2:$CE$141,_xlfn.AGGREGATE(15,6,(ROW(N_Bedarf!$CE$2:$CE$141)-1)/(--(SEARCH(DG$2,N_Bedarf!$CE$2:$CE$141)&gt;0)),ROW()-2),1),"")</f>
        <v>Luzerne 2 Nutzungen (&gt;90% Legum.)</v>
      </c>
      <c r="DG113" s="2353"/>
      <c r="DH113" s="2355" t="str">
        <f t="array" ref="DH113">IFERROR(INDEX(N_Bedarf!$CE$2:$CE$141,_xlfn.AGGREGATE(15,6,(ROW(N_Bedarf!$CE$2:$CE$141)-1)/(--(SEARCH(DI$2,N_Bedarf!$CE$2:$CE$141)&gt;0)),ROW()-2),1),"")</f>
        <v>Luzerne 2 Nutzungen (&gt;90% Legum.)</v>
      </c>
      <c r="DI113" s="2355"/>
      <c r="DJ113" s="2356" t="str">
        <f t="array" ref="DJ113">IFERROR(INDEX(N_Bedarf!$CE$2:$CE$141,_xlfn.AGGREGATE(15,6,(ROW(N_Bedarf!$CE$2:$CE$141)-1)/(--(SEARCH(DK$2,N_Bedarf!$CE$2:$CE$141)&gt;0)),ROW()-2),1),"")</f>
        <v>Luzerne 2 Nutzungen (&gt;90% Legum.)</v>
      </c>
      <c r="DK113" s="2356"/>
      <c r="DL113" s="2356" t="str">
        <f t="array" ref="DL113">IFERROR(INDEX(N_Bedarf!$CE$2:$CE$141,_xlfn.AGGREGATE(15,6,(ROW(N_Bedarf!$CE$2:$CE$141)-1)/(--(SEARCH(DM$2,N_Bedarf!$CE$2:$CE$141)&gt;0)),ROW()-2),1),"")</f>
        <v>Luzerne 2 Nutzungen (&gt;90% Legum.)</v>
      </c>
      <c r="DM113" s="2356"/>
      <c r="DN113" s="2356" t="str">
        <f t="array" ref="DN113">IFERROR(INDEX(N_Bedarf!$CE$2:$CE$141,_xlfn.AGGREGATE(15,6,(ROW(N_Bedarf!$CE$2:$CE$141)-1)/(--(SEARCH(DO$2,N_Bedarf!$CE$2:$CE$141)&gt;0)),ROW()-2),1),"")</f>
        <v>Luzerne 2 Nutzungen (&gt;90% Legum.)</v>
      </c>
      <c r="DO113" s="2356"/>
      <c r="DP113" s="2356" t="str">
        <f t="array" ref="DP113">IFERROR(INDEX(N_Bedarf!$CE$2:$CE$141,_xlfn.AGGREGATE(15,6,(ROW(N_Bedarf!$CE$2:$CE$141)-1)/(--(SEARCH(DQ$2,N_Bedarf!$CE$2:$CE$141)&gt;0)),ROW()-2),1),"")</f>
        <v>Luzerne 2 Nutzungen (&gt;90% Legum.)</v>
      </c>
      <c r="DQ113" s="2356"/>
      <c r="DR113" s="2356" t="str">
        <f t="array" ref="DR113">IFERROR(INDEX(N_Bedarf!$CE$2:$CE$141,_xlfn.AGGREGATE(15,6,(ROW(N_Bedarf!$CE$2:$CE$141)-1)/(--(SEARCH(DS$2,N_Bedarf!$CE$2:$CE$141)&gt;0)),ROW()-2),1),"")</f>
        <v>Luzerne 2 Nutzungen (&gt;90% Legum.)</v>
      </c>
      <c r="DS113" s="2356"/>
      <c r="DT113" s="2356" t="str">
        <f t="array" ref="DT113">IFERROR(INDEX(N_Bedarf!$CE$2:$CE$141,_xlfn.AGGREGATE(15,6,(ROW(N_Bedarf!$CE$2:$CE$141)-1)/(--(SEARCH(DU$2,N_Bedarf!$CE$2:$CE$141)&gt;0)),ROW()-2),1),"")</f>
        <v>Luzerne 2 Nutzungen (&gt;90% Legum.)</v>
      </c>
      <c r="DU113" s="2356"/>
      <c r="DV113" s="2356" t="str">
        <f t="array" ref="DV113">IFERROR(INDEX(N_Bedarf!$CE$2:$CE$141,_xlfn.AGGREGATE(15,6,(ROW(N_Bedarf!$CE$2:$CE$141)-1)/(--(SEARCH(DW$2,N_Bedarf!$CE$2:$CE$141)&gt;0)),ROW()-2),1),"")</f>
        <v>Luzerne 2 Nutzungen (&gt;90% Legum.)</v>
      </c>
      <c r="DW113" s="2356"/>
      <c r="DX113" s="2356" t="str">
        <f t="array" ref="DX113">IFERROR(INDEX(N_Bedarf!$CE$2:$CE$141,_xlfn.AGGREGATE(15,6,(ROW(N_Bedarf!$CE$2:$CE$141)-1)/(--(SEARCH(DY$2,N_Bedarf!$CE$2:$CE$141)&gt;0)),ROW()-2),1),"")</f>
        <v>Luzerne 2 Nutzungen (&gt;90% Legum.)</v>
      </c>
      <c r="DY113" s="2356"/>
      <c r="DZ113" s="2356" t="str">
        <f t="array" ref="DZ113">IFERROR(INDEX(N_Bedarf!$CE$2:$CE$141,_xlfn.AGGREGATE(15,6,(ROW(N_Bedarf!$CE$2:$CE$141)-1)/(--(SEARCH(EA$2,N_Bedarf!$CE$2:$CE$141)&gt;0)),ROW()-2),1),"")</f>
        <v>Luzerne 2 Nutzungen (&gt;90% Legum.)</v>
      </c>
      <c r="EA113" s="2356"/>
      <c r="EB113" s="2356" t="str">
        <f t="array" ref="EB113">IFERROR(INDEX(N_Bedarf!$CE$2:$CE$141,_xlfn.AGGREGATE(15,6,(ROW(N_Bedarf!$CE$2:$CE$141)-1)/(--(SEARCH(EC$2,N_Bedarf!$CE$2:$CE$141)&gt;0)),ROW()-2),1),"")</f>
        <v>Luzerne 2 Nutzungen (&gt;90% Legum.)</v>
      </c>
      <c r="EC113" s="2356"/>
      <c r="ED113"/>
      <c r="EE113"/>
      <c r="EF113"/>
      <c r="EG113"/>
      <c r="EH113"/>
      <c r="EI113"/>
      <c r="EJ113"/>
      <c r="EK113"/>
      <c r="EL113"/>
      <c r="EM113"/>
      <c r="EN113"/>
      <c r="EO113"/>
      <c r="EP113"/>
      <c r="EQ113"/>
      <c r="ER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row>
    <row r="114" spans="1:291" ht="21" customHeight="1" thickTop="1" thickBot="1">
      <c r="A114" s="156"/>
      <c r="B114" s="156"/>
      <c r="C114" s="1758" t="s">
        <v>26</v>
      </c>
      <c r="D114" s="1759" t="s">
        <v>25</v>
      </c>
      <c r="E114" s="1729">
        <v>50</v>
      </c>
      <c r="F114" s="1760">
        <v>45</v>
      </c>
      <c r="G114" s="1993" t="s">
        <v>6</v>
      </c>
      <c r="H114" s="1994">
        <v>50</v>
      </c>
      <c r="I114" s="1995">
        <v>45</v>
      </c>
      <c r="J114" s="1759" t="s">
        <v>7</v>
      </c>
      <c r="K114" s="1729">
        <v>50</v>
      </c>
      <c r="L114" s="1760">
        <v>45</v>
      </c>
      <c r="M114" s="1759" t="s">
        <v>1792</v>
      </c>
      <c r="N114" s="1729">
        <v>50</v>
      </c>
      <c r="O114" s="1760">
        <v>45</v>
      </c>
      <c r="P114" s="1759" t="s">
        <v>119</v>
      </c>
      <c r="Q114" s="1729">
        <v>50</v>
      </c>
      <c r="R114" s="1761">
        <v>45</v>
      </c>
      <c r="S114" s="1762">
        <v>85</v>
      </c>
      <c r="T114" s="1729">
        <v>85</v>
      </c>
      <c r="U114" s="1760">
        <v>85</v>
      </c>
      <c r="V114" s="1759">
        <v>70</v>
      </c>
      <c r="W114" s="1729">
        <v>70</v>
      </c>
      <c r="X114" s="1760">
        <v>70</v>
      </c>
      <c r="Y114" s="2009">
        <v>50</v>
      </c>
      <c r="Z114" s="2010">
        <v>55</v>
      </c>
      <c r="AA114" s="2011">
        <v>65</v>
      </c>
      <c r="AB114" s="1871" t="s">
        <v>1388</v>
      </c>
      <c r="AC114" s="1763" t="s">
        <v>1389</v>
      </c>
      <c r="AD114" s="1762">
        <v>105</v>
      </c>
      <c r="AE114" s="1729">
        <v>105</v>
      </c>
      <c r="AF114" s="1760">
        <v>105</v>
      </c>
      <c r="AG114" s="1759">
        <v>90</v>
      </c>
      <c r="AH114" s="1729">
        <v>90</v>
      </c>
      <c r="AI114" s="1760">
        <v>90</v>
      </c>
      <c r="AJ114" s="2009">
        <v>65</v>
      </c>
      <c r="AK114" s="2010">
        <v>70</v>
      </c>
      <c r="AL114" s="2011">
        <v>80</v>
      </c>
      <c r="AM114" s="1871" t="s">
        <v>1390</v>
      </c>
      <c r="AN114" s="1763" t="s">
        <v>1389</v>
      </c>
      <c r="AO114" s="156"/>
      <c r="AP114" s="156"/>
      <c r="AX114" s="1722" t="s">
        <v>1924</v>
      </c>
      <c r="AY114" s="681">
        <v>40</v>
      </c>
      <c r="AZ114" s="681">
        <v>40</v>
      </c>
      <c r="BA114" s="681" t="s">
        <v>2694</v>
      </c>
      <c r="BB114" s="681">
        <v>40</v>
      </c>
      <c r="BC114" s="681">
        <v>40</v>
      </c>
      <c r="BD114" s="681" t="s">
        <v>2581</v>
      </c>
      <c r="BE114" s="681">
        <v>40</v>
      </c>
      <c r="BF114" s="681">
        <v>40</v>
      </c>
      <c r="BG114" s="681" t="s">
        <v>2581</v>
      </c>
      <c r="BH114" s="681">
        <v>40</v>
      </c>
      <c r="BI114" s="681">
        <v>40</v>
      </c>
      <c r="BJ114" s="681" t="s">
        <v>2581</v>
      </c>
      <c r="BK114" s="681">
        <v>40</v>
      </c>
      <c r="BL114" s="681">
        <v>40</v>
      </c>
      <c r="BM114" s="681" t="s">
        <v>2581</v>
      </c>
      <c r="BN114" s="471">
        <v>0</v>
      </c>
      <c r="BO114" s="821">
        <v>40</v>
      </c>
      <c r="BP114"/>
      <c r="BQ114" s="1722" t="s">
        <v>1924</v>
      </c>
      <c r="BR114" s="470">
        <v>15</v>
      </c>
      <c r="BS114" s="470">
        <v>30</v>
      </c>
      <c r="BT114" s="470">
        <v>30</v>
      </c>
      <c r="BU114" s="1590"/>
      <c r="BV114" s="1722" t="s">
        <v>1924</v>
      </c>
      <c r="BW114" s="470">
        <v>45</v>
      </c>
      <c r="BX114" s="470">
        <v>80</v>
      </c>
      <c r="BY114" s="470">
        <v>80</v>
      </c>
      <c r="BZ114" s="1588"/>
      <c r="CA114" s="429"/>
      <c r="CB114"/>
      <c r="CC114"/>
      <c r="CD114"/>
      <c r="CE114" s="2310" t="s">
        <v>1927</v>
      </c>
      <c r="CF114" s="1834" t="str">
        <f>IFERROR(INDEX(N_Bedarf!$CE$2:$CE$141,_xlfn.AGGREGATE(15,6,(ROW(N_Bedarf!$CE$2:$CE$141)-1)/(--(SEARCH(CG$2,N_Bedarf!$CE$2:$CE$141)&gt;0)),ROW()-2),1),"")</f>
        <v>Luzerne 3 Nutzungen (&gt;90% Legum.)</v>
      </c>
      <c r="CG114" s="1836"/>
      <c r="CH114" s="1834" t="str">
        <f>IFERROR(INDEX(N_Bedarf!$CE$2:$CE$141,_xlfn.AGGREGATE(15,6,(ROW(N_Bedarf!$CE$2:$CE$141)-1)/(--(SEARCH(CI$2,N_Bedarf!$CE$2:$CE$141)&gt;0)),ROW()-2),1),"")</f>
        <v>Luzerne 3 Nutzungen (&gt;90% Legum.)</v>
      </c>
      <c r="CI114" s="1836"/>
      <c r="CJ114" s="1834" t="str">
        <f>IFERROR(INDEX(N_Bedarf!$CE$2:$CE$141,_xlfn.AGGREGATE(15,6,(ROW(N_Bedarf!$CE$2:$CE$141)-1)/(--(SEARCH(CK$2,N_Bedarf!$CE$2:$CE$141)&gt;0)),ROW()-2),1),"")</f>
        <v>Luzerne 3 Nutzungen (&gt;90% Legum.)</v>
      </c>
      <c r="CK114" s="1836"/>
      <c r="CL114" s="1834" t="str">
        <f>IFERROR(INDEX(N_Bedarf!$CE$2:$CE$141,_xlfn.AGGREGATE(15,6,(ROW(N_Bedarf!$CE$2:$CE$141)-1)/(--(SEARCH(CM$2,N_Bedarf!$CE$2:$CE$141)&gt;0)),ROW()-2),1),"")</f>
        <v>Luzerne 3 Nutzungen (&gt;90% Legum.)</v>
      </c>
      <c r="CM114" s="1836"/>
      <c r="CN114" s="1834" t="str">
        <f>IFERROR(INDEX(N_Bedarf!$CE$2:$CE$141,_xlfn.AGGREGATE(15,6,(ROW(N_Bedarf!$CE$2:$CE$141)-1)/(--(SEARCH(CO$2,N_Bedarf!$CE$2:$CE$141)&gt;0)),ROW()-2),1),"")</f>
        <v>Luzerne 3 Nutzungen (&gt;90% Legum.)</v>
      </c>
      <c r="CO114" s="1836"/>
      <c r="CP114" s="1834" t="str">
        <f>IFERROR(INDEX(N_Bedarf!$CE$2:$CE$141,_xlfn.AGGREGATE(15,6,(ROW(N_Bedarf!$CE$2:$CE$141)-1)/(--(SEARCH(CQ$2,N_Bedarf!$CE$2:$CE$141)&gt;0)),ROW()-2),1),"")</f>
        <v>Luzerne 3 Nutzungen (&gt;90% Legum.)</v>
      </c>
      <c r="CQ114" s="1836"/>
      <c r="CR114" s="1834" t="str">
        <f>IFERROR(INDEX(N_Bedarf!$CE$2:$CE$141,_xlfn.AGGREGATE(15,6,(ROW(N_Bedarf!$CE$2:$CE$141)-1)/(--(SEARCH(CS$2,N_Bedarf!$CE$2:$CE$141)&gt;0)),ROW()-2),1),"")</f>
        <v>Luzerne 3 Nutzungen (&gt;90% Legum.)</v>
      </c>
      <c r="CS114" s="1836"/>
      <c r="CT114" s="1834" t="str">
        <f>IFERROR(INDEX(N_Bedarf!$CE$2:$CE$141,_xlfn.AGGREGATE(15,6,(ROW(N_Bedarf!$CE$2:$CE$141)-1)/(--(SEARCH(CU$2,N_Bedarf!$CE$2:$CE$141)&gt;0)),ROW()-2),1),"")</f>
        <v>Luzerne 3 Nutzungen (&gt;90% Legum.)</v>
      </c>
      <c r="CU114" s="1836"/>
      <c r="CV114" s="1834" t="str">
        <f>IFERROR(INDEX(N_Bedarf!$CE$2:$CE$141,_xlfn.AGGREGATE(15,6,(ROW(N_Bedarf!$CE$2:$CE$141)-1)/(--(SEARCH(CW$2,N_Bedarf!$CE$2:$CE$141)&gt;0)),ROW()-2),1),"")</f>
        <v>Luzerne 3 Nutzungen (&gt;90% Legum.)</v>
      </c>
      <c r="CW114" s="1836"/>
      <c r="CX114" s="1834" t="str">
        <f>IFERROR(INDEX(N_Bedarf!$CE$2:$CE$141,_xlfn.AGGREGATE(15,6,(ROW(N_Bedarf!$CE$2:$CE$141)-1)/(--(SEARCH(CY$2,N_Bedarf!$CE$2:$CE$141)&gt;0)),ROW()-2),1),"")</f>
        <v>Luzerne 3 Nutzungen (&gt;90% Legum.)</v>
      </c>
      <c r="CY114" s="1836"/>
      <c r="CZ114" s="1834" t="str">
        <f>IFERROR(INDEX(N_Bedarf!$CE$2:$CE$141,_xlfn.AGGREGATE(15,6,(ROW(N_Bedarf!$CE$2:$CE$141)-1)/(--(SEARCH(DA$2,N_Bedarf!$CE$2:$CE$141)&gt;0)),ROW()-2),1),"")</f>
        <v>Luzerne 3 Nutzungen (&gt;90% Legum.)</v>
      </c>
      <c r="DA114" s="1836"/>
      <c r="DB114" s="1834" t="str">
        <f>IFERROR(INDEX(N_Bedarf!$CE$2:$CE$141,_xlfn.AGGREGATE(15,6,(ROW(N_Bedarf!$CE$2:$CE$141)-1)/(--(SEARCH(DC$2,N_Bedarf!$CE$2:$CE$141)&gt;0)),ROW()-2),1),"")</f>
        <v>Luzerne 3 Nutzungen (&gt;90% Legum.)</v>
      </c>
      <c r="DC114" s="1836"/>
      <c r="DD114" s="1834" t="str">
        <f>IFERROR(INDEX(N_Bedarf!$CE$2:$CE$141,_xlfn.AGGREGATE(15,6,(ROW(N_Bedarf!$CE$2:$CE$141)-1)/(--(SEARCH(DE$2,N_Bedarf!$CE$2:$CE$141)&gt;0)),ROW()-2),1),"")</f>
        <v>Luzerne 3 Nutzungen (&gt;90% Legum.)</v>
      </c>
      <c r="DE114" s="1836"/>
      <c r="DF114" s="2353" t="str">
        <f t="array" ref="DF114">IFERROR(INDEX(N_Bedarf!$CE$2:$CE$141,_xlfn.AGGREGATE(15,6,(ROW(N_Bedarf!$CE$2:$CE$141)-1)/(--(SEARCH(DG$2,N_Bedarf!$CE$2:$CE$141)&gt;0)),ROW()-2),1),"")</f>
        <v>Luzerne 3 Nutzungen (&gt;90% Legum.)</v>
      </c>
      <c r="DG114" s="2353"/>
      <c r="DH114" s="2355" t="str">
        <f t="array" ref="DH114">IFERROR(INDEX(N_Bedarf!$CE$2:$CE$141,_xlfn.AGGREGATE(15,6,(ROW(N_Bedarf!$CE$2:$CE$141)-1)/(--(SEARCH(DI$2,N_Bedarf!$CE$2:$CE$141)&gt;0)),ROW()-2),1),"")</f>
        <v>Luzerne 3 Nutzungen (&gt;90% Legum.)</v>
      </c>
      <c r="DI114" s="2355"/>
      <c r="DJ114" s="2356" t="str">
        <f t="array" ref="DJ114">IFERROR(INDEX(N_Bedarf!$CE$2:$CE$141,_xlfn.AGGREGATE(15,6,(ROW(N_Bedarf!$CE$2:$CE$141)-1)/(--(SEARCH(DK$2,N_Bedarf!$CE$2:$CE$141)&gt;0)),ROW()-2),1),"")</f>
        <v>Luzerne 3 Nutzungen (&gt;90% Legum.)</v>
      </c>
      <c r="DK114" s="2356"/>
      <c r="DL114" s="2356" t="str">
        <f t="array" ref="DL114">IFERROR(INDEX(N_Bedarf!$CE$2:$CE$141,_xlfn.AGGREGATE(15,6,(ROW(N_Bedarf!$CE$2:$CE$141)-1)/(--(SEARCH(DM$2,N_Bedarf!$CE$2:$CE$141)&gt;0)),ROW()-2),1),"")</f>
        <v>Luzerne 3 Nutzungen (&gt;90% Legum.)</v>
      </c>
      <c r="DM114" s="2356"/>
      <c r="DN114" s="2356" t="str">
        <f t="array" ref="DN114">IFERROR(INDEX(N_Bedarf!$CE$2:$CE$141,_xlfn.AGGREGATE(15,6,(ROW(N_Bedarf!$CE$2:$CE$141)-1)/(--(SEARCH(DO$2,N_Bedarf!$CE$2:$CE$141)&gt;0)),ROW()-2),1),"")</f>
        <v>Luzerne 3 Nutzungen (&gt;90% Legum.)</v>
      </c>
      <c r="DO114" s="2356"/>
      <c r="DP114" s="2356" t="str">
        <f t="array" ref="DP114">IFERROR(INDEX(N_Bedarf!$CE$2:$CE$141,_xlfn.AGGREGATE(15,6,(ROW(N_Bedarf!$CE$2:$CE$141)-1)/(--(SEARCH(DQ$2,N_Bedarf!$CE$2:$CE$141)&gt;0)),ROW()-2),1),"")</f>
        <v>Luzerne 3 Nutzungen (&gt;90% Legum.)</v>
      </c>
      <c r="DQ114" s="2356"/>
      <c r="DR114" s="2356" t="str">
        <f t="array" ref="DR114">IFERROR(INDEX(N_Bedarf!$CE$2:$CE$141,_xlfn.AGGREGATE(15,6,(ROW(N_Bedarf!$CE$2:$CE$141)-1)/(--(SEARCH(DS$2,N_Bedarf!$CE$2:$CE$141)&gt;0)),ROW()-2),1),"")</f>
        <v>Luzerne 3 Nutzungen (&gt;90% Legum.)</v>
      </c>
      <c r="DS114" s="2356"/>
      <c r="DT114" s="2356" t="str">
        <f t="array" ref="DT114">IFERROR(INDEX(N_Bedarf!$CE$2:$CE$141,_xlfn.AGGREGATE(15,6,(ROW(N_Bedarf!$CE$2:$CE$141)-1)/(--(SEARCH(DU$2,N_Bedarf!$CE$2:$CE$141)&gt;0)),ROW()-2),1),"")</f>
        <v>Luzerne 3 Nutzungen (&gt;90% Legum.)</v>
      </c>
      <c r="DU114" s="2356"/>
      <c r="DV114" s="2356" t="str">
        <f t="array" ref="DV114">IFERROR(INDEX(N_Bedarf!$CE$2:$CE$141,_xlfn.AGGREGATE(15,6,(ROW(N_Bedarf!$CE$2:$CE$141)-1)/(--(SEARCH(DW$2,N_Bedarf!$CE$2:$CE$141)&gt;0)),ROW()-2),1),"")</f>
        <v>Luzerne 3 Nutzungen (&gt;90% Legum.)</v>
      </c>
      <c r="DW114" s="2356"/>
      <c r="DX114" s="2356" t="str">
        <f t="array" ref="DX114">IFERROR(INDEX(N_Bedarf!$CE$2:$CE$141,_xlfn.AGGREGATE(15,6,(ROW(N_Bedarf!$CE$2:$CE$141)-1)/(--(SEARCH(DY$2,N_Bedarf!$CE$2:$CE$141)&gt;0)),ROW()-2),1),"")</f>
        <v>Luzerne 3 Nutzungen (&gt;90% Legum.)</v>
      </c>
      <c r="DY114" s="2356"/>
      <c r="DZ114" s="2356" t="str">
        <f t="array" ref="DZ114">IFERROR(INDEX(N_Bedarf!$CE$2:$CE$141,_xlfn.AGGREGATE(15,6,(ROW(N_Bedarf!$CE$2:$CE$141)-1)/(--(SEARCH(EA$2,N_Bedarf!$CE$2:$CE$141)&gt;0)),ROW()-2),1),"")</f>
        <v>Luzerne 3 Nutzungen (&gt;90% Legum.)</v>
      </c>
      <c r="EA114" s="2356"/>
      <c r="EB114" s="2356" t="str">
        <f t="array" ref="EB114">IFERROR(INDEX(N_Bedarf!$CE$2:$CE$141,_xlfn.AGGREGATE(15,6,(ROW(N_Bedarf!$CE$2:$CE$141)-1)/(--(SEARCH(EC$2,N_Bedarf!$CE$2:$CE$141)&gt;0)),ROW()-2),1),"")</f>
        <v>Luzerne 3 Nutzungen (&gt;90% Legum.)</v>
      </c>
      <c r="EC114" s="2356"/>
      <c r="ED114"/>
      <c r="EE114"/>
      <c r="EF114"/>
      <c r="EG114"/>
      <c r="EH114"/>
      <c r="EI114"/>
      <c r="EJ114"/>
      <c r="EK114"/>
      <c r="EL114"/>
      <c r="EM114"/>
      <c r="EN114"/>
      <c r="EO114"/>
      <c r="EP114"/>
      <c r="EQ114"/>
      <c r="ER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row>
    <row r="115" spans="1:291" ht="21" customHeight="1" thickTop="1" thickBot="1">
      <c r="A115" s="156"/>
      <c r="B115" s="156"/>
      <c r="C115" s="1758" t="s">
        <v>27</v>
      </c>
      <c r="D115" s="1759" t="s">
        <v>123</v>
      </c>
      <c r="E115" s="1729">
        <v>130</v>
      </c>
      <c r="F115" s="1760">
        <v>110</v>
      </c>
      <c r="G115" s="1993" t="s">
        <v>5</v>
      </c>
      <c r="H115" s="1994">
        <v>130</v>
      </c>
      <c r="I115" s="1995">
        <v>110</v>
      </c>
      <c r="J115" s="1759" t="s">
        <v>6</v>
      </c>
      <c r="K115" s="1729">
        <v>130</v>
      </c>
      <c r="L115" s="1760">
        <v>110</v>
      </c>
      <c r="M115" s="1759" t="s">
        <v>7</v>
      </c>
      <c r="N115" s="1729">
        <v>130</v>
      </c>
      <c r="O115" s="1760">
        <v>110</v>
      </c>
      <c r="P115" s="1759" t="s">
        <v>582</v>
      </c>
      <c r="Q115" s="1729">
        <v>130</v>
      </c>
      <c r="R115" s="1761">
        <v>110</v>
      </c>
      <c r="S115" s="1762">
        <v>85</v>
      </c>
      <c r="T115" s="1729">
        <v>85</v>
      </c>
      <c r="U115" s="1760">
        <v>85</v>
      </c>
      <c r="V115" s="1759">
        <v>70</v>
      </c>
      <c r="W115" s="1729">
        <v>70</v>
      </c>
      <c r="X115" s="1760">
        <v>70</v>
      </c>
      <c r="Y115" s="2009">
        <v>50</v>
      </c>
      <c r="Z115" s="2010">
        <v>55</v>
      </c>
      <c r="AA115" s="2011">
        <v>65</v>
      </c>
      <c r="AB115" s="1871" t="s">
        <v>1388</v>
      </c>
      <c r="AC115" s="1763" t="s">
        <v>1389</v>
      </c>
      <c r="AD115" s="1762">
        <v>300</v>
      </c>
      <c r="AE115" s="1729">
        <v>300</v>
      </c>
      <c r="AF115" s="1760">
        <v>300</v>
      </c>
      <c r="AG115" s="1759">
        <v>250</v>
      </c>
      <c r="AH115" s="1729">
        <v>250</v>
      </c>
      <c r="AI115" s="1760">
        <v>250</v>
      </c>
      <c r="AJ115" s="2009">
        <v>180</v>
      </c>
      <c r="AK115" s="2010">
        <v>200</v>
      </c>
      <c r="AL115" s="2011">
        <v>230</v>
      </c>
      <c r="AM115" s="1871" t="s">
        <v>1390</v>
      </c>
      <c r="AN115" s="1763" t="s">
        <v>1389</v>
      </c>
      <c r="AO115" s="156"/>
      <c r="AP115" s="156"/>
      <c r="AX115" s="1722" t="s">
        <v>1925</v>
      </c>
      <c r="AY115" s="681">
        <v>40</v>
      </c>
      <c r="AZ115" s="681">
        <v>40</v>
      </c>
      <c r="BA115" s="681" t="s">
        <v>2561</v>
      </c>
      <c r="BB115" s="681">
        <v>40</v>
      </c>
      <c r="BC115" s="681">
        <v>40</v>
      </c>
      <c r="BD115" s="681" t="s">
        <v>2582</v>
      </c>
      <c r="BE115" s="681">
        <v>40</v>
      </c>
      <c r="BF115" s="681">
        <v>40</v>
      </c>
      <c r="BG115" s="681" t="s">
        <v>2582</v>
      </c>
      <c r="BH115" s="681">
        <v>40</v>
      </c>
      <c r="BI115" s="681">
        <v>40</v>
      </c>
      <c r="BJ115" s="681" t="s">
        <v>2582</v>
      </c>
      <c r="BK115" s="681">
        <v>40</v>
      </c>
      <c r="BL115" s="681">
        <v>40</v>
      </c>
      <c r="BM115" s="681" t="s">
        <v>2582</v>
      </c>
      <c r="BN115" s="471">
        <v>0</v>
      </c>
      <c r="BO115" s="821">
        <v>40</v>
      </c>
      <c r="BP115"/>
      <c r="BQ115" s="1722" t="s">
        <v>1925</v>
      </c>
      <c r="BR115" s="470">
        <v>30</v>
      </c>
      <c r="BS115" s="470">
        <v>45</v>
      </c>
      <c r="BT115" s="470">
        <v>45</v>
      </c>
      <c r="BU115" s="1590"/>
      <c r="BV115" s="1722" t="s">
        <v>1925</v>
      </c>
      <c r="BW115" s="470">
        <v>80</v>
      </c>
      <c r="BX115" s="470">
        <v>120</v>
      </c>
      <c r="BY115" s="470">
        <v>120</v>
      </c>
      <c r="BZ115" s="1588"/>
      <c r="CA115" s="429"/>
      <c r="CB115"/>
      <c r="CC115"/>
      <c r="CD115"/>
      <c r="CE115" s="2310" t="s">
        <v>1928</v>
      </c>
      <c r="CF115" s="1834" t="str">
        <f>IFERROR(INDEX(N_Bedarf!$CE$2:$CE$141,_xlfn.AGGREGATE(15,6,(ROW(N_Bedarf!$CE$2:$CE$141)-1)/(--(SEARCH(CG$2,N_Bedarf!$CE$2:$CE$141)&gt;0)),ROW()-2),1),"")</f>
        <v xml:space="preserve">Luzerne 4 Nutzungen (&gt;90% Legum.) </v>
      </c>
      <c r="CG115" s="1830"/>
      <c r="CH115" s="1834" t="str">
        <f>IFERROR(INDEX(N_Bedarf!$CE$2:$CE$141,_xlfn.AGGREGATE(15,6,(ROW(N_Bedarf!$CE$2:$CE$141)-1)/(--(SEARCH(CI$2,N_Bedarf!$CE$2:$CE$141)&gt;0)),ROW()-2),1),"")</f>
        <v xml:space="preserve">Luzerne 4 Nutzungen (&gt;90% Legum.) </v>
      </c>
      <c r="CI115" s="1830"/>
      <c r="CJ115" s="1834" t="str">
        <f>IFERROR(INDEX(N_Bedarf!$CE$2:$CE$141,_xlfn.AGGREGATE(15,6,(ROW(N_Bedarf!$CE$2:$CE$141)-1)/(--(SEARCH(CK$2,N_Bedarf!$CE$2:$CE$141)&gt;0)),ROW()-2),1),"")</f>
        <v xml:space="preserve">Luzerne 4 Nutzungen (&gt;90% Legum.) </v>
      </c>
      <c r="CK115" s="1830"/>
      <c r="CL115" s="1834" t="str">
        <f>IFERROR(INDEX(N_Bedarf!$CE$2:$CE$141,_xlfn.AGGREGATE(15,6,(ROW(N_Bedarf!$CE$2:$CE$141)-1)/(--(SEARCH(CM$2,N_Bedarf!$CE$2:$CE$141)&gt;0)),ROW()-2),1),"")</f>
        <v xml:space="preserve">Luzerne 4 Nutzungen (&gt;90% Legum.) </v>
      </c>
      <c r="CM115" s="1830"/>
      <c r="CN115" s="1834" t="str">
        <f>IFERROR(INDEX(N_Bedarf!$CE$2:$CE$141,_xlfn.AGGREGATE(15,6,(ROW(N_Bedarf!$CE$2:$CE$141)-1)/(--(SEARCH(CO$2,N_Bedarf!$CE$2:$CE$141)&gt;0)),ROW()-2),1),"")</f>
        <v xml:space="preserve">Luzerne 4 Nutzungen (&gt;90% Legum.) </v>
      </c>
      <c r="CO115" s="1830"/>
      <c r="CP115" s="1834" t="str">
        <f>IFERROR(INDEX(N_Bedarf!$CE$2:$CE$141,_xlfn.AGGREGATE(15,6,(ROW(N_Bedarf!$CE$2:$CE$141)-1)/(--(SEARCH(CQ$2,N_Bedarf!$CE$2:$CE$141)&gt;0)),ROW()-2),1),"")</f>
        <v xml:space="preserve">Luzerne 4 Nutzungen (&gt;90% Legum.) </v>
      </c>
      <c r="CQ115" s="1830"/>
      <c r="CR115" s="1834" t="str">
        <f>IFERROR(INDEX(N_Bedarf!$CE$2:$CE$141,_xlfn.AGGREGATE(15,6,(ROW(N_Bedarf!$CE$2:$CE$141)-1)/(--(SEARCH(CS$2,N_Bedarf!$CE$2:$CE$141)&gt;0)),ROW()-2),1),"")</f>
        <v xml:space="preserve">Luzerne 4 Nutzungen (&gt;90% Legum.) </v>
      </c>
      <c r="CS115" s="1830"/>
      <c r="CT115" s="1834" t="str">
        <f>IFERROR(INDEX(N_Bedarf!$CE$2:$CE$141,_xlfn.AGGREGATE(15,6,(ROW(N_Bedarf!$CE$2:$CE$141)-1)/(--(SEARCH(CU$2,N_Bedarf!$CE$2:$CE$141)&gt;0)),ROW()-2),1),"")</f>
        <v xml:space="preserve">Luzerne 4 Nutzungen (&gt;90% Legum.) </v>
      </c>
      <c r="CU115" s="1830"/>
      <c r="CV115" s="1834" t="str">
        <f>IFERROR(INDEX(N_Bedarf!$CE$2:$CE$141,_xlfn.AGGREGATE(15,6,(ROW(N_Bedarf!$CE$2:$CE$141)-1)/(--(SEARCH(CW$2,N_Bedarf!$CE$2:$CE$141)&gt;0)),ROW()-2),1),"")</f>
        <v xml:space="preserve">Luzerne 4 Nutzungen (&gt;90% Legum.) </v>
      </c>
      <c r="CW115" s="1830"/>
      <c r="CX115" s="1834" t="str">
        <f>IFERROR(INDEX(N_Bedarf!$CE$2:$CE$141,_xlfn.AGGREGATE(15,6,(ROW(N_Bedarf!$CE$2:$CE$141)-1)/(--(SEARCH(CY$2,N_Bedarf!$CE$2:$CE$141)&gt;0)),ROW()-2),1),"")</f>
        <v xml:space="preserve">Luzerne 4 Nutzungen (&gt;90% Legum.) </v>
      </c>
      <c r="CY115" s="1830"/>
      <c r="CZ115" s="1834" t="str">
        <f>IFERROR(INDEX(N_Bedarf!$CE$2:$CE$141,_xlfn.AGGREGATE(15,6,(ROW(N_Bedarf!$CE$2:$CE$141)-1)/(--(SEARCH(DA$2,N_Bedarf!$CE$2:$CE$141)&gt;0)),ROW()-2),1),"")</f>
        <v xml:space="preserve">Luzerne 4 Nutzungen (&gt;90% Legum.) </v>
      </c>
      <c r="DA115" s="1830"/>
      <c r="DB115" s="1834" t="str">
        <f>IFERROR(INDEX(N_Bedarf!$CE$2:$CE$141,_xlfn.AGGREGATE(15,6,(ROW(N_Bedarf!$CE$2:$CE$141)-1)/(--(SEARCH(DC$2,N_Bedarf!$CE$2:$CE$141)&gt;0)),ROW()-2),1),"")</f>
        <v xml:space="preserve">Luzerne 4 Nutzungen (&gt;90% Legum.) </v>
      </c>
      <c r="DC115" s="1830"/>
      <c r="DD115" s="1834" t="str">
        <f>IFERROR(INDEX(N_Bedarf!$CE$2:$CE$141,_xlfn.AGGREGATE(15,6,(ROW(N_Bedarf!$CE$2:$CE$141)-1)/(--(SEARCH(DE$2,N_Bedarf!$CE$2:$CE$141)&gt;0)),ROW()-2),1),"")</f>
        <v xml:space="preserve">Luzerne 4 Nutzungen (&gt;90% Legum.) </v>
      </c>
      <c r="DE115" s="1830"/>
      <c r="DF115" s="2353" t="str">
        <f t="array" ref="DF115">IFERROR(INDEX(N_Bedarf!$CE$2:$CE$141,_xlfn.AGGREGATE(15,6,(ROW(N_Bedarf!$CE$2:$CE$141)-1)/(--(SEARCH(DG$2,N_Bedarf!$CE$2:$CE$141)&gt;0)),ROW()-2),1),"")</f>
        <v xml:space="preserve">Luzerne 4 Nutzungen (&gt;90% Legum.) </v>
      </c>
      <c r="DG115" s="2353"/>
      <c r="DH115" s="2355" t="str">
        <f t="array" ref="DH115">IFERROR(INDEX(N_Bedarf!$CE$2:$CE$141,_xlfn.AGGREGATE(15,6,(ROW(N_Bedarf!$CE$2:$CE$141)-1)/(--(SEARCH(DI$2,N_Bedarf!$CE$2:$CE$141)&gt;0)),ROW()-2),1),"")</f>
        <v xml:space="preserve">Luzerne 4 Nutzungen (&gt;90% Legum.) </v>
      </c>
      <c r="DI115" s="2355"/>
      <c r="DJ115" s="2356" t="str">
        <f t="array" ref="DJ115">IFERROR(INDEX(N_Bedarf!$CE$2:$CE$141,_xlfn.AGGREGATE(15,6,(ROW(N_Bedarf!$CE$2:$CE$141)-1)/(--(SEARCH(DK$2,N_Bedarf!$CE$2:$CE$141)&gt;0)),ROW()-2),1),"")</f>
        <v xml:space="preserve">Luzerne 4 Nutzungen (&gt;90% Legum.) </v>
      </c>
      <c r="DK115" s="2356"/>
      <c r="DL115" s="2356" t="str">
        <f t="array" ref="DL115">IFERROR(INDEX(N_Bedarf!$CE$2:$CE$141,_xlfn.AGGREGATE(15,6,(ROW(N_Bedarf!$CE$2:$CE$141)-1)/(--(SEARCH(DM$2,N_Bedarf!$CE$2:$CE$141)&gt;0)),ROW()-2),1),"")</f>
        <v xml:space="preserve">Luzerne 4 Nutzungen (&gt;90% Legum.) </v>
      </c>
      <c r="DM115" s="2356"/>
      <c r="DN115" s="2356" t="str">
        <f t="array" ref="DN115">IFERROR(INDEX(N_Bedarf!$CE$2:$CE$141,_xlfn.AGGREGATE(15,6,(ROW(N_Bedarf!$CE$2:$CE$141)-1)/(--(SEARCH(DO$2,N_Bedarf!$CE$2:$CE$141)&gt;0)),ROW()-2),1),"")</f>
        <v xml:space="preserve">Luzerne 4 Nutzungen (&gt;90% Legum.) </v>
      </c>
      <c r="DO115" s="2356"/>
      <c r="DP115" s="2356" t="str">
        <f t="array" ref="DP115">IFERROR(INDEX(N_Bedarf!$CE$2:$CE$141,_xlfn.AGGREGATE(15,6,(ROW(N_Bedarf!$CE$2:$CE$141)-1)/(--(SEARCH(DQ$2,N_Bedarf!$CE$2:$CE$141)&gt;0)),ROW()-2),1),"")</f>
        <v xml:space="preserve">Luzerne 4 Nutzungen (&gt;90% Legum.) </v>
      </c>
      <c r="DQ115" s="2356"/>
      <c r="DR115" s="2356" t="str">
        <f t="array" ref="DR115">IFERROR(INDEX(N_Bedarf!$CE$2:$CE$141,_xlfn.AGGREGATE(15,6,(ROW(N_Bedarf!$CE$2:$CE$141)-1)/(--(SEARCH(DS$2,N_Bedarf!$CE$2:$CE$141)&gt;0)),ROW()-2),1),"")</f>
        <v xml:space="preserve">Luzerne 4 Nutzungen (&gt;90% Legum.) </v>
      </c>
      <c r="DS115" s="2356"/>
      <c r="DT115" s="2356" t="str">
        <f t="array" ref="DT115">IFERROR(INDEX(N_Bedarf!$CE$2:$CE$141,_xlfn.AGGREGATE(15,6,(ROW(N_Bedarf!$CE$2:$CE$141)-1)/(--(SEARCH(DU$2,N_Bedarf!$CE$2:$CE$141)&gt;0)),ROW()-2),1),"")</f>
        <v xml:space="preserve">Luzerne 4 Nutzungen (&gt;90% Legum.) </v>
      </c>
      <c r="DU115" s="2356"/>
      <c r="DV115" s="2356" t="str">
        <f t="array" ref="DV115">IFERROR(INDEX(N_Bedarf!$CE$2:$CE$141,_xlfn.AGGREGATE(15,6,(ROW(N_Bedarf!$CE$2:$CE$141)-1)/(--(SEARCH(DW$2,N_Bedarf!$CE$2:$CE$141)&gt;0)),ROW()-2),1),"")</f>
        <v xml:space="preserve">Luzerne 4 Nutzungen (&gt;90% Legum.) </v>
      </c>
      <c r="DW115" s="2356"/>
      <c r="DX115" s="2356" t="str">
        <f t="array" ref="DX115">IFERROR(INDEX(N_Bedarf!$CE$2:$CE$141,_xlfn.AGGREGATE(15,6,(ROW(N_Bedarf!$CE$2:$CE$141)-1)/(--(SEARCH(DY$2,N_Bedarf!$CE$2:$CE$141)&gt;0)),ROW()-2),1),"")</f>
        <v xml:space="preserve">Luzerne 4 Nutzungen (&gt;90% Legum.) </v>
      </c>
      <c r="DY115" s="2356"/>
      <c r="DZ115" s="2356" t="str">
        <f t="array" ref="DZ115">IFERROR(INDEX(N_Bedarf!$CE$2:$CE$141,_xlfn.AGGREGATE(15,6,(ROW(N_Bedarf!$CE$2:$CE$141)-1)/(--(SEARCH(EA$2,N_Bedarf!$CE$2:$CE$141)&gt;0)),ROW()-2),1),"")</f>
        <v xml:space="preserve">Luzerne 4 Nutzungen (&gt;90% Legum.) </v>
      </c>
      <c r="EA115" s="2356"/>
      <c r="EB115" s="2356" t="str">
        <f t="array" ref="EB115">IFERROR(INDEX(N_Bedarf!$CE$2:$CE$141,_xlfn.AGGREGATE(15,6,(ROW(N_Bedarf!$CE$2:$CE$141)-1)/(--(SEARCH(EC$2,N_Bedarf!$CE$2:$CE$141)&gt;0)),ROW()-2),1),"")</f>
        <v xml:space="preserve">Luzerne 4 Nutzungen (&gt;90% Legum.) </v>
      </c>
      <c r="EC115" s="2356"/>
      <c r="ED115"/>
      <c r="EE115"/>
      <c r="EF115"/>
      <c r="EG115"/>
      <c r="EH115"/>
      <c r="EI115"/>
      <c r="EJ115"/>
      <c r="EK115"/>
      <c r="EL115"/>
      <c r="EM115"/>
      <c r="EN115"/>
      <c r="EO115"/>
      <c r="EP115"/>
      <c r="EQ115"/>
      <c r="ER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row>
    <row r="116" spans="1:291" ht="21" customHeight="1" thickTop="1" thickBot="1">
      <c r="A116" s="156"/>
      <c r="B116" s="156"/>
      <c r="C116" s="1758" t="s">
        <v>28</v>
      </c>
      <c r="D116" s="1759" t="s">
        <v>123</v>
      </c>
      <c r="E116" s="1729">
        <v>100</v>
      </c>
      <c r="F116" s="1760">
        <v>85</v>
      </c>
      <c r="G116" s="1993" t="s">
        <v>5</v>
      </c>
      <c r="H116" s="1994">
        <v>100</v>
      </c>
      <c r="I116" s="1995">
        <v>85</v>
      </c>
      <c r="J116" s="1759" t="s">
        <v>6</v>
      </c>
      <c r="K116" s="1729">
        <v>100</v>
      </c>
      <c r="L116" s="1760">
        <v>85</v>
      </c>
      <c r="M116" s="1759" t="s">
        <v>7</v>
      </c>
      <c r="N116" s="1729">
        <v>100</v>
      </c>
      <c r="O116" s="1760">
        <v>85</v>
      </c>
      <c r="P116" s="1759" t="s">
        <v>582</v>
      </c>
      <c r="Q116" s="1729">
        <v>100</v>
      </c>
      <c r="R116" s="1761">
        <v>85</v>
      </c>
      <c r="S116" s="1762">
        <v>85</v>
      </c>
      <c r="T116" s="1729">
        <v>85</v>
      </c>
      <c r="U116" s="1760">
        <v>85</v>
      </c>
      <c r="V116" s="1759">
        <v>70</v>
      </c>
      <c r="W116" s="1729">
        <v>70</v>
      </c>
      <c r="X116" s="1760">
        <v>70</v>
      </c>
      <c r="Y116" s="2009">
        <v>50</v>
      </c>
      <c r="Z116" s="2010">
        <v>55</v>
      </c>
      <c r="AA116" s="2011">
        <v>65</v>
      </c>
      <c r="AB116" s="1871" t="s">
        <v>1388</v>
      </c>
      <c r="AC116" s="1763" t="s">
        <v>1389</v>
      </c>
      <c r="AD116" s="1762">
        <v>70</v>
      </c>
      <c r="AE116" s="1729">
        <v>70</v>
      </c>
      <c r="AF116" s="1760">
        <v>70</v>
      </c>
      <c r="AG116" s="1759">
        <v>55</v>
      </c>
      <c r="AH116" s="1729">
        <v>55</v>
      </c>
      <c r="AI116" s="1760">
        <v>55</v>
      </c>
      <c r="AJ116" s="2009">
        <v>40</v>
      </c>
      <c r="AK116" s="2010">
        <v>45</v>
      </c>
      <c r="AL116" s="2011">
        <v>50</v>
      </c>
      <c r="AM116" s="1871" t="s">
        <v>1390</v>
      </c>
      <c r="AN116" s="1763" t="s">
        <v>1389</v>
      </c>
      <c r="AO116" s="156"/>
      <c r="AP116" s="156"/>
      <c r="AX116" s="1722" t="s">
        <v>1926</v>
      </c>
      <c r="AY116" s="681">
        <v>40</v>
      </c>
      <c r="AZ116" s="681">
        <v>40</v>
      </c>
      <c r="BA116" s="681" t="s">
        <v>2699</v>
      </c>
      <c r="BB116" s="681">
        <v>40</v>
      </c>
      <c r="BC116" s="681">
        <v>40</v>
      </c>
      <c r="BD116" s="681" t="s">
        <v>2739</v>
      </c>
      <c r="BE116" s="681">
        <v>40</v>
      </c>
      <c r="BF116" s="681">
        <v>40</v>
      </c>
      <c r="BG116" s="681" t="s">
        <v>2568</v>
      </c>
      <c r="BH116" s="681">
        <v>40</v>
      </c>
      <c r="BI116" s="681">
        <v>40</v>
      </c>
      <c r="BJ116" s="681" t="s">
        <v>2568</v>
      </c>
      <c r="BK116" s="681">
        <v>40</v>
      </c>
      <c r="BL116" s="681">
        <v>40</v>
      </c>
      <c r="BM116" s="681" t="s">
        <v>2568</v>
      </c>
      <c r="BN116" s="471">
        <v>0</v>
      </c>
      <c r="BO116" s="821">
        <v>40</v>
      </c>
      <c r="BP116"/>
      <c r="BQ116" s="1722" t="s">
        <v>1926</v>
      </c>
      <c r="BR116" s="470">
        <v>45</v>
      </c>
      <c r="BS116" s="470">
        <v>65</v>
      </c>
      <c r="BT116" s="470">
        <v>80</v>
      </c>
      <c r="BU116" s="1590"/>
      <c r="BV116" s="1722" t="s">
        <v>1926</v>
      </c>
      <c r="BW116" s="470">
        <v>130</v>
      </c>
      <c r="BX116" s="470">
        <v>170</v>
      </c>
      <c r="BY116" s="470">
        <v>215</v>
      </c>
      <c r="CB116" s="428"/>
      <c r="CC116" s="428"/>
      <c r="CD116" s="428"/>
      <c r="CE116" s="2310" t="s">
        <v>1929</v>
      </c>
      <c r="CF116" s="1834" t="str">
        <f>IFERROR(INDEX(N_Bedarf!$CE$2:$CE$141,_xlfn.AGGREGATE(15,6,(ROW(N_Bedarf!$CE$2:$CE$141)-1)/(--(SEARCH(CG$2,N_Bedarf!$CE$2:$CE$141)&gt;0)),ROW()-2),1),"")</f>
        <v>Luzerne 5 Nutzungen (&gt;90% Legum.)</v>
      </c>
      <c r="CG116" s="1836"/>
      <c r="CH116" s="1834" t="str">
        <f>IFERROR(INDEX(N_Bedarf!$CE$2:$CE$141,_xlfn.AGGREGATE(15,6,(ROW(N_Bedarf!$CE$2:$CE$141)-1)/(--(SEARCH(CI$2,N_Bedarf!$CE$2:$CE$141)&gt;0)),ROW()-2),1),"")</f>
        <v>Luzerne 5 Nutzungen (&gt;90% Legum.)</v>
      </c>
      <c r="CI116" s="1836"/>
      <c r="CJ116" s="1834" t="str">
        <f>IFERROR(INDEX(N_Bedarf!$CE$2:$CE$141,_xlfn.AGGREGATE(15,6,(ROW(N_Bedarf!$CE$2:$CE$141)-1)/(--(SEARCH(CK$2,N_Bedarf!$CE$2:$CE$141)&gt;0)),ROW()-2),1),"")</f>
        <v>Luzerne 5 Nutzungen (&gt;90% Legum.)</v>
      </c>
      <c r="CK116" s="1836"/>
      <c r="CL116" s="1834" t="str">
        <f>IFERROR(INDEX(N_Bedarf!$CE$2:$CE$141,_xlfn.AGGREGATE(15,6,(ROW(N_Bedarf!$CE$2:$CE$141)-1)/(--(SEARCH(CM$2,N_Bedarf!$CE$2:$CE$141)&gt;0)),ROW()-2),1),"")</f>
        <v>Luzerne 5 Nutzungen (&gt;90% Legum.)</v>
      </c>
      <c r="CM116" s="1836"/>
      <c r="CN116" s="1834" t="str">
        <f>IFERROR(INDEX(N_Bedarf!$CE$2:$CE$141,_xlfn.AGGREGATE(15,6,(ROW(N_Bedarf!$CE$2:$CE$141)-1)/(--(SEARCH(CO$2,N_Bedarf!$CE$2:$CE$141)&gt;0)),ROW()-2),1),"")</f>
        <v>Luzerne 5 Nutzungen (&gt;90% Legum.)</v>
      </c>
      <c r="CO116" s="1836"/>
      <c r="CP116" s="1834" t="str">
        <f>IFERROR(INDEX(N_Bedarf!$CE$2:$CE$141,_xlfn.AGGREGATE(15,6,(ROW(N_Bedarf!$CE$2:$CE$141)-1)/(--(SEARCH(CQ$2,N_Bedarf!$CE$2:$CE$141)&gt;0)),ROW()-2),1),"")</f>
        <v>Luzerne 5 Nutzungen (&gt;90% Legum.)</v>
      </c>
      <c r="CQ116" s="1836"/>
      <c r="CR116" s="1834" t="str">
        <f>IFERROR(INDEX(N_Bedarf!$CE$2:$CE$141,_xlfn.AGGREGATE(15,6,(ROW(N_Bedarf!$CE$2:$CE$141)-1)/(--(SEARCH(CS$2,N_Bedarf!$CE$2:$CE$141)&gt;0)),ROW()-2),1),"")</f>
        <v>Luzerne 5 Nutzungen (&gt;90% Legum.)</v>
      </c>
      <c r="CS116" s="1836"/>
      <c r="CT116" s="1834" t="str">
        <f>IFERROR(INDEX(N_Bedarf!$CE$2:$CE$141,_xlfn.AGGREGATE(15,6,(ROW(N_Bedarf!$CE$2:$CE$141)-1)/(--(SEARCH(CU$2,N_Bedarf!$CE$2:$CE$141)&gt;0)),ROW()-2),1),"")</f>
        <v>Luzerne 5 Nutzungen (&gt;90% Legum.)</v>
      </c>
      <c r="CU116" s="1836"/>
      <c r="CV116" s="1834" t="str">
        <f>IFERROR(INDEX(N_Bedarf!$CE$2:$CE$141,_xlfn.AGGREGATE(15,6,(ROW(N_Bedarf!$CE$2:$CE$141)-1)/(--(SEARCH(CW$2,N_Bedarf!$CE$2:$CE$141)&gt;0)),ROW()-2),1),"")</f>
        <v>Luzerne 5 Nutzungen (&gt;90% Legum.)</v>
      </c>
      <c r="CW116" s="1836"/>
      <c r="CX116" s="1834" t="str">
        <f>IFERROR(INDEX(N_Bedarf!$CE$2:$CE$141,_xlfn.AGGREGATE(15,6,(ROW(N_Bedarf!$CE$2:$CE$141)-1)/(--(SEARCH(CY$2,N_Bedarf!$CE$2:$CE$141)&gt;0)),ROW()-2),1),"")</f>
        <v>Luzerne 5 Nutzungen (&gt;90% Legum.)</v>
      </c>
      <c r="CY116" s="1836"/>
      <c r="CZ116" s="1834" t="str">
        <f>IFERROR(INDEX(N_Bedarf!$CE$2:$CE$141,_xlfn.AGGREGATE(15,6,(ROW(N_Bedarf!$CE$2:$CE$141)-1)/(--(SEARCH(DA$2,N_Bedarf!$CE$2:$CE$141)&gt;0)),ROW()-2),1),"")</f>
        <v>Luzerne 5 Nutzungen (&gt;90% Legum.)</v>
      </c>
      <c r="DA116" s="1836"/>
      <c r="DB116" s="1834" t="str">
        <f>IFERROR(INDEX(N_Bedarf!$CE$2:$CE$141,_xlfn.AGGREGATE(15,6,(ROW(N_Bedarf!$CE$2:$CE$141)-1)/(--(SEARCH(DC$2,N_Bedarf!$CE$2:$CE$141)&gt;0)),ROW()-2),1),"")</f>
        <v>Luzerne 5 Nutzungen (&gt;90% Legum.)</v>
      </c>
      <c r="DC116" s="1836"/>
      <c r="DD116" s="1834" t="str">
        <f>IFERROR(INDEX(N_Bedarf!$CE$2:$CE$141,_xlfn.AGGREGATE(15,6,(ROW(N_Bedarf!$CE$2:$CE$141)-1)/(--(SEARCH(DE$2,N_Bedarf!$CE$2:$CE$141)&gt;0)),ROW()-2),1),"")</f>
        <v>Luzerne 5 Nutzungen (&gt;90% Legum.)</v>
      </c>
      <c r="DE116" s="1836"/>
      <c r="DF116" s="2353" t="str">
        <f t="array" ref="DF116">IFERROR(INDEX(N_Bedarf!$CE$2:$CE$141,_xlfn.AGGREGATE(15,6,(ROW(N_Bedarf!$CE$2:$CE$141)-1)/(--(SEARCH(DG$2,N_Bedarf!$CE$2:$CE$141)&gt;0)),ROW()-2),1),"")</f>
        <v>Luzerne 5 Nutzungen (&gt;90% Legum.)</v>
      </c>
      <c r="DG116" s="2353"/>
      <c r="DH116" s="2355" t="str">
        <f t="array" ref="DH116">IFERROR(INDEX(N_Bedarf!$CE$2:$CE$141,_xlfn.AGGREGATE(15,6,(ROW(N_Bedarf!$CE$2:$CE$141)-1)/(--(SEARCH(DI$2,N_Bedarf!$CE$2:$CE$141)&gt;0)),ROW()-2),1),"")</f>
        <v>Luzerne 5 Nutzungen (&gt;90% Legum.)</v>
      </c>
      <c r="DI116" s="2355"/>
      <c r="DJ116" s="2356" t="str">
        <f t="array" ref="DJ116">IFERROR(INDEX(N_Bedarf!$CE$2:$CE$141,_xlfn.AGGREGATE(15,6,(ROW(N_Bedarf!$CE$2:$CE$141)-1)/(--(SEARCH(DK$2,N_Bedarf!$CE$2:$CE$141)&gt;0)),ROW()-2),1),"")</f>
        <v>Luzerne 5 Nutzungen (&gt;90% Legum.)</v>
      </c>
      <c r="DK116" s="2356"/>
      <c r="DL116" s="2356" t="str">
        <f t="array" ref="DL116">IFERROR(INDEX(N_Bedarf!$CE$2:$CE$141,_xlfn.AGGREGATE(15,6,(ROW(N_Bedarf!$CE$2:$CE$141)-1)/(--(SEARCH(DM$2,N_Bedarf!$CE$2:$CE$141)&gt;0)),ROW()-2),1),"")</f>
        <v>Luzerne 5 Nutzungen (&gt;90% Legum.)</v>
      </c>
      <c r="DM116" s="2356"/>
      <c r="DN116" s="2356" t="str">
        <f t="array" ref="DN116">IFERROR(INDEX(N_Bedarf!$CE$2:$CE$141,_xlfn.AGGREGATE(15,6,(ROW(N_Bedarf!$CE$2:$CE$141)-1)/(--(SEARCH(DO$2,N_Bedarf!$CE$2:$CE$141)&gt;0)),ROW()-2),1),"")</f>
        <v>Luzerne 5 Nutzungen (&gt;90% Legum.)</v>
      </c>
      <c r="DO116" s="2356"/>
      <c r="DP116" s="2356" t="str">
        <f t="array" ref="DP116">IFERROR(INDEX(N_Bedarf!$CE$2:$CE$141,_xlfn.AGGREGATE(15,6,(ROW(N_Bedarf!$CE$2:$CE$141)-1)/(--(SEARCH(DQ$2,N_Bedarf!$CE$2:$CE$141)&gt;0)),ROW()-2),1),"")</f>
        <v>Luzerne 5 Nutzungen (&gt;90% Legum.)</v>
      </c>
      <c r="DQ116" s="2356"/>
      <c r="DR116" s="2356" t="str">
        <f t="array" ref="DR116">IFERROR(INDEX(N_Bedarf!$CE$2:$CE$141,_xlfn.AGGREGATE(15,6,(ROW(N_Bedarf!$CE$2:$CE$141)-1)/(--(SEARCH(DS$2,N_Bedarf!$CE$2:$CE$141)&gt;0)),ROW()-2),1),"")</f>
        <v>Luzerne 5 Nutzungen (&gt;90% Legum.)</v>
      </c>
      <c r="DS116" s="2356"/>
      <c r="DT116" s="2356" t="str">
        <f t="array" ref="DT116">IFERROR(INDEX(N_Bedarf!$CE$2:$CE$141,_xlfn.AGGREGATE(15,6,(ROW(N_Bedarf!$CE$2:$CE$141)-1)/(--(SEARCH(DU$2,N_Bedarf!$CE$2:$CE$141)&gt;0)),ROW()-2),1),"")</f>
        <v>Luzerne 5 Nutzungen (&gt;90% Legum.)</v>
      </c>
      <c r="DU116" s="2356"/>
      <c r="DV116" s="2356" t="str">
        <f t="array" ref="DV116">IFERROR(INDEX(N_Bedarf!$CE$2:$CE$141,_xlfn.AGGREGATE(15,6,(ROW(N_Bedarf!$CE$2:$CE$141)-1)/(--(SEARCH(DW$2,N_Bedarf!$CE$2:$CE$141)&gt;0)),ROW()-2),1),"")</f>
        <v>Luzerne 5 Nutzungen (&gt;90% Legum.)</v>
      </c>
      <c r="DW116" s="2356"/>
      <c r="DX116" s="2356" t="str">
        <f t="array" ref="DX116">IFERROR(INDEX(N_Bedarf!$CE$2:$CE$141,_xlfn.AGGREGATE(15,6,(ROW(N_Bedarf!$CE$2:$CE$141)-1)/(--(SEARCH(DY$2,N_Bedarf!$CE$2:$CE$141)&gt;0)),ROW()-2),1),"")</f>
        <v>Luzerne 5 Nutzungen (&gt;90% Legum.)</v>
      </c>
      <c r="DY116" s="2356"/>
      <c r="DZ116" s="2356" t="str">
        <f t="array" ref="DZ116">IFERROR(INDEX(N_Bedarf!$CE$2:$CE$141,_xlfn.AGGREGATE(15,6,(ROW(N_Bedarf!$CE$2:$CE$141)-1)/(--(SEARCH(EA$2,N_Bedarf!$CE$2:$CE$141)&gt;0)),ROW()-2),1),"")</f>
        <v>Luzerne 5 Nutzungen (&gt;90% Legum.)</v>
      </c>
      <c r="EA116" s="2356"/>
      <c r="EB116" s="2356" t="str">
        <f t="array" ref="EB116">IFERROR(INDEX(N_Bedarf!$CE$2:$CE$141,_xlfn.AGGREGATE(15,6,(ROW(N_Bedarf!$CE$2:$CE$141)-1)/(--(SEARCH(EC$2,N_Bedarf!$CE$2:$CE$141)&gt;0)),ROW()-2),1),"")</f>
        <v>Luzerne 5 Nutzungen (&gt;90% Legum.)</v>
      </c>
      <c r="EC116" s="2356"/>
      <c r="ED116"/>
      <c r="EE116"/>
      <c r="EF116"/>
      <c r="EG116"/>
      <c r="EH116"/>
      <c r="EI116"/>
      <c r="EJ116"/>
      <c r="EK116"/>
      <c r="EL116"/>
      <c r="EM116"/>
      <c r="EN116"/>
      <c r="EO116"/>
      <c r="EP116"/>
      <c r="EQ116"/>
      <c r="ER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row>
    <row r="117" spans="1:291" ht="21" customHeight="1" thickTop="1" thickBot="1">
      <c r="A117" s="156"/>
      <c r="B117" s="156"/>
      <c r="C117" s="1758" t="s">
        <v>1708</v>
      </c>
      <c r="D117" s="1759" t="s">
        <v>1414</v>
      </c>
      <c r="E117" s="1729">
        <v>60</v>
      </c>
      <c r="F117" s="1760">
        <v>50</v>
      </c>
      <c r="G117" s="1993" t="s">
        <v>29</v>
      </c>
      <c r="H117" s="1994">
        <v>60</v>
      </c>
      <c r="I117" s="1995">
        <v>50</v>
      </c>
      <c r="J117" s="1759" t="s">
        <v>9</v>
      </c>
      <c r="K117" s="1729">
        <v>60</v>
      </c>
      <c r="L117" s="1760">
        <v>50</v>
      </c>
      <c r="M117" s="1759" t="s">
        <v>10</v>
      </c>
      <c r="N117" s="1729">
        <v>60</v>
      </c>
      <c r="O117" s="1760">
        <v>50</v>
      </c>
      <c r="P117" s="1759" t="s">
        <v>11</v>
      </c>
      <c r="Q117" s="1729">
        <v>60</v>
      </c>
      <c r="R117" s="1761">
        <v>50</v>
      </c>
      <c r="S117" s="1762">
        <v>100</v>
      </c>
      <c r="T117" s="1729">
        <v>100</v>
      </c>
      <c r="U117" s="1760">
        <v>100</v>
      </c>
      <c r="V117" s="1759">
        <v>80</v>
      </c>
      <c r="W117" s="1729">
        <v>80</v>
      </c>
      <c r="X117" s="1760">
        <v>80</v>
      </c>
      <c r="Y117" s="2009">
        <v>60</v>
      </c>
      <c r="Z117" s="2010">
        <v>65</v>
      </c>
      <c r="AA117" s="2011">
        <v>75</v>
      </c>
      <c r="AB117" s="1871" t="s">
        <v>1388</v>
      </c>
      <c r="AC117" s="1763" t="s">
        <v>1389</v>
      </c>
      <c r="AD117" s="1762">
        <v>150</v>
      </c>
      <c r="AE117" s="1729">
        <v>150</v>
      </c>
      <c r="AF117" s="1760">
        <v>150</v>
      </c>
      <c r="AG117" s="1759">
        <v>125</v>
      </c>
      <c r="AH117" s="1729">
        <v>125</v>
      </c>
      <c r="AI117" s="1760">
        <v>125</v>
      </c>
      <c r="AJ117" s="2009">
        <v>90</v>
      </c>
      <c r="AK117" s="2010">
        <v>100</v>
      </c>
      <c r="AL117" s="2011">
        <v>115</v>
      </c>
      <c r="AM117" s="1871" t="s">
        <v>1390</v>
      </c>
      <c r="AN117" s="1763" t="s">
        <v>1389</v>
      </c>
      <c r="AO117" s="156"/>
      <c r="AP117" s="156"/>
      <c r="AX117" s="1722" t="s">
        <v>1927</v>
      </c>
      <c r="AY117" s="681">
        <v>40</v>
      </c>
      <c r="AZ117" s="681">
        <v>40</v>
      </c>
      <c r="BA117" s="681" t="s">
        <v>2697</v>
      </c>
      <c r="BB117" s="681">
        <v>40</v>
      </c>
      <c r="BC117" s="681">
        <v>40</v>
      </c>
      <c r="BD117" s="681" t="s">
        <v>2697</v>
      </c>
      <c r="BE117" s="681">
        <v>40</v>
      </c>
      <c r="BF117" s="681">
        <v>40</v>
      </c>
      <c r="BG117" s="681" t="s">
        <v>2585</v>
      </c>
      <c r="BH117" s="681">
        <v>40</v>
      </c>
      <c r="BI117" s="681">
        <v>40</v>
      </c>
      <c r="BJ117" s="681" t="s">
        <v>2585</v>
      </c>
      <c r="BK117" s="681">
        <v>40</v>
      </c>
      <c r="BL117" s="681">
        <v>40</v>
      </c>
      <c r="BM117" s="681" t="s">
        <v>2585</v>
      </c>
      <c r="BN117" s="471">
        <v>0</v>
      </c>
      <c r="BO117" s="821">
        <v>40</v>
      </c>
      <c r="BP117"/>
      <c r="BQ117" s="1722" t="s">
        <v>1927</v>
      </c>
      <c r="BR117" s="470">
        <v>80</v>
      </c>
      <c r="BS117" s="470">
        <v>80</v>
      </c>
      <c r="BT117" s="470">
        <v>90</v>
      </c>
      <c r="BV117" s="1722" t="s">
        <v>1927</v>
      </c>
      <c r="BW117" s="470">
        <v>205</v>
      </c>
      <c r="BX117" s="470">
        <v>205</v>
      </c>
      <c r="BY117" s="470">
        <v>260</v>
      </c>
      <c r="CB117" s="428"/>
      <c r="CC117" s="428"/>
      <c r="CD117" s="428"/>
      <c r="CE117" s="2310" t="s">
        <v>1930</v>
      </c>
      <c r="CF117" s="1834" t="str">
        <f>IFERROR(INDEX(N_Bedarf!$CE$2:$CE$141,_xlfn.AGGREGATE(15,6,(ROW(N_Bedarf!$CE$2:$CE$141)-1)/(--(SEARCH(CG$2,N_Bedarf!$CE$2:$CE$141)&gt;0)),ROW()-2),1),"")</f>
        <v xml:space="preserve">Luzerne 6 Nutzungen (&gt;90% Legum.) </v>
      </c>
      <c r="CG117" s="1830"/>
      <c r="CH117" s="1834" t="str">
        <f>IFERROR(INDEX(N_Bedarf!$CE$2:$CE$141,_xlfn.AGGREGATE(15,6,(ROW(N_Bedarf!$CE$2:$CE$141)-1)/(--(SEARCH(CI$2,N_Bedarf!$CE$2:$CE$141)&gt;0)),ROW()-2),1),"")</f>
        <v xml:space="preserve">Luzerne 6 Nutzungen (&gt;90% Legum.) </v>
      </c>
      <c r="CI117" s="1830"/>
      <c r="CJ117" s="1834" t="str">
        <f>IFERROR(INDEX(N_Bedarf!$CE$2:$CE$141,_xlfn.AGGREGATE(15,6,(ROW(N_Bedarf!$CE$2:$CE$141)-1)/(--(SEARCH(CK$2,N_Bedarf!$CE$2:$CE$141)&gt;0)),ROW()-2),1),"")</f>
        <v xml:space="preserve">Luzerne 6 Nutzungen (&gt;90% Legum.) </v>
      </c>
      <c r="CK117" s="1830"/>
      <c r="CL117" s="1834" t="str">
        <f>IFERROR(INDEX(N_Bedarf!$CE$2:$CE$141,_xlfn.AGGREGATE(15,6,(ROW(N_Bedarf!$CE$2:$CE$141)-1)/(--(SEARCH(CM$2,N_Bedarf!$CE$2:$CE$141)&gt;0)),ROW()-2),1),"")</f>
        <v xml:space="preserve">Luzerne 6 Nutzungen (&gt;90% Legum.) </v>
      </c>
      <c r="CM117" s="1830"/>
      <c r="CN117" s="1834" t="str">
        <f>IFERROR(INDEX(N_Bedarf!$CE$2:$CE$141,_xlfn.AGGREGATE(15,6,(ROW(N_Bedarf!$CE$2:$CE$141)-1)/(--(SEARCH(CO$2,N_Bedarf!$CE$2:$CE$141)&gt;0)),ROW()-2),1),"")</f>
        <v xml:space="preserve">Luzerne 6 Nutzungen (&gt;90% Legum.) </v>
      </c>
      <c r="CO117" s="1830"/>
      <c r="CP117" s="1834" t="str">
        <f>IFERROR(INDEX(N_Bedarf!$CE$2:$CE$141,_xlfn.AGGREGATE(15,6,(ROW(N_Bedarf!$CE$2:$CE$141)-1)/(--(SEARCH(CQ$2,N_Bedarf!$CE$2:$CE$141)&gt;0)),ROW()-2),1),"")</f>
        <v xml:space="preserve">Luzerne 6 Nutzungen (&gt;90% Legum.) </v>
      </c>
      <c r="CQ117" s="1830"/>
      <c r="CR117" s="1834" t="str">
        <f>IFERROR(INDEX(N_Bedarf!$CE$2:$CE$141,_xlfn.AGGREGATE(15,6,(ROW(N_Bedarf!$CE$2:$CE$141)-1)/(--(SEARCH(CS$2,N_Bedarf!$CE$2:$CE$141)&gt;0)),ROW()-2),1),"")</f>
        <v xml:space="preserve">Luzerne 6 Nutzungen (&gt;90% Legum.) </v>
      </c>
      <c r="CS117" s="1830"/>
      <c r="CT117" s="1834" t="str">
        <f>IFERROR(INDEX(N_Bedarf!$CE$2:$CE$141,_xlfn.AGGREGATE(15,6,(ROW(N_Bedarf!$CE$2:$CE$141)-1)/(--(SEARCH(CU$2,N_Bedarf!$CE$2:$CE$141)&gt;0)),ROW()-2),1),"")</f>
        <v xml:space="preserve">Luzerne 6 Nutzungen (&gt;90% Legum.) </v>
      </c>
      <c r="CU117" s="1830"/>
      <c r="CV117" s="1834" t="str">
        <f>IFERROR(INDEX(N_Bedarf!$CE$2:$CE$141,_xlfn.AGGREGATE(15,6,(ROW(N_Bedarf!$CE$2:$CE$141)-1)/(--(SEARCH(CW$2,N_Bedarf!$CE$2:$CE$141)&gt;0)),ROW()-2),1),"")</f>
        <v xml:space="preserve">Luzerne 6 Nutzungen (&gt;90% Legum.) </v>
      </c>
      <c r="CW117" s="1830"/>
      <c r="CX117" s="1834" t="str">
        <f>IFERROR(INDEX(N_Bedarf!$CE$2:$CE$141,_xlfn.AGGREGATE(15,6,(ROW(N_Bedarf!$CE$2:$CE$141)-1)/(--(SEARCH(CY$2,N_Bedarf!$CE$2:$CE$141)&gt;0)),ROW()-2),1),"")</f>
        <v xml:space="preserve">Luzerne 6 Nutzungen (&gt;90% Legum.) </v>
      </c>
      <c r="CY117" s="1830"/>
      <c r="CZ117" s="1834" t="str">
        <f>IFERROR(INDEX(N_Bedarf!$CE$2:$CE$141,_xlfn.AGGREGATE(15,6,(ROW(N_Bedarf!$CE$2:$CE$141)-1)/(--(SEARCH(DA$2,N_Bedarf!$CE$2:$CE$141)&gt;0)),ROW()-2),1),"")</f>
        <v xml:space="preserve">Luzerne 6 Nutzungen (&gt;90% Legum.) </v>
      </c>
      <c r="DA117" s="1830"/>
      <c r="DB117" s="1834" t="str">
        <f>IFERROR(INDEX(N_Bedarf!$CE$2:$CE$141,_xlfn.AGGREGATE(15,6,(ROW(N_Bedarf!$CE$2:$CE$141)-1)/(--(SEARCH(DC$2,N_Bedarf!$CE$2:$CE$141)&gt;0)),ROW()-2),1),"")</f>
        <v xml:space="preserve">Luzerne 6 Nutzungen (&gt;90% Legum.) </v>
      </c>
      <c r="DC117" s="1830"/>
      <c r="DD117" s="1834" t="str">
        <f>IFERROR(INDEX(N_Bedarf!$CE$2:$CE$141,_xlfn.AGGREGATE(15,6,(ROW(N_Bedarf!$CE$2:$CE$141)-1)/(--(SEARCH(DE$2,N_Bedarf!$CE$2:$CE$141)&gt;0)),ROW()-2),1),"")</f>
        <v xml:space="preserve">Luzerne 6 Nutzungen (&gt;90% Legum.) </v>
      </c>
      <c r="DE117" s="1830"/>
      <c r="DF117" s="2353" t="str">
        <f t="array" ref="DF117">IFERROR(INDEX(N_Bedarf!$CE$2:$CE$141,_xlfn.AGGREGATE(15,6,(ROW(N_Bedarf!$CE$2:$CE$141)-1)/(--(SEARCH(DG$2,N_Bedarf!$CE$2:$CE$141)&gt;0)),ROW()-2),1),"")</f>
        <v xml:space="preserve">Luzerne 6 Nutzungen (&gt;90% Legum.) </v>
      </c>
      <c r="DG117" s="2353"/>
      <c r="DH117" s="2355" t="str">
        <f t="array" ref="DH117">IFERROR(INDEX(N_Bedarf!$CE$2:$CE$141,_xlfn.AGGREGATE(15,6,(ROW(N_Bedarf!$CE$2:$CE$141)-1)/(--(SEARCH(DI$2,N_Bedarf!$CE$2:$CE$141)&gt;0)),ROW()-2),1),"")</f>
        <v xml:space="preserve">Luzerne 6 Nutzungen (&gt;90% Legum.) </v>
      </c>
      <c r="DI117" s="2355"/>
      <c r="DJ117" s="2356" t="str">
        <f t="array" ref="DJ117">IFERROR(INDEX(N_Bedarf!$CE$2:$CE$141,_xlfn.AGGREGATE(15,6,(ROW(N_Bedarf!$CE$2:$CE$141)-1)/(--(SEARCH(DK$2,N_Bedarf!$CE$2:$CE$141)&gt;0)),ROW()-2),1),"")</f>
        <v xml:space="preserve">Luzerne 6 Nutzungen (&gt;90% Legum.) </v>
      </c>
      <c r="DK117" s="2356"/>
      <c r="DL117" s="2356" t="str">
        <f t="array" ref="DL117">IFERROR(INDEX(N_Bedarf!$CE$2:$CE$141,_xlfn.AGGREGATE(15,6,(ROW(N_Bedarf!$CE$2:$CE$141)-1)/(--(SEARCH(DM$2,N_Bedarf!$CE$2:$CE$141)&gt;0)),ROW()-2),1),"")</f>
        <v xml:space="preserve">Luzerne 6 Nutzungen (&gt;90% Legum.) </v>
      </c>
      <c r="DM117" s="2356"/>
      <c r="DN117" s="2356" t="str">
        <f t="array" ref="DN117">IFERROR(INDEX(N_Bedarf!$CE$2:$CE$141,_xlfn.AGGREGATE(15,6,(ROW(N_Bedarf!$CE$2:$CE$141)-1)/(--(SEARCH(DO$2,N_Bedarf!$CE$2:$CE$141)&gt;0)),ROW()-2),1),"")</f>
        <v xml:space="preserve">Luzerne 6 Nutzungen (&gt;90% Legum.) </v>
      </c>
      <c r="DO117" s="2356"/>
      <c r="DP117" s="2356" t="str">
        <f t="array" ref="DP117">IFERROR(INDEX(N_Bedarf!$CE$2:$CE$141,_xlfn.AGGREGATE(15,6,(ROW(N_Bedarf!$CE$2:$CE$141)-1)/(--(SEARCH(DQ$2,N_Bedarf!$CE$2:$CE$141)&gt;0)),ROW()-2),1),"")</f>
        <v xml:space="preserve">Luzerne 6 Nutzungen (&gt;90% Legum.) </v>
      </c>
      <c r="DQ117" s="2356"/>
      <c r="DR117" s="2356" t="str">
        <f t="array" ref="DR117">IFERROR(INDEX(N_Bedarf!$CE$2:$CE$141,_xlfn.AGGREGATE(15,6,(ROW(N_Bedarf!$CE$2:$CE$141)-1)/(--(SEARCH(DS$2,N_Bedarf!$CE$2:$CE$141)&gt;0)),ROW()-2),1),"")</f>
        <v xml:space="preserve">Luzerne 6 Nutzungen (&gt;90% Legum.) </v>
      </c>
      <c r="DS117" s="2356"/>
      <c r="DT117" s="2356" t="str">
        <f t="array" ref="DT117">IFERROR(INDEX(N_Bedarf!$CE$2:$CE$141,_xlfn.AGGREGATE(15,6,(ROW(N_Bedarf!$CE$2:$CE$141)-1)/(--(SEARCH(DU$2,N_Bedarf!$CE$2:$CE$141)&gt;0)),ROW()-2),1),"")</f>
        <v xml:space="preserve">Luzerne 6 Nutzungen (&gt;90% Legum.) </v>
      </c>
      <c r="DU117" s="2356"/>
      <c r="DV117" s="2356" t="str">
        <f t="array" ref="DV117">IFERROR(INDEX(N_Bedarf!$CE$2:$CE$141,_xlfn.AGGREGATE(15,6,(ROW(N_Bedarf!$CE$2:$CE$141)-1)/(--(SEARCH(DW$2,N_Bedarf!$CE$2:$CE$141)&gt;0)),ROW()-2),1),"")</f>
        <v xml:space="preserve">Luzerne 6 Nutzungen (&gt;90% Legum.) </v>
      </c>
      <c r="DW117" s="2356"/>
      <c r="DX117" s="2356" t="str">
        <f t="array" ref="DX117">IFERROR(INDEX(N_Bedarf!$CE$2:$CE$141,_xlfn.AGGREGATE(15,6,(ROW(N_Bedarf!$CE$2:$CE$141)-1)/(--(SEARCH(DY$2,N_Bedarf!$CE$2:$CE$141)&gt;0)),ROW()-2),1),"")</f>
        <v xml:space="preserve">Luzerne 6 Nutzungen (&gt;90% Legum.) </v>
      </c>
      <c r="DY117" s="2356"/>
      <c r="DZ117" s="2356" t="str">
        <f t="array" ref="DZ117">IFERROR(INDEX(N_Bedarf!$CE$2:$CE$141,_xlfn.AGGREGATE(15,6,(ROW(N_Bedarf!$CE$2:$CE$141)-1)/(--(SEARCH(EA$2,N_Bedarf!$CE$2:$CE$141)&gt;0)),ROW()-2),1),"")</f>
        <v xml:space="preserve">Luzerne 6 Nutzungen (&gt;90% Legum.) </v>
      </c>
      <c r="EA117" s="2356"/>
      <c r="EB117" s="2356" t="str">
        <f t="array" ref="EB117">IFERROR(INDEX(N_Bedarf!$CE$2:$CE$141,_xlfn.AGGREGATE(15,6,(ROW(N_Bedarf!$CE$2:$CE$141)-1)/(--(SEARCH(EC$2,N_Bedarf!$CE$2:$CE$141)&gt;0)),ROW()-2),1),"")</f>
        <v xml:space="preserve">Luzerne 6 Nutzungen (&gt;90% Legum.) </v>
      </c>
      <c r="EC117" s="2356"/>
      <c r="ED117"/>
      <c r="EE117"/>
      <c r="EF117"/>
      <c r="EG117"/>
      <c r="EH117"/>
      <c r="EI117"/>
      <c r="EJ117"/>
      <c r="EK117"/>
      <c r="EL117"/>
      <c r="EM117"/>
      <c r="EN117"/>
      <c r="EO117"/>
      <c r="EP117"/>
      <c r="EQ117"/>
      <c r="ER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row>
    <row r="118" spans="1:291" ht="21" customHeight="1" thickTop="1" thickBot="1">
      <c r="A118" s="156"/>
      <c r="B118" s="156"/>
      <c r="C118" s="1758" t="s">
        <v>30</v>
      </c>
      <c r="D118" s="1759" t="s">
        <v>714</v>
      </c>
      <c r="E118" s="1729">
        <v>80</v>
      </c>
      <c r="F118" s="1760">
        <v>70</v>
      </c>
      <c r="G118" s="1993" t="s">
        <v>714</v>
      </c>
      <c r="H118" s="1994">
        <v>80</v>
      </c>
      <c r="I118" s="1995">
        <v>70</v>
      </c>
      <c r="J118" s="1759" t="s">
        <v>714</v>
      </c>
      <c r="K118" s="1729">
        <v>80</v>
      </c>
      <c r="L118" s="1760">
        <v>70</v>
      </c>
      <c r="M118" s="1759"/>
      <c r="N118" s="1729"/>
      <c r="O118" s="1760" t="s">
        <v>1764</v>
      </c>
      <c r="P118" s="1759"/>
      <c r="Q118" s="1729"/>
      <c r="R118" s="1761" t="s">
        <v>1764</v>
      </c>
      <c r="S118" s="1762">
        <v>85</v>
      </c>
      <c r="T118" s="1729">
        <v>85</v>
      </c>
      <c r="U118" s="1760">
        <v>85</v>
      </c>
      <c r="V118" s="1759">
        <v>70</v>
      </c>
      <c r="W118" s="1729">
        <v>70</v>
      </c>
      <c r="X118" s="1760">
        <v>70</v>
      </c>
      <c r="Y118" s="2009">
        <v>55</v>
      </c>
      <c r="Z118" s="2010">
        <v>55</v>
      </c>
      <c r="AA118" s="2011">
        <v>55</v>
      </c>
      <c r="AB118" s="1871" t="s">
        <v>1388</v>
      </c>
      <c r="AC118" s="1763" t="s">
        <v>1389</v>
      </c>
      <c r="AD118" s="1762">
        <v>120</v>
      </c>
      <c r="AE118" s="1729">
        <v>120</v>
      </c>
      <c r="AF118" s="1760">
        <v>120</v>
      </c>
      <c r="AG118" s="1759">
        <v>100</v>
      </c>
      <c r="AH118" s="1729">
        <v>100</v>
      </c>
      <c r="AI118" s="1760">
        <v>100</v>
      </c>
      <c r="AJ118" s="2009">
        <v>80</v>
      </c>
      <c r="AK118" s="2010">
        <v>80</v>
      </c>
      <c r="AL118" s="2011">
        <v>80</v>
      </c>
      <c r="AM118" s="1871" t="s">
        <v>1390</v>
      </c>
      <c r="AN118" s="1763" t="s">
        <v>1389</v>
      </c>
      <c r="AO118" s="156"/>
      <c r="AP118" s="156"/>
      <c r="AX118" s="1722" t="s">
        <v>1928</v>
      </c>
      <c r="AY118" s="681">
        <v>40</v>
      </c>
      <c r="AZ118" s="681">
        <v>40</v>
      </c>
      <c r="BA118" s="681" t="s">
        <v>2698</v>
      </c>
      <c r="BB118" s="681">
        <v>40</v>
      </c>
      <c r="BC118" s="681">
        <v>40</v>
      </c>
      <c r="BD118" s="681" t="s">
        <v>2698</v>
      </c>
      <c r="BE118" s="681">
        <v>40</v>
      </c>
      <c r="BF118" s="681">
        <v>40</v>
      </c>
      <c r="BG118" s="681" t="s">
        <v>2591</v>
      </c>
      <c r="BH118" s="681">
        <v>40</v>
      </c>
      <c r="BI118" s="681">
        <v>40</v>
      </c>
      <c r="BJ118" s="681" t="s">
        <v>2591</v>
      </c>
      <c r="BK118" s="681">
        <v>40</v>
      </c>
      <c r="BL118" s="681">
        <v>40</v>
      </c>
      <c r="BM118" s="681" t="s">
        <v>2591</v>
      </c>
      <c r="BN118" s="471">
        <v>0</v>
      </c>
      <c r="BO118" s="821">
        <v>40</v>
      </c>
      <c r="BP118"/>
      <c r="BQ118" s="1722" t="s">
        <v>1928</v>
      </c>
      <c r="BR118" s="470">
        <v>85</v>
      </c>
      <c r="BS118" s="470">
        <v>85</v>
      </c>
      <c r="BT118" s="470">
        <v>105</v>
      </c>
      <c r="BV118" s="1722" t="s">
        <v>1928</v>
      </c>
      <c r="BW118" s="470">
        <v>230</v>
      </c>
      <c r="BX118" s="470">
        <v>230</v>
      </c>
      <c r="BY118" s="470">
        <v>300</v>
      </c>
      <c r="CB118" s="428"/>
      <c r="CC118" s="428"/>
      <c r="CD118" s="428"/>
      <c r="CE118" s="2310" t="s">
        <v>1931</v>
      </c>
      <c r="CF118" s="1834" t="str">
        <f>IFERROR(INDEX(N_Bedarf!$CE$2:$CE$141,_xlfn.AGGREGATE(15,6,(ROW(N_Bedarf!$CE$2:$CE$141)-1)/(--(SEARCH(CG$2,N_Bedarf!$CE$2:$CE$141)&gt;0)),ROW()-2),1),"")</f>
        <v>Sämereienvermehrung - Alpingräser</v>
      </c>
      <c r="CG118" s="1836"/>
      <c r="CH118" s="1834" t="str">
        <f>IFERROR(INDEX(N_Bedarf!$CE$2:$CE$141,_xlfn.AGGREGATE(15,6,(ROW(N_Bedarf!$CE$2:$CE$141)-1)/(--(SEARCH(CI$2,N_Bedarf!$CE$2:$CE$141)&gt;0)),ROW()-2),1),"")</f>
        <v>Sämereienvermehrung - Alpingräser</v>
      </c>
      <c r="CI118" s="1836"/>
      <c r="CJ118" s="1834" t="str">
        <f>IFERROR(INDEX(N_Bedarf!$CE$2:$CE$141,_xlfn.AGGREGATE(15,6,(ROW(N_Bedarf!$CE$2:$CE$141)-1)/(--(SEARCH(CK$2,N_Bedarf!$CE$2:$CE$141)&gt;0)),ROW()-2),1),"")</f>
        <v>Sämereienvermehrung - Alpingräser</v>
      </c>
      <c r="CK118" s="1836"/>
      <c r="CL118" s="1834" t="str">
        <f>IFERROR(INDEX(N_Bedarf!$CE$2:$CE$141,_xlfn.AGGREGATE(15,6,(ROW(N_Bedarf!$CE$2:$CE$141)-1)/(--(SEARCH(CM$2,N_Bedarf!$CE$2:$CE$141)&gt;0)),ROW()-2),1),"")</f>
        <v>Sämereienvermehrung - Alpingräser</v>
      </c>
      <c r="CM118" s="1836"/>
      <c r="CN118" s="1834" t="str">
        <f>IFERROR(INDEX(N_Bedarf!$CE$2:$CE$141,_xlfn.AGGREGATE(15,6,(ROW(N_Bedarf!$CE$2:$CE$141)-1)/(--(SEARCH(CO$2,N_Bedarf!$CE$2:$CE$141)&gt;0)),ROW()-2),1),"")</f>
        <v>Sämereienvermehrung - Alpingräser</v>
      </c>
      <c r="CO118" s="1836"/>
      <c r="CP118" s="1834" t="str">
        <f>IFERROR(INDEX(N_Bedarf!$CE$2:$CE$141,_xlfn.AGGREGATE(15,6,(ROW(N_Bedarf!$CE$2:$CE$141)-1)/(--(SEARCH(CQ$2,N_Bedarf!$CE$2:$CE$141)&gt;0)),ROW()-2),1),"")</f>
        <v>Sämereienvermehrung - Alpingräser</v>
      </c>
      <c r="CQ118" s="1836"/>
      <c r="CR118" s="1834" t="str">
        <f>IFERROR(INDEX(N_Bedarf!$CE$2:$CE$141,_xlfn.AGGREGATE(15,6,(ROW(N_Bedarf!$CE$2:$CE$141)-1)/(--(SEARCH(CS$2,N_Bedarf!$CE$2:$CE$141)&gt;0)),ROW()-2),1),"")</f>
        <v>Sämereienvermehrung - Alpingräser</v>
      </c>
      <c r="CS118" s="1836"/>
      <c r="CT118" s="1834" t="str">
        <f>IFERROR(INDEX(N_Bedarf!$CE$2:$CE$141,_xlfn.AGGREGATE(15,6,(ROW(N_Bedarf!$CE$2:$CE$141)-1)/(--(SEARCH(CU$2,N_Bedarf!$CE$2:$CE$141)&gt;0)),ROW()-2),1),"")</f>
        <v>Sämereienvermehrung - Alpingräser</v>
      </c>
      <c r="CU118" s="1836"/>
      <c r="CV118" s="1834" t="str">
        <f>IFERROR(INDEX(N_Bedarf!$CE$2:$CE$141,_xlfn.AGGREGATE(15,6,(ROW(N_Bedarf!$CE$2:$CE$141)-1)/(--(SEARCH(CW$2,N_Bedarf!$CE$2:$CE$141)&gt;0)),ROW()-2),1),"")</f>
        <v>Sämereienvermehrung - Alpingräser</v>
      </c>
      <c r="CW118" s="1836"/>
      <c r="CX118" s="1834" t="str">
        <f>IFERROR(INDEX(N_Bedarf!$CE$2:$CE$141,_xlfn.AGGREGATE(15,6,(ROW(N_Bedarf!$CE$2:$CE$141)-1)/(--(SEARCH(CY$2,N_Bedarf!$CE$2:$CE$141)&gt;0)),ROW()-2),1),"")</f>
        <v>Sämereienvermehrung - Alpingräser</v>
      </c>
      <c r="CY118" s="1836"/>
      <c r="CZ118" s="1834" t="str">
        <f>IFERROR(INDEX(N_Bedarf!$CE$2:$CE$141,_xlfn.AGGREGATE(15,6,(ROW(N_Bedarf!$CE$2:$CE$141)-1)/(--(SEARCH(DA$2,N_Bedarf!$CE$2:$CE$141)&gt;0)),ROW()-2),1),"")</f>
        <v>Sämereienvermehrung - Alpingräser</v>
      </c>
      <c r="DA118" s="1836"/>
      <c r="DB118" s="1834" t="str">
        <f>IFERROR(INDEX(N_Bedarf!$CE$2:$CE$141,_xlfn.AGGREGATE(15,6,(ROW(N_Bedarf!$CE$2:$CE$141)-1)/(--(SEARCH(DC$2,N_Bedarf!$CE$2:$CE$141)&gt;0)),ROW()-2),1),"")</f>
        <v>Sämereienvermehrung - Alpingräser</v>
      </c>
      <c r="DC118" s="1836"/>
      <c r="DD118" s="1834" t="str">
        <f>IFERROR(INDEX(N_Bedarf!$CE$2:$CE$141,_xlfn.AGGREGATE(15,6,(ROW(N_Bedarf!$CE$2:$CE$141)-1)/(--(SEARCH(DE$2,N_Bedarf!$CE$2:$CE$141)&gt;0)),ROW()-2),1),"")</f>
        <v>Sämereienvermehrung - Alpingräser</v>
      </c>
      <c r="DE118" s="1836"/>
      <c r="DF118" s="2353" t="str">
        <f t="array" ref="DF118">IFERROR(INDEX(N_Bedarf!$CE$2:$CE$141,_xlfn.AGGREGATE(15,6,(ROW(N_Bedarf!$CE$2:$CE$141)-1)/(--(SEARCH(DG$2,N_Bedarf!$CE$2:$CE$141)&gt;0)),ROW()-2),1),"")</f>
        <v>Sämereienvermehrung - Alpingräser</v>
      </c>
      <c r="DG118" s="2353"/>
      <c r="DH118" s="2355" t="str">
        <f t="array" ref="DH118">IFERROR(INDEX(N_Bedarf!$CE$2:$CE$141,_xlfn.AGGREGATE(15,6,(ROW(N_Bedarf!$CE$2:$CE$141)-1)/(--(SEARCH(DI$2,N_Bedarf!$CE$2:$CE$141)&gt;0)),ROW()-2),1),"")</f>
        <v>Sämereienvermehrung - Alpingräser</v>
      </c>
      <c r="DI118" s="2355"/>
      <c r="DJ118" s="2356" t="str">
        <f t="array" ref="DJ118">IFERROR(INDEX(N_Bedarf!$CE$2:$CE$141,_xlfn.AGGREGATE(15,6,(ROW(N_Bedarf!$CE$2:$CE$141)-1)/(--(SEARCH(DK$2,N_Bedarf!$CE$2:$CE$141)&gt;0)),ROW()-2),1),"")</f>
        <v>Sämereienvermehrung - Alpingräser</v>
      </c>
      <c r="DK118" s="2356"/>
      <c r="DL118" s="2356" t="str">
        <f t="array" ref="DL118">IFERROR(INDEX(N_Bedarf!$CE$2:$CE$141,_xlfn.AGGREGATE(15,6,(ROW(N_Bedarf!$CE$2:$CE$141)-1)/(--(SEARCH(DM$2,N_Bedarf!$CE$2:$CE$141)&gt;0)),ROW()-2),1),"")</f>
        <v>Sämereienvermehrung - Alpingräser</v>
      </c>
      <c r="DM118" s="2356"/>
      <c r="DN118" s="2356" t="str">
        <f t="array" ref="DN118">IFERROR(INDEX(N_Bedarf!$CE$2:$CE$141,_xlfn.AGGREGATE(15,6,(ROW(N_Bedarf!$CE$2:$CE$141)-1)/(--(SEARCH(DO$2,N_Bedarf!$CE$2:$CE$141)&gt;0)),ROW()-2),1),"")</f>
        <v>Sämereienvermehrung - Alpingräser</v>
      </c>
      <c r="DO118" s="2356"/>
      <c r="DP118" s="2356" t="str">
        <f t="array" ref="DP118">IFERROR(INDEX(N_Bedarf!$CE$2:$CE$141,_xlfn.AGGREGATE(15,6,(ROW(N_Bedarf!$CE$2:$CE$141)-1)/(--(SEARCH(DQ$2,N_Bedarf!$CE$2:$CE$141)&gt;0)),ROW()-2),1),"")</f>
        <v>Sämereienvermehrung - Alpingräser</v>
      </c>
      <c r="DQ118" s="2356"/>
      <c r="DR118" s="2356" t="str">
        <f t="array" ref="DR118">IFERROR(INDEX(N_Bedarf!$CE$2:$CE$141,_xlfn.AGGREGATE(15,6,(ROW(N_Bedarf!$CE$2:$CE$141)-1)/(--(SEARCH(DS$2,N_Bedarf!$CE$2:$CE$141)&gt;0)),ROW()-2),1),"")</f>
        <v>Sämereienvermehrung - Alpingräser</v>
      </c>
      <c r="DS118" s="2356"/>
      <c r="DT118" s="2356" t="str">
        <f t="array" ref="DT118">IFERROR(INDEX(N_Bedarf!$CE$2:$CE$141,_xlfn.AGGREGATE(15,6,(ROW(N_Bedarf!$CE$2:$CE$141)-1)/(--(SEARCH(DU$2,N_Bedarf!$CE$2:$CE$141)&gt;0)),ROW()-2),1),"")</f>
        <v>Sämereienvermehrung - Alpingräser</v>
      </c>
      <c r="DU118" s="2356"/>
      <c r="DV118" s="2356" t="str">
        <f t="array" ref="DV118">IFERROR(INDEX(N_Bedarf!$CE$2:$CE$141,_xlfn.AGGREGATE(15,6,(ROW(N_Bedarf!$CE$2:$CE$141)-1)/(--(SEARCH(DW$2,N_Bedarf!$CE$2:$CE$141)&gt;0)),ROW()-2),1),"")</f>
        <v>Sämereienvermehrung - Alpingräser</v>
      </c>
      <c r="DW118" s="2356"/>
      <c r="DX118" s="2356" t="str">
        <f t="array" ref="DX118">IFERROR(INDEX(N_Bedarf!$CE$2:$CE$141,_xlfn.AGGREGATE(15,6,(ROW(N_Bedarf!$CE$2:$CE$141)-1)/(--(SEARCH(DY$2,N_Bedarf!$CE$2:$CE$141)&gt;0)),ROW()-2),1),"")</f>
        <v>Sämereienvermehrung - Alpingräser</v>
      </c>
      <c r="DY118" s="2356"/>
      <c r="DZ118" s="2356" t="str">
        <f t="array" ref="DZ118">IFERROR(INDEX(N_Bedarf!$CE$2:$CE$141,_xlfn.AGGREGATE(15,6,(ROW(N_Bedarf!$CE$2:$CE$141)-1)/(--(SEARCH(EA$2,N_Bedarf!$CE$2:$CE$141)&gt;0)),ROW()-2),1),"")</f>
        <v>Sämereienvermehrung - Alpingräser</v>
      </c>
      <c r="EA118" s="2356"/>
      <c r="EB118" s="2356" t="str">
        <f t="array" ref="EB118">IFERROR(INDEX(N_Bedarf!$CE$2:$CE$141,_xlfn.AGGREGATE(15,6,(ROW(N_Bedarf!$CE$2:$CE$141)-1)/(--(SEARCH(EC$2,N_Bedarf!$CE$2:$CE$141)&gt;0)),ROW()-2),1),"")</f>
        <v>Sämereienvermehrung - Alpingräser</v>
      </c>
      <c r="EC118" s="2356"/>
      <c r="ED118"/>
      <c r="EE118"/>
      <c r="EF118"/>
      <c r="EG118"/>
      <c r="EH118"/>
      <c r="EI118"/>
      <c r="EJ118"/>
      <c r="EK118"/>
      <c r="EL118"/>
      <c r="EM118"/>
      <c r="EN118"/>
      <c r="EO118"/>
      <c r="EP118"/>
      <c r="EQ118"/>
      <c r="ER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row>
    <row r="119" spans="1:291" ht="25.7" customHeight="1" thickTop="1" thickBot="1">
      <c r="A119" s="156"/>
      <c r="B119" s="156"/>
      <c r="C119" s="1764" t="s">
        <v>2372</v>
      </c>
      <c r="D119" s="1765" t="s">
        <v>25</v>
      </c>
      <c r="E119" s="1766">
        <v>60</v>
      </c>
      <c r="F119" s="1767">
        <v>50</v>
      </c>
      <c r="G119" s="1993" t="s">
        <v>1799</v>
      </c>
      <c r="H119" s="1994">
        <v>80</v>
      </c>
      <c r="I119" s="1995">
        <v>70</v>
      </c>
      <c r="J119" s="1765" t="s">
        <v>582</v>
      </c>
      <c r="K119" s="1766">
        <v>105</v>
      </c>
      <c r="L119" s="1767">
        <v>90</v>
      </c>
      <c r="M119" s="1765"/>
      <c r="N119" s="1766"/>
      <c r="O119" s="1767"/>
      <c r="P119" s="1765"/>
      <c r="Q119" s="1766"/>
      <c r="R119" s="1768"/>
      <c r="S119" s="1762">
        <v>85</v>
      </c>
      <c r="T119" s="1766">
        <v>85</v>
      </c>
      <c r="U119" s="1760">
        <v>85</v>
      </c>
      <c r="V119" s="1759">
        <v>70</v>
      </c>
      <c r="W119" s="1766">
        <v>70</v>
      </c>
      <c r="X119" s="1760">
        <v>70</v>
      </c>
      <c r="Y119" s="2012">
        <v>50</v>
      </c>
      <c r="Z119" s="2010">
        <v>55</v>
      </c>
      <c r="AA119" s="2013">
        <v>65</v>
      </c>
      <c r="AB119" s="1872" t="s">
        <v>1388</v>
      </c>
      <c r="AC119" s="1769" t="s">
        <v>1389</v>
      </c>
      <c r="AD119" s="1762">
        <v>120</v>
      </c>
      <c r="AE119" s="1766">
        <v>120</v>
      </c>
      <c r="AF119" s="1760">
        <v>120</v>
      </c>
      <c r="AG119" s="1759">
        <v>100</v>
      </c>
      <c r="AH119" s="1766">
        <v>100</v>
      </c>
      <c r="AI119" s="1760">
        <v>100</v>
      </c>
      <c r="AJ119" s="2012">
        <v>80</v>
      </c>
      <c r="AK119" s="2010">
        <v>80</v>
      </c>
      <c r="AL119" s="2013">
        <v>80</v>
      </c>
      <c r="AM119" s="1872" t="s">
        <v>1390</v>
      </c>
      <c r="AN119" s="1769" t="s">
        <v>1389</v>
      </c>
      <c r="AO119" s="156"/>
      <c r="AP119" s="156"/>
      <c r="AX119" s="1722" t="s">
        <v>1929</v>
      </c>
      <c r="AY119" s="681">
        <v>40</v>
      </c>
      <c r="AZ119" s="681">
        <v>40</v>
      </c>
      <c r="BA119" s="681" t="s">
        <v>2587</v>
      </c>
      <c r="BB119" s="681">
        <v>40</v>
      </c>
      <c r="BC119" s="681">
        <v>40</v>
      </c>
      <c r="BD119" s="681" t="s">
        <v>2587</v>
      </c>
      <c r="BE119" s="681">
        <v>40</v>
      </c>
      <c r="BF119" s="681">
        <v>40</v>
      </c>
      <c r="BG119" s="681" t="s">
        <v>2587</v>
      </c>
      <c r="BH119" s="681">
        <v>40</v>
      </c>
      <c r="BI119" s="681">
        <v>40</v>
      </c>
      <c r="BJ119" s="681" t="s">
        <v>2587</v>
      </c>
      <c r="BK119" s="681">
        <v>40</v>
      </c>
      <c r="BL119" s="681">
        <v>40</v>
      </c>
      <c r="BM119" s="681" t="s">
        <v>2587</v>
      </c>
      <c r="BN119" s="471">
        <v>0</v>
      </c>
      <c r="BO119" s="821">
        <v>40</v>
      </c>
      <c r="BP119"/>
      <c r="BQ119" s="1722" t="s">
        <v>1929</v>
      </c>
      <c r="BR119" s="470">
        <v>120</v>
      </c>
      <c r="BS119" s="470">
        <v>120</v>
      </c>
      <c r="BT119" s="470">
        <v>120</v>
      </c>
      <c r="BV119" s="1722" t="s">
        <v>1929</v>
      </c>
      <c r="BW119" s="470">
        <v>340</v>
      </c>
      <c r="BX119" s="470">
        <v>340</v>
      </c>
      <c r="BY119" s="470">
        <v>340</v>
      </c>
      <c r="CB119" s="428"/>
      <c r="CC119" s="428"/>
      <c r="CD119" s="428"/>
      <c r="CE119" s="2310" t="s">
        <v>1932</v>
      </c>
      <c r="CF119" s="1834" t="str">
        <f>IFERROR(INDEX(N_Bedarf!$CE$2:$CE$141,_xlfn.AGGREGATE(15,6,(ROW(N_Bedarf!$CE$2:$CE$141)-1)/(--(SEARCH(CG$2,N_Bedarf!$CE$2:$CE$141)&gt;0)),ROW()-2),1),"")</f>
        <v>Sämereienvermehrung - Gräser</v>
      </c>
      <c r="CG119" s="1830"/>
      <c r="CH119" s="1834" t="str">
        <f>IFERROR(INDEX(N_Bedarf!$CE$2:$CE$141,_xlfn.AGGREGATE(15,6,(ROW(N_Bedarf!$CE$2:$CE$141)-1)/(--(SEARCH(CI$2,N_Bedarf!$CE$2:$CE$141)&gt;0)),ROW()-2),1),"")</f>
        <v>Sämereienvermehrung - Gräser</v>
      </c>
      <c r="CI119" s="1830"/>
      <c r="CJ119" s="1834" t="str">
        <f>IFERROR(INDEX(N_Bedarf!$CE$2:$CE$141,_xlfn.AGGREGATE(15,6,(ROW(N_Bedarf!$CE$2:$CE$141)-1)/(--(SEARCH(CK$2,N_Bedarf!$CE$2:$CE$141)&gt;0)),ROW()-2),1),"")</f>
        <v>Sämereienvermehrung - Gräser</v>
      </c>
      <c r="CK119" s="1830"/>
      <c r="CL119" s="1834" t="str">
        <f>IFERROR(INDEX(N_Bedarf!$CE$2:$CE$141,_xlfn.AGGREGATE(15,6,(ROW(N_Bedarf!$CE$2:$CE$141)-1)/(--(SEARCH(CM$2,N_Bedarf!$CE$2:$CE$141)&gt;0)),ROW()-2),1),"")</f>
        <v>Sämereienvermehrung - Gräser</v>
      </c>
      <c r="CM119" s="1830"/>
      <c r="CN119" s="1834" t="str">
        <f>IFERROR(INDEX(N_Bedarf!$CE$2:$CE$141,_xlfn.AGGREGATE(15,6,(ROW(N_Bedarf!$CE$2:$CE$141)-1)/(--(SEARCH(CO$2,N_Bedarf!$CE$2:$CE$141)&gt;0)),ROW()-2),1),"")</f>
        <v>Sämereienvermehrung - Gräser</v>
      </c>
      <c r="CO119" s="1830"/>
      <c r="CP119" s="1834" t="str">
        <f>IFERROR(INDEX(N_Bedarf!$CE$2:$CE$141,_xlfn.AGGREGATE(15,6,(ROW(N_Bedarf!$CE$2:$CE$141)-1)/(--(SEARCH(CQ$2,N_Bedarf!$CE$2:$CE$141)&gt;0)),ROW()-2),1),"")</f>
        <v>Sämereienvermehrung - Gräser</v>
      </c>
      <c r="CQ119" s="1830"/>
      <c r="CR119" s="1834" t="str">
        <f>IFERROR(INDEX(N_Bedarf!$CE$2:$CE$141,_xlfn.AGGREGATE(15,6,(ROW(N_Bedarf!$CE$2:$CE$141)-1)/(--(SEARCH(CS$2,N_Bedarf!$CE$2:$CE$141)&gt;0)),ROW()-2),1),"")</f>
        <v>Sämereienvermehrung - Gräser</v>
      </c>
      <c r="CS119" s="1830"/>
      <c r="CT119" s="1834" t="str">
        <f>IFERROR(INDEX(N_Bedarf!$CE$2:$CE$141,_xlfn.AGGREGATE(15,6,(ROW(N_Bedarf!$CE$2:$CE$141)-1)/(--(SEARCH(CU$2,N_Bedarf!$CE$2:$CE$141)&gt;0)),ROW()-2),1),"")</f>
        <v>Sämereienvermehrung - Gräser</v>
      </c>
      <c r="CU119" s="1830"/>
      <c r="CV119" s="1834" t="str">
        <f>IFERROR(INDEX(N_Bedarf!$CE$2:$CE$141,_xlfn.AGGREGATE(15,6,(ROW(N_Bedarf!$CE$2:$CE$141)-1)/(--(SEARCH(CW$2,N_Bedarf!$CE$2:$CE$141)&gt;0)),ROW()-2),1),"")</f>
        <v>Sämereienvermehrung - Gräser</v>
      </c>
      <c r="CW119" s="1830"/>
      <c r="CX119" s="1834" t="str">
        <f>IFERROR(INDEX(N_Bedarf!$CE$2:$CE$141,_xlfn.AGGREGATE(15,6,(ROW(N_Bedarf!$CE$2:$CE$141)-1)/(--(SEARCH(CY$2,N_Bedarf!$CE$2:$CE$141)&gt;0)),ROW()-2),1),"")</f>
        <v>Sämereienvermehrung - Gräser</v>
      </c>
      <c r="CY119" s="1830"/>
      <c r="CZ119" s="1834" t="str">
        <f>IFERROR(INDEX(N_Bedarf!$CE$2:$CE$141,_xlfn.AGGREGATE(15,6,(ROW(N_Bedarf!$CE$2:$CE$141)-1)/(--(SEARCH(DA$2,N_Bedarf!$CE$2:$CE$141)&gt;0)),ROW()-2),1),"")</f>
        <v>Sämereienvermehrung - Gräser</v>
      </c>
      <c r="DA119" s="1830"/>
      <c r="DB119" s="1834" t="str">
        <f>IFERROR(INDEX(N_Bedarf!$CE$2:$CE$141,_xlfn.AGGREGATE(15,6,(ROW(N_Bedarf!$CE$2:$CE$141)-1)/(--(SEARCH(DC$2,N_Bedarf!$CE$2:$CE$141)&gt;0)),ROW()-2),1),"")</f>
        <v>Sämereienvermehrung - Gräser</v>
      </c>
      <c r="DC119" s="1830"/>
      <c r="DD119" s="1834" t="str">
        <f>IFERROR(INDEX(N_Bedarf!$CE$2:$CE$141,_xlfn.AGGREGATE(15,6,(ROW(N_Bedarf!$CE$2:$CE$141)-1)/(--(SEARCH(DE$2,N_Bedarf!$CE$2:$CE$141)&gt;0)),ROW()-2),1),"")</f>
        <v>Sämereienvermehrung - Gräser</v>
      </c>
      <c r="DE119" s="1830"/>
      <c r="DF119" s="2353" t="str">
        <f t="array" ref="DF119">IFERROR(INDEX(N_Bedarf!$CE$2:$CE$141,_xlfn.AGGREGATE(15,6,(ROW(N_Bedarf!$CE$2:$CE$141)-1)/(--(SEARCH(DG$2,N_Bedarf!$CE$2:$CE$141)&gt;0)),ROW()-2),1),"")</f>
        <v>Sämereienvermehrung - Gräser</v>
      </c>
      <c r="DG119" s="2353"/>
      <c r="DH119" s="2355" t="str">
        <f t="array" ref="DH119">IFERROR(INDEX(N_Bedarf!$CE$2:$CE$141,_xlfn.AGGREGATE(15,6,(ROW(N_Bedarf!$CE$2:$CE$141)-1)/(--(SEARCH(DI$2,N_Bedarf!$CE$2:$CE$141)&gt;0)),ROW()-2),1),"")</f>
        <v>Sämereienvermehrung - Gräser</v>
      </c>
      <c r="DI119" s="2355"/>
      <c r="DJ119" s="2356" t="str">
        <f t="array" ref="DJ119">IFERROR(INDEX(N_Bedarf!$CE$2:$CE$141,_xlfn.AGGREGATE(15,6,(ROW(N_Bedarf!$CE$2:$CE$141)-1)/(--(SEARCH(DK$2,N_Bedarf!$CE$2:$CE$141)&gt;0)),ROW()-2),1),"")</f>
        <v>Sämereienvermehrung - Gräser</v>
      </c>
      <c r="DK119" s="2356"/>
      <c r="DL119" s="2356" t="str">
        <f t="array" ref="DL119">IFERROR(INDEX(N_Bedarf!$CE$2:$CE$141,_xlfn.AGGREGATE(15,6,(ROW(N_Bedarf!$CE$2:$CE$141)-1)/(--(SEARCH(DM$2,N_Bedarf!$CE$2:$CE$141)&gt;0)),ROW()-2),1),"")</f>
        <v>Sämereienvermehrung - Gräser</v>
      </c>
      <c r="DM119" s="2356"/>
      <c r="DN119" s="2356" t="str">
        <f t="array" ref="DN119">IFERROR(INDEX(N_Bedarf!$CE$2:$CE$141,_xlfn.AGGREGATE(15,6,(ROW(N_Bedarf!$CE$2:$CE$141)-1)/(--(SEARCH(DO$2,N_Bedarf!$CE$2:$CE$141)&gt;0)),ROW()-2),1),"")</f>
        <v>Sämereienvermehrung - Gräser</v>
      </c>
      <c r="DO119" s="2356"/>
      <c r="DP119" s="2356" t="str">
        <f t="array" ref="DP119">IFERROR(INDEX(N_Bedarf!$CE$2:$CE$141,_xlfn.AGGREGATE(15,6,(ROW(N_Bedarf!$CE$2:$CE$141)-1)/(--(SEARCH(DQ$2,N_Bedarf!$CE$2:$CE$141)&gt;0)),ROW()-2),1),"")</f>
        <v>Sämereienvermehrung - Gräser</v>
      </c>
      <c r="DQ119" s="2356"/>
      <c r="DR119" s="2356" t="str">
        <f t="array" ref="DR119">IFERROR(INDEX(N_Bedarf!$CE$2:$CE$141,_xlfn.AGGREGATE(15,6,(ROW(N_Bedarf!$CE$2:$CE$141)-1)/(--(SEARCH(DS$2,N_Bedarf!$CE$2:$CE$141)&gt;0)),ROW()-2),1),"")</f>
        <v>Sämereienvermehrung - Gräser</v>
      </c>
      <c r="DS119" s="2356"/>
      <c r="DT119" s="2356" t="str">
        <f t="array" ref="DT119">IFERROR(INDEX(N_Bedarf!$CE$2:$CE$141,_xlfn.AGGREGATE(15,6,(ROW(N_Bedarf!$CE$2:$CE$141)-1)/(--(SEARCH(DU$2,N_Bedarf!$CE$2:$CE$141)&gt;0)),ROW()-2),1),"")</f>
        <v>Sämereienvermehrung - Gräser</v>
      </c>
      <c r="DU119" s="2356"/>
      <c r="DV119" s="2356" t="str">
        <f t="array" ref="DV119">IFERROR(INDEX(N_Bedarf!$CE$2:$CE$141,_xlfn.AGGREGATE(15,6,(ROW(N_Bedarf!$CE$2:$CE$141)-1)/(--(SEARCH(DW$2,N_Bedarf!$CE$2:$CE$141)&gt;0)),ROW()-2),1),"")</f>
        <v>Sämereienvermehrung - Gräser</v>
      </c>
      <c r="DW119" s="2356"/>
      <c r="DX119" s="2356" t="str">
        <f t="array" ref="DX119">IFERROR(INDEX(N_Bedarf!$CE$2:$CE$141,_xlfn.AGGREGATE(15,6,(ROW(N_Bedarf!$CE$2:$CE$141)-1)/(--(SEARCH(DY$2,N_Bedarf!$CE$2:$CE$141)&gt;0)),ROW()-2),1),"")</f>
        <v>Sämereienvermehrung - Gräser</v>
      </c>
      <c r="DY119" s="2356"/>
      <c r="DZ119" s="2356" t="str">
        <f t="array" ref="DZ119">IFERROR(INDEX(N_Bedarf!$CE$2:$CE$141,_xlfn.AGGREGATE(15,6,(ROW(N_Bedarf!$CE$2:$CE$141)-1)/(--(SEARCH(EA$2,N_Bedarf!$CE$2:$CE$141)&gt;0)),ROW()-2),1),"")</f>
        <v>Sämereienvermehrung - Gräser</v>
      </c>
      <c r="EA119" s="2356"/>
      <c r="EB119" s="2356" t="str">
        <f t="array" ref="EB119">IFERROR(INDEX(N_Bedarf!$CE$2:$CE$141,_xlfn.AGGREGATE(15,6,(ROW(N_Bedarf!$CE$2:$CE$141)-1)/(--(SEARCH(EC$2,N_Bedarf!$CE$2:$CE$141)&gt;0)),ROW()-2),1),"")</f>
        <v>Sämereienvermehrung - Gräser</v>
      </c>
      <c r="EC119" s="2356"/>
      <c r="ED119"/>
      <c r="EE119"/>
      <c r="EF119"/>
      <c r="EG119"/>
      <c r="EH119"/>
      <c r="EI119"/>
      <c r="EJ119"/>
      <c r="EK119"/>
      <c r="EL119"/>
      <c r="EM119"/>
      <c r="EN119"/>
      <c r="EO119"/>
      <c r="EP119"/>
      <c r="EQ119"/>
      <c r="ER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row>
    <row r="120" spans="1:291" ht="21" customHeight="1" thickTop="1" thickBot="1">
      <c r="A120" s="156"/>
      <c r="B120" s="156"/>
      <c r="C120" s="1758" t="s">
        <v>31</v>
      </c>
      <c r="D120" s="1759" t="s">
        <v>1394</v>
      </c>
      <c r="E120" s="1729">
        <v>210</v>
      </c>
      <c r="F120" s="1760">
        <v>180</v>
      </c>
      <c r="G120" s="1993" t="s">
        <v>1395</v>
      </c>
      <c r="H120" s="1994">
        <v>210</v>
      </c>
      <c r="I120" s="1995">
        <v>180</v>
      </c>
      <c r="J120" s="1759" t="s">
        <v>1399</v>
      </c>
      <c r="K120" s="1729">
        <v>210</v>
      </c>
      <c r="L120" s="1760">
        <v>180</v>
      </c>
      <c r="M120" s="1759" t="s">
        <v>1400</v>
      </c>
      <c r="N120" s="1729">
        <v>210</v>
      </c>
      <c r="O120" s="1760">
        <v>180</v>
      </c>
      <c r="P120" s="1759" t="s">
        <v>1401</v>
      </c>
      <c r="Q120" s="1729">
        <v>210</v>
      </c>
      <c r="R120" s="1761">
        <v>180</v>
      </c>
      <c r="S120" s="1762">
        <v>85</v>
      </c>
      <c r="T120" s="1729">
        <v>85</v>
      </c>
      <c r="U120" s="1760">
        <v>85</v>
      </c>
      <c r="V120" s="1759">
        <v>70</v>
      </c>
      <c r="W120" s="1729">
        <v>70</v>
      </c>
      <c r="X120" s="1760">
        <v>70</v>
      </c>
      <c r="Y120" s="2009">
        <v>50</v>
      </c>
      <c r="Z120" s="2010">
        <v>55</v>
      </c>
      <c r="AA120" s="2011">
        <v>65</v>
      </c>
      <c r="AB120" s="1871" t="s">
        <v>1388</v>
      </c>
      <c r="AC120" s="1763" t="s">
        <v>1389</v>
      </c>
      <c r="AD120" s="1762" t="s">
        <v>1764</v>
      </c>
      <c r="AE120" s="1729" t="s">
        <v>1764</v>
      </c>
      <c r="AF120" s="1760" t="s">
        <v>1764</v>
      </c>
      <c r="AG120" s="1759" t="s">
        <v>1764</v>
      </c>
      <c r="AH120" s="1729" t="s">
        <v>1764</v>
      </c>
      <c r="AI120" s="1760" t="s">
        <v>1764</v>
      </c>
      <c r="AJ120" s="2009" t="s">
        <v>1764</v>
      </c>
      <c r="AK120" s="2010" t="s">
        <v>1764</v>
      </c>
      <c r="AL120" s="2011" t="s">
        <v>1764</v>
      </c>
      <c r="AM120" s="1871" t="s">
        <v>1764</v>
      </c>
      <c r="AN120" s="1763" t="s">
        <v>1764</v>
      </c>
      <c r="AO120" s="156"/>
      <c r="AP120" s="156"/>
      <c r="AX120" s="1722" t="s">
        <v>1930</v>
      </c>
      <c r="AY120" s="681">
        <v>80</v>
      </c>
      <c r="AZ120" s="681">
        <v>80</v>
      </c>
      <c r="BA120" s="681" t="s">
        <v>2700</v>
      </c>
      <c r="BB120" s="681">
        <v>100</v>
      </c>
      <c r="BC120" s="681">
        <v>100</v>
      </c>
      <c r="BD120" s="681" t="s">
        <v>2743</v>
      </c>
      <c r="BE120" s="681">
        <v>150</v>
      </c>
      <c r="BF120" s="681">
        <v>150</v>
      </c>
      <c r="BG120" s="681" t="s">
        <v>2592</v>
      </c>
      <c r="BH120" s="681">
        <v>150</v>
      </c>
      <c r="BI120" s="681">
        <v>150</v>
      </c>
      <c r="BJ120" s="681" t="s">
        <v>2592</v>
      </c>
      <c r="BK120" s="681">
        <v>150</v>
      </c>
      <c r="BL120" s="681">
        <v>150</v>
      </c>
      <c r="BM120" s="681" t="s">
        <v>2592</v>
      </c>
      <c r="BN120" s="471">
        <v>0</v>
      </c>
      <c r="BO120" s="821" t="s">
        <v>1764</v>
      </c>
      <c r="BP120"/>
      <c r="BQ120" s="1722" t="s">
        <v>1930</v>
      </c>
      <c r="BR120" s="470">
        <v>40</v>
      </c>
      <c r="BS120" s="470">
        <v>60</v>
      </c>
      <c r="BT120" s="470">
        <v>60</v>
      </c>
      <c r="BV120" s="1722" t="s">
        <v>1930</v>
      </c>
      <c r="BW120" s="470">
        <v>70</v>
      </c>
      <c r="BX120" s="470">
        <v>120</v>
      </c>
      <c r="BY120" s="470">
        <v>120</v>
      </c>
      <c r="CB120" s="428"/>
      <c r="CC120" s="428"/>
      <c r="CD120" s="428"/>
      <c r="CE120" s="2310" t="s">
        <v>1899</v>
      </c>
      <c r="CF120" s="1834" t="str">
        <f>IFERROR(INDEX(N_Bedarf!$CE$2:$CE$141,_xlfn.AGGREGATE(15,6,(ROW(N_Bedarf!$CE$2:$CE$141)-1)/(--(SEARCH(CG$2,N_Bedarf!$CE$2:$CE$141)&gt;0)),ROW()-2),1),"")</f>
        <v>Sämereienvermehrung - Rotklee</v>
      </c>
      <c r="CG120" s="1836"/>
      <c r="CH120" s="1834" t="str">
        <f>IFERROR(INDEX(N_Bedarf!$CE$2:$CE$141,_xlfn.AGGREGATE(15,6,(ROW(N_Bedarf!$CE$2:$CE$141)-1)/(--(SEARCH(CI$2,N_Bedarf!$CE$2:$CE$141)&gt;0)),ROW()-2),1),"")</f>
        <v>Sämereienvermehrung - Rotklee</v>
      </c>
      <c r="CI120" s="1836"/>
      <c r="CJ120" s="1834" t="str">
        <f>IFERROR(INDEX(N_Bedarf!$CE$2:$CE$141,_xlfn.AGGREGATE(15,6,(ROW(N_Bedarf!$CE$2:$CE$141)-1)/(--(SEARCH(CK$2,N_Bedarf!$CE$2:$CE$141)&gt;0)),ROW()-2),1),"")</f>
        <v>Sämereienvermehrung - Rotklee</v>
      </c>
      <c r="CK120" s="1836"/>
      <c r="CL120" s="1834" t="str">
        <f>IFERROR(INDEX(N_Bedarf!$CE$2:$CE$141,_xlfn.AGGREGATE(15,6,(ROW(N_Bedarf!$CE$2:$CE$141)-1)/(--(SEARCH(CM$2,N_Bedarf!$CE$2:$CE$141)&gt;0)),ROW()-2),1),"")</f>
        <v>Sämereienvermehrung - Rotklee</v>
      </c>
      <c r="CM120" s="1836"/>
      <c r="CN120" s="1834" t="str">
        <f>IFERROR(INDEX(N_Bedarf!$CE$2:$CE$141,_xlfn.AGGREGATE(15,6,(ROW(N_Bedarf!$CE$2:$CE$141)-1)/(--(SEARCH(CO$2,N_Bedarf!$CE$2:$CE$141)&gt;0)),ROW()-2),1),"")</f>
        <v>Sämereienvermehrung - Rotklee</v>
      </c>
      <c r="CO120" s="1836"/>
      <c r="CP120" s="1834" t="str">
        <f>IFERROR(INDEX(N_Bedarf!$CE$2:$CE$141,_xlfn.AGGREGATE(15,6,(ROW(N_Bedarf!$CE$2:$CE$141)-1)/(--(SEARCH(CQ$2,N_Bedarf!$CE$2:$CE$141)&gt;0)),ROW()-2),1),"")</f>
        <v>Sämereienvermehrung - Rotklee</v>
      </c>
      <c r="CQ120" s="1836"/>
      <c r="CR120" s="1834" t="str">
        <f>IFERROR(INDEX(N_Bedarf!$CE$2:$CE$141,_xlfn.AGGREGATE(15,6,(ROW(N_Bedarf!$CE$2:$CE$141)-1)/(--(SEARCH(CS$2,N_Bedarf!$CE$2:$CE$141)&gt;0)),ROW()-2),1),"")</f>
        <v>Sämereienvermehrung - Rotklee</v>
      </c>
      <c r="CS120" s="1836"/>
      <c r="CT120" s="1834" t="str">
        <f>IFERROR(INDEX(N_Bedarf!$CE$2:$CE$141,_xlfn.AGGREGATE(15,6,(ROW(N_Bedarf!$CE$2:$CE$141)-1)/(--(SEARCH(CU$2,N_Bedarf!$CE$2:$CE$141)&gt;0)),ROW()-2),1),"")</f>
        <v>Sämereienvermehrung - Rotklee</v>
      </c>
      <c r="CU120" s="1836"/>
      <c r="CV120" s="1834" t="str">
        <f>IFERROR(INDEX(N_Bedarf!$CE$2:$CE$141,_xlfn.AGGREGATE(15,6,(ROW(N_Bedarf!$CE$2:$CE$141)-1)/(--(SEARCH(CW$2,N_Bedarf!$CE$2:$CE$141)&gt;0)),ROW()-2),1),"")</f>
        <v>Sämereienvermehrung - Rotklee</v>
      </c>
      <c r="CW120" s="1836"/>
      <c r="CX120" s="1834" t="str">
        <f>IFERROR(INDEX(N_Bedarf!$CE$2:$CE$141,_xlfn.AGGREGATE(15,6,(ROW(N_Bedarf!$CE$2:$CE$141)-1)/(--(SEARCH(CY$2,N_Bedarf!$CE$2:$CE$141)&gt;0)),ROW()-2),1),"")</f>
        <v>Sämereienvermehrung - Rotklee</v>
      </c>
      <c r="CY120" s="1836"/>
      <c r="CZ120" s="1834" t="str">
        <f>IFERROR(INDEX(N_Bedarf!$CE$2:$CE$141,_xlfn.AGGREGATE(15,6,(ROW(N_Bedarf!$CE$2:$CE$141)-1)/(--(SEARCH(DA$2,N_Bedarf!$CE$2:$CE$141)&gt;0)),ROW()-2),1),"")</f>
        <v>Sämereienvermehrung - Rotklee</v>
      </c>
      <c r="DA120" s="1836"/>
      <c r="DB120" s="1834" t="str">
        <f>IFERROR(INDEX(N_Bedarf!$CE$2:$CE$141,_xlfn.AGGREGATE(15,6,(ROW(N_Bedarf!$CE$2:$CE$141)-1)/(--(SEARCH(DC$2,N_Bedarf!$CE$2:$CE$141)&gt;0)),ROW()-2),1),"")</f>
        <v>Sämereienvermehrung - Rotklee</v>
      </c>
      <c r="DC120" s="1836"/>
      <c r="DD120" s="1834" t="str">
        <f>IFERROR(INDEX(N_Bedarf!$CE$2:$CE$141,_xlfn.AGGREGATE(15,6,(ROW(N_Bedarf!$CE$2:$CE$141)-1)/(--(SEARCH(DE$2,N_Bedarf!$CE$2:$CE$141)&gt;0)),ROW()-2),1),"")</f>
        <v>Sämereienvermehrung - Rotklee</v>
      </c>
      <c r="DE120" s="1836"/>
      <c r="DF120" s="2353" t="str">
        <f t="array" ref="DF120">IFERROR(INDEX(N_Bedarf!$CE$2:$CE$141,_xlfn.AGGREGATE(15,6,(ROW(N_Bedarf!$CE$2:$CE$141)-1)/(--(SEARCH(DG$2,N_Bedarf!$CE$2:$CE$141)&gt;0)),ROW()-2),1),"")</f>
        <v>Sämereienvermehrung - Rotklee</v>
      </c>
      <c r="DG120" s="2353"/>
      <c r="DH120" s="2355" t="str">
        <f t="array" ref="DH120">IFERROR(INDEX(N_Bedarf!$CE$2:$CE$141,_xlfn.AGGREGATE(15,6,(ROW(N_Bedarf!$CE$2:$CE$141)-1)/(--(SEARCH(DI$2,N_Bedarf!$CE$2:$CE$141)&gt;0)),ROW()-2),1),"")</f>
        <v>Sämereienvermehrung - Rotklee</v>
      </c>
      <c r="DI120" s="2355"/>
      <c r="DJ120" s="2356" t="str">
        <f t="array" ref="DJ120">IFERROR(INDEX(N_Bedarf!$CE$2:$CE$141,_xlfn.AGGREGATE(15,6,(ROW(N_Bedarf!$CE$2:$CE$141)-1)/(--(SEARCH(DK$2,N_Bedarf!$CE$2:$CE$141)&gt;0)),ROW()-2),1),"")</f>
        <v>Sämereienvermehrung - Rotklee</v>
      </c>
      <c r="DK120" s="2356"/>
      <c r="DL120" s="2356" t="str">
        <f t="array" ref="DL120">IFERROR(INDEX(N_Bedarf!$CE$2:$CE$141,_xlfn.AGGREGATE(15,6,(ROW(N_Bedarf!$CE$2:$CE$141)-1)/(--(SEARCH(DM$2,N_Bedarf!$CE$2:$CE$141)&gt;0)),ROW()-2),1),"")</f>
        <v>Sämereienvermehrung - Rotklee</v>
      </c>
      <c r="DM120" s="2356"/>
      <c r="DN120" s="2356" t="str">
        <f t="array" ref="DN120">IFERROR(INDEX(N_Bedarf!$CE$2:$CE$141,_xlfn.AGGREGATE(15,6,(ROW(N_Bedarf!$CE$2:$CE$141)-1)/(--(SEARCH(DO$2,N_Bedarf!$CE$2:$CE$141)&gt;0)),ROW()-2),1),"")</f>
        <v>Sämereienvermehrung - Rotklee</v>
      </c>
      <c r="DO120" s="2356"/>
      <c r="DP120" s="2356" t="str">
        <f t="array" ref="DP120">IFERROR(INDEX(N_Bedarf!$CE$2:$CE$141,_xlfn.AGGREGATE(15,6,(ROW(N_Bedarf!$CE$2:$CE$141)-1)/(--(SEARCH(DQ$2,N_Bedarf!$CE$2:$CE$141)&gt;0)),ROW()-2),1),"")</f>
        <v>Sämereienvermehrung - Rotklee</v>
      </c>
      <c r="DQ120" s="2356"/>
      <c r="DR120" s="2356" t="str">
        <f t="array" ref="DR120">IFERROR(INDEX(N_Bedarf!$CE$2:$CE$141,_xlfn.AGGREGATE(15,6,(ROW(N_Bedarf!$CE$2:$CE$141)-1)/(--(SEARCH(DS$2,N_Bedarf!$CE$2:$CE$141)&gt;0)),ROW()-2),1),"")</f>
        <v>Sämereienvermehrung - Rotklee</v>
      </c>
      <c r="DS120" s="2356"/>
      <c r="DT120" s="2356" t="str">
        <f t="array" ref="DT120">IFERROR(INDEX(N_Bedarf!$CE$2:$CE$141,_xlfn.AGGREGATE(15,6,(ROW(N_Bedarf!$CE$2:$CE$141)-1)/(--(SEARCH(DU$2,N_Bedarf!$CE$2:$CE$141)&gt;0)),ROW()-2),1),"")</f>
        <v>Sämereienvermehrung - Rotklee</v>
      </c>
      <c r="DU120" s="2356"/>
      <c r="DV120" s="2356" t="str">
        <f t="array" ref="DV120">IFERROR(INDEX(N_Bedarf!$CE$2:$CE$141,_xlfn.AGGREGATE(15,6,(ROW(N_Bedarf!$CE$2:$CE$141)-1)/(--(SEARCH(DW$2,N_Bedarf!$CE$2:$CE$141)&gt;0)),ROW()-2),1),"")</f>
        <v>Sämereienvermehrung - Rotklee</v>
      </c>
      <c r="DW120" s="2356"/>
      <c r="DX120" s="2356" t="str">
        <f t="array" ref="DX120">IFERROR(INDEX(N_Bedarf!$CE$2:$CE$141,_xlfn.AGGREGATE(15,6,(ROW(N_Bedarf!$CE$2:$CE$141)-1)/(--(SEARCH(DY$2,N_Bedarf!$CE$2:$CE$141)&gt;0)),ROW()-2),1),"")</f>
        <v>Sämereienvermehrung - Rotklee</v>
      </c>
      <c r="DY120" s="2356"/>
      <c r="DZ120" s="2356" t="str">
        <f t="array" ref="DZ120">IFERROR(INDEX(N_Bedarf!$CE$2:$CE$141,_xlfn.AGGREGATE(15,6,(ROW(N_Bedarf!$CE$2:$CE$141)-1)/(--(SEARCH(EA$2,N_Bedarf!$CE$2:$CE$141)&gt;0)),ROW()-2),1),"")</f>
        <v>Sämereienvermehrung - Rotklee</v>
      </c>
      <c r="EA120" s="2356"/>
      <c r="EB120" s="2356" t="str">
        <f t="array" ref="EB120">IFERROR(INDEX(N_Bedarf!$CE$2:$CE$141,_xlfn.AGGREGATE(15,6,(ROW(N_Bedarf!$CE$2:$CE$141)-1)/(--(SEARCH(EC$2,N_Bedarf!$CE$2:$CE$141)&gt;0)),ROW()-2),1),"")</f>
        <v>Sämereienvermehrung - Rotklee</v>
      </c>
      <c r="EC120" s="2356"/>
      <c r="ED120"/>
      <c r="EE120"/>
      <c r="EF120"/>
      <c r="EG120"/>
      <c r="EH120"/>
      <c r="EI120"/>
      <c r="EJ120"/>
      <c r="EK120"/>
      <c r="EL120"/>
      <c r="EM120"/>
      <c r="EN120"/>
      <c r="EO120"/>
      <c r="EP120"/>
      <c r="EQ120"/>
      <c r="ER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row>
    <row r="121" spans="1:291" ht="21" customHeight="1" thickTop="1" thickBot="1">
      <c r="A121" s="156"/>
      <c r="B121" s="156"/>
      <c r="C121" s="1758" t="s">
        <v>32</v>
      </c>
      <c r="D121" s="1759" t="s">
        <v>33</v>
      </c>
      <c r="E121" s="1729">
        <v>170</v>
      </c>
      <c r="F121" s="1760">
        <v>145</v>
      </c>
      <c r="G121" s="1993" t="s">
        <v>120</v>
      </c>
      <c r="H121" s="1994">
        <v>190</v>
      </c>
      <c r="I121" s="1995">
        <v>160</v>
      </c>
      <c r="J121" s="1759" t="s">
        <v>1782</v>
      </c>
      <c r="K121" s="1729">
        <v>210</v>
      </c>
      <c r="L121" s="1760">
        <v>180</v>
      </c>
      <c r="M121" s="1759" t="s">
        <v>9</v>
      </c>
      <c r="N121" s="1729">
        <v>210</v>
      </c>
      <c r="O121" s="1760">
        <v>180</v>
      </c>
      <c r="P121" s="1759" t="s">
        <v>1417</v>
      </c>
      <c r="Q121" s="1729">
        <v>210</v>
      </c>
      <c r="R121" s="1761">
        <v>180</v>
      </c>
      <c r="S121" s="1762">
        <v>165</v>
      </c>
      <c r="T121" s="1729">
        <v>165</v>
      </c>
      <c r="U121" s="1760">
        <v>165</v>
      </c>
      <c r="V121" s="1759">
        <v>140</v>
      </c>
      <c r="W121" s="1729">
        <v>140</v>
      </c>
      <c r="X121" s="1760">
        <v>140</v>
      </c>
      <c r="Y121" s="2009">
        <v>100</v>
      </c>
      <c r="Z121" s="2010">
        <v>110</v>
      </c>
      <c r="AA121" s="2011">
        <v>125</v>
      </c>
      <c r="AB121" s="1871">
        <v>55</v>
      </c>
      <c r="AC121" s="1763" t="s">
        <v>1389</v>
      </c>
      <c r="AD121" s="1762">
        <v>480</v>
      </c>
      <c r="AE121" s="1729">
        <v>480</v>
      </c>
      <c r="AF121" s="1760">
        <v>480</v>
      </c>
      <c r="AG121" s="1759">
        <v>400</v>
      </c>
      <c r="AH121" s="1729">
        <v>400</v>
      </c>
      <c r="AI121" s="1760">
        <v>400</v>
      </c>
      <c r="AJ121" s="2009">
        <v>290</v>
      </c>
      <c r="AK121" s="2010">
        <v>320</v>
      </c>
      <c r="AL121" s="2011">
        <v>370</v>
      </c>
      <c r="AM121" s="1871">
        <v>160</v>
      </c>
      <c r="AN121" s="1763" t="s">
        <v>1389</v>
      </c>
      <c r="AO121" s="156"/>
      <c r="AP121" s="156"/>
      <c r="AX121" s="1722" t="s">
        <v>1931</v>
      </c>
      <c r="AY121" s="681">
        <v>90</v>
      </c>
      <c r="AZ121" s="681">
        <v>90</v>
      </c>
      <c r="BA121" s="681" t="s">
        <v>2701</v>
      </c>
      <c r="BB121" s="681">
        <v>110</v>
      </c>
      <c r="BC121" s="681">
        <v>110</v>
      </c>
      <c r="BD121" s="681" t="s">
        <v>2742</v>
      </c>
      <c r="BE121" s="681">
        <v>170</v>
      </c>
      <c r="BF121" s="681">
        <v>170</v>
      </c>
      <c r="BG121" s="681" t="s">
        <v>2593</v>
      </c>
      <c r="BH121" s="681">
        <v>170</v>
      </c>
      <c r="BI121" s="681">
        <v>170</v>
      </c>
      <c r="BJ121" s="681" t="s">
        <v>2593</v>
      </c>
      <c r="BK121" s="681">
        <v>170</v>
      </c>
      <c r="BL121" s="681">
        <v>170</v>
      </c>
      <c r="BM121" s="681" t="s">
        <v>2593</v>
      </c>
      <c r="BN121" s="471">
        <v>0</v>
      </c>
      <c r="BO121" s="821" t="s">
        <v>1764</v>
      </c>
      <c r="BP121"/>
      <c r="BQ121" s="1722" t="s">
        <v>1931</v>
      </c>
      <c r="BR121" s="470">
        <v>60</v>
      </c>
      <c r="BS121" s="470">
        <v>80</v>
      </c>
      <c r="BT121" s="470">
        <v>100</v>
      </c>
      <c r="BV121" s="1722" t="s">
        <v>1931</v>
      </c>
      <c r="BW121" s="470">
        <v>80</v>
      </c>
      <c r="BX121" s="470">
        <v>160</v>
      </c>
      <c r="BY121" s="470">
        <v>220</v>
      </c>
      <c r="CB121" s="428"/>
      <c r="CC121" s="428"/>
      <c r="CD121" s="428"/>
      <c r="CE121" s="2310" t="s">
        <v>1900</v>
      </c>
      <c r="CF121" s="1834" t="str">
        <f>IFERROR(INDEX(N_Bedarf!$CE$2:$CE$141,_xlfn.AGGREGATE(15,6,(ROW(N_Bedarf!$CE$2:$CE$141)-1)/(--(SEARCH(CG$2,N_Bedarf!$CE$2:$CE$141)&gt;0)),ROW()-2),1),"")</f>
        <v>Energiegras 1 Nutzung (&lt;10% Legum.)</v>
      </c>
      <c r="CG121" s="1830"/>
      <c r="CH121" s="1834" t="str">
        <f>IFERROR(INDEX(N_Bedarf!$CE$2:$CE$141,_xlfn.AGGREGATE(15,6,(ROW(N_Bedarf!$CE$2:$CE$141)-1)/(--(SEARCH(CI$2,N_Bedarf!$CE$2:$CE$141)&gt;0)),ROW()-2),1),"")</f>
        <v>Energiegras 1 Nutzung (&lt;10% Legum.)</v>
      </c>
      <c r="CI121" s="1830"/>
      <c r="CJ121" s="1834" t="str">
        <f>IFERROR(INDEX(N_Bedarf!$CE$2:$CE$141,_xlfn.AGGREGATE(15,6,(ROW(N_Bedarf!$CE$2:$CE$141)-1)/(--(SEARCH(CK$2,N_Bedarf!$CE$2:$CE$141)&gt;0)),ROW()-2),1),"")</f>
        <v>Energiegras 1 Nutzung (&lt;10% Legum.)</v>
      </c>
      <c r="CK121" s="1830"/>
      <c r="CL121" s="1834" t="str">
        <f>IFERROR(INDEX(N_Bedarf!$CE$2:$CE$141,_xlfn.AGGREGATE(15,6,(ROW(N_Bedarf!$CE$2:$CE$141)-1)/(--(SEARCH(CM$2,N_Bedarf!$CE$2:$CE$141)&gt;0)),ROW()-2),1),"")</f>
        <v>Energiegras 1 Nutzung (&lt;10% Legum.)</v>
      </c>
      <c r="CM121" s="1830"/>
      <c r="CN121" s="1834" t="str">
        <f>IFERROR(INDEX(N_Bedarf!$CE$2:$CE$141,_xlfn.AGGREGATE(15,6,(ROW(N_Bedarf!$CE$2:$CE$141)-1)/(--(SEARCH(CO$2,N_Bedarf!$CE$2:$CE$141)&gt;0)),ROW()-2),1),"")</f>
        <v>Energiegras 1 Nutzung (&lt;10% Legum.)</v>
      </c>
      <c r="CO121" s="1830"/>
      <c r="CP121" s="1834" t="str">
        <f>IFERROR(INDEX(N_Bedarf!$CE$2:$CE$141,_xlfn.AGGREGATE(15,6,(ROW(N_Bedarf!$CE$2:$CE$141)-1)/(--(SEARCH(CQ$2,N_Bedarf!$CE$2:$CE$141)&gt;0)),ROW()-2),1),"")</f>
        <v>Energiegras 1 Nutzung (&lt;10% Legum.)</v>
      </c>
      <c r="CQ121" s="1830"/>
      <c r="CR121" s="1834" t="str">
        <f>IFERROR(INDEX(N_Bedarf!$CE$2:$CE$141,_xlfn.AGGREGATE(15,6,(ROW(N_Bedarf!$CE$2:$CE$141)-1)/(--(SEARCH(CS$2,N_Bedarf!$CE$2:$CE$141)&gt;0)),ROW()-2),1),"")</f>
        <v>Energiegras 1 Nutzung (&lt;10% Legum.)</v>
      </c>
      <c r="CS121" s="1830"/>
      <c r="CT121" s="1834" t="str">
        <f>IFERROR(INDEX(N_Bedarf!$CE$2:$CE$141,_xlfn.AGGREGATE(15,6,(ROW(N_Bedarf!$CE$2:$CE$141)-1)/(--(SEARCH(CU$2,N_Bedarf!$CE$2:$CE$141)&gt;0)),ROW()-2),1),"")</f>
        <v>Energiegras 1 Nutzung (&lt;10% Legum.)</v>
      </c>
      <c r="CU121" s="1830"/>
      <c r="CV121" s="1834" t="str">
        <f>IFERROR(INDEX(N_Bedarf!$CE$2:$CE$141,_xlfn.AGGREGATE(15,6,(ROW(N_Bedarf!$CE$2:$CE$141)-1)/(--(SEARCH(CW$2,N_Bedarf!$CE$2:$CE$141)&gt;0)),ROW()-2),1),"")</f>
        <v>Energiegras 1 Nutzung (&lt;10% Legum.)</v>
      </c>
      <c r="CW121" s="1830"/>
      <c r="CX121" s="1834" t="str">
        <f>IFERROR(INDEX(N_Bedarf!$CE$2:$CE$141,_xlfn.AGGREGATE(15,6,(ROW(N_Bedarf!$CE$2:$CE$141)-1)/(--(SEARCH(CY$2,N_Bedarf!$CE$2:$CE$141)&gt;0)),ROW()-2),1),"")</f>
        <v>Energiegras 1 Nutzung (&lt;10% Legum.)</v>
      </c>
      <c r="CY121" s="1830"/>
      <c r="CZ121" s="1834" t="str">
        <f>IFERROR(INDEX(N_Bedarf!$CE$2:$CE$141,_xlfn.AGGREGATE(15,6,(ROW(N_Bedarf!$CE$2:$CE$141)-1)/(--(SEARCH(DA$2,N_Bedarf!$CE$2:$CE$141)&gt;0)),ROW()-2),1),"")</f>
        <v>Energiegras 1 Nutzung (&lt;10% Legum.)</v>
      </c>
      <c r="DA121" s="1830"/>
      <c r="DB121" s="1834" t="str">
        <f>IFERROR(INDEX(N_Bedarf!$CE$2:$CE$141,_xlfn.AGGREGATE(15,6,(ROW(N_Bedarf!$CE$2:$CE$141)-1)/(--(SEARCH(DC$2,N_Bedarf!$CE$2:$CE$141)&gt;0)),ROW()-2),1),"")</f>
        <v>Energiegras 1 Nutzung (&lt;10% Legum.)</v>
      </c>
      <c r="DC121" s="1830"/>
      <c r="DD121" s="1834" t="str">
        <f>IFERROR(INDEX(N_Bedarf!$CE$2:$CE$141,_xlfn.AGGREGATE(15,6,(ROW(N_Bedarf!$CE$2:$CE$141)-1)/(--(SEARCH(DE$2,N_Bedarf!$CE$2:$CE$141)&gt;0)),ROW()-2),1),"")</f>
        <v>Energiegras 1 Nutzung (&lt;10% Legum.)</v>
      </c>
      <c r="DE121" s="1830"/>
      <c r="DF121" s="2353" t="str">
        <f t="array" ref="DF121">IFERROR(INDEX(N_Bedarf!$CE$2:$CE$141,_xlfn.AGGREGATE(15,6,(ROW(N_Bedarf!$CE$2:$CE$141)-1)/(--(SEARCH(DG$2,N_Bedarf!$CE$2:$CE$141)&gt;0)),ROW()-2),1),"")</f>
        <v>Energiegras 1 Nutzung (&lt;10% Legum.)</v>
      </c>
      <c r="DG121" s="2353"/>
      <c r="DH121" s="2355" t="str">
        <f t="array" ref="DH121">IFERROR(INDEX(N_Bedarf!$CE$2:$CE$141,_xlfn.AGGREGATE(15,6,(ROW(N_Bedarf!$CE$2:$CE$141)-1)/(--(SEARCH(DI$2,N_Bedarf!$CE$2:$CE$141)&gt;0)),ROW()-2),1),"")</f>
        <v>Energiegras 1 Nutzung (&lt;10% Legum.)</v>
      </c>
      <c r="DI121" s="2355"/>
      <c r="DJ121" s="2356" t="str">
        <f t="array" ref="DJ121">IFERROR(INDEX(N_Bedarf!$CE$2:$CE$141,_xlfn.AGGREGATE(15,6,(ROW(N_Bedarf!$CE$2:$CE$141)-1)/(--(SEARCH(DK$2,N_Bedarf!$CE$2:$CE$141)&gt;0)),ROW()-2),1),"")</f>
        <v>Energiegras 1 Nutzung (&lt;10% Legum.)</v>
      </c>
      <c r="DK121" s="2356"/>
      <c r="DL121" s="2356" t="str">
        <f t="array" ref="DL121">IFERROR(INDEX(N_Bedarf!$CE$2:$CE$141,_xlfn.AGGREGATE(15,6,(ROW(N_Bedarf!$CE$2:$CE$141)-1)/(--(SEARCH(DM$2,N_Bedarf!$CE$2:$CE$141)&gt;0)),ROW()-2),1),"")</f>
        <v>Energiegras 1 Nutzung (&lt;10% Legum.)</v>
      </c>
      <c r="DM121" s="2356"/>
      <c r="DN121" s="2356" t="str">
        <f t="array" ref="DN121">IFERROR(INDEX(N_Bedarf!$CE$2:$CE$141,_xlfn.AGGREGATE(15,6,(ROW(N_Bedarf!$CE$2:$CE$141)-1)/(--(SEARCH(DO$2,N_Bedarf!$CE$2:$CE$141)&gt;0)),ROW()-2),1),"")</f>
        <v>Energiegras 1 Nutzung (&lt;10% Legum.)</v>
      </c>
      <c r="DO121" s="2356"/>
      <c r="DP121" s="2356" t="str">
        <f t="array" ref="DP121">IFERROR(INDEX(N_Bedarf!$CE$2:$CE$141,_xlfn.AGGREGATE(15,6,(ROW(N_Bedarf!$CE$2:$CE$141)-1)/(--(SEARCH(DQ$2,N_Bedarf!$CE$2:$CE$141)&gt;0)),ROW()-2),1),"")</f>
        <v>Energiegras 1 Nutzung (&lt;10% Legum.)</v>
      </c>
      <c r="DQ121" s="2356"/>
      <c r="DR121" s="2356" t="str">
        <f t="array" ref="DR121">IFERROR(INDEX(N_Bedarf!$CE$2:$CE$141,_xlfn.AGGREGATE(15,6,(ROW(N_Bedarf!$CE$2:$CE$141)-1)/(--(SEARCH(DS$2,N_Bedarf!$CE$2:$CE$141)&gt;0)),ROW()-2),1),"")</f>
        <v>Energiegras 1 Nutzung (&lt;10% Legum.)</v>
      </c>
      <c r="DS121" s="2356"/>
      <c r="DT121" s="2356" t="str">
        <f t="array" ref="DT121">IFERROR(INDEX(N_Bedarf!$CE$2:$CE$141,_xlfn.AGGREGATE(15,6,(ROW(N_Bedarf!$CE$2:$CE$141)-1)/(--(SEARCH(DU$2,N_Bedarf!$CE$2:$CE$141)&gt;0)),ROW()-2),1),"")</f>
        <v>Energiegras 1 Nutzung (&lt;10% Legum.)</v>
      </c>
      <c r="DU121" s="2356"/>
      <c r="DV121" s="2356" t="str">
        <f t="array" ref="DV121">IFERROR(INDEX(N_Bedarf!$CE$2:$CE$141,_xlfn.AGGREGATE(15,6,(ROW(N_Bedarf!$CE$2:$CE$141)-1)/(--(SEARCH(DW$2,N_Bedarf!$CE$2:$CE$141)&gt;0)),ROW()-2),1),"")</f>
        <v>Energiegras 1 Nutzung (&lt;10% Legum.)</v>
      </c>
      <c r="DW121" s="2356"/>
      <c r="DX121" s="2356" t="str">
        <f t="array" ref="DX121">IFERROR(INDEX(N_Bedarf!$CE$2:$CE$141,_xlfn.AGGREGATE(15,6,(ROW(N_Bedarf!$CE$2:$CE$141)-1)/(--(SEARCH(DY$2,N_Bedarf!$CE$2:$CE$141)&gt;0)),ROW()-2),1),"")</f>
        <v>Energiegras 1 Nutzung (&lt;10% Legum.)</v>
      </c>
      <c r="DY121" s="2356"/>
      <c r="DZ121" s="2356" t="str">
        <f t="array" ref="DZ121">IFERROR(INDEX(N_Bedarf!$CE$2:$CE$141,_xlfn.AGGREGATE(15,6,(ROW(N_Bedarf!$CE$2:$CE$141)-1)/(--(SEARCH(EA$2,N_Bedarf!$CE$2:$CE$141)&gt;0)),ROW()-2),1),"")</f>
        <v>Energiegras 1 Nutzung (&lt;10% Legum.)</v>
      </c>
      <c r="EA121" s="2356"/>
      <c r="EB121" s="2356" t="str">
        <f t="array" ref="EB121">IFERROR(INDEX(N_Bedarf!$CE$2:$CE$141,_xlfn.AGGREGATE(15,6,(ROW(N_Bedarf!$CE$2:$CE$141)-1)/(--(SEARCH(EC$2,N_Bedarf!$CE$2:$CE$141)&gt;0)),ROW()-2),1),"")</f>
        <v>Energiegras 1 Nutzung (&lt;10% Legum.)</v>
      </c>
      <c r="EC121" s="2356"/>
      <c r="ED121"/>
      <c r="EE121"/>
      <c r="EF121"/>
      <c r="EG121"/>
      <c r="EH121"/>
      <c r="EI121"/>
      <c r="EJ121"/>
      <c r="EK121"/>
      <c r="EL121"/>
      <c r="EM121"/>
      <c r="EN121"/>
      <c r="EO121"/>
      <c r="EP121"/>
      <c r="EQ121"/>
      <c r="ER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row>
    <row r="122" spans="1:291" ht="21" customHeight="1" thickTop="1" thickBot="1">
      <c r="A122" s="156"/>
      <c r="B122" s="156"/>
      <c r="C122" s="1758" t="s">
        <v>1709</v>
      </c>
      <c r="D122" s="1759" t="s">
        <v>1756</v>
      </c>
      <c r="E122" s="1729">
        <v>90</v>
      </c>
      <c r="F122" s="1760">
        <v>75</v>
      </c>
      <c r="G122" s="1993" t="s">
        <v>1757</v>
      </c>
      <c r="H122" s="1994">
        <v>120</v>
      </c>
      <c r="I122" s="1995">
        <v>100</v>
      </c>
      <c r="J122" s="1759" t="s">
        <v>1769</v>
      </c>
      <c r="K122" s="1729">
        <v>145</v>
      </c>
      <c r="L122" s="1760">
        <v>125</v>
      </c>
      <c r="M122" s="1759" t="s">
        <v>1769</v>
      </c>
      <c r="N122" s="1729">
        <v>145</v>
      </c>
      <c r="O122" s="1760">
        <v>125</v>
      </c>
      <c r="P122" s="1759" t="s">
        <v>1769</v>
      </c>
      <c r="Q122" s="1729">
        <v>145</v>
      </c>
      <c r="R122" s="1761">
        <v>125</v>
      </c>
      <c r="S122" s="1762">
        <v>90</v>
      </c>
      <c r="T122" s="1729">
        <v>90</v>
      </c>
      <c r="U122" s="1760">
        <v>90</v>
      </c>
      <c r="V122" s="1759">
        <v>75</v>
      </c>
      <c r="W122" s="1729">
        <v>75</v>
      </c>
      <c r="X122" s="1760">
        <v>75</v>
      </c>
      <c r="Y122" s="2009">
        <v>55</v>
      </c>
      <c r="Z122" s="2010">
        <v>60</v>
      </c>
      <c r="AA122" s="2011">
        <v>70</v>
      </c>
      <c r="AB122" s="1871" t="s">
        <v>1388</v>
      </c>
      <c r="AC122" s="1763" t="s">
        <v>1389</v>
      </c>
      <c r="AD122" s="1762">
        <v>270</v>
      </c>
      <c r="AE122" s="1729">
        <v>270</v>
      </c>
      <c r="AF122" s="1760">
        <v>270</v>
      </c>
      <c r="AG122" s="1759">
        <v>225</v>
      </c>
      <c r="AH122" s="1729">
        <v>225</v>
      </c>
      <c r="AI122" s="1760">
        <v>225</v>
      </c>
      <c r="AJ122" s="2009">
        <v>160</v>
      </c>
      <c r="AK122" s="2010">
        <v>180</v>
      </c>
      <c r="AL122" s="2011">
        <v>205</v>
      </c>
      <c r="AM122" s="1871" t="s">
        <v>1390</v>
      </c>
      <c r="AN122" s="1763" t="s">
        <v>1389</v>
      </c>
      <c r="AO122" s="156"/>
      <c r="AP122" s="156"/>
      <c r="AX122" s="1722" t="s">
        <v>1932</v>
      </c>
      <c r="AY122" s="681">
        <v>20</v>
      </c>
      <c r="AZ122" s="681">
        <v>20</v>
      </c>
      <c r="BA122" s="681" t="s">
        <v>2702</v>
      </c>
      <c r="BB122" s="681">
        <v>20</v>
      </c>
      <c r="BC122" s="681">
        <v>20</v>
      </c>
      <c r="BD122" s="681" t="s">
        <v>2741</v>
      </c>
      <c r="BE122" s="681">
        <v>20</v>
      </c>
      <c r="BF122" s="681">
        <v>20</v>
      </c>
      <c r="BG122" s="681" t="s">
        <v>2594</v>
      </c>
      <c r="BH122" s="681">
        <v>20</v>
      </c>
      <c r="BI122" s="681">
        <v>20</v>
      </c>
      <c r="BJ122" s="681" t="s">
        <v>2594</v>
      </c>
      <c r="BK122" s="681">
        <v>20</v>
      </c>
      <c r="BL122" s="681">
        <v>20</v>
      </c>
      <c r="BM122" s="681" t="s">
        <v>2594</v>
      </c>
      <c r="BN122" s="471">
        <v>0</v>
      </c>
      <c r="BO122" s="821" t="s">
        <v>1764</v>
      </c>
      <c r="BP122"/>
      <c r="BQ122" s="1722" t="s">
        <v>1932</v>
      </c>
      <c r="BR122" s="470">
        <v>80</v>
      </c>
      <c r="BS122" s="470">
        <v>100</v>
      </c>
      <c r="BT122" s="470">
        <v>120</v>
      </c>
      <c r="BV122" s="1722" t="s">
        <v>1932</v>
      </c>
      <c r="BW122" s="470">
        <v>160</v>
      </c>
      <c r="BX122" s="470">
        <v>200</v>
      </c>
      <c r="BY122" s="470">
        <v>240</v>
      </c>
      <c r="CB122" s="428"/>
      <c r="CC122" s="428"/>
      <c r="CD122" s="428"/>
      <c r="CE122" s="2310" t="s">
        <v>1901</v>
      </c>
      <c r="CF122" s="1834" t="str">
        <f>IFERROR(INDEX(N_Bedarf!$CE$2:$CE$141,_xlfn.AGGREGATE(15,6,(ROW(N_Bedarf!$CE$2:$CE$141)-1)/(--(SEARCH(CG$2,N_Bedarf!$CE$2:$CE$141)&gt;0)),ROW()-2),1),"")</f>
        <v>Energiegras 2 Nutzungen (&lt;10% Legum.)</v>
      </c>
      <c r="CG122" s="1836"/>
      <c r="CH122" s="1834" t="str">
        <f>IFERROR(INDEX(N_Bedarf!$CE$2:$CE$141,_xlfn.AGGREGATE(15,6,(ROW(N_Bedarf!$CE$2:$CE$141)-1)/(--(SEARCH(CI$2,N_Bedarf!$CE$2:$CE$141)&gt;0)),ROW()-2),1),"")</f>
        <v>Energiegras 2 Nutzungen (&lt;10% Legum.)</v>
      </c>
      <c r="CI122" s="1836"/>
      <c r="CJ122" s="1834" t="str">
        <f>IFERROR(INDEX(N_Bedarf!$CE$2:$CE$141,_xlfn.AGGREGATE(15,6,(ROW(N_Bedarf!$CE$2:$CE$141)-1)/(--(SEARCH(CK$2,N_Bedarf!$CE$2:$CE$141)&gt;0)),ROW()-2),1),"")</f>
        <v>Energiegras 2 Nutzungen (&lt;10% Legum.)</v>
      </c>
      <c r="CK122" s="1836"/>
      <c r="CL122" s="1834" t="str">
        <f>IFERROR(INDEX(N_Bedarf!$CE$2:$CE$141,_xlfn.AGGREGATE(15,6,(ROW(N_Bedarf!$CE$2:$CE$141)-1)/(--(SEARCH(CM$2,N_Bedarf!$CE$2:$CE$141)&gt;0)),ROW()-2),1),"")</f>
        <v>Energiegras 2 Nutzungen (&lt;10% Legum.)</v>
      </c>
      <c r="CM122" s="1836"/>
      <c r="CN122" s="1834" t="str">
        <f>IFERROR(INDEX(N_Bedarf!$CE$2:$CE$141,_xlfn.AGGREGATE(15,6,(ROW(N_Bedarf!$CE$2:$CE$141)-1)/(--(SEARCH(CO$2,N_Bedarf!$CE$2:$CE$141)&gt;0)),ROW()-2),1),"")</f>
        <v>Energiegras 2 Nutzungen (&lt;10% Legum.)</v>
      </c>
      <c r="CO122" s="1836"/>
      <c r="CP122" s="1834" t="str">
        <f>IFERROR(INDEX(N_Bedarf!$CE$2:$CE$141,_xlfn.AGGREGATE(15,6,(ROW(N_Bedarf!$CE$2:$CE$141)-1)/(--(SEARCH(CQ$2,N_Bedarf!$CE$2:$CE$141)&gt;0)),ROW()-2),1),"")</f>
        <v>Energiegras 2 Nutzungen (&lt;10% Legum.)</v>
      </c>
      <c r="CQ122" s="1836"/>
      <c r="CR122" s="1834" t="str">
        <f>IFERROR(INDEX(N_Bedarf!$CE$2:$CE$141,_xlfn.AGGREGATE(15,6,(ROW(N_Bedarf!$CE$2:$CE$141)-1)/(--(SEARCH(CS$2,N_Bedarf!$CE$2:$CE$141)&gt;0)),ROW()-2),1),"")</f>
        <v>Energiegras 2 Nutzungen (&lt;10% Legum.)</v>
      </c>
      <c r="CS122" s="1836"/>
      <c r="CT122" s="1834" t="str">
        <f>IFERROR(INDEX(N_Bedarf!$CE$2:$CE$141,_xlfn.AGGREGATE(15,6,(ROW(N_Bedarf!$CE$2:$CE$141)-1)/(--(SEARCH(CU$2,N_Bedarf!$CE$2:$CE$141)&gt;0)),ROW()-2),1),"")</f>
        <v>Energiegras 2 Nutzungen (&lt;10% Legum.)</v>
      </c>
      <c r="CU122" s="1836"/>
      <c r="CV122" s="1834" t="str">
        <f>IFERROR(INDEX(N_Bedarf!$CE$2:$CE$141,_xlfn.AGGREGATE(15,6,(ROW(N_Bedarf!$CE$2:$CE$141)-1)/(--(SEARCH(CW$2,N_Bedarf!$CE$2:$CE$141)&gt;0)),ROW()-2),1),"")</f>
        <v>Energiegras 2 Nutzungen (&lt;10% Legum.)</v>
      </c>
      <c r="CW122" s="1836"/>
      <c r="CX122" s="1834" t="str">
        <f>IFERROR(INDEX(N_Bedarf!$CE$2:$CE$141,_xlfn.AGGREGATE(15,6,(ROW(N_Bedarf!$CE$2:$CE$141)-1)/(--(SEARCH(CY$2,N_Bedarf!$CE$2:$CE$141)&gt;0)),ROW()-2),1),"")</f>
        <v>Energiegras 2 Nutzungen (&lt;10% Legum.)</v>
      </c>
      <c r="CY122" s="1836"/>
      <c r="CZ122" s="1834" t="str">
        <f>IFERROR(INDEX(N_Bedarf!$CE$2:$CE$141,_xlfn.AGGREGATE(15,6,(ROW(N_Bedarf!$CE$2:$CE$141)-1)/(--(SEARCH(DA$2,N_Bedarf!$CE$2:$CE$141)&gt;0)),ROW()-2),1),"")</f>
        <v>Energiegras 2 Nutzungen (&lt;10% Legum.)</v>
      </c>
      <c r="DA122" s="1836"/>
      <c r="DB122" s="1834" t="str">
        <f>IFERROR(INDEX(N_Bedarf!$CE$2:$CE$141,_xlfn.AGGREGATE(15,6,(ROW(N_Bedarf!$CE$2:$CE$141)-1)/(--(SEARCH(DC$2,N_Bedarf!$CE$2:$CE$141)&gt;0)),ROW()-2),1),"")</f>
        <v>Energiegras 2 Nutzungen (&lt;10% Legum.)</v>
      </c>
      <c r="DC122" s="1836"/>
      <c r="DD122" s="1834" t="str">
        <f>IFERROR(INDEX(N_Bedarf!$CE$2:$CE$141,_xlfn.AGGREGATE(15,6,(ROW(N_Bedarf!$CE$2:$CE$141)-1)/(--(SEARCH(DE$2,N_Bedarf!$CE$2:$CE$141)&gt;0)),ROW()-2),1),"")</f>
        <v>Energiegras 2 Nutzungen (&lt;10% Legum.)</v>
      </c>
      <c r="DE122" s="1836"/>
      <c r="DF122" s="2353" t="str">
        <f t="array" ref="DF122">IFERROR(INDEX(N_Bedarf!$CE$2:$CE$141,_xlfn.AGGREGATE(15,6,(ROW(N_Bedarf!$CE$2:$CE$141)-1)/(--(SEARCH(DG$2,N_Bedarf!$CE$2:$CE$141)&gt;0)),ROW()-2),1),"")</f>
        <v>Energiegras 2 Nutzungen (&lt;10% Legum.)</v>
      </c>
      <c r="DG122" s="2353"/>
      <c r="DH122" s="2355" t="str">
        <f t="array" ref="DH122">IFERROR(INDEX(N_Bedarf!$CE$2:$CE$141,_xlfn.AGGREGATE(15,6,(ROW(N_Bedarf!$CE$2:$CE$141)-1)/(--(SEARCH(DI$2,N_Bedarf!$CE$2:$CE$141)&gt;0)),ROW()-2),1),"")</f>
        <v>Energiegras 2 Nutzungen (&lt;10% Legum.)</v>
      </c>
      <c r="DI122" s="2355"/>
      <c r="DJ122" s="2356" t="str">
        <f t="array" ref="DJ122">IFERROR(INDEX(N_Bedarf!$CE$2:$CE$141,_xlfn.AGGREGATE(15,6,(ROW(N_Bedarf!$CE$2:$CE$141)-1)/(--(SEARCH(DK$2,N_Bedarf!$CE$2:$CE$141)&gt;0)),ROW()-2),1),"")</f>
        <v>Energiegras 2 Nutzungen (&lt;10% Legum.)</v>
      </c>
      <c r="DK122" s="2356"/>
      <c r="DL122" s="2356" t="str">
        <f t="array" ref="DL122">IFERROR(INDEX(N_Bedarf!$CE$2:$CE$141,_xlfn.AGGREGATE(15,6,(ROW(N_Bedarf!$CE$2:$CE$141)-1)/(--(SEARCH(DM$2,N_Bedarf!$CE$2:$CE$141)&gt;0)),ROW()-2),1),"")</f>
        <v>Energiegras 2 Nutzungen (&lt;10% Legum.)</v>
      </c>
      <c r="DM122" s="2356"/>
      <c r="DN122" s="2356" t="str">
        <f t="array" ref="DN122">IFERROR(INDEX(N_Bedarf!$CE$2:$CE$141,_xlfn.AGGREGATE(15,6,(ROW(N_Bedarf!$CE$2:$CE$141)-1)/(--(SEARCH(DO$2,N_Bedarf!$CE$2:$CE$141)&gt;0)),ROW()-2),1),"")</f>
        <v>Energiegras 2 Nutzungen (&lt;10% Legum.)</v>
      </c>
      <c r="DO122" s="2356"/>
      <c r="DP122" s="2356" t="str">
        <f t="array" ref="DP122">IFERROR(INDEX(N_Bedarf!$CE$2:$CE$141,_xlfn.AGGREGATE(15,6,(ROW(N_Bedarf!$CE$2:$CE$141)-1)/(--(SEARCH(DQ$2,N_Bedarf!$CE$2:$CE$141)&gt;0)),ROW()-2),1),"")</f>
        <v>Energiegras 2 Nutzungen (&lt;10% Legum.)</v>
      </c>
      <c r="DQ122" s="2356"/>
      <c r="DR122" s="2356" t="str">
        <f t="array" ref="DR122">IFERROR(INDEX(N_Bedarf!$CE$2:$CE$141,_xlfn.AGGREGATE(15,6,(ROW(N_Bedarf!$CE$2:$CE$141)-1)/(--(SEARCH(DS$2,N_Bedarf!$CE$2:$CE$141)&gt;0)),ROW()-2),1),"")</f>
        <v>Energiegras 2 Nutzungen (&lt;10% Legum.)</v>
      </c>
      <c r="DS122" s="2356"/>
      <c r="DT122" s="2356" t="str">
        <f t="array" ref="DT122">IFERROR(INDEX(N_Bedarf!$CE$2:$CE$141,_xlfn.AGGREGATE(15,6,(ROW(N_Bedarf!$CE$2:$CE$141)-1)/(--(SEARCH(DU$2,N_Bedarf!$CE$2:$CE$141)&gt;0)),ROW()-2),1),"")</f>
        <v>Energiegras 2 Nutzungen (&lt;10% Legum.)</v>
      </c>
      <c r="DU122" s="2356"/>
      <c r="DV122" s="2356" t="str">
        <f t="array" ref="DV122">IFERROR(INDEX(N_Bedarf!$CE$2:$CE$141,_xlfn.AGGREGATE(15,6,(ROW(N_Bedarf!$CE$2:$CE$141)-1)/(--(SEARCH(DW$2,N_Bedarf!$CE$2:$CE$141)&gt;0)),ROW()-2),1),"")</f>
        <v>Energiegras 2 Nutzungen (&lt;10% Legum.)</v>
      </c>
      <c r="DW122" s="2356"/>
      <c r="DX122" s="2356" t="str">
        <f t="array" ref="DX122">IFERROR(INDEX(N_Bedarf!$CE$2:$CE$141,_xlfn.AGGREGATE(15,6,(ROW(N_Bedarf!$CE$2:$CE$141)-1)/(--(SEARCH(DY$2,N_Bedarf!$CE$2:$CE$141)&gt;0)),ROW()-2),1),"")</f>
        <v>Energiegras 2 Nutzungen (&lt;10% Legum.)</v>
      </c>
      <c r="DY122" s="2356"/>
      <c r="DZ122" s="2356" t="str">
        <f t="array" ref="DZ122">IFERROR(INDEX(N_Bedarf!$CE$2:$CE$141,_xlfn.AGGREGATE(15,6,(ROW(N_Bedarf!$CE$2:$CE$141)-1)/(--(SEARCH(EA$2,N_Bedarf!$CE$2:$CE$141)&gt;0)),ROW()-2),1),"")</f>
        <v>Energiegras 2 Nutzungen (&lt;10% Legum.)</v>
      </c>
      <c r="EA122" s="2356"/>
      <c r="EB122" s="2356" t="str">
        <f t="array" ref="EB122">IFERROR(INDEX(N_Bedarf!$CE$2:$CE$141,_xlfn.AGGREGATE(15,6,(ROW(N_Bedarf!$CE$2:$CE$141)-1)/(--(SEARCH(EC$2,N_Bedarf!$CE$2:$CE$141)&gt;0)),ROW()-2),1),"")</f>
        <v>Energiegras 2 Nutzungen (&lt;10% Legum.)</v>
      </c>
      <c r="EC122" s="2356"/>
      <c r="ED122"/>
      <c r="EE122"/>
      <c r="EF122"/>
      <c r="EG122"/>
      <c r="EH122"/>
      <c r="EI122"/>
      <c r="EJ122"/>
      <c r="EK122"/>
      <c r="EL122"/>
      <c r="EM122"/>
      <c r="EN122"/>
      <c r="EO122"/>
      <c r="EP122"/>
      <c r="EQ122"/>
      <c r="ER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row>
    <row r="123" spans="1:291" ht="21" customHeight="1" thickTop="1" thickBot="1">
      <c r="A123" s="156"/>
      <c r="B123" s="156"/>
      <c r="C123" s="1758" t="s">
        <v>2381</v>
      </c>
      <c r="D123" s="1759" t="s">
        <v>33</v>
      </c>
      <c r="E123" s="1729">
        <v>120</v>
      </c>
      <c r="F123" s="1760">
        <v>110</v>
      </c>
      <c r="G123" s="1993" t="s">
        <v>1791</v>
      </c>
      <c r="H123" s="1994">
        <v>140</v>
      </c>
      <c r="I123" s="1995">
        <v>125</v>
      </c>
      <c r="J123" s="1759" t="s">
        <v>1417</v>
      </c>
      <c r="K123" s="1729">
        <v>165</v>
      </c>
      <c r="L123" s="1760">
        <v>150</v>
      </c>
      <c r="M123" s="1759" t="s">
        <v>1417</v>
      </c>
      <c r="N123" s="1729">
        <v>165</v>
      </c>
      <c r="O123" s="1760">
        <v>150</v>
      </c>
      <c r="P123" s="1759" t="s">
        <v>1417</v>
      </c>
      <c r="Q123" s="1729">
        <v>165</v>
      </c>
      <c r="R123" s="1761">
        <v>150</v>
      </c>
      <c r="S123" s="1762">
        <v>130</v>
      </c>
      <c r="T123" s="1729">
        <v>130</v>
      </c>
      <c r="U123" s="1760">
        <v>130</v>
      </c>
      <c r="V123" s="1759">
        <v>105</v>
      </c>
      <c r="W123" s="1729">
        <v>105</v>
      </c>
      <c r="X123" s="1760">
        <v>105</v>
      </c>
      <c r="Y123" s="2009">
        <v>75</v>
      </c>
      <c r="Z123" s="2010">
        <v>85</v>
      </c>
      <c r="AA123" s="2011">
        <v>100</v>
      </c>
      <c r="AB123" s="1871" t="s">
        <v>1388</v>
      </c>
      <c r="AC123" s="1763" t="s">
        <v>1389</v>
      </c>
      <c r="AD123" s="1762">
        <v>300</v>
      </c>
      <c r="AE123" s="1729">
        <v>300</v>
      </c>
      <c r="AF123" s="1760">
        <v>300</v>
      </c>
      <c r="AG123" s="1759">
        <v>250</v>
      </c>
      <c r="AH123" s="1729">
        <v>250</v>
      </c>
      <c r="AI123" s="1760">
        <v>250</v>
      </c>
      <c r="AJ123" s="2009">
        <v>180</v>
      </c>
      <c r="AK123" s="2010">
        <v>200</v>
      </c>
      <c r="AL123" s="2011">
        <v>230</v>
      </c>
      <c r="AM123" s="1871" t="s">
        <v>1390</v>
      </c>
      <c r="AN123" s="1763" t="s">
        <v>1389</v>
      </c>
      <c r="AO123" s="156"/>
      <c r="AP123" s="156"/>
      <c r="AX123" s="1722" t="s">
        <v>1899</v>
      </c>
      <c r="AY123" s="681">
        <v>0</v>
      </c>
      <c r="AZ123" s="681" t="s">
        <v>1764</v>
      </c>
      <c r="BA123" s="681" t="s">
        <v>2694</v>
      </c>
      <c r="BB123" s="681">
        <v>200</v>
      </c>
      <c r="BC123" s="681">
        <v>200</v>
      </c>
      <c r="BD123" s="681" t="s">
        <v>2581</v>
      </c>
      <c r="BE123" s="681">
        <v>200</v>
      </c>
      <c r="BF123" s="681">
        <v>200</v>
      </c>
      <c r="BG123" s="681" t="s">
        <v>2581</v>
      </c>
      <c r="BH123" s="681">
        <v>200</v>
      </c>
      <c r="BI123" s="681">
        <v>200</v>
      </c>
      <c r="BJ123" s="681" t="s">
        <v>2581</v>
      </c>
      <c r="BK123" s="681">
        <v>200</v>
      </c>
      <c r="BL123" s="681">
        <v>200</v>
      </c>
      <c r="BM123" s="681" t="s">
        <v>2581</v>
      </c>
      <c r="BN123" s="471">
        <v>0</v>
      </c>
      <c r="BO123" s="821">
        <v>30</v>
      </c>
      <c r="BP123"/>
      <c r="BQ123" s="1722" t="s">
        <v>1899</v>
      </c>
      <c r="BR123" s="470">
        <v>15</v>
      </c>
      <c r="BS123" s="470">
        <v>30</v>
      </c>
      <c r="BT123" s="470">
        <v>30</v>
      </c>
      <c r="BV123" s="1722" t="s">
        <v>1899</v>
      </c>
      <c r="BW123" s="470">
        <v>45</v>
      </c>
      <c r="BX123" s="470">
        <v>80</v>
      </c>
      <c r="BY123" s="470">
        <v>80</v>
      </c>
      <c r="CB123" s="428"/>
      <c r="CC123" s="428"/>
      <c r="CD123" s="428"/>
      <c r="CE123" s="2310" t="s">
        <v>1903</v>
      </c>
      <c r="CF123" s="1834" t="str">
        <f>IFERROR(INDEX(N_Bedarf!$CE$2:$CE$141,_xlfn.AGGREGATE(15,6,(ROW(N_Bedarf!$CE$2:$CE$141)-1)/(--(SEARCH(CG$2,N_Bedarf!$CE$2:$CE$141)&gt;0)),ROW()-2),1),"")</f>
        <v>Energiegras 3 Nutzungen (&lt;10% Legum.)</v>
      </c>
      <c r="CG123" s="1830"/>
      <c r="CH123" s="1834" t="str">
        <f>IFERROR(INDEX(N_Bedarf!$CE$2:$CE$141,_xlfn.AGGREGATE(15,6,(ROW(N_Bedarf!$CE$2:$CE$141)-1)/(--(SEARCH(CI$2,N_Bedarf!$CE$2:$CE$141)&gt;0)),ROW()-2),1),"")</f>
        <v>Energiegras 3 Nutzungen (&lt;10% Legum.)</v>
      </c>
      <c r="CI123" s="1830"/>
      <c r="CJ123" s="1834" t="str">
        <f>IFERROR(INDEX(N_Bedarf!$CE$2:$CE$141,_xlfn.AGGREGATE(15,6,(ROW(N_Bedarf!$CE$2:$CE$141)-1)/(--(SEARCH(CK$2,N_Bedarf!$CE$2:$CE$141)&gt;0)),ROW()-2),1),"")</f>
        <v>Energiegras 3 Nutzungen (&lt;10% Legum.)</v>
      </c>
      <c r="CK123" s="1830"/>
      <c r="CL123" s="1834" t="str">
        <f>IFERROR(INDEX(N_Bedarf!$CE$2:$CE$141,_xlfn.AGGREGATE(15,6,(ROW(N_Bedarf!$CE$2:$CE$141)-1)/(--(SEARCH(CM$2,N_Bedarf!$CE$2:$CE$141)&gt;0)),ROW()-2),1),"")</f>
        <v>Energiegras 3 Nutzungen (&lt;10% Legum.)</v>
      </c>
      <c r="CM123" s="1830"/>
      <c r="CN123" s="1834" t="str">
        <f>IFERROR(INDEX(N_Bedarf!$CE$2:$CE$141,_xlfn.AGGREGATE(15,6,(ROW(N_Bedarf!$CE$2:$CE$141)-1)/(--(SEARCH(CO$2,N_Bedarf!$CE$2:$CE$141)&gt;0)),ROW()-2),1),"")</f>
        <v>Energiegras 3 Nutzungen (&lt;10% Legum.)</v>
      </c>
      <c r="CO123" s="1830"/>
      <c r="CP123" s="1834" t="str">
        <f>IFERROR(INDEX(N_Bedarf!$CE$2:$CE$141,_xlfn.AGGREGATE(15,6,(ROW(N_Bedarf!$CE$2:$CE$141)-1)/(--(SEARCH(CQ$2,N_Bedarf!$CE$2:$CE$141)&gt;0)),ROW()-2),1),"")</f>
        <v>Energiegras 3 Nutzungen (&lt;10% Legum.)</v>
      </c>
      <c r="CQ123" s="1830"/>
      <c r="CR123" s="1834" t="str">
        <f>IFERROR(INDEX(N_Bedarf!$CE$2:$CE$141,_xlfn.AGGREGATE(15,6,(ROW(N_Bedarf!$CE$2:$CE$141)-1)/(--(SEARCH(CS$2,N_Bedarf!$CE$2:$CE$141)&gt;0)),ROW()-2),1),"")</f>
        <v>Energiegras 3 Nutzungen (&lt;10% Legum.)</v>
      </c>
      <c r="CS123" s="1830"/>
      <c r="CT123" s="1834" t="str">
        <f>IFERROR(INDEX(N_Bedarf!$CE$2:$CE$141,_xlfn.AGGREGATE(15,6,(ROW(N_Bedarf!$CE$2:$CE$141)-1)/(--(SEARCH(CU$2,N_Bedarf!$CE$2:$CE$141)&gt;0)),ROW()-2),1),"")</f>
        <v>Energiegras 3 Nutzungen (&lt;10% Legum.)</v>
      </c>
      <c r="CU123" s="1830"/>
      <c r="CV123" s="1834" t="str">
        <f>IFERROR(INDEX(N_Bedarf!$CE$2:$CE$141,_xlfn.AGGREGATE(15,6,(ROW(N_Bedarf!$CE$2:$CE$141)-1)/(--(SEARCH(CW$2,N_Bedarf!$CE$2:$CE$141)&gt;0)),ROW()-2),1),"")</f>
        <v>Energiegras 3 Nutzungen (&lt;10% Legum.)</v>
      </c>
      <c r="CW123" s="1830"/>
      <c r="CX123" s="1834" t="str">
        <f>IFERROR(INDEX(N_Bedarf!$CE$2:$CE$141,_xlfn.AGGREGATE(15,6,(ROW(N_Bedarf!$CE$2:$CE$141)-1)/(--(SEARCH(CY$2,N_Bedarf!$CE$2:$CE$141)&gt;0)),ROW()-2),1),"")</f>
        <v>Energiegras 3 Nutzungen (&lt;10% Legum.)</v>
      </c>
      <c r="CY123" s="1830"/>
      <c r="CZ123" s="1834" t="str">
        <f>IFERROR(INDEX(N_Bedarf!$CE$2:$CE$141,_xlfn.AGGREGATE(15,6,(ROW(N_Bedarf!$CE$2:$CE$141)-1)/(--(SEARCH(DA$2,N_Bedarf!$CE$2:$CE$141)&gt;0)),ROW()-2),1),"")</f>
        <v>Energiegras 3 Nutzungen (&lt;10% Legum.)</v>
      </c>
      <c r="DA123" s="1830"/>
      <c r="DB123" s="1834" t="str">
        <f>IFERROR(INDEX(N_Bedarf!$CE$2:$CE$141,_xlfn.AGGREGATE(15,6,(ROW(N_Bedarf!$CE$2:$CE$141)-1)/(--(SEARCH(DC$2,N_Bedarf!$CE$2:$CE$141)&gt;0)),ROW()-2),1),"")</f>
        <v>Energiegras 3 Nutzungen (&lt;10% Legum.)</v>
      </c>
      <c r="DC123" s="1830"/>
      <c r="DD123" s="1834" t="str">
        <f>IFERROR(INDEX(N_Bedarf!$CE$2:$CE$141,_xlfn.AGGREGATE(15,6,(ROW(N_Bedarf!$CE$2:$CE$141)-1)/(--(SEARCH(DE$2,N_Bedarf!$CE$2:$CE$141)&gt;0)),ROW()-2),1),"")</f>
        <v>Energiegras 3 Nutzungen (&lt;10% Legum.)</v>
      </c>
      <c r="DE123" s="1830"/>
      <c r="DF123" s="2353" t="str">
        <f t="array" ref="DF123">IFERROR(INDEX(N_Bedarf!$CE$2:$CE$141,_xlfn.AGGREGATE(15,6,(ROW(N_Bedarf!$CE$2:$CE$141)-1)/(--(SEARCH(DG$2,N_Bedarf!$CE$2:$CE$141)&gt;0)),ROW()-2),1),"")</f>
        <v>Energiegras 3 Nutzungen (&lt;10% Legum.)</v>
      </c>
      <c r="DG123" s="2353"/>
      <c r="DH123" s="2355" t="str">
        <f t="array" ref="DH123">IFERROR(INDEX(N_Bedarf!$CE$2:$CE$141,_xlfn.AGGREGATE(15,6,(ROW(N_Bedarf!$CE$2:$CE$141)-1)/(--(SEARCH(DI$2,N_Bedarf!$CE$2:$CE$141)&gt;0)),ROW()-2),1),"")</f>
        <v>Energiegras 3 Nutzungen (&lt;10% Legum.)</v>
      </c>
      <c r="DI123" s="2355"/>
      <c r="DJ123" s="2356" t="str">
        <f t="array" ref="DJ123">IFERROR(INDEX(N_Bedarf!$CE$2:$CE$141,_xlfn.AGGREGATE(15,6,(ROW(N_Bedarf!$CE$2:$CE$141)-1)/(--(SEARCH(DK$2,N_Bedarf!$CE$2:$CE$141)&gt;0)),ROW()-2),1),"")</f>
        <v>Energiegras 3 Nutzungen (&lt;10% Legum.)</v>
      </c>
      <c r="DK123" s="2356"/>
      <c r="DL123" s="2356" t="str">
        <f t="array" ref="DL123">IFERROR(INDEX(N_Bedarf!$CE$2:$CE$141,_xlfn.AGGREGATE(15,6,(ROW(N_Bedarf!$CE$2:$CE$141)-1)/(--(SEARCH(DM$2,N_Bedarf!$CE$2:$CE$141)&gt;0)),ROW()-2),1),"")</f>
        <v>Energiegras 3 Nutzungen (&lt;10% Legum.)</v>
      </c>
      <c r="DM123" s="2356"/>
      <c r="DN123" s="2356" t="str">
        <f t="array" ref="DN123">IFERROR(INDEX(N_Bedarf!$CE$2:$CE$141,_xlfn.AGGREGATE(15,6,(ROW(N_Bedarf!$CE$2:$CE$141)-1)/(--(SEARCH(DO$2,N_Bedarf!$CE$2:$CE$141)&gt;0)),ROW()-2),1),"")</f>
        <v>Energiegras 3 Nutzungen (&lt;10% Legum.)</v>
      </c>
      <c r="DO123" s="2356"/>
      <c r="DP123" s="2356" t="str">
        <f t="array" ref="DP123">IFERROR(INDEX(N_Bedarf!$CE$2:$CE$141,_xlfn.AGGREGATE(15,6,(ROW(N_Bedarf!$CE$2:$CE$141)-1)/(--(SEARCH(DQ$2,N_Bedarf!$CE$2:$CE$141)&gt;0)),ROW()-2),1),"")</f>
        <v>Energiegras 3 Nutzungen (&lt;10% Legum.)</v>
      </c>
      <c r="DQ123" s="2356"/>
      <c r="DR123" s="2356" t="str">
        <f t="array" ref="DR123">IFERROR(INDEX(N_Bedarf!$CE$2:$CE$141,_xlfn.AGGREGATE(15,6,(ROW(N_Bedarf!$CE$2:$CE$141)-1)/(--(SEARCH(DS$2,N_Bedarf!$CE$2:$CE$141)&gt;0)),ROW()-2),1),"")</f>
        <v>Energiegras 3 Nutzungen (&lt;10% Legum.)</v>
      </c>
      <c r="DS123" s="2356"/>
      <c r="DT123" s="2356" t="str">
        <f t="array" ref="DT123">IFERROR(INDEX(N_Bedarf!$CE$2:$CE$141,_xlfn.AGGREGATE(15,6,(ROW(N_Bedarf!$CE$2:$CE$141)-1)/(--(SEARCH(DU$2,N_Bedarf!$CE$2:$CE$141)&gt;0)),ROW()-2),1),"")</f>
        <v>Energiegras 3 Nutzungen (&lt;10% Legum.)</v>
      </c>
      <c r="DU123" s="2356"/>
      <c r="DV123" s="2356" t="str">
        <f t="array" ref="DV123">IFERROR(INDEX(N_Bedarf!$CE$2:$CE$141,_xlfn.AGGREGATE(15,6,(ROW(N_Bedarf!$CE$2:$CE$141)-1)/(--(SEARCH(DW$2,N_Bedarf!$CE$2:$CE$141)&gt;0)),ROW()-2),1),"")</f>
        <v>Energiegras 3 Nutzungen (&lt;10% Legum.)</v>
      </c>
      <c r="DW123" s="2356"/>
      <c r="DX123" s="2356" t="str">
        <f t="array" ref="DX123">IFERROR(INDEX(N_Bedarf!$CE$2:$CE$141,_xlfn.AGGREGATE(15,6,(ROW(N_Bedarf!$CE$2:$CE$141)-1)/(--(SEARCH(DY$2,N_Bedarf!$CE$2:$CE$141)&gt;0)),ROW()-2),1),"")</f>
        <v>Energiegras 3 Nutzungen (&lt;10% Legum.)</v>
      </c>
      <c r="DY123" s="2356"/>
      <c r="DZ123" s="2356" t="str">
        <f t="array" ref="DZ123">IFERROR(INDEX(N_Bedarf!$CE$2:$CE$141,_xlfn.AGGREGATE(15,6,(ROW(N_Bedarf!$CE$2:$CE$141)-1)/(--(SEARCH(EA$2,N_Bedarf!$CE$2:$CE$141)&gt;0)),ROW()-2),1),"")</f>
        <v>Energiegras 3 Nutzungen (&lt;10% Legum.)</v>
      </c>
      <c r="EA123" s="2356"/>
      <c r="EB123" s="2356" t="str">
        <f t="array" ref="EB123">IFERROR(INDEX(N_Bedarf!$CE$2:$CE$141,_xlfn.AGGREGATE(15,6,(ROW(N_Bedarf!$CE$2:$CE$141)-1)/(--(SEARCH(EC$2,N_Bedarf!$CE$2:$CE$141)&gt;0)),ROW()-2),1),"")</f>
        <v>Energiegras 3 Nutzungen (&lt;10% Legum.)</v>
      </c>
      <c r="EC123" s="2356"/>
      <c r="ED123"/>
      <c r="EE123"/>
      <c r="EF123"/>
      <c r="EG123"/>
      <c r="EH123"/>
      <c r="EI123"/>
      <c r="EJ123"/>
      <c r="EK123"/>
      <c r="EL123"/>
      <c r="EM123"/>
      <c r="EN123"/>
      <c r="EO123"/>
      <c r="EP123"/>
      <c r="EQ123"/>
      <c r="ER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row>
    <row r="124" spans="1:291" ht="21" customHeight="1" thickTop="1" thickBot="1">
      <c r="A124" s="156"/>
      <c r="B124" s="156"/>
      <c r="C124" s="1758" t="s">
        <v>34</v>
      </c>
      <c r="D124" s="1759" t="s">
        <v>714</v>
      </c>
      <c r="E124" s="1729">
        <v>100</v>
      </c>
      <c r="F124" s="1760">
        <v>85</v>
      </c>
      <c r="G124" s="1993" t="s">
        <v>1773</v>
      </c>
      <c r="H124" s="1994">
        <v>100</v>
      </c>
      <c r="I124" s="1995">
        <v>85</v>
      </c>
      <c r="J124" s="1759" t="s">
        <v>1773</v>
      </c>
      <c r="K124" s="1729">
        <v>100</v>
      </c>
      <c r="L124" s="1760">
        <v>85</v>
      </c>
      <c r="M124" s="1759" t="s">
        <v>1773</v>
      </c>
      <c r="N124" s="1729">
        <v>100</v>
      </c>
      <c r="O124" s="1760">
        <v>85</v>
      </c>
      <c r="P124" s="1759" t="s">
        <v>714</v>
      </c>
      <c r="Q124" s="1729">
        <v>100</v>
      </c>
      <c r="R124" s="1761">
        <v>85</v>
      </c>
      <c r="S124" s="1762">
        <v>90</v>
      </c>
      <c r="T124" s="1729">
        <v>90</v>
      </c>
      <c r="U124" s="1760">
        <v>90</v>
      </c>
      <c r="V124" s="1759">
        <v>75</v>
      </c>
      <c r="W124" s="1729">
        <v>75</v>
      </c>
      <c r="X124" s="1760">
        <v>75</v>
      </c>
      <c r="Y124" s="2009">
        <v>55</v>
      </c>
      <c r="Z124" s="2010">
        <v>60</v>
      </c>
      <c r="AA124" s="2011">
        <v>70</v>
      </c>
      <c r="AB124" s="1871" t="s">
        <v>1388</v>
      </c>
      <c r="AC124" s="1763" t="s">
        <v>1389</v>
      </c>
      <c r="AD124" s="1762">
        <v>105</v>
      </c>
      <c r="AE124" s="1729">
        <v>105</v>
      </c>
      <c r="AF124" s="1760">
        <v>105</v>
      </c>
      <c r="AG124" s="1759">
        <v>90</v>
      </c>
      <c r="AH124" s="1729">
        <v>90</v>
      </c>
      <c r="AI124" s="1760">
        <v>90</v>
      </c>
      <c r="AJ124" s="2009">
        <v>65</v>
      </c>
      <c r="AK124" s="2010">
        <v>70</v>
      </c>
      <c r="AL124" s="2011">
        <v>80</v>
      </c>
      <c r="AM124" s="1871" t="s">
        <v>1390</v>
      </c>
      <c r="AN124" s="1763" t="s">
        <v>1389</v>
      </c>
      <c r="AO124" s="156"/>
      <c r="AP124" s="156"/>
      <c r="AX124" s="1722" t="s">
        <v>1900</v>
      </c>
      <c r="AY124" s="681">
        <v>200</v>
      </c>
      <c r="AZ124" s="681">
        <v>200</v>
      </c>
      <c r="BA124" s="681" t="s">
        <v>2561</v>
      </c>
      <c r="BB124" s="681">
        <v>200</v>
      </c>
      <c r="BC124" s="681">
        <v>200</v>
      </c>
      <c r="BD124" s="681" t="s">
        <v>2582</v>
      </c>
      <c r="BE124" s="681">
        <v>200</v>
      </c>
      <c r="BF124" s="681">
        <v>200</v>
      </c>
      <c r="BG124" s="681" t="s">
        <v>2582</v>
      </c>
      <c r="BH124" s="681">
        <v>200</v>
      </c>
      <c r="BI124" s="681">
        <v>200</v>
      </c>
      <c r="BJ124" s="681" t="s">
        <v>2582</v>
      </c>
      <c r="BK124" s="681">
        <v>200</v>
      </c>
      <c r="BL124" s="681">
        <v>200</v>
      </c>
      <c r="BM124" s="681" t="s">
        <v>2582</v>
      </c>
      <c r="BN124" s="471">
        <v>0</v>
      </c>
      <c r="BO124" s="821">
        <v>30</v>
      </c>
      <c r="BP124"/>
      <c r="BQ124" s="1722" t="s">
        <v>1900</v>
      </c>
      <c r="BR124" s="470">
        <v>30</v>
      </c>
      <c r="BS124" s="470">
        <v>45</v>
      </c>
      <c r="BT124" s="470">
        <v>45</v>
      </c>
      <c r="BV124" s="1722" t="s">
        <v>1900</v>
      </c>
      <c r="BW124" s="470">
        <v>80</v>
      </c>
      <c r="BX124" s="470">
        <v>120</v>
      </c>
      <c r="BY124" s="470">
        <v>120</v>
      </c>
      <c r="CB124" s="428"/>
      <c r="CC124" s="428"/>
      <c r="CD124" s="428"/>
      <c r="CE124" s="2310" t="s">
        <v>1904</v>
      </c>
      <c r="CF124" s="1834" t="str">
        <f>IFERROR(INDEX(N_Bedarf!$CE$2:$CE$141,_xlfn.AGGREGATE(15,6,(ROW(N_Bedarf!$CE$2:$CE$141)-1)/(--(SEARCH(CG$2,N_Bedarf!$CE$2:$CE$141)&gt;0)),ROW()-2),1),"")</f>
        <v>Energiegras 4 Nutzungen (&lt;10% Legum.)</v>
      </c>
      <c r="CG124" s="1836"/>
      <c r="CH124" s="1834" t="str">
        <f>IFERROR(INDEX(N_Bedarf!$CE$2:$CE$141,_xlfn.AGGREGATE(15,6,(ROW(N_Bedarf!$CE$2:$CE$141)-1)/(--(SEARCH(CI$2,N_Bedarf!$CE$2:$CE$141)&gt;0)),ROW()-2),1),"")</f>
        <v>Energiegras 4 Nutzungen (&lt;10% Legum.)</v>
      </c>
      <c r="CI124" s="1836"/>
      <c r="CJ124" s="1834" t="str">
        <f>IFERROR(INDEX(N_Bedarf!$CE$2:$CE$141,_xlfn.AGGREGATE(15,6,(ROW(N_Bedarf!$CE$2:$CE$141)-1)/(--(SEARCH(CK$2,N_Bedarf!$CE$2:$CE$141)&gt;0)),ROW()-2),1),"")</f>
        <v>Energiegras 4 Nutzungen (&lt;10% Legum.)</v>
      </c>
      <c r="CK124" s="1836"/>
      <c r="CL124" s="1834" t="str">
        <f>IFERROR(INDEX(N_Bedarf!$CE$2:$CE$141,_xlfn.AGGREGATE(15,6,(ROW(N_Bedarf!$CE$2:$CE$141)-1)/(--(SEARCH(CM$2,N_Bedarf!$CE$2:$CE$141)&gt;0)),ROW()-2),1),"")</f>
        <v>Energiegras 4 Nutzungen (&lt;10% Legum.)</v>
      </c>
      <c r="CM124" s="1836"/>
      <c r="CN124" s="1834" t="str">
        <f>IFERROR(INDEX(N_Bedarf!$CE$2:$CE$141,_xlfn.AGGREGATE(15,6,(ROW(N_Bedarf!$CE$2:$CE$141)-1)/(--(SEARCH(CO$2,N_Bedarf!$CE$2:$CE$141)&gt;0)),ROW()-2),1),"")</f>
        <v>Energiegras 4 Nutzungen (&lt;10% Legum.)</v>
      </c>
      <c r="CO124" s="1836"/>
      <c r="CP124" s="1834" t="str">
        <f>IFERROR(INDEX(N_Bedarf!$CE$2:$CE$141,_xlfn.AGGREGATE(15,6,(ROW(N_Bedarf!$CE$2:$CE$141)-1)/(--(SEARCH(CQ$2,N_Bedarf!$CE$2:$CE$141)&gt;0)),ROW()-2),1),"")</f>
        <v>Energiegras 4 Nutzungen (&lt;10% Legum.)</v>
      </c>
      <c r="CQ124" s="1836"/>
      <c r="CR124" s="1834" t="str">
        <f>IFERROR(INDEX(N_Bedarf!$CE$2:$CE$141,_xlfn.AGGREGATE(15,6,(ROW(N_Bedarf!$CE$2:$CE$141)-1)/(--(SEARCH(CS$2,N_Bedarf!$CE$2:$CE$141)&gt;0)),ROW()-2),1),"")</f>
        <v>Energiegras 4 Nutzungen (&lt;10% Legum.)</v>
      </c>
      <c r="CS124" s="1836"/>
      <c r="CT124" s="1834" t="str">
        <f>IFERROR(INDEX(N_Bedarf!$CE$2:$CE$141,_xlfn.AGGREGATE(15,6,(ROW(N_Bedarf!$CE$2:$CE$141)-1)/(--(SEARCH(CU$2,N_Bedarf!$CE$2:$CE$141)&gt;0)),ROW()-2),1),"")</f>
        <v>Energiegras 4 Nutzungen (&lt;10% Legum.)</v>
      </c>
      <c r="CU124" s="1836"/>
      <c r="CV124" s="1834" t="str">
        <f>IFERROR(INDEX(N_Bedarf!$CE$2:$CE$141,_xlfn.AGGREGATE(15,6,(ROW(N_Bedarf!$CE$2:$CE$141)-1)/(--(SEARCH(CW$2,N_Bedarf!$CE$2:$CE$141)&gt;0)),ROW()-2),1),"")</f>
        <v>Energiegras 4 Nutzungen (&lt;10% Legum.)</v>
      </c>
      <c r="CW124" s="1836"/>
      <c r="CX124" s="1834" t="str">
        <f>IFERROR(INDEX(N_Bedarf!$CE$2:$CE$141,_xlfn.AGGREGATE(15,6,(ROW(N_Bedarf!$CE$2:$CE$141)-1)/(--(SEARCH(CY$2,N_Bedarf!$CE$2:$CE$141)&gt;0)),ROW()-2),1),"")</f>
        <v>Energiegras 4 Nutzungen (&lt;10% Legum.)</v>
      </c>
      <c r="CY124" s="1836"/>
      <c r="CZ124" s="1834" t="str">
        <f>IFERROR(INDEX(N_Bedarf!$CE$2:$CE$141,_xlfn.AGGREGATE(15,6,(ROW(N_Bedarf!$CE$2:$CE$141)-1)/(--(SEARCH(DA$2,N_Bedarf!$CE$2:$CE$141)&gt;0)),ROW()-2),1),"")</f>
        <v>Energiegras 4 Nutzungen (&lt;10% Legum.)</v>
      </c>
      <c r="DA124" s="1836"/>
      <c r="DB124" s="1834" t="str">
        <f>IFERROR(INDEX(N_Bedarf!$CE$2:$CE$141,_xlfn.AGGREGATE(15,6,(ROW(N_Bedarf!$CE$2:$CE$141)-1)/(--(SEARCH(DC$2,N_Bedarf!$CE$2:$CE$141)&gt;0)),ROW()-2),1),"")</f>
        <v>Energiegras 4 Nutzungen (&lt;10% Legum.)</v>
      </c>
      <c r="DC124" s="1836"/>
      <c r="DD124" s="1834" t="str">
        <f>IFERROR(INDEX(N_Bedarf!$CE$2:$CE$141,_xlfn.AGGREGATE(15,6,(ROW(N_Bedarf!$CE$2:$CE$141)-1)/(--(SEARCH(DE$2,N_Bedarf!$CE$2:$CE$141)&gt;0)),ROW()-2),1),"")</f>
        <v>Energiegras 4 Nutzungen (&lt;10% Legum.)</v>
      </c>
      <c r="DE124" s="1836"/>
      <c r="DF124" s="2353" t="str">
        <f t="array" ref="DF124">IFERROR(INDEX(N_Bedarf!$CE$2:$CE$141,_xlfn.AGGREGATE(15,6,(ROW(N_Bedarf!$CE$2:$CE$141)-1)/(--(SEARCH(DG$2,N_Bedarf!$CE$2:$CE$141)&gt;0)),ROW()-2),1),"")</f>
        <v>Energiegras 4 Nutzungen (&lt;10% Legum.)</v>
      </c>
      <c r="DG124" s="2353"/>
      <c r="DH124" s="2355" t="str">
        <f t="array" ref="DH124">IFERROR(INDEX(N_Bedarf!$CE$2:$CE$141,_xlfn.AGGREGATE(15,6,(ROW(N_Bedarf!$CE$2:$CE$141)-1)/(--(SEARCH(DI$2,N_Bedarf!$CE$2:$CE$141)&gt;0)),ROW()-2),1),"")</f>
        <v>Energiegras 4 Nutzungen (&lt;10% Legum.)</v>
      </c>
      <c r="DI124" s="2355"/>
      <c r="DJ124" s="2356" t="str">
        <f t="array" ref="DJ124">IFERROR(INDEX(N_Bedarf!$CE$2:$CE$141,_xlfn.AGGREGATE(15,6,(ROW(N_Bedarf!$CE$2:$CE$141)-1)/(--(SEARCH(DK$2,N_Bedarf!$CE$2:$CE$141)&gt;0)),ROW()-2),1),"")</f>
        <v>Energiegras 4 Nutzungen (&lt;10% Legum.)</v>
      </c>
      <c r="DK124" s="2356"/>
      <c r="DL124" s="2356" t="str">
        <f t="array" ref="DL124">IFERROR(INDEX(N_Bedarf!$CE$2:$CE$141,_xlfn.AGGREGATE(15,6,(ROW(N_Bedarf!$CE$2:$CE$141)-1)/(--(SEARCH(DM$2,N_Bedarf!$CE$2:$CE$141)&gt;0)),ROW()-2),1),"")</f>
        <v>Energiegras 4 Nutzungen (&lt;10% Legum.)</v>
      </c>
      <c r="DM124" s="2356"/>
      <c r="DN124" s="2356" t="str">
        <f t="array" ref="DN124">IFERROR(INDEX(N_Bedarf!$CE$2:$CE$141,_xlfn.AGGREGATE(15,6,(ROW(N_Bedarf!$CE$2:$CE$141)-1)/(--(SEARCH(DO$2,N_Bedarf!$CE$2:$CE$141)&gt;0)),ROW()-2),1),"")</f>
        <v>Energiegras 4 Nutzungen (&lt;10% Legum.)</v>
      </c>
      <c r="DO124" s="2356"/>
      <c r="DP124" s="2356" t="str">
        <f t="array" ref="DP124">IFERROR(INDEX(N_Bedarf!$CE$2:$CE$141,_xlfn.AGGREGATE(15,6,(ROW(N_Bedarf!$CE$2:$CE$141)-1)/(--(SEARCH(DQ$2,N_Bedarf!$CE$2:$CE$141)&gt;0)),ROW()-2),1),"")</f>
        <v>Energiegras 4 Nutzungen (&lt;10% Legum.)</v>
      </c>
      <c r="DQ124" s="2356"/>
      <c r="DR124" s="2356" t="str">
        <f t="array" ref="DR124">IFERROR(INDEX(N_Bedarf!$CE$2:$CE$141,_xlfn.AGGREGATE(15,6,(ROW(N_Bedarf!$CE$2:$CE$141)-1)/(--(SEARCH(DS$2,N_Bedarf!$CE$2:$CE$141)&gt;0)),ROW()-2),1),"")</f>
        <v>Energiegras 4 Nutzungen (&lt;10% Legum.)</v>
      </c>
      <c r="DS124" s="2356"/>
      <c r="DT124" s="2356" t="str">
        <f t="array" ref="DT124">IFERROR(INDEX(N_Bedarf!$CE$2:$CE$141,_xlfn.AGGREGATE(15,6,(ROW(N_Bedarf!$CE$2:$CE$141)-1)/(--(SEARCH(DU$2,N_Bedarf!$CE$2:$CE$141)&gt;0)),ROW()-2),1),"")</f>
        <v>Energiegras 4 Nutzungen (&lt;10% Legum.)</v>
      </c>
      <c r="DU124" s="2356"/>
      <c r="DV124" s="2356" t="str">
        <f t="array" ref="DV124">IFERROR(INDEX(N_Bedarf!$CE$2:$CE$141,_xlfn.AGGREGATE(15,6,(ROW(N_Bedarf!$CE$2:$CE$141)-1)/(--(SEARCH(DW$2,N_Bedarf!$CE$2:$CE$141)&gt;0)),ROW()-2),1),"")</f>
        <v>Energiegras 4 Nutzungen (&lt;10% Legum.)</v>
      </c>
      <c r="DW124" s="2356"/>
      <c r="DX124" s="2356" t="str">
        <f t="array" ref="DX124">IFERROR(INDEX(N_Bedarf!$CE$2:$CE$141,_xlfn.AGGREGATE(15,6,(ROW(N_Bedarf!$CE$2:$CE$141)-1)/(--(SEARCH(DY$2,N_Bedarf!$CE$2:$CE$141)&gt;0)),ROW()-2),1),"")</f>
        <v>Energiegras 4 Nutzungen (&lt;10% Legum.)</v>
      </c>
      <c r="DY124" s="2356"/>
      <c r="DZ124" s="2356" t="str">
        <f t="array" ref="DZ124">IFERROR(INDEX(N_Bedarf!$CE$2:$CE$141,_xlfn.AGGREGATE(15,6,(ROW(N_Bedarf!$CE$2:$CE$141)-1)/(--(SEARCH(EA$2,N_Bedarf!$CE$2:$CE$141)&gt;0)),ROW()-2),1),"")</f>
        <v>Energiegras 4 Nutzungen (&lt;10% Legum.)</v>
      </c>
      <c r="EA124" s="2356"/>
      <c r="EB124" s="2356" t="str">
        <f t="array" ref="EB124">IFERROR(INDEX(N_Bedarf!$CE$2:$CE$141,_xlfn.AGGREGATE(15,6,(ROW(N_Bedarf!$CE$2:$CE$141)-1)/(--(SEARCH(EC$2,N_Bedarf!$CE$2:$CE$141)&gt;0)),ROW()-2),1),"")</f>
        <v>Energiegras 4 Nutzungen (&lt;10% Legum.)</v>
      </c>
      <c r="EC124" s="2356"/>
      <c r="ED124"/>
      <c r="EE124"/>
      <c r="EF124"/>
      <c r="EG124"/>
      <c r="EH124"/>
      <c r="EI124"/>
      <c r="EJ124"/>
      <c r="EK124"/>
      <c r="EL124"/>
      <c r="EM124"/>
      <c r="EN124"/>
      <c r="EO124"/>
      <c r="EP124"/>
      <c r="EQ124"/>
      <c r="ER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row>
    <row r="125" spans="1:291" ht="21" customHeight="1" thickTop="1" thickBot="1">
      <c r="A125" s="156"/>
      <c r="B125" s="156"/>
      <c r="C125" s="1758" t="s">
        <v>1710</v>
      </c>
      <c r="D125" s="1759" t="s">
        <v>1418</v>
      </c>
      <c r="E125" s="1729">
        <v>60</v>
      </c>
      <c r="F125" s="1760">
        <v>50</v>
      </c>
      <c r="G125" s="1993" t="s">
        <v>118</v>
      </c>
      <c r="H125" s="1994">
        <v>60</v>
      </c>
      <c r="I125" s="1995">
        <v>50</v>
      </c>
      <c r="J125" s="1759" t="s">
        <v>119</v>
      </c>
      <c r="K125" s="1729">
        <v>60</v>
      </c>
      <c r="L125" s="1760">
        <v>50</v>
      </c>
      <c r="M125" s="1759" t="s">
        <v>119</v>
      </c>
      <c r="N125" s="1729">
        <v>60</v>
      </c>
      <c r="O125" s="1760">
        <v>50</v>
      </c>
      <c r="P125" s="1759" t="s">
        <v>119</v>
      </c>
      <c r="Q125" s="1729">
        <v>60</v>
      </c>
      <c r="R125" s="1761">
        <v>50</v>
      </c>
      <c r="S125" s="1762">
        <v>100</v>
      </c>
      <c r="T125" s="1729">
        <v>100</v>
      </c>
      <c r="U125" s="1760">
        <v>100</v>
      </c>
      <c r="V125" s="1759">
        <v>80</v>
      </c>
      <c r="W125" s="1729">
        <v>80</v>
      </c>
      <c r="X125" s="1760">
        <v>80</v>
      </c>
      <c r="Y125" s="2009">
        <v>60</v>
      </c>
      <c r="Z125" s="2010">
        <v>65</v>
      </c>
      <c r="AA125" s="2011">
        <v>75</v>
      </c>
      <c r="AB125" s="1871" t="s">
        <v>1388</v>
      </c>
      <c r="AC125" s="1763" t="s">
        <v>1389</v>
      </c>
      <c r="AD125" s="1762">
        <v>135</v>
      </c>
      <c r="AE125" s="1729">
        <v>135</v>
      </c>
      <c r="AF125" s="1760">
        <v>135</v>
      </c>
      <c r="AG125" s="1759">
        <v>115</v>
      </c>
      <c r="AH125" s="1729">
        <v>115</v>
      </c>
      <c r="AI125" s="1760">
        <v>115</v>
      </c>
      <c r="AJ125" s="2009">
        <v>80</v>
      </c>
      <c r="AK125" s="2010">
        <v>90</v>
      </c>
      <c r="AL125" s="2011">
        <v>105</v>
      </c>
      <c r="AM125" s="1871" t="s">
        <v>1390</v>
      </c>
      <c r="AN125" s="1763" t="s">
        <v>1389</v>
      </c>
      <c r="AO125" s="156"/>
      <c r="AP125" s="156"/>
      <c r="AX125" s="1722" t="s">
        <v>1901</v>
      </c>
      <c r="AY125" s="681">
        <v>200</v>
      </c>
      <c r="AZ125" s="681">
        <v>200</v>
      </c>
      <c r="BA125" s="681" t="s">
        <v>2695</v>
      </c>
      <c r="BB125" s="681">
        <v>200</v>
      </c>
      <c r="BC125" s="681">
        <v>200</v>
      </c>
      <c r="BD125" s="681" t="s">
        <v>2695</v>
      </c>
      <c r="BE125" s="681">
        <v>210</v>
      </c>
      <c r="BF125" s="681">
        <v>210</v>
      </c>
      <c r="BG125" s="681" t="s">
        <v>2583</v>
      </c>
      <c r="BH125" s="681">
        <v>210</v>
      </c>
      <c r="BI125" s="681">
        <v>210</v>
      </c>
      <c r="BJ125" s="681" t="s">
        <v>2583</v>
      </c>
      <c r="BK125" s="681">
        <v>210</v>
      </c>
      <c r="BL125" s="681">
        <v>210</v>
      </c>
      <c r="BM125" s="681" t="s">
        <v>2583</v>
      </c>
      <c r="BN125" s="471">
        <v>0</v>
      </c>
      <c r="BO125" s="821">
        <v>30</v>
      </c>
      <c r="BP125"/>
      <c r="BQ125" s="1722" t="s">
        <v>1901</v>
      </c>
      <c r="BR125" s="470">
        <v>45</v>
      </c>
      <c r="BS125" s="470">
        <v>65</v>
      </c>
      <c r="BT125" s="470">
        <v>80</v>
      </c>
      <c r="BV125" s="1722" t="s">
        <v>1901</v>
      </c>
      <c r="BW125" s="470">
        <v>130</v>
      </c>
      <c r="BX125" s="470">
        <v>170</v>
      </c>
      <c r="BY125" s="470">
        <v>215</v>
      </c>
      <c r="CB125" s="428"/>
      <c r="CC125" s="428"/>
      <c r="CD125" s="428"/>
      <c r="CE125" s="2310" t="s">
        <v>1905</v>
      </c>
      <c r="CF125" s="1834" t="str">
        <f>IFERROR(INDEX(N_Bedarf!$CE$2:$CE$141,_xlfn.AGGREGATE(15,6,(ROW(N_Bedarf!$CE$2:$CE$141)-1)/(--(SEARCH(CG$2,N_Bedarf!$CE$2:$CE$141)&gt;0)),ROW()-2),1),"")</f>
        <v>Energiegras 5 Nutzungen (&lt;10% Legum.)</v>
      </c>
      <c r="CG125" s="1830"/>
      <c r="CH125" s="1834" t="str">
        <f>IFERROR(INDEX(N_Bedarf!$CE$2:$CE$141,_xlfn.AGGREGATE(15,6,(ROW(N_Bedarf!$CE$2:$CE$141)-1)/(--(SEARCH(CI$2,N_Bedarf!$CE$2:$CE$141)&gt;0)),ROW()-2),1),"")</f>
        <v>Energiegras 5 Nutzungen (&lt;10% Legum.)</v>
      </c>
      <c r="CI125" s="1830"/>
      <c r="CJ125" s="1834" t="str">
        <f>IFERROR(INDEX(N_Bedarf!$CE$2:$CE$141,_xlfn.AGGREGATE(15,6,(ROW(N_Bedarf!$CE$2:$CE$141)-1)/(--(SEARCH(CK$2,N_Bedarf!$CE$2:$CE$141)&gt;0)),ROW()-2),1),"")</f>
        <v>Energiegras 5 Nutzungen (&lt;10% Legum.)</v>
      </c>
      <c r="CK125" s="1830"/>
      <c r="CL125" s="1834" t="str">
        <f>IFERROR(INDEX(N_Bedarf!$CE$2:$CE$141,_xlfn.AGGREGATE(15,6,(ROW(N_Bedarf!$CE$2:$CE$141)-1)/(--(SEARCH(CM$2,N_Bedarf!$CE$2:$CE$141)&gt;0)),ROW()-2),1),"")</f>
        <v>Energiegras 5 Nutzungen (&lt;10% Legum.)</v>
      </c>
      <c r="CM125" s="1830"/>
      <c r="CN125" s="1834" t="str">
        <f>IFERROR(INDEX(N_Bedarf!$CE$2:$CE$141,_xlfn.AGGREGATE(15,6,(ROW(N_Bedarf!$CE$2:$CE$141)-1)/(--(SEARCH(CO$2,N_Bedarf!$CE$2:$CE$141)&gt;0)),ROW()-2),1),"")</f>
        <v>Energiegras 5 Nutzungen (&lt;10% Legum.)</v>
      </c>
      <c r="CO125" s="1830"/>
      <c r="CP125" s="1834" t="str">
        <f>IFERROR(INDEX(N_Bedarf!$CE$2:$CE$141,_xlfn.AGGREGATE(15,6,(ROW(N_Bedarf!$CE$2:$CE$141)-1)/(--(SEARCH(CQ$2,N_Bedarf!$CE$2:$CE$141)&gt;0)),ROW()-2),1),"")</f>
        <v>Energiegras 5 Nutzungen (&lt;10% Legum.)</v>
      </c>
      <c r="CQ125" s="1830"/>
      <c r="CR125" s="1834" t="str">
        <f>IFERROR(INDEX(N_Bedarf!$CE$2:$CE$141,_xlfn.AGGREGATE(15,6,(ROW(N_Bedarf!$CE$2:$CE$141)-1)/(--(SEARCH(CS$2,N_Bedarf!$CE$2:$CE$141)&gt;0)),ROW()-2),1),"")</f>
        <v>Energiegras 5 Nutzungen (&lt;10% Legum.)</v>
      </c>
      <c r="CS125" s="1830"/>
      <c r="CT125" s="1834" t="str">
        <f>IFERROR(INDEX(N_Bedarf!$CE$2:$CE$141,_xlfn.AGGREGATE(15,6,(ROW(N_Bedarf!$CE$2:$CE$141)-1)/(--(SEARCH(CU$2,N_Bedarf!$CE$2:$CE$141)&gt;0)),ROW()-2),1),"")</f>
        <v>Energiegras 5 Nutzungen (&lt;10% Legum.)</v>
      </c>
      <c r="CU125" s="1830"/>
      <c r="CV125" s="1834" t="str">
        <f>IFERROR(INDEX(N_Bedarf!$CE$2:$CE$141,_xlfn.AGGREGATE(15,6,(ROW(N_Bedarf!$CE$2:$CE$141)-1)/(--(SEARCH(CW$2,N_Bedarf!$CE$2:$CE$141)&gt;0)),ROW()-2),1),"")</f>
        <v>Energiegras 5 Nutzungen (&lt;10% Legum.)</v>
      </c>
      <c r="CW125" s="1830"/>
      <c r="CX125" s="1834" t="str">
        <f>IFERROR(INDEX(N_Bedarf!$CE$2:$CE$141,_xlfn.AGGREGATE(15,6,(ROW(N_Bedarf!$CE$2:$CE$141)-1)/(--(SEARCH(CY$2,N_Bedarf!$CE$2:$CE$141)&gt;0)),ROW()-2),1),"")</f>
        <v>Energiegras 5 Nutzungen (&lt;10% Legum.)</v>
      </c>
      <c r="CY125" s="1830"/>
      <c r="CZ125" s="1834" t="str">
        <f>IFERROR(INDEX(N_Bedarf!$CE$2:$CE$141,_xlfn.AGGREGATE(15,6,(ROW(N_Bedarf!$CE$2:$CE$141)-1)/(--(SEARCH(DA$2,N_Bedarf!$CE$2:$CE$141)&gt;0)),ROW()-2),1),"")</f>
        <v>Energiegras 5 Nutzungen (&lt;10% Legum.)</v>
      </c>
      <c r="DA125" s="1830"/>
      <c r="DB125" s="1834" t="str">
        <f>IFERROR(INDEX(N_Bedarf!$CE$2:$CE$141,_xlfn.AGGREGATE(15,6,(ROW(N_Bedarf!$CE$2:$CE$141)-1)/(--(SEARCH(DC$2,N_Bedarf!$CE$2:$CE$141)&gt;0)),ROW()-2),1),"")</f>
        <v>Energiegras 5 Nutzungen (&lt;10% Legum.)</v>
      </c>
      <c r="DC125" s="1830"/>
      <c r="DD125" s="1834" t="str">
        <f>IFERROR(INDEX(N_Bedarf!$CE$2:$CE$141,_xlfn.AGGREGATE(15,6,(ROW(N_Bedarf!$CE$2:$CE$141)-1)/(--(SEARCH(DE$2,N_Bedarf!$CE$2:$CE$141)&gt;0)),ROW()-2),1),"")</f>
        <v>Energiegras 5 Nutzungen (&lt;10% Legum.)</v>
      </c>
      <c r="DE125" s="1830"/>
      <c r="DF125" s="2353" t="str">
        <f t="array" ref="DF125">IFERROR(INDEX(N_Bedarf!$CE$2:$CE$141,_xlfn.AGGREGATE(15,6,(ROW(N_Bedarf!$CE$2:$CE$141)-1)/(--(SEARCH(DG$2,N_Bedarf!$CE$2:$CE$141)&gt;0)),ROW()-2),1),"")</f>
        <v>Energiegras 5 Nutzungen (&lt;10% Legum.)</v>
      </c>
      <c r="DG125" s="2353"/>
      <c r="DH125" s="2355" t="str">
        <f t="array" ref="DH125">IFERROR(INDEX(N_Bedarf!$CE$2:$CE$141,_xlfn.AGGREGATE(15,6,(ROW(N_Bedarf!$CE$2:$CE$141)-1)/(--(SEARCH(DI$2,N_Bedarf!$CE$2:$CE$141)&gt;0)),ROW()-2),1),"")</f>
        <v>Energiegras 5 Nutzungen (&lt;10% Legum.)</v>
      </c>
      <c r="DI125" s="2355"/>
      <c r="DJ125" s="2356" t="str">
        <f t="array" ref="DJ125">IFERROR(INDEX(N_Bedarf!$CE$2:$CE$141,_xlfn.AGGREGATE(15,6,(ROW(N_Bedarf!$CE$2:$CE$141)-1)/(--(SEARCH(DK$2,N_Bedarf!$CE$2:$CE$141)&gt;0)),ROW()-2),1),"")</f>
        <v>Energiegras 5 Nutzungen (&lt;10% Legum.)</v>
      </c>
      <c r="DK125" s="2356"/>
      <c r="DL125" s="2356" t="str">
        <f t="array" ref="DL125">IFERROR(INDEX(N_Bedarf!$CE$2:$CE$141,_xlfn.AGGREGATE(15,6,(ROW(N_Bedarf!$CE$2:$CE$141)-1)/(--(SEARCH(DM$2,N_Bedarf!$CE$2:$CE$141)&gt;0)),ROW()-2),1),"")</f>
        <v>Energiegras 5 Nutzungen (&lt;10% Legum.)</v>
      </c>
      <c r="DM125" s="2356"/>
      <c r="DN125" s="2356" t="str">
        <f t="array" ref="DN125">IFERROR(INDEX(N_Bedarf!$CE$2:$CE$141,_xlfn.AGGREGATE(15,6,(ROW(N_Bedarf!$CE$2:$CE$141)-1)/(--(SEARCH(DO$2,N_Bedarf!$CE$2:$CE$141)&gt;0)),ROW()-2),1),"")</f>
        <v>Energiegras 5 Nutzungen (&lt;10% Legum.)</v>
      </c>
      <c r="DO125" s="2356"/>
      <c r="DP125" s="2356" t="str">
        <f t="array" ref="DP125">IFERROR(INDEX(N_Bedarf!$CE$2:$CE$141,_xlfn.AGGREGATE(15,6,(ROW(N_Bedarf!$CE$2:$CE$141)-1)/(--(SEARCH(DQ$2,N_Bedarf!$CE$2:$CE$141)&gt;0)),ROW()-2),1),"")</f>
        <v>Energiegras 5 Nutzungen (&lt;10% Legum.)</v>
      </c>
      <c r="DQ125" s="2356"/>
      <c r="DR125" s="2356" t="str">
        <f t="array" ref="DR125">IFERROR(INDEX(N_Bedarf!$CE$2:$CE$141,_xlfn.AGGREGATE(15,6,(ROW(N_Bedarf!$CE$2:$CE$141)-1)/(--(SEARCH(DS$2,N_Bedarf!$CE$2:$CE$141)&gt;0)),ROW()-2),1),"")</f>
        <v>Energiegras 5 Nutzungen (&lt;10% Legum.)</v>
      </c>
      <c r="DS125" s="2356"/>
      <c r="DT125" s="2356" t="str">
        <f t="array" ref="DT125">IFERROR(INDEX(N_Bedarf!$CE$2:$CE$141,_xlfn.AGGREGATE(15,6,(ROW(N_Bedarf!$CE$2:$CE$141)-1)/(--(SEARCH(DU$2,N_Bedarf!$CE$2:$CE$141)&gt;0)),ROW()-2),1),"")</f>
        <v>Energiegras 5 Nutzungen (&lt;10% Legum.)</v>
      </c>
      <c r="DU125" s="2356"/>
      <c r="DV125" s="2356" t="str">
        <f t="array" ref="DV125">IFERROR(INDEX(N_Bedarf!$CE$2:$CE$141,_xlfn.AGGREGATE(15,6,(ROW(N_Bedarf!$CE$2:$CE$141)-1)/(--(SEARCH(DW$2,N_Bedarf!$CE$2:$CE$141)&gt;0)),ROW()-2),1),"")</f>
        <v>Energiegras 5 Nutzungen (&lt;10% Legum.)</v>
      </c>
      <c r="DW125" s="2356"/>
      <c r="DX125" s="2356" t="str">
        <f t="array" ref="DX125">IFERROR(INDEX(N_Bedarf!$CE$2:$CE$141,_xlfn.AGGREGATE(15,6,(ROW(N_Bedarf!$CE$2:$CE$141)-1)/(--(SEARCH(DY$2,N_Bedarf!$CE$2:$CE$141)&gt;0)),ROW()-2),1),"")</f>
        <v>Energiegras 5 Nutzungen (&lt;10% Legum.)</v>
      </c>
      <c r="DY125" s="2356"/>
      <c r="DZ125" s="2356" t="str">
        <f t="array" ref="DZ125">IFERROR(INDEX(N_Bedarf!$CE$2:$CE$141,_xlfn.AGGREGATE(15,6,(ROW(N_Bedarf!$CE$2:$CE$141)-1)/(--(SEARCH(EA$2,N_Bedarf!$CE$2:$CE$141)&gt;0)),ROW()-2),1),"")</f>
        <v>Energiegras 5 Nutzungen (&lt;10% Legum.)</v>
      </c>
      <c r="EA125" s="2356"/>
      <c r="EB125" s="2356" t="str">
        <f t="array" ref="EB125">IFERROR(INDEX(N_Bedarf!$CE$2:$CE$141,_xlfn.AGGREGATE(15,6,(ROW(N_Bedarf!$CE$2:$CE$141)-1)/(--(SEARCH(EC$2,N_Bedarf!$CE$2:$CE$141)&gt;0)),ROW()-2),1),"")</f>
        <v>Energiegras 5 Nutzungen (&lt;10% Legum.)</v>
      </c>
      <c r="EC125" s="2356"/>
      <c r="ED125"/>
      <c r="EE125"/>
      <c r="EF125"/>
      <c r="EG125"/>
      <c r="EH125"/>
      <c r="EI125"/>
      <c r="EJ125"/>
      <c r="EK125"/>
      <c r="EL125"/>
      <c r="EM125"/>
      <c r="EN125"/>
      <c r="EO125"/>
      <c r="EP125"/>
      <c r="EQ125"/>
      <c r="ER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row>
    <row r="126" spans="1:291" ht="21" customHeight="1" thickTop="1" thickBot="1">
      <c r="A126" s="156"/>
      <c r="B126" s="156"/>
      <c r="C126" s="1764" t="s">
        <v>1793</v>
      </c>
      <c r="D126" s="1765" t="s">
        <v>1418</v>
      </c>
      <c r="E126" s="1766">
        <v>60</v>
      </c>
      <c r="F126" s="1767">
        <v>50</v>
      </c>
      <c r="G126" s="1993" t="s">
        <v>1419</v>
      </c>
      <c r="H126" s="1994">
        <v>60</v>
      </c>
      <c r="I126" s="1995">
        <v>50</v>
      </c>
      <c r="J126" s="1765" t="s">
        <v>1584</v>
      </c>
      <c r="K126" s="1766">
        <v>60</v>
      </c>
      <c r="L126" s="1767">
        <v>50</v>
      </c>
      <c r="M126" s="1765" t="s">
        <v>1584</v>
      </c>
      <c r="N126" s="1766">
        <v>60</v>
      </c>
      <c r="O126" s="1767">
        <v>50</v>
      </c>
      <c r="P126" s="1765" t="s">
        <v>1584</v>
      </c>
      <c r="Q126" s="1766">
        <v>60</v>
      </c>
      <c r="R126" s="1770">
        <v>50</v>
      </c>
      <c r="S126" s="1762">
        <v>100</v>
      </c>
      <c r="T126" s="1766">
        <v>100</v>
      </c>
      <c r="U126" s="1760">
        <v>100</v>
      </c>
      <c r="V126" s="1759">
        <v>80</v>
      </c>
      <c r="W126" s="1766">
        <v>80</v>
      </c>
      <c r="X126" s="1760">
        <v>80</v>
      </c>
      <c r="Y126" s="2012">
        <v>60</v>
      </c>
      <c r="Z126" s="2010">
        <v>65</v>
      </c>
      <c r="AA126" s="2013">
        <v>75</v>
      </c>
      <c r="AB126" s="1872" t="s">
        <v>1388</v>
      </c>
      <c r="AC126" s="1769" t="s">
        <v>1389</v>
      </c>
      <c r="AD126" s="1762">
        <v>180</v>
      </c>
      <c r="AE126" s="1766">
        <v>180</v>
      </c>
      <c r="AF126" s="1760">
        <v>180</v>
      </c>
      <c r="AG126" s="1759">
        <v>150</v>
      </c>
      <c r="AH126" s="1766">
        <v>150</v>
      </c>
      <c r="AI126" s="1760">
        <v>150</v>
      </c>
      <c r="AJ126" s="2012">
        <v>110</v>
      </c>
      <c r="AK126" s="2010">
        <v>120</v>
      </c>
      <c r="AL126" s="2013">
        <v>140</v>
      </c>
      <c r="AM126" s="1872" t="s">
        <v>1390</v>
      </c>
      <c r="AN126" s="1769" t="s">
        <v>1389</v>
      </c>
      <c r="AO126" s="156"/>
      <c r="AP126" s="156"/>
      <c r="AX126" s="1722" t="s">
        <v>1903</v>
      </c>
      <c r="AY126" s="681">
        <v>200</v>
      </c>
      <c r="AZ126" s="681">
        <v>200</v>
      </c>
      <c r="BA126" s="681" t="s">
        <v>2695</v>
      </c>
      <c r="BB126" s="681">
        <v>200</v>
      </c>
      <c r="BC126" s="681">
        <v>200</v>
      </c>
      <c r="BD126" s="681" t="s">
        <v>2695</v>
      </c>
      <c r="BE126" s="681">
        <v>210</v>
      </c>
      <c r="BF126" s="681">
        <v>210</v>
      </c>
      <c r="BG126" s="681" t="s">
        <v>2583</v>
      </c>
      <c r="BH126" s="681">
        <v>210</v>
      </c>
      <c r="BI126" s="681">
        <v>200</v>
      </c>
      <c r="BJ126" s="681" t="s">
        <v>2583</v>
      </c>
      <c r="BK126" s="681">
        <v>210</v>
      </c>
      <c r="BL126" s="681">
        <v>210</v>
      </c>
      <c r="BM126" s="681" t="s">
        <v>2583</v>
      </c>
      <c r="BN126" s="471">
        <v>0</v>
      </c>
      <c r="BO126" s="821">
        <v>30</v>
      </c>
      <c r="BP126"/>
      <c r="BQ126" s="1722" t="s">
        <v>1903</v>
      </c>
      <c r="BR126" s="470">
        <v>80</v>
      </c>
      <c r="BS126" s="470">
        <v>80</v>
      </c>
      <c r="BT126" s="470">
        <v>90</v>
      </c>
      <c r="BV126" s="1722" t="s">
        <v>1903</v>
      </c>
      <c r="BW126" s="470">
        <v>205</v>
      </c>
      <c r="BX126" s="470">
        <v>205</v>
      </c>
      <c r="BY126" s="470">
        <v>260</v>
      </c>
      <c r="CB126" s="428"/>
      <c r="CC126" s="428"/>
      <c r="CD126" s="428"/>
      <c r="CE126" s="2310" t="s">
        <v>1933</v>
      </c>
      <c r="CF126" s="1834" t="str">
        <f>IFERROR(INDEX(N_Bedarf!$CE$2:$CE$141,_xlfn.AGGREGATE(15,6,(ROW(N_Bedarf!$CE$2:$CE$141)-1)/(--(SEARCH(CG$2,N_Bedarf!$CE$2:$CE$141)&gt;0)),ROW()-2),1),"")</f>
        <v>Energiegras 6 Nutzungen (&lt;10% Legum.)</v>
      </c>
      <c r="CG126" s="1836"/>
      <c r="CH126" s="1834" t="str">
        <f>IFERROR(INDEX(N_Bedarf!$CE$2:$CE$141,_xlfn.AGGREGATE(15,6,(ROW(N_Bedarf!$CE$2:$CE$141)-1)/(--(SEARCH(CI$2,N_Bedarf!$CE$2:$CE$141)&gt;0)),ROW()-2),1),"")</f>
        <v>Energiegras 6 Nutzungen (&lt;10% Legum.)</v>
      </c>
      <c r="CI126" s="1836"/>
      <c r="CJ126" s="1834" t="str">
        <f>IFERROR(INDEX(N_Bedarf!$CE$2:$CE$141,_xlfn.AGGREGATE(15,6,(ROW(N_Bedarf!$CE$2:$CE$141)-1)/(--(SEARCH(CK$2,N_Bedarf!$CE$2:$CE$141)&gt;0)),ROW()-2),1),"")</f>
        <v>Energiegras 6 Nutzungen (&lt;10% Legum.)</v>
      </c>
      <c r="CK126" s="1836"/>
      <c r="CL126" s="1834" t="str">
        <f>IFERROR(INDEX(N_Bedarf!$CE$2:$CE$141,_xlfn.AGGREGATE(15,6,(ROW(N_Bedarf!$CE$2:$CE$141)-1)/(--(SEARCH(CM$2,N_Bedarf!$CE$2:$CE$141)&gt;0)),ROW()-2),1),"")</f>
        <v>Energiegras 6 Nutzungen (&lt;10% Legum.)</v>
      </c>
      <c r="CM126" s="1836"/>
      <c r="CN126" s="1834" t="str">
        <f>IFERROR(INDEX(N_Bedarf!$CE$2:$CE$141,_xlfn.AGGREGATE(15,6,(ROW(N_Bedarf!$CE$2:$CE$141)-1)/(--(SEARCH(CO$2,N_Bedarf!$CE$2:$CE$141)&gt;0)),ROW()-2),1),"")</f>
        <v>Energiegras 6 Nutzungen (&lt;10% Legum.)</v>
      </c>
      <c r="CO126" s="1836"/>
      <c r="CP126" s="1834" t="str">
        <f>IFERROR(INDEX(N_Bedarf!$CE$2:$CE$141,_xlfn.AGGREGATE(15,6,(ROW(N_Bedarf!$CE$2:$CE$141)-1)/(--(SEARCH(CQ$2,N_Bedarf!$CE$2:$CE$141)&gt;0)),ROW()-2),1),"")</f>
        <v>Energiegras 6 Nutzungen (&lt;10% Legum.)</v>
      </c>
      <c r="CQ126" s="1836"/>
      <c r="CR126" s="1834" t="str">
        <f>IFERROR(INDEX(N_Bedarf!$CE$2:$CE$141,_xlfn.AGGREGATE(15,6,(ROW(N_Bedarf!$CE$2:$CE$141)-1)/(--(SEARCH(CS$2,N_Bedarf!$CE$2:$CE$141)&gt;0)),ROW()-2),1),"")</f>
        <v>Energiegras 6 Nutzungen (&lt;10% Legum.)</v>
      </c>
      <c r="CS126" s="1836"/>
      <c r="CT126" s="1834" t="str">
        <f>IFERROR(INDEX(N_Bedarf!$CE$2:$CE$141,_xlfn.AGGREGATE(15,6,(ROW(N_Bedarf!$CE$2:$CE$141)-1)/(--(SEARCH(CU$2,N_Bedarf!$CE$2:$CE$141)&gt;0)),ROW()-2),1),"")</f>
        <v>Energiegras 6 Nutzungen (&lt;10% Legum.)</v>
      </c>
      <c r="CU126" s="1836"/>
      <c r="CV126" s="1834" t="str">
        <f>IFERROR(INDEX(N_Bedarf!$CE$2:$CE$141,_xlfn.AGGREGATE(15,6,(ROW(N_Bedarf!$CE$2:$CE$141)-1)/(--(SEARCH(CW$2,N_Bedarf!$CE$2:$CE$141)&gt;0)),ROW()-2),1),"")</f>
        <v>Energiegras 6 Nutzungen (&lt;10% Legum.)</v>
      </c>
      <c r="CW126" s="1836"/>
      <c r="CX126" s="1834" t="str">
        <f>IFERROR(INDEX(N_Bedarf!$CE$2:$CE$141,_xlfn.AGGREGATE(15,6,(ROW(N_Bedarf!$CE$2:$CE$141)-1)/(--(SEARCH(CY$2,N_Bedarf!$CE$2:$CE$141)&gt;0)),ROW()-2),1),"")</f>
        <v>Energiegras 6 Nutzungen (&lt;10% Legum.)</v>
      </c>
      <c r="CY126" s="1836"/>
      <c r="CZ126" s="1834" t="str">
        <f>IFERROR(INDEX(N_Bedarf!$CE$2:$CE$141,_xlfn.AGGREGATE(15,6,(ROW(N_Bedarf!$CE$2:$CE$141)-1)/(--(SEARCH(DA$2,N_Bedarf!$CE$2:$CE$141)&gt;0)),ROW()-2),1),"")</f>
        <v>Energiegras 6 Nutzungen (&lt;10% Legum.)</v>
      </c>
      <c r="DA126" s="1836"/>
      <c r="DB126" s="1834" t="str">
        <f>IFERROR(INDEX(N_Bedarf!$CE$2:$CE$141,_xlfn.AGGREGATE(15,6,(ROW(N_Bedarf!$CE$2:$CE$141)-1)/(--(SEARCH(DC$2,N_Bedarf!$CE$2:$CE$141)&gt;0)),ROW()-2),1),"")</f>
        <v>Energiegras 6 Nutzungen (&lt;10% Legum.)</v>
      </c>
      <c r="DC126" s="1836"/>
      <c r="DD126" s="1834" t="str">
        <f>IFERROR(INDEX(N_Bedarf!$CE$2:$CE$141,_xlfn.AGGREGATE(15,6,(ROW(N_Bedarf!$CE$2:$CE$141)-1)/(--(SEARCH(DE$2,N_Bedarf!$CE$2:$CE$141)&gt;0)),ROW()-2),1),"")</f>
        <v>Energiegras 6 Nutzungen (&lt;10% Legum.)</v>
      </c>
      <c r="DE126" s="1836"/>
      <c r="DF126" s="2353" t="str">
        <f t="array" ref="DF126">IFERROR(INDEX(N_Bedarf!$CE$2:$CE$141,_xlfn.AGGREGATE(15,6,(ROW(N_Bedarf!$CE$2:$CE$141)-1)/(--(SEARCH(DG$2,N_Bedarf!$CE$2:$CE$141)&gt;0)),ROW()-2),1),"")</f>
        <v>Energiegras 6 Nutzungen (&lt;10% Legum.)</v>
      </c>
      <c r="DG126" s="2353"/>
      <c r="DH126" s="2355" t="str">
        <f t="array" ref="DH126">IFERROR(INDEX(N_Bedarf!$CE$2:$CE$141,_xlfn.AGGREGATE(15,6,(ROW(N_Bedarf!$CE$2:$CE$141)-1)/(--(SEARCH(DI$2,N_Bedarf!$CE$2:$CE$141)&gt;0)),ROW()-2),1),"")</f>
        <v>Energiegras 6 Nutzungen (&lt;10% Legum.)</v>
      </c>
      <c r="DI126" s="2355"/>
      <c r="DJ126" s="2356" t="str">
        <f t="array" ref="DJ126">IFERROR(INDEX(N_Bedarf!$CE$2:$CE$141,_xlfn.AGGREGATE(15,6,(ROW(N_Bedarf!$CE$2:$CE$141)-1)/(--(SEARCH(DK$2,N_Bedarf!$CE$2:$CE$141)&gt;0)),ROW()-2),1),"")</f>
        <v>Energiegras 6 Nutzungen (&lt;10% Legum.)</v>
      </c>
      <c r="DK126" s="2356"/>
      <c r="DL126" s="2356" t="str">
        <f t="array" ref="DL126">IFERROR(INDEX(N_Bedarf!$CE$2:$CE$141,_xlfn.AGGREGATE(15,6,(ROW(N_Bedarf!$CE$2:$CE$141)-1)/(--(SEARCH(DM$2,N_Bedarf!$CE$2:$CE$141)&gt;0)),ROW()-2),1),"")</f>
        <v>Energiegras 6 Nutzungen (&lt;10% Legum.)</v>
      </c>
      <c r="DM126" s="2356"/>
      <c r="DN126" s="2356" t="str">
        <f t="array" ref="DN126">IFERROR(INDEX(N_Bedarf!$CE$2:$CE$141,_xlfn.AGGREGATE(15,6,(ROW(N_Bedarf!$CE$2:$CE$141)-1)/(--(SEARCH(DO$2,N_Bedarf!$CE$2:$CE$141)&gt;0)),ROW()-2),1),"")</f>
        <v>Energiegras 6 Nutzungen (&lt;10% Legum.)</v>
      </c>
      <c r="DO126" s="2356"/>
      <c r="DP126" s="2356" t="str">
        <f t="array" ref="DP126">IFERROR(INDEX(N_Bedarf!$CE$2:$CE$141,_xlfn.AGGREGATE(15,6,(ROW(N_Bedarf!$CE$2:$CE$141)-1)/(--(SEARCH(DQ$2,N_Bedarf!$CE$2:$CE$141)&gt;0)),ROW()-2),1),"")</f>
        <v>Energiegras 6 Nutzungen (&lt;10% Legum.)</v>
      </c>
      <c r="DQ126" s="2356"/>
      <c r="DR126" s="2356" t="str">
        <f t="array" ref="DR126">IFERROR(INDEX(N_Bedarf!$CE$2:$CE$141,_xlfn.AGGREGATE(15,6,(ROW(N_Bedarf!$CE$2:$CE$141)-1)/(--(SEARCH(DS$2,N_Bedarf!$CE$2:$CE$141)&gt;0)),ROW()-2),1),"")</f>
        <v>Energiegras 6 Nutzungen (&lt;10% Legum.)</v>
      </c>
      <c r="DS126" s="2356"/>
      <c r="DT126" s="2356" t="str">
        <f t="array" ref="DT126">IFERROR(INDEX(N_Bedarf!$CE$2:$CE$141,_xlfn.AGGREGATE(15,6,(ROW(N_Bedarf!$CE$2:$CE$141)-1)/(--(SEARCH(DU$2,N_Bedarf!$CE$2:$CE$141)&gt;0)),ROW()-2),1),"")</f>
        <v>Energiegras 6 Nutzungen (&lt;10% Legum.)</v>
      </c>
      <c r="DU126" s="2356"/>
      <c r="DV126" s="2356" t="str">
        <f t="array" ref="DV126">IFERROR(INDEX(N_Bedarf!$CE$2:$CE$141,_xlfn.AGGREGATE(15,6,(ROW(N_Bedarf!$CE$2:$CE$141)-1)/(--(SEARCH(DW$2,N_Bedarf!$CE$2:$CE$141)&gt;0)),ROW()-2),1),"")</f>
        <v>Energiegras 6 Nutzungen (&lt;10% Legum.)</v>
      </c>
      <c r="DW126" s="2356"/>
      <c r="DX126" s="2356" t="str">
        <f t="array" ref="DX126">IFERROR(INDEX(N_Bedarf!$CE$2:$CE$141,_xlfn.AGGREGATE(15,6,(ROW(N_Bedarf!$CE$2:$CE$141)-1)/(--(SEARCH(DY$2,N_Bedarf!$CE$2:$CE$141)&gt;0)),ROW()-2),1),"")</f>
        <v>Energiegras 6 Nutzungen (&lt;10% Legum.)</v>
      </c>
      <c r="DY126" s="2356"/>
      <c r="DZ126" s="2356" t="str">
        <f t="array" ref="DZ126">IFERROR(INDEX(N_Bedarf!$CE$2:$CE$141,_xlfn.AGGREGATE(15,6,(ROW(N_Bedarf!$CE$2:$CE$141)-1)/(--(SEARCH(EA$2,N_Bedarf!$CE$2:$CE$141)&gt;0)),ROW()-2),1),"")</f>
        <v>Energiegras 6 Nutzungen (&lt;10% Legum.)</v>
      </c>
      <c r="EA126" s="2356"/>
      <c r="EB126" s="2356" t="str">
        <f t="array" ref="EB126">IFERROR(INDEX(N_Bedarf!$CE$2:$CE$141,_xlfn.AGGREGATE(15,6,(ROW(N_Bedarf!$CE$2:$CE$141)-1)/(--(SEARCH(EC$2,N_Bedarf!$CE$2:$CE$141)&gt;0)),ROW()-2),1),"")</f>
        <v>Energiegras 6 Nutzungen (&lt;10% Legum.)</v>
      </c>
      <c r="EC126" s="2356"/>
      <c r="ED126"/>
      <c r="EE126"/>
      <c r="EF126"/>
      <c r="EG126"/>
      <c r="EH126"/>
      <c r="EI126"/>
      <c r="EJ126"/>
      <c r="EK126"/>
      <c r="EL126"/>
      <c r="EM126"/>
      <c r="EN126"/>
      <c r="EO126"/>
      <c r="EP126"/>
      <c r="EQ126"/>
      <c r="ER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row>
    <row r="127" spans="1:291" ht="21" customHeight="1" thickTop="1" thickBot="1">
      <c r="A127" s="156"/>
      <c r="B127" s="156"/>
      <c r="C127" s="1758" t="s">
        <v>433</v>
      </c>
      <c r="D127" s="1759" t="s">
        <v>1394</v>
      </c>
      <c r="E127" s="1729">
        <v>65</v>
      </c>
      <c r="F127" s="1760">
        <v>55</v>
      </c>
      <c r="G127" s="1993" t="s">
        <v>1392</v>
      </c>
      <c r="H127" s="1994">
        <v>80</v>
      </c>
      <c r="I127" s="1995">
        <v>70</v>
      </c>
      <c r="J127" s="1759" t="s">
        <v>1402</v>
      </c>
      <c r="K127" s="1729">
        <v>95</v>
      </c>
      <c r="L127" s="1760">
        <v>80</v>
      </c>
      <c r="M127" s="1759" t="s">
        <v>1403</v>
      </c>
      <c r="N127" s="1729">
        <v>105</v>
      </c>
      <c r="O127" s="1760">
        <v>90</v>
      </c>
      <c r="P127" s="1759" t="s">
        <v>1404</v>
      </c>
      <c r="Q127" s="1729">
        <v>110</v>
      </c>
      <c r="R127" s="1761">
        <v>95</v>
      </c>
      <c r="S127" s="1762">
        <v>85</v>
      </c>
      <c r="T127" s="1729">
        <v>85</v>
      </c>
      <c r="U127" s="1760">
        <v>85</v>
      </c>
      <c r="V127" s="1759">
        <v>70</v>
      </c>
      <c r="W127" s="1729">
        <v>70</v>
      </c>
      <c r="X127" s="1760">
        <v>70</v>
      </c>
      <c r="Y127" s="2009">
        <v>50</v>
      </c>
      <c r="Z127" s="2010">
        <v>55</v>
      </c>
      <c r="AA127" s="2011">
        <v>65</v>
      </c>
      <c r="AB127" s="1871" t="s">
        <v>1388</v>
      </c>
      <c r="AC127" s="1763" t="s">
        <v>1389</v>
      </c>
      <c r="AD127" s="1762">
        <v>120</v>
      </c>
      <c r="AE127" s="1729">
        <v>120</v>
      </c>
      <c r="AF127" s="1760">
        <v>120</v>
      </c>
      <c r="AG127" s="1759">
        <v>100</v>
      </c>
      <c r="AH127" s="1729">
        <v>100</v>
      </c>
      <c r="AI127" s="1760">
        <v>100</v>
      </c>
      <c r="AJ127" s="2009">
        <v>70</v>
      </c>
      <c r="AK127" s="2010">
        <v>80</v>
      </c>
      <c r="AL127" s="2011">
        <v>90</v>
      </c>
      <c r="AM127" s="1871" t="s">
        <v>1390</v>
      </c>
      <c r="AN127" s="1763" t="s">
        <v>1389</v>
      </c>
      <c r="AO127" s="156"/>
      <c r="AP127" s="156"/>
      <c r="AV127"/>
      <c r="AW127"/>
      <c r="AX127" s="1722" t="s">
        <v>1904</v>
      </c>
      <c r="AY127" s="681">
        <v>200</v>
      </c>
      <c r="AZ127" s="681">
        <v>200</v>
      </c>
      <c r="BA127" s="681" t="s">
        <v>2695</v>
      </c>
      <c r="BB127" s="681">
        <v>200</v>
      </c>
      <c r="BC127" s="681">
        <v>200</v>
      </c>
      <c r="BD127" s="681" t="s">
        <v>2695</v>
      </c>
      <c r="BE127" s="681">
        <v>280</v>
      </c>
      <c r="BF127" s="681">
        <v>280</v>
      </c>
      <c r="BG127" s="681" t="s">
        <v>2583</v>
      </c>
      <c r="BH127" s="681">
        <v>280</v>
      </c>
      <c r="BI127" s="681">
        <v>280</v>
      </c>
      <c r="BJ127" s="681" t="s">
        <v>2583</v>
      </c>
      <c r="BK127" s="681">
        <v>280</v>
      </c>
      <c r="BL127" s="681">
        <v>280</v>
      </c>
      <c r="BM127" s="681" t="s">
        <v>2583</v>
      </c>
      <c r="BN127" s="471">
        <v>0</v>
      </c>
      <c r="BO127" s="821">
        <v>30</v>
      </c>
      <c r="BP127"/>
      <c r="BQ127" s="1722" t="s">
        <v>1904</v>
      </c>
      <c r="BR127" s="470">
        <v>85</v>
      </c>
      <c r="BS127" s="470">
        <v>85</v>
      </c>
      <c r="BT127" s="470">
        <v>125</v>
      </c>
      <c r="BV127" s="1722" t="s">
        <v>1904</v>
      </c>
      <c r="BW127" s="470">
        <v>230</v>
      </c>
      <c r="BX127" s="470">
        <v>230</v>
      </c>
      <c r="BY127" s="470">
        <v>365</v>
      </c>
      <c r="CB127" s="428"/>
      <c r="CC127" s="428"/>
      <c r="CD127" s="428"/>
      <c r="CE127" s="2310" t="s">
        <v>1935</v>
      </c>
      <c r="CF127" s="1834" t="str">
        <f>IFERROR(INDEX(N_Bedarf!$CE$2:$CE$141,_xlfn.AGGREGATE(15,6,(ROW(N_Bedarf!$CE$2:$CE$141)-1)/(--(SEARCH(CG$2,N_Bedarf!$CE$2:$CE$141)&gt;0)),ROW()-2),1),"")</f>
        <v>Sonstiges Feldfutter 1 Nutzung, gräserreich (&lt;40% Leg.)</v>
      </c>
      <c r="CG127" s="1830"/>
      <c r="CH127" s="1834" t="str">
        <f>IFERROR(INDEX(N_Bedarf!$CE$2:$CE$141,_xlfn.AGGREGATE(15,6,(ROW(N_Bedarf!$CE$2:$CE$141)-1)/(--(SEARCH(CI$2,N_Bedarf!$CE$2:$CE$141)&gt;0)),ROW()-2),1),"")</f>
        <v>Sonstiges Feldfutter 1 Nutzung, gräserreich (&lt;40% Leg.)</v>
      </c>
      <c r="CI127" s="1830"/>
      <c r="CJ127" s="1834" t="str">
        <f>IFERROR(INDEX(N_Bedarf!$CE$2:$CE$141,_xlfn.AGGREGATE(15,6,(ROW(N_Bedarf!$CE$2:$CE$141)-1)/(--(SEARCH(CK$2,N_Bedarf!$CE$2:$CE$141)&gt;0)),ROW()-2),1),"")</f>
        <v>Sonstiges Feldfutter 1 Nutzung, gräserreich (&lt;40% Leg.)</v>
      </c>
      <c r="CK127" s="1830"/>
      <c r="CL127" s="1834" t="str">
        <f>IFERROR(INDEX(N_Bedarf!$CE$2:$CE$141,_xlfn.AGGREGATE(15,6,(ROW(N_Bedarf!$CE$2:$CE$141)-1)/(--(SEARCH(CM$2,N_Bedarf!$CE$2:$CE$141)&gt;0)),ROW()-2),1),"")</f>
        <v>Sonstiges Feldfutter 1 Nutzung, gräserreich (&lt;40% Leg.)</v>
      </c>
      <c r="CM127" s="1830"/>
      <c r="CN127" s="1834" t="str">
        <f>IFERROR(INDEX(N_Bedarf!$CE$2:$CE$141,_xlfn.AGGREGATE(15,6,(ROW(N_Bedarf!$CE$2:$CE$141)-1)/(--(SEARCH(CO$2,N_Bedarf!$CE$2:$CE$141)&gt;0)),ROW()-2),1),"")</f>
        <v>Sonstiges Feldfutter 1 Nutzung, gräserreich (&lt;40% Leg.)</v>
      </c>
      <c r="CO127" s="1830"/>
      <c r="CP127" s="1834" t="str">
        <f>IFERROR(INDEX(N_Bedarf!$CE$2:$CE$141,_xlfn.AGGREGATE(15,6,(ROW(N_Bedarf!$CE$2:$CE$141)-1)/(--(SEARCH(CQ$2,N_Bedarf!$CE$2:$CE$141)&gt;0)),ROW()-2),1),"")</f>
        <v>Sonstiges Feldfutter 1 Nutzung, gräserreich (&lt;40% Leg.)</v>
      </c>
      <c r="CQ127" s="1830"/>
      <c r="CR127" s="1834" t="str">
        <f>IFERROR(INDEX(N_Bedarf!$CE$2:$CE$141,_xlfn.AGGREGATE(15,6,(ROW(N_Bedarf!$CE$2:$CE$141)-1)/(--(SEARCH(CS$2,N_Bedarf!$CE$2:$CE$141)&gt;0)),ROW()-2),1),"")</f>
        <v>Sonstiges Feldfutter 1 Nutzung, gräserreich (&lt;40% Leg.)</v>
      </c>
      <c r="CS127" s="1830"/>
      <c r="CT127" s="1834" t="str">
        <f>IFERROR(INDEX(N_Bedarf!$CE$2:$CE$141,_xlfn.AGGREGATE(15,6,(ROW(N_Bedarf!$CE$2:$CE$141)-1)/(--(SEARCH(CU$2,N_Bedarf!$CE$2:$CE$141)&gt;0)),ROW()-2),1),"")</f>
        <v>Sonstiges Feldfutter 1 Nutzung, gräserreich (&lt;40% Leg.)</v>
      </c>
      <c r="CU127" s="1830"/>
      <c r="CV127" s="1834" t="str">
        <f>IFERROR(INDEX(N_Bedarf!$CE$2:$CE$141,_xlfn.AGGREGATE(15,6,(ROW(N_Bedarf!$CE$2:$CE$141)-1)/(--(SEARCH(CW$2,N_Bedarf!$CE$2:$CE$141)&gt;0)),ROW()-2),1),"")</f>
        <v>Sonstiges Feldfutter 1 Nutzung, gräserreich (&lt;40% Leg.)</v>
      </c>
      <c r="CW127" s="1830"/>
      <c r="CX127" s="1834" t="str">
        <f>IFERROR(INDEX(N_Bedarf!$CE$2:$CE$141,_xlfn.AGGREGATE(15,6,(ROW(N_Bedarf!$CE$2:$CE$141)-1)/(--(SEARCH(CY$2,N_Bedarf!$CE$2:$CE$141)&gt;0)),ROW()-2),1),"")</f>
        <v>Sonstiges Feldfutter 1 Nutzung, gräserreich (&lt;40% Leg.)</v>
      </c>
      <c r="CY127" s="1830"/>
      <c r="CZ127" s="1834" t="str">
        <f>IFERROR(INDEX(N_Bedarf!$CE$2:$CE$141,_xlfn.AGGREGATE(15,6,(ROW(N_Bedarf!$CE$2:$CE$141)-1)/(--(SEARCH(DA$2,N_Bedarf!$CE$2:$CE$141)&gt;0)),ROW()-2),1),"")</f>
        <v>Sonstiges Feldfutter 1 Nutzung, gräserreich (&lt;40% Leg.)</v>
      </c>
      <c r="DA127" s="1830"/>
      <c r="DB127" s="1834" t="str">
        <f>IFERROR(INDEX(N_Bedarf!$CE$2:$CE$141,_xlfn.AGGREGATE(15,6,(ROW(N_Bedarf!$CE$2:$CE$141)-1)/(--(SEARCH(DC$2,N_Bedarf!$CE$2:$CE$141)&gt;0)),ROW()-2),1),"")</f>
        <v>Sonstiges Feldfutter 1 Nutzung, gräserreich (&lt;40% Leg.)</v>
      </c>
      <c r="DC127" s="1830"/>
      <c r="DD127" s="1834" t="str">
        <f>IFERROR(INDEX(N_Bedarf!$CE$2:$CE$141,_xlfn.AGGREGATE(15,6,(ROW(N_Bedarf!$CE$2:$CE$141)-1)/(--(SEARCH(DE$2,N_Bedarf!$CE$2:$CE$141)&gt;0)),ROW()-2),1),"")</f>
        <v>Sonstiges Feldfutter 1 Nutzung, gräserreich (&lt;40% Leg.)</v>
      </c>
      <c r="DE127" s="1830"/>
      <c r="DF127" s="2353" t="str">
        <f t="array" ref="DF127">IFERROR(INDEX(N_Bedarf!$CE$2:$CE$141,_xlfn.AGGREGATE(15,6,(ROW(N_Bedarf!$CE$2:$CE$141)-1)/(--(SEARCH(DG$2,N_Bedarf!$CE$2:$CE$141)&gt;0)),ROW()-2),1),"")</f>
        <v>Sonstiges Feldfutter 1 Nutzung, gräserreich (&lt;40% Leg.)</v>
      </c>
      <c r="DG127" s="2353"/>
      <c r="DH127" s="2355" t="str">
        <f t="array" ref="DH127">IFERROR(INDEX(N_Bedarf!$CE$2:$CE$141,_xlfn.AGGREGATE(15,6,(ROW(N_Bedarf!$CE$2:$CE$141)-1)/(--(SEARCH(DI$2,N_Bedarf!$CE$2:$CE$141)&gt;0)),ROW()-2),1),"")</f>
        <v>Sonstiges Feldfutter 1 Nutzung, gräserreich (&lt;40% Leg.)</v>
      </c>
      <c r="DI127" s="2355"/>
      <c r="DJ127" s="2356" t="str">
        <f t="array" ref="DJ127">IFERROR(INDEX(N_Bedarf!$CE$2:$CE$141,_xlfn.AGGREGATE(15,6,(ROW(N_Bedarf!$CE$2:$CE$141)-1)/(--(SEARCH(DK$2,N_Bedarf!$CE$2:$CE$141)&gt;0)),ROW()-2),1),"")</f>
        <v>Sonstiges Feldfutter 1 Nutzung, gräserreich (&lt;40% Leg.)</v>
      </c>
      <c r="DK127" s="2356"/>
      <c r="DL127" s="2356" t="str">
        <f t="array" ref="DL127">IFERROR(INDEX(N_Bedarf!$CE$2:$CE$141,_xlfn.AGGREGATE(15,6,(ROW(N_Bedarf!$CE$2:$CE$141)-1)/(--(SEARCH(DM$2,N_Bedarf!$CE$2:$CE$141)&gt;0)),ROW()-2),1),"")</f>
        <v>Sonstiges Feldfutter 1 Nutzung, gräserreich (&lt;40% Leg.)</v>
      </c>
      <c r="DM127" s="2356"/>
      <c r="DN127" s="2356" t="str">
        <f t="array" ref="DN127">IFERROR(INDEX(N_Bedarf!$CE$2:$CE$141,_xlfn.AGGREGATE(15,6,(ROW(N_Bedarf!$CE$2:$CE$141)-1)/(--(SEARCH(DO$2,N_Bedarf!$CE$2:$CE$141)&gt;0)),ROW()-2),1),"")</f>
        <v>Sonstiges Feldfutter 1 Nutzung, gräserreich (&lt;40% Leg.)</v>
      </c>
      <c r="DO127" s="2356"/>
      <c r="DP127" s="2356" t="str">
        <f t="array" ref="DP127">IFERROR(INDEX(N_Bedarf!$CE$2:$CE$141,_xlfn.AGGREGATE(15,6,(ROW(N_Bedarf!$CE$2:$CE$141)-1)/(--(SEARCH(DQ$2,N_Bedarf!$CE$2:$CE$141)&gt;0)),ROW()-2),1),"")</f>
        <v>Sonstiges Feldfutter 1 Nutzung, gräserreich (&lt;40% Leg.)</v>
      </c>
      <c r="DQ127" s="2356"/>
      <c r="DR127" s="2356" t="str">
        <f t="array" ref="DR127">IFERROR(INDEX(N_Bedarf!$CE$2:$CE$141,_xlfn.AGGREGATE(15,6,(ROW(N_Bedarf!$CE$2:$CE$141)-1)/(--(SEARCH(DS$2,N_Bedarf!$CE$2:$CE$141)&gt;0)),ROW()-2),1),"")</f>
        <v>Sonstiges Feldfutter 1 Nutzung, gräserreich (&lt;40% Leg.)</v>
      </c>
      <c r="DS127" s="2356"/>
      <c r="DT127" s="2356" t="str">
        <f t="array" ref="DT127">IFERROR(INDEX(N_Bedarf!$CE$2:$CE$141,_xlfn.AGGREGATE(15,6,(ROW(N_Bedarf!$CE$2:$CE$141)-1)/(--(SEARCH(DU$2,N_Bedarf!$CE$2:$CE$141)&gt;0)),ROW()-2),1),"")</f>
        <v>Sonstiges Feldfutter 1 Nutzung, gräserreich (&lt;40% Leg.)</v>
      </c>
      <c r="DU127" s="2356"/>
      <c r="DV127" s="2356" t="str">
        <f t="array" ref="DV127">IFERROR(INDEX(N_Bedarf!$CE$2:$CE$141,_xlfn.AGGREGATE(15,6,(ROW(N_Bedarf!$CE$2:$CE$141)-1)/(--(SEARCH(DW$2,N_Bedarf!$CE$2:$CE$141)&gt;0)),ROW()-2),1),"")</f>
        <v>Sonstiges Feldfutter 1 Nutzung, gräserreich (&lt;40% Leg.)</v>
      </c>
      <c r="DW127" s="2356"/>
      <c r="DX127" s="2356" t="str">
        <f t="array" ref="DX127">IFERROR(INDEX(N_Bedarf!$CE$2:$CE$141,_xlfn.AGGREGATE(15,6,(ROW(N_Bedarf!$CE$2:$CE$141)-1)/(--(SEARCH(DY$2,N_Bedarf!$CE$2:$CE$141)&gt;0)),ROW()-2),1),"")</f>
        <v>Sonstiges Feldfutter 1 Nutzung, gräserreich (&lt;40% Leg.)</v>
      </c>
      <c r="DY127" s="2356"/>
      <c r="DZ127" s="2356" t="str">
        <f t="array" ref="DZ127">IFERROR(INDEX(N_Bedarf!$CE$2:$CE$141,_xlfn.AGGREGATE(15,6,(ROW(N_Bedarf!$CE$2:$CE$141)-1)/(--(SEARCH(EA$2,N_Bedarf!$CE$2:$CE$141)&gt;0)),ROW()-2),1),"")</f>
        <v>Sonstiges Feldfutter 1 Nutzung, gräserreich (&lt;40% Leg.)</v>
      </c>
      <c r="EA127" s="2356"/>
      <c r="EB127" s="2356" t="str">
        <f t="array" ref="EB127">IFERROR(INDEX(N_Bedarf!$CE$2:$CE$141,_xlfn.AGGREGATE(15,6,(ROW(N_Bedarf!$CE$2:$CE$141)-1)/(--(SEARCH(EC$2,N_Bedarf!$CE$2:$CE$141)&gt;0)),ROW()-2),1),"")</f>
        <v>Sonstiges Feldfutter 1 Nutzung, gräserreich (&lt;40% Leg.)</v>
      </c>
      <c r="EC127" s="2356"/>
      <c r="ED127"/>
      <c r="EE127"/>
      <c r="EF127"/>
      <c r="EG127"/>
      <c r="EH127"/>
      <c r="EI127"/>
      <c r="EJ127"/>
      <c r="EK127"/>
      <c r="EL127"/>
      <c r="EM127"/>
      <c r="EN127"/>
      <c r="EO127"/>
      <c r="EP127"/>
      <c r="EQ127"/>
      <c r="ER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row>
    <row r="128" spans="1:291" ht="21" customHeight="1" thickTop="1" thickBot="1">
      <c r="A128" s="156"/>
      <c r="B128" s="156"/>
      <c r="C128" s="1758" t="s">
        <v>1711</v>
      </c>
      <c r="D128" s="1759" t="s">
        <v>1394</v>
      </c>
      <c r="E128" s="1729">
        <v>80</v>
      </c>
      <c r="F128" s="1760">
        <v>70</v>
      </c>
      <c r="G128" s="1993" t="s">
        <v>1395</v>
      </c>
      <c r="H128" s="1994">
        <v>110</v>
      </c>
      <c r="I128" s="1995">
        <v>95</v>
      </c>
      <c r="J128" s="1759" t="s">
        <v>1396</v>
      </c>
      <c r="K128" s="1729">
        <v>130</v>
      </c>
      <c r="L128" s="1760">
        <v>110</v>
      </c>
      <c r="M128" s="1759" t="s">
        <v>1397</v>
      </c>
      <c r="N128" s="1729">
        <v>140</v>
      </c>
      <c r="O128" s="1760">
        <v>120</v>
      </c>
      <c r="P128" s="1759" t="s">
        <v>1393</v>
      </c>
      <c r="Q128" s="1729">
        <v>150</v>
      </c>
      <c r="R128" s="1761">
        <v>130</v>
      </c>
      <c r="S128" s="1762">
        <v>85</v>
      </c>
      <c r="T128" s="1729">
        <v>85</v>
      </c>
      <c r="U128" s="1760">
        <v>85</v>
      </c>
      <c r="V128" s="1759">
        <v>70</v>
      </c>
      <c r="W128" s="1729">
        <v>70</v>
      </c>
      <c r="X128" s="1760">
        <v>70</v>
      </c>
      <c r="Y128" s="2009">
        <v>50</v>
      </c>
      <c r="Z128" s="2010">
        <v>55</v>
      </c>
      <c r="AA128" s="2011">
        <v>65</v>
      </c>
      <c r="AB128" s="1871" t="s">
        <v>1388</v>
      </c>
      <c r="AC128" s="1763" t="s">
        <v>1389</v>
      </c>
      <c r="AD128" s="1762">
        <v>120</v>
      </c>
      <c r="AE128" s="1729">
        <v>120</v>
      </c>
      <c r="AF128" s="1760">
        <v>120</v>
      </c>
      <c r="AG128" s="1759">
        <v>100</v>
      </c>
      <c r="AH128" s="1729">
        <v>100</v>
      </c>
      <c r="AI128" s="1760">
        <v>100</v>
      </c>
      <c r="AJ128" s="2009">
        <v>70</v>
      </c>
      <c r="AK128" s="2010">
        <v>80</v>
      </c>
      <c r="AL128" s="2011">
        <v>90</v>
      </c>
      <c r="AM128" s="1871" t="s">
        <v>1390</v>
      </c>
      <c r="AN128" s="1763" t="s">
        <v>1389</v>
      </c>
      <c r="AO128" s="156"/>
      <c r="AP128" s="156"/>
      <c r="AR128" s="385"/>
      <c r="AS128" s="385"/>
      <c r="AT128" s="385"/>
      <c r="AU128" s="385"/>
      <c r="AV128" s="385"/>
      <c r="AW128" s="385"/>
      <c r="AX128" s="1722" t="s">
        <v>1905</v>
      </c>
      <c r="AY128" s="681">
        <v>280</v>
      </c>
      <c r="AZ128" s="681">
        <v>280</v>
      </c>
      <c r="BA128" s="681" t="s">
        <v>2583</v>
      </c>
      <c r="BB128" s="681">
        <v>280</v>
      </c>
      <c r="BC128" s="681">
        <v>280</v>
      </c>
      <c r="BD128" s="681" t="s">
        <v>2583</v>
      </c>
      <c r="BE128" s="681">
        <v>280</v>
      </c>
      <c r="BF128" s="681">
        <v>280</v>
      </c>
      <c r="BG128" s="681" t="s">
        <v>2583</v>
      </c>
      <c r="BH128" s="681">
        <v>280</v>
      </c>
      <c r="BI128" s="681">
        <v>280</v>
      </c>
      <c r="BJ128" s="681" t="s">
        <v>2583</v>
      </c>
      <c r="BK128" s="681">
        <v>280</v>
      </c>
      <c r="BL128" s="681">
        <v>280</v>
      </c>
      <c r="BM128" s="681" t="s">
        <v>2583</v>
      </c>
      <c r="BN128" s="471">
        <v>0</v>
      </c>
      <c r="BO128" s="821">
        <v>30</v>
      </c>
      <c r="BP128"/>
      <c r="BQ128" s="1722" t="s">
        <v>1905</v>
      </c>
      <c r="BR128" s="470">
        <v>135</v>
      </c>
      <c r="BS128" s="470">
        <v>135</v>
      </c>
      <c r="BT128" s="470">
        <v>135</v>
      </c>
      <c r="BV128" s="1722" t="s">
        <v>1905</v>
      </c>
      <c r="BW128" s="470">
        <v>390</v>
      </c>
      <c r="BX128" s="470">
        <v>390</v>
      </c>
      <c r="BY128" s="470">
        <v>390</v>
      </c>
      <c r="CB128" s="428"/>
      <c r="CC128" s="428"/>
      <c r="CD128" s="428"/>
      <c r="CE128" s="2310" t="s">
        <v>1937</v>
      </c>
      <c r="CF128" s="1834" t="str">
        <f>IFERROR(INDEX(N_Bedarf!$CE$2:$CE$141,_xlfn.AGGREGATE(15,6,(ROW(N_Bedarf!$CE$2:$CE$141)-1)/(--(SEARCH(CG$2,N_Bedarf!$CE$2:$CE$141)&gt;0)),ROW()-2),1),"")</f>
        <v>Sonstiges Feldfutter 2 Nutzungen, gräserreich (&lt;40% Legum.)</v>
      </c>
      <c r="CG128" s="1836"/>
      <c r="CH128" s="1834" t="str">
        <f>IFERROR(INDEX(N_Bedarf!$CE$2:$CE$141,_xlfn.AGGREGATE(15,6,(ROW(N_Bedarf!$CE$2:$CE$141)-1)/(--(SEARCH(CI$2,N_Bedarf!$CE$2:$CE$141)&gt;0)),ROW()-2),1),"")</f>
        <v>Sonstiges Feldfutter 2 Nutzungen, gräserreich (&lt;40% Legum.)</v>
      </c>
      <c r="CI128" s="1836"/>
      <c r="CJ128" s="1834" t="str">
        <f>IFERROR(INDEX(N_Bedarf!$CE$2:$CE$141,_xlfn.AGGREGATE(15,6,(ROW(N_Bedarf!$CE$2:$CE$141)-1)/(--(SEARCH(CK$2,N_Bedarf!$CE$2:$CE$141)&gt;0)),ROW()-2),1),"")</f>
        <v>Sonstiges Feldfutter 2 Nutzungen, gräserreich (&lt;40% Legum.)</v>
      </c>
      <c r="CK128" s="1836"/>
      <c r="CL128" s="1834" t="str">
        <f>IFERROR(INDEX(N_Bedarf!$CE$2:$CE$141,_xlfn.AGGREGATE(15,6,(ROW(N_Bedarf!$CE$2:$CE$141)-1)/(--(SEARCH(CM$2,N_Bedarf!$CE$2:$CE$141)&gt;0)),ROW()-2),1),"")</f>
        <v>Sonstiges Feldfutter 2 Nutzungen, gräserreich (&lt;40% Legum.)</v>
      </c>
      <c r="CM128" s="1836"/>
      <c r="CN128" s="1834" t="str">
        <f>IFERROR(INDEX(N_Bedarf!$CE$2:$CE$141,_xlfn.AGGREGATE(15,6,(ROW(N_Bedarf!$CE$2:$CE$141)-1)/(--(SEARCH(CO$2,N_Bedarf!$CE$2:$CE$141)&gt;0)),ROW()-2),1),"")</f>
        <v>Sonstiges Feldfutter 2 Nutzungen, gräserreich (&lt;40% Legum.)</v>
      </c>
      <c r="CO128" s="1836"/>
      <c r="CP128" s="1834" t="str">
        <f>IFERROR(INDEX(N_Bedarf!$CE$2:$CE$141,_xlfn.AGGREGATE(15,6,(ROW(N_Bedarf!$CE$2:$CE$141)-1)/(--(SEARCH(CQ$2,N_Bedarf!$CE$2:$CE$141)&gt;0)),ROW()-2),1),"")</f>
        <v>Sonstiges Feldfutter 2 Nutzungen, gräserreich (&lt;40% Legum.)</v>
      </c>
      <c r="CQ128" s="1836"/>
      <c r="CR128" s="1834" t="str">
        <f>IFERROR(INDEX(N_Bedarf!$CE$2:$CE$141,_xlfn.AGGREGATE(15,6,(ROW(N_Bedarf!$CE$2:$CE$141)-1)/(--(SEARCH(CS$2,N_Bedarf!$CE$2:$CE$141)&gt;0)),ROW()-2),1),"")</f>
        <v>Sonstiges Feldfutter 2 Nutzungen, gräserreich (&lt;40% Legum.)</v>
      </c>
      <c r="CS128" s="1836"/>
      <c r="CT128" s="1834" t="str">
        <f>IFERROR(INDEX(N_Bedarf!$CE$2:$CE$141,_xlfn.AGGREGATE(15,6,(ROW(N_Bedarf!$CE$2:$CE$141)-1)/(--(SEARCH(CU$2,N_Bedarf!$CE$2:$CE$141)&gt;0)),ROW()-2),1),"")</f>
        <v>Sonstiges Feldfutter 2 Nutzungen, gräserreich (&lt;40% Legum.)</v>
      </c>
      <c r="CU128" s="1836"/>
      <c r="CV128" s="1834" t="str">
        <f>IFERROR(INDEX(N_Bedarf!$CE$2:$CE$141,_xlfn.AGGREGATE(15,6,(ROW(N_Bedarf!$CE$2:$CE$141)-1)/(--(SEARCH(CW$2,N_Bedarf!$CE$2:$CE$141)&gt;0)),ROW()-2),1),"")</f>
        <v>Sonstiges Feldfutter 2 Nutzungen, gräserreich (&lt;40% Legum.)</v>
      </c>
      <c r="CW128" s="1836"/>
      <c r="CX128" s="1834" t="str">
        <f>IFERROR(INDEX(N_Bedarf!$CE$2:$CE$141,_xlfn.AGGREGATE(15,6,(ROW(N_Bedarf!$CE$2:$CE$141)-1)/(--(SEARCH(CY$2,N_Bedarf!$CE$2:$CE$141)&gt;0)),ROW()-2),1),"")</f>
        <v>Sonstiges Feldfutter 2 Nutzungen, gräserreich (&lt;40% Legum.)</v>
      </c>
      <c r="CY128" s="1836"/>
      <c r="CZ128" s="1834" t="str">
        <f>IFERROR(INDEX(N_Bedarf!$CE$2:$CE$141,_xlfn.AGGREGATE(15,6,(ROW(N_Bedarf!$CE$2:$CE$141)-1)/(--(SEARCH(DA$2,N_Bedarf!$CE$2:$CE$141)&gt;0)),ROW()-2),1),"")</f>
        <v>Sonstiges Feldfutter 2 Nutzungen, gräserreich (&lt;40% Legum.)</v>
      </c>
      <c r="DA128" s="1836"/>
      <c r="DB128" s="1834" t="str">
        <f>IFERROR(INDEX(N_Bedarf!$CE$2:$CE$141,_xlfn.AGGREGATE(15,6,(ROW(N_Bedarf!$CE$2:$CE$141)-1)/(--(SEARCH(DC$2,N_Bedarf!$CE$2:$CE$141)&gt;0)),ROW()-2),1),"")</f>
        <v>Sonstiges Feldfutter 2 Nutzungen, gräserreich (&lt;40% Legum.)</v>
      </c>
      <c r="DC128" s="1836"/>
      <c r="DD128" s="1834" t="str">
        <f>IFERROR(INDEX(N_Bedarf!$CE$2:$CE$141,_xlfn.AGGREGATE(15,6,(ROW(N_Bedarf!$CE$2:$CE$141)-1)/(--(SEARCH(DE$2,N_Bedarf!$CE$2:$CE$141)&gt;0)),ROW()-2),1),"")</f>
        <v>Sonstiges Feldfutter 2 Nutzungen, gräserreich (&lt;40% Legum.)</v>
      </c>
      <c r="DE128" s="1836"/>
      <c r="DF128" s="2353" t="str">
        <f t="array" ref="DF128">IFERROR(INDEX(N_Bedarf!$CE$2:$CE$141,_xlfn.AGGREGATE(15,6,(ROW(N_Bedarf!$CE$2:$CE$141)-1)/(--(SEARCH(DG$2,N_Bedarf!$CE$2:$CE$141)&gt;0)),ROW()-2),1),"")</f>
        <v>Sonstiges Feldfutter 2 Nutzungen, gräserreich (&lt;40% Legum.)</v>
      </c>
      <c r="DG128" s="2353"/>
      <c r="DH128" s="2355" t="str">
        <f t="array" ref="DH128">IFERROR(INDEX(N_Bedarf!$CE$2:$CE$141,_xlfn.AGGREGATE(15,6,(ROW(N_Bedarf!$CE$2:$CE$141)-1)/(--(SEARCH(DI$2,N_Bedarf!$CE$2:$CE$141)&gt;0)),ROW()-2),1),"")</f>
        <v>Sonstiges Feldfutter 2 Nutzungen, gräserreich (&lt;40% Legum.)</v>
      </c>
      <c r="DI128" s="2355"/>
      <c r="DJ128" s="2356" t="str">
        <f t="array" ref="DJ128">IFERROR(INDEX(N_Bedarf!$CE$2:$CE$141,_xlfn.AGGREGATE(15,6,(ROW(N_Bedarf!$CE$2:$CE$141)-1)/(--(SEARCH(DK$2,N_Bedarf!$CE$2:$CE$141)&gt;0)),ROW()-2),1),"")</f>
        <v>Sonstiges Feldfutter 2 Nutzungen, gräserreich (&lt;40% Legum.)</v>
      </c>
      <c r="DK128" s="2356"/>
      <c r="DL128" s="2356" t="str">
        <f t="array" ref="DL128">IFERROR(INDEX(N_Bedarf!$CE$2:$CE$141,_xlfn.AGGREGATE(15,6,(ROW(N_Bedarf!$CE$2:$CE$141)-1)/(--(SEARCH(DM$2,N_Bedarf!$CE$2:$CE$141)&gt;0)),ROW()-2),1),"")</f>
        <v>Sonstiges Feldfutter 2 Nutzungen, gräserreich (&lt;40% Legum.)</v>
      </c>
      <c r="DM128" s="2356"/>
      <c r="DN128" s="2356" t="str">
        <f t="array" ref="DN128">IFERROR(INDEX(N_Bedarf!$CE$2:$CE$141,_xlfn.AGGREGATE(15,6,(ROW(N_Bedarf!$CE$2:$CE$141)-1)/(--(SEARCH(DO$2,N_Bedarf!$CE$2:$CE$141)&gt;0)),ROW()-2),1),"")</f>
        <v>Sonstiges Feldfutter 2 Nutzungen, gräserreich (&lt;40% Legum.)</v>
      </c>
      <c r="DO128" s="2356"/>
      <c r="DP128" s="2356" t="str">
        <f t="array" ref="DP128">IFERROR(INDEX(N_Bedarf!$CE$2:$CE$141,_xlfn.AGGREGATE(15,6,(ROW(N_Bedarf!$CE$2:$CE$141)-1)/(--(SEARCH(DQ$2,N_Bedarf!$CE$2:$CE$141)&gt;0)),ROW()-2),1),"")</f>
        <v>Sonstiges Feldfutter 2 Nutzungen, gräserreich (&lt;40% Legum.)</v>
      </c>
      <c r="DQ128" s="2356"/>
      <c r="DR128" s="2356" t="str">
        <f t="array" ref="DR128">IFERROR(INDEX(N_Bedarf!$CE$2:$CE$141,_xlfn.AGGREGATE(15,6,(ROW(N_Bedarf!$CE$2:$CE$141)-1)/(--(SEARCH(DS$2,N_Bedarf!$CE$2:$CE$141)&gt;0)),ROW()-2),1),"")</f>
        <v>Sonstiges Feldfutter 2 Nutzungen, gräserreich (&lt;40% Legum.)</v>
      </c>
      <c r="DS128" s="2356"/>
      <c r="DT128" s="2356" t="str">
        <f t="array" ref="DT128">IFERROR(INDEX(N_Bedarf!$CE$2:$CE$141,_xlfn.AGGREGATE(15,6,(ROW(N_Bedarf!$CE$2:$CE$141)-1)/(--(SEARCH(DU$2,N_Bedarf!$CE$2:$CE$141)&gt;0)),ROW()-2),1),"")</f>
        <v>Sonstiges Feldfutter 2 Nutzungen, gräserreich (&lt;40% Legum.)</v>
      </c>
      <c r="DU128" s="2356"/>
      <c r="DV128" s="2356" t="str">
        <f t="array" ref="DV128">IFERROR(INDEX(N_Bedarf!$CE$2:$CE$141,_xlfn.AGGREGATE(15,6,(ROW(N_Bedarf!$CE$2:$CE$141)-1)/(--(SEARCH(DW$2,N_Bedarf!$CE$2:$CE$141)&gt;0)),ROW()-2),1),"")</f>
        <v>Sonstiges Feldfutter 2 Nutzungen, gräserreich (&lt;40% Legum.)</v>
      </c>
      <c r="DW128" s="2356"/>
      <c r="DX128" s="2356" t="str">
        <f t="array" ref="DX128">IFERROR(INDEX(N_Bedarf!$CE$2:$CE$141,_xlfn.AGGREGATE(15,6,(ROW(N_Bedarf!$CE$2:$CE$141)-1)/(--(SEARCH(DY$2,N_Bedarf!$CE$2:$CE$141)&gt;0)),ROW()-2),1),"")</f>
        <v>Sonstiges Feldfutter 2 Nutzungen, gräserreich (&lt;40% Legum.)</v>
      </c>
      <c r="DY128" s="2356"/>
      <c r="DZ128" s="2356" t="str">
        <f t="array" ref="DZ128">IFERROR(INDEX(N_Bedarf!$CE$2:$CE$141,_xlfn.AGGREGATE(15,6,(ROW(N_Bedarf!$CE$2:$CE$141)-1)/(--(SEARCH(EA$2,N_Bedarf!$CE$2:$CE$141)&gt;0)),ROW()-2),1),"")</f>
        <v>Sonstiges Feldfutter 2 Nutzungen, gräserreich (&lt;40% Legum.)</v>
      </c>
      <c r="EA128" s="2356"/>
      <c r="EB128" s="2356" t="str">
        <f t="array" ref="EB128">IFERROR(INDEX(N_Bedarf!$CE$2:$CE$141,_xlfn.AGGREGATE(15,6,(ROW(N_Bedarf!$CE$2:$CE$141)-1)/(--(SEARCH(EC$2,N_Bedarf!$CE$2:$CE$141)&gt;0)),ROW()-2),1),"")</f>
        <v>Sonstiges Feldfutter 2 Nutzungen, gräserreich (&lt;40% Legum.)</v>
      </c>
      <c r="EC128" s="2356"/>
      <c r="ED128"/>
      <c r="EE128"/>
      <c r="EF128"/>
      <c r="EG128"/>
      <c r="EH128"/>
      <c r="EI128"/>
      <c r="EJ128"/>
      <c r="EK128"/>
      <c r="EL128"/>
      <c r="EM128"/>
      <c r="EN128"/>
      <c r="EO128"/>
      <c r="EP128"/>
      <c r="EQ128"/>
      <c r="ER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row>
    <row r="129" spans="1:291" ht="21" customHeight="1" thickTop="1" thickBot="1">
      <c r="A129" s="156"/>
      <c r="B129" s="156"/>
      <c r="C129" s="1758" t="s">
        <v>1268</v>
      </c>
      <c r="D129" s="1759" t="s">
        <v>585</v>
      </c>
      <c r="E129" s="1729">
        <v>80</v>
      </c>
      <c r="F129" s="1760">
        <v>70</v>
      </c>
      <c r="G129" s="1993" t="s">
        <v>1582</v>
      </c>
      <c r="H129" s="1994">
        <v>110</v>
      </c>
      <c r="I129" s="1995">
        <v>95</v>
      </c>
      <c r="J129" s="1759" t="s">
        <v>1399</v>
      </c>
      <c r="K129" s="1729">
        <v>130</v>
      </c>
      <c r="L129" s="1760">
        <v>110</v>
      </c>
      <c r="M129" s="1759" t="s">
        <v>1400</v>
      </c>
      <c r="N129" s="1729">
        <v>140</v>
      </c>
      <c r="O129" s="1760">
        <v>120</v>
      </c>
      <c r="P129" s="1759" t="s">
        <v>1401</v>
      </c>
      <c r="Q129" s="1729">
        <v>150</v>
      </c>
      <c r="R129" s="1761">
        <v>130</v>
      </c>
      <c r="S129" s="1762">
        <v>85</v>
      </c>
      <c r="T129" s="1729">
        <v>85</v>
      </c>
      <c r="U129" s="1760">
        <v>85</v>
      </c>
      <c r="V129" s="1759">
        <v>70</v>
      </c>
      <c r="W129" s="1729">
        <v>70</v>
      </c>
      <c r="X129" s="1760">
        <v>70</v>
      </c>
      <c r="Y129" s="2009">
        <v>50</v>
      </c>
      <c r="Z129" s="2010">
        <v>55</v>
      </c>
      <c r="AA129" s="2011">
        <v>65</v>
      </c>
      <c r="AB129" s="1871" t="s">
        <v>1388</v>
      </c>
      <c r="AC129" s="1763" t="s">
        <v>1389</v>
      </c>
      <c r="AD129" s="1762">
        <v>120</v>
      </c>
      <c r="AE129" s="1729">
        <v>120</v>
      </c>
      <c r="AF129" s="1760">
        <v>120</v>
      </c>
      <c r="AG129" s="1759">
        <v>100</v>
      </c>
      <c r="AH129" s="1729">
        <v>100</v>
      </c>
      <c r="AI129" s="1760">
        <v>100</v>
      </c>
      <c r="AJ129" s="2009">
        <v>70</v>
      </c>
      <c r="AK129" s="2010">
        <v>80</v>
      </c>
      <c r="AL129" s="2011">
        <v>90</v>
      </c>
      <c r="AM129" s="1871" t="s">
        <v>1390</v>
      </c>
      <c r="AN129" s="1763" t="s">
        <v>1389</v>
      </c>
      <c r="AO129" s="156"/>
      <c r="AP129" s="156"/>
      <c r="AX129" s="1722" t="s">
        <v>1933</v>
      </c>
      <c r="AY129" s="681">
        <v>100</v>
      </c>
      <c r="AZ129" s="681">
        <v>100</v>
      </c>
      <c r="BA129" s="681" t="s">
        <v>2694</v>
      </c>
      <c r="BB129" s="681">
        <v>180</v>
      </c>
      <c r="BC129" s="681">
        <v>180</v>
      </c>
      <c r="BD129" s="681" t="s">
        <v>2581</v>
      </c>
      <c r="BE129" s="681">
        <v>180</v>
      </c>
      <c r="BF129" s="681">
        <v>180</v>
      </c>
      <c r="BG129" s="681" t="s">
        <v>2581</v>
      </c>
      <c r="BH129" s="681">
        <v>180</v>
      </c>
      <c r="BI129" s="681">
        <v>180</v>
      </c>
      <c r="BJ129" s="681" t="s">
        <v>2581</v>
      </c>
      <c r="BK129" s="681">
        <v>180</v>
      </c>
      <c r="BL129" s="681">
        <v>180</v>
      </c>
      <c r="BM129" s="681" t="s">
        <v>2581</v>
      </c>
      <c r="BN129" s="471">
        <v>0</v>
      </c>
      <c r="BO129" s="821">
        <v>30</v>
      </c>
      <c r="BP129"/>
      <c r="BQ129" s="1722" t="s">
        <v>1933</v>
      </c>
      <c r="BR129" s="470">
        <v>15</v>
      </c>
      <c r="BS129" s="470">
        <v>30</v>
      </c>
      <c r="BT129" s="470">
        <v>30</v>
      </c>
      <c r="BV129" s="1722" t="s">
        <v>1933</v>
      </c>
      <c r="BW129" s="470">
        <v>45</v>
      </c>
      <c r="BX129" s="470">
        <v>80</v>
      </c>
      <c r="BY129" s="470">
        <v>80</v>
      </c>
      <c r="CB129" s="428"/>
      <c r="CC129" s="428"/>
      <c r="CD129" s="428"/>
      <c r="CE129" s="2310" t="s">
        <v>1939</v>
      </c>
      <c r="CF129" s="1834" t="str">
        <f>IFERROR(INDEX(N_Bedarf!$CE$2:$CE$141,_xlfn.AGGREGATE(15,6,(ROW(N_Bedarf!$CE$2:$CE$141)-1)/(--(SEARCH(CG$2,N_Bedarf!$CE$2:$CE$141)&gt;0)),ROW()-2),1),"")</f>
        <v>Sonstiges Feldfutter 3 Nutzungen, gräserreich (&lt;40% Legum.)</v>
      </c>
      <c r="CG129" s="1830"/>
      <c r="CH129" s="1834" t="str">
        <f>IFERROR(INDEX(N_Bedarf!$CE$2:$CE$141,_xlfn.AGGREGATE(15,6,(ROW(N_Bedarf!$CE$2:$CE$141)-1)/(--(SEARCH(CI$2,N_Bedarf!$CE$2:$CE$141)&gt;0)),ROW()-2),1),"")</f>
        <v>Sonstiges Feldfutter 3 Nutzungen, gräserreich (&lt;40% Legum.)</v>
      </c>
      <c r="CI129" s="1830"/>
      <c r="CJ129" s="1834" t="str">
        <f>IFERROR(INDEX(N_Bedarf!$CE$2:$CE$141,_xlfn.AGGREGATE(15,6,(ROW(N_Bedarf!$CE$2:$CE$141)-1)/(--(SEARCH(CK$2,N_Bedarf!$CE$2:$CE$141)&gt;0)),ROW()-2),1),"")</f>
        <v>Sonstiges Feldfutter 3 Nutzungen, gräserreich (&lt;40% Legum.)</v>
      </c>
      <c r="CK129" s="1830"/>
      <c r="CL129" s="1834" t="str">
        <f>IFERROR(INDEX(N_Bedarf!$CE$2:$CE$141,_xlfn.AGGREGATE(15,6,(ROW(N_Bedarf!$CE$2:$CE$141)-1)/(--(SEARCH(CM$2,N_Bedarf!$CE$2:$CE$141)&gt;0)),ROW()-2),1),"")</f>
        <v>Sonstiges Feldfutter 3 Nutzungen, gräserreich (&lt;40% Legum.)</v>
      </c>
      <c r="CM129" s="1830"/>
      <c r="CN129" s="1834" t="str">
        <f>IFERROR(INDEX(N_Bedarf!$CE$2:$CE$141,_xlfn.AGGREGATE(15,6,(ROW(N_Bedarf!$CE$2:$CE$141)-1)/(--(SEARCH(CO$2,N_Bedarf!$CE$2:$CE$141)&gt;0)),ROW()-2),1),"")</f>
        <v>Sonstiges Feldfutter 3 Nutzungen, gräserreich (&lt;40% Legum.)</v>
      </c>
      <c r="CO129" s="1830"/>
      <c r="CP129" s="1834" t="str">
        <f>IFERROR(INDEX(N_Bedarf!$CE$2:$CE$141,_xlfn.AGGREGATE(15,6,(ROW(N_Bedarf!$CE$2:$CE$141)-1)/(--(SEARCH(CQ$2,N_Bedarf!$CE$2:$CE$141)&gt;0)),ROW()-2),1),"")</f>
        <v>Sonstiges Feldfutter 3 Nutzungen, gräserreich (&lt;40% Legum.)</v>
      </c>
      <c r="CQ129" s="1830"/>
      <c r="CR129" s="1834" t="str">
        <f>IFERROR(INDEX(N_Bedarf!$CE$2:$CE$141,_xlfn.AGGREGATE(15,6,(ROW(N_Bedarf!$CE$2:$CE$141)-1)/(--(SEARCH(CS$2,N_Bedarf!$CE$2:$CE$141)&gt;0)),ROW()-2),1),"")</f>
        <v>Sonstiges Feldfutter 3 Nutzungen, gräserreich (&lt;40% Legum.)</v>
      </c>
      <c r="CS129" s="1830"/>
      <c r="CT129" s="1834" t="str">
        <f>IFERROR(INDEX(N_Bedarf!$CE$2:$CE$141,_xlfn.AGGREGATE(15,6,(ROW(N_Bedarf!$CE$2:$CE$141)-1)/(--(SEARCH(CU$2,N_Bedarf!$CE$2:$CE$141)&gt;0)),ROW()-2),1),"")</f>
        <v>Sonstiges Feldfutter 3 Nutzungen, gräserreich (&lt;40% Legum.)</v>
      </c>
      <c r="CU129" s="1830"/>
      <c r="CV129" s="1834" t="str">
        <f>IFERROR(INDEX(N_Bedarf!$CE$2:$CE$141,_xlfn.AGGREGATE(15,6,(ROW(N_Bedarf!$CE$2:$CE$141)-1)/(--(SEARCH(CW$2,N_Bedarf!$CE$2:$CE$141)&gt;0)),ROW()-2),1),"")</f>
        <v>Sonstiges Feldfutter 3 Nutzungen, gräserreich (&lt;40% Legum.)</v>
      </c>
      <c r="CW129" s="1830"/>
      <c r="CX129" s="1834" t="str">
        <f>IFERROR(INDEX(N_Bedarf!$CE$2:$CE$141,_xlfn.AGGREGATE(15,6,(ROW(N_Bedarf!$CE$2:$CE$141)-1)/(--(SEARCH(CY$2,N_Bedarf!$CE$2:$CE$141)&gt;0)),ROW()-2),1),"")</f>
        <v>Sonstiges Feldfutter 3 Nutzungen, gräserreich (&lt;40% Legum.)</v>
      </c>
      <c r="CY129" s="1830"/>
      <c r="CZ129" s="1834" t="str">
        <f>IFERROR(INDEX(N_Bedarf!$CE$2:$CE$141,_xlfn.AGGREGATE(15,6,(ROW(N_Bedarf!$CE$2:$CE$141)-1)/(--(SEARCH(DA$2,N_Bedarf!$CE$2:$CE$141)&gt;0)),ROW()-2),1),"")</f>
        <v>Sonstiges Feldfutter 3 Nutzungen, gräserreich (&lt;40% Legum.)</v>
      </c>
      <c r="DA129" s="1830"/>
      <c r="DB129" s="1834" t="str">
        <f>IFERROR(INDEX(N_Bedarf!$CE$2:$CE$141,_xlfn.AGGREGATE(15,6,(ROW(N_Bedarf!$CE$2:$CE$141)-1)/(--(SEARCH(DC$2,N_Bedarf!$CE$2:$CE$141)&gt;0)),ROW()-2),1),"")</f>
        <v>Sonstiges Feldfutter 3 Nutzungen, gräserreich (&lt;40% Legum.)</v>
      </c>
      <c r="DC129" s="1830"/>
      <c r="DD129" s="1834" t="str">
        <f>IFERROR(INDEX(N_Bedarf!$CE$2:$CE$141,_xlfn.AGGREGATE(15,6,(ROW(N_Bedarf!$CE$2:$CE$141)-1)/(--(SEARCH(DE$2,N_Bedarf!$CE$2:$CE$141)&gt;0)),ROW()-2),1),"")</f>
        <v>Sonstiges Feldfutter 3 Nutzungen, gräserreich (&lt;40% Legum.)</v>
      </c>
      <c r="DE129" s="1830"/>
      <c r="DF129" s="2353" t="str">
        <f t="array" ref="DF129">IFERROR(INDEX(N_Bedarf!$CE$2:$CE$141,_xlfn.AGGREGATE(15,6,(ROW(N_Bedarf!$CE$2:$CE$141)-1)/(--(SEARCH(DG$2,N_Bedarf!$CE$2:$CE$141)&gt;0)),ROW()-2),1),"")</f>
        <v>Sonstiges Feldfutter 3 Nutzungen, gräserreich (&lt;40% Legum.)</v>
      </c>
      <c r="DG129" s="2353"/>
      <c r="DH129" s="2355" t="str">
        <f t="array" ref="DH129">IFERROR(INDEX(N_Bedarf!$CE$2:$CE$141,_xlfn.AGGREGATE(15,6,(ROW(N_Bedarf!$CE$2:$CE$141)-1)/(--(SEARCH(DI$2,N_Bedarf!$CE$2:$CE$141)&gt;0)),ROW()-2),1),"")</f>
        <v>Sonstiges Feldfutter 3 Nutzungen, gräserreich (&lt;40% Legum.)</v>
      </c>
      <c r="DI129" s="2355"/>
      <c r="DJ129" s="2356" t="str">
        <f t="array" ref="DJ129">IFERROR(INDEX(N_Bedarf!$CE$2:$CE$141,_xlfn.AGGREGATE(15,6,(ROW(N_Bedarf!$CE$2:$CE$141)-1)/(--(SEARCH(DK$2,N_Bedarf!$CE$2:$CE$141)&gt;0)),ROW()-2),1),"")</f>
        <v>Sonstiges Feldfutter 3 Nutzungen, gräserreich (&lt;40% Legum.)</v>
      </c>
      <c r="DK129" s="2356"/>
      <c r="DL129" s="2356" t="str">
        <f t="array" ref="DL129">IFERROR(INDEX(N_Bedarf!$CE$2:$CE$141,_xlfn.AGGREGATE(15,6,(ROW(N_Bedarf!$CE$2:$CE$141)-1)/(--(SEARCH(DM$2,N_Bedarf!$CE$2:$CE$141)&gt;0)),ROW()-2),1),"")</f>
        <v>Sonstiges Feldfutter 3 Nutzungen, gräserreich (&lt;40% Legum.)</v>
      </c>
      <c r="DM129" s="2356"/>
      <c r="DN129" s="2356" t="str">
        <f t="array" ref="DN129">IFERROR(INDEX(N_Bedarf!$CE$2:$CE$141,_xlfn.AGGREGATE(15,6,(ROW(N_Bedarf!$CE$2:$CE$141)-1)/(--(SEARCH(DO$2,N_Bedarf!$CE$2:$CE$141)&gt;0)),ROW()-2),1),"")</f>
        <v>Sonstiges Feldfutter 3 Nutzungen, gräserreich (&lt;40% Legum.)</v>
      </c>
      <c r="DO129" s="2356"/>
      <c r="DP129" s="2356" t="str">
        <f t="array" ref="DP129">IFERROR(INDEX(N_Bedarf!$CE$2:$CE$141,_xlfn.AGGREGATE(15,6,(ROW(N_Bedarf!$CE$2:$CE$141)-1)/(--(SEARCH(DQ$2,N_Bedarf!$CE$2:$CE$141)&gt;0)),ROW()-2),1),"")</f>
        <v>Sonstiges Feldfutter 3 Nutzungen, gräserreich (&lt;40% Legum.)</v>
      </c>
      <c r="DQ129" s="2356"/>
      <c r="DR129" s="2356" t="str">
        <f t="array" ref="DR129">IFERROR(INDEX(N_Bedarf!$CE$2:$CE$141,_xlfn.AGGREGATE(15,6,(ROW(N_Bedarf!$CE$2:$CE$141)-1)/(--(SEARCH(DS$2,N_Bedarf!$CE$2:$CE$141)&gt;0)),ROW()-2),1),"")</f>
        <v>Sonstiges Feldfutter 3 Nutzungen, gräserreich (&lt;40% Legum.)</v>
      </c>
      <c r="DS129" s="2356"/>
      <c r="DT129" s="2356" t="str">
        <f t="array" ref="DT129">IFERROR(INDEX(N_Bedarf!$CE$2:$CE$141,_xlfn.AGGREGATE(15,6,(ROW(N_Bedarf!$CE$2:$CE$141)-1)/(--(SEARCH(DU$2,N_Bedarf!$CE$2:$CE$141)&gt;0)),ROW()-2),1),"")</f>
        <v>Sonstiges Feldfutter 3 Nutzungen, gräserreich (&lt;40% Legum.)</v>
      </c>
      <c r="DU129" s="2356"/>
      <c r="DV129" s="2356" t="str">
        <f t="array" ref="DV129">IFERROR(INDEX(N_Bedarf!$CE$2:$CE$141,_xlfn.AGGREGATE(15,6,(ROW(N_Bedarf!$CE$2:$CE$141)-1)/(--(SEARCH(DW$2,N_Bedarf!$CE$2:$CE$141)&gt;0)),ROW()-2),1),"")</f>
        <v>Sonstiges Feldfutter 3 Nutzungen, gräserreich (&lt;40% Legum.)</v>
      </c>
      <c r="DW129" s="2356"/>
      <c r="DX129" s="2356" t="str">
        <f t="array" ref="DX129">IFERROR(INDEX(N_Bedarf!$CE$2:$CE$141,_xlfn.AGGREGATE(15,6,(ROW(N_Bedarf!$CE$2:$CE$141)-1)/(--(SEARCH(DY$2,N_Bedarf!$CE$2:$CE$141)&gt;0)),ROW()-2),1),"")</f>
        <v>Sonstiges Feldfutter 3 Nutzungen, gräserreich (&lt;40% Legum.)</v>
      </c>
      <c r="DY129" s="2356"/>
      <c r="DZ129" s="2356" t="str">
        <f t="array" ref="DZ129">IFERROR(INDEX(N_Bedarf!$CE$2:$CE$141,_xlfn.AGGREGATE(15,6,(ROW(N_Bedarf!$CE$2:$CE$141)-1)/(--(SEARCH(EA$2,N_Bedarf!$CE$2:$CE$141)&gt;0)),ROW()-2),1),"")</f>
        <v>Sonstiges Feldfutter 3 Nutzungen, gräserreich (&lt;40% Legum.)</v>
      </c>
      <c r="EA129" s="2356"/>
      <c r="EB129" s="2356" t="str">
        <f t="array" ref="EB129">IFERROR(INDEX(N_Bedarf!$CE$2:$CE$141,_xlfn.AGGREGATE(15,6,(ROW(N_Bedarf!$CE$2:$CE$141)-1)/(--(SEARCH(EC$2,N_Bedarf!$CE$2:$CE$141)&gt;0)),ROW()-2),1),"")</f>
        <v>Sonstiges Feldfutter 3 Nutzungen, gräserreich (&lt;40% Legum.)</v>
      </c>
      <c r="EC129" s="2356"/>
      <c r="ED129"/>
      <c r="EE129"/>
      <c r="EF129"/>
      <c r="EG129"/>
      <c r="EH129"/>
      <c r="EI129"/>
      <c r="EJ129"/>
      <c r="EK129"/>
      <c r="EL129"/>
      <c r="EM129"/>
      <c r="EN129"/>
      <c r="EO129"/>
      <c r="EP129"/>
      <c r="EQ129"/>
      <c r="ER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row>
    <row r="130" spans="1:291" ht="18.75" customHeight="1" thickTop="1" thickBot="1">
      <c r="A130" s="156"/>
      <c r="B130" s="156"/>
      <c r="C130" s="1758" t="s">
        <v>1712</v>
      </c>
      <c r="D130" s="1759" t="s">
        <v>1394</v>
      </c>
      <c r="E130" s="1729">
        <v>70</v>
      </c>
      <c r="F130" s="1760">
        <v>60</v>
      </c>
      <c r="G130" s="1993" t="s">
        <v>1392</v>
      </c>
      <c r="H130" s="1994">
        <v>100</v>
      </c>
      <c r="I130" s="1995">
        <v>85</v>
      </c>
      <c r="J130" s="1759" t="s">
        <v>1402</v>
      </c>
      <c r="K130" s="1729">
        <v>115</v>
      </c>
      <c r="L130" s="1760">
        <v>100</v>
      </c>
      <c r="M130" s="1759" t="s">
        <v>1403</v>
      </c>
      <c r="N130" s="1729">
        <v>125</v>
      </c>
      <c r="O130" s="1760">
        <v>105</v>
      </c>
      <c r="P130" s="1759" t="s">
        <v>1404</v>
      </c>
      <c r="Q130" s="1729">
        <v>135</v>
      </c>
      <c r="R130" s="1761">
        <v>115</v>
      </c>
      <c r="S130" s="1762">
        <v>85</v>
      </c>
      <c r="T130" s="1729">
        <v>85</v>
      </c>
      <c r="U130" s="1760">
        <v>85</v>
      </c>
      <c r="V130" s="1759">
        <v>70</v>
      </c>
      <c r="W130" s="1729">
        <v>70</v>
      </c>
      <c r="X130" s="1760">
        <v>70</v>
      </c>
      <c r="Y130" s="2009">
        <v>50</v>
      </c>
      <c r="Z130" s="2010">
        <v>55</v>
      </c>
      <c r="AA130" s="2011">
        <v>65</v>
      </c>
      <c r="AB130" s="1871" t="s">
        <v>1388</v>
      </c>
      <c r="AC130" s="1763" t="s">
        <v>1389</v>
      </c>
      <c r="AD130" s="1762">
        <v>120</v>
      </c>
      <c r="AE130" s="1729">
        <v>120</v>
      </c>
      <c r="AF130" s="1760">
        <v>120</v>
      </c>
      <c r="AG130" s="1759">
        <v>100</v>
      </c>
      <c r="AH130" s="1729">
        <v>100</v>
      </c>
      <c r="AI130" s="1760">
        <v>100</v>
      </c>
      <c r="AJ130" s="2009">
        <v>70</v>
      </c>
      <c r="AK130" s="2010">
        <v>80</v>
      </c>
      <c r="AL130" s="2011">
        <v>90</v>
      </c>
      <c r="AM130" s="1871" t="s">
        <v>1390</v>
      </c>
      <c r="AN130" s="1763" t="s">
        <v>1389</v>
      </c>
      <c r="AO130" s="156"/>
      <c r="AP130" s="156"/>
      <c r="AX130" s="1722" t="s">
        <v>1935</v>
      </c>
      <c r="AY130" s="681">
        <v>100</v>
      </c>
      <c r="AZ130" s="681">
        <v>100</v>
      </c>
      <c r="BA130" s="681" t="s">
        <v>2561</v>
      </c>
      <c r="BB130" s="681">
        <v>180</v>
      </c>
      <c r="BC130" s="681">
        <v>180</v>
      </c>
      <c r="BD130" s="681" t="s">
        <v>2582</v>
      </c>
      <c r="BE130" s="681">
        <v>180</v>
      </c>
      <c r="BF130" s="681">
        <v>180</v>
      </c>
      <c r="BG130" s="681" t="s">
        <v>2582</v>
      </c>
      <c r="BH130" s="681">
        <v>180</v>
      </c>
      <c r="BI130" s="681">
        <v>180</v>
      </c>
      <c r="BJ130" s="681" t="s">
        <v>2582</v>
      </c>
      <c r="BK130" s="681">
        <v>180</v>
      </c>
      <c r="BL130" s="681">
        <v>180</v>
      </c>
      <c r="BM130" s="681" t="s">
        <v>2582</v>
      </c>
      <c r="BN130" s="471">
        <v>0</v>
      </c>
      <c r="BO130" s="821">
        <v>30</v>
      </c>
      <c r="BP130"/>
      <c r="BQ130" s="1722" t="s">
        <v>1935</v>
      </c>
      <c r="BR130" s="470">
        <v>30</v>
      </c>
      <c r="BS130" s="470">
        <v>45</v>
      </c>
      <c r="BT130" s="470">
        <v>45</v>
      </c>
      <c r="BV130" s="1722" t="s">
        <v>1935</v>
      </c>
      <c r="BW130" s="470">
        <v>80</v>
      </c>
      <c r="BX130" s="470">
        <v>120</v>
      </c>
      <c r="BY130" s="470">
        <v>120</v>
      </c>
      <c r="CB130" s="428"/>
      <c r="CC130" s="428"/>
      <c r="CD130" s="428"/>
      <c r="CE130" s="2310" t="s">
        <v>1941</v>
      </c>
      <c r="CF130" s="1834" t="str">
        <f>IFERROR(INDEX(N_Bedarf!$CE$2:$CE$141,_xlfn.AGGREGATE(15,6,(ROW(N_Bedarf!$CE$2:$CE$141)-1)/(--(SEARCH(CG$2,N_Bedarf!$CE$2:$CE$141)&gt;0)),ROW()-2),1),"")</f>
        <v>Sonstiges Feldfutter 4 Nutzungen, gräserreich (&lt;40% Legum.)</v>
      </c>
      <c r="CG130" s="1836"/>
      <c r="CH130" s="1834" t="str">
        <f>IFERROR(INDEX(N_Bedarf!$CE$2:$CE$141,_xlfn.AGGREGATE(15,6,(ROW(N_Bedarf!$CE$2:$CE$141)-1)/(--(SEARCH(CI$2,N_Bedarf!$CE$2:$CE$141)&gt;0)),ROW()-2),1),"")</f>
        <v>Sonstiges Feldfutter 4 Nutzungen, gräserreich (&lt;40% Legum.)</v>
      </c>
      <c r="CI130" s="1836"/>
      <c r="CJ130" s="1834" t="str">
        <f>IFERROR(INDEX(N_Bedarf!$CE$2:$CE$141,_xlfn.AGGREGATE(15,6,(ROW(N_Bedarf!$CE$2:$CE$141)-1)/(--(SEARCH(CK$2,N_Bedarf!$CE$2:$CE$141)&gt;0)),ROW()-2),1),"")</f>
        <v>Sonstiges Feldfutter 4 Nutzungen, gräserreich (&lt;40% Legum.)</v>
      </c>
      <c r="CK130" s="1836"/>
      <c r="CL130" s="1834" t="str">
        <f>IFERROR(INDEX(N_Bedarf!$CE$2:$CE$141,_xlfn.AGGREGATE(15,6,(ROW(N_Bedarf!$CE$2:$CE$141)-1)/(--(SEARCH(CM$2,N_Bedarf!$CE$2:$CE$141)&gt;0)),ROW()-2),1),"")</f>
        <v>Sonstiges Feldfutter 4 Nutzungen, gräserreich (&lt;40% Legum.)</v>
      </c>
      <c r="CM130" s="1836"/>
      <c r="CN130" s="1834" t="str">
        <f>IFERROR(INDEX(N_Bedarf!$CE$2:$CE$141,_xlfn.AGGREGATE(15,6,(ROW(N_Bedarf!$CE$2:$CE$141)-1)/(--(SEARCH(CO$2,N_Bedarf!$CE$2:$CE$141)&gt;0)),ROW()-2),1),"")</f>
        <v>Sonstiges Feldfutter 4 Nutzungen, gräserreich (&lt;40% Legum.)</v>
      </c>
      <c r="CO130" s="1836"/>
      <c r="CP130" s="1834" t="str">
        <f>IFERROR(INDEX(N_Bedarf!$CE$2:$CE$141,_xlfn.AGGREGATE(15,6,(ROW(N_Bedarf!$CE$2:$CE$141)-1)/(--(SEARCH(CQ$2,N_Bedarf!$CE$2:$CE$141)&gt;0)),ROW()-2),1),"")</f>
        <v>Sonstiges Feldfutter 4 Nutzungen, gräserreich (&lt;40% Legum.)</v>
      </c>
      <c r="CQ130" s="1836"/>
      <c r="CR130" s="1834" t="str">
        <f>IFERROR(INDEX(N_Bedarf!$CE$2:$CE$141,_xlfn.AGGREGATE(15,6,(ROW(N_Bedarf!$CE$2:$CE$141)-1)/(--(SEARCH(CS$2,N_Bedarf!$CE$2:$CE$141)&gt;0)),ROW()-2),1),"")</f>
        <v>Sonstiges Feldfutter 4 Nutzungen, gräserreich (&lt;40% Legum.)</v>
      </c>
      <c r="CS130" s="1836"/>
      <c r="CT130" s="1834" t="str">
        <f>IFERROR(INDEX(N_Bedarf!$CE$2:$CE$141,_xlfn.AGGREGATE(15,6,(ROW(N_Bedarf!$CE$2:$CE$141)-1)/(--(SEARCH(CU$2,N_Bedarf!$CE$2:$CE$141)&gt;0)),ROW()-2),1),"")</f>
        <v>Sonstiges Feldfutter 4 Nutzungen, gräserreich (&lt;40% Legum.)</v>
      </c>
      <c r="CU130" s="1836"/>
      <c r="CV130" s="1834" t="str">
        <f>IFERROR(INDEX(N_Bedarf!$CE$2:$CE$141,_xlfn.AGGREGATE(15,6,(ROW(N_Bedarf!$CE$2:$CE$141)-1)/(--(SEARCH(CW$2,N_Bedarf!$CE$2:$CE$141)&gt;0)),ROW()-2),1),"")</f>
        <v>Sonstiges Feldfutter 4 Nutzungen, gräserreich (&lt;40% Legum.)</v>
      </c>
      <c r="CW130" s="1836"/>
      <c r="CX130" s="1834" t="str">
        <f>IFERROR(INDEX(N_Bedarf!$CE$2:$CE$141,_xlfn.AGGREGATE(15,6,(ROW(N_Bedarf!$CE$2:$CE$141)-1)/(--(SEARCH(CY$2,N_Bedarf!$CE$2:$CE$141)&gt;0)),ROW()-2),1),"")</f>
        <v>Sonstiges Feldfutter 4 Nutzungen, gräserreich (&lt;40% Legum.)</v>
      </c>
      <c r="CY130" s="1836"/>
      <c r="CZ130" s="1834" t="str">
        <f>IFERROR(INDEX(N_Bedarf!$CE$2:$CE$141,_xlfn.AGGREGATE(15,6,(ROW(N_Bedarf!$CE$2:$CE$141)-1)/(--(SEARCH(DA$2,N_Bedarf!$CE$2:$CE$141)&gt;0)),ROW()-2),1),"")</f>
        <v>Sonstiges Feldfutter 4 Nutzungen, gräserreich (&lt;40% Legum.)</v>
      </c>
      <c r="DA130" s="1836"/>
      <c r="DB130" s="1834" t="str">
        <f>IFERROR(INDEX(N_Bedarf!$CE$2:$CE$141,_xlfn.AGGREGATE(15,6,(ROW(N_Bedarf!$CE$2:$CE$141)-1)/(--(SEARCH(DC$2,N_Bedarf!$CE$2:$CE$141)&gt;0)),ROW()-2),1),"")</f>
        <v>Sonstiges Feldfutter 4 Nutzungen, gräserreich (&lt;40% Legum.)</v>
      </c>
      <c r="DC130" s="1836"/>
      <c r="DD130" s="1834" t="str">
        <f>IFERROR(INDEX(N_Bedarf!$CE$2:$CE$141,_xlfn.AGGREGATE(15,6,(ROW(N_Bedarf!$CE$2:$CE$141)-1)/(--(SEARCH(DE$2,N_Bedarf!$CE$2:$CE$141)&gt;0)),ROW()-2),1),"")</f>
        <v>Sonstiges Feldfutter 4 Nutzungen, gräserreich (&lt;40% Legum.)</v>
      </c>
      <c r="DE130" s="1836"/>
      <c r="DF130" s="2353" t="str">
        <f t="array" ref="DF130">IFERROR(INDEX(N_Bedarf!$CE$2:$CE$141,_xlfn.AGGREGATE(15,6,(ROW(N_Bedarf!$CE$2:$CE$141)-1)/(--(SEARCH(DG$2,N_Bedarf!$CE$2:$CE$141)&gt;0)),ROW()-2),1),"")</f>
        <v>Sonstiges Feldfutter 4 Nutzungen, gräserreich (&lt;40% Legum.)</v>
      </c>
      <c r="DG130" s="2353"/>
      <c r="DH130" s="2355" t="str">
        <f t="array" ref="DH130">IFERROR(INDEX(N_Bedarf!$CE$2:$CE$141,_xlfn.AGGREGATE(15,6,(ROW(N_Bedarf!$CE$2:$CE$141)-1)/(--(SEARCH(DI$2,N_Bedarf!$CE$2:$CE$141)&gt;0)),ROW()-2),1),"")</f>
        <v>Sonstiges Feldfutter 4 Nutzungen, gräserreich (&lt;40% Legum.)</v>
      </c>
      <c r="DI130" s="2355"/>
      <c r="DJ130" s="2356" t="str">
        <f t="array" ref="DJ130">IFERROR(INDEX(N_Bedarf!$CE$2:$CE$141,_xlfn.AGGREGATE(15,6,(ROW(N_Bedarf!$CE$2:$CE$141)-1)/(--(SEARCH(DK$2,N_Bedarf!$CE$2:$CE$141)&gt;0)),ROW()-2),1),"")</f>
        <v>Sonstiges Feldfutter 4 Nutzungen, gräserreich (&lt;40% Legum.)</v>
      </c>
      <c r="DK130" s="2356"/>
      <c r="DL130" s="2356" t="str">
        <f t="array" ref="DL130">IFERROR(INDEX(N_Bedarf!$CE$2:$CE$141,_xlfn.AGGREGATE(15,6,(ROW(N_Bedarf!$CE$2:$CE$141)-1)/(--(SEARCH(DM$2,N_Bedarf!$CE$2:$CE$141)&gt;0)),ROW()-2),1),"")</f>
        <v>Sonstiges Feldfutter 4 Nutzungen, gräserreich (&lt;40% Legum.)</v>
      </c>
      <c r="DM130" s="2356"/>
      <c r="DN130" s="2356" t="str">
        <f t="array" ref="DN130">IFERROR(INDEX(N_Bedarf!$CE$2:$CE$141,_xlfn.AGGREGATE(15,6,(ROW(N_Bedarf!$CE$2:$CE$141)-1)/(--(SEARCH(DO$2,N_Bedarf!$CE$2:$CE$141)&gt;0)),ROW()-2),1),"")</f>
        <v>Sonstiges Feldfutter 4 Nutzungen, gräserreich (&lt;40% Legum.)</v>
      </c>
      <c r="DO130" s="2356"/>
      <c r="DP130" s="2356" t="str">
        <f t="array" ref="DP130">IFERROR(INDEX(N_Bedarf!$CE$2:$CE$141,_xlfn.AGGREGATE(15,6,(ROW(N_Bedarf!$CE$2:$CE$141)-1)/(--(SEARCH(DQ$2,N_Bedarf!$CE$2:$CE$141)&gt;0)),ROW()-2),1),"")</f>
        <v>Sonstiges Feldfutter 4 Nutzungen, gräserreich (&lt;40% Legum.)</v>
      </c>
      <c r="DQ130" s="2356"/>
      <c r="DR130" s="2356" t="str">
        <f t="array" ref="DR130">IFERROR(INDEX(N_Bedarf!$CE$2:$CE$141,_xlfn.AGGREGATE(15,6,(ROW(N_Bedarf!$CE$2:$CE$141)-1)/(--(SEARCH(DS$2,N_Bedarf!$CE$2:$CE$141)&gt;0)),ROW()-2),1),"")</f>
        <v>Sonstiges Feldfutter 4 Nutzungen, gräserreich (&lt;40% Legum.)</v>
      </c>
      <c r="DS130" s="2356"/>
      <c r="DT130" s="2356" t="str">
        <f t="array" ref="DT130">IFERROR(INDEX(N_Bedarf!$CE$2:$CE$141,_xlfn.AGGREGATE(15,6,(ROW(N_Bedarf!$CE$2:$CE$141)-1)/(--(SEARCH(DU$2,N_Bedarf!$CE$2:$CE$141)&gt;0)),ROW()-2),1),"")</f>
        <v>Sonstiges Feldfutter 4 Nutzungen, gräserreich (&lt;40% Legum.)</v>
      </c>
      <c r="DU130" s="2356"/>
      <c r="DV130" s="2356" t="str">
        <f t="array" ref="DV130">IFERROR(INDEX(N_Bedarf!$CE$2:$CE$141,_xlfn.AGGREGATE(15,6,(ROW(N_Bedarf!$CE$2:$CE$141)-1)/(--(SEARCH(DW$2,N_Bedarf!$CE$2:$CE$141)&gt;0)),ROW()-2),1),"")</f>
        <v>Sonstiges Feldfutter 4 Nutzungen, gräserreich (&lt;40% Legum.)</v>
      </c>
      <c r="DW130" s="2356"/>
      <c r="DX130" s="2356" t="str">
        <f t="array" ref="DX130">IFERROR(INDEX(N_Bedarf!$CE$2:$CE$141,_xlfn.AGGREGATE(15,6,(ROW(N_Bedarf!$CE$2:$CE$141)-1)/(--(SEARCH(DY$2,N_Bedarf!$CE$2:$CE$141)&gt;0)),ROW()-2),1),"")</f>
        <v>Sonstiges Feldfutter 4 Nutzungen, gräserreich (&lt;40% Legum.)</v>
      </c>
      <c r="DY130" s="2356"/>
      <c r="DZ130" s="2356" t="str">
        <f t="array" ref="DZ130">IFERROR(INDEX(N_Bedarf!$CE$2:$CE$141,_xlfn.AGGREGATE(15,6,(ROW(N_Bedarf!$CE$2:$CE$141)-1)/(--(SEARCH(EA$2,N_Bedarf!$CE$2:$CE$141)&gt;0)),ROW()-2),1),"")</f>
        <v>Sonstiges Feldfutter 4 Nutzungen, gräserreich (&lt;40% Legum.)</v>
      </c>
      <c r="EA130" s="2356"/>
      <c r="EB130" s="2356" t="str">
        <f t="array" ref="EB130">IFERROR(INDEX(N_Bedarf!$CE$2:$CE$141,_xlfn.AGGREGATE(15,6,(ROW(N_Bedarf!$CE$2:$CE$141)-1)/(--(SEARCH(EC$2,N_Bedarf!$CE$2:$CE$141)&gt;0)),ROW()-2),1),"")</f>
        <v>Sonstiges Feldfutter 4 Nutzungen, gräserreich (&lt;40% Legum.)</v>
      </c>
      <c r="EC130" s="2356"/>
      <c r="ED130"/>
      <c r="EE130"/>
      <c r="EF130"/>
      <c r="EG130"/>
      <c r="EH130"/>
      <c r="EI130"/>
      <c r="EJ130"/>
      <c r="EK130"/>
      <c r="EL130"/>
      <c r="EM130"/>
      <c r="EN130"/>
      <c r="EO130"/>
      <c r="EP130"/>
      <c r="EQ130"/>
      <c r="ER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row>
    <row r="131" spans="1:291" ht="23.25" customHeight="1" thickTop="1" thickBot="1">
      <c r="A131" s="156"/>
      <c r="B131" s="156"/>
      <c r="C131" s="1758" t="s">
        <v>1713</v>
      </c>
      <c r="D131" s="1759" t="s">
        <v>585</v>
      </c>
      <c r="E131" s="1729">
        <v>105</v>
      </c>
      <c r="F131" s="1760">
        <v>95</v>
      </c>
      <c r="G131" s="1993" t="s">
        <v>1794</v>
      </c>
      <c r="H131" s="1994">
        <v>145</v>
      </c>
      <c r="I131" s="1995">
        <v>130</v>
      </c>
      <c r="J131" s="1759" t="s">
        <v>1795</v>
      </c>
      <c r="K131" s="1729">
        <v>170</v>
      </c>
      <c r="L131" s="1760">
        <v>150</v>
      </c>
      <c r="M131" s="1759" t="s">
        <v>1796</v>
      </c>
      <c r="N131" s="1729">
        <v>180</v>
      </c>
      <c r="O131" s="1760">
        <v>160</v>
      </c>
      <c r="P131" s="1759" t="s">
        <v>1797</v>
      </c>
      <c r="Q131" s="1729">
        <v>195</v>
      </c>
      <c r="R131" s="1761">
        <v>175</v>
      </c>
      <c r="S131" s="1762">
        <v>85</v>
      </c>
      <c r="T131" s="1729">
        <v>85</v>
      </c>
      <c r="U131" s="1760">
        <v>85</v>
      </c>
      <c r="V131" s="1759">
        <v>70</v>
      </c>
      <c r="W131" s="1729">
        <v>70</v>
      </c>
      <c r="X131" s="1760">
        <v>70</v>
      </c>
      <c r="Y131" s="2009">
        <v>50</v>
      </c>
      <c r="Z131" s="2010">
        <v>55</v>
      </c>
      <c r="AA131" s="2011">
        <v>65</v>
      </c>
      <c r="AB131" s="1871" t="s">
        <v>1388</v>
      </c>
      <c r="AC131" s="1763" t="s">
        <v>1389</v>
      </c>
      <c r="AD131" s="1762">
        <v>120</v>
      </c>
      <c r="AE131" s="1729">
        <v>120</v>
      </c>
      <c r="AF131" s="1760">
        <v>120</v>
      </c>
      <c r="AG131" s="1759">
        <v>100</v>
      </c>
      <c r="AH131" s="1729">
        <v>100</v>
      </c>
      <c r="AI131" s="1760">
        <v>100</v>
      </c>
      <c r="AJ131" s="2009">
        <v>70</v>
      </c>
      <c r="AK131" s="2010">
        <v>80</v>
      </c>
      <c r="AL131" s="2011">
        <v>90</v>
      </c>
      <c r="AM131" s="1871" t="s">
        <v>1390</v>
      </c>
      <c r="AN131" s="1763" t="s">
        <v>1389</v>
      </c>
      <c r="AO131" s="156"/>
      <c r="AP131" s="156"/>
      <c r="AX131" s="1722" t="s">
        <v>1937</v>
      </c>
      <c r="AY131" s="681">
        <v>100</v>
      </c>
      <c r="AZ131" s="681">
        <v>100</v>
      </c>
      <c r="BA131" s="681" t="s">
        <v>2696</v>
      </c>
      <c r="BB131" s="681">
        <v>180</v>
      </c>
      <c r="BC131" s="681">
        <v>180</v>
      </c>
      <c r="BD131" s="681" t="s">
        <v>2739</v>
      </c>
      <c r="BE131" s="681">
        <v>210</v>
      </c>
      <c r="BF131" s="681">
        <v>210</v>
      </c>
      <c r="BG131" s="681" t="s">
        <v>2568</v>
      </c>
      <c r="BH131" s="681">
        <v>210</v>
      </c>
      <c r="BI131" s="681">
        <v>210</v>
      </c>
      <c r="BJ131" s="681" t="s">
        <v>2568</v>
      </c>
      <c r="BK131" s="681">
        <v>210</v>
      </c>
      <c r="BL131" s="681">
        <v>210</v>
      </c>
      <c r="BM131" s="681" t="s">
        <v>2568</v>
      </c>
      <c r="BN131" s="471">
        <v>0</v>
      </c>
      <c r="BO131" s="821">
        <v>30</v>
      </c>
      <c r="BP131"/>
      <c r="BQ131" s="1722" t="s">
        <v>1937</v>
      </c>
      <c r="BR131" s="470">
        <v>45</v>
      </c>
      <c r="BS131" s="470">
        <v>65</v>
      </c>
      <c r="BT131" s="470">
        <v>80</v>
      </c>
      <c r="BV131" s="1722" t="s">
        <v>1937</v>
      </c>
      <c r="BW131" s="470">
        <v>130</v>
      </c>
      <c r="BX131" s="470">
        <v>170</v>
      </c>
      <c r="BY131" s="470">
        <v>215</v>
      </c>
      <c r="CB131" s="428"/>
      <c r="CC131" s="428"/>
      <c r="CD131" s="428"/>
      <c r="CE131" s="2310" t="s">
        <v>1943</v>
      </c>
      <c r="CF131" s="1834" t="str">
        <f>IFERROR(INDEX(N_Bedarf!$CE$2:$CE$141,_xlfn.AGGREGATE(15,6,(ROW(N_Bedarf!$CE$2:$CE$141)-1)/(--(SEARCH(CG$2,N_Bedarf!$CE$2:$CE$141)&gt;0)),ROW()-2),1),"")</f>
        <v>Sonstiges Feldfutter 5 Nutzungen, gräserreich (&lt;40% Legum.)</v>
      </c>
      <c r="CG131" s="1830"/>
      <c r="CH131" s="1834" t="str">
        <f>IFERROR(INDEX(N_Bedarf!$CE$2:$CE$141,_xlfn.AGGREGATE(15,6,(ROW(N_Bedarf!$CE$2:$CE$141)-1)/(--(SEARCH(CI$2,N_Bedarf!$CE$2:$CE$141)&gt;0)),ROW()-2),1),"")</f>
        <v>Sonstiges Feldfutter 5 Nutzungen, gräserreich (&lt;40% Legum.)</v>
      </c>
      <c r="CI131" s="1830"/>
      <c r="CJ131" s="1834" t="str">
        <f>IFERROR(INDEX(N_Bedarf!$CE$2:$CE$141,_xlfn.AGGREGATE(15,6,(ROW(N_Bedarf!$CE$2:$CE$141)-1)/(--(SEARCH(CK$2,N_Bedarf!$CE$2:$CE$141)&gt;0)),ROW()-2),1),"")</f>
        <v>Sonstiges Feldfutter 5 Nutzungen, gräserreich (&lt;40% Legum.)</v>
      </c>
      <c r="CK131" s="1830"/>
      <c r="CL131" s="1834" t="str">
        <f>IFERROR(INDEX(N_Bedarf!$CE$2:$CE$141,_xlfn.AGGREGATE(15,6,(ROW(N_Bedarf!$CE$2:$CE$141)-1)/(--(SEARCH(CM$2,N_Bedarf!$CE$2:$CE$141)&gt;0)),ROW()-2),1),"")</f>
        <v>Sonstiges Feldfutter 5 Nutzungen, gräserreich (&lt;40% Legum.)</v>
      </c>
      <c r="CM131" s="1830"/>
      <c r="CN131" s="1834" t="str">
        <f>IFERROR(INDEX(N_Bedarf!$CE$2:$CE$141,_xlfn.AGGREGATE(15,6,(ROW(N_Bedarf!$CE$2:$CE$141)-1)/(--(SEARCH(CO$2,N_Bedarf!$CE$2:$CE$141)&gt;0)),ROW()-2),1),"")</f>
        <v>Sonstiges Feldfutter 5 Nutzungen, gräserreich (&lt;40% Legum.)</v>
      </c>
      <c r="CO131" s="1830"/>
      <c r="CP131" s="1834" t="str">
        <f>IFERROR(INDEX(N_Bedarf!$CE$2:$CE$141,_xlfn.AGGREGATE(15,6,(ROW(N_Bedarf!$CE$2:$CE$141)-1)/(--(SEARCH(CQ$2,N_Bedarf!$CE$2:$CE$141)&gt;0)),ROW()-2),1),"")</f>
        <v>Sonstiges Feldfutter 5 Nutzungen, gräserreich (&lt;40% Legum.)</v>
      </c>
      <c r="CQ131" s="1830"/>
      <c r="CR131" s="1834" t="str">
        <f>IFERROR(INDEX(N_Bedarf!$CE$2:$CE$141,_xlfn.AGGREGATE(15,6,(ROW(N_Bedarf!$CE$2:$CE$141)-1)/(--(SEARCH(CS$2,N_Bedarf!$CE$2:$CE$141)&gt;0)),ROW()-2),1),"")</f>
        <v>Sonstiges Feldfutter 5 Nutzungen, gräserreich (&lt;40% Legum.)</v>
      </c>
      <c r="CS131" s="1830"/>
      <c r="CT131" s="1834" t="str">
        <f>IFERROR(INDEX(N_Bedarf!$CE$2:$CE$141,_xlfn.AGGREGATE(15,6,(ROW(N_Bedarf!$CE$2:$CE$141)-1)/(--(SEARCH(CU$2,N_Bedarf!$CE$2:$CE$141)&gt;0)),ROW()-2),1),"")</f>
        <v>Sonstiges Feldfutter 5 Nutzungen, gräserreich (&lt;40% Legum.)</v>
      </c>
      <c r="CU131" s="1830"/>
      <c r="CV131" s="1834" t="str">
        <f>IFERROR(INDEX(N_Bedarf!$CE$2:$CE$141,_xlfn.AGGREGATE(15,6,(ROW(N_Bedarf!$CE$2:$CE$141)-1)/(--(SEARCH(CW$2,N_Bedarf!$CE$2:$CE$141)&gt;0)),ROW()-2),1),"")</f>
        <v>Sonstiges Feldfutter 5 Nutzungen, gräserreich (&lt;40% Legum.)</v>
      </c>
      <c r="CW131" s="1830"/>
      <c r="CX131" s="1834" t="str">
        <f>IFERROR(INDEX(N_Bedarf!$CE$2:$CE$141,_xlfn.AGGREGATE(15,6,(ROW(N_Bedarf!$CE$2:$CE$141)-1)/(--(SEARCH(CY$2,N_Bedarf!$CE$2:$CE$141)&gt;0)),ROW()-2),1),"")</f>
        <v>Sonstiges Feldfutter 5 Nutzungen, gräserreich (&lt;40% Legum.)</v>
      </c>
      <c r="CY131" s="1830"/>
      <c r="CZ131" s="1834" t="str">
        <f>IFERROR(INDEX(N_Bedarf!$CE$2:$CE$141,_xlfn.AGGREGATE(15,6,(ROW(N_Bedarf!$CE$2:$CE$141)-1)/(--(SEARCH(DA$2,N_Bedarf!$CE$2:$CE$141)&gt;0)),ROW()-2),1),"")</f>
        <v>Sonstiges Feldfutter 5 Nutzungen, gräserreich (&lt;40% Legum.)</v>
      </c>
      <c r="DA131" s="1830"/>
      <c r="DB131" s="1834" t="str">
        <f>IFERROR(INDEX(N_Bedarf!$CE$2:$CE$141,_xlfn.AGGREGATE(15,6,(ROW(N_Bedarf!$CE$2:$CE$141)-1)/(--(SEARCH(DC$2,N_Bedarf!$CE$2:$CE$141)&gt;0)),ROW()-2),1),"")</f>
        <v>Sonstiges Feldfutter 5 Nutzungen, gräserreich (&lt;40% Legum.)</v>
      </c>
      <c r="DC131" s="1830"/>
      <c r="DD131" s="1834" t="str">
        <f>IFERROR(INDEX(N_Bedarf!$CE$2:$CE$141,_xlfn.AGGREGATE(15,6,(ROW(N_Bedarf!$CE$2:$CE$141)-1)/(--(SEARCH(DE$2,N_Bedarf!$CE$2:$CE$141)&gt;0)),ROW()-2),1),"")</f>
        <v>Sonstiges Feldfutter 5 Nutzungen, gräserreich (&lt;40% Legum.)</v>
      </c>
      <c r="DE131" s="1830"/>
      <c r="DF131" s="2353" t="str">
        <f t="array" ref="DF131">IFERROR(INDEX(N_Bedarf!$CE$2:$CE$141,_xlfn.AGGREGATE(15,6,(ROW(N_Bedarf!$CE$2:$CE$141)-1)/(--(SEARCH(DG$2,N_Bedarf!$CE$2:$CE$141)&gt;0)),ROW()-2),1),"")</f>
        <v>Sonstiges Feldfutter 5 Nutzungen, gräserreich (&lt;40% Legum.)</v>
      </c>
      <c r="DG131" s="2353"/>
      <c r="DH131" s="2355" t="str">
        <f t="array" ref="DH131">IFERROR(INDEX(N_Bedarf!$CE$2:$CE$141,_xlfn.AGGREGATE(15,6,(ROW(N_Bedarf!$CE$2:$CE$141)-1)/(--(SEARCH(DI$2,N_Bedarf!$CE$2:$CE$141)&gt;0)),ROW()-2),1),"")</f>
        <v>Sonstiges Feldfutter 5 Nutzungen, gräserreich (&lt;40% Legum.)</v>
      </c>
      <c r="DI131" s="2355"/>
      <c r="DJ131" s="2356" t="str">
        <f t="array" ref="DJ131">IFERROR(INDEX(N_Bedarf!$CE$2:$CE$141,_xlfn.AGGREGATE(15,6,(ROW(N_Bedarf!$CE$2:$CE$141)-1)/(--(SEARCH(DK$2,N_Bedarf!$CE$2:$CE$141)&gt;0)),ROW()-2),1),"")</f>
        <v>Sonstiges Feldfutter 5 Nutzungen, gräserreich (&lt;40% Legum.)</v>
      </c>
      <c r="DK131" s="2356"/>
      <c r="DL131" s="2356" t="str">
        <f t="array" ref="DL131">IFERROR(INDEX(N_Bedarf!$CE$2:$CE$141,_xlfn.AGGREGATE(15,6,(ROW(N_Bedarf!$CE$2:$CE$141)-1)/(--(SEARCH(DM$2,N_Bedarf!$CE$2:$CE$141)&gt;0)),ROW()-2),1),"")</f>
        <v>Sonstiges Feldfutter 5 Nutzungen, gräserreich (&lt;40% Legum.)</v>
      </c>
      <c r="DM131" s="2356"/>
      <c r="DN131" s="2356" t="str">
        <f t="array" ref="DN131">IFERROR(INDEX(N_Bedarf!$CE$2:$CE$141,_xlfn.AGGREGATE(15,6,(ROW(N_Bedarf!$CE$2:$CE$141)-1)/(--(SEARCH(DO$2,N_Bedarf!$CE$2:$CE$141)&gt;0)),ROW()-2),1),"")</f>
        <v>Sonstiges Feldfutter 5 Nutzungen, gräserreich (&lt;40% Legum.)</v>
      </c>
      <c r="DO131" s="2356"/>
      <c r="DP131" s="2356" t="str">
        <f t="array" ref="DP131">IFERROR(INDEX(N_Bedarf!$CE$2:$CE$141,_xlfn.AGGREGATE(15,6,(ROW(N_Bedarf!$CE$2:$CE$141)-1)/(--(SEARCH(DQ$2,N_Bedarf!$CE$2:$CE$141)&gt;0)),ROW()-2),1),"")</f>
        <v>Sonstiges Feldfutter 5 Nutzungen, gräserreich (&lt;40% Legum.)</v>
      </c>
      <c r="DQ131" s="2356"/>
      <c r="DR131" s="2356" t="str">
        <f t="array" ref="DR131">IFERROR(INDEX(N_Bedarf!$CE$2:$CE$141,_xlfn.AGGREGATE(15,6,(ROW(N_Bedarf!$CE$2:$CE$141)-1)/(--(SEARCH(DS$2,N_Bedarf!$CE$2:$CE$141)&gt;0)),ROW()-2),1),"")</f>
        <v>Sonstiges Feldfutter 5 Nutzungen, gräserreich (&lt;40% Legum.)</v>
      </c>
      <c r="DS131" s="2356"/>
      <c r="DT131" s="2356" t="str">
        <f t="array" ref="DT131">IFERROR(INDEX(N_Bedarf!$CE$2:$CE$141,_xlfn.AGGREGATE(15,6,(ROW(N_Bedarf!$CE$2:$CE$141)-1)/(--(SEARCH(DU$2,N_Bedarf!$CE$2:$CE$141)&gt;0)),ROW()-2),1),"")</f>
        <v>Sonstiges Feldfutter 5 Nutzungen, gräserreich (&lt;40% Legum.)</v>
      </c>
      <c r="DU131" s="2356"/>
      <c r="DV131" s="2356" t="str">
        <f t="array" ref="DV131">IFERROR(INDEX(N_Bedarf!$CE$2:$CE$141,_xlfn.AGGREGATE(15,6,(ROW(N_Bedarf!$CE$2:$CE$141)-1)/(--(SEARCH(DW$2,N_Bedarf!$CE$2:$CE$141)&gt;0)),ROW()-2),1),"")</f>
        <v>Sonstiges Feldfutter 5 Nutzungen, gräserreich (&lt;40% Legum.)</v>
      </c>
      <c r="DW131" s="2356"/>
      <c r="DX131" s="2356" t="str">
        <f t="array" ref="DX131">IFERROR(INDEX(N_Bedarf!$CE$2:$CE$141,_xlfn.AGGREGATE(15,6,(ROW(N_Bedarf!$CE$2:$CE$141)-1)/(--(SEARCH(DY$2,N_Bedarf!$CE$2:$CE$141)&gt;0)),ROW()-2),1),"")</f>
        <v>Sonstiges Feldfutter 5 Nutzungen, gräserreich (&lt;40% Legum.)</v>
      </c>
      <c r="DY131" s="2356"/>
      <c r="DZ131" s="2356" t="str">
        <f t="array" ref="DZ131">IFERROR(INDEX(N_Bedarf!$CE$2:$CE$141,_xlfn.AGGREGATE(15,6,(ROW(N_Bedarf!$CE$2:$CE$141)-1)/(--(SEARCH(EA$2,N_Bedarf!$CE$2:$CE$141)&gt;0)),ROW()-2),1),"")</f>
        <v>Sonstiges Feldfutter 5 Nutzungen, gräserreich (&lt;40% Legum.)</v>
      </c>
      <c r="EA131" s="2356"/>
      <c r="EB131" s="2356" t="str">
        <f t="array" ref="EB131">IFERROR(INDEX(N_Bedarf!$CE$2:$CE$141,_xlfn.AGGREGATE(15,6,(ROW(N_Bedarf!$CE$2:$CE$141)-1)/(--(SEARCH(EC$2,N_Bedarf!$CE$2:$CE$141)&gt;0)),ROW()-2),1),"")</f>
        <v>Sonstiges Feldfutter 5 Nutzungen, gräserreich (&lt;40% Legum.)</v>
      </c>
      <c r="EC131" s="2356"/>
      <c r="ED131"/>
      <c r="EE131"/>
      <c r="EF131"/>
      <c r="EG131"/>
      <c r="EH131"/>
      <c r="EI131"/>
      <c r="EJ131"/>
      <c r="EK131"/>
      <c r="EL131"/>
      <c r="EM131"/>
      <c r="EN131"/>
      <c r="EO131"/>
      <c r="EP131"/>
      <c r="EQ131"/>
      <c r="ER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row>
    <row r="132" spans="1:291" ht="23.25" customHeight="1" thickTop="1" thickBot="1">
      <c r="A132" s="156"/>
      <c r="B132" s="156"/>
      <c r="C132" s="1764" t="s">
        <v>1798</v>
      </c>
      <c r="D132" s="1765" t="s">
        <v>714</v>
      </c>
      <c r="E132" s="1766">
        <v>60</v>
      </c>
      <c r="F132" s="1767">
        <v>50</v>
      </c>
      <c r="G132" s="1993" t="s">
        <v>1773</v>
      </c>
      <c r="H132" s="1994">
        <v>60</v>
      </c>
      <c r="I132" s="1995">
        <v>50</v>
      </c>
      <c r="J132" s="1765" t="s">
        <v>1773</v>
      </c>
      <c r="K132" s="1766">
        <v>60</v>
      </c>
      <c r="L132" s="1767">
        <v>50</v>
      </c>
      <c r="M132" s="1765" t="s">
        <v>1773</v>
      </c>
      <c r="N132" s="1766">
        <v>60</v>
      </c>
      <c r="O132" s="1767">
        <v>50</v>
      </c>
      <c r="P132" s="1765" t="s">
        <v>714</v>
      </c>
      <c r="Q132" s="1766">
        <v>60</v>
      </c>
      <c r="R132" s="1770">
        <v>50</v>
      </c>
      <c r="S132" s="1762">
        <v>100</v>
      </c>
      <c r="T132" s="1766">
        <v>100</v>
      </c>
      <c r="U132" s="1760">
        <v>100</v>
      </c>
      <c r="V132" s="1759">
        <v>80</v>
      </c>
      <c r="W132" s="1766">
        <v>80</v>
      </c>
      <c r="X132" s="1760">
        <v>80</v>
      </c>
      <c r="Y132" s="2012">
        <v>60</v>
      </c>
      <c r="Z132" s="2010">
        <v>65</v>
      </c>
      <c r="AA132" s="2013">
        <v>75</v>
      </c>
      <c r="AB132" s="1872" t="s">
        <v>1388</v>
      </c>
      <c r="AC132" s="1769" t="s">
        <v>1389</v>
      </c>
      <c r="AD132" s="1762">
        <v>150</v>
      </c>
      <c r="AE132" s="1766">
        <v>150</v>
      </c>
      <c r="AF132" s="1760">
        <v>150</v>
      </c>
      <c r="AG132" s="1759">
        <v>125</v>
      </c>
      <c r="AH132" s="1766">
        <v>125</v>
      </c>
      <c r="AI132" s="1760">
        <v>125</v>
      </c>
      <c r="AJ132" s="2012">
        <v>90</v>
      </c>
      <c r="AK132" s="2010">
        <v>100</v>
      </c>
      <c r="AL132" s="2013">
        <v>115</v>
      </c>
      <c r="AM132" s="1872" t="s">
        <v>1390</v>
      </c>
      <c r="AN132" s="1769" t="s">
        <v>1389</v>
      </c>
      <c r="AO132" s="156"/>
      <c r="AP132" s="156"/>
      <c r="AX132" s="1722" t="s">
        <v>1939</v>
      </c>
      <c r="AY132" s="681">
        <v>180</v>
      </c>
      <c r="AZ132" s="681">
        <v>180</v>
      </c>
      <c r="BA132" s="681" t="s">
        <v>2697</v>
      </c>
      <c r="BB132" s="681">
        <v>180</v>
      </c>
      <c r="BC132" s="681">
        <v>180</v>
      </c>
      <c r="BD132" s="681" t="s">
        <v>2697</v>
      </c>
      <c r="BE132" s="681">
        <v>210</v>
      </c>
      <c r="BF132" s="681">
        <v>210</v>
      </c>
      <c r="BG132" s="681" t="s">
        <v>2585</v>
      </c>
      <c r="BH132" s="681">
        <v>210</v>
      </c>
      <c r="BI132" s="681">
        <v>210</v>
      </c>
      <c r="BJ132" s="681" t="s">
        <v>2585</v>
      </c>
      <c r="BK132" s="681">
        <v>210</v>
      </c>
      <c r="BL132" s="681">
        <v>210</v>
      </c>
      <c r="BM132" s="681" t="s">
        <v>2585</v>
      </c>
      <c r="BN132" s="471">
        <v>0</v>
      </c>
      <c r="BO132" s="821">
        <v>30</v>
      </c>
      <c r="BP132"/>
      <c r="BQ132" s="1722" t="s">
        <v>1939</v>
      </c>
      <c r="BR132" s="470">
        <v>80</v>
      </c>
      <c r="BS132" s="470">
        <v>80</v>
      </c>
      <c r="BT132" s="470">
        <v>90</v>
      </c>
      <c r="BV132" s="1722" t="s">
        <v>1939</v>
      </c>
      <c r="BW132" s="470">
        <v>205</v>
      </c>
      <c r="BX132" s="470">
        <v>205</v>
      </c>
      <c r="BY132" s="470">
        <v>260</v>
      </c>
      <c r="CB132" s="428"/>
      <c r="CC132" s="428"/>
      <c r="CD132" s="428"/>
      <c r="CE132" s="2310" t="s">
        <v>1934</v>
      </c>
      <c r="CF132" s="1834" t="str">
        <f>IFERROR(INDEX(N_Bedarf!$CE$2:$CE$141,_xlfn.AGGREGATE(15,6,(ROW(N_Bedarf!$CE$2:$CE$141)-1)/(--(SEARCH(CG$2,N_Bedarf!$CE$2:$CE$141)&gt;0)),ROW()-2),1),"")</f>
        <v>Sonstiges Feldfutter 6 Nutzungen, gräserreich (&lt;40% Legum.)</v>
      </c>
      <c r="CG132" s="1836"/>
      <c r="CH132" s="1834" t="str">
        <f>IFERROR(INDEX(N_Bedarf!$CE$2:$CE$141,_xlfn.AGGREGATE(15,6,(ROW(N_Bedarf!$CE$2:$CE$141)-1)/(--(SEARCH(CI$2,N_Bedarf!$CE$2:$CE$141)&gt;0)),ROW()-2),1),"")</f>
        <v>Sonstiges Feldfutter 6 Nutzungen, gräserreich (&lt;40% Legum.)</v>
      </c>
      <c r="CI132" s="1836"/>
      <c r="CJ132" s="1834" t="str">
        <f>IFERROR(INDEX(N_Bedarf!$CE$2:$CE$141,_xlfn.AGGREGATE(15,6,(ROW(N_Bedarf!$CE$2:$CE$141)-1)/(--(SEARCH(CK$2,N_Bedarf!$CE$2:$CE$141)&gt;0)),ROW()-2),1),"")</f>
        <v>Sonstiges Feldfutter 6 Nutzungen, gräserreich (&lt;40% Legum.)</v>
      </c>
      <c r="CK132" s="1836"/>
      <c r="CL132" s="1834" t="str">
        <f>IFERROR(INDEX(N_Bedarf!$CE$2:$CE$141,_xlfn.AGGREGATE(15,6,(ROW(N_Bedarf!$CE$2:$CE$141)-1)/(--(SEARCH(CM$2,N_Bedarf!$CE$2:$CE$141)&gt;0)),ROW()-2),1),"")</f>
        <v>Sonstiges Feldfutter 6 Nutzungen, gräserreich (&lt;40% Legum.)</v>
      </c>
      <c r="CM132" s="1836"/>
      <c r="CN132" s="1834" t="str">
        <f>IFERROR(INDEX(N_Bedarf!$CE$2:$CE$141,_xlfn.AGGREGATE(15,6,(ROW(N_Bedarf!$CE$2:$CE$141)-1)/(--(SEARCH(CO$2,N_Bedarf!$CE$2:$CE$141)&gt;0)),ROW()-2),1),"")</f>
        <v>Sonstiges Feldfutter 6 Nutzungen, gräserreich (&lt;40% Legum.)</v>
      </c>
      <c r="CO132" s="1836"/>
      <c r="CP132" s="1834" t="str">
        <f>IFERROR(INDEX(N_Bedarf!$CE$2:$CE$141,_xlfn.AGGREGATE(15,6,(ROW(N_Bedarf!$CE$2:$CE$141)-1)/(--(SEARCH(CQ$2,N_Bedarf!$CE$2:$CE$141)&gt;0)),ROW()-2),1),"")</f>
        <v>Sonstiges Feldfutter 6 Nutzungen, gräserreich (&lt;40% Legum.)</v>
      </c>
      <c r="CQ132" s="1836"/>
      <c r="CR132" s="1834" t="str">
        <f>IFERROR(INDEX(N_Bedarf!$CE$2:$CE$141,_xlfn.AGGREGATE(15,6,(ROW(N_Bedarf!$CE$2:$CE$141)-1)/(--(SEARCH(CS$2,N_Bedarf!$CE$2:$CE$141)&gt;0)),ROW()-2),1),"")</f>
        <v>Sonstiges Feldfutter 6 Nutzungen, gräserreich (&lt;40% Legum.)</v>
      </c>
      <c r="CS132" s="1836"/>
      <c r="CT132" s="1834" t="str">
        <f>IFERROR(INDEX(N_Bedarf!$CE$2:$CE$141,_xlfn.AGGREGATE(15,6,(ROW(N_Bedarf!$CE$2:$CE$141)-1)/(--(SEARCH(CU$2,N_Bedarf!$CE$2:$CE$141)&gt;0)),ROW()-2),1),"")</f>
        <v>Sonstiges Feldfutter 6 Nutzungen, gräserreich (&lt;40% Legum.)</v>
      </c>
      <c r="CU132" s="1836"/>
      <c r="CV132" s="1834" t="str">
        <f>IFERROR(INDEX(N_Bedarf!$CE$2:$CE$141,_xlfn.AGGREGATE(15,6,(ROW(N_Bedarf!$CE$2:$CE$141)-1)/(--(SEARCH(CW$2,N_Bedarf!$CE$2:$CE$141)&gt;0)),ROW()-2),1),"")</f>
        <v>Sonstiges Feldfutter 6 Nutzungen, gräserreich (&lt;40% Legum.)</v>
      </c>
      <c r="CW132" s="1836"/>
      <c r="CX132" s="1834" t="str">
        <f>IFERROR(INDEX(N_Bedarf!$CE$2:$CE$141,_xlfn.AGGREGATE(15,6,(ROW(N_Bedarf!$CE$2:$CE$141)-1)/(--(SEARCH(CY$2,N_Bedarf!$CE$2:$CE$141)&gt;0)),ROW()-2),1),"")</f>
        <v>Sonstiges Feldfutter 6 Nutzungen, gräserreich (&lt;40% Legum.)</v>
      </c>
      <c r="CY132" s="1836"/>
      <c r="CZ132" s="1834" t="str">
        <f>IFERROR(INDEX(N_Bedarf!$CE$2:$CE$141,_xlfn.AGGREGATE(15,6,(ROW(N_Bedarf!$CE$2:$CE$141)-1)/(--(SEARCH(DA$2,N_Bedarf!$CE$2:$CE$141)&gt;0)),ROW()-2),1),"")</f>
        <v>Sonstiges Feldfutter 6 Nutzungen, gräserreich (&lt;40% Legum.)</v>
      </c>
      <c r="DA132" s="1836"/>
      <c r="DB132" s="1834" t="str">
        <f>IFERROR(INDEX(N_Bedarf!$CE$2:$CE$141,_xlfn.AGGREGATE(15,6,(ROW(N_Bedarf!$CE$2:$CE$141)-1)/(--(SEARCH(DC$2,N_Bedarf!$CE$2:$CE$141)&gt;0)),ROW()-2),1),"")</f>
        <v>Sonstiges Feldfutter 6 Nutzungen, gräserreich (&lt;40% Legum.)</v>
      </c>
      <c r="DC132" s="1836"/>
      <c r="DD132" s="1834" t="str">
        <f>IFERROR(INDEX(N_Bedarf!$CE$2:$CE$141,_xlfn.AGGREGATE(15,6,(ROW(N_Bedarf!$CE$2:$CE$141)-1)/(--(SEARCH(DE$2,N_Bedarf!$CE$2:$CE$141)&gt;0)),ROW()-2),1),"")</f>
        <v>Sonstiges Feldfutter 6 Nutzungen, gräserreich (&lt;40% Legum.)</v>
      </c>
      <c r="DE132" s="1836"/>
      <c r="DF132" s="2353" t="str">
        <f t="array" ref="DF132">IFERROR(INDEX(N_Bedarf!$CE$2:$CE$141,_xlfn.AGGREGATE(15,6,(ROW(N_Bedarf!$CE$2:$CE$141)-1)/(--(SEARCH(DG$2,N_Bedarf!$CE$2:$CE$141)&gt;0)),ROW()-2),1),"")</f>
        <v>Sonstiges Feldfutter 6 Nutzungen, gräserreich (&lt;40% Legum.)</v>
      </c>
      <c r="DG132" s="2353"/>
      <c r="DH132" s="2355" t="str">
        <f t="array" ref="DH132">IFERROR(INDEX(N_Bedarf!$CE$2:$CE$141,_xlfn.AGGREGATE(15,6,(ROW(N_Bedarf!$CE$2:$CE$141)-1)/(--(SEARCH(DI$2,N_Bedarf!$CE$2:$CE$141)&gt;0)),ROW()-2),1),"")</f>
        <v>Sonstiges Feldfutter 6 Nutzungen, gräserreich (&lt;40% Legum.)</v>
      </c>
      <c r="DI132" s="2355"/>
      <c r="DJ132" s="2356" t="str">
        <f t="array" ref="DJ132">IFERROR(INDEX(N_Bedarf!$CE$2:$CE$141,_xlfn.AGGREGATE(15,6,(ROW(N_Bedarf!$CE$2:$CE$141)-1)/(--(SEARCH(DK$2,N_Bedarf!$CE$2:$CE$141)&gt;0)),ROW()-2),1),"")</f>
        <v>Sonstiges Feldfutter 6 Nutzungen, gräserreich (&lt;40% Legum.)</v>
      </c>
      <c r="DK132" s="2356"/>
      <c r="DL132" s="2356" t="str">
        <f t="array" ref="DL132">IFERROR(INDEX(N_Bedarf!$CE$2:$CE$141,_xlfn.AGGREGATE(15,6,(ROW(N_Bedarf!$CE$2:$CE$141)-1)/(--(SEARCH(DM$2,N_Bedarf!$CE$2:$CE$141)&gt;0)),ROW()-2),1),"")</f>
        <v>Sonstiges Feldfutter 6 Nutzungen, gräserreich (&lt;40% Legum.)</v>
      </c>
      <c r="DM132" s="2356"/>
      <c r="DN132" s="2356" t="str">
        <f t="array" ref="DN132">IFERROR(INDEX(N_Bedarf!$CE$2:$CE$141,_xlfn.AGGREGATE(15,6,(ROW(N_Bedarf!$CE$2:$CE$141)-1)/(--(SEARCH(DO$2,N_Bedarf!$CE$2:$CE$141)&gt;0)),ROW()-2),1),"")</f>
        <v>Sonstiges Feldfutter 6 Nutzungen, gräserreich (&lt;40% Legum.)</v>
      </c>
      <c r="DO132" s="2356"/>
      <c r="DP132" s="2356" t="str">
        <f t="array" ref="DP132">IFERROR(INDEX(N_Bedarf!$CE$2:$CE$141,_xlfn.AGGREGATE(15,6,(ROW(N_Bedarf!$CE$2:$CE$141)-1)/(--(SEARCH(DQ$2,N_Bedarf!$CE$2:$CE$141)&gt;0)),ROW()-2),1),"")</f>
        <v>Sonstiges Feldfutter 6 Nutzungen, gräserreich (&lt;40% Legum.)</v>
      </c>
      <c r="DQ132" s="2356"/>
      <c r="DR132" s="2356" t="str">
        <f t="array" ref="DR132">IFERROR(INDEX(N_Bedarf!$CE$2:$CE$141,_xlfn.AGGREGATE(15,6,(ROW(N_Bedarf!$CE$2:$CE$141)-1)/(--(SEARCH(DS$2,N_Bedarf!$CE$2:$CE$141)&gt;0)),ROW()-2),1),"")</f>
        <v>Sonstiges Feldfutter 6 Nutzungen, gräserreich (&lt;40% Legum.)</v>
      </c>
      <c r="DS132" s="2356"/>
      <c r="DT132" s="2356" t="str">
        <f t="array" ref="DT132">IFERROR(INDEX(N_Bedarf!$CE$2:$CE$141,_xlfn.AGGREGATE(15,6,(ROW(N_Bedarf!$CE$2:$CE$141)-1)/(--(SEARCH(DU$2,N_Bedarf!$CE$2:$CE$141)&gt;0)),ROW()-2),1),"")</f>
        <v>Sonstiges Feldfutter 6 Nutzungen, gräserreich (&lt;40% Legum.)</v>
      </c>
      <c r="DU132" s="2356"/>
      <c r="DV132" s="2356" t="str">
        <f t="array" ref="DV132">IFERROR(INDEX(N_Bedarf!$CE$2:$CE$141,_xlfn.AGGREGATE(15,6,(ROW(N_Bedarf!$CE$2:$CE$141)-1)/(--(SEARCH(DW$2,N_Bedarf!$CE$2:$CE$141)&gt;0)),ROW()-2),1),"")</f>
        <v>Sonstiges Feldfutter 6 Nutzungen, gräserreich (&lt;40% Legum.)</v>
      </c>
      <c r="DW132" s="2356"/>
      <c r="DX132" s="2356" t="str">
        <f t="array" ref="DX132">IFERROR(INDEX(N_Bedarf!$CE$2:$CE$141,_xlfn.AGGREGATE(15,6,(ROW(N_Bedarf!$CE$2:$CE$141)-1)/(--(SEARCH(DY$2,N_Bedarf!$CE$2:$CE$141)&gt;0)),ROW()-2),1),"")</f>
        <v>Sonstiges Feldfutter 6 Nutzungen, gräserreich (&lt;40% Legum.)</v>
      </c>
      <c r="DY132" s="2356"/>
      <c r="DZ132" s="2356" t="str">
        <f t="array" ref="DZ132">IFERROR(INDEX(N_Bedarf!$CE$2:$CE$141,_xlfn.AGGREGATE(15,6,(ROW(N_Bedarf!$CE$2:$CE$141)-1)/(--(SEARCH(EA$2,N_Bedarf!$CE$2:$CE$141)&gt;0)),ROW()-2),1),"")</f>
        <v>Sonstiges Feldfutter 6 Nutzungen, gräserreich (&lt;40% Legum.)</v>
      </c>
      <c r="EA132" s="2356"/>
      <c r="EB132" s="2356" t="str">
        <f t="array" ref="EB132">IFERROR(INDEX(N_Bedarf!$CE$2:$CE$141,_xlfn.AGGREGATE(15,6,(ROW(N_Bedarf!$CE$2:$CE$141)-1)/(--(SEARCH(EC$2,N_Bedarf!$CE$2:$CE$141)&gt;0)),ROW()-2),1),"")</f>
        <v>Sonstiges Feldfutter 6 Nutzungen, gräserreich (&lt;40% Legum.)</v>
      </c>
      <c r="EC132" s="2356"/>
      <c r="ED132"/>
      <c r="EE132"/>
      <c r="EF132"/>
      <c r="EG132"/>
      <c r="EH132"/>
      <c r="EI132"/>
      <c r="EJ132"/>
      <c r="EK132"/>
      <c r="EL132"/>
      <c r="EM132"/>
      <c r="EN132"/>
      <c r="EO132"/>
      <c r="EP132"/>
      <c r="EQ132"/>
      <c r="ER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row>
    <row r="133" spans="1:291" ht="21" customHeight="1" thickTop="1" thickBot="1">
      <c r="A133" s="156"/>
      <c r="B133" s="156"/>
      <c r="C133" s="1758" t="s">
        <v>1714</v>
      </c>
      <c r="D133" s="1759" t="s">
        <v>25</v>
      </c>
      <c r="E133" s="1729">
        <v>95</v>
      </c>
      <c r="F133" s="1760">
        <v>80</v>
      </c>
      <c r="G133" s="1993" t="s">
        <v>1799</v>
      </c>
      <c r="H133" s="1994">
        <v>130</v>
      </c>
      <c r="I133" s="1995">
        <v>110</v>
      </c>
      <c r="J133" s="1759" t="s">
        <v>1792</v>
      </c>
      <c r="K133" s="1729">
        <v>155</v>
      </c>
      <c r="L133" s="1760">
        <v>130</v>
      </c>
      <c r="M133" s="1759" t="s">
        <v>1780</v>
      </c>
      <c r="N133" s="1729">
        <v>170</v>
      </c>
      <c r="O133" s="1760">
        <v>145</v>
      </c>
      <c r="P133" s="1759" t="s">
        <v>1584</v>
      </c>
      <c r="Q133" s="1729">
        <v>180</v>
      </c>
      <c r="R133" s="1761">
        <v>155</v>
      </c>
      <c r="S133" s="1762">
        <v>90</v>
      </c>
      <c r="T133" s="1729">
        <v>90</v>
      </c>
      <c r="U133" s="1760">
        <v>90</v>
      </c>
      <c r="V133" s="1759">
        <v>75</v>
      </c>
      <c r="W133" s="1729">
        <v>75</v>
      </c>
      <c r="X133" s="1760">
        <v>75</v>
      </c>
      <c r="Y133" s="2009">
        <v>55</v>
      </c>
      <c r="Z133" s="2010">
        <v>60</v>
      </c>
      <c r="AA133" s="2011">
        <v>70</v>
      </c>
      <c r="AB133" s="1871" t="s">
        <v>1388</v>
      </c>
      <c r="AC133" s="1763" t="s">
        <v>1389</v>
      </c>
      <c r="AD133" s="1762">
        <v>120</v>
      </c>
      <c r="AE133" s="1729">
        <v>120</v>
      </c>
      <c r="AF133" s="1760">
        <v>120</v>
      </c>
      <c r="AG133" s="1759">
        <v>100</v>
      </c>
      <c r="AH133" s="1729">
        <v>100</v>
      </c>
      <c r="AI133" s="1760">
        <v>100</v>
      </c>
      <c r="AJ133" s="2009">
        <v>70</v>
      </c>
      <c r="AK133" s="2010">
        <v>80</v>
      </c>
      <c r="AL133" s="2011">
        <v>90</v>
      </c>
      <c r="AM133" s="1871" t="s">
        <v>1390</v>
      </c>
      <c r="AN133" s="1763" t="s">
        <v>1389</v>
      </c>
      <c r="AO133" s="156"/>
      <c r="AP133" s="156"/>
      <c r="AU133"/>
      <c r="AV133"/>
      <c r="AW133"/>
      <c r="AX133" s="1722" t="s">
        <v>1941</v>
      </c>
      <c r="AY133" s="681">
        <v>180</v>
      </c>
      <c r="AZ133" s="681">
        <v>180</v>
      </c>
      <c r="BA133" s="681" t="s">
        <v>2698</v>
      </c>
      <c r="BB133" s="681">
        <v>180</v>
      </c>
      <c r="BC133" s="681">
        <v>180</v>
      </c>
      <c r="BD133" s="681" t="s">
        <v>2698</v>
      </c>
      <c r="BE133" s="681">
        <v>280</v>
      </c>
      <c r="BF133" s="681">
        <v>280</v>
      </c>
      <c r="BG133" s="681" t="s">
        <v>2591</v>
      </c>
      <c r="BH133" s="681">
        <v>280</v>
      </c>
      <c r="BI133" s="681">
        <v>280</v>
      </c>
      <c r="BJ133" s="681" t="s">
        <v>2591</v>
      </c>
      <c r="BK133" s="681">
        <v>280</v>
      </c>
      <c r="BL133" s="681">
        <v>280</v>
      </c>
      <c r="BM133" s="681" t="s">
        <v>2591</v>
      </c>
      <c r="BN133" s="471">
        <v>0</v>
      </c>
      <c r="BO133" s="821">
        <v>30</v>
      </c>
      <c r="BP133"/>
      <c r="BQ133" s="1722" t="s">
        <v>1941</v>
      </c>
      <c r="BR133" s="470">
        <v>85</v>
      </c>
      <c r="BS133" s="470">
        <v>85</v>
      </c>
      <c r="BT133" s="470">
        <v>105</v>
      </c>
      <c r="BV133" s="1722" t="s">
        <v>1941</v>
      </c>
      <c r="BW133" s="470">
        <v>230</v>
      </c>
      <c r="BX133" s="470">
        <v>230</v>
      </c>
      <c r="BY133" s="470">
        <v>300</v>
      </c>
      <c r="CB133" s="428"/>
      <c r="CC133" s="428"/>
      <c r="CD133" s="428"/>
      <c r="CE133" s="2310" t="s">
        <v>1936</v>
      </c>
      <c r="CF133" s="1834" t="str">
        <f>IFERROR(INDEX(N_Bedarf!$CE$2:$CE$141,_xlfn.AGGREGATE(15,6,(ROW(N_Bedarf!$CE$2:$CE$141)-1)/(--(SEARCH(CG$2,N_Bedarf!$CE$2:$CE$141)&gt;0)),ROW()-2),1),"")</f>
        <v>Sonstiges Feldfutter 1 Nutzung, kleereich (40-90% Legum.)</v>
      </c>
      <c r="CG133" s="1830"/>
      <c r="CH133" s="1834" t="str">
        <f>IFERROR(INDEX(N_Bedarf!$CE$2:$CE$141,_xlfn.AGGREGATE(15,6,(ROW(N_Bedarf!$CE$2:$CE$141)-1)/(--(SEARCH(CI$2,N_Bedarf!$CE$2:$CE$141)&gt;0)),ROW()-2),1),"")</f>
        <v>Sonstiges Feldfutter 1 Nutzung, kleereich (40-90% Legum.)</v>
      </c>
      <c r="CI133" s="1830"/>
      <c r="CJ133" s="1834" t="str">
        <f>IFERROR(INDEX(N_Bedarf!$CE$2:$CE$141,_xlfn.AGGREGATE(15,6,(ROW(N_Bedarf!$CE$2:$CE$141)-1)/(--(SEARCH(CK$2,N_Bedarf!$CE$2:$CE$141)&gt;0)),ROW()-2),1),"")</f>
        <v>Sonstiges Feldfutter 1 Nutzung, kleereich (40-90% Legum.)</v>
      </c>
      <c r="CK133" s="1830"/>
      <c r="CL133" s="1834" t="str">
        <f>IFERROR(INDEX(N_Bedarf!$CE$2:$CE$141,_xlfn.AGGREGATE(15,6,(ROW(N_Bedarf!$CE$2:$CE$141)-1)/(--(SEARCH(CM$2,N_Bedarf!$CE$2:$CE$141)&gt;0)),ROW()-2),1),"")</f>
        <v>Sonstiges Feldfutter 1 Nutzung, kleereich (40-90% Legum.)</v>
      </c>
      <c r="CM133" s="1830"/>
      <c r="CN133" s="1834" t="str">
        <f>IFERROR(INDEX(N_Bedarf!$CE$2:$CE$141,_xlfn.AGGREGATE(15,6,(ROW(N_Bedarf!$CE$2:$CE$141)-1)/(--(SEARCH(CO$2,N_Bedarf!$CE$2:$CE$141)&gt;0)),ROW()-2),1),"")</f>
        <v>Sonstiges Feldfutter 1 Nutzung, kleereich (40-90% Legum.)</v>
      </c>
      <c r="CO133" s="1830"/>
      <c r="CP133" s="1834" t="str">
        <f>IFERROR(INDEX(N_Bedarf!$CE$2:$CE$141,_xlfn.AGGREGATE(15,6,(ROW(N_Bedarf!$CE$2:$CE$141)-1)/(--(SEARCH(CQ$2,N_Bedarf!$CE$2:$CE$141)&gt;0)),ROW()-2),1),"")</f>
        <v>Sonstiges Feldfutter 1 Nutzung, kleereich (40-90% Legum.)</v>
      </c>
      <c r="CQ133" s="1830"/>
      <c r="CR133" s="1834" t="str">
        <f>IFERROR(INDEX(N_Bedarf!$CE$2:$CE$141,_xlfn.AGGREGATE(15,6,(ROW(N_Bedarf!$CE$2:$CE$141)-1)/(--(SEARCH(CS$2,N_Bedarf!$CE$2:$CE$141)&gt;0)),ROW()-2),1),"")</f>
        <v>Sonstiges Feldfutter 1 Nutzung, kleereich (40-90% Legum.)</v>
      </c>
      <c r="CS133" s="1830"/>
      <c r="CT133" s="1834" t="str">
        <f>IFERROR(INDEX(N_Bedarf!$CE$2:$CE$141,_xlfn.AGGREGATE(15,6,(ROW(N_Bedarf!$CE$2:$CE$141)-1)/(--(SEARCH(CU$2,N_Bedarf!$CE$2:$CE$141)&gt;0)),ROW()-2),1),"")</f>
        <v>Sonstiges Feldfutter 1 Nutzung, kleereich (40-90% Legum.)</v>
      </c>
      <c r="CU133" s="1830"/>
      <c r="CV133" s="1834" t="str">
        <f>IFERROR(INDEX(N_Bedarf!$CE$2:$CE$141,_xlfn.AGGREGATE(15,6,(ROW(N_Bedarf!$CE$2:$CE$141)-1)/(--(SEARCH(CW$2,N_Bedarf!$CE$2:$CE$141)&gt;0)),ROW()-2),1),"")</f>
        <v>Sonstiges Feldfutter 1 Nutzung, kleereich (40-90% Legum.)</v>
      </c>
      <c r="CW133" s="1830"/>
      <c r="CX133" s="1834" t="str">
        <f>IFERROR(INDEX(N_Bedarf!$CE$2:$CE$141,_xlfn.AGGREGATE(15,6,(ROW(N_Bedarf!$CE$2:$CE$141)-1)/(--(SEARCH(CY$2,N_Bedarf!$CE$2:$CE$141)&gt;0)),ROW()-2),1),"")</f>
        <v>Sonstiges Feldfutter 1 Nutzung, kleereich (40-90% Legum.)</v>
      </c>
      <c r="CY133" s="1830"/>
      <c r="CZ133" s="1834" t="str">
        <f>IFERROR(INDEX(N_Bedarf!$CE$2:$CE$141,_xlfn.AGGREGATE(15,6,(ROW(N_Bedarf!$CE$2:$CE$141)-1)/(--(SEARCH(DA$2,N_Bedarf!$CE$2:$CE$141)&gt;0)),ROW()-2),1),"")</f>
        <v>Sonstiges Feldfutter 1 Nutzung, kleereich (40-90% Legum.)</v>
      </c>
      <c r="DA133" s="1830"/>
      <c r="DB133" s="1834" t="str">
        <f>IFERROR(INDEX(N_Bedarf!$CE$2:$CE$141,_xlfn.AGGREGATE(15,6,(ROW(N_Bedarf!$CE$2:$CE$141)-1)/(--(SEARCH(DC$2,N_Bedarf!$CE$2:$CE$141)&gt;0)),ROW()-2),1),"")</f>
        <v>Sonstiges Feldfutter 1 Nutzung, kleereich (40-90% Legum.)</v>
      </c>
      <c r="DC133" s="1830"/>
      <c r="DD133" s="1834" t="str">
        <f>IFERROR(INDEX(N_Bedarf!$CE$2:$CE$141,_xlfn.AGGREGATE(15,6,(ROW(N_Bedarf!$CE$2:$CE$141)-1)/(--(SEARCH(DE$2,N_Bedarf!$CE$2:$CE$141)&gt;0)),ROW()-2),1),"")</f>
        <v>Sonstiges Feldfutter 1 Nutzung, kleereich (40-90% Legum.)</v>
      </c>
      <c r="DE133" s="1830"/>
      <c r="DF133" s="2353" t="str">
        <f t="array" ref="DF133">IFERROR(INDEX(N_Bedarf!$CE$2:$CE$141,_xlfn.AGGREGATE(15,6,(ROW(N_Bedarf!$CE$2:$CE$141)-1)/(--(SEARCH(DG$2,N_Bedarf!$CE$2:$CE$141)&gt;0)),ROW()-2),1),"")</f>
        <v>Sonstiges Feldfutter 1 Nutzung, kleereich (40-90% Legum.)</v>
      </c>
      <c r="DG133" s="2353"/>
      <c r="DH133" s="2355" t="str">
        <f t="array" ref="DH133">IFERROR(INDEX(N_Bedarf!$CE$2:$CE$141,_xlfn.AGGREGATE(15,6,(ROW(N_Bedarf!$CE$2:$CE$141)-1)/(--(SEARCH(DI$2,N_Bedarf!$CE$2:$CE$141)&gt;0)),ROW()-2),1),"")</f>
        <v>Sonstiges Feldfutter 1 Nutzung, kleereich (40-90% Legum.)</v>
      </c>
      <c r="DI133" s="2355"/>
      <c r="DJ133" s="2356" t="str">
        <f t="array" ref="DJ133">IFERROR(INDEX(N_Bedarf!$CE$2:$CE$141,_xlfn.AGGREGATE(15,6,(ROW(N_Bedarf!$CE$2:$CE$141)-1)/(--(SEARCH(DK$2,N_Bedarf!$CE$2:$CE$141)&gt;0)),ROW()-2),1),"")</f>
        <v>Sonstiges Feldfutter 1 Nutzung, kleereich (40-90% Legum.)</v>
      </c>
      <c r="DK133" s="2356"/>
      <c r="DL133" s="2356" t="str">
        <f t="array" ref="DL133">IFERROR(INDEX(N_Bedarf!$CE$2:$CE$141,_xlfn.AGGREGATE(15,6,(ROW(N_Bedarf!$CE$2:$CE$141)-1)/(--(SEARCH(DM$2,N_Bedarf!$CE$2:$CE$141)&gt;0)),ROW()-2),1),"")</f>
        <v>Sonstiges Feldfutter 1 Nutzung, kleereich (40-90% Legum.)</v>
      </c>
      <c r="DM133" s="2356"/>
      <c r="DN133" s="2356" t="str">
        <f t="array" ref="DN133">IFERROR(INDEX(N_Bedarf!$CE$2:$CE$141,_xlfn.AGGREGATE(15,6,(ROW(N_Bedarf!$CE$2:$CE$141)-1)/(--(SEARCH(DO$2,N_Bedarf!$CE$2:$CE$141)&gt;0)),ROW()-2),1),"")</f>
        <v>Sonstiges Feldfutter 1 Nutzung, kleereich (40-90% Legum.)</v>
      </c>
      <c r="DO133" s="2356"/>
      <c r="DP133" s="2356" t="str">
        <f t="array" ref="DP133">IFERROR(INDEX(N_Bedarf!$CE$2:$CE$141,_xlfn.AGGREGATE(15,6,(ROW(N_Bedarf!$CE$2:$CE$141)-1)/(--(SEARCH(DQ$2,N_Bedarf!$CE$2:$CE$141)&gt;0)),ROW()-2),1),"")</f>
        <v>Sonstiges Feldfutter 1 Nutzung, kleereich (40-90% Legum.)</v>
      </c>
      <c r="DQ133" s="2356"/>
      <c r="DR133" s="2356" t="str">
        <f t="array" ref="DR133">IFERROR(INDEX(N_Bedarf!$CE$2:$CE$141,_xlfn.AGGREGATE(15,6,(ROW(N_Bedarf!$CE$2:$CE$141)-1)/(--(SEARCH(DS$2,N_Bedarf!$CE$2:$CE$141)&gt;0)),ROW()-2),1),"")</f>
        <v>Sonstiges Feldfutter 1 Nutzung, kleereich (40-90% Legum.)</v>
      </c>
      <c r="DS133" s="2356"/>
      <c r="DT133" s="2356" t="str">
        <f t="array" ref="DT133">IFERROR(INDEX(N_Bedarf!$CE$2:$CE$141,_xlfn.AGGREGATE(15,6,(ROW(N_Bedarf!$CE$2:$CE$141)-1)/(--(SEARCH(DU$2,N_Bedarf!$CE$2:$CE$141)&gt;0)),ROW()-2),1),"")</f>
        <v>Sonstiges Feldfutter 1 Nutzung, kleereich (40-90% Legum.)</v>
      </c>
      <c r="DU133" s="2356"/>
      <c r="DV133" s="2356" t="str">
        <f t="array" ref="DV133">IFERROR(INDEX(N_Bedarf!$CE$2:$CE$141,_xlfn.AGGREGATE(15,6,(ROW(N_Bedarf!$CE$2:$CE$141)-1)/(--(SEARCH(DW$2,N_Bedarf!$CE$2:$CE$141)&gt;0)),ROW()-2),1),"")</f>
        <v>Sonstiges Feldfutter 1 Nutzung, kleereich (40-90% Legum.)</v>
      </c>
      <c r="DW133" s="2356"/>
      <c r="DX133" s="2356" t="str">
        <f t="array" ref="DX133">IFERROR(INDEX(N_Bedarf!$CE$2:$CE$141,_xlfn.AGGREGATE(15,6,(ROW(N_Bedarf!$CE$2:$CE$141)-1)/(--(SEARCH(DY$2,N_Bedarf!$CE$2:$CE$141)&gt;0)),ROW()-2),1),"")</f>
        <v>Sonstiges Feldfutter 1 Nutzung, kleereich (40-90% Legum.)</v>
      </c>
      <c r="DY133" s="2356"/>
      <c r="DZ133" s="2356" t="str">
        <f t="array" ref="DZ133">IFERROR(INDEX(N_Bedarf!$CE$2:$CE$141,_xlfn.AGGREGATE(15,6,(ROW(N_Bedarf!$CE$2:$CE$141)-1)/(--(SEARCH(EA$2,N_Bedarf!$CE$2:$CE$141)&gt;0)),ROW()-2),1),"")</f>
        <v>Sonstiges Feldfutter 1 Nutzung, kleereich (40-90% Legum.)</v>
      </c>
      <c r="EA133" s="2356"/>
      <c r="EB133" s="2356" t="str">
        <f t="array" ref="EB133">IFERROR(INDEX(N_Bedarf!$CE$2:$CE$141,_xlfn.AGGREGATE(15,6,(ROW(N_Bedarf!$CE$2:$CE$141)-1)/(--(SEARCH(EC$2,N_Bedarf!$CE$2:$CE$141)&gt;0)),ROW()-2),1),"")</f>
        <v>Sonstiges Feldfutter 1 Nutzung, kleereich (40-90% Legum.)</v>
      </c>
      <c r="EC133" s="2356"/>
    </row>
    <row r="134" spans="1:291" ht="21" customHeight="1" thickTop="1" thickBot="1">
      <c r="A134" s="156"/>
      <c r="B134" s="156"/>
      <c r="C134" s="1764" t="s">
        <v>1800</v>
      </c>
      <c r="D134" s="1968" t="s">
        <v>33</v>
      </c>
      <c r="E134" s="1766">
        <v>60</v>
      </c>
      <c r="F134" s="1969">
        <v>50</v>
      </c>
      <c r="G134" s="1993" t="s">
        <v>1791</v>
      </c>
      <c r="H134" s="1994">
        <v>60</v>
      </c>
      <c r="I134" s="1995">
        <v>50</v>
      </c>
      <c r="J134" s="1765" t="s">
        <v>1402</v>
      </c>
      <c r="K134" s="1766">
        <v>60</v>
      </c>
      <c r="L134" s="1767">
        <v>50</v>
      </c>
      <c r="M134" s="1765" t="s">
        <v>1403</v>
      </c>
      <c r="N134" s="1766">
        <v>60</v>
      </c>
      <c r="O134" s="1767">
        <v>50</v>
      </c>
      <c r="P134" s="1765" t="s">
        <v>1404</v>
      </c>
      <c r="Q134" s="1766">
        <v>60</v>
      </c>
      <c r="R134" s="1770">
        <v>50</v>
      </c>
      <c r="S134" s="1762">
        <v>100</v>
      </c>
      <c r="T134" s="1766">
        <v>100</v>
      </c>
      <c r="U134" s="1760">
        <v>100</v>
      </c>
      <c r="V134" s="1759">
        <v>80</v>
      </c>
      <c r="W134" s="1766">
        <v>80</v>
      </c>
      <c r="X134" s="1760">
        <v>80</v>
      </c>
      <c r="Y134" s="2012">
        <v>60</v>
      </c>
      <c r="Z134" s="2010">
        <v>65</v>
      </c>
      <c r="AA134" s="2013">
        <v>75</v>
      </c>
      <c r="AB134" s="1872" t="s">
        <v>1388</v>
      </c>
      <c r="AC134" s="1769" t="s">
        <v>1389</v>
      </c>
      <c r="AD134" s="1762">
        <v>75</v>
      </c>
      <c r="AE134" s="1766">
        <v>75</v>
      </c>
      <c r="AF134" s="1760">
        <v>75</v>
      </c>
      <c r="AG134" s="1759">
        <v>65</v>
      </c>
      <c r="AH134" s="1766">
        <v>65</v>
      </c>
      <c r="AI134" s="1760">
        <v>65</v>
      </c>
      <c r="AJ134" s="2012">
        <v>45</v>
      </c>
      <c r="AK134" s="2010">
        <v>50</v>
      </c>
      <c r="AL134" s="2013">
        <v>60</v>
      </c>
      <c r="AM134" s="1872" t="s">
        <v>1390</v>
      </c>
      <c r="AN134" s="1769" t="s">
        <v>1389</v>
      </c>
      <c r="AO134" s="156"/>
      <c r="AP134" s="156"/>
      <c r="AU134"/>
      <c r="AV134"/>
      <c r="AW134"/>
      <c r="AX134" s="1722" t="s">
        <v>1943</v>
      </c>
      <c r="AY134" s="681">
        <v>280</v>
      </c>
      <c r="AZ134" s="681">
        <v>280</v>
      </c>
      <c r="BA134" s="681" t="s">
        <v>2587</v>
      </c>
      <c r="BB134" s="681">
        <v>280</v>
      </c>
      <c r="BC134" s="681">
        <v>280</v>
      </c>
      <c r="BD134" s="681" t="s">
        <v>2587</v>
      </c>
      <c r="BE134" s="681">
        <v>280</v>
      </c>
      <c r="BF134" s="681">
        <v>280</v>
      </c>
      <c r="BG134" s="681" t="s">
        <v>2587</v>
      </c>
      <c r="BH134" s="681">
        <v>280</v>
      </c>
      <c r="BI134" s="681">
        <v>280</v>
      </c>
      <c r="BJ134" s="681" t="s">
        <v>2587</v>
      </c>
      <c r="BK134" s="681">
        <v>280</v>
      </c>
      <c r="BL134" s="681">
        <v>280</v>
      </c>
      <c r="BM134" s="681" t="s">
        <v>2587</v>
      </c>
      <c r="BN134" s="471">
        <v>0</v>
      </c>
      <c r="BO134" s="821">
        <v>30</v>
      </c>
      <c r="BP134"/>
      <c r="BQ134" s="1722" t="s">
        <v>1943</v>
      </c>
      <c r="BR134" s="470">
        <v>120</v>
      </c>
      <c r="BS134" s="470">
        <v>120</v>
      </c>
      <c r="BT134" s="470">
        <v>120</v>
      </c>
      <c r="BV134" s="1722" t="s">
        <v>1943</v>
      </c>
      <c r="BW134" s="470">
        <v>340</v>
      </c>
      <c r="BX134" s="470">
        <v>340</v>
      </c>
      <c r="BY134" s="470">
        <v>340</v>
      </c>
      <c r="CB134" s="428"/>
      <c r="CC134" s="428"/>
      <c r="CD134" s="428"/>
      <c r="CE134" s="2310" t="s">
        <v>1938</v>
      </c>
      <c r="CF134" s="1834" t="str">
        <f>IFERROR(INDEX(N_Bedarf!$CE$2:$CE$141,_xlfn.AGGREGATE(15,6,(ROW(N_Bedarf!$CE$2:$CE$141)-1)/(--(SEARCH(CG$2,N_Bedarf!$CE$2:$CE$141)&gt;0)),ROW()-2),1),"")</f>
        <v>Sonstiges Feldfutter 2 Nutzungen, kleereich (40-90% Legum.)</v>
      </c>
      <c r="CG134" s="1836"/>
      <c r="CH134" s="1834" t="str">
        <f>IFERROR(INDEX(N_Bedarf!$CE$2:$CE$141,_xlfn.AGGREGATE(15,6,(ROW(N_Bedarf!$CE$2:$CE$141)-1)/(--(SEARCH(CI$2,N_Bedarf!$CE$2:$CE$141)&gt;0)),ROW()-2),1),"")</f>
        <v>Sonstiges Feldfutter 2 Nutzungen, kleereich (40-90% Legum.)</v>
      </c>
      <c r="CI134" s="1836"/>
      <c r="CJ134" s="1834" t="str">
        <f>IFERROR(INDEX(N_Bedarf!$CE$2:$CE$141,_xlfn.AGGREGATE(15,6,(ROW(N_Bedarf!$CE$2:$CE$141)-1)/(--(SEARCH(CK$2,N_Bedarf!$CE$2:$CE$141)&gt;0)),ROW()-2),1),"")</f>
        <v>Sonstiges Feldfutter 2 Nutzungen, kleereich (40-90% Legum.)</v>
      </c>
      <c r="CK134" s="1836"/>
      <c r="CL134" s="1834" t="str">
        <f>IFERROR(INDEX(N_Bedarf!$CE$2:$CE$141,_xlfn.AGGREGATE(15,6,(ROW(N_Bedarf!$CE$2:$CE$141)-1)/(--(SEARCH(CM$2,N_Bedarf!$CE$2:$CE$141)&gt;0)),ROW()-2),1),"")</f>
        <v>Sonstiges Feldfutter 2 Nutzungen, kleereich (40-90% Legum.)</v>
      </c>
      <c r="CM134" s="1836"/>
      <c r="CN134" s="1834" t="str">
        <f>IFERROR(INDEX(N_Bedarf!$CE$2:$CE$141,_xlfn.AGGREGATE(15,6,(ROW(N_Bedarf!$CE$2:$CE$141)-1)/(--(SEARCH(CO$2,N_Bedarf!$CE$2:$CE$141)&gt;0)),ROW()-2),1),"")</f>
        <v>Sonstiges Feldfutter 2 Nutzungen, kleereich (40-90% Legum.)</v>
      </c>
      <c r="CO134" s="1836"/>
      <c r="CP134" s="1834" t="str">
        <f>IFERROR(INDEX(N_Bedarf!$CE$2:$CE$141,_xlfn.AGGREGATE(15,6,(ROW(N_Bedarf!$CE$2:$CE$141)-1)/(--(SEARCH(CQ$2,N_Bedarf!$CE$2:$CE$141)&gt;0)),ROW()-2),1),"")</f>
        <v>Sonstiges Feldfutter 2 Nutzungen, kleereich (40-90% Legum.)</v>
      </c>
      <c r="CQ134" s="1836"/>
      <c r="CR134" s="1834" t="str">
        <f>IFERROR(INDEX(N_Bedarf!$CE$2:$CE$141,_xlfn.AGGREGATE(15,6,(ROW(N_Bedarf!$CE$2:$CE$141)-1)/(--(SEARCH(CS$2,N_Bedarf!$CE$2:$CE$141)&gt;0)),ROW()-2),1),"")</f>
        <v>Sonstiges Feldfutter 2 Nutzungen, kleereich (40-90% Legum.)</v>
      </c>
      <c r="CS134" s="1836"/>
      <c r="CT134" s="1834" t="str">
        <f>IFERROR(INDEX(N_Bedarf!$CE$2:$CE$141,_xlfn.AGGREGATE(15,6,(ROW(N_Bedarf!$CE$2:$CE$141)-1)/(--(SEARCH(CU$2,N_Bedarf!$CE$2:$CE$141)&gt;0)),ROW()-2),1),"")</f>
        <v>Sonstiges Feldfutter 2 Nutzungen, kleereich (40-90% Legum.)</v>
      </c>
      <c r="CU134" s="1836"/>
      <c r="CV134" s="1834" t="str">
        <f>IFERROR(INDEX(N_Bedarf!$CE$2:$CE$141,_xlfn.AGGREGATE(15,6,(ROW(N_Bedarf!$CE$2:$CE$141)-1)/(--(SEARCH(CW$2,N_Bedarf!$CE$2:$CE$141)&gt;0)),ROW()-2),1),"")</f>
        <v>Sonstiges Feldfutter 2 Nutzungen, kleereich (40-90% Legum.)</v>
      </c>
      <c r="CW134" s="1836"/>
      <c r="CX134" s="1834" t="str">
        <f>IFERROR(INDEX(N_Bedarf!$CE$2:$CE$141,_xlfn.AGGREGATE(15,6,(ROW(N_Bedarf!$CE$2:$CE$141)-1)/(--(SEARCH(CY$2,N_Bedarf!$CE$2:$CE$141)&gt;0)),ROW()-2),1),"")</f>
        <v>Sonstiges Feldfutter 2 Nutzungen, kleereich (40-90% Legum.)</v>
      </c>
      <c r="CY134" s="1836"/>
      <c r="CZ134" s="1834" t="str">
        <f>IFERROR(INDEX(N_Bedarf!$CE$2:$CE$141,_xlfn.AGGREGATE(15,6,(ROW(N_Bedarf!$CE$2:$CE$141)-1)/(--(SEARCH(DA$2,N_Bedarf!$CE$2:$CE$141)&gt;0)),ROW()-2),1),"")</f>
        <v>Sonstiges Feldfutter 2 Nutzungen, kleereich (40-90% Legum.)</v>
      </c>
      <c r="DA134" s="1836"/>
      <c r="DB134" s="1834" t="str">
        <f>IFERROR(INDEX(N_Bedarf!$CE$2:$CE$141,_xlfn.AGGREGATE(15,6,(ROW(N_Bedarf!$CE$2:$CE$141)-1)/(--(SEARCH(DC$2,N_Bedarf!$CE$2:$CE$141)&gt;0)),ROW()-2),1),"")</f>
        <v>Sonstiges Feldfutter 2 Nutzungen, kleereich (40-90% Legum.)</v>
      </c>
      <c r="DC134" s="1836"/>
      <c r="DD134" s="1834" t="str">
        <f>IFERROR(INDEX(N_Bedarf!$CE$2:$CE$141,_xlfn.AGGREGATE(15,6,(ROW(N_Bedarf!$CE$2:$CE$141)-1)/(--(SEARCH(DE$2,N_Bedarf!$CE$2:$CE$141)&gt;0)),ROW()-2),1),"")</f>
        <v>Sonstiges Feldfutter 2 Nutzungen, kleereich (40-90% Legum.)</v>
      </c>
      <c r="DE134" s="1836"/>
      <c r="DF134" s="2353" t="str">
        <f t="array" ref="DF134">IFERROR(INDEX(N_Bedarf!$CE$2:$CE$141,_xlfn.AGGREGATE(15,6,(ROW(N_Bedarf!$CE$2:$CE$141)-1)/(--(SEARCH(DG$2,N_Bedarf!$CE$2:$CE$141)&gt;0)),ROW()-2),1),"")</f>
        <v>Sonstiges Feldfutter 2 Nutzungen, kleereich (40-90% Legum.)</v>
      </c>
      <c r="DG134" s="2353"/>
      <c r="DH134" s="2355" t="str">
        <f t="array" ref="DH134">IFERROR(INDEX(N_Bedarf!$CE$2:$CE$141,_xlfn.AGGREGATE(15,6,(ROW(N_Bedarf!$CE$2:$CE$141)-1)/(--(SEARCH(DI$2,N_Bedarf!$CE$2:$CE$141)&gt;0)),ROW()-2),1),"")</f>
        <v>Sonstiges Feldfutter 2 Nutzungen, kleereich (40-90% Legum.)</v>
      </c>
      <c r="DI134" s="2355"/>
      <c r="DJ134" s="2356" t="str">
        <f t="array" ref="DJ134">IFERROR(INDEX(N_Bedarf!$CE$2:$CE$141,_xlfn.AGGREGATE(15,6,(ROW(N_Bedarf!$CE$2:$CE$141)-1)/(--(SEARCH(DK$2,N_Bedarf!$CE$2:$CE$141)&gt;0)),ROW()-2),1),"")</f>
        <v>Sonstiges Feldfutter 2 Nutzungen, kleereich (40-90% Legum.)</v>
      </c>
      <c r="DK134" s="2356"/>
      <c r="DL134" s="2356" t="str">
        <f t="array" ref="DL134">IFERROR(INDEX(N_Bedarf!$CE$2:$CE$141,_xlfn.AGGREGATE(15,6,(ROW(N_Bedarf!$CE$2:$CE$141)-1)/(--(SEARCH(DM$2,N_Bedarf!$CE$2:$CE$141)&gt;0)),ROW()-2),1),"")</f>
        <v>Sonstiges Feldfutter 2 Nutzungen, kleereich (40-90% Legum.)</v>
      </c>
      <c r="DM134" s="2356"/>
      <c r="DN134" s="2356" t="str">
        <f t="array" ref="DN134">IFERROR(INDEX(N_Bedarf!$CE$2:$CE$141,_xlfn.AGGREGATE(15,6,(ROW(N_Bedarf!$CE$2:$CE$141)-1)/(--(SEARCH(DO$2,N_Bedarf!$CE$2:$CE$141)&gt;0)),ROW()-2),1),"")</f>
        <v>Sonstiges Feldfutter 2 Nutzungen, kleereich (40-90% Legum.)</v>
      </c>
      <c r="DO134" s="2356"/>
      <c r="DP134" s="2356" t="str">
        <f t="array" ref="DP134">IFERROR(INDEX(N_Bedarf!$CE$2:$CE$141,_xlfn.AGGREGATE(15,6,(ROW(N_Bedarf!$CE$2:$CE$141)-1)/(--(SEARCH(DQ$2,N_Bedarf!$CE$2:$CE$141)&gt;0)),ROW()-2),1),"")</f>
        <v>Sonstiges Feldfutter 2 Nutzungen, kleereich (40-90% Legum.)</v>
      </c>
      <c r="DQ134" s="2356"/>
      <c r="DR134" s="2356" t="str">
        <f t="array" ref="DR134">IFERROR(INDEX(N_Bedarf!$CE$2:$CE$141,_xlfn.AGGREGATE(15,6,(ROW(N_Bedarf!$CE$2:$CE$141)-1)/(--(SEARCH(DS$2,N_Bedarf!$CE$2:$CE$141)&gt;0)),ROW()-2),1),"")</f>
        <v>Sonstiges Feldfutter 2 Nutzungen, kleereich (40-90% Legum.)</v>
      </c>
      <c r="DS134" s="2356"/>
      <c r="DT134" s="2356" t="str">
        <f t="array" ref="DT134">IFERROR(INDEX(N_Bedarf!$CE$2:$CE$141,_xlfn.AGGREGATE(15,6,(ROW(N_Bedarf!$CE$2:$CE$141)-1)/(--(SEARCH(DU$2,N_Bedarf!$CE$2:$CE$141)&gt;0)),ROW()-2),1),"")</f>
        <v>Sonstiges Feldfutter 2 Nutzungen, kleereich (40-90% Legum.)</v>
      </c>
      <c r="DU134" s="2356"/>
      <c r="DV134" s="2356" t="str">
        <f t="array" ref="DV134">IFERROR(INDEX(N_Bedarf!$CE$2:$CE$141,_xlfn.AGGREGATE(15,6,(ROW(N_Bedarf!$CE$2:$CE$141)-1)/(--(SEARCH(DW$2,N_Bedarf!$CE$2:$CE$141)&gt;0)),ROW()-2),1),"")</f>
        <v>Sonstiges Feldfutter 2 Nutzungen, kleereich (40-90% Legum.)</v>
      </c>
      <c r="DW134" s="2356"/>
      <c r="DX134" s="2356" t="str">
        <f t="array" ref="DX134">IFERROR(INDEX(N_Bedarf!$CE$2:$CE$141,_xlfn.AGGREGATE(15,6,(ROW(N_Bedarf!$CE$2:$CE$141)-1)/(--(SEARCH(DY$2,N_Bedarf!$CE$2:$CE$141)&gt;0)),ROW()-2),1),"")</f>
        <v>Sonstiges Feldfutter 2 Nutzungen, kleereich (40-90% Legum.)</v>
      </c>
      <c r="DY134" s="2356"/>
      <c r="DZ134" s="2356" t="str">
        <f t="array" ref="DZ134">IFERROR(INDEX(N_Bedarf!$CE$2:$CE$141,_xlfn.AGGREGATE(15,6,(ROW(N_Bedarf!$CE$2:$CE$141)-1)/(--(SEARCH(EA$2,N_Bedarf!$CE$2:$CE$141)&gt;0)),ROW()-2),1),"")</f>
        <v>Sonstiges Feldfutter 2 Nutzungen, kleereich (40-90% Legum.)</v>
      </c>
      <c r="EA134" s="2356"/>
      <c r="EB134" s="2356" t="str">
        <f t="array" ref="EB134">IFERROR(INDEX(N_Bedarf!$CE$2:$CE$141,_xlfn.AGGREGATE(15,6,(ROW(N_Bedarf!$CE$2:$CE$141)-1)/(--(SEARCH(EC$2,N_Bedarf!$CE$2:$CE$141)&gt;0)),ROW()-2),1),"")</f>
        <v>Sonstiges Feldfutter 2 Nutzungen, kleereich (40-90% Legum.)</v>
      </c>
      <c r="EC134" s="2356"/>
    </row>
    <row r="135" spans="1:291" ht="21" customHeight="1" thickTop="1" thickBot="1">
      <c r="A135" s="156"/>
      <c r="B135" s="156"/>
      <c r="C135" s="1758" t="s">
        <v>35</v>
      </c>
      <c r="D135" s="2340" t="s">
        <v>596</v>
      </c>
      <c r="E135" s="2341"/>
      <c r="F135" s="2341"/>
      <c r="G135" s="2341"/>
      <c r="H135" s="2341"/>
      <c r="I135" s="2341"/>
      <c r="J135" s="2341"/>
      <c r="K135" s="2341"/>
      <c r="L135" s="2341"/>
      <c r="M135" s="2341"/>
      <c r="N135" s="2341"/>
      <c r="O135" s="2341"/>
      <c r="P135" s="2341"/>
      <c r="Q135" s="2341"/>
      <c r="R135" s="2342"/>
      <c r="S135" s="1762">
        <v>85</v>
      </c>
      <c r="T135" s="1729">
        <v>85</v>
      </c>
      <c r="U135" s="1760">
        <v>85</v>
      </c>
      <c r="V135" s="1759">
        <v>70</v>
      </c>
      <c r="W135" s="1729">
        <v>70</v>
      </c>
      <c r="X135" s="1760">
        <v>70</v>
      </c>
      <c r="Y135" s="2009">
        <v>50</v>
      </c>
      <c r="Z135" s="2010">
        <v>55</v>
      </c>
      <c r="AA135" s="2011">
        <v>65</v>
      </c>
      <c r="AB135" s="1871" t="s">
        <v>1388</v>
      </c>
      <c r="AC135" s="1763" t="s">
        <v>1389</v>
      </c>
      <c r="AD135" s="1762">
        <v>120</v>
      </c>
      <c r="AE135" s="1729">
        <v>120</v>
      </c>
      <c r="AF135" s="1760">
        <v>120</v>
      </c>
      <c r="AG135" s="1759">
        <v>100</v>
      </c>
      <c r="AH135" s="1729">
        <v>100</v>
      </c>
      <c r="AI135" s="1760">
        <v>100</v>
      </c>
      <c r="AJ135" s="2009">
        <v>70</v>
      </c>
      <c r="AK135" s="2010">
        <v>80</v>
      </c>
      <c r="AL135" s="2011">
        <v>90</v>
      </c>
      <c r="AM135" s="1871" t="s">
        <v>1390</v>
      </c>
      <c r="AN135" s="1763" t="s">
        <v>1389</v>
      </c>
      <c r="AO135" s="156"/>
      <c r="AP135" s="156"/>
      <c r="AU135"/>
      <c r="AV135"/>
      <c r="AW135"/>
      <c r="AX135" s="1722" t="s">
        <v>1934</v>
      </c>
      <c r="AY135" s="681">
        <v>40</v>
      </c>
      <c r="AZ135" s="681">
        <v>40</v>
      </c>
      <c r="BA135" s="681" t="s">
        <v>2694</v>
      </c>
      <c r="BB135" s="681">
        <v>40</v>
      </c>
      <c r="BC135" s="681">
        <v>40</v>
      </c>
      <c r="BD135" s="681" t="s">
        <v>2581</v>
      </c>
      <c r="BE135" s="681">
        <v>40</v>
      </c>
      <c r="BF135" s="681">
        <v>40</v>
      </c>
      <c r="BG135" s="681" t="s">
        <v>2581</v>
      </c>
      <c r="BH135" s="681">
        <v>40</v>
      </c>
      <c r="BI135" s="681">
        <v>40</v>
      </c>
      <c r="BJ135" s="681" t="s">
        <v>2581</v>
      </c>
      <c r="BK135" s="681">
        <v>40</v>
      </c>
      <c r="BL135" s="681">
        <v>40</v>
      </c>
      <c r="BM135" s="681" t="s">
        <v>2581</v>
      </c>
      <c r="BN135" s="471">
        <v>0</v>
      </c>
      <c r="BO135" s="821">
        <v>40</v>
      </c>
      <c r="BP135"/>
      <c r="BQ135" s="1722" t="s">
        <v>1934</v>
      </c>
      <c r="BR135" s="470">
        <v>15</v>
      </c>
      <c r="BS135" s="470">
        <v>30</v>
      </c>
      <c r="BT135" s="470">
        <v>30</v>
      </c>
      <c r="BV135" s="1722" t="s">
        <v>1934</v>
      </c>
      <c r="BW135" s="470">
        <v>45</v>
      </c>
      <c r="BX135" s="470">
        <v>80</v>
      </c>
      <c r="BY135" s="470">
        <v>80</v>
      </c>
      <c r="CB135" s="428"/>
      <c r="CC135" s="428"/>
      <c r="CD135" s="428"/>
      <c r="CE135" s="2310" t="s">
        <v>1940</v>
      </c>
      <c r="CF135" s="1834" t="str">
        <f>IFERROR(INDEX(N_Bedarf!$CE$2:$CE$141,_xlfn.AGGREGATE(15,6,(ROW(N_Bedarf!$CE$2:$CE$141)-1)/(--(SEARCH(CG$2,N_Bedarf!$CE$2:$CE$141)&gt;0)),ROW()-2),1),"")</f>
        <v>Sonstiges Feldfutter 3 Nutzungen, kleereich (40-90% Legum.)</v>
      </c>
      <c r="CG135" s="1830"/>
      <c r="CH135" s="1834" t="str">
        <f>IFERROR(INDEX(N_Bedarf!$CE$2:$CE$141,_xlfn.AGGREGATE(15,6,(ROW(N_Bedarf!$CE$2:$CE$141)-1)/(--(SEARCH(CI$2,N_Bedarf!$CE$2:$CE$141)&gt;0)),ROW()-2),1),"")</f>
        <v>Sonstiges Feldfutter 3 Nutzungen, kleereich (40-90% Legum.)</v>
      </c>
      <c r="CI135" s="1830"/>
      <c r="CJ135" s="1834" t="str">
        <f>IFERROR(INDEX(N_Bedarf!$CE$2:$CE$141,_xlfn.AGGREGATE(15,6,(ROW(N_Bedarf!$CE$2:$CE$141)-1)/(--(SEARCH(CK$2,N_Bedarf!$CE$2:$CE$141)&gt;0)),ROW()-2),1),"")</f>
        <v>Sonstiges Feldfutter 3 Nutzungen, kleereich (40-90% Legum.)</v>
      </c>
      <c r="CK135" s="1830"/>
      <c r="CL135" s="1834" t="str">
        <f>IFERROR(INDEX(N_Bedarf!$CE$2:$CE$141,_xlfn.AGGREGATE(15,6,(ROW(N_Bedarf!$CE$2:$CE$141)-1)/(--(SEARCH(CM$2,N_Bedarf!$CE$2:$CE$141)&gt;0)),ROW()-2),1),"")</f>
        <v>Sonstiges Feldfutter 3 Nutzungen, kleereich (40-90% Legum.)</v>
      </c>
      <c r="CM135" s="1830"/>
      <c r="CN135" s="1834" t="str">
        <f>IFERROR(INDEX(N_Bedarf!$CE$2:$CE$141,_xlfn.AGGREGATE(15,6,(ROW(N_Bedarf!$CE$2:$CE$141)-1)/(--(SEARCH(CO$2,N_Bedarf!$CE$2:$CE$141)&gt;0)),ROW()-2),1),"")</f>
        <v>Sonstiges Feldfutter 3 Nutzungen, kleereich (40-90% Legum.)</v>
      </c>
      <c r="CO135" s="1830"/>
      <c r="CP135" s="1834" t="str">
        <f>IFERROR(INDEX(N_Bedarf!$CE$2:$CE$141,_xlfn.AGGREGATE(15,6,(ROW(N_Bedarf!$CE$2:$CE$141)-1)/(--(SEARCH(CQ$2,N_Bedarf!$CE$2:$CE$141)&gt;0)),ROW()-2),1),"")</f>
        <v>Sonstiges Feldfutter 3 Nutzungen, kleereich (40-90% Legum.)</v>
      </c>
      <c r="CQ135" s="1830"/>
      <c r="CR135" s="1834" t="str">
        <f>IFERROR(INDEX(N_Bedarf!$CE$2:$CE$141,_xlfn.AGGREGATE(15,6,(ROW(N_Bedarf!$CE$2:$CE$141)-1)/(--(SEARCH(CS$2,N_Bedarf!$CE$2:$CE$141)&gt;0)),ROW()-2),1),"")</f>
        <v>Sonstiges Feldfutter 3 Nutzungen, kleereich (40-90% Legum.)</v>
      </c>
      <c r="CS135" s="1830"/>
      <c r="CT135" s="1834" t="str">
        <f>IFERROR(INDEX(N_Bedarf!$CE$2:$CE$141,_xlfn.AGGREGATE(15,6,(ROW(N_Bedarf!$CE$2:$CE$141)-1)/(--(SEARCH(CU$2,N_Bedarf!$CE$2:$CE$141)&gt;0)),ROW()-2),1),"")</f>
        <v>Sonstiges Feldfutter 3 Nutzungen, kleereich (40-90% Legum.)</v>
      </c>
      <c r="CU135" s="1830"/>
      <c r="CV135" s="1834" t="str">
        <f>IFERROR(INDEX(N_Bedarf!$CE$2:$CE$141,_xlfn.AGGREGATE(15,6,(ROW(N_Bedarf!$CE$2:$CE$141)-1)/(--(SEARCH(CW$2,N_Bedarf!$CE$2:$CE$141)&gt;0)),ROW()-2),1),"")</f>
        <v>Sonstiges Feldfutter 3 Nutzungen, kleereich (40-90% Legum.)</v>
      </c>
      <c r="CW135" s="1830"/>
      <c r="CX135" s="1834" t="str">
        <f>IFERROR(INDEX(N_Bedarf!$CE$2:$CE$141,_xlfn.AGGREGATE(15,6,(ROW(N_Bedarf!$CE$2:$CE$141)-1)/(--(SEARCH(CY$2,N_Bedarf!$CE$2:$CE$141)&gt;0)),ROW()-2),1),"")</f>
        <v>Sonstiges Feldfutter 3 Nutzungen, kleereich (40-90% Legum.)</v>
      </c>
      <c r="CY135" s="1830"/>
      <c r="CZ135" s="1834" t="str">
        <f>IFERROR(INDEX(N_Bedarf!$CE$2:$CE$141,_xlfn.AGGREGATE(15,6,(ROW(N_Bedarf!$CE$2:$CE$141)-1)/(--(SEARCH(DA$2,N_Bedarf!$CE$2:$CE$141)&gt;0)),ROW()-2),1),"")</f>
        <v>Sonstiges Feldfutter 3 Nutzungen, kleereich (40-90% Legum.)</v>
      </c>
      <c r="DA135" s="1830"/>
      <c r="DB135" s="1834" t="str">
        <f>IFERROR(INDEX(N_Bedarf!$CE$2:$CE$141,_xlfn.AGGREGATE(15,6,(ROW(N_Bedarf!$CE$2:$CE$141)-1)/(--(SEARCH(DC$2,N_Bedarf!$CE$2:$CE$141)&gt;0)),ROW()-2),1),"")</f>
        <v>Sonstiges Feldfutter 3 Nutzungen, kleereich (40-90% Legum.)</v>
      </c>
      <c r="DC135" s="1830"/>
      <c r="DD135" s="1834" t="str">
        <f>IFERROR(INDEX(N_Bedarf!$CE$2:$CE$141,_xlfn.AGGREGATE(15,6,(ROW(N_Bedarf!$CE$2:$CE$141)-1)/(--(SEARCH(DE$2,N_Bedarf!$CE$2:$CE$141)&gt;0)),ROW()-2),1),"")</f>
        <v>Sonstiges Feldfutter 3 Nutzungen, kleereich (40-90% Legum.)</v>
      </c>
      <c r="DE135" s="1830"/>
      <c r="DF135" s="2353" t="str">
        <f t="array" ref="DF135">IFERROR(INDEX(N_Bedarf!$CE$2:$CE$141,_xlfn.AGGREGATE(15,6,(ROW(N_Bedarf!$CE$2:$CE$141)-1)/(--(SEARCH(DG$2,N_Bedarf!$CE$2:$CE$141)&gt;0)),ROW()-2),1),"")</f>
        <v>Sonstiges Feldfutter 3 Nutzungen, kleereich (40-90% Legum.)</v>
      </c>
      <c r="DG135" s="2353"/>
      <c r="DH135" s="2355" t="str">
        <f t="array" ref="DH135">IFERROR(INDEX(N_Bedarf!$CE$2:$CE$141,_xlfn.AGGREGATE(15,6,(ROW(N_Bedarf!$CE$2:$CE$141)-1)/(--(SEARCH(DI$2,N_Bedarf!$CE$2:$CE$141)&gt;0)),ROW()-2),1),"")</f>
        <v>Sonstiges Feldfutter 3 Nutzungen, kleereich (40-90% Legum.)</v>
      </c>
      <c r="DI135" s="2355"/>
      <c r="DJ135" s="2356" t="str">
        <f t="array" ref="DJ135">IFERROR(INDEX(N_Bedarf!$CE$2:$CE$141,_xlfn.AGGREGATE(15,6,(ROW(N_Bedarf!$CE$2:$CE$141)-1)/(--(SEARCH(DK$2,N_Bedarf!$CE$2:$CE$141)&gt;0)),ROW()-2),1),"")</f>
        <v>Sonstiges Feldfutter 3 Nutzungen, kleereich (40-90% Legum.)</v>
      </c>
      <c r="DK135" s="2356"/>
      <c r="DL135" s="2356" t="str">
        <f t="array" ref="DL135">IFERROR(INDEX(N_Bedarf!$CE$2:$CE$141,_xlfn.AGGREGATE(15,6,(ROW(N_Bedarf!$CE$2:$CE$141)-1)/(--(SEARCH(DM$2,N_Bedarf!$CE$2:$CE$141)&gt;0)),ROW()-2),1),"")</f>
        <v>Sonstiges Feldfutter 3 Nutzungen, kleereich (40-90% Legum.)</v>
      </c>
      <c r="DM135" s="2356"/>
      <c r="DN135" s="2356" t="str">
        <f t="array" ref="DN135">IFERROR(INDEX(N_Bedarf!$CE$2:$CE$141,_xlfn.AGGREGATE(15,6,(ROW(N_Bedarf!$CE$2:$CE$141)-1)/(--(SEARCH(DO$2,N_Bedarf!$CE$2:$CE$141)&gt;0)),ROW()-2),1),"")</f>
        <v>Sonstiges Feldfutter 3 Nutzungen, kleereich (40-90% Legum.)</v>
      </c>
      <c r="DO135" s="2356"/>
      <c r="DP135" s="2356" t="str">
        <f t="array" ref="DP135">IFERROR(INDEX(N_Bedarf!$CE$2:$CE$141,_xlfn.AGGREGATE(15,6,(ROW(N_Bedarf!$CE$2:$CE$141)-1)/(--(SEARCH(DQ$2,N_Bedarf!$CE$2:$CE$141)&gt;0)),ROW()-2),1),"")</f>
        <v>Sonstiges Feldfutter 3 Nutzungen, kleereich (40-90% Legum.)</v>
      </c>
      <c r="DQ135" s="2356"/>
      <c r="DR135" s="2356" t="str">
        <f t="array" ref="DR135">IFERROR(INDEX(N_Bedarf!$CE$2:$CE$141,_xlfn.AGGREGATE(15,6,(ROW(N_Bedarf!$CE$2:$CE$141)-1)/(--(SEARCH(DS$2,N_Bedarf!$CE$2:$CE$141)&gt;0)),ROW()-2),1),"")</f>
        <v>Sonstiges Feldfutter 3 Nutzungen, kleereich (40-90% Legum.)</v>
      </c>
      <c r="DS135" s="2356"/>
      <c r="DT135" s="2356" t="str">
        <f t="array" ref="DT135">IFERROR(INDEX(N_Bedarf!$CE$2:$CE$141,_xlfn.AGGREGATE(15,6,(ROW(N_Bedarf!$CE$2:$CE$141)-1)/(--(SEARCH(DU$2,N_Bedarf!$CE$2:$CE$141)&gt;0)),ROW()-2),1),"")</f>
        <v>Sonstiges Feldfutter 3 Nutzungen, kleereich (40-90% Legum.)</v>
      </c>
      <c r="DU135" s="2356"/>
      <c r="DV135" s="2356" t="str">
        <f t="array" ref="DV135">IFERROR(INDEX(N_Bedarf!$CE$2:$CE$141,_xlfn.AGGREGATE(15,6,(ROW(N_Bedarf!$CE$2:$CE$141)-1)/(--(SEARCH(DW$2,N_Bedarf!$CE$2:$CE$141)&gt;0)),ROW()-2),1),"")</f>
        <v>Sonstiges Feldfutter 3 Nutzungen, kleereich (40-90% Legum.)</v>
      </c>
      <c r="DW135" s="2356"/>
      <c r="DX135" s="2356" t="str">
        <f t="array" ref="DX135">IFERROR(INDEX(N_Bedarf!$CE$2:$CE$141,_xlfn.AGGREGATE(15,6,(ROW(N_Bedarf!$CE$2:$CE$141)-1)/(--(SEARCH(DY$2,N_Bedarf!$CE$2:$CE$141)&gt;0)),ROW()-2),1),"")</f>
        <v>Sonstiges Feldfutter 3 Nutzungen, kleereich (40-90% Legum.)</v>
      </c>
      <c r="DY135" s="2356"/>
      <c r="DZ135" s="2356" t="str">
        <f t="array" ref="DZ135">IFERROR(INDEX(N_Bedarf!$CE$2:$CE$141,_xlfn.AGGREGATE(15,6,(ROW(N_Bedarf!$CE$2:$CE$141)-1)/(--(SEARCH(EA$2,N_Bedarf!$CE$2:$CE$141)&gt;0)),ROW()-2),1),"")</f>
        <v>Sonstiges Feldfutter 3 Nutzungen, kleereich (40-90% Legum.)</v>
      </c>
      <c r="EA135" s="2356"/>
      <c r="EB135" s="2356" t="str">
        <f t="array" ref="EB135">IFERROR(INDEX(N_Bedarf!$CE$2:$CE$141,_xlfn.AGGREGATE(15,6,(ROW(N_Bedarf!$CE$2:$CE$141)-1)/(--(SEARCH(EC$2,N_Bedarf!$CE$2:$CE$141)&gt;0)),ROW()-2),1),"")</f>
        <v>Sonstiges Feldfutter 3 Nutzungen, kleereich (40-90% Legum.)</v>
      </c>
      <c r="EC135" s="2356"/>
    </row>
    <row r="136" spans="1:291" ht="21" customHeight="1" thickTop="1" thickBot="1">
      <c r="A136" s="156"/>
      <c r="B136" s="156"/>
      <c r="C136" s="1758" t="s">
        <v>1715</v>
      </c>
      <c r="D136" s="1759" t="s">
        <v>126</v>
      </c>
      <c r="E136" s="1729">
        <v>65</v>
      </c>
      <c r="F136" s="1760">
        <v>55</v>
      </c>
      <c r="G136" s="1993" t="s">
        <v>127</v>
      </c>
      <c r="H136" s="1994">
        <v>90</v>
      </c>
      <c r="I136" s="1995">
        <v>75</v>
      </c>
      <c r="J136" s="1759" t="s">
        <v>1778</v>
      </c>
      <c r="K136" s="1729">
        <v>105</v>
      </c>
      <c r="L136" s="1760">
        <v>90</v>
      </c>
      <c r="M136" s="1759" t="s">
        <v>1801</v>
      </c>
      <c r="N136" s="1729">
        <v>110</v>
      </c>
      <c r="O136" s="1760">
        <v>95</v>
      </c>
      <c r="P136" s="1759" t="s">
        <v>1802</v>
      </c>
      <c r="Q136" s="1729">
        <v>120</v>
      </c>
      <c r="R136" s="1761">
        <v>100</v>
      </c>
      <c r="S136" s="1762">
        <v>85</v>
      </c>
      <c r="T136" s="1729">
        <v>85</v>
      </c>
      <c r="U136" s="1760">
        <v>85</v>
      </c>
      <c r="V136" s="1759">
        <v>70</v>
      </c>
      <c r="W136" s="1729">
        <v>70</v>
      </c>
      <c r="X136" s="1760">
        <v>70</v>
      </c>
      <c r="Y136" s="2009">
        <v>50</v>
      </c>
      <c r="Z136" s="2010">
        <v>55</v>
      </c>
      <c r="AA136" s="2011">
        <v>65</v>
      </c>
      <c r="AB136" s="1871" t="s">
        <v>1388</v>
      </c>
      <c r="AC136" s="1763" t="s">
        <v>1389</v>
      </c>
      <c r="AD136" s="1762">
        <v>150</v>
      </c>
      <c r="AE136" s="1729">
        <v>150</v>
      </c>
      <c r="AF136" s="1760">
        <v>150</v>
      </c>
      <c r="AG136" s="1759">
        <v>125</v>
      </c>
      <c r="AH136" s="1729">
        <v>125</v>
      </c>
      <c r="AI136" s="1760">
        <v>125</v>
      </c>
      <c r="AJ136" s="2009">
        <v>90</v>
      </c>
      <c r="AK136" s="2010">
        <v>100</v>
      </c>
      <c r="AL136" s="2011">
        <v>115</v>
      </c>
      <c r="AM136" s="1871" t="s">
        <v>1390</v>
      </c>
      <c r="AN136" s="1763" t="s">
        <v>1389</v>
      </c>
      <c r="AO136" s="156"/>
      <c r="AP136" s="156"/>
      <c r="AU136"/>
      <c r="AV136"/>
      <c r="AW136"/>
      <c r="AX136" s="1722" t="s">
        <v>1936</v>
      </c>
      <c r="AY136" s="681">
        <v>40</v>
      </c>
      <c r="AZ136" s="681">
        <v>40</v>
      </c>
      <c r="BA136" s="681" t="s">
        <v>2561</v>
      </c>
      <c r="BB136" s="681">
        <v>40</v>
      </c>
      <c r="BC136" s="681">
        <v>40</v>
      </c>
      <c r="BD136" s="681" t="s">
        <v>2582</v>
      </c>
      <c r="BE136" s="681">
        <v>40</v>
      </c>
      <c r="BF136" s="681">
        <v>40</v>
      </c>
      <c r="BG136" s="681" t="s">
        <v>2582</v>
      </c>
      <c r="BH136" s="681">
        <v>40</v>
      </c>
      <c r="BI136" s="681">
        <v>40</v>
      </c>
      <c r="BJ136" s="681" t="s">
        <v>2582</v>
      </c>
      <c r="BK136" s="681">
        <v>40</v>
      </c>
      <c r="BL136" s="681">
        <v>40</v>
      </c>
      <c r="BM136" s="681" t="s">
        <v>2582</v>
      </c>
      <c r="BN136" s="471">
        <v>0</v>
      </c>
      <c r="BO136" s="821">
        <v>40</v>
      </c>
      <c r="BP136"/>
      <c r="BQ136" s="1722" t="s">
        <v>1936</v>
      </c>
      <c r="BR136" s="470">
        <v>30</v>
      </c>
      <c r="BS136" s="470">
        <v>45</v>
      </c>
      <c r="BT136" s="470">
        <v>45</v>
      </c>
      <c r="BU136" s="1828"/>
      <c r="BV136" s="1722" t="s">
        <v>1936</v>
      </c>
      <c r="BW136" s="470">
        <v>80</v>
      </c>
      <c r="BX136" s="470">
        <v>120</v>
      </c>
      <c r="BY136" s="470">
        <v>120</v>
      </c>
      <c r="CB136" s="428"/>
      <c r="CC136" s="428"/>
      <c r="CD136" s="428"/>
      <c r="CE136" s="2310" t="s">
        <v>1942</v>
      </c>
      <c r="CF136" s="1834" t="str">
        <f>IFERROR(INDEX(N_Bedarf!$CE$2:$CE$141,_xlfn.AGGREGATE(15,6,(ROW(N_Bedarf!$CE$2:$CE$141)-1)/(--(SEARCH(CG$2,N_Bedarf!$CE$2:$CE$141)&gt;0)),ROW()-2),1),"")</f>
        <v>Sonstiges Feldfutter 4 Nutzungen, kleereich (40-90% Legum.)</v>
      </c>
      <c r="CG136" s="1836"/>
      <c r="CH136" s="1834" t="str">
        <f>IFERROR(INDEX(N_Bedarf!$CE$2:$CE$141,_xlfn.AGGREGATE(15,6,(ROW(N_Bedarf!$CE$2:$CE$141)-1)/(--(SEARCH(CI$2,N_Bedarf!$CE$2:$CE$141)&gt;0)),ROW()-2),1),"")</f>
        <v>Sonstiges Feldfutter 4 Nutzungen, kleereich (40-90% Legum.)</v>
      </c>
      <c r="CI136" s="1836"/>
      <c r="CJ136" s="1834" t="str">
        <f>IFERROR(INDEX(N_Bedarf!$CE$2:$CE$141,_xlfn.AGGREGATE(15,6,(ROW(N_Bedarf!$CE$2:$CE$141)-1)/(--(SEARCH(CK$2,N_Bedarf!$CE$2:$CE$141)&gt;0)),ROW()-2),1),"")</f>
        <v>Sonstiges Feldfutter 4 Nutzungen, kleereich (40-90% Legum.)</v>
      </c>
      <c r="CK136" s="1836"/>
      <c r="CL136" s="1834" t="str">
        <f>IFERROR(INDEX(N_Bedarf!$CE$2:$CE$141,_xlfn.AGGREGATE(15,6,(ROW(N_Bedarf!$CE$2:$CE$141)-1)/(--(SEARCH(CM$2,N_Bedarf!$CE$2:$CE$141)&gt;0)),ROW()-2),1),"")</f>
        <v>Sonstiges Feldfutter 4 Nutzungen, kleereich (40-90% Legum.)</v>
      </c>
      <c r="CM136" s="1836"/>
      <c r="CN136" s="1834" t="str">
        <f>IFERROR(INDEX(N_Bedarf!$CE$2:$CE$141,_xlfn.AGGREGATE(15,6,(ROW(N_Bedarf!$CE$2:$CE$141)-1)/(--(SEARCH(CO$2,N_Bedarf!$CE$2:$CE$141)&gt;0)),ROW()-2),1),"")</f>
        <v>Sonstiges Feldfutter 4 Nutzungen, kleereich (40-90% Legum.)</v>
      </c>
      <c r="CO136" s="1836"/>
      <c r="CP136" s="1834" t="str">
        <f>IFERROR(INDEX(N_Bedarf!$CE$2:$CE$141,_xlfn.AGGREGATE(15,6,(ROW(N_Bedarf!$CE$2:$CE$141)-1)/(--(SEARCH(CQ$2,N_Bedarf!$CE$2:$CE$141)&gt;0)),ROW()-2),1),"")</f>
        <v>Sonstiges Feldfutter 4 Nutzungen, kleereich (40-90% Legum.)</v>
      </c>
      <c r="CQ136" s="1836"/>
      <c r="CR136" s="1834" t="str">
        <f>IFERROR(INDEX(N_Bedarf!$CE$2:$CE$141,_xlfn.AGGREGATE(15,6,(ROW(N_Bedarf!$CE$2:$CE$141)-1)/(--(SEARCH(CS$2,N_Bedarf!$CE$2:$CE$141)&gt;0)),ROW()-2),1),"")</f>
        <v>Sonstiges Feldfutter 4 Nutzungen, kleereich (40-90% Legum.)</v>
      </c>
      <c r="CS136" s="1836"/>
      <c r="CT136" s="1834" t="str">
        <f>IFERROR(INDEX(N_Bedarf!$CE$2:$CE$141,_xlfn.AGGREGATE(15,6,(ROW(N_Bedarf!$CE$2:$CE$141)-1)/(--(SEARCH(CU$2,N_Bedarf!$CE$2:$CE$141)&gt;0)),ROW()-2),1),"")</f>
        <v>Sonstiges Feldfutter 4 Nutzungen, kleereich (40-90% Legum.)</v>
      </c>
      <c r="CU136" s="1836"/>
      <c r="CV136" s="1834" t="str">
        <f>IFERROR(INDEX(N_Bedarf!$CE$2:$CE$141,_xlfn.AGGREGATE(15,6,(ROW(N_Bedarf!$CE$2:$CE$141)-1)/(--(SEARCH(CW$2,N_Bedarf!$CE$2:$CE$141)&gt;0)),ROW()-2),1),"")</f>
        <v>Sonstiges Feldfutter 4 Nutzungen, kleereich (40-90% Legum.)</v>
      </c>
      <c r="CW136" s="1836"/>
      <c r="CX136" s="1834" t="str">
        <f>IFERROR(INDEX(N_Bedarf!$CE$2:$CE$141,_xlfn.AGGREGATE(15,6,(ROW(N_Bedarf!$CE$2:$CE$141)-1)/(--(SEARCH(CY$2,N_Bedarf!$CE$2:$CE$141)&gt;0)),ROW()-2),1),"")</f>
        <v>Sonstiges Feldfutter 4 Nutzungen, kleereich (40-90% Legum.)</v>
      </c>
      <c r="CY136" s="1836"/>
      <c r="CZ136" s="1834" t="str">
        <f>IFERROR(INDEX(N_Bedarf!$CE$2:$CE$141,_xlfn.AGGREGATE(15,6,(ROW(N_Bedarf!$CE$2:$CE$141)-1)/(--(SEARCH(DA$2,N_Bedarf!$CE$2:$CE$141)&gt;0)),ROW()-2),1),"")</f>
        <v>Sonstiges Feldfutter 4 Nutzungen, kleereich (40-90% Legum.)</v>
      </c>
      <c r="DA136" s="1836"/>
      <c r="DB136" s="1834" t="str">
        <f>IFERROR(INDEX(N_Bedarf!$CE$2:$CE$141,_xlfn.AGGREGATE(15,6,(ROW(N_Bedarf!$CE$2:$CE$141)-1)/(--(SEARCH(DC$2,N_Bedarf!$CE$2:$CE$141)&gt;0)),ROW()-2),1),"")</f>
        <v>Sonstiges Feldfutter 4 Nutzungen, kleereich (40-90% Legum.)</v>
      </c>
      <c r="DC136" s="1836"/>
      <c r="DD136" s="1834" t="str">
        <f>IFERROR(INDEX(N_Bedarf!$CE$2:$CE$141,_xlfn.AGGREGATE(15,6,(ROW(N_Bedarf!$CE$2:$CE$141)-1)/(--(SEARCH(DE$2,N_Bedarf!$CE$2:$CE$141)&gt;0)),ROW()-2),1),"")</f>
        <v>Sonstiges Feldfutter 4 Nutzungen, kleereich (40-90% Legum.)</v>
      </c>
      <c r="DE136" s="1836"/>
      <c r="DF136" s="2353" t="str">
        <f t="array" ref="DF136">IFERROR(INDEX(N_Bedarf!$CE$2:$CE$141,_xlfn.AGGREGATE(15,6,(ROW(N_Bedarf!$CE$2:$CE$141)-1)/(--(SEARCH(DG$2,N_Bedarf!$CE$2:$CE$141)&gt;0)),ROW()-2),1),"")</f>
        <v>Sonstiges Feldfutter 4 Nutzungen, kleereich (40-90% Legum.)</v>
      </c>
      <c r="DG136" s="2353"/>
      <c r="DH136" s="2355" t="str">
        <f t="array" ref="DH136">IFERROR(INDEX(N_Bedarf!$CE$2:$CE$141,_xlfn.AGGREGATE(15,6,(ROW(N_Bedarf!$CE$2:$CE$141)-1)/(--(SEARCH(DI$2,N_Bedarf!$CE$2:$CE$141)&gt;0)),ROW()-2),1),"")</f>
        <v>Sonstiges Feldfutter 4 Nutzungen, kleereich (40-90% Legum.)</v>
      </c>
      <c r="DI136" s="2355"/>
      <c r="DJ136" s="2356" t="str">
        <f t="array" ref="DJ136">IFERROR(INDEX(N_Bedarf!$CE$2:$CE$141,_xlfn.AGGREGATE(15,6,(ROW(N_Bedarf!$CE$2:$CE$141)-1)/(--(SEARCH(DK$2,N_Bedarf!$CE$2:$CE$141)&gt;0)),ROW()-2),1),"")</f>
        <v>Sonstiges Feldfutter 4 Nutzungen, kleereich (40-90% Legum.)</v>
      </c>
      <c r="DK136" s="2356"/>
      <c r="DL136" s="2356" t="str">
        <f t="array" ref="DL136">IFERROR(INDEX(N_Bedarf!$CE$2:$CE$141,_xlfn.AGGREGATE(15,6,(ROW(N_Bedarf!$CE$2:$CE$141)-1)/(--(SEARCH(DM$2,N_Bedarf!$CE$2:$CE$141)&gt;0)),ROW()-2),1),"")</f>
        <v>Sonstiges Feldfutter 4 Nutzungen, kleereich (40-90% Legum.)</v>
      </c>
      <c r="DM136" s="2356"/>
      <c r="DN136" s="2356" t="str">
        <f t="array" ref="DN136">IFERROR(INDEX(N_Bedarf!$CE$2:$CE$141,_xlfn.AGGREGATE(15,6,(ROW(N_Bedarf!$CE$2:$CE$141)-1)/(--(SEARCH(DO$2,N_Bedarf!$CE$2:$CE$141)&gt;0)),ROW()-2),1),"")</f>
        <v>Sonstiges Feldfutter 4 Nutzungen, kleereich (40-90% Legum.)</v>
      </c>
      <c r="DO136" s="2356"/>
      <c r="DP136" s="2356" t="str">
        <f t="array" ref="DP136">IFERROR(INDEX(N_Bedarf!$CE$2:$CE$141,_xlfn.AGGREGATE(15,6,(ROW(N_Bedarf!$CE$2:$CE$141)-1)/(--(SEARCH(DQ$2,N_Bedarf!$CE$2:$CE$141)&gt;0)),ROW()-2),1),"")</f>
        <v>Sonstiges Feldfutter 4 Nutzungen, kleereich (40-90% Legum.)</v>
      </c>
      <c r="DQ136" s="2356"/>
      <c r="DR136" s="2356" t="str">
        <f t="array" ref="DR136">IFERROR(INDEX(N_Bedarf!$CE$2:$CE$141,_xlfn.AGGREGATE(15,6,(ROW(N_Bedarf!$CE$2:$CE$141)-1)/(--(SEARCH(DS$2,N_Bedarf!$CE$2:$CE$141)&gt;0)),ROW()-2),1),"")</f>
        <v>Sonstiges Feldfutter 4 Nutzungen, kleereich (40-90% Legum.)</v>
      </c>
      <c r="DS136" s="2356"/>
      <c r="DT136" s="2356" t="str">
        <f t="array" ref="DT136">IFERROR(INDEX(N_Bedarf!$CE$2:$CE$141,_xlfn.AGGREGATE(15,6,(ROW(N_Bedarf!$CE$2:$CE$141)-1)/(--(SEARCH(DU$2,N_Bedarf!$CE$2:$CE$141)&gt;0)),ROW()-2),1),"")</f>
        <v>Sonstiges Feldfutter 4 Nutzungen, kleereich (40-90% Legum.)</v>
      </c>
      <c r="DU136" s="2356"/>
      <c r="DV136" s="2356" t="str">
        <f t="array" ref="DV136">IFERROR(INDEX(N_Bedarf!$CE$2:$CE$141,_xlfn.AGGREGATE(15,6,(ROW(N_Bedarf!$CE$2:$CE$141)-1)/(--(SEARCH(DW$2,N_Bedarf!$CE$2:$CE$141)&gt;0)),ROW()-2),1),"")</f>
        <v>Sonstiges Feldfutter 4 Nutzungen, kleereich (40-90% Legum.)</v>
      </c>
      <c r="DW136" s="2356"/>
      <c r="DX136" s="2356" t="str">
        <f t="array" ref="DX136">IFERROR(INDEX(N_Bedarf!$CE$2:$CE$141,_xlfn.AGGREGATE(15,6,(ROW(N_Bedarf!$CE$2:$CE$141)-1)/(--(SEARCH(DY$2,N_Bedarf!$CE$2:$CE$141)&gt;0)),ROW()-2),1),"")</f>
        <v>Sonstiges Feldfutter 4 Nutzungen, kleereich (40-90% Legum.)</v>
      </c>
      <c r="DY136" s="2356"/>
      <c r="DZ136" s="2356" t="str">
        <f t="array" ref="DZ136">IFERROR(INDEX(N_Bedarf!$CE$2:$CE$141,_xlfn.AGGREGATE(15,6,(ROW(N_Bedarf!$CE$2:$CE$141)-1)/(--(SEARCH(EA$2,N_Bedarf!$CE$2:$CE$141)&gt;0)),ROW()-2),1),"")</f>
        <v>Sonstiges Feldfutter 4 Nutzungen, kleereich (40-90% Legum.)</v>
      </c>
      <c r="EA136" s="2356"/>
      <c r="EB136" s="2356" t="str">
        <f t="array" ref="EB136">IFERROR(INDEX(N_Bedarf!$CE$2:$CE$141,_xlfn.AGGREGATE(15,6,(ROW(N_Bedarf!$CE$2:$CE$141)-1)/(--(SEARCH(EC$2,N_Bedarf!$CE$2:$CE$141)&gt;0)),ROW()-2),1),"")</f>
        <v>Sonstiges Feldfutter 4 Nutzungen, kleereich (40-90% Legum.)</v>
      </c>
      <c r="EC136" s="2356"/>
    </row>
    <row r="137" spans="1:291" ht="21" customHeight="1" thickTop="1" thickBot="1">
      <c r="A137" s="156"/>
      <c r="B137" s="156"/>
      <c r="C137" s="1758" t="s">
        <v>1716</v>
      </c>
      <c r="D137" s="1759" t="s">
        <v>33</v>
      </c>
      <c r="E137" s="1729">
        <v>110</v>
      </c>
      <c r="F137" s="1760">
        <v>100</v>
      </c>
      <c r="G137" s="1993" t="s">
        <v>1780</v>
      </c>
      <c r="H137" s="1994">
        <v>155</v>
      </c>
      <c r="I137" s="1995">
        <v>140</v>
      </c>
      <c r="J137" s="1759" t="s">
        <v>1415</v>
      </c>
      <c r="K137" s="1729">
        <v>180</v>
      </c>
      <c r="L137" s="1760">
        <v>160</v>
      </c>
      <c r="M137" s="1759" t="s">
        <v>1416</v>
      </c>
      <c r="N137" s="1729">
        <v>195</v>
      </c>
      <c r="O137" s="1760">
        <v>175</v>
      </c>
      <c r="P137" s="1759" t="s">
        <v>1417</v>
      </c>
      <c r="Q137" s="1729">
        <v>210</v>
      </c>
      <c r="R137" s="1761">
        <v>190</v>
      </c>
      <c r="S137" s="1762">
        <v>115</v>
      </c>
      <c r="T137" s="1729">
        <v>115</v>
      </c>
      <c r="U137" s="1760">
        <v>115</v>
      </c>
      <c r="V137" s="1759">
        <v>95</v>
      </c>
      <c r="W137" s="1729">
        <v>95</v>
      </c>
      <c r="X137" s="1760">
        <v>95</v>
      </c>
      <c r="Y137" s="2009">
        <v>70</v>
      </c>
      <c r="Z137" s="2010">
        <v>75</v>
      </c>
      <c r="AA137" s="2011">
        <v>85</v>
      </c>
      <c r="AB137" s="1871" t="s">
        <v>1388</v>
      </c>
      <c r="AC137" s="1763" t="s">
        <v>1389</v>
      </c>
      <c r="AD137" s="1762">
        <v>300</v>
      </c>
      <c r="AE137" s="1729">
        <v>300</v>
      </c>
      <c r="AF137" s="1760">
        <v>300</v>
      </c>
      <c r="AG137" s="1759">
        <v>250</v>
      </c>
      <c r="AH137" s="1729">
        <v>250</v>
      </c>
      <c r="AI137" s="1760">
        <v>250</v>
      </c>
      <c r="AJ137" s="2009">
        <v>180</v>
      </c>
      <c r="AK137" s="2010">
        <v>200</v>
      </c>
      <c r="AL137" s="2011">
        <v>230</v>
      </c>
      <c r="AM137" s="1871" t="s">
        <v>1390</v>
      </c>
      <c r="AN137" s="1763" t="s">
        <v>1389</v>
      </c>
      <c r="AO137" s="156"/>
      <c r="AP137" s="156"/>
      <c r="AU137"/>
      <c r="AV137"/>
      <c r="AW137"/>
      <c r="AX137" s="1722" t="s">
        <v>1938</v>
      </c>
      <c r="AY137" s="681">
        <v>40</v>
      </c>
      <c r="AZ137" s="681">
        <v>40</v>
      </c>
      <c r="BA137" s="681" t="s">
        <v>2696</v>
      </c>
      <c r="BB137" s="681">
        <v>40</v>
      </c>
      <c r="BC137" s="681">
        <v>40</v>
      </c>
      <c r="BD137" s="681" t="s">
        <v>2739</v>
      </c>
      <c r="BE137" s="681">
        <v>40</v>
      </c>
      <c r="BF137" s="681">
        <v>40</v>
      </c>
      <c r="BG137" s="681" t="s">
        <v>2568</v>
      </c>
      <c r="BH137" s="681">
        <v>40</v>
      </c>
      <c r="BI137" s="681">
        <v>40</v>
      </c>
      <c r="BJ137" s="681" t="s">
        <v>2568</v>
      </c>
      <c r="BK137" s="681">
        <v>40</v>
      </c>
      <c r="BL137" s="681">
        <v>40</v>
      </c>
      <c r="BM137" s="681" t="s">
        <v>2568</v>
      </c>
      <c r="BN137" s="471">
        <v>0</v>
      </c>
      <c r="BO137" s="821">
        <v>40</v>
      </c>
      <c r="BP137"/>
      <c r="BQ137" s="1722" t="s">
        <v>1938</v>
      </c>
      <c r="BR137" s="470">
        <v>45</v>
      </c>
      <c r="BS137" s="470">
        <v>65</v>
      </c>
      <c r="BT137" s="470">
        <v>80</v>
      </c>
      <c r="BV137" s="1722" t="s">
        <v>1938</v>
      </c>
      <c r="BW137" s="470">
        <v>130</v>
      </c>
      <c r="BX137" s="470">
        <v>170</v>
      </c>
      <c r="BY137" s="470">
        <v>215</v>
      </c>
      <c r="CB137" s="428"/>
      <c r="CC137" s="428"/>
      <c r="CD137" s="428"/>
      <c r="CE137" s="2310" t="s">
        <v>1944</v>
      </c>
      <c r="CF137" s="1834" t="str">
        <f>IFERROR(INDEX(N_Bedarf!$CE$2:$CE$141,_xlfn.AGGREGATE(15,6,(ROW(N_Bedarf!$CE$2:$CE$141)-1)/(--(SEARCH(CG$2,N_Bedarf!$CE$2:$CE$141)&gt;0)),ROW()-2),1),"")</f>
        <v>Sonstiges Feldfutter 5 Nutzungen, kleereich (40-90% Legum.)</v>
      </c>
      <c r="CG137" s="1830"/>
      <c r="CH137" s="1834" t="str">
        <f>IFERROR(INDEX(N_Bedarf!$CE$2:$CE$141,_xlfn.AGGREGATE(15,6,(ROW(N_Bedarf!$CE$2:$CE$141)-1)/(--(SEARCH(CI$2,N_Bedarf!$CE$2:$CE$141)&gt;0)),ROW()-2),1),"")</f>
        <v>Sonstiges Feldfutter 5 Nutzungen, kleereich (40-90% Legum.)</v>
      </c>
      <c r="CI137" s="1830"/>
      <c r="CJ137" s="1834" t="str">
        <f>IFERROR(INDEX(N_Bedarf!$CE$2:$CE$141,_xlfn.AGGREGATE(15,6,(ROW(N_Bedarf!$CE$2:$CE$141)-1)/(--(SEARCH(CK$2,N_Bedarf!$CE$2:$CE$141)&gt;0)),ROW()-2),1),"")</f>
        <v>Sonstiges Feldfutter 5 Nutzungen, kleereich (40-90% Legum.)</v>
      </c>
      <c r="CK137" s="1830"/>
      <c r="CL137" s="1834" t="str">
        <f>IFERROR(INDEX(N_Bedarf!$CE$2:$CE$141,_xlfn.AGGREGATE(15,6,(ROW(N_Bedarf!$CE$2:$CE$141)-1)/(--(SEARCH(CM$2,N_Bedarf!$CE$2:$CE$141)&gt;0)),ROW()-2),1),"")</f>
        <v>Sonstiges Feldfutter 5 Nutzungen, kleereich (40-90% Legum.)</v>
      </c>
      <c r="CM137" s="1830"/>
      <c r="CN137" s="1834" t="str">
        <f>IFERROR(INDEX(N_Bedarf!$CE$2:$CE$141,_xlfn.AGGREGATE(15,6,(ROW(N_Bedarf!$CE$2:$CE$141)-1)/(--(SEARCH(CO$2,N_Bedarf!$CE$2:$CE$141)&gt;0)),ROW()-2),1),"")</f>
        <v>Sonstiges Feldfutter 5 Nutzungen, kleereich (40-90% Legum.)</v>
      </c>
      <c r="CO137" s="1830"/>
      <c r="CP137" s="1834" t="str">
        <f>IFERROR(INDEX(N_Bedarf!$CE$2:$CE$141,_xlfn.AGGREGATE(15,6,(ROW(N_Bedarf!$CE$2:$CE$141)-1)/(--(SEARCH(CQ$2,N_Bedarf!$CE$2:$CE$141)&gt;0)),ROW()-2),1),"")</f>
        <v>Sonstiges Feldfutter 5 Nutzungen, kleereich (40-90% Legum.)</v>
      </c>
      <c r="CQ137" s="1830"/>
      <c r="CR137" s="1834" t="str">
        <f>IFERROR(INDEX(N_Bedarf!$CE$2:$CE$141,_xlfn.AGGREGATE(15,6,(ROW(N_Bedarf!$CE$2:$CE$141)-1)/(--(SEARCH(CS$2,N_Bedarf!$CE$2:$CE$141)&gt;0)),ROW()-2),1),"")</f>
        <v>Sonstiges Feldfutter 5 Nutzungen, kleereich (40-90% Legum.)</v>
      </c>
      <c r="CS137" s="1830"/>
      <c r="CT137" s="1834" t="str">
        <f>IFERROR(INDEX(N_Bedarf!$CE$2:$CE$141,_xlfn.AGGREGATE(15,6,(ROW(N_Bedarf!$CE$2:$CE$141)-1)/(--(SEARCH(CU$2,N_Bedarf!$CE$2:$CE$141)&gt;0)),ROW()-2),1),"")</f>
        <v>Sonstiges Feldfutter 5 Nutzungen, kleereich (40-90% Legum.)</v>
      </c>
      <c r="CU137" s="1830"/>
      <c r="CV137" s="1834" t="str">
        <f>IFERROR(INDEX(N_Bedarf!$CE$2:$CE$141,_xlfn.AGGREGATE(15,6,(ROW(N_Bedarf!$CE$2:$CE$141)-1)/(--(SEARCH(CW$2,N_Bedarf!$CE$2:$CE$141)&gt;0)),ROW()-2),1),"")</f>
        <v>Sonstiges Feldfutter 5 Nutzungen, kleereich (40-90% Legum.)</v>
      </c>
      <c r="CW137" s="1830"/>
      <c r="CX137" s="1834" t="str">
        <f>IFERROR(INDEX(N_Bedarf!$CE$2:$CE$141,_xlfn.AGGREGATE(15,6,(ROW(N_Bedarf!$CE$2:$CE$141)-1)/(--(SEARCH(CY$2,N_Bedarf!$CE$2:$CE$141)&gt;0)),ROW()-2),1),"")</f>
        <v>Sonstiges Feldfutter 5 Nutzungen, kleereich (40-90% Legum.)</v>
      </c>
      <c r="CY137" s="1830"/>
      <c r="CZ137" s="1834" t="str">
        <f>IFERROR(INDEX(N_Bedarf!$CE$2:$CE$141,_xlfn.AGGREGATE(15,6,(ROW(N_Bedarf!$CE$2:$CE$141)-1)/(--(SEARCH(DA$2,N_Bedarf!$CE$2:$CE$141)&gt;0)),ROW()-2),1),"")</f>
        <v>Sonstiges Feldfutter 5 Nutzungen, kleereich (40-90% Legum.)</v>
      </c>
      <c r="DA137" s="1830"/>
      <c r="DB137" s="1834" t="str">
        <f>IFERROR(INDEX(N_Bedarf!$CE$2:$CE$141,_xlfn.AGGREGATE(15,6,(ROW(N_Bedarf!$CE$2:$CE$141)-1)/(--(SEARCH(DC$2,N_Bedarf!$CE$2:$CE$141)&gt;0)),ROW()-2),1),"")</f>
        <v>Sonstiges Feldfutter 5 Nutzungen, kleereich (40-90% Legum.)</v>
      </c>
      <c r="DC137" s="1830"/>
      <c r="DD137" s="1834" t="str">
        <f>IFERROR(INDEX(N_Bedarf!$CE$2:$CE$141,_xlfn.AGGREGATE(15,6,(ROW(N_Bedarf!$CE$2:$CE$141)-1)/(--(SEARCH(DE$2,N_Bedarf!$CE$2:$CE$141)&gt;0)),ROW()-2),1),"")</f>
        <v>Sonstiges Feldfutter 5 Nutzungen, kleereich (40-90% Legum.)</v>
      </c>
      <c r="DE137" s="1830"/>
      <c r="DF137" s="2353" t="str">
        <f t="array" ref="DF137">IFERROR(INDEX(N_Bedarf!$CE$2:$CE$141,_xlfn.AGGREGATE(15,6,(ROW(N_Bedarf!$CE$2:$CE$141)-1)/(--(SEARCH(DG$2,N_Bedarf!$CE$2:$CE$141)&gt;0)),ROW()-2),1),"")</f>
        <v>Sonstiges Feldfutter 5 Nutzungen, kleereich (40-90% Legum.)</v>
      </c>
      <c r="DG137" s="2353"/>
      <c r="DH137" s="2355" t="str">
        <f t="array" ref="DH137">IFERROR(INDEX(N_Bedarf!$CE$2:$CE$141,_xlfn.AGGREGATE(15,6,(ROW(N_Bedarf!$CE$2:$CE$141)-1)/(--(SEARCH(DI$2,N_Bedarf!$CE$2:$CE$141)&gt;0)),ROW()-2),1),"")</f>
        <v>Sonstiges Feldfutter 5 Nutzungen, kleereich (40-90% Legum.)</v>
      </c>
      <c r="DI137" s="2355"/>
      <c r="DJ137" s="2356" t="str">
        <f t="array" ref="DJ137">IFERROR(INDEX(N_Bedarf!$CE$2:$CE$141,_xlfn.AGGREGATE(15,6,(ROW(N_Bedarf!$CE$2:$CE$141)-1)/(--(SEARCH(DK$2,N_Bedarf!$CE$2:$CE$141)&gt;0)),ROW()-2),1),"")</f>
        <v>Sonstiges Feldfutter 5 Nutzungen, kleereich (40-90% Legum.)</v>
      </c>
      <c r="DK137" s="2356"/>
      <c r="DL137" s="2356" t="str">
        <f t="array" ref="DL137">IFERROR(INDEX(N_Bedarf!$CE$2:$CE$141,_xlfn.AGGREGATE(15,6,(ROW(N_Bedarf!$CE$2:$CE$141)-1)/(--(SEARCH(DM$2,N_Bedarf!$CE$2:$CE$141)&gt;0)),ROW()-2),1),"")</f>
        <v>Sonstiges Feldfutter 5 Nutzungen, kleereich (40-90% Legum.)</v>
      </c>
      <c r="DM137" s="2356"/>
      <c r="DN137" s="2356" t="str">
        <f t="array" ref="DN137">IFERROR(INDEX(N_Bedarf!$CE$2:$CE$141,_xlfn.AGGREGATE(15,6,(ROW(N_Bedarf!$CE$2:$CE$141)-1)/(--(SEARCH(DO$2,N_Bedarf!$CE$2:$CE$141)&gt;0)),ROW()-2),1),"")</f>
        <v>Sonstiges Feldfutter 5 Nutzungen, kleereich (40-90% Legum.)</v>
      </c>
      <c r="DO137" s="2356"/>
      <c r="DP137" s="2356" t="str">
        <f t="array" ref="DP137">IFERROR(INDEX(N_Bedarf!$CE$2:$CE$141,_xlfn.AGGREGATE(15,6,(ROW(N_Bedarf!$CE$2:$CE$141)-1)/(--(SEARCH(DQ$2,N_Bedarf!$CE$2:$CE$141)&gt;0)),ROW()-2),1),"")</f>
        <v>Sonstiges Feldfutter 5 Nutzungen, kleereich (40-90% Legum.)</v>
      </c>
      <c r="DQ137" s="2356"/>
      <c r="DR137" s="2356" t="str">
        <f t="array" ref="DR137">IFERROR(INDEX(N_Bedarf!$CE$2:$CE$141,_xlfn.AGGREGATE(15,6,(ROW(N_Bedarf!$CE$2:$CE$141)-1)/(--(SEARCH(DS$2,N_Bedarf!$CE$2:$CE$141)&gt;0)),ROW()-2),1),"")</f>
        <v>Sonstiges Feldfutter 5 Nutzungen, kleereich (40-90% Legum.)</v>
      </c>
      <c r="DS137" s="2356"/>
      <c r="DT137" s="2356" t="str">
        <f t="array" ref="DT137">IFERROR(INDEX(N_Bedarf!$CE$2:$CE$141,_xlfn.AGGREGATE(15,6,(ROW(N_Bedarf!$CE$2:$CE$141)-1)/(--(SEARCH(DU$2,N_Bedarf!$CE$2:$CE$141)&gt;0)),ROW()-2),1),"")</f>
        <v>Sonstiges Feldfutter 5 Nutzungen, kleereich (40-90% Legum.)</v>
      </c>
      <c r="DU137" s="2356"/>
      <c r="DV137" s="2356" t="str">
        <f t="array" ref="DV137">IFERROR(INDEX(N_Bedarf!$CE$2:$CE$141,_xlfn.AGGREGATE(15,6,(ROW(N_Bedarf!$CE$2:$CE$141)-1)/(--(SEARCH(DW$2,N_Bedarf!$CE$2:$CE$141)&gt;0)),ROW()-2),1),"")</f>
        <v>Sonstiges Feldfutter 5 Nutzungen, kleereich (40-90% Legum.)</v>
      </c>
      <c r="DW137" s="2356"/>
      <c r="DX137" s="2356" t="str">
        <f t="array" ref="DX137">IFERROR(INDEX(N_Bedarf!$CE$2:$CE$141,_xlfn.AGGREGATE(15,6,(ROW(N_Bedarf!$CE$2:$CE$141)-1)/(--(SEARCH(DY$2,N_Bedarf!$CE$2:$CE$141)&gt;0)),ROW()-2),1),"")</f>
        <v>Sonstiges Feldfutter 5 Nutzungen, kleereich (40-90% Legum.)</v>
      </c>
      <c r="DY137" s="2356"/>
      <c r="DZ137" s="2356" t="str">
        <f t="array" ref="DZ137">IFERROR(INDEX(N_Bedarf!$CE$2:$CE$141,_xlfn.AGGREGATE(15,6,(ROW(N_Bedarf!$CE$2:$CE$141)-1)/(--(SEARCH(EA$2,N_Bedarf!$CE$2:$CE$141)&gt;0)),ROW()-2),1),"")</f>
        <v>Sonstiges Feldfutter 5 Nutzungen, kleereich (40-90% Legum.)</v>
      </c>
      <c r="EA137" s="2356"/>
      <c r="EB137" s="2356" t="str">
        <f t="array" ref="EB137">IFERROR(INDEX(N_Bedarf!$CE$2:$CE$141,_xlfn.AGGREGATE(15,6,(ROW(N_Bedarf!$CE$2:$CE$141)-1)/(--(SEARCH(EC$2,N_Bedarf!$CE$2:$CE$141)&gt;0)),ROW()-2),1),"")</f>
        <v>Sonstiges Feldfutter 5 Nutzungen, kleereich (40-90% Legum.)</v>
      </c>
      <c r="EC137" s="2356"/>
    </row>
    <row r="138" spans="1:291" ht="21" customHeight="1" thickTop="1" thickBot="1">
      <c r="A138" s="156"/>
      <c r="B138" s="156"/>
      <c r="C138" s="1758" t="s">
        <v>1717</v>
      </c>
      <c r="D138" s="1759" t="s">
        <v>585</v>
      </c>
      <c r="E138" s="1729">
        <v>80</v>
      </c>
      <c r="F138" s="1760">
        <v>70</v>
      </c>
      <c r="G138" s="1993" t="s">
        <v>1582</v>
      </c>
      <c r="H138" s="1994">
        <v>110</v>
      </c>
      <c r="I138" s="1995">
        <v>95</v>
      </c>
      <c r="J138" s="1759" t="s">
        <v>1399</v>
      </c>
      <c r="K138" s="1729">
        <v>130</v>
      </c>
      <c r="L138" s="1760">
        <v>110</v>
      </c>
      <c r="M138" s="1759" t="s">
        <v>1400</v>
      </c>
      <c r="N138" s="1729">
        <v>140</v>
      </c>
      <c r="O138" s="1760">
        <v>120</v>
      </c>
      <c r="P138" s="1759" t="s">
        <v>1401</v>
      </c>
      <c r="Q138" s="1729">
        <v>150</v>
      </c>
      <c r="R138" s="1761">
        <v>130</v>
      </c>
      <c r="S138" s="1762">
        <v>85</v>
      </c>
      <c r="T138" s="1729">
        <v>85</v>
      </c>
      <c r="U138" s="1760">
        <v>85</v>
      </c>
      <c r="V138" s="1759">
        <v>70</v>
      </c>
      <c r="W138" s="1729">
        <v>70</v>
      </c>
      <c r="X138" s="1760">
        <v>70</v>
      </c>
      <c r="Y138" s="2009">
        <v>50</v>
      </c>
      <c r="Z138" s="2010">
        <v>55</v>
      </c>
      <c r="AA138" s="2011">
        <v>65</v>
      </c>
      <c r="AB138" s="1871" t="s">
        <v>1388</v>
      </c>
      <c r="AC138" s="1763" t="s">
        <v>1389</v>
      </c>
      <c r="AD138" s="1762">
        <v>120</v>
      </c>
      <c r="AE138" s="1729">
        <v>120</v>
      </c>
      <c r="AF138" s="1760">
        <v>120</v>
      </c>
      <c r="AG138" s="1759">
        <v>100</v>
      </c>
      <c r="AH138" s="1729">
        <v>100</v>
      </c>
      <c r="AI138" s="1760">
        <v>100</v>
      </c>
      <c r="AJ138" s="2009">
        <v>70</v>
      </c>
      <c r="AK138" s="2010">
        <v>80</v>
      </c>
      <c r="AL138" s="2011">
        <v>90</v>
      </c>
      <c r="AM138" s="1871" t="s">
        <v>1390</v>
      </c>
      <c r="AN138" s="1763" t="s">
        <v>1389</v>
      </c>
      <c r="AO138" s="156"/>
      <c r="AP138" s="156"/>
      <c r="AU138"/>
      <c r="AV138"/>
      <c r="AW138"/>
      <c r="AX138" s="1722" t="s">
        <v>1940</v>
      </c>
      <c r="AY138" s="681">
        <v>40</v>
      </c>
      <c r="AZ138" s="681">
        <v>40</v>
      </c>
      <c r="BA138" s="681" t="s">
        <v>2697</v>
      </c>
      <c r="BB138" s="681">
        <v>40</v>
      </c>
      <c r="BC138" s="681">
        <v>40</v>
      </c>
      <c r="BD138" s="681" t="s">
        <v>2740</v>
      </c>
      <c r="BE138" s="681">
        <v>40</v>
      </c>
      <c r="BF138" s="681">
        <v>40</v>
      </c>
      <c r="BG138" s="681" t="s">
        <v>2585</v>
      </c>
      <c r="BH138" s="681">
        <v>40</v>
      </c>
      <c r="BI138" s="681">
        <v>40</v>
      </c>
      <c r="BJ138" s="681" t="s">
        <v>2585</v>
      </c>
      <c r="BK138" s="681">
        <v>40</v>
      </c>
      <c r="BL138" s="681">
        <v>40</v>
      </c>
      <c r="BM138" s="681" t="s">
        <v>2585</v>
      </c>
      <c r="BN138" s="471">
        <v>0</v>
      </c>
      <c r="BO138" s="821">
        <v>40</v>
      </c>
      <c r="BP138"/>
      <c r="BQ138" s="1722" t="s">
        <v>1940</v>
      </c>
      <c r="BR138" s="470">
        <v>80</v>
      </c>
      <c r="BS138" s="470">
        <v>80</v>
      </c>
      <c r="BT138" s="470">
        <v>90</v>
      </c>
      <c r="BV138" s="1722" t="s">
        <v>1940</v>
      </c>
      <c r="BW138" s="470">
        <v>205</v>
      </c>
      <c r="BX138" s="470">
        <v>205</v>
      </c>
      <c r="BY138" s="470">
        <v>260</v>
      </c>
      <c r="CB138" s="428"/>
      <c r="CC138" s="428"/>
      <c r="CD138" s="428"/>
      <c r="CE138" s="2310" t="s">
        <v>2374</v>
      </c>
      <c r="CF138" s="1834" t="str">
        <f>IFERROR(INDEX(N_Bedarf!$CE$2:$CE$141,_xlfn.AGGREGATE(15,6,(ROW(N_Bedarf!$CE$2:$CE$141)-1)/(--(SEARCH(CG$2,N_Bedarf!$CE$2:$CE$141)&gt;0)),ROW()-2),1),"")</f>
        <v>Sonstiges Feldfutter 6 Nutzungen, kleereich (40-90% Legum.)</v>
      </c>
      <c r="CG138" s="1836"/>
      <c r="CH138" s="1834" t="str">
        <f>IFERROR(INDEX(N_Bedarf!$CE$2:$CE$141,_xlfn.AGGREGATE(15,6,(ROW(N_Bedarf!$CE$2:$CE$141)-1)/(--(SEARCH(CI$2,N_Bedarf!$CE$2:$CE$141)&gt;0)),ROW()-2),1),"")</f>
        <v>Sonstiges Feldfutter 6 Nutzungen, kleereich (40-90% Legum.)</v>
      </c>
      <c r="CI138" s="1836"/>
      <c r="CJ138" s="1834" t="str">
        <f>IFERROR(INDEX(N_Bedarf!$CE$2:$CE$141,_xlfn.AGGREGATE(15,6,(ROW(N_Bedarf!$CE$2:$CE$141)-1)/(--(SEARCH(CK$2,N_Bedarf!$CE$2:$CE$141)&gt;0)),ROW()-2),1),"")</f>
        <v>Sonstiges Feldfutter 6 Nutzungen, kleereich (40-90% Legum.)</v>
      </c>
      <c r="CK138" s="1836"/>
      <c r="CL138" s="1834" t="str">
        <f>IFERROR(INDEX(N_Bedarf!$CE$2:$CE$141,_xlfn.AGGREGATE(15,6,(ROW(N_Bedarf!$CE$2:$CE$141)-1)/(--(SEARCH(CM$2,N_Bedarf!$CE$2:$CE$141)&gt;0)),ROW()-2),1),"")</f>
        <v>Sonstiges Feldfutter 6 Nutzungen, kleereich (40-90% Legum.)</v>
      </c>
      <c r="CM138" s="1836"/>
      <c r="CN138" s="1834" t="str">
        <f>IFERROR(INDEX(N_Bedarf!$CE$2:$CE$141,_xlfn.AGGREGATE(15,6,(ROW(N_Bedarf!$CE$2:$CE$141)-1)/(--(SEARCH(CO$2,N_Bedarf!$CE$2:$CE$141)&gt;0)),ROW()-2),1),"")</f>
        <v>Sonstiges Feldfutter 6 Nutzungen, kleereich (40-90% Legum.)</v>
      </c>
      <c r="CO138" s="1836"/>
      <c r="CP138" s="1834" t="str">
        <f>IFERROR(INDEX(N_Bedarf!$CE$2:$CE$141,_xlfn.AGGREGATE(15,6,(ROW(N_Bedarf!$CE$2:$CE$141)-1)/(--(SEARCH(CQ$2,N_Bedarf!$CE$2:$CE$141)&gt;0)),ROW()-2),1),"")</f>
        <v>Sonstiges Feldfutter 6 Nutzungen, kleereich (40-90% Legum.)</v>
      </c>
      <c r="CQ138" s="1836"/>
      <c r="CR138" s="1834" t="str">
        <f>IFERROR(INDEX(N_Bedarf!$CE$2:$CE$141,_xlfn.AGGREGATE(15,6,(ROW(N_Bedarf!$CE$2:$CE$141)-1)/(--(SEARCH(CS$2,N_Bedarf!$CE$2:$CE$141)&gt;0)),ROW()-2),1),"")</f>
        <v>Sonstiges Feldfutter 6 Nutzungen, kleereich (40-90% Legum.)</v>
      </c>
      <c r="CS138" s="1836"/>
      <c r="CT138" s="1834" t="str">
        <f>IFERROR(INDEX(N_Bedarf!$CE$2:$CE$141,_xlfn.AGGREGATE(15,6,(ROW(N_Bedarf!$CE$2:$CE$141)-1)/(--(SEARCH(CU$2,N_Bedarf!$CE$2:$CE$141)&gt;0)),ROW()-2),1),"")</f>
        <v>Sonstiges Feldfutter 6 Nutzungen, kleereich (40-90% Legum.)</v>
      </c>
      <c r="CU138" s="1836"/>
      <c r="CV138" s="1834" t="str">
        <f>IFERROR(INDEX(N_Bedarf!$CE$2:$CE$141,_xlfn.AGGREGATE(15,6,(ROW(N_Bedarf!$CE$2:$CE$141)-1)/(--(SEARCH(CW$2,N_Bedarf!$CE$2:$CE$141)&gt;0)),ROW()-2),1),"")</f>
        <v>Sonstiges Feldfutter 6 Nutzungen, kleereich (40-90% Legum.)</v>
      </c>
      <c r="CW138" s="1836"/>
      <c r="CX138" s="1834" t="str">
        <f>IFERROR(INDEX(N_Bedarf!$CE$2:$CE$141,_xlfn.AGGREGATE(15,6,(ROW(N_Bedarf!$CE$2:$CE$141)-1)/(--(SEARCH(CY$2,N_Bedarf!$CE$2:$CE$141)&gt;0)),ROW()-2),1),"")</f>
        <v>Sonstiges Feldfutter 6 Nutzungen, kleereich (40-90% Legum.)</v>
      </c>
      <c r="CY138" s="1836"/>
      <c r="CZ138" s="1834" t="str">
        <f>IFERROR(INDEX(N_Bedarf!$CE$2:$CE$141,_xlfn.AGGREGATE(15,6,(ROW(N_Bedarf!$CE$2:$CE$141)-1)/(--(SEARCH(DA$2,N_Bedarf!$CE$2:$CE$141)&gt;0)),ROW()-2),1),"")</f>
        <v>Sonstiges Feldfutter 6 Nutzungen, kleereich (40-90% Legum.)</v>
      </c>
      <c r="DA138" s="1836"/>
      <c r="DB138" s="1834" t="str">
        <f>IFERROR(INDEX(N_Bedarf!$CE$2:$CE$141,_xlfn.AGGREGATE(15,6,(ROW(N_Bedarf!$CE$2:$CE$141)-1)/(--(SEARCH(DC$2,N_Bedarf!$CE$2:$CE$141)&gt;0)),ROW()-2),1),"")</f>
        <v>Sonstiges Feldfutter 6 Nutzungen, kleereich (40-90% Legum.)</v>
      </c>
      <c r="DC138" s="1836"/>
      <c r="DD138" s="1834" t="str">
        <f>IFERROR(INDEX(N_Bedarf!$CE$2:$CE$141,_xlfn.AGGREGATE(15,6,(ROW(N_Bedarf!$CE$2:$CE$141)-1)/(--(SEARCH(DE$2,N_Bedarf!$CE$2:$CE$141)&gt;0)),ROW()-2),1),"")</f>
        <v>Sonstiges Feldfutter 6 Nutzungen, kleereich (40-90% Legum.)</v>
      </c>
      <c r="DE138" s="1836"/>
      <c r="DF138" s="2353" t="str">
        <f t="array" ref="DF138">IFERROR(INDEX(N_Bedarf!$CE$2:$CE$141,_xlfn.AGGREGATE(15,6,(ROW(N_Bedarf!$CE$2:$CE$141)-1)/(--(SEARCH(DG$2,N_Bedarf!$CE$2:$CE$141)&gt;0)),ROW()-2),1),"")</f>
        <v>Sonstiges Feldfutter 6 Nutzungen, kleereich (40-90% Legum.)</v>
      </c>
      <c r="DG138" s="2353"/>
      <c r="DH138" s="2355" t="str">
        <f t="array" ref="DH138">IFERROR(INDEX(N_Bedarf!$CE$2:$CE$141,_xlfn.AGGREGATE(15,6,(ROW(N_Bedarf!$CE$2:$CE$141)-1)/(--(SEARCH(DI$2,N_Bedarf!$CE$2:$CE$141)&gt;0)),ROW()-2),1),"")</f>
        <v>Sonstiges Feldfutter 6 Nutzungen, kleereich (40-90% Legum.)</v>
      </c>
      <c r="DI138" s="2355"/>
      <c r="DJ138" s="2356" t="str">
        <f t="array" ref="DJ138">IFERROR(INDEX(N_Bedarf!$CE$2:$CE$141,_xlfn.AGGREGATE(15,6,(ROW(N_Bedarf!$CE$2:$CE$141)-1)/(--(SEARCH(DK$2,N_Bedarf!$CE$2:$CE$141)&gt;0)),ROW()-2),1),"")</f>
        <v>Sonstiges Feldfutter 6 Nutzungen, kleereich (40-90% Legum.)</v>
      </c>
      <c r="DK138" s="2356"/>
      <c r="DL138" s="2356" t="str">
        <f t="array" ref="DL138">IFERROR(INDEX(N_Bedarf!$CE$2:$CE$141,_xlfn.AGGREGATE(15,6,(ROW(N_Bedarf!$CE$2:$CE$141)-1)/(--(SEARCH(DM$2,N_Bedarf!$CE$2:$CE$141)&gt;0)),ROW()-2),1),"")</f>
        <v>Sonstiges Feldfutter 6 Nutzungen, kleereich (40-90% Legum.)</v>
      </c>
      <c r="DM138" s="2356"/>
      <c r="DN138" s="2356" t="str">
        <f t="array" ref="DN138">IFERROR(INDEX(N_Bedarf!$CE$2:$CE$141,_xlfn.AGGREGATE(15,6,(ROW(N_Bedarf!$CE$2:$CE$141)-1)/(--(SEARCH(DO$2,N_Bedarf!$CE$2:$CE$141)&gt;0)),ROW()-2),1),"")</f>
        <v>Sonstiges Feldfutter 6 Nutzungen, kleereich (40-90% Legum.)</v>
      </c>
      <c r="DO138" s="2356"/>
      <c r="DP138" s="2356" t="str">
        <f t="array" ref="DP138">IFERROR(INDEX(N_Bedarf!$CE$2:$CE$141,_xlfn.AGGREGATE(15,6,(ROW(N_Bedarf!$CE$2:$CE$141)-1)/(--(SEARCH(DQ$2,N_Bedarf!$CE$2:$CE$141)&gt;0)),ROW()-2),1),"")</f>
        <v>Sonstiges Feldfutter 6 Nutzungen, kleereich (40-90% Legum.)</v>
      </c>
      <c r="DQ138" s="2356"/>
      <c r="DR138" s="2356" t="str">
        <f t="array" ref="DR138">IFERROR(INDEX(N_Bedarf!$CE$2:$CE$141,_xlfn.AGGREGATE(15,6,(ROW(N_Bedarf!$CE$2:$CE$141)-1)/(--(SEARCH(DS$2,N_Bedarf!$CE$2:$CE$141)&gt;0)),ROW()-2),1),"")</f>
        <v>Sonstiges Feldfutter 6 Nutzungen, kleereich (40-90% Legum.)</v>
      </c>
      <c r="DS138" s="2356"/>
      <c r="DT138" s="2356" t="str">
        <f t="array" ref="DT138">IFERROR(INDEX(N_Bedarf!$CE$2:$CE$141,_xlfn.AGGREGATE(15,6,(ROW(N_Bedarf!$CE$2:$CE$141)-1)/(--(SEARCH(DU$2,N_Bedarf!$CE$2:$CE$141)&gt;0)),ROW()-2),1),"")</f>
        <v>Sonstiges Feldfutter 6 Nutzungen, kleereich (40-90% Legum.)</v>
      </c>
      <c r="DU138" s="2356"/>
      <c r="DV138" s="2356" t="str">
        <f t="array" ref="DV138">IFERROR(INDEX(N_Bedarf!$CE$2:$CE$141,_xlfn.AGGREGATE(15,6,(ROW(N_Bedarf!$CE$2:$CE$141)-1)/(--(SEARCH(DW$2,N_Bedarf!$CE$2:$CE$141)&gt;0)),ROW()-2),1),"")</f>
        <v>Sonstiges Feldfutter 6 Nutzungen, kleereich (40-90% Legum.)</v>
      </c>
      <c r="DW138" s="2356"/>
      <c r="DX138" s="2356" t="str">
        <f t="array" ref="DX138">IFERROR(INDEX(N_Bedarf!$CE$2:$CE$141,_xlfn.AGGREGATE(15,6,(ROW(N_Bedarf!$CE$2:$CE$141)-1)/(--(SEARCH(DY$2,N_Bedarf!$CE$2:$CE$141)&gt;0)),ROW()-2),1),"")</f>
        <v>Sonstiges Feldfutter 6 Nutzungen, kleereich (40-90% Legum.)</v>
      </c>
      <c r="DY138" s="2356"/>
      <c r="DZ138" s="2356" t="str">
        <f t="array" ref="DZ138">IFERROR(INDEX(N_Bedarf!$CE$2:$CE$141,_xlfn.AGGREGATE(15,6,(ROW(N_Bedarf!$CE$2:$CE$141)-1)/(--(SEARCH(EA$2,N_Bedarf!$CE$2:$CE$141)&gt;0)),ROW()-2),1),"")</f>
        <v>Sonstiges Feldfutter 6 Nutzungen, kleereich (40-90% Legum.)</v>
      </c>
      <c r="EA138" s="2356"/>
      <c r="EB138" s="2356" t="str">
        <f t="array" ref="EB138">IFERROR(INDEX(N_Bedarf!$CE$2:$CE$141,_xlfn.AGGREGATE(15,6,(ROW(N_Bedarf!$CE$2:$CE$141)-1)/(--(SEARCH(EC$2,N_Bedarf!$CE$2:$CE$141)&gt;0)),ROW()-2),1),"")</f>
        <v>Sonstiges Feldfutter 6 Nutzungen, kleereich (40-90% Legum.)</v>
      </c>
      <c r="EC138" s="2356"/>
    </row>
    <row r="139" spans="1:291" ht="21" customHeight="1" thickTop="1" thickBot="1">
      <c r="A139" s="156"/>
      <c r="B139" s="156"/>
      <c r="C139" s="1758" t="s">
        <v>1718</v>
      </c>
      <c r="D139" s="1759" t="s">
        <v>123</v>
      </c>
      <c r="E139" s="1729">
        <v>130</v>
      </c>
      <c r="F139" s="1760">
        <v>110</v>
      </c>
      <c r="G139" s="1993" t="s">
        <v>5</v>
      </c>
      <c r="H139" s="1994">
        <v>130</v>
      </c>
      <c r="I139" s="1995">
        <v>100</v>
      </c>
      <c r="J139" s="1759" t="s">
        <v>6</v>
      </c>
      <c r="K139" s="1729">
        <v>130</v>
      </c>
      <c r="L139" s="1760">
        <v>110</v>
      </c>
      <c r="M139" s="1759" t="s">
        <v>7</v>
      </c>
      <c r="N139" s="1729">
        <v>130</v>
      </c>
      <c r="O139" s="1760">
        <v>110</v>
      </c>
      <c r="P139" s="1759" t="s">
        <v>582</v>
      </c>
      <c r="Q139" s="1729">
        <v>130</v>
      </c>
      <c r="R139" s="1761">
        <v>110</v>
      </c>
      <c r="S139" s="1762">
        <v>115</v>
      </c>
      <c r="T139" s="1729">
        <v>115</v>
      </c>
      <c r="U139" s="1760">
        <v>115</v>
      </c>
      <c r="V139" s="1759">
        <v>95</v>
      </c>
      <c r="W139" s="1729">
        <v>95</v>
      </c>
      <c r="X139" s="1760">
        <v>95</v>
      </c>
      <c r="Y139" s="2009">
        <v>70</v>
      </c>
      <c r="Z139" s="2010">
        <v>75</v>
      </c>
      <c r="AA139" s="2011">
        <v>85</v>
      </c>
      <c r="AB139" s="1871" t="s">
        <v>1388</v>
      </c>
      <c r="AC139" s="1763" t="s">
        <v>1389</v>
      </c>
      <c r="AD139" s="1762">
        <v>120</v>
      </c>
      <c r="AE139" s="1729">
        <v>120</v>
      </c>
      <c r="AF139" s="1760">
        <v>120</v>
      </c>
      <c r="AG139" s="1759">
        <v>100</v>
      </c>
      <c r="AH139" s="1729">
        <v>100</v>
      </c>
      <c r="AI139" s="1760">
        <v>100</v>
      </c>
      <c r="AJ139" s="2009">
        <v>70</v>
      </c>
      <c r="AK139" s="2010">
        <v>80</v>
      </c>
      <c r="AL139" s="2011">
        <v>90</v>
      </c>
      <c r="AM139" s="1871" t="s">
        <v>1390</v>
      </c>
      <c r="AN139" s="1763" t="s">
        <v>1389</v>
      </c>
      <c r="AO139" s="156"/>
      <c r="AP139" s="156"/>
      <c r="AU139"/>
      <c r="AV139"/>
      <c r="AW139"/>
      <c r="AX139" s="1722" t="s">
        <v>1942</v>
      </c>
      <c r="AY139" s="681">
        <v>40</v>
      </c>
      <c r="AZ139" s="681">
        <v>40</v>
      </c>
      <c r="BA139" s="681" t="s">
        <v>2698</v>
      </c>
      <c r="BB139" s="681">
        <v>40</v>
      </c>
      <c r="BC139" s="681">
        <v>40</v>
      </c>
      <c r="BD139" s="681" t="s">
        <v>2698</v>
      </c>
      <c r="BE139" s="681">
        <v>40</v>
      </c>
      <c r="BF139" s="681">
        <v>40</v>
      </c>
      <c r="BG139" s="681" t="s">
        <v>2591</v>
      </c>
      <c r="BH139" s="681">
        <v>40</v>
      </c>
      <c r="BI139" s="681">
        <v>40</v>
      </c>
      <c r="BJ139" s="681" t="s">
        <v>2591</v>
      </c>
      <c r="BK139" s="681">
        <v>40</v>
      </c>
      <c r="BL139" s="681">
        <v>40</v>
      </c>
      <c r="BM139" s="681" t="s">
        <v>2591</v>
      </c>
      <c r="BN139" s="471">
        <v>0</v>
      </c>
      <c r="BO139" s="821">
        <v>40</v>
      </c>
      <c r="BP139"/>
      <c r="BQ139" s="1722" t="s">
        <v>1942</v>
      </c>
      <c r="BR139" s="470">
        <v>85</v>
      </c>
      <c r="BS139" s="470">
        <v>85</v>
      </c>
      <c r="BT139" s="470">
        <v>105</v>
      </c>
      <c r="BV139" s="1722" t="s">
        <v>1942</v>
      </c>
      <c r="BW139" s="470">
        <v>230</v>
      </c>
      <c r="BX139" s="470">
        <v>230</v>
      </c>
      <c r="BY139" s="470">
        <v>300</v>
      </c>
      <c r="CB139" s="428"/>
      <c r="CC139" s="428"/>
      <c r="CD139" s="428"/>
      <c r="CE139" s="2310" t="s">
        <v>2002</v>
      </c>
      <c r="CF139" s="1834" t="str">
        <f>IFERROR(INDEX(N_Bedarf!$CE$2:$CE$141,_xlfn.AGGREGATE(15,6,(ROW(N_Bedarf!$CE$2:$CE$141)-1)/(--(SEARCH(CG$2,N_Bedarf!$CE$2:$CE$141)&gt;0)),ROW()-2),1),"")</f>
        <v>Ackerweide</v>
      </c>
      <c r="CG139" s="1830"/>
      <c r="CH139" s="1834" t="str">
        <f>IFERROR(INDEX(N_Bedarf!$CE$2:$CE$141,_xlfn.AGGREGATE(15,6,(ROW(N_Bedarf!$CE$2:$CE$141)-1)/(--(SEARCH(CI$2,N_Bedarf!$CE$2:$CE$141)&gt;0)),ROW()-2),1),"")</f>
        <v>Ackerweide</v>
      </c>
      <c r="CI139" s="1830"/>
      <c r="CJ139" s="1834" t="str">
        <f>IFERROR(INDEX(N_Bedarf!$CE$2:$CE$141,_xlfn.AGGREGATE(15,6,(ROW(N_Bedarf!$CE$2:$CE$141)-1)/(--(SEARCH(CK$2,N_Bedarf!$CE$2:$CE$141)&gt;0)),ROW()-2),1),"")</f>
        <v>Ackerweide</v>
      </c>
      <c r="CK139" s="1830"/>
      <c r="CL139" s="1834" t="str">
        <f>IFERROR(INDEX(N_Bedarf!$CE$2:$CE$141,_xlfn.AGGREGATE(15,6,(ROW(N_Bedarf!$CE$2:$CE$141)-1)/(--(SEARCH(CM$2,N_Bedarf!$CE$2:$CE$141)&gt;0)),ROW()-2),1),"")</f>
        <v>Ackerweide</v>
      </c>
      <c r="CM139" s="1830"/>
      <c r="CN139" s="1834" t="str">
        <f>IFERROR(INDEX(N_Bedarf!$CE$2:$CE$141,_xlfn.AGGREGATE(15,6,(ROW(N_Bedarf!$CE$2:$CE$141)-1)/(--(SEARCH(CO$2,N_Bedarf!$CE$2:$CE$141)&gt;0)),ROW()-2),1),"")</f>
        <v>Ackerweide</v>
      </c>
      <c r="CO139" s="1830"/>
      <c r="CP139" s="1834" t="str">
        <f>IFERROR(INDEX(N_Bedarf!$CE$2:$CE$141,_xlfn.AGGREGATE(15,6,(ROW(N_Bedarf!$CE$2:$CE$141)-1)/(--(SEARCH(CQ$2,N_Bedarf!$CE$2:$CE$141)&gt;0)),ROW()-2),1),"")</f>
        <v>Ackerweide</v>
      </c>
      <c r="CQ139" s="1830"/>
      <c r="CR139" s="1834" t="str">
        <f>IFERROR(INDEX(N_Bedarf!$CE$2:$CE$141,_xlfn.AGGREGATE(15,6,(ROW(N_Bedarf!$CE$2:$CE$141)-1)/(--(SEARCH(CS$2,N_Bedarf!$CE$2:$CE$141)&gt;0)),ROW()-2),1),"")</f>
        <v>Ackerweide</v>
      </c>
      <c r="CS139" s="1830"/>
      <c r="CT139" s="1834" t="str">
        <f>IFERROR(INDEX(N_Bedarf!$CE$2:$CE$141,_xlfn.AGGREGATE(15,6,(ROW(N_Bedarf!$CE$2:$CE$141)-1)/(--(SEARCH(CU$2,N_Bedarf!$CE$2:$CE$141)&gt;0)),ROW()-2),1),"")</f>
        <v>Ackerweide</v>
      </c>
      <c r="CU139" s="1830"/>
      <c r="CV139" s="1834" t="str">
        <f>IFERROR(INDEX(N_Bedarf!$CE$2:$CE$141,_xlfn.AGGREGATE(15,6,(ROW(N_Bedarf!$CE$2:$CE$141)-1)/(--(SEARCH(CW$2,N_Bedarf!$CE$2:$CE$141)&gt;0)),ROW()-2),1),"")</f>
        <v>Ackerweide</v>
      </c>
      <c r="CW139" s="1830"/>
      <c r="CX139" s="1834" t="str">
        <f>IFERROR(INDEX(N_Bedarf!$CE$2:$CE$141,_xlfn.AGGREGATE(15,6,(ROW(N_Bedarf!$CE$2:$CE$141)-1)/(--(SEARCH(CY$2,N_Bedarf!$CE$2:$CE$141)&gt;0)),ROW()-2),1),"")</f>
        <v>Ackerweide</v>
      </c>
      <c r="CY139" s="1830"/>
      <c r="CZ139" s="1834" t="str">
        <f>IFERROR(INDEX(N_Bedarf!$CE$2:$CE$141,_xlfn.AGGREGATE(15,6,(ROW(N_Bedarf!$CE$2:$CE$141)-1)/(--(SEARCH(DA$2,N_Bedarf!$CE$2:$CE$141)&gt;0)),ROW()-2),1),"")</f>
        <v>Ackerweide</v>
      </c>
      <c r="DA139" s="1830"/>
      <c r="DB139" s="1834" t="str">
        <f>IFERROR(INDEX(N_Bedarf!$CE$2:$CE$141,_xlfn.AGGREGATE(15,6,(ROW(N_Bedarf!$CE$2:$CE$141)-1)/(--(SEARCH(DC$2,N_Bedarf!$CE$2:$CE$141)&gt;0)),ROW()-2),1),"")</f>
        <v>Ackerweide</v>
      </c>
      <c r="DC139" s="1830"/>
      <c r="DD139" s="1834" t="str">
        <f>IFERROR(INDEX(N_Bedarf!$CE$2:$CE$141,_xlfn.AGGREGATE(15,6,(ROW(N_Bedarf!$CE$2:$CE$141)-1)/(--(SEARCH(DE$2,N_Bedarf!$CE$2:$CE$141)&gt;0)),ROW()-2),1),"")</f>
        <v>Ackerweide</v>
      </c>
      <c r="DE139" s="1830"/>
      <c r="DF139" s="2353" t="str">
        <f t="array" ref="DF139">IFERROR(INDEX(N_Bedarf!$CE$2:$CE$141,_xlfn.AGGREGATE(15,6,(ROW(N_Bedarf!$CE$2:$CE$141)-1)/(--(SEARCH(DG$2,N_Bedarf!$CE$2:$CE$141)&gt;0)),ROW()-2),1),"")</f>
        <v>Ackerweide</v>
      </c>
      <c r="DG139" s="2353"/>
      <c r="DH139" s="2355" t="str">
        <f t="array" ref="DH139">IFERROR(INDEX(N_Bedarf!$CE$2:$CE$141,_xlfn.AGGREGATE(15,6,(ROW(N_Bedarf!$CE$2:$CE$141)-1)/(--(SEARCH(DI$2,N_Bedarf!$CE$2:$CE$141)&gt;0)),ROW()-2),1),"")</f>
        <v>Ackerweide</v>
      </c>
      <c r="DI139" s="2355"/>
      <c r="DJ139" s="2356" t="str">
        <f t="array" ref="DJ139">IFERROR(INDEX(N_Bedarf!$CE$2:$CE$141,_xlfn.AGGREGATE(15,6,(ROW(N_Bedarf!$CE$2:$CE$141)-1)/(--(SEARCH(DK$2,N_Bedarf!$CE$2:$CE$141)&gt;0)),ROW()-2),1),"")</f>
        <v>Ackerweide</v>
      </c>
      <c r="DK139" s="2356"/>
      <c r="DL139" s="2356" t="str">
        <f t="array" ref="DL139">IFERROR(INDEX(N_Bedarf!$CE$2:$CE$141,_xlfn.AGGREGATE(15,6,(ROW(N_Bedarf!$CE$2:$CE$141)-1)/(--(SEARCH(DM$2,N_Bedarf!$CE$2:$CE$141)&gt;0)),ROW()-2),1),"")</f>
        <v>Ackerweide</v>
      </c>
      <c r="DM139" s="2356"/>
      <c r="DN139" s="2356" t="str">
        <f t="array" ref="DN139">IFERROR(INDEX(N_Bedarf!$CE$2:$CE$141,_xlfn.AGGREGATE(15,6,(ROW(N_Bedarf!$CE$2:$CE$141)-1)/(--(SEARCH(DO$2,N_Bedarf!$CE$2:$CE$141)&gt;0)),ROW()-2),1),"")</f>
        <v>Ackerweide</v>
      </c>
      <c r="DO139" s="2356"/>
      <c r="DP139" s="2356" t="str">
        <f t="array" ref="DP139">IFERROR(INDEX(N_Bedarf!$CE$2:$CE$141,_xlfn.AGGREGATE(15,6,(ROW(N_Bedarf!$CE$2:$CE$141)-1)/(--(SEARCH(DQ$2,N_Bedarf!$CE$2:$CE$141)&gt;0)),ROW()-2),1),"")</f>
        <v>Ackerweide</v>
      </c>
      <c r="DQ139" s="2356"/>
      <c r="DR139" s="2356" t="str">
        <f t="array" ref="DR139">IFERROR(INDEX(N_Bedarf!$CE$2:$CE$141,_xlfn.AGGREGATE(15,6,(ROW(N_Bedarf!$CE$2:$CE$141)-1)/(--(SEARCH(DS$2,N_Bedarf!$CE$2:$CE$141)&gt;0)),ROW()-2),1),"")</f>
        <v>Ackerweide</v>
      </c>
      <c r="DS139" s="2356"/>
      <c r="DT139" s="2356" t="str">
        <f t="array" ref="DT139">IFERROR(INDEX(N_Bedarf!$CE$2:$CE$141,_xlfn.AGGREGATE(15,6,(ROW(N_Bedarf!$CE$2:$CE$141)-1)/(--(SEARCH(DU$2,N_Bedarf!$CE$2:$CE$141)&gt;0)),ROW()-2),1),"")</f>
        <v>Ackerweide</v>
      </c>
      <c r="DU139" s="2356"/>
      <c r="DV139" s="2356" t="str">
        <f t="array" ref="DV139">IFERROR(INDEX(N_Bedarf!$CE$2:$CE$141,_xlfn.AGGREGATE(15,6,(ROW(N_Bedarf!$CE$2:$CE$141)-1)/(--(SEARCH(DW$2,N_Bedarf!$CE$2:$CE$141)&gt;0)),ROW()-2),1),"")</f>
        <v>Ackerweide</v>
      </c>
      <c r="DW139" s="2356"/>
      <c r="DX139" s="2356" t="str">
        <f t="array" ref="DX139">IFERROR(INDEX(N_Bedarf!$CE$2:$CE$141,_xlfn.AGGREGATE(15,6,(ROW(N_Bedarf!$CE$2:$CE$141)-1)/(--(SEARCH(DY$2,N_Bedarf!$CE$2:$CE$141)&gt;0)),ROW()-2),1),"")</f>
        <v>Ackerweide</v>
      </c>
      <c r="DY139" s="2356"/>
      <c r="DZ139" s="2356" t="str">
        <f t="array" ref="DZ139">IFERROR(INDEX(N_Bedarf!$CE$2:$CE$141,_xlfn.AGGREGATE(15,6,(ROW(N_Bedarf!$CE$2:$CE$141)-1)/(--(SEARCH(EA$2,N_Bedarf!$CE$2:$CE$141)&gt;0)),ROW()-2),1),"")</f>
        <v>Ackerweide</v>
      </c>
      <c r="EA139" s="2356"/>
      <c r="EB139" s="2356" t="str">
        <f t="array" ref="EB139">IFERROR(INDEX(N_Bedarf!$CE$2:$CE$141,_xlfn.AGGREGATE(15,6,(ROW(N_Bedarf!$CE$2:$CE$141)-1)/(--(SEARCH(EC$2,N_Bedarf!$CE$2:$CE$141)&gt;0)),ROW()-2),1),"")</f>
        <v>Ackerweide</v>
      </c>
      <c r="EC139" s="2356"/>
    </row>
    <row r="140" spans="1:291" ht="21" customHeight="1" thickTop="1" thickBot="1">
      <c r="A140" s="156"/>
      <c r="B140" s="156"/>
      <c r="C140" s="1758" t="s">
        <v>1719</v>
      </c>
      <c r="D140" s="1759" t="s">
        <v>1803</v>
      </c>
      <c r="E140" s="1729">
        <v>90</v>
      </c>
      <c r="F140" s="1760">
        <v>80</v>
      </c>
      <c r="G140" s="1993" t="s">
        <v>1804</v>
      </c>
      <c r="H140" s="1994">
        <v>120</v>
      </c>
      <c r="I140" s="1995">
        <v>105</v>
      </c>
      <c r="J140" s="1759" t="s">
        <v>1385</v>
      </c>
      <c r="K140" s="1729">
        <v>145</v>
      </c>
      <c r="L140" s="1760">
        <v>125</v>
      </c>
      <c r="M140" s="1759" t="s">
        <v>1386</v>
      </c>
      <c r="N140" s="1729">
        <v>155</v>
      </c>
      <c r="O140" s="1760">
        <v>135</v>
      </c>
      <c r="P140" s="1759" t="s">
        <v>1387</v>
      </c>
      <c r="Q140" s="1729">
        <v>165</v>
      </c>
      <c r="R140" s="1761">
        <v>140</v>
      </c>
      <c r="S140" s="1762">
        <v>85</v>
      </c>
      <c r="T140" s="1729">
        <v>85</v>
      </c>
      <c r="U140" s="1760">
        <v>85</v>
      </c>
      <c r="V140" s="1759">
        <v>70</v>
      </c>
      <c r="W140" s="1729">
        <v>70</v>
      </c>
      <c r="X140" s="1760">
        <v>70</v>
      </c>
      <c r="Y140" s="2009">
        <v>50</v>
      </c>
      <c r="Z140" s="2010">
        <v>55</v>
      </c>
      <c r="AA140" s="2011">
        <v>65</v>
      </c>
      <c r="AB140" s="1871" t="s">
        <v>1388</v>
      </c>
      <c r="AC140" s="1763" t="s">
        <v>1389</v>
      </c>
      <c r="AD140" s="1762">
        <v>120</v>
      </c>
      <c r="AE140" s="1729">
        <v>120</v>
      </c>
      <c r="AF140" s="1760">
        <v>120</v>
      </c>
      <c r="AG140" s="1759">
        <v>100</v>
      </c>
      <c r="AH140" s="1729">
        <v>100</v>
      </c>
      <c r="AI140" s="1760">
        <v>100</v>
      </c>
      <c r="AJ140" s="2009">
        <v>70</v>
      </c>
      <c r="AK140" s="2010">
        <v>80</v>
      </c>
      <c r="AL140" s="2011">
        <v>90</v>
      </c>
      <c r="AM140" s="1871" t="s">
        <v>1390</v>
      </c>
      <c r="AN140" s="1763" t="s">
        <v>1389</v>
      </c>
      <c r="AO140" s="156"/>
      <c r="AP140" s="156"/>
      <c r="AU140"/>
      <c r="AV140"/>
      <c r="AW140"/>
      <c r="AX140" s="1722" t="s">
        <v>1944</v>
      </c>
      <c r="AY140" s="681">
        <v>210</v>
      </c>
      <c r="AZ140" s="681">
        <v>210</v>
      </c>
      <c r="BA140" s="681" t="s">
        <v>2587</v>
      </c>
      <c r="BB140" s="681">
        <v>210</v>
      </c>
      <c r="BC140" s="681">
        <v>210</v>
      </c>
      <c r="BD140" s="681" t="s">
        <v>2587</v>
      </c>
      <c r="BE140" s="681">
        <v>210</v>
      </c>
      <c r="BF140" s="681">
        <v>210</v>
      </c>
      <c r="BG140" s="681" t="s">
        <v>2587</v>
      </c>
      <c r="BH140" s="681">
        <v>210</v>
      </c>
      <c r="BI140" s="681">
        <v>210</v>
      </c>
      <c r="BJ140" s="681" t="s">
        <v>2587</v>
      </c>
      <c r="BK140" s="681">
        <v>210</v>
      </c>
      <c r="BL140" s="681">
        <v>210</v>
      </c>
      <c r="BM140" s="681" t="s">
        <v>2587</v>
      </c>
      <c r="BN140" s="471">
        <v>0</v>
      </c>
      <c r="BO140" s="821">
        <v>40</v>
      </c>
      <c r="BP140"/>
      <c r="BQ140" s="1722" t="s">
        <v>1944</v>
      </c>
      <c r="BR140" s="470">
        <v>120</v>
      </c>
      <c r="BS140" s="470">
        <v>120</v>
      </c>
      <c r="BT140" s="470">
        <v>120</v>
      </c>
      <c r="BV140" s="1722" t="s">
        <v>1944</v>
      </c>
      <c r="BW140" s="470">
        <v>340</v>
      </c>
      <c r="BX140" s="470">
        <v>340</v>
      </c>
      <c r="BY140" s="470">
        <v>340</v>
      </c>
      <c r="CB140" s="428"/>
      <c r="CC140" s="428"/>
      <c r="CD140" s="428"/>
      <c r="CE140" s="2310" t="s">
        <v>2003</v>
      </c>
      <c r="CF140" s="1834" t="str">
        <f>IFERROR(INDEX(N_Bedarf!$CE$2:$CE$141,_xlfn.AGGREGATE(15,6,(ROW(N_Bedarf!$CE$2:$CE$141)-1)/(--(SEARCH(CG$2,N_Bedarf!$CE$2:$CE$141)&gt;0)),ROW()-2),1),"")</f>
        <v>Mähweide (1 Schnitt + 1 bis 2 Weidegänge)</v>
      </c>
      <c r="CG140" s="1836"/>
      <c r="CH140" s="1834" t="str">
        <f>IFERROR(INDEX(N_Bedarf!$CE$2:$CE$141,_xlfn.AGGREGATE(15,6,(ROW(N_Bedarf!$CE$2:$CE$141)-1)/(--(SEARCH(CI$2,N_Bedarf!$CE$2:$CE$141)&gt;0)),ROW()-2),1),"")</f>
        <v>Mähweide (1 Schnitt + 1 bis 2 Weidegänge)</v>
      </c>
      <c r="CI140" s="1836"/>
      <c r="CJ140" s="1834" t="str">
        <f>IFERROR(INDEX(N_Bedarf!$CE$2:$CE$141,_xlfn.AGGREGATE(15,6,(ROW(N_Bedarf!$CE$2:$CE$141)-1)/(--(SEARCH(CK$2,N_Bedarf!$CE$2:$CE$141)&gt;0)),ROW()-2),1),"")</f>
        <v>Mähweide (1 Schnitt + 1 bis 2 Weidegänge)</v>
      </c>
      <c r="CK140" s="1836"/>
      <c r="CL140" s="1834" t="str">
        <f>IFERROR(INDEX(N_Bedarf!$CE$2:$CE$141,_xlfn.AGGREGATE(15,6,(ROW(N_Bedarf!$CE$2:$CE$141)-1)/(--(SEARCH(CM$2,N_Bedarf!$CE$2:$CE$141)&gt;0)),ROW()-2),1),"")</f>
        <v>Mähweide (1 Schnitt + 1 bis 2 Weidegänge)</v>
      </c>
      <c r="CM140" s="1836"/>
      <c r="CN140" s="1834" t="str">
        <f>IFERROR(INDEX(N_Bedarf!$CE$2:$CE$141,_xlfn.AGGREGATE(15,6,(ROW(N_Bedarf!$CE$2:$CE$141)-1)/(--(SEARCH(CO$2,N_Bedarf!$CE$2:$CE$141)&gt;0)),ROW()-2),1),"")</f>
        <v>Mähweide (1 Schnitt + 1 bis 2 Weidegänge)</v>
      </c>
      <c r="CO140" s="1836"/>
      <c r="CP140" s="1834" t="str">
        <f>IFERROR(INDEX(N_Bedarf!$CE$2:$CE$141,_xlfn.AGGREGATE(15,6,(ROW(N_Bedarf!$CE$2:$CE$141)-1)/(--(SEARCH(CQ$2,N_Bedarf!$CE$2:$CE$141)&gt;0)),ROW()-2),1),"")</f>
        <v>Mähweide (1 Schnitt + 1 bis 2 Weidegänge)</v>
      </c>
      <c r="CQ140" s="1836"/>
      <c r="CR140" s="1834" t="str">
        <f>IFERROR(INDEX(N_Bedarf!$CE$2:$CE$141,_xlfn.AGGREGATE(15,6,(ROW(N_Bedarf!$CE$2:$CE$141)-1)/(--(SEARCH(CS$2,N_Bedarf!$CE$2:$CE$141)&gt;0)),ROW()-2),1),"")</f>
        <v>Mähweide (1 Schnitt + 1 bis 2 Weidegänge)</v>
      </c>
      <c r="CS140" s="1836"/>
      <c r="CT140" s="1834" t="str">
        <f>IFERROR(INDEX(N_Bedarf!$CE$2:$CE$141,_xlfn.AGGREGATE(15,6,(ROW(N_Bedarf!$CE$2:$CE$141)-1)/(--(SEARCH(CU$2,N_Bedarf!$CE$2:$CE$141)&gt;0)),ROW()-2),1),"")</f>
        <v>Mähweide (1 Schnitt + 1 bis 2 Weidegänge)</v>
      </c>
      <c r="CU140" s="1836"/>
      <c r="CV140" s="1834" t="str">
        <f>IFERROR(INDEX(N_Bedarf!$CE$2:$CE$141,_xlfn.AGGREGATE(15,6,(ROW(N_Bedarf!$CE$2:$CE$141)-1)/(--(SEARCH(CW$2,N_Bedarf!$CE$2:$CE$141)&gt;0)),ROW()-2),1),"")</f>
        <v>Mähweide (1 Schnitt + 1 bis 2 Weidegänge)</v>
      </c>
      <c r="CW140" s="1836"/>
      <c r="CX140" s="1834" t="str">
        <f>IFERROR(INDEX(N_Bedarf!$CE$2:$CE$141,_xlfn.AGGREGATE(15,6,(ROW(N_Bedarf!$CE$2:$CE$141)-1)/(--(SEARCH(CY$2,N_Bedarf!$CE$2:$CE$141)&gt;0)),ROW()-2),1),"")</f>
        <v>Mähweide (1 Schnitt + 1 bis 2 Weidegänge)</v>
      </c>
      <c r="CY140" s="1836"/>
      <c r="CZ140" s="1834" t="str">
        <f>IFERROR(INDEX(N_Bedarf!$CE$2:$CE$141,_xlfn.AGGREGATE(15,6,(ROW(N_Bedarf!$CE$2:$CE$141)-1)/(--(SEARCH(DA$2,N_Bedarf!$CE$2:$CE$141)&gt;0)),ROW()-2),1),"")</f>
        <v>Mähweide (1 Schnitt + 1 bis 2 Weidegänge)</v>
      </c>
      <c r="DA140" s="1836"/>
      <c r="DB140" s="1834" t="str">
        <f>IFERROR(INDEX(N_Bedarf!$CE$2:$CE$141,_xlfn.AGGREGATE(15,6,(ROW(N_Bedarf!$CE$2:$CE$141)-1)/(--(SEARCH(DC$2,N_Bedarf!$CE$2:$CE$141)&gt;0)),ROW()-2),1),"")</f>
        <v>Mähweide (1 Schnitt + 1 bis 2 Weidegänge)</v>
      </c>
      <c r="DC140" s="1836"/>
      <c r="DD140" s="1834" t="str">
        <f>IFERROR(INDEX(N_Bedarf!$CE$2:$CE$141,_xlfn.AGGREGATE(15,6,(ROW(N_Bedarf!$CE$2:$CE$141)-1)/(--(SEARCH(DE$2,N_Bedarf!$CE$2:$CE$141)&gt;0)),ROW()-2),1),"")</f>
        <v>Mähweide (1 Schnitt + 1 bis 2 Weidegänge)</v>
      </c>
      <c r="DE140" s="1836"/>
      <c r="DF140" s="2353" t="str">
        <f t="array" ref="DF140">IFERROR(INDEX(N_Bedarf!$CE$2:$CE$141,_xlfn.AGGREGATE(15,6,(ROW(N_Bedarf!$CE$2:$CE$141)-1)/(--(SEARCH(DG$2,N_Bedarf!$CE$2:$CE$141)&gt;0)),ROW()-2),1),"")</f>
        <v>Mähweide (1 Schnitt + 1 bis 2 Weidegänge)</v>
      </c>
      <c r="DG140" s="2353"/>
      <c r="DH140" s="2355" t="str">
        <f t="array" ref="DH140">IFERROR(INDEX(N_Bedarf!$CE$2:$CE$141,_xlfn.AGGREGATE(15,6,(ROW(N_Bedarf!$CE$2:$CE$141)-1)/(--(SEARCH(DI$2,N_Bedarf!$CE$2:$CE$141)&gt;0)),ROW()-2),1),"")</f>
        <v>Mähweide (1 Schnitt + 1 bis 2 Weidegänge)</v>
      </c>
      <c r="DI140" s="2355"/>
      <c r="DJ140" s="2356" t="str">
        <f t="array" ref="DJ140">IFERROR(INDEX(N_Bedarf!$CE$2:$CE$141,_xlfn.AGGREGATE(15,6,(ROW(N_Bedarf!$CE$2:$CE$141)-1)/(--(SEARCH(DK$2,N_Bedarf!$CE$2:$CE$141)&gt;0)),ROW()-2),1),"")</f>
        <v>Mähweide (1 Schnitt + 1 bis 2 Weidegänge)</v>
      </c>
      <c r="DK140" s="2356"/>
      <c r="DL140" s="2356" t="str">
        <f t="array" ref="DL140">IFERROR(INDEX(N_Bedarf!$CE$2:$CE$141,_xlfn.AGGREGATE(15,6,(ROW(N_Bedarf!$CE$2:$CE$141)-1)/(--(SEARCH(DM$2,N_Bedarf!$CE$2:$CE$141)&gt;0)),ROW()-2),1),"")</f>
        <v>Mähweide (1 Schnitt + 1 bis 2 Weidegänge)</v>
      </c>
      <c r="DM140" s="2356"/>
      <c r="DN140" s="2356" t="str">
        <f t="array" ref="DN140">IFERROR(INDEX(N_Bedarf!$CE$2:$CE$141,_xlfn.AGGREGATE(15,6,(ROW(N_Bedarf!$CE$2:$CE$141)-1)/(--(SEARCH(DO$2,N_Bedarf!$CE$2:$CE$141)&gt;0)),ROW()-2),1),"")</f>
        <v>Mähweide (1 Schnitt + 1 bis 2 Weidegänge)</v>
      </c>
      <c r="DO140" s="2356"/>
      <c r="DP140" s="2356" t="str">
        <f t="array" ref="DP140">IFERROR(INDEX(N_Bedarf!$CE$2:$CE$141,_xlfn.AGGREGATE(15,6,(ROW(N_Bedarf!$CE$2:$CE$141)-1)/(--(SEARCH(DQ$2,N_Bedarf!$CE$2:$CE$141)&gt;0)),ROW()-2),1),"")</f>
        <v>Mähweide (1 Schnitt + 1 bis 2 Weidegänge)</v>
      </c>
      <c r="DQ140" s="2356"/>
      <c r="DR140" s="2356" t="str">
        <f t="array" ref="DR140">IFERROR(INDEX(N_Bedarf!$CE$2:$CE$141,_xlfn.AGGREGATE(15,6,(ROW(N_Bedarf!$CE$2:$CE$141)-1)/(--(SEARCH(DS$2,N_Bedarf!$CE$2:$CE$141)&gt;0)),ROW()-2),1),"")</f>
        <v>Mähweide (1 Schnitt + 1 bis 2 Weidegänge)</v>
      </c>
      <c r="DS140" s="2356"/>
      <c r="DT140" s="2356" t="str">
        <f t="array" ref="DT140">IFERROR(INDEX(N_Bedarf!$CE$2:$CE$141,_xlfn.AGGREGATE(15,6,(ROW(N_Bedarf!$CE$2:$CE$141)-1)/(--(SEARCH(DU$2,N_Bedarf!$CE$2:$CE$141)&gt;0)),ROW()-2),1),"")</f>
        <v>Mähweide (1 Schnitt + 1 bis 2 Weidegänge)</v>
      </c>
      <c r="DU140" s="2356"/>
      <c r="DV140" s="2356" t="str">
        <f t="array" ref="DV140">IFERROR(INDEX(N_Bedarf!$CE$2:$CE$141,_xlfn.AGGREGATE(15,6,(ROW(N_Bedarf!$CE$2:$CE$141)-1)/(--(SEARCH(DW$2,N_Bedarf!$CE$2:$CE$141)&gt;0)),ROW()-2),1),"")</f>
        <v>Mähweide (1 Schnitt + 1 bis 2 Weidegänge)</v>
      </c>
      <c r="DW140" s="2356"/>
      <c r="DX140" s="2356" t="str">
        <f t="array" ref="DX140">IFERROR(INDEX(N_Bedarf!$CE$2:$CE$141,_xlfn.AGGREGATE(15,6,(ROW(N_Bedarf!$CE$2:$CE$141)-1)/(--(SEARCH(DY$2,N_Bedarf!$CE$2:$CE$141)&gt;0)),ROW()-2),1),"")</f>
        <v>Mähweide (1 Schnitt + 1 bis 2 Weidegänge)</v>
      </c>
      <c r="DY140" s="2356"/>
      <c r="DZ140" s="2356" t="str">
        <f t="array" ref="DZ140">IFERROR(INDEX(N_Bedarf!$CE$2:$CE$141,_xlfn.AGGREGATE(15,6,(ROW(N_Bedarf!$CE$2:$CE$141)-1)/(--(SEARCH(EA$2,N_Bedarf!$CE$2:$CE$141)&gt;0)),ROW()-2),1),"")</f>
        <v>Mähweide (1 Schnitt + 1 bis 2 Weidegänge)</v>
      </c>
      <c r="EA140" s="2356"/>
      <c r="EB140" s="2356" t="str">
        <f t="array" ref="EB140">IFERROR(INDEX(N_Bedarf!$CE$2:$CE$141,_xlfn.AGGREGATE(15,6,(ROW(N_Bedarf!$CE$2:$CE$141)-1)/(--(SEARCH(EC$2,N_Bedarf!$CE$2:$CE$141)&gt;0)),ROW()-2),1),"")</f>
        <v>Mähweide (1 Schnitt + 1 bis 2 Weidegänge)</v>
      </c>
      <c r="EC140" s="2356"/>
    </row>
    <row r="141" spans="1:291" ht="21" customHeight="1" thickTop="1">
      <c r="A141" s="156"/>
      <c r="B141" s="156"/>
      <c r="C141" s="1758" t="s">
        <v>1805</v>
      </c>
      <c r="D141" s="1759" t="s">
        <v>1803</v>
      </c>
      <c r="E141" s="1729">
        <v>105</v>
      </c>
      <c r="F141" s="1760">
        <v>95</v>
      </c>
      <c r="G141" s="1993" t="s">
        <v>1804</v>
      </c>
      <c r="H141" s="1994">
        <v>145</v>
      </c>
      <c r="I141" s="1995">
        <v>130</v>
      </c>
      <c r="J141" s="1759" t="s">
        <v>1385</v>
      </c>
      <c r="K141" s="1729">
        <v>170</v>
      </c>
      <c r="L141" s="1760">
        <v>150</v>
      </c>
      <c r="M141" s="1759" t="s">
        <v>1386</v>
      </c>
      <c r="N141" s="1729">
        <v>180</v>
      </c>
      <c r="O141" s="1760">
        <v>160</v>
      </c>
      <c r="P141" s="1759" t="s">
        <v>1387</v>
      </c>
      <c r="Q141" s="1729">
        <v>195</v>
      </c>
      <c r="R141" s="1761">
        <v>175</v>
      </c>
      <c r="S141" s="1762">
        <v>85</v>
      </c>
      <c r="T141" s="1729">
        <v>85</v>
      </c>
      <c r="U141" s="1760">
        <v>85</v>
      </c>
      <c r="V141" s="1759">
        <v>70</v>
      </c>
      <c r="W141" s="1729">
        <v>70</v>
      </c>
      <c r="X141" s="1760">
        <v>70</v>
      </c>
      <c r="Y141" s="2009">
        <v>50</v>
      </c>
      <c r="Z141" s="2010">
        <v>55</v>
      </c>
      <c r="AA141" s="2011">
        <v>65</v>
      </c>
      <c r="AB141" s="1871" t="s">
        <v>1388</v>
      </c>
      <c r="AC141" s="1763" t="s">
        <v>1389</v>
      </c>
      <c r="AD141" s="1762">
        <v>120</v>
      </c>
      <c r="AE141" s="1729">
        <v>120</v>
      </c>
      <c r="AF141" s="1760">
        <v>120</v>
      </c>
      <c r="AG141" s="1759">
        <v>70</v>
      </c>
      <c r="AH141" s="1729">
        <v>70</v>
      </c>
      <c r="AI141" s="1760">
        <v>70</v>
      </c>
      <c r="AJ141" s="2009">
        <v>70</v>
      </c>
      <c r="AK141" s="2010">
        <v>80</v>
      </c>
      <c r="AL141" s="2011">
        <v>90</v>
      </c>
      <c r="AM141" s="1871" t="s">
        <v>1390</v>
      </c>
      <c r="AN141" s="1763" t="s">
        <v>1389</v>
      </c>
      <c r="AO141" s="156"/>
      <c r="AP141" s="156"/>
      <c r="AU141"/>
      <c r="AV141"/>
      <c r="AW141"/>
      <c r="AX141" s="1722" t="s">
        <v>2374</v>
      </c>
      <c r="AY141" s="681">
        <v>80</v>
      </c>
      <c r="AZ141" s="681">
        <v>80</v>
      </c>
      <c r="BA141" s="681" t="s">
        <v>2653</v>
      </c>
      <c r="BB141" s="681">
        <v>130</v>
      </c>
      <c r="BC141" s="681">
        <v>130</v>
      </c>
      <c r="BD141" s="681" t="s">
        <v>2738</v>
      </c>
      <c r="BE141" s="681">
        <v>180</v>
      </c>
      <c r="BF141" s="681">
        <v>180</v>
      </c>
      <c r="BG141" s="681" t="s">
        <v>2585</v>
      </c>
      <c r="BH141" s="681">
        <v>180</v>
      </c>
      <c r="BI141" s="681">
        <v>180</v>
      </c>
      <c r="BJ141" s="681" t="s">
        <v>2585</v>
      </c>
      <c r="BK141" s="681">
        <v>180</v>
      </c>
      <c r="BL141" s="681">
        <v>180</v>
      </c>
      <c r="BM141" s="681" t="s">
        <v>2585</v>
      </c>
      <c r="BN141" s="471">
        <v>0</v>
      </c>
      <c r="BO141" s="821">
        <v>30</v>
      </c>
      <c r="BP141"/>
      <c r="BQ141" s="1722" t="s">
        <v>2374</v>
      </c>
      <c r="BR141" s="470">
        <v>0</v>
      </c>
      <c r="BS141" s="470">
        <v>0</v>
      </c>
      <c r="BT141" s="470">
        <v>0</v>
      </c>
      <c r="BV141" s="1722" t="s">
        <v>2374</v>
      </c>
      <c r="BW141" s="470">
        <v>0</v>
      </c>
      <c r="BX141" s="470">
        <v>0</v>
      </c>
      <c r="BY141" s="470">
        <v>0</v>
      </c>
      <c r="CB141" s="428"/>
      <c r="CC141" s="428"/>
      <c r="CD141" s="428"/>
      <c r="CE141" s="1833" t="s">
        <v>2004</v>
      </c>
      <c r="CF141" s="1834" t="str">
        <f>IFERROR(INDEX(N_Bedarf!$CE$2:$CE$141,_xlfn.AGGREGATE(15,6,(ROW(N_Bedarf!$CE$2:$CE$141)-1)/(--(SEARCH(CG$2,N_Bedarf!$CE$2:$CE$141)&gt;0)),ROW()-2),1),"")</f>
        <v>Mähweide (2 Schnitte + 1 Weidegang)</v>
      </c>
      <c r="CG141" s="1830"/>
      <c r="CH141" s="1834" t="str">
        <f>IFERROR(INDEX(N_Bedarf!$CE$2:$CE$141,_xlfn.AGGREGATE(15,6,(ROW(N_Bedarf!$CE$2:$CE$141)-1)/(--(SEARCH(CI$2,N_Bedarf!$CE$2:$CE$141)&gt;0)),ROW()-2),1),"")</f>
        <v>Mähweide (2 Schnitte + 1 Weidegang)</v>
      </c>
      <c r="CI141" s="1830"/>
      <c r="CJ141" s="1834" t="str">
        <f>IFERROR(INDEX(N_Bedarf!$CE$2:$CE$141,_xlfn.AGGREGATE(15,6,(ROW(N_Bedarf!$CE$2:$CE$141)-1)/(--(SEARCH(CK$2,N_Bedarf!$CE$2:$CE$141)&gt;0)),ROW()-2),1),"")</f>
        <v>Mähweide (2 Schnitte + 1 Weidegang)</v>
      </c>
      <c r="CK141" s="1830"/>
      <c r="CL141" s="1834" t="str">
        <f>IFERROR(INDEX(N_Bedarf!$CE$2:$CE$141,_xlfn.AGGREGATE(15,6,(ROW(N_Bedarf!$CE$2:$CE$141)-1)/(--(SEARCH(CM$2,N_Bedarf!$CE$2:$CE$141)&gt;0)),ROW()-2),1),"")</f>
        <v>Mähweide (2 Schnitte + 1 Weidegang)</v>
      </c>
      <c r="CM141" s="1830"/>
      <c r="CN141" s="1834" t="str">
        <f>IFERROR(INDEX(N_Bedarf!$CE$2:$CE$141,_xlfn.AGGREGATE(15,6,(ROW(N_Bedarf!$CE$2:$CE$141)-1)/(--(SEARCH(CO$2,N_Bedarf!$CE$2:$CE$141)&gt;0)),ROW()-2),1),"")</f>
        <v>Mähweide (2 Schnitte + 1 Weidegang)</v>
      </c>
      <c r="CO141" s="1830"/>
      <c r="CP141" s="1834" t="str">
        <f>IFERROR(INDEX(N_Bedarf!$CE$2:$CE$141,_xlfn.AGGREGATE(15,6,(ROW(N_Bedarf!$CE$2:$CE$141)-1)/(--(SEARCH(CQ$2,N_Bedarf!$CE$2:$CE$141)&gt;0)),ROW()-2),1),"")</f>
        <v>Mähweide (2 Schnitte + 1 Weidegang)</v>
      </c>
      <c r="CQ141" s="1830"/>
      <c r="CR141" s="1834" t="str">
        <f>IFERROR(INDEX(N_Bedarf!$CE$2:$CE$141,_xlfn.AGGREGATE(15,6,(ROW(N_Bedarf!$CE$2:$CE$141)-1)/(--(SEARCH(CS$2,N_Bedarf!$CE$2:$CE$141)&gt;0)),ROW()-2),1),"")</f>
        <v>Mähweide (2 Schnitte + 1 Weidegang)</v>
      </c>
      <c r="CS141" s="1830"/>
      <c r="CT141" s="1834" t="str">
        <f>IFERROR(INDEX(N_Bedarf!$CE$2:$CE$141,_xlfn.AGGREGATE(15,6,(ROW(N_Bedarf!$CE$2:$CE$141)-1)/(--(SEARCH(CU$2,N_Bedarf!$CE$2:$CE$141)&gt;0)),ROW()-2),1),"")</f>
        <v>Mähweide (2 Schnitte + 1 Weidegang)</v>
      </c>
      <c r="CU141" s="1830"/>
      <c r="CV141" s="1834" t="str">
        <f>IFERROR(INDEX(N_Bedarf!$CE$2:$CE$141,_xlfn.AGGREGATE(15,6,(ROW(N_Bedarf!$CE$2:$CE$141)-1)/(--(SEARCH(CW$2,N_Bedarf!$CE$2:$CE$141)&gt;0)),ROW()-2),1),"")</f>
        <v>Mähweide (2 Schnitte + 1 Weidegang)</v>
      </c>
      <c r="CW141" s="1830"/>
      <c r="CX141" s="1834" t="str">
        <f>IFERROR(INDEX(N_Bedarf!$CE$2:$CE$141,_xlfn.AGGREGATE(15,6,(ROW(N_Bedarf!$CE$2:$CE$141)-1)/(--(SEARCH(CY$2,N_Bedarf!$CE$2:$CE$141)&gt;0)),ROW()-2),1),"")</f>
        <v>Mähweide (2 Schnitte + 1 Weidegang)</v>
      </c>
      <c r="CY141" s="1830"/>
      <c r="CZ141" s="1834" t="str">
        <f>IFERROR(INDEX(N_Bedarf!$CE$2:$CE$141,_xlfn.AGGREGATE(15,6,(ROW(N_Bedarf!$CE$2:$CE$141)-1)/(--(SEARCH(DA$2,N_Bedarf!$CE$2:$CE$141)&gt;0)),ROW()-2),1),"")</f>
        <v>Mähweide (2 Schnitte + 1 Weidegang)</v>
      </c>
      <c r="DA141" s="1830"/>
      <c r="DB141" s="1834" t="str">
        <f>IFERROR(INDEX(N_Bedarf!$CE$2:$CE$141,_xlfn.AGGREGATE(15,6,(ROW(N_Bedarf!$CE$2:$CE$141)-1)/(--(SEARCH(DC$2,N_Bedarf!$CE$2:$CE$141)&gt;0)),ROW()-2),1),"")</f>
        <v>Mähweide (2 Schnitte + 1 Weidegang)</v>
      </c>
      <c r="DC141" s="1830"/>
      <c r="DD141" s="1834" t="str">
        <f>IFERROR(INDEX(N_Bedarf!$CE$2:$CE$141,_xlfn.AGGREGATE(15,6,(ROW(N_Bedarf!$CE$2:$CE$141)-1)/(--(SEARCH(DE$2,N_Bedarf!$CE$2:$CE$141)&gt;0)),ROW()-2),1),"")</f>
        <v>Mähweide (2 Schnitte + 1 Weidegang)</v>
      </c>
      <c r="DE141" s="1830"/>
      <c r="DF141" s="2353" t="str">
        <f t="array" ref="DF141">IFERROR(INDEX(N_Bedarf!$CE$2:$CE$141,_xlfn.AGGREGATE(15,6,(ROW(N_Bedarf!$CE$2:$CE$141)-1)/(--(SEARCH(DG$2,N_Bedarf!$CE$2:$CE$141)&gt;0)),ROW()-2),1),"")</f>
        <v>Mähweide (2 Schnitte + 1 Weidegang)</v>
      </c>
      <c r="DG141" s="2353"/>
      <c r="DH141" s="2355" t="str">
        <f t="array" ref="DH141">IFERROR(INDEX(N_Bedarf!$CE$2:$CE$141,_xlfn.AGGREGATE(15,6,(ROW(N_Bedarf!$CE$2:$CE$141)-1)/(--(SEARCH(DI$2,N_Bedarf!$CE$2:$CE$141)&gt;0)),ROW()-2),1),"")</f>
        <v>Mähweide (2 Schnitte + 1 Weidegang)</v>
      </c>
      <c r="DI141" s="2355"/>
      <c r="DJ141" s="2356" t="str">
        <f t="array" ref="DJ141">IFERROR(INDEX(N_Bedarf!$CE$2:$CE$141,_xlfn.AGGREGATE(15,6,(ROW(N_Bedarf!$CE$2:$CE$141)-1)/(--(SEARCH(DK$2,N_Bedarf!$CE$2:$CE$141)&gt;0)),ROW()-2),1),"")</f>
        <v>Mähweide (2 Schnitte + 1 Weidegang)</v>
      </c>
      <c r="DK141" s="2356"/>
      <c r="DL141" s="2356" t="str">
        <f t="array" ref="DL141">IFERROR(INDEX(N_Bedarf!$CE$2:$CE$141,_xlfn.AGGREGATE(15,6,(ROW(N_Bedarf!$CE$2:$CE$141)-1)/(--(SEARCH(DM$2,N_Bedarf!$CE$2:$CE$141)&gt;0)),ROW()-2),1),"")</f>
        <v>Mähweide (2 Schnitte + 1 Weidegang)</v>
      </c>
      <c r="DM141" s="2356"/>
      <c r="DN141" s="2356" t="str">
        <f t="array" ref="DN141">IFERROR(INDEX(N_Bedarf!$CE$2:$CE$141,_xlfn.AGGREGATE(15,6,(ROW(N_Bedarf!$CE$2:$CE$141)-1)/(--(SEARCH(DO$2,N_Bedarf!$CE$2:$CE$141)&gt;0)),ROW()-2),1),"")</f>
        <v>Mähweide (2 Schnitte + 1 Weidegang)</v>
      </c>
      <c r="DO141" s="2356"/>
      <c r="DP141" s="2356" t="str">
        <f t="array" ref="DP141">IFERROR(INDEX(N_Bedarf!$CE$2:$CE$141,_xlfn.AGGREGATE(15,6,(ROW(N_Bedarf!$CE$2:$CE$141)-1)/(--(SEARCH(DQ$2,N_Bedarf!$CE$2:$CE$141)&gt;0)),ROW()-2),1),"")</f>
        <v>Mähweide (2 Schnitte + 1 Weidegang)</v>
      </c>
      <c r="DQ141" s="2356"/>
      <c r="DR141" s="2356" t="str">
        <f t="array" ref="DR141">IFERROR(INDEX(N_Bedarf!$CE$2:$CE$141,_xlfn.AGGREGATE(15,6,(ROW(N_Bedarf!$CE$2:$CE$141)-1)/(--(SEARCH(DS$2,N_Bedarf!$CE$2:$CE$141)&gt;0)),ROW()-2),1),"")</f>
        <v>Mähweide (2 Schnitte + 1 Weidegang)</v>
      </c>
      <c r="DS141" s="2356"/>
      <c r="DT141" s="2356" t="str">
        <f t="array" ref="DT141">IFERROR(INDEX(N_Bedarf!$CE$2:$CE$141,_xlfn.AGGREGATE(15,6,(ROW(N_Bedarf!$CE$2:$CE$141)-1)/(--(SEARCH(DU$2,N_Bedarf!$CE$2:$CE$141)&gt;0)),ROW()-2),1),"")</f>
        <v>Mähweide (2 Schnitte + 1 Weidegang)</v>
      </c>
      <c r="DU141" s="2356"/>
      <c r="DV141" s="2356" t="str">
        <f t="array" ref="DV141">IFERROR(INDEX(N_Bedarf!$CE$2:$CE$141,_xlfn.AGGREGATE(15,6,(ROW(N_Bedarf!$CE$2:$CE$141)-1)/(--(SEARCH(DW$2,N_Bedarf!$CE$2:$CE$141)&gt;0)),ROW()-2),1),"")</f>
        <v>Mähweide (2 Schnitte + 1 Weidegang)</v>
      </c>
      <c r="DW141" s="2356"/>
      <c r="DX141" s="2356" t="str">
        <f t="array" ref="DX141">IFERROR(INDEX(N_Bedarf!$CE$2:$CE$141,_xlfn.AGGREGATE(15,6,(ROW(N_Bedarf!$CE$2:$CE$141)-1)/(--(SEARCH(DY$2,N_Bedarf!$CE$2:$CE$141)&gt;0)),ROW()-2),1),"")</f>
        <v>Mähweide (2 Schnitte + 1 Weidegang)</v>
      </c>
      <c r="DY141" s="2356"/>
      <c r="DZ141" s="2356" t="str">
        <f t="array" ref="DZ141">IFERROR(INDEX(N_Bedarf!$CE$2:$CE$141,_xlfn.AGGREGATE(15,6,(ROW(N_Bedarf!$CE$2:$CE$141)-1)/(--(SEARCH(EA$2,N_Bedarf!$CE$2:$CE$141)&gt;0)),ROW()-2),1),"")</f>
        <v>Mähweide (2 Schnitte + 1 Weidegang)</v>
      </c>
      <c r="EA141" s="2356"/>
      <c r="EB141" s="2356" t="str">
        <f t="array" ref="EB141">IFERROR(INDEX(N_Bedarf!$CE$2:$CE$141,_xlfn.AGGREGATE(15,6,(ROW(N_Bedarf!$CE$2:$CE$141)-1)/(--(SEARCH(EC$2,N_Bedarf!$CE$2:$CE$141)&gt;0)),ROW()-2),1),"")</f>
        <v>Mähweide (2 Schnitte + 1 Weidegang)</v>
      </c>
      <c r="EC141" s="2356"/>
    </row>
    <row r="142" spans="1:291" ht="21" customHeight="1">
      <c r="A142" s="156"/>
      <c r="B142" s="156"/>
      <c r="C142" s="1758" t="s">
        <v>1806</v>
      </c>
      <c r="D142" s="1759" t="s">
        <v>585</v>
      </c>
      <c r="E142" s="1729">
        <v>105</v>
      </c>
      <c r="F142" s="1760">
        <v>95</v>
      </c>
      <c r="G142" s="1993" t="s">
        <v>1582</v>
      </c>
      <c r="H142" s="1994">
        <v>145</v>
      </c>
      <c r="I142" s="1995">
        <v>130</v>
      </c>
      <c r="J142" s="1759" t="s">
        <v>1391</v>
      </c>
      <c r="K142" s="1729">
        <v>170</v>
      </c>
      <c r="L142" s="1760">
        <v>150</v>
      </c>
      <c r="M142" s="1759" t="s">
        <v>1807</v>
      </c>
      <c r="N142" s="1729">
        <v>180</v>
      </c>
      <c r="O142" s="1760">
        <v>160</v>
      </c>
      <c r="P142" s="1759" t="s">
        <v>1404</v>
      </c>
      <c r="Q142" s="1729">
        <v>195</v>
      </c>
      <c r="R142" s="1761">
        <v>175</v>
      </c>
      <c r="S142" s="1762">
        <v>85</v>
      </c>
      <c r="T142" s="1729">
        <v>85</v>
      </c>
      <c r="U142" s="1760">
        <v>85</v>
      </c>
      <c r="V142" s="1759">
        <v>70</v>
      </c>
      <c r="W142" s="1729">
        <v>70</v>
      </c>
      <c r="X142" s="1760">
        <v>70</v>
      </c>
      <c r="Y142" s="2009">
        <v>50</v>
      </c>
      <c r="Z142" s="2010">
        <v>55</v>
      </c>
      <c r="AA142" s="2011">
        <v>65</v>
      </c>
      <c r="AB142" s="1871" t="s">
        <v>1388</v>
      </c>
      <c r="AC142" s="1763" t="s">
        <v>1389</v>
      </c>
      <c r="AD142" s="1762">
        <v>120</v>
      </c>
      <c r="AE142" s="1729">
        <v>120</v>
      </c>
      <c r="AF142" s="1760">
        <v>120</v>
      </c>
      <c r="AG142" s="1759">
        <v>70</v>
      </c>
      <c r="AH142" s="1729">
        <v>70</v>
      </c>
      <c r="AI142" s="1760">
        <v>70</v>
      </c>
      <c r="AJ142" s="2009">
        <v>70</v>
      </c>
      <c r="AK142" s="2010">
        <v>80</v>
      </c>
      <c r="AL142" s="2011">
        <v>90</v>
      </c>
      <c r="AM142" s="1871" t="s">
        <v>1390</v>
      </c>
      <c r="AN142" s="1763" t="s">
        <v>1389</v>
      </c>
      <c r="AO142" s="156"/>
      <c r="AP142" s="156"/>
      <c r="AU142"/>
      <c r="AV142"/>
      <c r="AW142"/>
      <c r="AX142" s="1722" t="s">
        <v>2002</v>
      </c>
      <c r="AY142" s="681">
        <v>60</v>
      </c>
      <c r="AZ142" s="681">
        <v>60</v>
      </c>
      <c r="BA142" s="681" t="s">
        <v>2703</v>
      </c>
      <c r="BB142" s="681">
        <v>90</v>
      </c>
      <c r="BC142" s="681">
        <v>90</v>
      </c>
      <c r="BD142" s="681" t="s">
        <v>2595</v>
      </c>
      <c r="BE142" s="681">
        <v>90</v>
      </c>
      <c r="BF142" s="681">
        <v>90</v>
      </c>
      <c r="BG142" s="681" t="s">
        <v>2595</v>
      </c>
      <c r="BH142" s="681">
        <v>90</v>
      </c>
      <c r="BI142" s="681">
        <v>90</v>
      </c>
      <c r="BJ142" s="681" t="s">
        <v>2595</v>
      </c>
      <c r="BK142" s="681">
        <v>90</v>
      </c>
      <c r="BL142" s="681">
        <v>90</v>
      </c>
      <c r="BM142" s="681" t="s">
        <v>2595</v>
      </c>
      <c r="BN142" s="471">
        <v>0</v>
      </c>
      <c r="BO142" s="821">
        <v>30</v>
      </c>
      <c r="BP142"/>
      <c r="BQ142" s="1722" t="s">
        <v>2002</v>
      </c>
      <c r="BR142" s="470">
        <v>40</v>
      </c>
      <c r="BS142" s="470">
        <v>50</v>
      </c>
      <c r="BT142" s="470">
        <v>50</v>
      </c>
      <c r="BV142" s="1722" t="s">
        <v>2002</v>
      </c>
      <c r="BW142" s="470">
        <v>110</v>
      </c>
      <c r="BX142" s="470">
        <v>140</v>
      </c>
      <c r="BY142" s="470">
        <v>140</v>
      </c>
      <c r="CB142" s="428"/>
      <c r="CC142" s="428"/>
      <c r="CD142" s="428"/>
      <c r="CE142" s="2366"/>
      <c r="CF142" s="2367" t="str">
        <f>IFERROR(INDEX(N_Bedarf!$CE$2:$CE$142,_xlfn.AGGREGATE(15,6,(ROW(N_Bedarf!$CE$2:$CE$142)-1)/(--(SEARCH(CG$2,N_Bedarf!$CE$2:$CE$142)&gt;0)),ROW()-2),1),"")</f>
        <v>Mähweide (2 Schnitte + 2 oder mehr Weidegänge)</v>
      </c>
      <c r="CG142" s="2367"/>
      <c r="CH142" s="2367" t="str">
        <f>IFERROR(INDEX(N_Bedarf!$CE$2:$CE$142,_xlfn.AGGREGATE(15,6,(ROW(N_Bedarf!$CE$2:$CE$142)-1)/(--(SEARCH(CI$2,N_Bedarf!$CE$2:$CE$142)&gt;0)),ROW()-2),1),"")</f>
        <v>Mähweide (2 Schnitte + 2 oder mehr Weidegänge)</v>
      </c>
      <c r="CI142" s="2367"/>
      <c r="CJ142" s="2367" t="str">
        <f>IFERROR(INDEX(N_Bedarf!$CE$2:$CE$142,_xlfn.AGGREGATE(15,6,(ROW(N_Bedarf!$CE$2:$CE$142)-1)/(--(SEARCH(CK$2,N_Bedarf!$CE$2:$CE$142)&gt;0)),ROW()-2),1),"")</f>
        <v>Mähweide (2 Schnitte + 2 oder mehr Weidegänge)</v>
      </c>
      <c r="CK142" s="2367"/>
      <c r="CL142" s="2367" t="str">
        <f>IFERROR(INDEX(N_Bedarf!$CE$2:$CE$142,_xlfn.AGGREGATE(15,6,(ROW(N_Bedarf!$CE$2:$CE$142)-1)/(--(SEARCH(CM$2,N_Bedarf!$CE$2:$CE$142)&gt;0)),ROW()-2),1),"")</f>
        <v>Mähweide (2 Schnitte + 2 oder mehr Weidegänge)</v>
      </c>
      <c r="CM142" s="2367"/>
      <c r="CN142" s="2367" t="str">
        <f>IFERROR(INDEX(N_Bedarf!$CE$2:$CE$142,_xlfn.AGGREGATE(15,6,(ROW(N_Bedarf!$CE$2:$CE$142)-1)/(--(SEARCH(CO$2,N_Bedarf!$CE$2:$CE$142)&gt;0)),ROW()-2),1),"")</f>
        <v>Mähweide (2 Schnitte + 2 oder mehr Weidegänge)</v>
      </c>
      <c r="CO142" s="2367"/>
      <c r="CP142" s="2367" t="str">
        <f>IFERROR(INDEX(N_Bedarf!$CE$2:$CE$142,_xlfn.AGGREGATE(15,6,(ROW(N_Bedarf!$CE$2:$CE$142)-1)/(--(SEARCH(CQ$2,N_Bedarf!$CE$2:$CE$142)&gt;0)),ROW()-2),1),"")</f>
        <v>Mähweide (2 Schnitte + 2 oder mehr Weidegänge)</v>
      </c>
      <c r="CQ142" s="2367"/>
      <c r="CR142" s="2367" t="str">
        <f>IFERROR(INDEX(N_Bedarf!$CE$2:$CE$142,_xlfn.AGGREGATE(15,6,(ROW(N_Bedarf!$CE$2:$CE$142)-1)/(--(SEARCH(CS$2,N_Bedarf!$CE$2:$CE$142)&gt;0)),ROW()-2),1),"")</f>
        <v>Mähweide (2 Schnitte + 2 oder mehr Weidegänge)</v>
      </c>
      <c r="CS142" s="2367"/>
      <c r="CT142" s="2367" t="str">
        <f>IFERROR(INDEX(N_Bedarf!$CE$2:$CE$142,_xlfn.AGGREGATE(15,6,(ROW(N_Bedarf!$CE$2:$CE$142)-1)/(--(SEARCH(CU$2,N_Bedarf!$CE$2:$CE$142)&gt;0)),ROW()-2),1),"")</f>
        <v>Mähweide (2 Schnitte + 2 oder mehr Weidegänge)</v>
      </c>
      <c r="CU142" s="2367"/>
      <c r="CV142" s="2367" t="str">
        <f>IFERROR(INDEX(N_Bedarf!$CE$2:$CE$142,_xlfn.AGGREGATE(15,6,(ROW(N_Bedarf!$CE$2:$CE$142)-1)/(--(SEARCH(CW$2,N_Bedarf!$CE$2:$CE$142)&gt;0)),ROW()-2),1),"")</f>
        <v>Mähweide (2 Schnitte + 2 oder mehr Weidegänge)</v>
      </c>
      <c r="CW142" s="2367"/>
      <c r="CX142" s="2367" t="str">
        <f>IFERROR(INDEX(N_Bedarf!$CE$2:$CE$142,_xlfn.AGGREGATE(15,6,(ROW(N_Bedarf!$CE$2:$CE$142)-1)/(--(SEARCH(CY$2,N_Bedarf!$CE$2:$CE$142)&gt;0)),ROW()-2),1),"")</f>
        <v>Mähweide (2 Schnitte + 2 oder mehr Weidegänge)</v>
      </c>
      <c r="CY142" s="2367"/>
      <c r="CZ142" s="2367" t="str">
        <f>IFERROR(INDEX(N_Bedarf!$CE$2:$CE$142,_xlfn.AGGREGATE(15,6,(ROW(N_Bedarf!$CE$2:$CE$142)-1)/(--(SEARCH(DA$2,N_Bedarf!$CE$2:$CE$142)&gt;0)),ROW()-2),1),"")</f>
        <v>Mähweide (2 Schnitte + 2 oder mehr Weidegänge)</v>
      </c>
      <c r="DA142" s="2367"/>
      <c r="DB142" s="2367" t="str">
        <f>IFERROR(INDEX(N_Bedarf!$CE$2:$CE$142,_xlfn.AGGREGATE(15,6,(ROW(N_Bedarf!$CE$2:$CE$142)-1)/(--(SEARCH(DC$2,N_Bedarf!$CE$2:$CE$142)&gt;0)),ROW()-2),1),"")</f>
        <v>Mähweide (2 Schnitte + 2 oder mehr Weidegänge)</v>
      </c>
      <c r="DC142" s="2367"/>
      <c r="DD142" s="2367" t="str">
        <f>IFERROR(INDEX(N_Bedarf!$CE$2:$CE$142,_xlfn.AGGREGATE(15,6,(ROW(N_Bedarf!$CE$2:$CE$142)-1)/(--(SEARCH(DE$2,N_Bedarf!$CE$2:$CE$142)&gt;0)),ROW()-2),1),"")</f>
        <v>Mähweide (2 Schnitte + 2 oder mehr Weidegänge)</v>
      </c>
      <c r="DE142" s="2367"/>
      <c r="DF142" s="2367" t="str">
        <f t="array" ref="DF142">IFERROR(INDEX(N_Bedarf!$CE$2:$CE$142,_xlfn.AGGREGATE(15,6,(ROW(N_Bedarf!$CE$2:$CE$142)-1)/(--(SEARCH(DG$2,N_Bedarf!$CE$2:$CE$142)&gt;0)),ROW()-2),1),"")</f>
        <v>Mähweide (2 Schnitte + 2 oder mehr Weidegänge)</v>
      </c>
      <c r="DG142" s="2367"/>
      <c r="DH142" s="2355" t="str">
        <f t="array" ref="DH142">IFERROR(INDEX(N_Bedarf!$CE$2:$CE$141,_xlfn.AGGREGATE(15,6,(ROW(N_Bedarf!$CE$2:$CE$141)-1)/(--(SEARCH(DI$2,N_Bedarf!$CE$2:$CE$141)&gt;0)),ROW()-2),1),"")</f>
        <v>Mähweide (2 Schnitte + 2 oder mehr Weidegänge)</v>
      </c>
      <c r="DI142" s="2367"/>
      <c r="DJ142" s="2367"/>
      <c r="DK142" s="2367"/>
      <c r="DL142" s="2367" t="str">
        <f t="array" ref="DL142">IFERROR(INDEX(N_Bedarf!$CE$2:$CE$142,_xlfn.AGGREGATE(15,6,(ROW(N_Bedarf!$CE$2:$CE$142)-1)/(--(SEARCH(DM$2,N_Bedarf!$CE$2:$CE$142)&gt;0)),ROW()-2),1),"")</f>
        <v>Mähweide (2 Schnitte + 2 oder mehr Weidegänge)</v>
      </c>
      <c r="DM142" s="2367"/>
      <c r="DN142" s="2367" t="str">
        <f t="array" ref="DN142">IFERROR(INDEX(N_Bedarf!$CE$2:$CE$142,_xlfn.AGGREGATE(15,6,(ROW(N_Bedarf!$CE$2:$CE$142)-1)/(--(SEARCH(DO$2,N_Bedarf!$CE$2:$CE$142)&gt;0)),ROW()-2),1),"")</f>
        <v>Mähweide (2 Schnitte + 2 oder mehr Weidegänge)</v>
      </c>
      <c r="DO142" s="2367"/>
      <c r="DP142" s="2367" t="str">
        <f t="array" ref="DP142">IFERROR(INDEX(N_Bedarf!$CE$2:$CE$142,_xlfn.AGGREGATE(15,6,(ROW(N_Bedarf!$CE$2:$CE$142)-1)/(--(SEARCH(DQ$2,N_Bedarf!$CE$2:$CE$142)&gt;0)),ROW()-2),1),"")</f>
        <v>Mähweide (2 Schnitte + 2 oder mehr Weidegänge)</v>
      </c>
      <c r="DQ142" s="2367"/>
      <c r="DR142" s="2367" t="str">
        <f t="array" ref="DR142">IFERROR(INDEX(N_Bedarf!$CE$2:$CE$142,_xlfn.AGGREGATE(15,6,(ROW(N_Bedarf!$CE$2:$CE$142)-1)/(--(SEARCH(DS$2,N_Bedarf!$CE$2:$CE$142)&gt;0)),ROW()-2),1),"")</f>
        <v>Mähweide (2 Schnitte + 2 oder mehr Weidegänge)</v>
      </c>
      <c r="DS142" s="2367"/>
      <c r="DT142" s="2367" t="str">
        <f t="array" ref="DT142">IFERROR(INDEX(N_Bedarf!$CE$2:$CE$142,_xlfn.AGGREGATE(15,6,(ROW(N_Bedarf!$CE$2:$CE$142)-1)/(--(SEARCH(DU$2,N_Bedarf!$CE$2:$CE$142)&gt;0)),ROW()-2),1),"")</f>
        <v>Mähweide (2 Schnitte + 2 oder mehr Weidegänge)</v>
      </c>
      <c r="DU142" s="2367"/>
      <c r="DV142" s="2367" t="str">
        <f t="array" ref="DV142">IFERROR(INDEX(N_Bedarf!$CE$2:$CE$142,_xlfn.AGGREGATE(15,6,(ROW(N_Bedarf!$CE$2:$CE$142)-1)/(--(SEARCH(DW$2,N_Bedarf!$CE$2:$CE$142)&gt;0)),ROW()-2),1),"")</f>
        <v>Mähweide (2 Schnitte + 2 oder mehr Weidegänge)</v>
      </c>
      <c r="DW142" s="2367"/>
      <c r="DX142" s="2367" t="str">
        <f t="array" ref="DX142">IFERROR(INDEX(N_Bedarf!$CE$2:$CE$142,_xlfn.AGGREGATE(15,6,(ROW(N_Bedarf!$CE$2:$CE$142)-1)/(--(SEARCH(DY$2,N_Bedarf!$CE$2:$CE$142)&gt;0)),ROW()-2),1),"")</f>
        <v>Mähweide (2 Schnitte + 2 oder mehr Weidegänge)</v>
      </c>
      <c r="DY142" s="2367"/>
      <c r="DZ142" s="2367" t="str">
        <f t="array" ref="DZ142">IFERROR(INDEX(N_Bedarf!$CE$2:$CE$142,_xlfn.AGGREGATE(15,6,(ROW(N_Bedarf!$CE$2:$CE$142)-1)/(--(SEARCH(EA$2,N_Bedarf!$CE$2:$CE$142)&gt;0)),ROW()-2),1),"")</f>
        <v>Mähweide (2 Schnitte + 2 oder mehr Weidegänge)</v>
      </c>
      <c r="EA142" s="2367"/>
      <c r="EB142" s="2367" t="str">
        <f t="array" ref="EB142">IFERROR(INDEX(N_Bedarf!$CE$2:$CE$142,_xlfn.AGGREGATE(15,6,(ROW(N_Bedarf!$CE$2:$CE$142)-1)/(--(SEARCH(EC$2,N_Bedarf!$CE$2:$CE$142)&gt;0)),ROW()-2),1),"")</f>
        <v>Mähweide (2 Schnitte + 2 oder mehr Weidegänge)</v>
      </c>
      <c r="EC142" s="2367"/>
    </row>
    <row r="143" spans="1:291" ht="21" customHeight="1">
      <c r="A143" s="156"/>
      <c r="B143" s="156"/>
      <c r="C143" s="1758" t="s">
        <v>1720</v>
      </c>
      <c r="D143" s="1759" t="s">
        <v>1808</v>
      </c>
      <c r="E143" s="1729">
        <v>60</v>
      </c>
      <c r="F143" s="1760">
        <v>50</v>
      </c>
      <c r="G143" s="1993" t="s">
        <v>1809</v>
      </c>
      <c r="H143" s="1994">
        <v>60</v>
      </c>
      <c r="I143" s="1995">
        <v>50</v>
      </c>
      <c r="J143" s="1759" t="s">
        <v>1810</v>
      </c>
      <c r="K143" s="1729">
        <v>60</v>
      </c>
      <c r="L143" s="1760">
        <v>50</v>
      </c>
      <c r="M143" s="1759" t="s">
        <v>1811</v>
      </c>
      <c r="N143" s="1729">
        <v>60</v>
      </c>
      <c r="O143" s="1760">
        <v>50</v>
      </c>
      <c r="P143" s="1759" t="s">
        <v>1812</v>
      </c>
      <c r="Q143" s="1729">
        <v>60</v>
      </c>
      <c r="R143" s="1761">
        <v>50</v>
      </c>
      <c r="S143" s="1762">
        <v>100</v>
      </c>
      <c r="T143" s="1729">
        <v>100</v>
      </c>
      <c r="U143" s="1760">
        <v>100</v>
      </c>
      <c r="V143" s="1759">
        <v>80</v>
      </c>
      <c r="W143" s="1729">
        <v>80</v>
      </c>
      <c r="X143" s="1760">
        <v>80</v>
      </c>
      <c r="Y143" s="2009">
        <v>60</v>
      </c>
      <c r="Z143" s="2010">
        <v>65</v>
      </c>
      <c r="AA143" s="2011">
        <v>75</v>
      </c>
      <c r="AB143" s="1871" t="s">
        <v>1388</v>
      </c>
      <c r="AC143" s="1763" t="s">
        <v>1389</v>
      </c>
      <c r="AD143" s="1762">
        <v>120</v>
      </c>
      <c r="AE143" s="1729">
        <v>120</v>
      </c>
      <c r="AF143" s="1760">
        <v>120</v>
      </c>
      <c r="AG143" s="1759">
        <v>100</v>
      </c>
      <c r="AH143" s="1729">
        <v>100</v>
      </c>
      <c r="AI143" s="1760">
        <v>100</v>
      </c>
      <c r="AJ143" s="2009">
        <v>70</v>
      </c>
      <c r="AK143" s="2010">
        <v>80</v>
      </c>
      <c r="AL143" s="2011">
        <v>90</v>
      </c>
      <c r="AM143" s="1871" t="s">
        <v>1390</v>
      </c>
      <c r="AN143" s="1763" t="s">
        <v>1389</v>
      </c>
      <c r="AO143" s="156"/>
      <c r="AP143" s="156"/>
      <c r="AU143"/>
      <c r="AV143"/>
      <c r="AW143"/>
      <c r="AX143" s="1722" t="s">
        <v>2003</v>
      </c>
      <c r="AY143" s="681">
        <v>110</v>
      </c>
      <c r="AZ143" s="681">
        <v>110</v>
      </c>
      <c r="BA143" s="681" t="s">
        <v>2704</v>
      </c>
      <c r="BB143" s="681">
        <v>110</v>
      </c>
      <c r="BC143" s="681">
        <v>110</v>
      </c>
      <c r="BD143" s="681" t="s">
        <v>2704</v>
      </c>
      <c r="BE143" s="681">
        <v>140</v>
      </c>
      <c r="BF143" s="681">
        <v>140</v>
      </c>
      <c r="BG143" s="681" t="s">
        <v>2584</v>
      </c>
      <c r="BH143" s="681">
        <v>140</v>
      </c>
      <c r="BI143" s="681">
        <v>140</v>
      </c>
      <c r="BJ143" s="681" t="s">
        <v>2584</v>
      </c>
      <c r="BK143" s="681">
        <v>140</v>
      </c>
      <c r="BL143" s="681">
        <v>140</v>
      </c>
      <c r="BM143" s="681" t="s">
        <v>2584</v>
      </c>
      <c r="BN143" s="471">
        <v>0</v>
      </c>
      <c r="BO143" s="821">
        <v>30</v>
      </c>
      <c r="BP143"/>
      <c r="BQ143" s="1722" t="s">
        <v>2003</v>
      </c>
      <c r="BR143" s="470">
        <v>45</v>
      </c>
      <c r="BS143" s="470">
        <v>60</v>
      </c>
      <c r="BT143" s="470">
        <v>80</v>
      </c>
      <c r="BV143" s="1722" t="s">
        <v>2003</v>
      </c>
      <c r="BW143" s="470">
        <v>145</v>
      </c>
      <c r="BX143" s="470">
        <v>190</v>
      </c>
      <c r="BY143" s="470">
        <v>225</v>
      </c>
      <c r="CB143" s="428"/>
      <c r="CC143" s="428"/>
      <c r="CD143" s="428"/>
      <c r="CE143" s="1669"/>
      <c r="CF143" s="1620">
        <f>IFERROR(INDEX(N_Bedarf!$CE$2:$CE$304,_xlfn.AGGREGATE(15,6,(ROW(N_Bedarf!$CE$2:$CE$304)-1)/(--(SEARCH(CG$2,N_Bedarf!$CE$2:$CE$304)&gt;0)),ROW()-2),1),"")</f>
        <v>0</v>
      </c>
      <c r="CG143" s="1620"/>
      <c r="CH143" s="1620">
        <f>IFERROR(INDEX(N_Bedarf!$CE$2:$CE$304,_xlfn.AGGREGATE(15,6,(ROW(N_Bedarf!$CE$2:$CE$304)-1)/(--(SEARCH(CI$2,N_Bedarf!$CE$2:$CE$304)&gt;0)),ROW()-2),1),"")</f>
        <v>0</v>
      </c>
      <c r="CI143" s="1620"/>
      <c r="CJ143" s="1620">
        <f>IFERROR(INDEX(N_Bedarf!$CE$2:$CE$304,_xlfn.AGGREGATE(15,6,(ROW(N_Bedarf!$CE$2:$CE$304)-1)/(--(SEARCH(CK$2,N_Bedarf!$CE$2:$CE$304)&gt;0)),ROW()-2),1),"")</f>
        <v>0</v>
      </c>
      <c r="CK143" s="1620"/>
      <c r="CL143" s="1620">
        <f>IFERROR(INDEX(N_Bedarf!$CE$2:$CE$304,_xlfn.AGGREGATE(15,6,(ROW(N_Bedarf!$CE$2:$CE$304)-1)/(--(SEARCH(CM$2,N_Bedarf!$CE$2:$CE$304)&gt;0)),ROW()-2),1),"")</f>
        <v>0</v>
      </c>
      <c r="CM143" s="1620"/>
      <c r="CN143" s="1620">
        <f>IFERROR(INDEX(N_Bedarf!$CE$2:$CE$304,_xlfn.AGGREGATE(15,6,(ROW(N_Bedarf!$CE$2:$CE$304)-1)/(--(SEARCH(CO$2,N_Bedarf!$CE$2:$CE$304)&gt;0)),ROW()-2),1),"")</f>
        <v>0</v>
      </c>
      <c r="CO143" s="1620"/>
      <c r="CP143" s="1620">
        <f>IFERROR(INDEX(N_Bedarf!$CE$2:$CE$304,_xlfn.AGGREGATE(15,6,(ROW(N_Bedarf!$CE$2:$CE$304)-1)/(--(SEARCH(CQ$2,N_Bedarf!$CE$2:$CE$304)&gt;0)),ROW()-2),1),"")</f>
        <v>0</v>
      </c>
      <c r="CQ143" s="1620"/>
      <c r="CR143" s="1620">
        <f>IFERROR(INDEX(N_Bedarf!$CE$2:$CE$304,_xlfn.AGGREGATE(15,6,(ROW(N_Bedarf!$CE$2:$CE$304)-1)/(--(SEARCH(CS$2,N_Bedarf!$CE$2:$CE$304)&gt;0)),ROW()-2),1),"")</f>
        <v>0</v>
      </c>
      <c r="CS143" s="1620"/>
      <c r="CT143" s="1620">
        <f>IFERROR(INDEX(N_Bedarf!$CE$2:$CE$304,_xlfn.AGGREGATE(15,6,(ROW(N_Bedarf!$CE$2:$CE$304)-1)/(--(SEARCH(CU$2,N_Bedarf!$CE$2:$CE$304)&gt;0)),ROW()-2),1),"")</f>
        <v>0</v>
      </c>
      <c r="CU143" s="1620"/>
      <c r="CV143" s="1620">
        <f>IFERROR(INDEX(N_Bedarf!$CE$2:$CE$304,_xlfn.AGGREGATE(15,6,(ROW(N_Bedarf!$CE$2:$CE$304)-1)/(--(SEARCH(CW$2,N_Bedarf!$CE$2:$CE$304)&gt;0)),ROW()-2),1),"")</f>
        <v>0</v>
      </c>
      <c r="CW143" s="1620"/>
      <c r="CX143" s="1620">
        <f>IFERROR(INDEX(N_Bedarf!$CE$2:$CE$304,_xlfn.AGGREGATE(15,6,(ROW(N_Bedarf!$CE$2:$CE$304)-1)/(--(SEARCH(CY$2,N_Bedarf!$CE$2:$CE$304)&gt;0)),ROW()-2),1),"")</f>
        <v>0</v>
      </c>
      <c r="CY143" s="1620"/>
      <c r="CZ143" s="1620">
        <f>IFERROR(INDEX(N_Bedarf!$CE$2:$CE$304,_xlfn.AGGREGATE(15,6,(ROW(N_Bedarf!$CE$2:$CE$304)-1)/(--(SEARCH(DA$2,N_Bedarf!$CE$2:$CE$304)&gt;0)),ROW()-2),1),"")</f>
        <v>0</v>
      </c>
      <c r="DA143" s="1620"/>
      <c r="DB143" s="1620">
        <f>IFERROR(INDEX(N_Bedarf!$CE$2:$CE$304,_xlfn.AGGREGATE(15,6,(ROW(N_Bedarf!$CE$2:$CE$304)-1)/(--(SEARCH(DC$2,N_Bedarf!$CE$2:$CE$304)&gt;0)),ROW()-2),1),"")</f>
        <v>0</v>
      </c>
      <c r="DC143" s="1620"/>
      <c r="DD143" s="1620">
        <f>IFERROR(INDEX(N_Bedarf!$CE$2:$CE$304,_xlfn.AGGREGATE(15,6,(ROW(N_Bedarf!$CE$2:$CE$304)-1)/(--(SEARCH(DE$2,N_Bedarf!$CE$2:$CE$304)&gt;0)),ROW()-2),1),"")</f>
        <v>0</v>
      </c>
      <c r="DE143" s="1620"/>
    </row>
    <row r="144" spans="1:291" ht="21" customHeight="1">
      <c r="A144" s="156"/>
      <c r="B144" s="156"/>
      <c r="C144" s="1758" t="s">
        <v>1721</v>
      </c>
      <c r="D144" s="1759" t="s">
        <v>1418</v>
      </c>
      <c r="E144" s="1729">
        <v>50</v>
      </c>
      <c r="F144" s="1760">
        <v>40</v>
      </c>
      <c r="G144" s="1993" t="s">
        <v>118</v>
      </c>
      <c r="H144" s="1994">
        <v>65</v>
      </c>
      <c r="I144" s="1995">
        <v>55</v>
      </c>
      <c r="J144" s="1759" t="s">
        <v>120</v>
      </c>
      <c r="K144" s="1729">
        <v>80</v>
      </c>
      <c r="L144" s="1760">
        <v>70</v>
      </c>
      <c r="M144" s="1759" t="s">
        <v>121</v>
      </c>
      <c r="N144" s="1729">
        <v>85</v>
      </c>
      <c r="O144" s="1760">
        <v>75</v>
      </c>
      <c r="P144" s="1759" t="s">
        <v>1417</v>
      </c>
      <c r="Q144" s="1729">
        <v>90</v>
      </c>
      <c r="R144" s="1761">
        <v>80</v>
      </c>
      <c r="S144" s="1762">
        <v>100</v>
      </c>
      <c r="T144" s="1729">
        <v>100</v>
      </c>
      <c r="U144" s="1760">
        <v>100</v>
      </c>
      <c r="V144" s="1759">
        <v>80</v>
      </c>
      <c r="W144" s="1729">
        <v>80</v>
      </c>
      <c r="X144" s="1760">
        <v>80</v>
      </c>
      <c r="Y144" s="2009">
        <v>60</v>
      </c>
      <c r="Z144" s="2010">
        <v>65</v>
      </c>
      <c r="AA144" s="2011">
        <v>75</v>
      </c>
      <c r="AB144" s="1871" t="s">
        <v>1388</v>
      </c>
      <c r="AC144" s="1763" t="s">
        <v>1389</v>
      </c>
      <c r="AD144" s="1762">
        <v>300</v>
      </c>
      <c r="AE144" s="1729">
        <v>300</v>
      </c>
      <c r="AF144" s="1760">
        <v>300</v>
      </c>
      <c r="AG144" s="1759">
        <v>250</v>
      </c>
      <c r="AH144" s="1729">
        <v>250</v>
      </c>
      <c r="AI144" s="1760">
        <v>250</v>
      </c>
      <c r="AJ144" s="2009">
        <v>180</v>
      </c>
      <c r="AK144" s="2010">
        <v>200</v>
      </c>
      <c r="AL144" s="2011">
        <v>230</v>
      </c>
      <c r="AM144" s="1871" t="s">
        <v>1390</v>
      </c>
      <c r="AN144" s="1763" t="s">
        <v>1389</v>
      </c>
      <c r="AO144" s="156"/>
      <c r="AP144" s="156"/>
      <c r="AU144"/>
      <c r="AV144"/>
      <c r="AW144"/>
      <c r="AX144" s="1722" t="s">
        <v>2004</v>
      </c>
      <c r="AY144" s="681">
        <v>120</v>
      </c>
      <c r="AZ144" s="681">
        <v>120</v>
      </c>
      <c r="BA144" s="681" t="s">
        <v>2705</v>
      </c>
      <c r="BB144" s="681">
        <v>120</v>
      </c>
      <c r="BC144" s="681">
        <v>120</v>
      </c>
      <c r="BD144" s="681" t="s">
        <v>2705</v>
      </c>
      <c r="BE144" s="681">
        <v>170</v>
      </c>
      <c r="BF144" s="681">
        <v>170</v>
      </c>
      <c r="BG144" s="681" t="s">
        <v>2596</v>
      </c>
      <c r="BH144" s="681">
        <v>170</v>
      </c>
      <c r="BI144" s="681">
        <v>170</v>
      </c>
      <c r="BJ144" s="681" t="s">
        <v>2596</v>
      </c>
      <c r="BK144" s="681">
        <v>170</v>
      </c>
      <c r="BL144" s="681">
        <v>170</v>
      </c>
      <c r="BM144" s="681" t="s">
        <v>2596</v>
      </c>
      <c r="BN144" s="471">
        <v>0</v>
      </c>
      <c r="BO144" s="821">
        <v>30</v>
      </c>
      <c r="BP144"/>
      <c r="BQ144" s="1722" t="s">
        <v>2004</v>
      </c>
      <c r="BR144" s="470">
        <v>60</v>
      </c>
      <c r="BS144" s="470">
        <v>80</v>
      </c>
      <c r="BT144" s="470">
        <v>100</v>
      </c>
      <c r="BV144" s="1722" t="s">
        <v>2004</v>
      </c>
      <c r="BW144" s="470">
        <v>160</v>
      </c>
      <c r="BX144" s="470">
        <v>215</v>
      </c>
      <c r="BY144" s="470">
        <v>290</v>
      </c>
      <c r="CB144" s="428"/>
      <c r="CC144" s="428"/>
      <c r="CD144" s="428"/>
      <c r="CE144" s="1669"/>
      <c r="CF144" s="1620" t="str">
        <f>IFERROR(INDEX(N_Bedarf!$CE$2:$CE$304,_xlfn.AGGREGATE(15,6,(ROW(N_Bedarf!$CE$2:$CE$304)-1)/(--(SEARCH(CG$2,N_Bedarf!$CE$2:$CE$304)&gt;0)),ROW()-2),1),"")</f>
        <v/>
      </c>
      <c r="CG144" s="1620"/>
      <c r="CH144" s="1620" t="str">
        <f>IFERROR(INDEX(N_Bedarf!$CE$2:$CE$304,_xlfn.AGGREGATE(15,6,(ROW(N_Bedarf!$CE$2:$CE$304)-1)/(--(SEARCH(CI$2,N_Bedarf!$CE$2:$CE$304)&gt;0)),ROW()-2),1),"")</f>
        <v/>
      </c>
      <c r="CI144" s="1620"/>
      <c r="CJ144" s="1620" t="str">
        <f>IFERROR(INDEX(N_Bedarf!$CE$2:$CE$304,_xlfn.AGGREGATE(15,6,(ROW(N_Bedarf!$CE$2:$CE$304)-1)/(--(SEARCH(CK$2,N_Bedarf!$CE$2:$CE$304)&gt;0)),ROW()-2),1),"")</f>
        <v/>
      </c>
      <c r="CK144" s="1620"/>
      <c r="CL144" s="1620" t="str">
        <f>IFERROR(INDEX(N_Bedarf!$CE$2:$CE$304,_xlfn.AGGREGATE(15,6,(ROW(N_Bedarf!$CE$2:$CE$304)-1)/(--(SEARCH(CM$2,N_Bedarf!$CE$2:$CE$304)&gt;0)),ROW()-2),1),"")</f>
        <v/>
      </c>
      <c r="CM144" s="1620"/>
      <c r="CN144" s="1620" t="str">
        <f>IFERROR(INDEX(N_Bedarf!$CE$2:$CE$304,_xlfn.AGGREGATE(15,6,(ROW(N_Bedarf!$CE$2:$CE$304)-1)/(--(SEARCH(CO$2,N_Bedarf!$CE$2:$CE$304)&gt;0)),ROW()-2),1),"")</f>
        <v/>
      </c>
      <c r="CO144" s="1620"/>
      <c r="CP144" s="1620" t="str">
        <f>IFERROR(INDEX(N_Bedarf!$CE$2:$CE$304,_xlfn.AGGREGATE(15,6,(ROW(N_Bedarf!$CE$2:$CE$304)-1)/(--(SEARCH(CQ$2,N_Bedarf!$CE$2:$CE$304)&gt;0)),ROW()-2),1),"")</f>
        <v/>
      </c>
      <c r="CQ144" s="1620"/>
      <c r="CR144" s="1620" t="str">
        <f>IFERROR(INDEX(N_Bedarf!$CE$2:$CE$304,_xlfn.AGGREGATE(15,6,(ROW(N_Bedarf!$CE$2:$CE$304)-1)/(--(SEARCH(CS$2,N_Bedarf!$CE$2:$CE$304)&gt;0)),ROW()-2),1),"")</f>
        <v/>
      </c>
      <c r="CS144" s="1620"/>
      <c r="CT144" s="1620" t="str">
        <f>IFERROR(INDEX(N_Bedarf!$CE$2:$CE$304,_xlfn.AGGREGATE(15,6,(ROW(N_Bedarf!$CE$2:$CE$304)-1)/(--(SEARCH(CU$2,N_Bedarf!$CE$2:$CE$304)&gt;0)),ROW()-2),1),"")</f>
        <v/>
      </c>
      <c r="CU144" s="1620"/>
      <c r="CV144" s="1620" t="str">
        <f>IFERROR(INDEX(N_Bedarf!$CE$2:$CE$304,_xlfn.AGGREGATE(15,6,(ROW(N_Bedarf!$CE$2:$CE$304)-1)/(--(SEARCH(CW$2,N_Bedarf!$CE$2:$CE$304)&gt;0)),ROW()-2),1),"")</f>
        <v/>
      </c>
      <c r="CW144" s="1620"/>
      <c r="CX144" s="1620" t="str">
        <f>IFERROR(INDEX(N_Bedarf!$CE$2:$CE$304,_xlfn.AGGREGATE(15,6,(ROW(N_Bedarf!$CE$2:$CE$304)-1)/(--(SEARCH(CY$2,N_Bedarf!$CE$2:$CE$304)&gt;0)),ROW()-2),1),"")</f>
        <v/>
      </c>
      <c r="CY144" s="1620"/>
      <c r="CZ144" s="1620" t="str">
        <f>IFERROR(INDEX(N_Bedarf!$CE$2:$CE$304,_xlfn.AGGREGATE(15,6,(ROW(N_Bedarf!$CE$2:$CE$304)-1)/(--(SEARCH(DA$2,N_Bedarf!$CE$2:$CE$304)&gt;0)),ROW()-2),1),"")</f>
        <v/>
      </c>
      <c r="DA144" s="1620"/>
      <c r="DB144" s="1620" t="str">
        <f>IFERROR(INDEX(N_Bedarf!$CE$2:$CE$304,_xlfn.AGGREGATE(15,6,(ROW(N_Bedarf!$CE$2:$CE$304)-1)/(--(SEARCH(DC$2,N_Bedarf!$CE$2:$CE$304)&gt;0)),ROW()-2),1),"")</f>
        <v/>
      </c>
      <c r="DC144" s="1620"/>
      <c r="DD144" s="1620" t="str">
        <f>IFERROR(INDEX(N_Bedarf!$CE$2:$CE$304,_xlfn.AGGREGATE(15,6,(ROW(N_Bedarf!$CE$2:$CE$304)-1)/(--(SEARCH(DE$2,N_Bedarf!$CE$2:$CE$304)&gt;0)),ROW()-2),1),"")</f>
        <v/>
      </c>
      <c r="DE144" s="1620"/>
    </row>
    <row r="145" spans="1:109" ht="21" customHeight="1">
      <c r="A145" s="156"/>
      <c r="B145" s="156"/>
      <c r="C145" s="1758" t="s">
        <v>1813</v>
      </c>
      <c r="D145" s="1759" t="s">
        <v>714</v>
      </c>
      <c r="E145" s="1729">
        <v>0</v>
      </c>
      <c r="F145" s="1760">
        <v>0</v>
      </c>
      <c r="G145" s="1993" t="s">
        <v>714</v>
      </c>
      <c r="H145" s="1994">
        <v>0</v>
      </c>
      <c r="I145" s="1995">
        <v>0</v>
      </c>
      <c r="J145" s="1759" t="s">
        <v>714</v>
      </c>
      <c r="K145" s="1729">
        <v>0</v>
      </c>
      <c r="L145" s="1760">
        <v>0</v>
      </c>
      <c r="M145" s="1759" t="s">
        <v>714</v>
      </c>
      <c r="N145" s="1729">
        <v>0</v>
      </c>
      <c r="O145" s="1760">
        <v>0</v>
      </c>
      <c r="P145" s="1759" t="s">
        <v>714</v>
      </c>
      <c r="Q145" s="1729">
        <v>0</v>
      </c>
      <c r="R145" s="1761">
        <v>0</v>
      </c>
      <c r="S145" s="1762">
        <v>0</v>
      </c>
      <c r="T145" s="1729">
        <v>0</v>
      </c>
      <c r="U145" s="1760">
        <v>0</v>
      </c>
      <c r="V145" s="1759">
        <v>0</v>
      </c>
      <c r="W145" s="1729">
        <v>0</v>
      </c>
      <c r="X145" s="1760">
        <v>0</v>
      </c>
      <c r="Y145" s="2009">
        <v>0</v>
      </c>
      <c r="Z145" s="2010">
        <v>0</v>
      </c>
      <c r="AA145" s="2011">
        <v>0</v>
      </c>
      <c r="AB145" s="1871" t="s">
        <v>714</v>
      </c>
      <c r="AC145" s="1763" t="s">
        <v>714</v>
      </c>
      <c r="AD145" s="1762">
        <v>0</v>
      </c>
      <c r="AE145" s="1729">
        <v>0</v>
      </c>
      <c r="AF145" s="1760">
        <v>0</v>
      </c>
      <c r="AG145" s="1759">
        <v>0</v>
      </c>
      <c r="AH145" s="1729">
        <v>0</v>
      </c>
      <c r="AI145" s="1760">
        <v>0</v>
      </c>
      <c r="AJ145" s="2009">
        <v>0</v>
      </c>
      <c r="AK145" s="2010">
        <v>0</v>
      </c>
      <c r="AL145" s="2011">
        <v>0</v>
      </c>
      <c r="AM145" s="1871" t="s">
        <v>714</v>
      </c>
      <c r="AN145" s="1763" t="s">
        <v>714</v>
      </c>
      <c r="AO145" s="156"/>
      <c r="AP145" s="156"/>
      <c r="AU145"/>
      <c r="AV145"/>
      <c r="AW145"/>
      <c r="CB145" s="428"/>
      <c r="CC145" s="428"/>
      <c r="CD145" s="428"/>
      <c r="CE145" s="1669"/>
      <c r="CF145" s="1620" t="str">
        <f>IFERROR(INDEX(N_Bedarf!$CE$2:$CE$304,_xlfn.AGGREGATE(15,6,(ROW(N_Bedarf!$CE$2:$CE$304)-1)/(--(SEARCH(CG$2,N_Bedarf!$CE$2:$CE$304)&gt;0)),ROW()-2),1),"")</f>
        <v/>
      </c>
      <c r="CG145" s="1620"/>
      <c r="CH145" s="1620" t="str">
        <f>IFERROR(INDEX(N_Bedarf!$CE$2:$CE$304,_xlfn.AGGREGATE(15,6,(ROW(N_Bedarf!$CE$2:$CE$304)-1)/(--(SEARCH(CI$2,N_Bedarf!$CE$2:$CE$304)&gt;0)),ROW()-2),1),"")</f>
        <v/>
      </c>
      <c r="CI145" s="1620"/>
      <c r="CJ145" s="1620" t="str">
        <f>IFERROR(INDEX(N_Bedarf!$CE$2:$CE$304,_xlfn.AGGREGATE(15,6,(ROW(N_Bedarf!$CE$2:$CE$304)-1)/(--(SEARCH(CK$2,N_Bedarf!$CE$2:$CE$304)&gt;0)),ROW()-2),1),"")</f>
        <v/>
      </c>
      <c r="CK145" s="1620"/>
      <c r="CL145" s="1620" t="str">
        <f>IFERROR(INDEX(N_Bedarf!$CE$2:$CE$304,_xlfn.AGGREGATE(15,6,(ROW(N_Bedarf!$CE$2:$CE$304)-1)/(--(SEARCH(CM$2,N_Bedarf!$CE$2:$CE$304)&gt;0)),ROW()-2),1),"")</f>
        <v/>
      </c>
      <c r="CM145" s="1620"/>
      <c r="CN145" s="1620" t="str">
        <f>IFERROR(INDEX(N_Bedarf!$CE$2:$CE$304,_xlfn.AGGREGATE(15,6,(ROW(N_Bedarf!$CE$2:$CE$304)-1)/(--(SEARCH(CO$2,N_Bedarf!$CE$2:$CE$304)&gt;0)),ROW()-2),1),"")</f>
        <v/>
      </c>
      <c r="CO145" s="1620"/>
      <c r="CP145" s="1620" t="str">
        <f>IFERROR(INDEX(N_Bedarf!$CE$2:$CE$304,_xlfn.AGGREGATE(15,6,(ROW(N_Bedarf!$CE$2:$CE$304)-1)/(--(SEARCH(CQ$2,N_Bedarf!$CE$2:$CE$304)&gt;0)),ROW()-2),1),"")</f>
        <v/>
      </c>
      <c r="CQ145" s="1620"/>
      <c r="CR145" s="1620" t="str">
        <f>IFERROR(INDEX(N_Bedarf!$CE$2:$CE$304,_xlfn.AGGREGATE(15,6,(ROW(N_Bedarf!$CE$2:$CE$304)-1)/(--(SEARCH(CS$2,N_Bedarf!$CE$2:$CE$304)&gt;0)),ROW()-2),1),"")</f>
        <v/>
      </c>
      <c r="CS145" s="1620"/>
      <c r="CT145" s="1620" t="str">
        <f>IFERROR(INDEX(N_Bedarf!$CE$2:$CE$304,_xlfn.AGGREGATE(15,6,(ROW(N_Bedarf!$CE$2:$CE$304)-1)/(--(SEARCH(CU$2,N_Bedarf!$CE$2:$CE$304)&gt;0)),ROW()-2),1),"")</f>
        <v/>
      </c>
      <c r="CU145" s="1620"/>
      <c r="CV145" s="1620" t="str">
        <f>IFERROR(INDEX(N_Bedarf!$CE$2:$CE$304,_xlfn.AGGREGATE(15,6,(ROW(N_Bedarf!$CE$2:$CE$304)-1)/(--(SEARCH(CW$2,N_Bedarf!$CE$2:$CE$304)&gt;0)),ROW()-2),1),"")</f>
        <v/>
      </c>
      <c r="CW145" s="1620"/>
      <c r="CX145" s="1620" t="str">
        <f>IFERROR(INDEX(N_Bedarf!$CE$2:$CE$304,_xlfn.AGGREGATE(15,6,(ROW(N_Bedarf!$CE$2:$CE$304)-1)/(--(SEARCH(CY$2,N_Bedarf!$CE$2:$CE$304)&gt;0)),ROW()-2),1),"")</f>
        <v/>
      </c>
      <c r="CY145" s="1620"/>
      <c r="CZ145" s="1620" t="str">
        <f>IFERROR(INDEX(N_Bedarf!$CE$2:$CE$304,_xlfn.AGGREGATE(15,6,(ROW(N_Bedarf!$CE$2:$CE$304)-1)/(--(SEARCH(DA$2,N_Bedarf!$CE$2:$CE$304)&gt;0)),ROW()-2),1),"")</f>
        <v/>
      </c>
      <c r="DA145" s="1620"/>
      <c r="DB145" s="1620" t="str">
        <f>IFERROR(INDEX(N_Bedarf!$CE$2:$CE$304,_xlfn.AGGREGATE(15,6,(ROW(N_Bedarf!$CE$2:$CE$304)-1)/(--(SEARCH(DC$2,N_Bedarf!$CE$2:$CE$304)&gt;0)),ROW()-2),1),"")</f>
        <v/>
      </c>
      <c r="DC145" s="1620"/>
      <c r="DD145" s="1620" t="str">
        <f>IFERROR(INDEX(N_Bedarf!$CE$2:$CE$304,_xlfn.AGGREGATE(15,6,(ROW(N_Bedarf!$CE$2:$CE$304)-1)/(--(SEARCH(DE$2,N_Bedarf!$CE$2:$CE$304)&gt;0)),ROW()-2),1),"")</f>
        <v/>
      </c>
      <c r="DE145" s="1620"/>
    </row>
    <row r="146" spans="1:109" ht="21" customHeight="1">
      <c r="A146" s="156"/>
      <c r="B146" s="156"/>
      <c r="C146" s="1758" t="s">
        <v>1814</v>
      </c>
      <c r="D146" s="2340" t="s">
        <v>596</v>
      </c>
      <c r="E146" s="2341"/>
      <c r="F146" s="2341"/>
      <c r="G146" s="2341"/>
      <c r="H146" s="2341"/>
      <c r="I146" s="2341"/>
      <c r="J146" s="2341"/>
      <c r="K146" s="2341"/>
      <c r="L146" s="2341"/>
      <c r="M146" s="2341"/>
      <c r="N146" s="2341"/>
      <c r="O146" s="2341"/>
      <c r="P146" s="2341"/>
      <c r="Q146" s="2341"/>
      <c r="R146" s="2342"/>
      <c r="S146" s="1762"/>
      <c r="T146" s="1729"/>
      <c r="U146" s="1760"/>
      <c r="V146" s="1759"/>
      <c r="W146" s="1729"/>
      <c r="X146" s="1760"/>
      <c r="Y146" s="2009"/>
      <c r="Z146" s="2010"/>
      <c r="AA146" s="2011"/>
      <c r="AB146" s="1871" t="s">
        <v>1388</v>
      </c>
      <c r="AC146" s="1763" t="s">
        <v>1389</v>
      </c>
      <c r="AD146" s="1762"/>
      <c r="AE146" s="1729"/>
      <c r="AF146" s="1760"/>
      <c r="AG146" s="1759"/>
      <c r="AH146" s="1729"/>
      <c r="AI146" s="1760"/>
      <c r="AJ146" s="2009"/>
      <c r="AK146" s="2010"/>
      <c r="AL146" s="2011"/>
      <c r="AM146" s="1871" t="s">
        <v>1390</v>
      </c>
      <c r="AN146" s="1763" t="s">
        <v>1389</v>
      </c>
      <c r="AO146" s="156"/>
      <c r="AP146" s="156"/>
      <c r="AU146"/>
      <c r="AV146"/>
      <c r="AW146"/>
      <c r="CB146" s="428"/>
      <c r="CC146" s="428"/>
      <c r="CD146" s="428"/>
      <c r="CE146" s="1669"/>
      <c r="CF146" s="1620" t="str">
        <f>IFERROR(INDEX(N_Bedarf!$CE$2:$CE$304,_xlfn.AGGREGATE(15,6,(ROW(N_Bedarf!$CE$2:$CE$304)-1)/(--(SEARCH(CG$2,N_Bedarf!$CE$2:$CE$304)&gt;0)),ROW()-2),1),"")</f>
        <v/>
      </c>
      <c r="CG146" s="1620"/>
      <c r="CH146" s="1620" t="str">
        <f>IFERROR(INDEX(N_Bedarf!$CE$2:$CE$304,_xlfn.AGGREGATE(15,6,(ROW(N_Bedarf!$CE$2:$CE$304)-1)/(--(SEARCH(CI$2,N_Bedarf!$CE$2:$CE$304)&gt;0)),ROW()-2),1),"")</f>
        <v/>
      </c>
      <c r="CI146" s="1620"/>
      <c r="CJ146" s="1620" t="str">
        <f>IFERROR(INDEX(N_Bedarf!$CE$2:$CE$304,_xlfn.AGGREGATE(15,6,(ROW(N_Bedarf!$CE$2:$CE$304)-1)/(--(SEARCH(CK$2,N_Bedarf!$CE$2:$CE$304)&gt;0)),ROW()-2),1),"")</f>
        <v/>
      </c>
      <c r="CK146" s="1620"/>
      <c r="CL146" s="1620" t="str">
        <f>IFERROR(INDEX(N_Bedarf!$CE$2:$CE$304,_xlfn.AGGREGATE(15,6,(ROW(N_Bedarf!$CE$2:$CE$304)-1)/(--(SEARCH(CM$2,N_Bedarf!$CE$2:$CE$304)&gt;0)),ROW()-2),1),"")</f>
        <v/>
      </c>
      <c r="CM146" s="1620"/>
      <c r="CN146" s="1620" t="str">
        <f>IFERROR(INDEX(N_Bedarf!$CE$2:$CE$304,_xlfn.AGGREGATE(15,6,(ROW(N_Bedarf!$CE$2:$CE$304)-1)/(--(SEARCH(CO$2,N_Bedarf!$CE$2:$CE$304)&gt;0)),ROW()-2),1),"")</f>
        <v/>
      </c>
      <c r="CO146" s="1620"/>
      <c r="CP146" s="1620" t="str">
        <f>IFERROR(INDEX(N_Bedarf!$CE$2:$CE$304,_xlfn.AGGREGATE(15,6,(ROW(N_Bedarf!$CE$2:$CE$304)-1)/(--(SEARCH(CQ$2,N_Bedarf!$CE$2:$CE$304)&gt;0)),ROW()-2),1),"")</f>
        <v/>
      </c>
      <c r="CQ146" s="1620"/>
      <c r="CR146" s="1620" t="str">
        <f>IFERROR(INDEX(N_Bedarf!$CE$2:$CE$304,_xlfn.AGGREGATE(15,6,(ROW(N_Bedarf!$CE$2:$CE$304)-1)/(--(SEARCH(CS$2,N_Bedarf!$CE$2:$CE$304)&gt;0)),ROW()-2),1),"")</f>
        <v/>
      </c>
      <c r="CS146" s="1620"/>
      <c r="CT146" s="1620" t="str">
        <f>IFERROR(INDEX(N_Bedarf!$CE$2:$CE$304,_xlfn.AGGREGATE(15,6,(ROW(N_Bedarf!$CE$2:$CE$304)-1)/(--(SEARCH(CU$2,N_Bedarf!$CE$2:$CE$304)&gt;0)),ROW()-2),1),"")</f>
        <v/>
      </c>
      <c r="CU146" s="1620"/>
      <c r="CV146" s="1620" t="str">
        <f>IFERROR(INDEX(N_Bedarf!$CE$2:$CE$304,_xlfn.AGGREGATE(15,6,(ROW(N_Bedarf!$CE$2:$CE$304)-1)/(--(SEARCH(CW$2,N_Bedarf!$CE$2:$CE$304)&gt;0)),ROW()-2),1),"")</f>
        <v/>
      </c>
      <c r="CW146" s="1620"/>
      <c r="CX146" s="1620" t="str">
        <f>IFERROR(INDEX(N_Bedarf!$CE$2:$CE$304,_xlfn.AGGREGATE(15,6,(ROW(N_Bedarf!$CE$2:$CE$304)-1)/(--(SEARCH(CY$2,N_Bedarf!$CE$2:$CE$304)&gt;0)),ROW()-2),1),"")</f>
        <v/>
      </c>
      <c r="CY146" s="1620"/>
      <c r="CZ146" s="1620" t="str">
        <f>IFERROR(INDEX(N_Bedarf!$CE$2:$CE$304,_xlfn.AGGREGATE(15,6,(ROW(N_Bedarf!$CE$2:$CE$304)-1)/(--(SEARCH(DA$2,N_Bedarf!$CE$2:$CE$304)&gt;0)),ROW()-2),1),"")</f>
        <v/>
      </c>
      <c r="DA146" s="1620"/>
      <c r="DB146" s="1620" t="str">
        <f>IFERROR(INDEX(N_Bedarf!$CE$2:$CE$304,_xlfn.AGGREGATE(15,6,(ROW(N_Bedarf!$CE$2:$CE$304)-1)/(--(SEARCH(DC$2,N_Bedarf!$CE$2:$CE$304)&gt;0)),ROW()-2),1),"")</f>
        <v/>
      </c>
      <c r="DC146" s="1620"/>
      <c r="DD146" s="1620" t="str">
        <f>IFERROR(INDEX(N_Bedarf!$CE$2:$CE$304,_xlfn.AGGREGATE(15,6,(ROW(N_Bedarf!$CE$2:$CE$304)-1)/(--(SEARCH(DE$2,N_Bedarf!$CE$2:$CE$304)&gt;0)),ROW()-2),1),"")</f>
        <v/>
      </c>
      <c r="DE146" s="1620"/>
    </row>
    <row r="147" spans="1:109" ht="21" customHeight="1">
      <c r="A147" s="156"/>
      <c r="B147" s="156"/>
      <c r="C147" s="1758" t="s">
        <v>1722</v>
      </c>
      <c r="D147" s="1759" t="s">
        <v>1815</v>
      </c>
      <c r="E147" s="1729">
        <v>120</v>
      </c>
      <c r="F147" s="1760">
        <v>105</v>
      </c>
      <c r="G147" s="1993" t="s">
        <v>1816</v>
      </c>
      <c r="H147" s="1994">
        <v>165</v>
      </c>
      <c r="I147" s="1995">
        <v>140</v>
      </c>
      <c r="J147" s="1759" t="s">
        <v>1811</v>
      </c>
      <c r="K147" s="1729">
        <v>195</v>
      </c>
      <c r="L147" s="1760">
        <v>165</v>
      </c>
      <c r="M147" s="1759" t="s">
        <v>1817</v>
      </c>
      <c r="N147" s="1729">
        <v>210</v>
      </c>
      <c r="O147" s="1760">
        <v>180</v>
      </c>
      <c r="P147" s="1759" t="s">
        <v>1410</v>
      </c>
      <c r="Q147" s="1729">
        <v>225</v>
      </c>
      <c r="R147" s="1761">
        <v>190</v>
      </c>
      <c r="S147" s="1762">
        <v>100</v>
      </c>
      <c r="T147" s="1729">
        <v>100</v>
      </c>
      <c r="U147" s="1760">
        <v>100</v>
      </c>
      <c r="V147" s="1759">
        <v>80</v>
      </c>
      <c r="W147" s="1729">
        <v>80</v>
      </c>
      <c r="X147" s="1760">
        <v>80</v>
      </c>
      <c r="Y147" s="2009">
        <v>60</v>
      </c>
      <c r="Z147" s="2010">
        <v>65</v>
      </c>
      <c r="AA147" s="2011">
        <v>75</v>
      </c>
      <c r="AB147" s="1871" t="s">
        <v>1388</v>
      </c>
      <c r="AC147" s="1763" t="s">
        <v>1389</v>
      </c>
      <c r="AD147" s="1762">
        <v>300</v>
      </c>
      <c r="AE147" s="1729">
        <v>300</v>
      </c>
      <c r="AF147" s="1760">
        <v>300</v>
      </c>
      <c r="AG147" s="1759">
        <v>250</v>
      </c>
      <c r="AH147" s="1729">
        <v>250</v>
      </c>
      <c r="AI147" s="1760">
        <v>250</v>
      </c>
      <c r="AJ147" s="2009">
        <v>180</v>
      </c>
      <c r="AK147" s="2010">
        <v>200</v>
      </c>
      <c r="AL147" s="2011">
        <v>230</v>
      </c>
      <c r="AM147" s="1871" t="s">
        <v>1390</v>
      </c>
      <c r="AN147" s="1763" t="s">
        <v>1389</v>
      </c>
      <c r="AO147" s="156"/>
      <c r="AP147" s="156"/>
      <c r="AU147"/>
      <c r="AV147"/>
      <c r="AW147"/>
      <c r="AX147" s="1669"/>
      <c r="AY147" s="3"/>
      <c r="AZ147" s="3"/>
      <c r="BA147" s="3"/>
      <c r="BB147" s="3"/>
      <c r="BC147" s="3"/>
      <c r="BD147" s="3"/>
      <c r="BE147" s="3"/>
      <c r="BF147" s="3"/>
      <c r="BG147" s="3"/>
      <c r="BH147" s="3"/>
      <c r="BI147" s="3"/>
      <c r="BJ147" s="3"/>
      <c r="BK147" s="3"/>
      <c r="BL147" s="3"/>
      <c r="BM147" s="3"/>
      <c r="BN147" s="263"/>
      <c r="BO147" s="3"/>
      <c r="BQ147" s="1669"/>
      <c r="BR147" s="397"/>
      <c r="BS147" s="397"/>
      <c r="BT147" s="397"/>
      <c r="BV147" s="1669"/>
      <c r="BW147" s="397"/>
      <c r="BX147" s="397"/>
      <c r="BY147" s="397"/>
      <c r="CB147" s="428"/>
      <c r="CC147" s="428"/>
      <c r="CD147" s="428"/>
      <c r="CE147" s="1669"/>
      <c r="CF147" s="1620" t="str">
        <f>IFERROR(INDEX(N_Bedarf!$CE$2:$CE$304,_xlfn.AGGREGATE(15,6,(ROW(N_Bedarf!$CE$2:$CE$304)-1)/(--(SEARCH(CG$2,N_Bedarf!$CE$2:$CE$304)&gt;0)),ROW()-2),1),"")</f>
        <v/>
      </c>
      <c r="CG147" s="1620"/>
      <c r="CH147" s="1620" t="str">
        <f>IFERROR(INDEX(N_Bedarf!$CE$2:$CE$304,_xlfn.AGGREGATE(15,6,(ROW(N_Bedarf!$CE$2:$CE$304)-1)/(--(SEARCH(CI$2,N_Bedarf!$CE$2:$CE$304)&gt;0)),ROW()-2),1),"")</f>
        <v/>
      </c>
      <c r="CI147" s="1620"/>
      <c r="CJ147" s="1620" t="str">
        <f>IFERROR(INDEX(N_Bedarf!$CE$2:$CE$304,_xlfn.AGGREGATE(15,6,(ROW(N_Bedarf!$CE$2:$CE$304)-1)/(--(SEARCH(CK$2,N_Bedarf!$CE$2:$CE$304)&gt;0)),ROW()-2),1),"")</f>
        <v/>
      </c>
      <c r="CK147" s="1620"/>
      <c r="CL147" s="1620" t="str">
        <f>IFERROR(INDEX(N_Bedarf!$CE$2:$CE$304,_xlfn.AGGREGATE(15,6,(ROW(N_Bedarf!$CE$2:$CE$304)-1)/(--(SEARCH(CM$2,N_Bedarf!$CE$2:$CE$304)&gt;0)),ROW()-2),1),"")</f>
        <v/>
      </c>
      <c r="CM147" s="1620"/>
      <c r="CN147" s="1620" t="str">
        <f>IFERROR(INDEX(N_Bedarf!$CE$2:$CE$304,_xlfn.AGGREGATE(15,6,(ROW(N_Bedarf!$CE$2:$CE$304)-1)/(--(SEARCH(CO$2,N_Bedarf!$CE$2:$CE$304)&gt;0)),ROW()-2),1),"")</f>
        <v/>
      </c>
      <c r="CO147" s="1620"/>
      <c r="CP147" s="1620" t="str">
        <f>IFERROR(INDEX(N_Bedarf!$CE$2:$CE$304,_xlfn.AGGREGATE(15,6,(ROW(N_Bedarf!$CE$2:$CE$304)-1)/(--(SEARCH(CQ$2,N_Bedarf!$CE$2:$CE$304)&gt;0)),ROW()-2),1),"")</f>
        <v/>
      </c>
      <c r="CQ147" s="1620"/>
      <c r="CR147" s="1620" t="str">
        <f>IFERROR(INDEX(N_Bedarf!$CE$2:$CE$304,_xlfn.AGGREGATE(15,6,(ROW(N_Bedarf!$CE$2:$CE$304)-1)/(--(SEARCH(CS$2,N_Bedarf!$CE$2:$CE$304)&gt;0)),ROW()-2),1),"")</f>
        <v/>
      </c>
      <c r="CS147" s="1620"/>
      <c r="CT147" s="1620" t="str">
        <f>IFERROR(INDEX(N_Bedarf!$CE$2:$CE$304,_xlfn.AGGREGATE(15,6,(ROW(N_Bedarf!$CE$2:$CE$304)-1)/(--(SEARCH(CU$2,N_Bedarf!$CE$2:$CE$304)&gt;0)),ROW()-2),1),"")</f>
        <v/>
      </c>
      <c r="CU147" s="1620"/>
      <c r="CV147" s="1620" t="str">
        <f>IFERROR(INDEX(N_Bedarf!$CE$2:$CE$304,_xlfn.AGGREGATE(15,6,(ROW(N_Bedarf!$CE$2:$CE$304)-1)/(--(SEARCH(CW$2,N_Bedarf!$CE$2:$CE$304)&gt;0)),ROW()-2),1),"")</f>
        <v/>
      </c>
      <c r="CW147" s="1620"/>
      <c r="CX147" s="1620" t="str">
        <f>IFERROR(INDEX(N_Bedarf!$CE$2:$CE$304,_xlfn.AGGREGATE(15,6,(ROW(N_Bedarf!$CE$2:$CE$304)-1)/(--(SEARCH(CY$2,N_Bedarf!$CE$2:$CE$304)&gt;0)),ROW()-2),1),"")</f>
        <v/>
      </c>
      <c r="CY147" s="1620"/>
      <c r="CZ147" s="1620" t="str">
        <f>IFERROR(INDEX(N_Bedarf!$CE$2:$CE$304,_xlfn.AGGREGATE(15,6,(ROW(N_Bedarf!$CE$2:$CE$304)-1)/(--(SEARCH(DA$2,N_Bedarf!$CE$2:$CE$304)&gt;0)),ROW()-2),1),"")</f>
        <v/>
      </c>
      <c r="DA147" s="1620"/>
      <c r="DB147" s="1620" t="str">
        <f>IFERROR(INDEX(N_Bedarf!$CE$2:$CE$304,_xlfn.AGGREGATE(15,6,(ROW(N_Bedarf!$CE$2:$CE$304)-1)/(--(SEARCH(DC$2,N_Bedarf!$CE$2:$CE$304)&gt;0)),ROW()-2),1),"")</f>
        <v/>
      </c>
      <c r="DC147" s="1620"/>
      <c r="DD147" s="1620" t="str">
        <f>IFERROR(INDEX(N_Bedarf!$CE$2:$CE$304,_xlfn.AGGREGATE(15,6,(ROW(N_Bedarf!$CE$2:$CE$304)-1)/(--(SEARCH(DE$2,N_Bedarf!$CE$2:$CE$304)&gt;0)),ROW()-2),1),"")</f>
        <v/>
      </c>
      <c r="DE147" s="1620"/>
    </row>
    <row r="148" spans="1:109" ht="21" customHeight="1">
      <c r="A148" s="156"/>
      <c r="B148" s="156"/>
      <c r="C148" s="1758" t="s">
        <v>1723</v>
      </c>
      <c r="D148" s="1759" t="s">
        <v>1815</v>
      </c>
      <c r="E148" s="1729">
        <v>120</v>
      </c>
      <c r="F148" s="1760">
        <v>105</v>
      </c>
      <c r="G148" s="1993" t="s">
        <v>1816</v>
      </c>
      <c r="H148" s="1994">
        <v>165</v>
      </c>
      <c r="I148" s="1995">
        <v>140</v>
      </c>
      <c r="J148" s="1759" t="s">
        <v>1811</v>
      </c>
      <c r="K148" s="1729">
        <v>195</v>
      </c>
      <c r="L148" s="1760">
        <v>165</v>
      </c>
      <c r="M148" s="1759" t="s">
        <v>1817</v>
      </c>
      <c r="N148" s="1729">
        <v>210</v>
      </c>
      <c r="O148" s="1760">
        <v>180</v>
      </c>
      <c r="P148" s="1759" t="s">
        <v>1410</v>
      </c>
      <c r="Q148" s="1729">
        <v>225</v>
      </c>
      <c r="R148" s="1761">
        <v>190</v>
      </c>
      <c r="S148" s="1762">
        <v>100</v>
      </c>
      <c r="T148" s="1729">
        <v>100</v>
      </c>
      <c r="U148" s="1760">
        <v>100</v>
      </c>
      <c r="V148" s="1759">
        <v>80</v>
      </c>
      <c r="W148" s="1729">
        <v>80</v>
      </c>
      <c r="X148" s="1760">
        <v>80</v>
      </c>
      <c r="Y148" s="2009">
        <v>60</v>
      </c>
      <c r="Z148" s="2010">
        <v>65</v>
      </c>
      <c r="AA148" s="2011">
        <v>75</v>
      </c>
      <c r="AB148" s="1871" t="s">
        <v>1388</v>
      </c>
      <c r="AC148" s="1763" t="s">
        <v>1389</v>
      </c>
      <c r="AD148" s="1762">
        <v>300</v>
      </c>
      <c r="AE148" s="1729">
        <v>300</v>
      </c>
      <c r="AF148" s="1760">
        <v>300</v>
      </c>
      <c r="AG148" s="1759">
        <v>250</v>
      </c>
      <c r="AH148" s="1729">
        <v>250</v>
      </c>
      <c r="AI148" s="1760">
        <v>250</v>
      </c>
      <c r="AJ148" s="2009">
        <v>180</v>
      </c>
      <c r="AK148" s="2010">
        <v>200</v>
      </c>
      <c r="AL148" s="2011">
        <v>230</v>
      </c>
      <c r="AM148" s="1871" t="s">
        <v>1390</v>
      </c>
      <c r="AN148" s="1763" t="s">
        <v>1389</v>
      </c>
      <c r="AO148" s="156"/>
      <c r="AP148" s="156"/>
      <c r="AU148"/>
      <c r="AV148"/>
      <c r="AW148"/>
      <c r="AX148" s="1669"/>
      <c r="AY148" s="3"/>
      <c r="AZ148" s="3"/>
      <c r="BA148" s="3"/>
      <c r="BB148" s="3"/>
      <c r="BC148" s="3"/>
      <c r="BD148" s="3"/>
      <c r="BE148" s="3"/>
      <c r="BF148" s="3"/>
      <c r="BG148" s="3"/>
      <c r="BH148" s="3"/>
      <c r="BI148" s="3"/>
      <c r="BJ148" s="3"/>
      <c r="BK148" s="3"/>
      <c r="BL148" s="3"/>
      <c r="BM148" s="3"/>
      <c r="BN148" s="263"/>
      <c r="BO148" s="3"/>
      <c r="BQ148" s="1669"/>
      <c r="BR148" s="397"/>
      <c r="BS148" s="397"/>
      <c r="BT148" s="397"/>
      <c r="BV148" s="1669"/>
      <c r="BW148" s="397"/>
      <c r="BX148" s="397"/>
      <c r="BY148" s="397"/>
      <c r="CB148" s="428"/>
      <c r="CC148" s="428"/>
      <c r="CD148" s="428"/>
      <c r="CE148" s="1669"/>
      <c r="CF148" s="1620" t="str">
        <f>IFERROR(INDEX(N_Bedarf!$CE$2:$CE$304,_xlfn.AGGREGATE(15,6,(ROW(N_Bedarf!$CE$2:$CE$304)-1)/(--(SEARCH(CG$2,N_Bedarf!$CE$2:$CE$304)&gt;0)),ROW()-2),1),"")</f>
        <v/>
      </c>
      <c r="CG148" s="1620"/>
      <c r="CH148" s="1620" t="str">
        <f>IFERROR(INDEX(N_Bedarf!$CE$2:$CE$304,_xlfn.AGGREGATE(15,6,(ROW(N_Bedarf!$CE$2:$CE$304)-1)/(--(SEARCH(CI$2,N_Bedarf!$CE$2:$CE$304)&gt;0)),ROW()-2),1),"")</f>
        <v/>
      </c>
      <c r="CI148" s="1620"/>
      <c r="CJ148" s="1620" t="str">
        <f>IFERROR(INDEX(N_Bedarf!$CE$2:$CE$304,_xlfn.AGGREGATE(15,6,(ROW(N_Bedarf!$CE$2:$CE$304)-1)/(--(SEARCH(CK$2,N_Bedarf!$CE$2:$CE$304)&gt;0)),ROW()-2),1),"")</f>
        <v/>
      </c>
      <c r="CK148" s="1620"/>
      <c r="CL148" s="1620" t="str">
        <f>IFERROR(INDEX(N_Bedarf!$CE$2:$CE$304,_xlfn.AGGREGATE(15,6,(ROW(N_Bedarf!$CE$2:$CE$304)-1)/(--(SEARCH(CM$2,N_Bedarf!$CE$2:$CE$304)&gt;0)),ROW()-2),1),"")</f>
        <v/>
      </c>
      <c r="CM148" s="1620"/>
      <c r="CN148" s="1620" t="str">
        <f>IFERROR(INDEX(N_Bedarf!$CE$2:$CE$304,_xlfn.AGGREGATE(15,6,(ROW(N_Bedarf!$CE$2:$CE$304)-1)/(--(SEARCH(CO$2,N_Bedarf!$CE$2:$CE$304)&gt;0)),ROW()-2),1),"")</f>
        <v/>
      </c>
      <c r="CO148" s="1620"/>
      <c r="CP148" s="1620" t="str">
        <f>IFERROR(INDEX(N_Bedarf!$CE$2:$CE$304,_xlfn.AGGREGATE(15,6,(ROW(N_Bedarf!$CE$2:$CE$304)-1)/(--(SEARCH(CQ$2,N_Bedarf!$CE$2:$CE$304)&gt;0)),ROW()-2),1),"")</f>
        <v/>
      </c>
      <c r="CQ148" s="1620"/>
      <c r="CR148" s="1620" t="str">
        <f>IFERROR(INDEX(N_Bedarf!$CE$2:$CE$304,_xlfn.AGGREGATE(15,6,(ROW(N_Bedarf!$CE$2:$CE$304)-1)/(--(SEARCH(CS$2,N_Bedarf!$CE$2:$CE$304)&gt;0)),ROW()-2),1),"")</f>
        <v/>
      </c>
      <c r="CS148" s="1620"/>
      <c r="CT148" s="1620" t="str">
        <f>IFERROR(INDEX(N_Bedarf!$CE$2:$CE$304,_xlfn.AGGREGATE(15,6,(ROW(N_Bedarf!$CE$2:$CE$304)-1)/(--(SEARCH(CU$2,N_Bedarf!$CE$2:$CE$304)&gt;0)),ROW()-2),1),"")</f>
        <v/>
      </c>
      <c r="CU148" s="1620"/>
      <c r="CV148" s="1620" t="str">
        <f>IFERROR(INDEX(N_Bedarf!$CE$2:$CE$304,_xlfn.AGGREGATE(15,6,(ROW(N_Bedarf!$CE$2:$CE$304)-1)/(--(SEARCH(CW$2,N_Bedarf!$CE$2:$CE$304)&gt;0)),ROW()-2),1),"")</f>
        <v/>
      </c>
      <c r="CW148" s="1620"/>
      <c r="CX148" s="1620" t="str">
        <f>IFERROR(INDEX(N_Bedarf!$CE$2:$CE$304,_xlfn.AGGREGATE(15,6,(ROW(N_Bedarf!$CE$2:$CE$304)-1)/(--(SEARCH(CY$2,N_Bedarf!$CE$2:$CE$304)&gt;0)),ROW()-2),1),"")</f>
        <v/>
      </c>
      <c r="CY148" s="1620"/>
      <c r="CZ148" s="1620" t="str">
        <f>IFERROR(INDEX(N_Bedarf!$CE$2:$CE$304,_xlfn.AGGREGATE(15,6,(ROW(N_Bedarf!$CE$2:$CE$304)-1)/(--(SEARCH(DA$2,N_Bedarf!$CE$2:$CE$304)&gt;0)),ROW()-2),1),"")</f>
        <v/>
      </c>
      <c r="DA148" s="1620"/>
      <c r="DB148" s="1620" t="str">
        <f>IFERROR(INDEX(N_Bedarf!$CE$2:$CE$304,_xlfn.AGGREGATE(15,6,(ROW(N_Bedarf!$CE$2:$CE$304)-1)/(--(SEARCH(DC$2,N_Bedarf!$CE$2:$CE$304)&gt;0)),ROW()-2),1),"")</f>
        <v/>
      </c>
      <c r="DC148" s="1620"/>
      <c r="DD148" s="1620" t="str">
        <f>IFERROR(INDEX(N_Bedarf!$CE$2:$CE$304,_xlfn.AGGREGATE(15,6,(ROW(N_Bedarf!$CE$2:$CE$304)-1)/(--(SEARCH(DE$2,N_Bedarf!$CE$2:$CE$304)&gt;0)),ROW()-2),1),"")</f>
        <v/>
      </c>
      <c r="DE148" s="1620"/>
    </row>
    <row r="149" spans="1:109" ht="21" customHeight="1">
      <c r="A149" s="156"/>
      <c r="B149" s="156"/>
      <c r="C149" s="1758" t="s">
        <v>1724</v>
      </c>
      <c r="D149" s="1759" t="s">
        <v>1815</v>
      </c>
      <c r="E149" s="1729">
        <v>120</v>
      </c>
      <c r="F149" s="1760">
        <v>105</v>
      </c>
      <c r="G149" s="1993" t="s">
        <v>1816</v>
      </c>
      <c r="H149" s="1994">
        <v>165</v>
      </c>
      <c r="I149" s="1995">
        <v>140</v>
      </c>
      <c r="J149" s="1759" t="s">
        <v>1811</v>
      </c>
      <c r="K149" s="1729">
        <v>195</v>
      </c>
      <c r="L149" s="1760">
        <v>165</v>
      </c>
      <c r="M149" s="1759" t="s">
        <v>1817</v>
      </c>
      <c r="N149" s="1729">
        <v>210</v>
      </c>
      <c r="O149" s="1760">
        <v>180</v>
      </c>
      <c r="P149" s="1759" t="s">
        <v>1410</v>
      </c>
      <c r="Q149" s="1729">
        <v>225</v>
      </c>
      <c r="R149" s="1761">
        <v>190</v>
      </c>
      <c r="S149" s="1762">
        <v>100</v>
      </c>
      <c r="T149" s="1729">
        <v>100</v>
      </c>
      <c r="U149" s="1760">
        <v>100</v>
      </c>
      <c r="V149" s="1759">
        <v>80</v>
      </c>
      <c r="W149" s="1729">
        <v>80</v>
      </c>
      <c r="X149" s="1760">
        <v>80</v>
      </c>
      <c r="Y149" s="2009">
        <v>60</v>
      </c>
      <c r="Z149" s="2010">
        <v>65</v>
      </c>
      <c r="AA149" s="2011">
        <v>75</v>
      </c>
      <c r="AB149" s="1871" t="s">
        <v>1388</v>
      </c>
      <c r="AC149" s="1763" t="s">
        <v>1389</v>
      </c>
      <c r="AD149" s="1762">
        <v>300</v>
      </c>
      <c r="AE149" s="1729">
        <v>300</v>
      </c>
      <c r="AF149" s="1760">
        <v>300</v>
      </c>
      <c r="AG149" s="1759">
        <v>250</v>
      </c>
      <c r="AH149" s="1729">
        <v>250</v>
      </c>
      <c r="AI149" s="1760">
        <v>250</v>
      </c>
      <c r="AJ149" s="2009">
        <v>180</v>
      </c>
      <c r="AK149" s="2010">
        <v>200</v>
      </c>
      <c r="AL149" s="2011">
        <v>230</v>
      </c>
      <c r="AM149" s="1871" t="s">
        <v>1390</v>
      </c>
      <c r="AN149" s="1763" t="s">
        <v>1389</v>
      </c>
      <c r="AO149" s="156"/>
      <c r="AP149" s="156"/>
      <c r="AU149"/>
      <c r="AV149"/>
      <c r="AW149"/>
      <c r="AX149" s="1669"/>
      <c r="AY149" s="3"/>
      <c r="AZ149" s="3"/>
      <c r="BA149" s="3"/>
      <c r="BB149" s="3"/>
      <c r="BC149" s="3"/>
      <c r="BD149" s="3"/>
      <c r="BE149" s="3"/>
      <c r="BF149" s="3"/>
      <c r="BG149" s="3"/>
      <c r="BH149" s="3"/>
      <c r="BI149" s="3"/>
      <c r="BJ149" s="3"/>
      <c r="BK149" s="3"/>
      <c r="BL149" s="3"/>
      <c r="BM149" s="3"/>
      <c r="BN149" s="263"/>
      <c r="BO149" s="3"/>
      <c r="BQ149" s="1669"/>
      <c r="BR149" s="397"/>
      <c r="BS149" s="397"/>
      <c r="BT149" s="397"/>
      <c r="BV149" s="1669"/>
      <c r="BW149" s="397"/>
      <c r="BX149" s="397"/>
      <c r="BY149" s="397"/>
      <c r="CB149" s="428"/>
      <c r="CC149" s="428"/>
      <c r="CD149" s="428"/>
      <c r="CE149" s="1669"/>
      <c r="CF149" s="1620" t="str">
        <f>IFERROR(INDEX(N_Bedarf!$CE$2:$CE$304,_xlfn.AGGREGATE(15,6,(ROW(N_Bedarf!$CE$2:$CE$304)-1)/(--(SEARCH(CG$2,N_Bedarf!$CE$2:$CE$304)&gt;0)),ROW()-2),1),"")</f>
        <v/>
      </c>
      <c r="CG149" s="1620"/>
      <c r="CH149" s="1620" t="str">
        <f>IFERROR(INDEX(N_Bedarf!$CE$2:$CE$304,_xlfn.AGGREGATE(15,6,(ROW(N_Bedarf!$CE$2:$CE$304)-1)/(--(SEARCH(CI$2,N_Bedarf!$CE$2:$CE$304)&gt;0)),ROW()-2),1),"")</f>
        <v/>
      </c>
      <c r="CI149" s="1620"/>
      <c r="CJ149" s="1620" t="str">
        <f>IFERROR(INDEX(N_Bedarf!$CE$2:$CE$304,_xlfn.AGGREGATE(15,6,(ROW(N_Bedarf!$CE$2:$CE$304)-1)/(--(SEARCH(CK$2,N_Bedarf!$CE$2:$CE$304)&gt;0)),ROW()-2),1),"")</f>
        <v/>
      </c>
      <c r="CK149" s="1620"/>
      <c r="CL149" s="1620" t="str">
        <f>IFERROR(INDEX(N_Bedarf!$CE$2:$CE$304,_xlfn.AGGREGATE(15,6,(ROW(N_Bedarf!$CE$2:$CE$304)-1)/(--(SEARCH(CM$2,N_Bedarf!$CE$2:$CE$304)&gt;0)),ROW()-2),1),"")</f>
        <v/>
      </c>
      <c r="CM149" s="1620"/>
      <c r="CN149" s="1620" t="str">
        <f>IFERROR(INDEX(N_Bedarf!$CE$2:$CE$304,_xlfn.AGGREGATE(15,6,(ROW(N_Bedarf!$CE$2:$CE$304)-1)/(--(SEARCH(CO$2,N_Bedarf!$CE$2:$CE$304)&gt;0)),ROW()-2),1),"")</f>
        <v/>
      </c>
      <c r="CO149" s="1620"/>
      <c r="CP149" s="1620" t="str">
        <f>IFERROR(INDEX(N_Bedarf!$CE$2:$CE$304,_xlfn.AGGREGATE(15,6,(ROW(N_Bedarf!$CE$2:$CE$304)-1)/(--(SEARCH(CQ$2,N_Bedarf!$CE$2:$CE$304)&gt;0)),ROW()-2),1),"")</f>
        <v/>
      </c>
      <c r="CQ149" s="1620"/>
      <c r="CR149" s="1620" t="str">
        <f>IFERROR(INDEX(N_Bedarf!$CE$2:$CE$304,_xlfn.AGGREGATE(15,6,(ROW(N_Bedarf!$CE$2:$CE$304)-1)/(--(SEARCH(CS$2,N_Bedarf!$CE$2:$CE$304)&gt;0)),ROW()-2),1),"")</f>
        <v/>
      </c>
      <c r="CS149" s="1620"/>
      <c r="CT149" s="1620" t="str">
        <f>IFERROR(INDEX(N_Bedarf!$CE$2:$CE$304,_xlfn.AGGREGATE(15,6,(ROW(N_Bedarf!$CE$2:$CE$304)-1)/(--(SEARCH(CU$2,N_Bedarf!$CE$2:$CE$304)&gt;0)),ROW()-2),1),"")</f>
        <v/>
      </c>
      <c r="CU149" s="1620"/>
      <c r="CV149" s="1620" t="str">
        <f>IFERROR(INDEX(N_Bedarf!$CE$2:$CE$304,_xlfn.AGGREGATE(15,6,(ROW(N_Bedarf!$CE$2:$CE$304)-1)/(--(SEARCH(CW$2,N_Bedarf!$CE$2:$CE$304)&gt;0)),ROW()-2),1),"")</f>
        <v/>
      </c>
      <c r="CW149" s="1620"/>
      <c r="CX149" s="1620" t="str">
        <f>IFERROR(INDEX(N_Bedarf!$CE$2:$CE$304,_xlfn.AGGREGATE(15,6,(ROW(N_Bedarf!$CE$2:$CE$304)-1)/(--(SEARCH(CY$2,N_Bedarf!$CE$2:$CE$304)&gt;0)),ROW()-2),1),"")</f>
        <v/>
      </c>
      <c r="CY149" s="1620"/>
      <c r="CZ149" s="1620" t="str">
        <f>IFERROR(INDEX(N_Bedarf!$CE$2:$CE$304,_xlfn.AGGREGATE(15,6,(ROW(N_Bedarf!$CE$2:$CE$304)-1)/(--(SEARCH(DA$2,N_Bedarf!$CE$2:$CE$304)&gt;0)),ROW()-2),1),"")</f>
        <v/>
      </c>
      <c r="DA149" s="1620"/>
      <c r="DB149" s="1620" t="str">
        <f>IFERROR(INDEX(N_Bedarf!$CE$2:$CE$304,_xlfn.AGGREGATE(15,6,(ROW(N_Bedarf!$CE$2:$CE$304)-1)/(--(SEARCH(DC$2,N_Bedarf!$CE$2:$CE$304)&gt;0)),ROW()-2),1),"")</f>
        <v/>
      </c>
      <c r="DC149" s="1620"/>
      <c r="DD149" s="1620" t="str">
        <f>IFERROR(INDEX(N_Bedarf!$CE$2:$CE$304,_xlfn.AGGREGATE(15,6,(ROW(N_Bedarf!$CE$2:$CE$304)-1)/(--(SEARCH(DE$2,N_Bedarf!$CE$2:$CE$304)&gt;0)),ROW()-2),1),"")</f>
        <v/>
      </c>
      <c r="DE149" s="1620"/>
    </row>
    <row r="150" spans="1:109" ht="21" customHeight="1">
      <c r="A150" s="156"/>
      <c r="B150" s="156"/>
      <c r="C150" s="1758" t="s">
        <v>1725</v>
      </c>
      <c r="D150" s="1759" t="s">
        <v>714</v>
      </c>
      <c r="E150" s="1729">
        <v>60</v>
      </c>
      <c r="F150" s="1760">
        <v>50</v>
      </c>
      <c r="G150" s="1993" t="s">
        <v>1773</v>
      </c>
      <c r="H150" s="1994">
        <v>60</v>
      </c>
      <c r="I150" s="1995">
        <v>50</v>
      </c>
      <c r="J150" s="1759" t="s">
        <v>1773</v>
      </c>
      <c r="K150" s="1729">
        <v>60</v>
      </c>
      <c r="L150" s="1760">
        <v>50</v>
      </c>
      <c r="M150" s="1759" t="s">
        <v>1773</v>
      </c>
      <c r="N150" s="1729">
        <v>60</v>
      </c>
      <c r="O150" s="1760">
        <v>50</v>
      </c>
      <c r="P150" s="1759" t="s">
        <v>714</v>
      </c>
      <c r="Q150" s="1729">
        <v>60</v>
      </c>
      <c r="R150" s="1761">
        <v>50</v>
      </c>
      <c r="S150" s="1762">
        <v>100</v>
      </c>
      <c r="T150" s="1729">
        <v>100</v>
      </c>
      <c r="U150" s="1760">
        <v>100</v>
      </c>
      <c r="V150" s="1759">
        <v>80</v>
      </c>
      <c r="W150" s="1729">
        <v>80</v>
      </c>
      <c r="X150" s="1760">
        <v>80</v>
      </c>
      <c r="Y150" s="2009">
        <v>60</v>
      </c>
      <c r="Z150" s="2010">
        <v>65</v>
      </c>
      <c r="AA150" s="2011">
        <v>75</v>
      </c>
      <c r="AB150" s="1871" t="s">
        <v>1388</v>
      </c>
      <c r="AC150" s="1763" t="s">
        <v>1389</v>
      </c>
      <c r="AD150" s="1762">
        <v>150</v>
      </c>
      <c r="AE150" s="1729">
        <v>150</v>
      </c>
      <c r="AF150" s="1760">
        <v>150</v>
      </c>
      <c r="AG150" s="1759">
        <v>125</v>
      </c>
      <c r="AH150" s="1729">
        <v>125</v>
      </c>
      <c r="AI150" s="1760">
        <v>125</v>
      </c>
      <c r="AJ150" s="2009">
        <v>90</v>
      </c>
      <c r="AK150" s="2010">
        <v>100</v>
      </c>
      <c r="AL150" s="2011">
        <v>115</v>
      </c>
      <c r="AM150" s="1871" t="s">
        <v>1390</v>
      </c>
      <c r="AN150" s="1763" t="s">
        <v>1389</v>
      </c>
      <c r="AO150" s="156"/>
      <c r="AP150" s="156"/>
      <c r="AU150"/>
      <c r="AV150"/>
      <c r="AW150"/>
      <c r="AX150" s="1669"/>
      <c r="AY150" s="3"/>
      <c r="AZ150" s="3"/>
      <c r="BA150" s="3"/>
      <c r="BB150" s="3"/>
      <c r="BC150" s="3"/>
      <c r="BD150" s="3"/>
      <c r="BE150" s="3"/>
      <c r="BF150" s="3"/>
      <c r="BG150" s="3"/>
      <c r="BH150" s="3"/>
      <c r="BI150" s="3"/>
      <c r="BJ150" s="3"/>
      <c r="BK150" s="3"/>
      <c r="BL150" s="3"/>
      <c r="BM150" s="3"/>
      <c r="BN150" s="263"/>
      <c r="BO150" s="3"/>
      <c r="BQ150" s="1669"/>
      <c r="BR150" s="397"/>
      <c r="BS150" s="397"/>
      <c r="BT150" s="397"/>
      <c r="BV150" s="1669"/>
      <c r="BW150" s="397"/>
      <c r="BX150" s="397"/>
      <c r="BY150" s="397"/>
      <c r="CB150" s="428"/>
      <c r="CC150" s="428"/>
      <c r="CD150" s="428"/>
      <c r="CE150" s="1669"/>
      <c r="CF150" s="1620" t="str">
        <f>IFERROR(INDEX(N_Bedarf!$CE$2:$CE$304,_xlfn.AGGREGATE(15,6,(ROW(N_Bedarf!$CE$2:$CE$304)-1)/(--(SEARCH(CG$2,N_Bedarf!$CE$2:$CE$304)&gt;0)),ROW()-2),1),"")</f>
        <v/>
      </c>
      <c r="CG150" s="1620"/>
      <c r="CH150" s="1620" t="str">
        <f>IFERROR(INDEX(N_Bedarf!$CE$2:$CE$304,_xlfn.AGGREGATE(15,6,(ROW(N_Bedarf!$CE$2:$CE$304)-1)/(--(SEARCH(CI$2,N_Bedarf!$CE$2:$CE$304)&gt;0)),ROW()-2),1),"")</f>
        <v/>
      </c>
      <c r="CI150" s="1620"/>
      <c r="CJ150" s="1620" t="str">
        <f>IFERROR(INDEX(N_Bedarf!$CE$2:$CE$304,_xlfn.AGGREGATE(15,6,(ROW(N_Bedarf!$CE$2:$CE$304)-1)/(--(SEARCH(CK$2,N_Bedarf!$CE$2:$CE$304)&gt;0)),ROW()-2),1),"")</f>
        <v/>
      </c>
      <c r="CK150" s="1620"/>
      <c r="CL150" s="1620" t="str">
        <f>IFERROR(INDEX(N_Bedarf!$CE$2:$CE$304,_xlfn.AGGREGATE(15,6,(ROW(N_Bedarf!$CE$2:$CE$304)-1)/(--(SEARCH(CM$2,N_Bedarf!$CE$2:$CE$304)&gt;0)),ROW()-2),1),"")</f>
        <v/>
      </c>
      <c r="CM150" s="1620"/>
      <c r="CN150" s="1620" t="str">
        <f>IFERROR(INDEX(N_Bedarf!$CE$2:$CE$304,_xlfn.AGGREGATE(15,6,(ROW(N_Bedarf!$CE$2:$CE$304)-1)/(--(SEARCH(CO$2,N_Bedarf!$CE$2:$CE$304)&gt;0)),ROW()-2),1),"")</f>
        <v/>
      </c>
      <c r="CO150" s="1620"/>
      <c r="CP150" s="1620" t="str">
        <f>IFERROR(INDEX(N_Bedarf!$CE$2:$CE$304,_xlfn.AGGREGATE(15,6,(ROW(N_Bedarf!$CE$2:$CE$304)-1)/(--(SEARCH(CQ$2,N_Bedarf!$CE$2:$CE$304)&gt;0)),ROW()-2),1),"")</f>
        <v/>
      </c>
      <c r="CQ150" s="1620"/>
      <c r="CR150" s="1620" t="str">
        <f>IFERROR(INDEX(N_Bedarf!$CE$2:$CE$304,_xlfn.AGGREGATE(15,6,(ROW(N_Bedarf!$CE$2:$CE$304)-1)/(--(SEARCH(CS$2,N_Bedarf!$CE$2:$CE$304)&gt;0)),ROW()-2),1),"")</f>
        <v/>
      </c>
      <c r="CS150" s="1620"/>
      <c r="CT150" s="1620" t="str">
        <f>IFERROR(INDEX(N_Bedarf!$CE$2:$CE$304,_xlfn.AGGREGATE(15,6,(ROW(N_Bedarf!$CE$2:$CE$304)-1)/(--(SEARCH(CU$2,N_Bedarf!$CE$2:$CE$304)&gt;0)),ROW()-2),1),"")</f>
        <v/>
      </c>
      <c r="CU150" s="1620"/>
      <c r="CV150" s="1620" t="str">
        <f>IFERROR(INDEX(N_Bedarf!$CE$2:$CE$304,_xlfn.AGGREGATE(15,6,(ROW(N_Bedarf!$CE$2:$CE$304)-1)/(--(SEARCH(CW$2,N_Bedarf!$CE$2:$CE$304)&gt;0)),ROW()-2),1),"")</f>
        <v/>
      </c>
      <c r="CW150" s="1620"/>
      <c r="CX150" s="1620" t="str">
        <f>IFERROR(INDEX(N_Bedarf!$CE$2:$CE$304,_xlfn.AGGREGATE(15,6,(ROW(N_Bedarf!$CE$2:$CE$304)-1)/(--(SEARCH(CY$2,N_Bedarf!$CE$2:$CE$304)&gt;0)),ROW()-2),1),"")</f>
        <v/>
      </c>
      <c r="CY150" s="1620"/>
      <c r="CZ150" s="1620" t="str">
        <f>IFERROR(INDEX(N_Bedarf!$CE$2:$CE$304,_xlfn.AGGREGATE(15,6,(ROW(N_Bedarf!$CE$2:$CE$304)-1)/(--(SEARCH(DA$2,N_Bedarf!$CE$2:$CE$304)&gt;0)),ROW()-2),1),"")</f>
        <v/>
      </c>
      <c r="DA150" s="1620"/>
      <c r="DB150" s="1620" t="str">
        <f>IFERROR(INDEX(N_Bedarf!$CE$2:$CE$304,_xlfn.AGGREGATE(15,6,(ROW(N_Bedarf!$CE$2:$CE$304)-1)/(--(SEARCH(DC$2,N_Bedarf!$CE$2:$CE$304)&gt;0)),ROW()-2),1),"")</f>
        <v/>
      </c>
      <c r="DC150" s="1620"/>
      <c r="DD150" s="1620" t="str">
        <f>IFERROR(INDEX(N_Bedarf!$CE$2:$CE$304,_xlfn.AGGREGATE(15,6,(ROW(N_Bedarf!$CE$2:$CE$304)-1)/(--(SEARCH(DE$2,N_Bedarf!$CE$2:$CE$304)&gt;0)),ROW()-2),1),"")</f>
        <v/>
      </c>
      <c r="DE150" s="1620"/>
    </row>
    <row r="151" spans="1:109" ht="21" customHeight="1">
      <c r="A151" s="156"/>
      <c r="B151" s="156"/>
      <c r="C151" s="1758" t="s">
        <v>1818</v>
      </c>
      <c r="D151" s="1759" t="s">
        <v>1394</v>
      </c>
      <c r="E151" s="1729">
        <v>100</v>
      </c>
      <c r="F151" s="1760">
        <v>85</v>
      </c>
      <c r="G151" s="1993" t="s">
        <v>36</v>
      </c>
      <c r="H151" s="1994">
        <v>100</v>
      </c>
      <c r="I151" s="1995">
        <v>85</v>
      </c>
      <c r="J151" s="1759" t="s">
        <v>1385</v>
      </c>
      <c r="K151" s="1729">
        <v>100</v>
      </c>
      <c r="L151" s="1760">
        <v>85</v>
      </c>
      <c r="M151" s="1759" t="s">
        <v>1386</v>
      </c>
      <c r="N151" s="1729">
        <v>100</v>
      </c>
      <c r="O151" s="1760">
        <v>85</v>
      </c>
      <c r="P151" s="1759" t="s">
        <v>1387</v>
      </c>
      <c r="Q151" s="1729">
        <v>100</v>
      </c>
      <c r="R151" s="1761">
        <v>85</v>
      </c>
      <c r="S151" s="1762">
        <v>85</v>
      </c>
      <c r="T151" s="1729">
        <v>85</v>
      </c>
      <c r="U151" s="1760">
        <v>85</v>
      </c>
      <c r="V151" s="1759">
        <v>70</v>
      </c>
      <c r="W151" s="1729">
        <v>70</v>
      </c>
      <c r="X151" s="1760">
        <v>70</v>
      </c>
      <c r="Y151" s="2009">
        <v>50</v>
      </c>
      <c r="Z151" s="2010">
        <v>55</v>
      </c>
      <c r="AA151" s="2011">
        <v>65</v>
      </c>
      <c r="AB151" s="1871" t="s">
        <v>1388</v>
      </c>
      <c r="AC151" s="1763" t="s">
        <v>1389</v>
      </c>
      <c r="AD151" s="1762">
        <v>375</v>
      </c>
      <c r="AE151" s="1729">
        <v>375</v>
      </c>
      <c r="AF151" s="1760">
        <v>375</v>
      </c>
      <c r="AG151" s="1759">
        <v>315</v>
      </c>
      <c r="AH151" s="1729">
        <v>315</v>
      </c>
      <c r="AI151" s="1760">
        <v>315</v>
      </c>
      <c r="AJ151" s="2009">
        <v>225</v>
      </c>
      <c r="AK151" s="2010">
        <v>250</v>
      </c>
      <c r="AL151" s="2011">
        <v>290</v>
      </c>
      <c r="AM151" s="1871" t="s">
        <v>1390</v>
      </c>
      <c r="AN151" s="1763" t="s">
        <v>1389</v>
      </c>
      <c r="AO151" s="156"/>
      <c r="AP151" s="156"/>
      <c r="AU151"/>
      <c r="AV151"/>
      <c r="AW151"/>
      <c r="AX151" s="1669"/>
      <c r="AY151" s="3"/>
      <c r="AZ151" s="3"/>
      <c r="BA151" s="3"/>
      <c r="BB151" s="3"/>
      <c r="BC151" s="3"/>
      <c r="BD151" s="3"/>
      <c r="BE151" s="3"/>
      <c r="BF151" s="3"/>
      <c r="BG151" s="3"/>
      <c r="BH151" s="3"/>
      <c r="BI151" s="3"/>
      <c r="BJ151" s="3"/>
      <c r="BK151" s="3"/>
      <c r="BL151" s="3"/>
      <c r="BM151" s="3"/>
      <c r="BN151" s="263"/>
      <c r="BO151" s="3"/>
      <c r="BQ151" s="1669"/>
      <c r="BR151" s="397"/>
      <c r="BS151" s="397"/>
      <c r="BT151" s="397"/>
      <c r="BV151" s="1669"/>
      <c r="BW151" s="397"/>
      <c r="BX151" s="397"/>
      <c r="BY151" s="397"/>
      <c r="CB151" s="428"/>
      <c r="CC151" s="428"/>
      <c r="CD151" s="428"/>
      <c r="CE151" s="1669"/>
      <c r="CF151" s="1620" t="str">
        <f>IFERROR(INDEX(N_Bedarf!$CE$2:$CE$304,_xlfn.AGGREGATE(15,6,(ROW(N_Bedarf!$CE$2:$CE$304)-1)/(--(SEARCH(CG$2,N_Bedarf!$CE$2:$CE$304)&gt;0)),ROW()-2),1),"")</f>
        <v/>
      </c>
      <c r="CG151" s="1620"/>
      <c r="CH151" s="1620" t="str">
        <f>IFERROR(INDEX(N_Bedarf!$CE$2:$CE$304,_xlfn.AGGREGATE(15,6,(ROW(N_Bedarf!$CE$2:$CE$304)-1)/(--(SEARCH(CI$2,N_Bedarf!$CE$2:$CE$304)&gt;0)),ROW()-2),1),"")</f>
        <v/>
      </c>
      <c r="CI151" s="1620"/>
      <c r="CJ151" s="1620" t="str">
        <f>IFERROR(INDEX(N_Bedarf!$CE$2:$CE$304,_xlfn.AGGREGATE(15,6,(ROW(N_Bedarf!$CE$2:$CE$304)-1)/(--(SEARCH(CK$2,N_Bedarf!$CE$2:$CE$304)&gt;0)),ROW()-2),1),"")</f>
        <v/>
      </c>
      <c r="CK151" s="1620"/>
      <c r="CL151" s="1620" t="str">
        <f>IFERROR(INDEX(N_Bedarf!$CE$2:$CE$304,_xlfn.AGGREGATE(15,6,(ROW(N_Bedarf!$CE$2:$CE$304)-1)/(--(SEARCH(CM$2,N_Bedarf!$CE$2:$CE$304)&gt;0)),ROW()-2),1),"")</f>
        <v/>
      </c>
      <c r="CM151" s="1620"/>
      <c r="CN151" s="1620" t="str">
        <f>IFERROR(INDEX(N_Bedarf!$CE$2:$CE$304,_xlfn.AGGREGATE(15,6,(ROW(N_Bedarf!$CE$2:$CE$304)-1)/(--(SEARCH(CO$2,N_Bedarf!$CE$2:$CE$304)&gt;0)),ROW()-2),1),"")</f>
        <v/>
      </c>
      <c r="CO151" s="1620"/>
      <c r="CP151" s="1620" t="str">
        <f>IFERROR(INDEX(N_Bedarf!$CE$2:$CE$304,_xlfn.AGGREGATE(15,6,(ROW(N_Bedarf!$CE$2:$CE$304)-1)/(--(SEARCH(CQ$2,N_Bedarf!$CE$2:$CE$304)&gt;0)),ROW()-2),1),"")</f>
        <v/>
      </c>
      <c r="CQ151" s="1620"/>
      <c r="CR151" s="1620" t="str">
        <f>IFERROR(INDEX(N_Bedarf!$CE$2:$CE$304,_xlfn.AGGREGATE(15,6,(ROW(N_Bedarf!$CE$2:$CE$304)-1)/(--(SEARCH(CS$2,N_Bedarf!$CE$2:$CE$304)&gt;0)),ROW()-2),1),"")</f>
        <v/>
      </c>
      <c r="CS151" s="1620"/>
      <c r="CT151" s="1620" t="str">
        <f>IFERROR(INDEX(N_Bedarf!$CE$2:$CE$304,_xlfn.AGGREGATE(15,6,(ROW(N_Bedarf!$CE$2:$CE$304)-1)/(--(SEARCH(CU$2,N_Bedarf!$CE$2:$CE$304)&gt;0)),ROW()-2),1),"")</f>
        <v/>
      </c>
      <c r="CU151" s="1620"/>
      <c r="CV151" s="1620" t="str">
        <f>IFERROR(INDEX(N_Bedarf!$CE$2:$CE$304,_xlfn.AGGREGATE(15,6,(ROW(N_Bedarf!$CE$2:$CE$304)-1)/(--(SEARCH(CW$2,N_Bedarf!$CE$2:$CE$304)&gt;0)),ROW()-2),1),"")</f>
        <v/>
      </c>
      <c r="CW151" s="1620"/>
      <c r="CX151" s="1620" t="str">
        <f>IFERROR(INDEX(N_Bedarf!$CE$2:$CE$304,_xlfn.AGGREGATE(15,6,(ROW(N_Bedarf!$CE$2:$CE$304)-1)/(--(SEARCH(CY$2,N_Bedarf!$CE$2:$CE$304)&gt;0)),ROW()-2),1),"")</f>
        <v/>
      </c>
      <c r="CY151" s="1620"/>
      <c r="CZ151" s="1620" t="str">
        <f>IFERROR(INDEX(N_Bedarf!$CE$2:$CE$304,_xlfn.AGGREGATE(15,6,(ROW(N_Bedarf!$CE$2:$CE$304)-1)/(--(SEARCH(DA$2,N_Bedarf!$CE$2:$CE$304)&gt;0)),ROW()-2),1),"")</f>
        <v/>
      </c>
      <c r="DA151" s="1620"/>
      <c r="DB151" s="1620" t="str">
        <f>IFERROR(INDEX(N_Bedarf!$CE$2:$CE$304,_xlfn.AGGREGATE(15,6,(ROW(N_Bedarf!$CE$2:$CE$304)-1)/(--(SEARCH(DC$2,N_Bedarf!$CE$2:$CE$304)&gt;0)),ROW()-2),1),"")</f>
        <v/>
      </c>
      <c r="DC151" s="1620"/>
      <c r="DD151" s="1620" t="str">
        <f>IFERROR(INDEX(N_Bedarf!$CE$2:$CE$304,_xlfn.AGGREGATE(15,6,(ROW(N_Bedarf!$CE$2:$CE$304)-1)/(--(SEARCH(DE$2,N_Bedarf!$CE$2:$CE$304)&gt;0)),ROW()-2),1),"")</f>
        <v/>
      </c>
      <c r="DE151" s="1620"/>
    </row>
    <row r="152" spans="1:109" ht="21" customHeight="1">
      <c r="A152" s="156"/>
      <c r="B152" s="156"/>
      <c r="C152" s="1758" t="s">
        <v>1726</v>
      </c>
      <c r="D152" s="2340" t="s">
        <v>596</v>
      </c>
      <c r="E152" s="2341"/>
      <c r="F152" s="2341"/>
      <c r="G152" s="2341"/>
      <c r="H152" s="2341"/>
      <c r="I152" s="2341"/>
      <c r="J152" s="2341"/>
      <c r="K152" s="2341"/>
      <c r="L152" s="2341"/>
      <c r="M152" s="2341"/>
      <c r="N152" s="2341"/>
      <c r="O152" s="2341"/>
      <c r="P152" s="2341"/>
      <c r="Q152" s="2341"/>
      <c r="R152" s="2342"/>
      <c r="S152" s="1762">
        <v>90</v>
      </c>
      <c r="T152" s="1729">
        <v>90</v>
      </c>
      <c r="U152" s="1760">
        <v>90</v>
      </c>
      <c r="V152" s="1759">
        <v>75</v>
      </c>
      <c r="W152" s="1729">
        <v>75</v>
      </c>
      <c r="X152" s="1760">
        <v>75</v>
      </c>
      <c r="Y152" s="2009">
        <v>55</v>
      </c>
      <c r="Z152" s="2010">
        <v>60</v>
      </c>
      <c r="AA152" s="2011">
        <v>70</v>
      </c>
      <c r="AB152" s="1871" t="s">
        <v>1388</v>
      </c>
      <c r="AC152" s="1763" t="s">
        <v>1389</v>
      </c>
      <c r="AD152" s="1762">
        <v>135</v>
      </c>
      <c r="AE152" s="1729">
        <v>135</v>
      </c>
      <c r="AF152" s="1760">
        <v>135</v>
      </c>
      <c r="AG152" s="1759">
        <v>115</v>
      </c>
      <c r="AH152" s="1729">
        <v>115</v>
      </c>
      <c r="AI152" s="1760">
        <v>115</v>
      </c>
      <c r="AJ152" s="2009">
        <v>80</v>
      </c>
      <c r="AK152" s="2010">
        <v>90</v>
      </c>
      <c r="AL152" s="2011">
        <v>105</v>
      </c>
      <c r="AM152" s="1871" t="s">
        <v>1390</v>
      </c>
      <c r="AN152" s="1763" t="s">
        <v>1389</v>
      </c>
      <c r="AO152" s="156"/>
      <c r="AP152" s="156"/>
      <c r="AU152"/>
      <c r="AV152"/>
      <c r="AW152"/>
      <c r="AX152" s="1669"/>
      <c r="AY152" s="3"/>
      <c r="AZ152" s="3"/>
      <c r="BA152" s="3"/>
      <c r="BB152" s="3"/>
      <c r="BC152" s="3"/>
      <c r="BD152" s="3"/>
      <c r="BE152" s="3"/>
      <c r="BF152" s="3"/>
      <c r="BG152" s="3"/>
      <c r="BH152" s="3"/>
      <c r="BI152" s="3"/>
      <c r="BJ152" s="3"/>
      <c r="BK152" s="3"/>
      <c r="BL152" s="3"/>
      <c r="BM152" s="3"/>
      <c r="BN152" s="263"/>
      <c r="BO152" s="3"/>
      <c r="BQ152" s="1669"/>
      <c r="BR152" s="397"/>
      <c r="BS152" s="397"/>
      <c r="BT152" s="397"/>
      <c r="BV152" s="1669"/>
      <c r="BW152" s="397"/>
      <c r="BX152" s="397"/>
      <c r="BY152" s="397"/>
      <c r="CB152" s="428"/>
      <c r="CC152" s="428"/>
      <c r="CD152" s="428"/>
      <c r="CE152" s="1669"/>
      <c r="CF152" s="1620" t="str">
        <f>IFERROR(INDEX(N_Bedarf!$CE$2:$CE$304,_xlfn.AGGREGATE(15,6,(ROW(N_Bedarf!$CE$2:$CE$304)-1)/(--(SEARCH(CG$2,N_Bedarf!$CE$2:$CE$304)&gt;0)),ROW()-2),1),"")</f>
        <v/>
      </c>
      <c r="CG152" s="1620"/>
      <c r="CH152" s="1620" t="str">
        <f>IFERROR(INDEX(N_Bedarf!$CE$2:$CE$304,_xlfn.AGGREGATE(15,6,(ROW(N_Bedarf!$CE$2:$CE$304)-1)/(--(SEARCH(CI$2,N_Bedarf!$CE$2:$CE$304)&gt;0)),ROW()-2),1),"")</f>
        <v/>
      </c>
      <c r="CI152" s="1620"/>
      <c r="CJ152" s="1620" t="str">
        <f>IFERROR(INDEX(N_Bedarf!$CE$2:$CE$304,_xlfn.AGGREGATE(15,6,(ROW(N_Bedarf!$CE$2:$CE$304)-1)/(--(SEARCH(CK$2,N_Bedarf!$CE$2:$CE$304)&gt;0)),ROW()-2),1),"")</f>
        <v/>
      </c>
      <c r="CK152" s="1620"/>
      <c r="CL152" s="1620" t="str">
        <f>IFERROR(INDEX(N_Bedarf!$CE$2:$CE$304,_xlfn.AGGREGATE(15,6,(ROW(N_Bedarf!$CE$2:$CE$304)-1)/(--(SEARCH(CM$2,N_Bedarf!$CE$2:$CE$304)&gt;0)),ROW()-2),1),"")</f>
        <v/>
      </c>
      <c r="CM152" s="1620"/>
      <c r="CN152" s="1620" t="str">
        <f>IFERROR(INDEX(N_Bedarf!$CE$2:$CE$304,_xlfn.AGGREGATE(15,6,(ROW(N_Bedarf!$CE$2:$CE$304)-1)/(--(SEARCH(CO$2,N_Bedarf!$CE$2:$CE$304)&gt;0)),ROW()-2),1),"")</f>
        <v/>
      </c>
      <c r="CO152" s="1620"/>
      <c r="CP152" s="1620" t="str">
        <f>IFERROR(INDEX(N_Bedarf!$CE$2:$CE$304,_xlfn.AGGREGATE(15,6,(ROW(N_Bedarf!$CE$2:$CE$304)-1)/(--(SEARCH(CQ$2,N_Bedarf!$CE$2:$CE$304)&gt;0)),ROW()-2),1),"")</f>
        <v/>
      </c>
      <c r="CQ152" s="1620"/>
      <c r="CR152" s="1620" t="str">
        <f>IFERROR(INDEX(N_Bedarf!$CE$2:$CE$304,_xlfn.AGGREGATE(15,6,(ROW(N_Bedarf!$CE$2:$CE$304)-1)/(--(SEARCH(CS$2,N_Bedarf!$CE$2:$CE$304)&gt;0)),ROW()-2),1),"")</f>
        <v/>
      </c>
      <c r="CS152" s="1620"/>
      <c r="CT152" s="1620" t="str">
        <f>IFERROR(INDEX(N_Bedarf!$CE$2:$CE$304,_xlfn.AGGREGATE(15,6,(ROW(N_Bedarf!$CE$2:$CE$304)-1)/(--(SEARCH(CU$2,N_Bedarf!$CE$2:$CE$304)&gt;0)),ROW()-2),1),"")</f>
        <v/>
      </c>
      <c r="CU152" s="1620"/>
      <c r="CV152" s="1620" t="str">
        <f>IFERROR(INDEX(N_Bedarf!$CE$2:$CE$304,_xlfn.AGGREGATE(15,6,(ROW(N_Bedarf!$CE$2:$CE$304)-1)/(--(SEARCH(CW$2,N_Bedarf!$CE$2:$CE$304)&gt;0)),ROW()-2),1),"")</f>
        <v/>
      </c>
      <c r="CW152" s="1620"/>
      <c r="CX152" s="1620" t="str">
        <f>IFERROR(INDEX(N_Bedarf!$CE$2:$CE$304,_xlfn.AGGREGATE(15,6,(ROW(N_Bedarf!$CE$2:$CE$304)-1)/(--(SEARCH(CY$2,N_Bedarf!$CE$2:$CE$304)&gt;0)),ROW()-2),1),"")</f>
        <v/>
      </c>
      <c r="CY152" s="1620"/>
      <c r="CZ152" s="1620" t="str">
        <f>IFERROR(INDEX(N_Bedarf!$CE$2:$CE$304,_xlfn.AGGREGATE(15,6,(ROW(N_Bedarf!$CE$2:$CE$304)-1)/(--(SEARCH(DA$2,N_Bedarf!$CE$2:$CE$304)&gt;0)),ROW()-2),1),"")</f>
        <v/>
      </c>
      <c r="DA152" s="1620"/>
      <c r="DB152" s="1620" t="str">
        <f>IFERROR(INDEX(N_Bedarf!$CE$2:$CE$304,_xlfn.AGGREGATE(15,6,(ROW(N_Bedarf!$CE$2:$CE$304)-1)/(--(SEARCH(DC$2,N_Bedarf!$CE$2:$CE$304)&gt;0)),ROW()-2),1),"")</f>
        <v/>
      </c>
      <c r="DC152" s="1620"/>
      <c r="DD152" s="1620" t="str">
        <f>IFERROR(INDEX(N_Bedarf!$CE$2:$CE$304,_xlfn.AGGREGATE(15,6,(ROW(N_Bedarf!$CE$2:$CE$304)-1)/(--(SEARCH(DE$2,N_Bedarf!$CE$2:$CE$304)&gt;0)),ROW()-2),1),"")</f>
        <v/>
      </c>
      <c r="DE152" s="1620"/>
    </row>
    <row r="153" spans="1:109" ht="21" customHeight="1">
      <c r="A153" s="156"/>
      <c r="B153" s="156"/>
      <c r="C153" s="1758" t="s">
        <v>1727</v>
      </c>
      <c r="D153" s="1759" t="s">
        <v>1394</v>
      </c>
      <c r="E153" s="1729">
        <v>80</v>
      </c>
      <c r="F153" s="1760">
        <v>70</v>
      </c>
      <c r="G153" s="1993" t="s">
        <v>1395</v>
      </c>
      <c r="H153" s="1994">
        <v>110</v>
      </c>
      <c r="I153" s="1995">
        <v>95</v>
      </c>
      <c r="J153" s="1759" t="s">
        <v>1396</v>
      </c>
      <c r="K153" s="1729">
        <v>130</v>
      </c>
      <c r="L153" s="1760">
        <v>110</v>
      </c>
      <c r="M153" s="1759" t="s">
        <v>1397</v>
      </c>
      <c r="N153" s="1729">
        <v>140</v>
      </c>
      <c r="O153" s="1760">
        <v>120</v>
      </c>
      <c r="P153" s="1759" t="s">
        <v>1393</v>
      </c>
      <c r="Q153" s="1729">
        <v>150</v>
      </c>
      <c r="R153" s="1761">
        <v>130</v>
      </c>
      <c r="S153" s="1762">
        <v>85</v>
      </c>
      <c r="T153" s="1729">
        <v>85</v>
      </c>
      <c r="U153" s="1760">
        <v>85</v>
      </c>
      <c r="V153" s="1759">
        <v>70</v>
      </c>
      <c r="W153" s="1729">
        <v>70</v>
      </c>
      <c r="X153" s="1760">
        <v>70</v>
      </c>
      <c r="Y153" s="2009">
        <v>50</v>
      </c>
      <c r="Z153" s="2010">
        <v>55</v>
      </c>
      <c r="AA153" s="2011">
        <v>65</v>
      </c>
      <c r="AB153" s="1871" t="s">
        <v>1388</v>
      </c>
      <c r="AC153" s="1763" t="s">
        <v>1389</v>
      </c>
      <c r="AD153" s="1762">
        <v>120</v>
      </c>
      <c r="AE153" s="1729">
        <v>120</v>
      </c>
      <c r="AF153" s="1760">
        <v>120</v>
      </c>
      <c r="AG153" s="1759">
        <v>100</v>
      </c>
      <c r="AH153" s="1729">
        <v>100</v>
      </c>
      <c r="AI153" s="1760">
        <v>100</v>
      </c>
      <c r="AJ153" s="2009">
        <v>70</v>
      </c>
      <c r="AK153" s="2010">
        <v>80</v>
      </c>
      <c r="AL153" s="2011">
        <v>90</v>
      </c>
      <c r="AM153" s="1871" t="s">
        <v>1390</v>
      </c>
      <c r="AN153" s="1763" t="s">
        <v>1389</v>
      </c>
      <c r="AO153" s="156"/>
      <c r="AP153" s="156"/>
      <c r="AU153"/>
      <c r="AV153"/>
      <c r="AW153"/>
      <c r="AX153" s="1669"/>
      <c r="AY153" s="3"/>
      <c r="AZ153" s="3"/>
      <c r="BA153" s="3"/>
      <c r="BB153" s="3"/>
      <c r="BC153" s="3"/>
      <c r="BD153" s="3"/>
      <c r="BE153" s="3"/>
      <c r="BF153" s="3"/>
      <c r="BG153" s="3"/>
      <c r="BH153" s="3"/>
      <c r="BI153" s="3"/>
      <c r="BJ153" s="3"/>
      <c r="BK153" s="3"/>
      <c r="BL153" s="3"/>
      <c r="BM153" s="3"/>
      <c r="BN153" s="263"/>
      <c r="BO153" s="3"/>
      <c r="BQ153" s="1669"/>
      <c r="BR153" s="397"/>
      <c r="BS153" s="397"/>
      <c r="BT153" s="397"/>
      <c r="BV153" s="1669"/>
      <c r="BW153" s="397"/>
      <c r="BX153" s="397"/>
      <c r="BY153" s="397"/>
      <c r="CB153" s="428"/>
      <c r="CC153" s="428"/>
      <c r="CD153" s="428"/>
      <c r="CE153" s="1669"/>
      <c r="CF153" s="1620" t="str">
        <f>IFERROR(INDEX(N_Bedarf!$CE$2:$CE$304,_xlfn.AGGREGATE(15,6,(ROW(N_Bedarf!$CE$2:$CE$304)-1)/(--(SEARCH(CG$2,N_Bedarf!$CE$2:$CE$304)&gt;0)),ROW()-2),1),"")</f>
        <v/>
      </c>
      <c r="CG153" s="1620"/>
      <c r="CH153" s="1620" t="str">
        <f>IFERROR(INDEX(N_Bedarf!$CE$2:$CE$304,_xlfn.AGGREGATE(15,6,(ROW(N_Bedarf!$CE$2:$CE$304)-1)/(--(SEARCH(CI$2,N_Bedarf!$CE$2:$CE$304)&gt;0)),ROW()-2),1),"")</f>
        <v/>
      </c>
      <c r="CI153" s="1620"/>
      <c r="CJ153" s="1620" t="str">
        <f>IFERROR(INDEX(N_Bedarf!$CE$2:$CE$304,_xlfn.AGGREGATE(15,6,(ROW(N_Bedarf!$CE$2:$CE$304)-1)/(--(SEARCH(CK$2,N_Bedarf!$CE$2:$CE$304)&gt;0)),ROW()-2),1),"")</f>
        <v/>
      </c>
      <c r="CK153" s="1620"/>
      <c r="CL153" s="1620" t="str">
        <f>IFERROR(INDEX(N_Bedarf!$CE$2:$CE$304,_xlfn.AGGREGATE(15,6,(ROW(N_Bedarf!$CE$2:$CE$304)-1)/(--(SEARCH(CM$2,N_Bedarf!$CE$2:$CE$304)&gt;0)),ROW()-2),1),"")</f>
        <v/>
      </c>
      <c r="CM153" s="1620"/>
      <c r="CN153" s="1620" t="str">
        <f>IFERROR(INDEX(N_Bedarf!$CE$2:$CE$304,_xlfn.AGGREGATE(15,6,(ROW(N_Bedarf!$CE$2:$CE$304)-1)/(--(SEARCH(CO$2,N_Bedarf!$CE$2:$CE$304)&gt;0)),ROW()-2),1),"")</f>
        <v/>
      </c>
      <c r="CO153" s="1620"/>
      <c r="CP153" s="1620" t="str">
        <f>IFERROR(INDEX(N_Bedarf!$CE$2:$CE$304,_xlfn.AGGREGATE(15,6,(ROW(N_Bedarf!$CE$2:$CE$304)-1)/(--(SEARCH(CQ$2,N_Bedarf!$CE$2:$CE$304)&gt;0)),ROW()-2),1),"")</f>
        <v/>
      </c>
      <c r="CQ153" s="1620"/>
      <c r="CR153" s="1620" t="str">
        <f>IFERROR(INDEX(N_Bedarf!$CE$2:$CE$304,_xlfn.AGGREGATE(15,6,(ROW(N_Bedarf!$CE$2:$CE$304)-1)/(--(SEARCH(CS$2,N_Bedarf!$CE$2:$CE$304)&gt;0)),ROW()-2),1),"")</f>
        <v/>
      </c>
      <c r="CS153" s="1620"/>
      <c r="CT153" s="1620" t="str">
        <f>IFERROR(INDEX(N_Bedarf!$CE$2:$CE$304,_xlfn.AGGREGATE(15,6,(ROW(N_Bedarf!$CE$2:$CE$304)-1)/(--(SEARCH(CU$2,N_Bedarf!$CE$2:$CE$304)&gt;0)),ROW()-2),1),"")</f>
        <v/>
      </c>
      <c r="CU153" s="1620"/>
      <c r="CV153" s="1620" t="str">
        <f>IFERROR(INDEX(N_Bedarf!$CE$2:$CE$304,_xlfn.AGGREGATE(15,6,(ROW(N_Bedarf!$CE$2:$CE$304)-1)/(--(SEARCH(CW$2,N_Bedarf!$CE$2:$CE$304)&gt;0)),ROW()-2),1),"")</f>
        <v/>
      </c>
      <c r="CW153" s="1620"/>
      <c r="CX153" s="1620" t="str">
        <f>IFERROR(INDEX(N_Bedarf!$CE$2:$CE$304,_xlfn.AGGREGATE(15,6,(ROW(N_Bedarf!$CE$2:$CE$304)-1)/(--(SEARCH(CY$2,N_Bedarf!$CE$2:$CE$304)&gt;0)),ROW()-2),1),"")</f>
        <v/>
      </c>
      <c r="CY153" s="1620"/>
      <c r="CZ153" s="1620" t="str">
        <f>IFERROR(INDEX(N_Bedarf!$CE$2:$CE$304,_xlfn.AGGREGATE(15,6,(ROW(N_Bedarf!$CE$2:$CE$304)-1)/(--(SEARCH(DA$2,N_Bedarf!$CE$2:$CE$304)&gt;0)),ROW()-2),1),"")</f>
        <v/>
      </c>
      <c r="DA153" s="1620"/>
      <c r="DB153" s="1620" t="str">
        <f>IFERROR(INDEX(N_Bedarf!$CE$2:$CE$304,_xlfn.AGGREGATE(15,6,(ROW(N_Bedarf!$CE$2:$CE$304)-1)/(--(SEARCH(DC$2,N_Bedarf!$CE$2:$CE$304)&gt;0)),ROW()-2),1),"")</f>
        <v/>
      </c>
      <c r="DC153" s="1620"/>
      <c r="DD153" s="1620" t="str">
        <f>IFERROR(INDEX(N_Bedarf!$CE$2:$CE$304,_xlfn.AGGREGATE(15,6,(ROW(N_Bedarf!$CE$2:$CE$304)-1)/(--(SEARCH(DE$2,N_Bedarf!$CE$2:$CE$304)&gt;0)),ROW()-2),1),"")</f>
        <v/>
      </c>
      <c r="DE153" s="1620"/>
    </row>
    <row r="154" spans="1:109" ht="21" customHeight="1">
      <c r="A154" s="156"/>
      <c r="B154" s="156"/>
      <c r="C154" s="1764" t="s">
        <v>1819</v>
      </c>
      <c r="D154" s="1765" t="s">
        <v>1418</v>
      </c>
      <c r="E154" s="1766">
        <v>60</v>
      </c>
      <c r="F154" s="1767">
        <v>50</v>
      </c>
      <c r="G154" s="1993" t="s">
        <v>1419</v>
      </c>
      <c r="H154" s="1994">
        <v>60</v>
      </c>
      <c r="I154" s="1995">
        <v>50</v>
      </c>
      <c r="J154" s="1765" t="s">
        <v>1584</v>
      </c>
      <c r="K154" s="1766">
        <v>60</v>
      </c>
      <c r="L154" s="1767">
        <v>50</v>
      </c>
      <c r="M154" s="1765" t="s">
        <v>1584</v>
      </c>
      <c r="N154" s="1766">
        <v>60</v>
      </c>
      <c r="O154" s="1767">
        <v>50</v>
      </c>
      <c r="P154" s="1765" t="s">
        <v>1584</v>
      </c>
      <c r="Q154" s="1766">
        <v>60</v>
      </c>
      <c r="R154" s="1770">
        <v>50</v>
      </c>
      <c r="S154" s="1762">
        <v>100</v>
      </c>
      <c r="T154" s="1766">
        <v>100</v>
      </c>
      <c r="U154" s="1760">
        <v>100</v>
      </c>
      <c r="V154" s="1759">
        <v>80</v>
      </c>
      <c r="W154" s="1766">
        <v>80</v>
      </c>
      <c r="X154" s="1760">
        <v>80</v>
      </c>
      <c r="Y154" s="2012">
        <v>60</v>
      </c>
      <c r="Z154" s="2010">
        <v>65</v>
      </c>
      <c r="AA154" s="2013">
        <v>75</v>
      </c>
      <c r="AB154" s="1872" t="s">
        <v>1388</v>
      </c>
      <c r="AC154" s="1769" t="s">
        <v>1389</v>
      </c>
      <c r="AD154" s="1762">
        <v>180</v>
      </c>
      <c r="AE154" s="1766">
        <v>180</v>
      </c>
      <c r="AF154" s="1760">
        <v>180</v>
      </c>
      <c r="AG154" s="1759">
        <v>150</v>
      </c>
      <c r="AH154" s="1766">
        <v>150</v>
      </c>
      <c r="AI154" s="1760">
        <v>150</v>
      </c>
      <c r="AJ154" s="2012">
        <v>110</v>
      </c>
      <c r="AK154" s="2010">
        <v>120</v>
      </c>
      <c r="AL154" s="2013">
        <v>140</v>
      </c>
      <c r="AM154" s="1872" t="s">
        <v>1390</v>
      </c>
      <c r="AN154" s="1769" t="s">
        <v>1389</v>
      </c>
      <c r="AO154" s="156"/>
      <c r="AP154" s="156"/>
      <c r="AU154"/>
      <c r="AV154"/>
      <c r="AW154"/>
      <c r="AX154" s="1669"/>
      <c r="AY154" s="3"/>
      <c r="AZ154" s="3"/>
      <c r="BA154" s="3"/>
      <c r="BB154" s="3"/>
      <c r="BC154" s="3"/>
      <c r="BD154" s="3"/>
      <c r="BE154" s="3"/>
      <c r="BF154" s="3"/>
      <c r="BG154" s="3"/>
      <c r="BH154" s="3"/>
      <c r="BI154" s="3"/>
      <c r="BJ154" s="3"/>
      <c r="BK154" s="3"/>
      <c r="BL154" s="3"/>
      <c r="BM154" s="3"/>
      <c r="BN154" s="263"/>
      <c r="BO154" s="3"/>
      <c r="BQ154" s="1669"/>
      <c r="BR154" s="397"/>
      <c r="BS154" s="397"/>
      <c r="BT154" s="397"/>
      <c r="BV154" s="1669"/>
      <c r="BW154" s="397"/>
      <c r="BX154" s="397"/>
      <c r="BY154" s="397"/>
      <c r="CB154" s="428"/>
      <c r="CC154" s="428"/>
      <c r="CD154" s="428"/>
      <c r="CE154" s="1669"/>
      <c r="CF154" s="1620" t="str">
        <f>IFERROR(INDEX(N_Bedarf!$CE$2:$CE$304,_xlfn.AGGREGATE(15,6,(ROW(N_Bedarf!$CE$2:$CE$304)-1)/(--(SEARCH(CG$2,N_Bedarf!$CE$2:$CE$304)&gt;0)),ROW()-2),1),"")</f>
        <v/>
      </c>
      <c r="CG154" s="1620"/>
      <c r="CH154" s="1620" t="str">
        <f>IFERROR(INDEX(N_Bedarf!$CE$2:$CE$304,_xlfn.AGGREGATE(15,6,(ROW(N_Bedarf!$CE$2:$CE$304)-1)/(--(SEARCH(CI$2,N_Bedarf!$CE$2:$CE$304)&gt;0)),ROW()-2),1),"")</f>
        <v/>
      </c>
      <c r="CI154" s="1620"/>
      <c r="CJ154" s="1620" t="str">
        <f>IFERROR(INDEX(N_Bedarf!$CE$2:$CE$304,_xlfn.AGGREGATE(15,6,(ROW(N_Bedarf!$CE$2:$CE$304)-1)/(--(SEARCH(CK$2,N_Bedarf!$CE$2:$CE$304)&gt;0)),ROW()-2),1),"")</f>
        <v/>
      </c>
      <c r="CK154" s="1620"/>
      <c r="CL154" s="1620" t="str">
        <f>IFERROR(INDEX(N_Bedarf!$CE$2:$CE$304,_xlfn.AGGREGATE(15,6,(ROW(N_Bedarf!$CE$2:$CE$304)-1)/(--(SEARCH(CM$2,N_Bedarf!$CE$2:$CE$304)&gt;0)),ROW()-2),1),"")</f>
        <v/>
      </c>
      <c r="CM154" s="1620"/>
      <c r="CN154" s="1620" t="str">
        <f>IFERROR(INDEX(N_Bedarf!$CE$2:$CE$304,_xlfn.AGGREGATE(15,6,(ROW(N_Bedarf!$CE$2:$CE$304)-1)/(--(SEARCH(CO$2,N_Bedarf!$CE$2:$CE$304)&gt;0)),ROW()-2),1),"")</f>
        <v/>
      </c>
      <c r="CO154" s="1620"/>
      <c r="CP154" s="1620" t="str">
        <f>IFERROR(INDEX(N_Bedarf!$CE$2:$CE$304,_xlfn.AGGREGATE(15,6,(ROW(N_Bedarf!$CE$2:$CE$304)-1)/(--(SEARCH(CQ$2,N_Bedarf!$CE$2:$CE$304)&gt;0)),ROW()-2),1),"")</f>
        <v/>
      </c>
      <c r="CQ154" s="1620"/>
      <c r="CR154" s="1620" t="str">
        <f>IFERROR(INDEX(N_Bedarf!$CE$2:$CE$304,_xlfn.AGGREGATE(15,6,(ROW(N_Bedarf!$CE$2:$CE$304)-1)/(--(SEARCH(CS$2,N_Bedarf!$CE$2:$CE$304)&gt;0)),ROW()-2),1),"")</f>
        <v/>
      </c>
      <c r="CS154" s="1620"/>
      <c r="CT154" s="1620" t="str">
        <f>IFERROR(INDEX(N_Bedarf!$CE$2:$CE$304,_xlfn.AGGREGATE(15,6,(ROW(N_Bedarf!$CE$2:$CE$304)-1)/(--(SEARCH(CU$2,N_Bedarf!$CE$2:$CE$304)&gt;0)),ROW()-2),1),"")</f>
        <v/>
      </c>
      <c r="CU154" s="1620"/>
      <c r="CV154" s="1620" t="str">
        <f>IFERROR(INDEX(N_Bedarf!$CE$2:$CE$304,_xlfn.AGGREGATE(15,6,(ROW(N_Bedarf!$CE$2:$CE$304)-1)/(--(SEARCH(CW$2,N_Bedarf!$CE$2:$CE$304)&gt;0)),ROW()-2),1),"")</f>
        <v/>
      </c>
      <c r="CW154" s="1620"/>
      <c r="CX154" s="1620" t="str">
        <f>IFERROR(INDEX(N_Bedarf!$CE$2:$CE$304,_xlfn.AGGREGATE(15,6,(ROW(N_Bedarf!$CE$2:$CE$304)-1)/(--(SEARCH(CY$2,N_Bedarf!$CE$2:$CE$304)&gt;0)),ROW()-2),1),"")</f>
        <v/>
      </c>
      <c r="CY154" s="1620"/>
      <c r="CZ154" s="1620" t="str">
        <f>IFERROR(INDEX(N_Bedarf!$CE$2:$CE$304,_xlfn.AGGREGATE(15,6,(ROW(N_Bedarf!$CE$2:$CE$304)-1)/(--(SEARCH(DA$2,N_Bedarf!$CE$2:$CE$304)&gt;0)),ROW()-2),1),"")</f>
        <v/>
      </c>
      <c r="DA154" s="1620"/>
      <c r="DB154" s="1620" t="str">
        <f>IFERROR(INDEX(N_Bedarf!$CE$2:$CE$304,_xlfn.AGGREGATE(15,6,(ROW(N_Bedarf!$CE$2:$CE$304)-1)/(--(SEARCH(DC$2,N_Bedarf!$CE$2:$CE$304)&gt;0)),ROW()-2),1),"")</f>
        <v/>
      </c>
      <c r="DC154" s="1620"/>
      <c r="DD154" s="1620" t="str">
        <f>IFERROR(INDEX(N_Bedarf!$CE$2:$CE$304,_xlfn.AGGREGATE(15,6,(ROW(N_Bedarf!$CE$2:$CE$304)-1)/(--(SEARCH(DE$2,N_Bedarf!$CE$2:$CE$304)&gt;0)),ROW()-2),1),"")</f>
        <v/>
      </c>
      <c r="DE154" s="1620"/>
    </row>
    <row r="155" spans="1:109" ht="21" customHeight="1">
      <c r="A155" s="156"/>
      <c r="B155" s="156"/>
      <c r="C155" s="1758" t="s">
        <v>1261</v>
      </c>
      <c r="D155" s="1759" t="s">
        <v>1803</v>
      </c>
      <c r="E155" s="1729">
        <v>95</v>
      </c>
      <c r="F155" s="1760">
        <v>80</v>
      </c>
      <c r="G155" s="1993" t="s">
        <v>1804</v>
      </c>
      <c r="H155" s="1994">
        <v>130</v>
      </c>
      <c r="I155" s="1995">
        <v>110</v>
      </c>
      <c r="J155" s="1759" t="s">
        <v>1385</v>
      </c>
      <c r="K155" s="1729">
        <v>155</v>
      </c>
      <c r="L155" s="1760">
        <v>135</v>
      </c>
      <c r="M155" s="1759" t="s">
        <v>1386</v>
      </c>
      <c r="N155" s="1729">
        <v>170</v>
      </c>
      <c r="O155" s="1760">
        <v>145</v>
      </c>
      <c r="P155" s="1759" t="s">
        <v>1387</v>
      </c>
      <c r="Q155" s="1729">
        <v>180</v>
      </c>
      <c r="R155" s="1761">
        <v>155</v>
      </c>
      <c r="S155" s="1762">
        <v>85</v>
      </c>
      <c r="T155" s="1729">
        <v>85</v>
      </c>
      <c r="U155" s="1760">
        <v>85</v>
      </c>
      <c r="V155" s="1759">
        <v>70</v>
      </c>
      <c r="W155" s="1729">
        <v>70</v>
      </c>
      <c r="X155" s="1760">
        <v>70</v>
      </c>
      <c r="Y155" s="2009">
        <v>50</v>
      </c>
      <c r="Z155" s="2010">
        <v>55</v>
      </c>
      <c r="AA155" s="2011">
        <v>65</v>
      </c>
      <c r="AB155" s="1871" t="s">
        <v>1388</v>
      </c>
      <c r="AC155" s="1763" t="s">
        <v>1389</v>
      </c>
      <c r="AD155" s="1762">
        <v>120</v>
      </c>
      <c r="AE155" s="1729">
        <v>120</v>
      </c>
      <c r="AF155" s="1760">
        <v>120</v>
      </c>
      <c r="AG155" s="1759">
        <v>100</v>
      </c>
      <c r="AH155" s="1729">
        <v>100</v>
      </c>
      <c r="AI155" s="1760">
        <v>100</v>
      </c>
      <c r="AJ155" s="2009">
        <v>70</v>
      </c>
      <c r="AK155" s="2010">
        <v>80</v>
      </c>
      <c r="AL155" s="2011">
        <v>90</v>
      </c>
      <c r="AM155" s="1871" t="s">
        <v>1390</v>
      </c>
      <c r="AN155" s="1763" t="s">
        <v>1389</v>
      </c>
      <c r="AO155" s="156"/>
      <c r="AP155" s="156"/>
      <c r="AU155"/>
      <c r="AV155"/>
      <c r="AW155"/>
      <c r="AX155" s="1669"/>
      <c r="AY155" s="3"/>
      <c r="AZ155" s="3"/>
      <c r="BA155" s="3"/>
      <c r="BB155" s="3"/>
      <c r="BC155" s="3"/>
      <c r="BD155" s="3"/>
      <c r="BE155" s="3"/>
      <c r="BF155" s="3"/>
      <c r="BG155" s="3"/>
      <c r="BH155" s="3"/>
      <c r="BI155" s="3"/>
      <c r="BJ155" s="3"/>
      <c r="BK155" s="3"/>
      <c r="BL155" s="3"/>
      <c r="BM155" s="3"/>
      <c r="BN155" s="263"/>
      <c r="BO155" s="3"/>
      <c r="BQ155" s="1669"/>
      <c r="BR155" s="397"/>
      <c r="BS155" s="397"/>
      <c r="BT155" s="397"/>
      <c r="BV155" s="1669"/>
      <c r="BW155" s="397"/>
      <c r="BX155" s="397"/>
      <c r="BY155" s="397"/>
      <c r="CB155" s="428"/>
      <c r="CC155" s="428"/>
      <c r="CD155" s="428"/>
      <c r="CE155" s="1669"/>
      <c r="CF155" s="1620" t="str">
        <f>IFERROR(INDEX(N_Bedarf!$CE$2:$CE$304,_xlfn.AGGREGATE(15,6,(ROW(N_Bedarf!$CE$2:$CE$304)-1)/(--(SEARCH(CG$2,N_Bedarf!$CE$2:$CE$304)&gt;0)),ROW()-2),1),"")</f>
        <v/>
      </c>
      <c r="CG155" s="1620"/>
      <c r="CH155" s="1620" t="str">
        <f>IFERROR(INDEX(N_Bedarf!$CE$2:$CE$304,_xlfn.AGGREGATE(15,6,(ROW(N_Bedarf!$CE$2:$CE$304)-1)/(--(SEARCH(CI$2,N_Bedarf!$CE$2:$CE$304)&gt;0)),ROW()-2),1),"")</f>
        <v/>
      </c>
      <c r="CI155" s="1620"/>
      <c r="CJ155" s="1620" t="str">
        <f>IFERROR(INDEX(N_Bedarf!$CE$2:$CE$304,_xlfn.AGGREGATE(15,6,(ROW(N_Bedarf!$CE$2:$CE$304)-1)/(--(SEARCH(CK$2,N_Bedarf!$CE$2:$CE$304)&gt;0)),ROW()-2),1),"")</f>
        <v/>
      </c>
      <c r="CK155" s="1620"/>
      <c r="CL155" s="1620" t="str">
        <f>IFERROR(INDEX(N_Bedarf!$CE$2:$CE$304,_xlfn.AGGREGATE(15,6,(ROW(N_Bedarf!$CE$2:$CE$304)-1)/(--(SEARCH(CM$2,N_Bedarf!$CE$2:$CE$304)&gt;0)),ROW()-2),1),"")</f>
        <v/>
      </c>
      <c r="CM155" s="1620"/>
      <c r="CN155" s="1620" t="str">
        <f>IFERROR(INDEX(N_Bedarf!$CE$2:$CE$304,_xlfn.AGGREGATE(15,6,(ROW(N_Bedarf!$CE$2:$CE$304)-1)/(--(SEARCH(CO$2,N_Bedarf!$CE$2:$CE$304)&gt;0)),ROW()-2),1),"")</f>
        <v/>
      </c>
      <c r="CO155" s="1620"/>
      <c r="CP155" s="1620" t="str">
        <f>IFERROR(INDEX(N_Bedarf!$CE$2:$CE$304,_xlfn.AGGREGATE(15,6,(ROW(N_Bedarf!$CE$2:$CE$304)-1)/(--(SEARCH(CQ$2,N_Bedarf!$CE$2:$CE$304)&gt;0)),ROW()-2),1),"")</f>
        <v/>
      </c>
      <c r="CQ155" s="1620"/>
      <c r="CR155" s="1620" t="str">
        <f>IFERROR(INDEX(N_Bedarf!$CE$2:$CE$304,_xlfn.AGGREGATE(15,6,(ROW(N_Bedarf!$CE$2:$CE$304)-1)/(--(SEARCH(CS$2,N_Bedarf!$CE$2:$CE$304)&gt;0)),ROW()-2),1),"")</f>
        <v/>
      </c>
      <c r="CS155" s="1620"/>
      <c r="CT155" s="1620" t="str">
        <f>IFERROR(INDEX(N_Bedarf!$CE$2:$CE$304,_xlfn.AGGREGATE(15,6,(ROW(N_Bedarf!$CE$2:$CE$304)-1)/(--(SEARCH(CU$2,N_Bedarf!$CE$2:$CE$304)&gt;0)),ROW()-2),1),"")</f>
        <v/>
      </c>
      <c r="CU155" s="1620"/>
      <c r="CV155" s="1620" t="str">
        <f>IFERROR(INDEX(N_Bedarf!$CE$2:$CE$304,_xlfn.AGGREGATE(15,6,(ROW(N_Bedarf!$CE$2:$CE$304)-1)/(--(SEARCH(CW$2,N_Bedarf!$CE$2:$CE$304)&gt;0)),ROW()-2),1),"")</f>
        <v/>
      </c>
      <c r="CW155" s="1620"/>
      <c r="CX155" s="1620" t="str">
        <f>IFERROR(INDEX(N_Bedarf!$CE$2:$CE$304,_xlfn.AGGREGATE(15,6,(ROW(N_Bedarf!$CE$2:$CE$304)-1)/(--(SEARCH(CY$2,N_Bedarf!$CE$2:$CE$304)&gt;0)),ROW()-2),1),"")</f>
        <v/>
      </c>
      <c r="CY155" s="1620"/>
      <c r="CZ155" s="1620" t="str">
        <f>IFERROR(INDEX(N_Bedarf!$CE$2:$CE$304,_xlfn.AGGREGATE(15,6,(ROW(N_Bedarf!$CE$2:$CE$304)-1)/(--(SEARCH(DA$2,N_Bedarf!$CE$2:$CE$304)&gt;0)),ROW()-2),1),"")</f>
        <v/>
      </c>
      <c r="DA155" s="1620"/>
      <c r="DB155" s="1620" t="str">
        <f>IFERROR(INDEX(N_Bedarf!$CE$2:$CE$304,_xlfn.AGGREGATE(15,6,(ROW(N_Bedarf!$CE$2:$CE$304)-1)/(--(SEARCH(DC$2,N_Bedarf!$CE$2:$CE$304)&gt;0)),ROW()-2),1),"")</f>
        <v/>
      </c>
      <c r="DC155" s="1620"/>
      <c r="DD155" s="1620" t="str">
        <f>IFERROR(INDEX(N_Bedarf!$CE$2:$CE$304,_xlfn.AGGREGATE(15,6,(ROW(N_Bedarf!$CE$2:$CE$304)-1)/(--(SEARCH(DE$2,N_Bedarf!$CE$2:$CE$304)&gt;0)),ROW()-2),1),"")</f>
        <v/>
      </c>
      <c r="DE155" s="1620"/>
    </row>
    <row r="156" spans="1:109" ht="21" customHeight="1">
      <c r="A156" s="156"/>
      <c r="B156" s="156"/>
      <c r="C156" s="1758" t="s">
        <v>1820</v>
      </c>
      <c r="D156" s="1759" t="s">
        <v>1383</v>
      </c>
      <c r="E156" s="1729">
        <v>70</v>
      </c>
      <c r="F156" s="1760">
        <v>60</v>
      </c>
      <c r="G156" s="1993" t="s">
        <v>1821</v>
      </c>
      <c r="H156" s="1994">
        <v>100</v>
      </c>
      <c r="I156" s="1995">
        <v>85</v>
      </c>
      <c r="J156" s="1759" t="s">
        <v>1399</v>
      </c>
      <c r="K156" s="1729">
        <v>115</v>
      </c>
      <c r="L156" s="1760">
        <v>100</v>
      </c>
      <c r="M156" s="1759" t="s">
        <v>1400</v>
      </c>
      <c r="N156" s="1729">
        <v>125</v>
      </c>
      <c r="O156" s="1760">
        <v>105</v>
      </c>
      <c r="P156" s="1759" t="s">
        <v>1401</v>
      </c>
      <c r="Q156" s="1729">
        <v>135</v>
      </c>
      <c r="R156" s="1761">
        <v>115</v>
      </c>
      <c r="S156" s="1762">
        <v>85</v>
      </c>
      <c r="T156" s="1729">
        <v>85</v>
      </c>
      <c r="U156" s="1760">
        <v>85</v>
      </c>
      <c r="V156" s="1759">
        <v>70</v>
      </c>
      <c r="W156" s="1729">
        <v>70</v>
      </c>
      <c r="X156" s="1760">
        <v>70</v>
      </c>
      <c r="Y156" s="2009">
        <v>50</v>
      </c>
      <c r="Z156" s="2010">
        <v>55</v>
      </c>
      <c r="AA156" s="2011">
        <v>65</v>
      </c>
      <c r="AB156" s="1871" t="s">
        <v>1388</v>
      </c>
      <c r="AC156" s="1763" t="s">
        <v>1389</v>
      </c>
      <c r="AD156" s="1762">
        <v>120</v>
      </c>
      <c r="AE156" s="1729">
        <v>120</v>
      </c>
      <c r="AF156" s="1760">
        <v>120</v>
      </c>
      <c r="AG156" s="1759">
        <v>100</v>
      </c>
      <c r="AH156" s="1729">
        <v>100</v>
      </c>
      <c r="AI156" s="1760">
        <v>100</v>
      </c>
      <c r="AJ156" s="2009">
        <v>70</v>
      </c>
      <c r="AK156" s="2010">
        <v>80</v>
      </c>
      <c r="AL156" s="2011">
        <v>90</v>
      </c>
      <c r="AM156" s="1871" t="s">
        <v>1390</v>
      </c>
      <c r="AN156" s="1763" t="s">
        <v>1389</v>
      </c>
      <c r="AO156" s="156"/>
      <c r="AP156" s="156"/>
      <c r="AU156"/>
      <c r="AV156"/>
      <c r="AW156"/>
      <c r="AX156" s="1669"/>
      <c r="AY156" s="3"/>
      <c r="AZ156" s="3"/>
      <c r="BA156" s="3"/>
      <c r="BB156" s="3"/>
      <c r="BC156" s="3"/>
      <c r="BD156" s="3"/>
      <c r="BE156" s="3"/>
      <c r="BF156" s="3"/>
      <c r="BG156" s="3"/>
      <c r="BH156" s="3"/>
      <c r="BI156" s="3"/>
      <c r="BJ156" s="3"/>
      <c r="BK156" s="3"/>
      <c r="BL156" s="3"/>
      <c r="BM156" s="3"/>
      <c r="BN156" s="263"/>
      <c r="BO156" s="3"/>
      <c r="BQ156" s="1669"/>
      <c r="BR156" s="397"/>
      <c r="BS156" s="397"/>
      <c r="BT156" s="397"/>
      <c r="BV156" s="1669"/>
      <c r="BW156" s="397"/>
      <c r="BX156" s="397"/>
      <c r="BY156" s="397"/>
      <c r="CB156" s="428"/>
      <c r="CC156" s="428"/>
      <c r="CD156" s="428"/>
      <c r="CE156" s="1669"/>
      <c r="CF156" s="1620" t="str">
        <f>IFERROR(INDEX(N_Bedarf!$CE$2:$CE$304,_xlfn.AGGREGATE(15,6,(ROW(N_Bedarf!$CE$2:$CE$304)-1)/(--(SEARCH(CG$2,N_Bedarf!$CE$2:$CE$304)&gt;0)),ROW()-2),1),"")</f>
        <v/>
      </c>
      <c r="CG156" s="1620"/>
      <c r="CH156" s="1620" t="str">
        <f>IFERROR(INDEX(N_Bedarf!$CE$2:$CE$304,_xlfn.AGGREGATE(15,6,(ROW(N_Bedarf!$CE$2:$CE$304)-1)/(--(SEARCH(CI$2,N_Bedarf!$CE$2:$CE$304)&gt;0)),ROW()-2),1),"")</f>
        <v/>
      </c>
      <c r="CI156" s="1620"/>
      <c r="CJ156" s="1620" t="str">
        <f>IFERROR(INDEX(N_Bedarf!$CE$2:$CE$304,_xlfn.AGGREGATE(15,6,(ROW(N_Bedarf!$CE$2:$CE$304)-1)/(--(SEARCH(CK$2,N_Bedarf!$CE$2:$CE$304)&gt;0)),ROW()-2),1),"")</f>
        <v/>
      </c>
      <c r="CK156" s="1620"/>
      <c r="CL156" s="1620" t="str">
        <f>IFERROR(INDEX(N_Bedarf!$CE$2:$CE$304,_xlfn.AGGREGATE(15,6,(ROW(N_Bedarf!$CE$2:$CE$304)-1)/(--(SEARCH(CM$2,N_Bedarf!$CE$2:$CE$304)&gt;0)),ROW()-2),1),"")</f>
        <v/>
      </c>
      <c r="CM156" s="1620"/>
      <c r="CN156" s="1620" t="str">
        <f>IFERROR(INDEX(N_Bedarf!$CE$2:$CE$304,_xlfn.AGGREGATE(15,6,(ROW(N_Bedarf!$CE$2:$CE$304)-1)/(--(SEARCH(CO$2,N_Bedarf!$CE$2:$CE$304)&gt;0)),ROW()-2),1),"")</f>
        <v/>
      </c>
      <c r="CO156" s="1620"/>
      <c r="CP156" s="1620" t="str">
        <f>IFERROR(INDEX(N_Bedarf!$CE$2:$CE$304,_xlfn.AGGREGATE(15,6,(ROW(N_Bedarf!$CE$2:$CE$304)-1)/(--(SEARCH(CQ$2,N_Bedarf!$CE$2:$CE$304)&gt;0)),ROW()-2),1),"")</f>
        <v/>
      </c>
      <c r="CQ156" s="1620"/>
      <c r="CR156" s="1620" t="str">
        <f>IFERROR(INDEX(N_Bedarf!$CE$2:$CE$304,_xlfn.AGGREGATE(15,6,(ROW(N_Bedarf!$CE$2:$CE$304)-1)/(--(SEARCH(CS$2,N_Bedarf!$CE$2:$CE$304)&gt;0)),ROW()-2),1),"")</f>
        <v/>
      </c>
      <c r="CS156" s="1620"/>
      <c r="CT156" s="1620" t="str">
        <f>IFERROR(INDEX(N_Bedarf!$CE$2:$CE$304,_xlfn.AGGREGATE(15,6,(ROW(N_Bedarf!$CE$2:$CE$304)-1)/(--(SEARCH(CU$2,N_Bedarf!$CE$2:$CE$304)&gt;0)),ROW()-2),1),"")</f>
        <v/>
      </c>
      <c r="CU156" s="1620"/>
      <c r="CV156" s="1620" t="str">
        <f>IFERROR(INDEX(N_Bedarf!$CE$2:$CE$304,_xlfn.AGGREGATE(15,6,(ROW(N_Bedarf!$CE$2:$CE$304)-1)/(--(SEARCH(CW$2,N_Bedarf!$CE$2:$CE$304)&gt;0)),ROW()-2),1),"")</f>
        <v/>
      </c>
      <c r="CW156" s="1620"/>
      <c r="CX156" s="1620" t="str">
        <f>IFERROR(INDEX(N_Bedarf!$CE$2:$CE$304,_xlfn.AGGREGATE(15,6,(ROW(N_Bedarf!$CE$2:$CE$304)-1)/(--(SEARCH(CY$2,N_Bedarf!$CE$2:$CE$304)&gt;0)),ROW()-2),1),"")</f>
        <v/>
      </c>
      <c r="CY156" s="1620"/>
      <c r="CZ156" s="1620" t="str">
        <f>IFERROR(INDEX(N_Bedarf!$CE$2:$CE$304,_xlfn.AGGREGATE(15,6,(ROW(N_Bedarf!$CE$2:$CE$304)-1)/(--(SEARCH(DA$2,N_Bedarf!$CE$2:$CE$304)&gt;0)),ROW()-2),1),"")</f>
        <v/>
      </c>
      <c r="DA156" s="1620"/>
      <c r="DB156" s="1620" t="str">
        <f>IFERROR(INDEX(N_Bedarf!$CE$2:$CE$304,_xlfn.AGGREGATE(15,6,(ROW(N_Bedarf!$CE$2:$CE$304)-1)/(--(SEARCH(DC$2,N_Bedarf!$CE$2:$CE$304)&gt;0)),ROW()-2),1),"")</f>
        <v/>
      </c>
      <c r="DC156" s="1620"/>
      <c r="DD156" s="1620" t="str">
        <f>IFERROR(INDEX(N_Bedarf!$CE$2:$CE$304,_xlfn.AGGREGATE(15,6,(ROW(N_Bedarf!$CE$2:$CE$304)-1)/(--(SEARCH(DE$2,N_Bedarf!$CE$2:$CE$304)&gt;0)),ROW()-2),1),"")</f>
        <v/>
      </c>
      <c r="DE156" s="1620"/>
    </row>
    <row r="157" spans="1:109" ht="21" customHeight="1">
      <c r="A157" s="156"/>
      <c r="B157" s="156"/>
      <c r="C157" s="1758" t="s">
        <v>1728</v>
      </c>
      <c r="D157" s="1759" t="s">
        <v>1394</v>
      </c>
      <c r="E157" s="1729">
        <v>70</v>
      </c>
      <c r="F157" s="1760">
        <v>60</v>
      </c>
      <c r="G157" s="1993" t="s">
        <v>1392</v>
      </c>
      <c r="H157" s="1994">
        <v>100</v>
      </c>
      <c r="I157" s="1995">
        <v>85</v>
      </c>
      <c r="J157" s="1759" t="s">
        <v>1402</v>
      </c>
      <c r="K157" s="1729">
        <v>115</v>
      </c>
      <c r="L157" s="1760">
        <v>100</v>
      </c>
      <c r="M157" s="1759" t="s">
        <v>1403</v>
      </c>
      <c r="N157" s="1729">
        <v>125</v>
      </c>
      <c r="O157" s="1760">
        <v>105</v>
      </c>
      <c r="P157" s="1759" t="s">
        <v>1404</v>
      </c>
      <c r="Q157" s="1729">
        <v>135</v>
      </c>
      <c r="R157" s="1761">
        <v>115</v>
      </c>
      <c r="S157" s="1762">
        <v>85</v>
      </c>
      <c r="T157" s="1729">
        <v>85</v>
      </c>
      <c r="U157" s="1760">
        <v>85</v>
      </c>
      <c r="V157" s="1759">
        <v>70</v>
      </c>
      <c r="W157" s="1729">
        <v>70</v>
      </c>
      <c r="X157" s="1760">
        <v>70</v>
      </c>
      <c r="Y157" s="2009">
        <v>50</v>
      </c>
      <c r="Z157" s="2010">
        <v>55</v>
      </c>
      <c r="AA157" s="2011">
        <v>65</v>
      </c>
      <c r="AB157" s="1871" t="s">
        <v>1388</v>
      </c>
      <c r="AC157" s="1763" t="s">
        <v>1389</v>
      </c>
      <c r="AD157" s="1762">
        <v>120</v>
      </c>
      <c r="AE157" s="1729">
        <v>120</v>
      </c>
      <c r="AF157" s="1760">
        <v>120</v>
      </c>
      <c r="AG157" s="1759">
        <v>100</v>
      </c>
      <c r="AH157" s="1729">
        <v>100</v>
      </c>
      <c r="AI157" s="1760">
        <v>100</v>
      </c>
      <c r="AJ157" s="2009">
        <v>70</v>
      </c>
      <c r="AK157" s="2010">
        <v>80</v>
      </c>
      <c r="AL157" s="2011">
        <v>90</v>
      </c>
      <c r="AM157" s="1871" t="s">
        <v>1390</v>
      </c>
      <c r="AN157" s="1763" t="s">
        <v>1389</v>
      </c>
      <c r="AO157" s="156"/>
      <c r="AP157" s="156"/>
      <c r="AU157"/>
      <c r="AV157"/>
      <c r="AW157"/>
      <c r="AX157" s="1669"/>
      <c r="AY157" s="3"/>
      <c r="AZ157" s="3"/>
      <c r="BA157" s="3"/>
      <c r="BB157" s="3"/>
      <c r="BC157" s="3"/>
      <c r="BD157" s="3"/>
      <c r="BE157" s="3"/>
      <c r="BF157" s="3"/>
      <c r="BG157" s="3"/>
      <c r="BH157" s="3"/>
      <c r="BI157" s="3"/>
      <c r="BJ157" s="3"/>
      <c r="BK157" s="3"/>
      <c r="BL157" s="3"/>
      <c r="BM157" s="3"/>
      <c r="BN157" s="263"/>
      <c r="BO157" s="3"/>
      <c r="BQ157" s="1669"/>
      <c r="BR157" s="397"/>
      <c r="BS157" s="397"/>
      <c r="BT157" s="397"/>
      <c r="BV157" s="1669"/>
      <c r="BW157" s="397"/>
      <c r="BX157" s="397"/>
      <c r="BY157" s="397"/>
      <c r="CB157" s="428"/>
      <c r="CC157" s="428"/>
      <c r="CD157" s="428"/>
      <c r="CE157" s="1669"/>
      <c r="CF157" s="1620" t="str">
        <f>IFERROR(INDEX(N_Bedarf!$CE$2:$CE$304,_xlfn.AGGREGATE(15,6,(ROW(N_Bedarf!$CE$2:$CE$304)-1)/(--(SEARCH(CG$2,N_Bedarf!$CE$2:$CE$304)&gt;0)),ROW()-2),1),"")</f>
        <v/>
      </c>
      <c r="CG157" s="1620"/>
      <c r="CH157" s="1620" t="str">
        <f>IFERROR(INDEX(N_Bedarf!$CE$2:$CE$304,_xlfn.AGGREGATE(15,6,(ROW(N_Bedarf!$CE$2:$CE$304)-1)/(--(SEARCH(CI$2,N_Bedarf!$CE$2:$CE$304)&gt;0)),ROW()-2),1),"")</f>
        <v/>
      </c>
      <c r="CI157" s="1620"/>
      <c r="CJ157" s="1620" t="str">
        <f>IFERROR(INDEX(N_Bedarf!$CE$2:$CE$304,_xlfn.AGGREGATE(15,6,(ROW(N_Bedarf!$CE$2:$CE$304)-1)/(--(SEARCH(CK$2,N_Bedarf!$CE$2:$CE$304)&gt;0)),ROW()-2),1),"")</f>
        <v/>
      </c>
      <c r="CK157" s="1620"/>
      <c r="CL157" s="1620" t="str">
        <f>IFERROR(INDEX(N_Bedarf!$CE$2:$CE$304,_xlfn.AGGREGATE(15,6,(ROW(N_Bedarf!$CE$2:$CE$304)-1)/(--(SEARCH(CM$2,N_Bedarf!$CE$2:$CE$304)&gt;0)),ROW()-2),1),"")</f>
        <v/>
      </c>
      <c r="CM157" s="1620"/>
      <c r="CN157" s="1620" t="str">
        <f>IFERROR(INDEX(N_Bedarf!$CE$2:$CE$304,_xlfn.AGGREGATE(15,6,(ROW(N_Bedarf!$CE$2:$CE$304)-1)/(--(SEARCH(CO$2,N_Bedarf!$CE$2:$CE$304)&gt;0)),ROW()-2),1),"")</f>
        <v/>
      </c>
      <c r="CO157" s="1620"/>
      <c r="CP157" s="1620" t="str">
        <f>IFERROR(INDEX(N_Bedarf!$CE$2:$CE$304,_xlfn.AGGREGATE(15,6,(ROW(N_Bedarf!$CE$2:$CE$304)-1)/(--(SEARCH(CQ$2,N_Bedarf!$CE$2:$CE$304)&gt;0)),ROW()-2),1),"")</f>
        <v/>
      </c>
      <c r="CQ157" s="1620"/>
      <c r="CR157" s="1620" t="str">
        <f>IFERROR(INDEX(N_Bedarf!$CE$2:$CE$304,_xlfn.AGGREGATE(15,6,(ROW(N_Bedarf!$CE$2:$CE$304)-1)/(--(SEARCH(CS$2,N_Bedarf!$CE$2:$CE$304)&gt;0)),ROW()-2),1),"")</f>
        <v/>
      </c>
      <c r="CS157" s="1620"/>
      <c r="CT157" s="1620" t="str">
        <f>IFERROR(INDEX(N_Bedarf!$CE$2:$CE$304,_xlfn.AGGREGATE(15,6,(ROW(N_Bedarf!$CE$2:$CE$304)-1)/(--(SEARCH(CU$2,N_Bedarf!$CE$2:$CE$304)&gt;0)),ROW()-2),1),"")</f>
        <v/>
      </c>
      <c r="CU157" s="1620"/>
      <c r="CV157" s="1620" t="str">
        <f>IFERROR(INDEX(N_Bedarf!$CE$2:$CE$304,_xlfn.AGGREGATE(15,6,(ROW(N_Bedarf!$CE$2:$CE$304)-1)/(--(SEARCH(CW$2,N_Bedarf!$CE$2:$CE$304)&gt;0)),ROW()-2),1),"")</f>
        <v/>
      </c>
      <c r="CW157" s="1620"/>
      <c r="CX157" s="1620" t="str">
        <f>IFERROR(INDEX(N_Bedarf!$CE$2:$CE$304,_xlfn.AGGREGATE(15,6,(ROW(N_Bedarf!$CE$2:$CE$304)-1)/(--(SEARCH(CY$2,N_Bedarf!$CE$2:$CE$304)&gt;0)),ROW()-2),1),"")</f>
        <v/>
      </c>
      <c r="CY157" s="1620"/>
      <c r="CZ157" s="1620" t="str">
        <f>IFERROR(INDEX(N_Bedarf!$CE$2:$CE$304,_xlfn.AGGREGATE(15,6,(ROW(N_Bedarf!$CE$2:$CE$304)-1)/(--(SEARCH(DA$2,N_Bedarf!$CE$2:$CE$304)&gt;0)),ROW()-2),1),"")</f>
        <v/>
      </c>
      <c r="DA157" s="1620"/>
      <c r="DB157" s="1620" t="str">
        <f>IFERROR(INDEX(N_Bedarf!$CE$2:$CE$304,_xlfn.AGGREGATE(15,6,(ROW(N_Bedarf!$CE$2:$CE$304)-1)/(--(SEARCH(DC$2,N_Bedarf!$CE$2:$CE$304)&gt;0)),ROW()-2),1),"")</f>
        <v/>
      </c>
      <c r="DC157" s="1620"/>
      <c r="DD157" s="1620" t="str">
        <f>IFERROR(INDEX(N_Bedarf!$CE$2:$CE$304,_xlfn.AGGREGATE(15,6,(ROW(N_Bedarf!$CE$2:$CE$304)-1)/(--(SEARCH(DE$2,N_Bedarf!$CE$2:$CE$304)&gt;0)),ROW()-2),1),"")</f>
        <v/>
      </c>
      <c r="DE157" s="1620"/>
    </row>
    <row r="158" spans="1:109" ht="21" customHeight="1">
      <c r="A158" s="156"/>
      <c r="B158" s="156"/>
      <c r="C158" s="1758" t="s">
        <v>1729</v>
      </c>
      <c r="D158" s="1759" t="s">
        <v>585</v>
      </c>
      <c r="E158" s="1729">
        <v>105</v>
      </c>
      <c r="F158" s="1760">
        <v>95</v>
      </c>
      <c r="G158" s="1993" t="s">
        <v>1794</v>
      </c>
      <c r="H158" s="1994">
        <v>145</v>
      </c>
      <c r="I158" s="1995">
        <v>130</v>
      </c>
      <c r="J158" s="1759" t="s">
        <v>1795</v>
      </c>
      <c r="K158" s="1729">
        <v>170</v>
      </c>
      <c r="L158" s="1760">
        <v>150</v>
      </c>
      <c r="M158" s="1759" t="s">
        <v>1796</v>
      </c>
      <c r="N158" s="1729">
        <v>180</v>
      </c>
      <c r="O158" s="1760">
        <v>160</v>
      </c>
      <c r="P158" s="1759" t="s">
        <v>1797</v>
      </c>
      <c r="Q158" s="1729">
        <v>195</v>
      </c>
      <c r="R158" s="1761">
        <v>175</v>
      </c>
      <c r="S158" s="1762">
        <v>85</v>
      </c>
      <c r="T158" s="1729">
        <v>85</v>
      </c>
      <c r="U158" s="1760">
        <v>85</v>
      </c>
      <c r="V158" s="1759">
        <v>70</v>
      </c>
      <c r="W158" s="1729">
        <v>70</v>
      </c>
      <c r="X158" s="1760">
        <v>70</v>
      </c>
      <c r="Y158" s="2009">
        <v>50</v>
      </c>
      <c r="Z158" s="2010">
        <v>55</v>
      </c>
      <c r="AA158" s="2011">
        <v>65</v>
      </c>
      <c r="AB158" s="1871" t="s">
        <v>1388</v>
      </c>
      <c r="AC158" s="1763" t="s">
        <v>1389</v>
      </c>
      <c r="AD158" s="1762">
        <v>120</v>
      </c>
      <c r="AE158" s="1729">
        <v>120</v>
      </c>
      <c r="AF158" s="1760">
        <v>120</v>
      </c>
      <c r="AG158" s="1759">
        <v>100</v>
      </c>
      <c r="AH158" s="1729">
        <v>100</v>
      </c>
      <c r="AI158" s="1760">
        <v>100</v>
      </c>
      <c r="AJ158" s="2009">
        <v>70</v>
      </c>
      <c r="AK158" s="2010">
        <v>80</v>
      </c>
      <c r="AL158" s="2011">
        <v>90</v>
      </c>
      <c r="AM158" s="1871" t="s">
        <v>1390</v>
      </c>
      <c r="AN158" s="1763" t="s">
        <v>1389</v>
      </c>
      <c r="AO158" s="156"/>
      <c r="AP158" s="156"/>
      <c r="AU158"/>
      <c r="AV158"/>
      <c r="AW158"/>
      <c r="AX158" s="1671" t="s">
        <v>2358</v>
      </c>
      <c r="AY158" s="394"/>
      <c r="AZ158" s="394"/>
      <c r="BA158" s="394"/>
      <c r="BB158" s="394"/>
      <c r="BC158" s="394"/>
      <c r="BD158" s="394"/>
      <c r="BE158" s="394"/>
      <c r="BF158" s="394"/>
      <c r="BG158" s="394"/>
      <c r="BH158" s="394"/>
      <c r="BI158" s="394"/>
      <c r="BJ158" s="394"/>
      <c r="BK158" s="394"/>
      <c r="BL158" s="394"/>
      <c r="BM158" s="394"/>
      <c r="BN158" s="394"/>
      <c r="BO158" s="394"/>
      <c r="BP158" s="394"/>
      <c r="BQ158" s="1669"/>
      <c r="BR158" s="1720"/>
      <c r="BS158" s="1720"/>
      <c r="BT158" s="1720"/>
      <c r="BU158" s="394"/>
      <c r="BV158" s="1669"/>
      <c r="BW158" s="1721"/>
      <c r="BX158" s="1720"/>
      <c r="BY158" s="1720"/>
      <c r="CB158" s="428"/>
      <c r="CC158" s="428"/>
      <c r="CD158" s="428"/>
      <c r="CE158" s="1669"/>
      <c r="CF158" s="1620" t="str">
        <f>IFERROR(INDEX(N_Bedarf!$CE$2:$CE$304,_xlfn.AGGREGATE(15,6,(ROW(N_Bedarf!$CE$2:$CE$304)-1)/(--(SEARCH(CG$2,N_Bedarf!$CE$2:$CE$304)&gt;0)),ROW()-2),1),"")</f>
        <v/>
      </c>
      <c r="CG158" s="1620"/>
      <c r="CH158" s="1620" t="str">
        <f>IFERROR(INDEX(N_Bedarf!$CE$2:$CE$304,_xlfn.AGGREGATE(15,6,(ROW(N_Bedarf!$CE$2:$CE$304)-1)/(--(SEARCH(CI$2,N_Bedarf!$CE$2:$CE$304)&gt;0)),ROW()-2),1),"")</f>
        <v/>
      </c>
      <c r="CI158" s="1620"/>
      <c r="CJ158" s="1620" t="str">
        <f>IFERROR(INDEX(N_Bedarf!$CE$2:$CE$304,_xlfn.AGGREGATE(15,6,(ROW(N_Bedarf!$CE$2:$CE$304)-1)/(--(SEARCH(CK$2,N_Bedarf!$CE$2:$CE$304)&gt;0)),ROW()-2),1),"")</f>
        <v/>
      </c>
      <c r="CK158" s="1620"/>
      <c r="CL158" s="1620" t="str">
        <f>IFERROR(INDEX(N_Bedarf!$CE$2:$CE$304,_xlfn.AGGREGATE(15,6,(ROW(N_Bedarf!$CE$2:$CE$304)-1)/(--(SEARCH(CM$2,N_Bedarf!$CE$2:$CE$304)&gt;0)),ROW()-2),1),"")</f>
        <v/>
      </c>
      <c r="CM158" s="1620"/>
      <c r="CN158" s="1620" t="str">
        <f>IFERROR(INDEX(N_Bedarf!$CE$2:$CE$304,_xlfn.AGGREGATE(15,6,(ROW(N_Bedarf!$CE$2:$CE$304)-1)/(--(SEARCH(CO$2,N_Bedarf!$CE$2:$CE$304)&gt;0)),ROW()-2),1),"")</f>
        <v/>
      </c>
      <c r="CO158" s="1620"/>
      <c r="CP158" s="1620" t="str">
        <f>IFERROR(INDEX(N_Bedarf!$CE$2:$CE$304,_xlfn.AGGREGATE(15,6,(ROW(N_Bedarf!$CE$2:$CE$304)-1)/(--(SEARCH(CQ$2,N_Bedarf!$CE$2:$CE$304)&gt;0)),ROW()-2),1),"")</f>
        <v/>
      </c>
      <c r="CQ158" s="1620"/>
      <c r="CR158" s="1620" t="str">
        <f>IFERROR(INDEX(N_Bedarf!$CE$2:$CE$304,_xlfn.AGGREGATE(15,6,(ROW(N_Bedarf!$CE$2:$CE$304)-1)/(--(SEARCH(CS$2,N_Bedarf!$CE$2:$CE$304)&gt;0)),ROW()-2),1),"")</f>
        <v/>
      </c>
      <c r="CS158" s="1620"/>
      <c r="CT158" s="1620" t="str">
        <f>IFERROR(INDEX(N_Bedarf!$CE$2:$CE$304,_xlfn.AGGREGATE(15,6,(ROW(N_Bedarf!$CE$2:$CE$304)-1)/(--(SEARCH(CU$2,N_Bedarf!$CE$2:$CE$304)&gt;0)),ROW()-2),1),"")</f>
        <v/>
      </c>
      <c r="CU158" s="1620"/>
      <c r="CV158" s="1620" t="str">
        <f>IFERROR(INDEX(N_Bedarf!$CE$2:$CE$304,_xlfn.AGGREGATE(15,6,(ROW(N_Bedarf!$CE$2:$CE$304)-1)/(--(SEARCH(CW$2,N_Bedarf!$CE$2:$CE$304)&gt;0)),ROW()-2),1),"")</f>
        <v/>
      </c>
      <c r="CW158" s="1620"/>
      <c r="CX158" s="1620" t="str">
        <f>IFERROR(INDEX(N_Bedarf!$CE$2:$CE$304,_xlfn.AGGREGATE(15,6,(ROW(N_Bedarf!$CE$2:$CE$304)-1)/(--(SEARCH(CY$2,N_Bedarf!$CE$2:$CE$304)&gt;0)),ROW()-2),1),"")</f>
        <v/>
      </c>
      <c r="CY158" s="1620"/>
      <c r="CZ158" s="1620" t="str">
        <f>IFERROR(INDEX(N_Bedarf!$CE$2:$CE$304,_xlfn.AGGREGATE(15,6,(ROW(N_Bedarf!$CE$2:$CE$304)-1)/(--(SEARCH(DA$2,N_Bedarf!$CE$2:$CE$304)&gt;0)),ROW()-2),1),"")</f>
        <v/>
      </c>
      <c r="DA158" s="1620"/>
      <c r="DB158" s="1620" t="str">
        <f>IFERROR(INDEX(N_Bedarf!$CE$2:$CE$304,_xlfn.AGGREGATE(15,6,(ROW(N_Bedarf!$CE$2:$CE$304)-1)/(--(SEARCH(DC$2,N_Bedarf!$CE$2:$CE$304)&gt;0)),ROW()-2),1),"")</f>
        <v/>
      </c>
      <c r="DC158" s="1620"/>
      <c r="DD158" s="1620" t="str">
        <f>IFERROR(INDEX(N_Bedarf!$CE$2:$CE$304,_xlfn.AGGREGATE(15,6,(ROW(N_Bedarf!$CE$2:$CE$304)-1)/(--(SEARCH(DE$2,N_Bedarf!$CE$2:$CE$304)&gt;0)),ROW()-2),1),"")</f>
        <v/>
      </c>
      <c r="DE158" s="1620"/>
    </row>
    <row r="159" spans="1:109" ht="21" customHeight="1">
      <c r="A159" s="156"/>
      <c r="B159" s="156"/>
      <c r="C159" s="1764" t="s">
        <v>1822</v>
      </c>
      <c r="D159" s="1765" t="s">
        <v>714</v>
      </c>
      <c r="E159" s="1766">
        <v>60</v>
      </c>
      <c r="F159" s="1767">
        <v>50</v>
      </c>
      <c r="G159" s="1993" t="s">
        <v>1773</v>
      </c>
      <c r="H159" s="1994">
        <v>60</v>
      </c>
      <c r="I159" s="1995">
        <v>50</v>
      </c>
      <c r="J159" s="1765" t="s">
        <v>1773</v>
      </c>
      <c r="K159" s="1766">
        <v>60</v>
      </c>
      <c r="L159" s="1767">
        <v>50</v>
      </c>
      <c r="M159" s="1765" t="s">
        <v>1773</v>
      </c>
      <c r="N159" s="1766">
        <v>60</v>
      </c>
      <c r="O159" s="1767">
        <v>50</v>
      </c>
      <c r="P159" s="1765" t="s">
        <v>714</v>
      </c>
      <c r="Q159" s="1766">
        <v>60</v>
      </c>
      <c r="R159" s="1770">
        <v>50</v>
      </c>
      <c r="S159" s="1762">
        <v>100</v>
      </c>
      <c r="T159" s="1766">
        <v>100</v>
      </c>
      <c r="U159" s="1760">
        <v>100</v>
      </c>
      <c r="V159" s="1759">
        <v>80</v>
      </c>
      <c r="W159" s="1766">
        <v>80</v>
      </c>
      <c r="X159" s="1760">
        <v>80</v>
      </c>
      <c r="Y159" s="2012">
        <v>60</v>
      </c>
      <c r="Z159" s="2010">
        <v>65</v>
      </c>
      <c r="AA159" s="2013">
        <v>75</v>
      </c>
      <c r="AB159" s="1872" t="s">
        <v>1388</v>
      </c>
      <c r="AC159" s="1769" t="s">
        <v>1389</v>
      </c>
      <c r="AD159" s="1762">
        <v>150</v>
      </c>
      <c r="AE159" s="1766">
        <v>150</v>
      </c>
      <c r="AF159" s="1760">
        <v>150</v>
      </c>
      <c r="AG159" s="1759">
        <v>125</v>
      </c>
      <c r="AH159" s="1766">
        <v>125</v>
      </c>
      <c r="AI159" s="1760">
        <v>125</v>
      </c>
      <c r="AJ159" s="2012">
        <v>90</v>
      </c>
      <c r="AK159" s="2010">
        <v>100</v>
      </c>
      <c r="AL159" s="2013">
        <v>115</v>
      </c>
      <c r="AM159" s="1872" t="s">
        <v>1390</v>
      </c>
      <c r="AN159" s="1769" t="s">
        <v>1389</v>
      </c>
      <c r="AO159" s="156"/>
      <c r="AP159" s="156"/>
      <c r="AU159"/>
      <c r="AV159"/>
      <c r="AW159"/>
      <c r="AX159" s="1671" t="s">
        <v>1297</v>
      </c>
      <c r="AY159" s="1024" t="s">
        <v>1245</v>
      </c>
      <c r="AZ159" s="1565" t="s">
        <v>1992</v>
      </c>
      <c r="BA159" s="1565" t="s">
        <v>1382</v>
      </c>
      <c r="BB159" s="1024" t="s">
        <v>608</v>
      </c>
      <c r="BC159" s="1565" t="s">
        <v>1993</v>
      </c>
      <c r="BD159" s="1565" t="s">
        <v>1382</v>
      </c>
      <c r="BE159" s="1024" t="s">
        <v>604</v>
      </c>
      <c r="BF159" s="1565" t="s">
        <v>1994</v>
      </c>
      <c r="BG159" s="1565" t="s">
        <v>1382</v>
      </c>
      <c r="BH159" s="1024"/>
      <c r="BI159" s="1565"/>
      <c r="BJ159" s="1565"/>
      <c r="BK159" s="1024"/>
      <c r="BL159" s="1565"/>
      <c r="BM159" s="1565"/>
      <c r="BN159" s="1025"/>
      <c r="BO159" s="1431"/>
      <c r="BP159" s="394"/>
      <c r="BQ159" s="1749"/>
      <c r="BR159" s="1750"/>
      <c r="BS159" s="1750"/>
      <c r="BT159" s="1750"/>
      <c r="BU159" s="394"/>
      <c r="BV159" s="1749"/>
      <c r="BW159" s="1752"/>
      <c r="BX159" s="1753"/>
      <c r="BY159" s="1753"/>
      <c r="CB159" s="428"/>
      <c r="CC159" s="428"/>
      <c r="CD159" s="428"/>
      <c r="CE159" s="1669"/>
      <c r="CF159" s="1620" t="str">
        <f>IFERROR(INDEX(N_Bedarf!$CE$2:$CE$304,_xlfn.AGGREGATE(15,6,(ROW(N_Bedarf!$CE$2:$CE$304)-1)/(--(SEARCH(CG$2,N_Bedarf!$CE$2:$CE$304)&gt;0)),ROW()-2),1),"")</f>
        <v/>
      </c>
      <c r="CG159" s="1620"/>
      <c r="CH159" s="1620" t="str">
        <f>IFERROR(INDEX(N_Bedarf!$CE$2:$CE$304,_xlfn.AGGREGATE(15,6,(ROW(N_Bedarf!$CE$2:$CE$304)-1)/(--(SEARCH(CI$2,N_Bedarf!$CE$2:$CE$304)&gt;0)),ROW()-2),1),"")</f>
        <v/>
      </c>
      <c r="CI159" s="1620"/>
      <c r="CJ159" s="1620" t="str">
        <f>IFERROR(INDEX(N_Bedarf!$CE$2:$CE$304,_xlfn.AGGREGATE(15,6,(ROW(N_Bedarf!$CE$2:$CE$304)-1)/(--(SEARCH(CK$2,N_Bedarf!$CE$2:$CE$304)&gt;0)),ROW()-2),1),"")</f>
        <v/>
      </c>
      <c r="CK159" s="1620"/>
      <c r="CL159" s="1620" t="str">
        <f>IFERROR(INDEX(N_Bedarf!$CE$2:$CE$304,_xlfn.AGGREGATE(15,6,(ROW(N_Bedarf!$CE$2:$CE$304)-1)/(--(SEARCH(CM$2,N_Bedarf!$CE$2:$CE$304)&gt;0)),ROW()-2),1),"")</f>
        <v/>
      </c>
      <c r="CM159" s="1620"/>
      <c r="CN159" s="1620" t="str">
        <f>IFERROR(INDEX(N_Bedarf!$CE$2:$CE$304,_xlfn.AGGREGATE(15,6,(ROW(N_Bedarf!$CE$2:$CE$304)-1)/(--(SEARCH(CO$2,N_Bedarf!$CE$2:$CE$304)&gt;0)),ROW()-2),1),"")</f>
        <v/>
      </c>
      <c r="CO159" s="1620"/>
      <c r="CP159" s="1620" t="str">
        <f>IFERROR(INDEX(N_Bedarf!$CE$2:$CE$304,_xlfn.AGGREGATE(15,6,(ROW(N_Bedarf!$CE$2:$CE$304)-1)/(--(SEARCH(CQ$2,N_Bedarf!$CE$2:$CE$304)&gt;0)),ROW()-2),1),"")</f>
        <v/>
      </c>
      <c r="CQ159" s="1620"/>
      <c r="CR159" s="1620" t="str">
        <f>IFERROR(INDEX(N_Bedarf!$CE$2:$CE$304,_xlfn.AGGREGATE(15,6,(ROW(N_Bedarf!$CE$2:$CE$304)-1)/(--(SEARCH(CS$2,N_Bedarf!$CE$2:$CE$304)&gt;0)),ROW()-2),1),"")</f>
        <v/>
      </c>
      <c r="CS159" s="1620"/>
      <c r="CT159" s="1620" t="str">
        <f>IFERROR(INDEX(N_Bedarf!$CE$2:$CE$304,_xlfn.AGGREGATE(15,6,(ROW(N_Bedarf!$CE$2:$CE$304)-1)/(--(SEARCH(CU$2,N_Bedarf!$CE$2:$CE$304)&gt;0)),ROW()-2),1),"")</f>
        <v/>
      </c>
      <c r="CU159" s="1620"/>
      <c r="CV159" s="1620" t="str">
        <f>IFERROR(INDEX(N_Bedarf!$CE$2:$CE$304,_xlfn.AGGREGATE(15,6,(ROW(N_Bedarf!$CE$2:$CE$304)-1)/(--(SEARCH(CW$2,N_Bedarf!$CE$2:$CE$304)&gt;0)),ROW()-2),1),"")</f>
        <v/>
      </c>
      <c r="CW159" s="1620"/>
      <c r="CX159" s="1620" t="str">
        <f>IFERROR(INDEX(N_Bedarf!$CE$2:$CE$304,_xlfn.AGGREGATE(15,6,(ROW(N_Bedarf!$CE$2:$CE$304)-1)/(--(SEARCH(CY$2,N_Bedarf!$CE$2:$CE$304)&gt;0)),ROW()-2),1),"")</f>
        <v/>
      </c>
      <c r="CY159" s="1620"/>
      <c r="CZ159" s="1620" t="str">
        <f>IFERROR(INDEX(N_Bedarf!$CE$2:$CE$304,_xlfn.AGGREGATE(15,6,(ROW(N_Bedarf!$CE$2:$CE$304)-1)/(--(SEARCH(DA$2,N_Bedarf!$CE$2:$CE$304)&gt;0)),ROW()-2),1),"")</f>
        <v/>
      </c>
      <c r="DA159" s="1620"/>
      <c r="DB159" s="1620" t="str">
        <f>IFERROR(INDEX(N_Bedarf!$CE$2:$CE$304,_xlfn.AGGREGATE(15,6,(ROW(N_Bedarf!$CE$2:$CE$304)-1)/(--(SEARCH(DC$2,N_Bedarf!$CE$2:$CE$304)&gt;0)),ROW()-2),1),"")</f>
        <v/>
      </c>
      <c r="DC159" s="1620"/>
      <c r="DD159" s="1620" t="str">
        <f>IFERROR(INDEX(N_Bedarf!$CE$2:$CE$304,_xlfn.AGGREGATE(15,6,(ROW(N_Bedarf!$CE$2:$CE$304)-1)/(--(SEARCH(DE$2,N_Bedarf!$CE$2:$CE$304)&gt;0)),ROW()-2),1),"")</f>
        <v/>
      </c>
      <c r="DE159" s="1620"/>
    </row>
    <row r="160" spans="1:109" ht="21" customHeight="1">
      <c r="A160" s="156"/>
      <c r="B160" s="156"/>
      <c r="C160" s="1758" t="s">
        <v>1730</v>
      </c>
      <c r="D160" s="1759" t="s">
        <v>123</v>
      </c>
      <c r="E160" s="1729">
        <v>95</v>
      </c>
      <c r="F160" s="1760">
        <v>80</v>
      </c>
      <c r="G160" s="1993" t="s">
        <v>5</v>
      </c>
      <c r="H160" s="1994">
        <v>130</v>
      </c>
      <c r="I160" s="1995">
        <v>110</v>
      </c>
      <c r="J160" s="1759" t="s">
        <v>124</v>
      </c>
      <c r="K160" s="1729">
        <v>155</v>
      </c>
      <c r="L160" s="1760">
        <v>130</v>
      </c>
      <c r="M160" s="1759" t="s">
        <v>1823</v>
      </c>
      <c r="N160" s="1729">
        <v>170</v>
      </c>
      <c r="O160" s="1760">
        <v>145</v>
      </c>
      <c r="P160" s="1759" t="s">
        <v>125</v>
      </c>
      <c r="Q160" s="1729">
        <v>180</v>
      </c>
      <c r="R160" s="1761">
        <v>155</v>
      </c>
      <c r="S160" s="1762">
        <v>90</v>
      </c>
      <c r="T160" s="1729">
        <v>90</v>
      </c>
      <c r="U160" s="1760">
        <v>90</v>
      </c>
      <c r="V160" s="1759">
        <v>75</v>
      </c>
      <c r="W160" s="1729">
        <v>75</v>
      </c>
      <c r="X160" s="1760">
        <v>75</v>
      </c>
      <c r="Y160" s="2009">
        <v>55</v>
      </c>
      <c r="Z160" s="2010">
        <v>60</v>
      </c>
      <c r="AA160" s="2011">
        <v>70</v>
      </c>
      <c r="AB160" s="1871" t="s">
        <v>1388</v>
      </c>
      <c r="AC160" s="1763" t="s">
        <v>1389</v>
      </c>
      <c r="AD160" s="1762">
        <v>120</v>
      </c>
      <c r="AE160" s="1729">
        <v>120</v>
      </c>
      <c r="AF160" s="1760">
        <v>120</v>
      </c>
      <c r="AG160" s="1759">
        <v>100</v>
      </c>
      <c r="AH160" s="1729">
        <v>100</v>
      </c>
      <c r="AI160" s="1760">
        <v>100</v>
      </c>
      <c r="AJ160" s="2009">
        <v>70</v>
      </c>
      <c r="AK160" s="2010">
        <v>80</v>
      </c>
      <c r="AL160" s="2011">
        <v>90</v>
      </c>
      <c r="AM160" s="1871" t="s">
        <v>1390</v>
      </c>
      <c r="AN160" s="1763" t="s">
        <v>1389</v>
      </c>
      <c r="AO160" s="156"/>
      <c r="AP160" s="156"/>
      <c r="AU160"/>
      <c r="AV160"/>
      <c r="AW160"/>
      <c r="AX160" s="1671" t="s">
        <v>2001</v>
      </c>
      <c r="AY160" s="394">
        <v>20</v>
      </c>
      <c r="AZ160" s="394"/>
      <c r="BA160" s="1671" t="s">
        <v>2655</v>
      </c>
      <c r="BB160" s="394">
        <v>30</v>
      </c>
      <c r="BC160" s="394"/>
      <c r="BD160" s="1671" t="s">
        <v>2751</v>
      </c>
      <c r="BE160" s="394">
        <v>30</v>
      </c>
      <c r="BF160" s="394"/>
      <c r="BG160" s="1671" t="s">
        <v>2751</v>
      </c>
      <c r="BH160" s="394"/>
      <c r="BI160" s="394"/>
      <c r="BJ160" s="394"/>
      <c r="BK160" s="394"/>
      <c r="BL160" s="394"/>
      <c r="BM160" s="394"/>
      <c r="BN160" s="394"/>
      <c r="BO160" s="394"/>
      <c r="BP160" s="394"/>
      <c r="BQ160" s="1671" t="s">
        <v>2001</v>
      </c>
      <c r="BR160" s="1591">
        <v>10</v>
      </c>
      <c r="BS160" s="1591">
        <v>20</v>
      </c>
      <c r="BT160" s="1591">
        <v>20</v>
      </c>
      <c r="BU160" s="394"/>
      <c r="BV160" s="1671" t="s">
        <v>2001</v>
      </c>
      <c r="BW160" s="1589">
        <v>80</v>
      </c>
      <c r="BX160" s="1589">
        <v>120</v>
      </c>
      <c r="BY160" s="1589">
        <v>120</v>
      </c>
      <c r="CB160" s="428"/>
      <c r="CC160" s="428"/>
      <c r="CD160" s="428"/>
      <c r="CE160" s="1669"/>
      <c r="CF160" s="1620" t="str">
        <f>IFERROR(INDEX(N_Bedarf!$CE$2:$CE$304,_xlfn.AGGREGATE(15,6,(ROW(N_Bedarf!$CE$2:$CE$304)-1)/(--(SEARCH(CG$2,N_Bedarf!$CE$2:$CE$304)&gt;0)),ROW()-2),1),"")</f>
        <v/>
      </c>
      <c r="CG160" s="1620"/>
      <c r="CH160" s="1620" t="str">
        <f>IFERROR(INDEX(N_Bedarf!$CE$2:$CE$304,_xlfn.AGGREGATE(15,6,(ROW(N_Bedarf!$CE$2:$CE$304)-1)/(--(SEARCH(CI$2,N_Bedarf!$CE$2:$CE$304)&gt;0)),ROW()-2),1),"")</f>
        <v/>
      </c>
      <c r="CI160" s="1620"/>
      <c r="CJ160" s="1620" t="str">
        <f>IFERROR(INDEX(N_Bedarf!$CE$2:$CE$304,_xlfn.AGGREGATE(15,6,(ROW(N_Bedarf!$CE$2:$CE$304)-1)/(--(SEARCH(CK$2,N_Bedarf!$CE$2:$CE$304)&gt;0)),ROW()-2),1),"")</f>
        <v/>
      </c>
      <c r="CK160" s="1620"/>
      <c r="CL160" s="1620" t="str">
        <f>IFERROR(INDEX(N_Bedarf!$CE$2:$CE$304,_xlfn.AGGREGATE(15,6,(ROW(N_Bedarf!$CE$2:$CE$304)-1)/(--(SEARCH(CM$2,N_Bedarf!$CE$2:$CE$304)&gt;0)),ROW()-2),1),"")</f>
        <v/>
      </c>
      <c r="CM160" s="1620"/>
      <c r="CN160" s="1620" t="str">
        <f>IFERROR(INDEX(N_Bedarf!$CE$2:$CE$304,_xlfn.AGGREGATE(15,6,(ROW(N_Bedarf!$CE$2:$CE$304)-1)/(--(SEARCH(CO$2,N_Bedarf!$CE$2:$CE$304)&gt;0)),ROW()-2),1),"")</f>
        <v/>
      </c>
      <c r="CO160" s="1620"/>
      <c r="CP160" s="1620" t="str">
        <f>IFERROR(INDEX(N_Bedarf!$CE$2:$CE$304,_xlfn.AGGREGATE(15,6,(ROW(N_Bedarf!$CE$2:$CE$304)-1)/(--(SEARCH(CQ$2,N_Bedarf!$CE$2:$CE$304)&gt;0)),ROW()-2),1),"")</f>
        <v/>
      </c>
      <c r="CQ160" s="1620"/>
      <c r="CR160" s="1620" t="str">
        <f>IFERROR(INDEX(N_Bedarf!$CE$2:$CE$304,_xlfn.AGGREGATE(15,6,(ROW(N_Bedarf!$CE$2:$CE$304)-1)/(--(SEARCH(CS$2,N_Bedarf!$CE$2:$CE$304)&gt;0)),ROW()-2),1),"")</f>
        <v/>
      </c>
      <c r="CS160" s="1620"/>
      <c r="CT160" s="1620" t="str">
        <f>IFERROR(INDEX(N_Bedarf!$CE$2:$CE$304,_xlfn.AGGREGATE(15,6,(ROW(N_Bedarf!$CE$2:$CE$304)-1)/(--(SEARCH(CU$2,N_Bedarf!$CE$2:$CE$304)&gt;0)),ROW()-2),1),"")</f>
        <v/>
      </c>
      <c r="CU160" s="1620"/>
      <c r="CV160" s="1620" t="str">
        <f>IFERROR(INDEX(N_Bedarf!$CE$2:$CE$304,_xlfn.AGGREGATE(15,6,(ROW(N_Bedarf!$CE$2:$CE$304)-1)/(--(SEARCH(CW$2,N_Bedarf!$CE$2:$CE$304)&gt;0)),ROW()-2),1),"")</f>
        <v/>
      </c>
      <c r="CW160" s="1620"/>
      <c r="CX160" s="1620" t="str">
        <f>IFERROR(INDEX(N_Bedarf!$CE$2:$CE$304,_xlfn.AGGREGATE(15,6,(ROW(N_Bedarf!$CE$2:$CE$304)-1)/(--(SEARCH(CY$2,N_Bedarf!$CE$2:$CE$304)&gt;0)),ROW()-2),1),"")</f>
        <v/>
      </c>
      <c r="CY160" s="1620"/>
      <c r="CZ160" s="1620" t="str">
        <f>IFERROR(INDEX(N_Bedarf!$CE$2:$CE$304,_xlfn.AGGREGATE(15,6,(ROW(N_Bedarf!$CE$2:$CE$304)-1)/(--(SEARCH(DA$2,N_Bedarf!$CE$2:$CE$304)&gt;0)),ROW()-2),1),"")</f>
        <v/>
      </c>
      <c r="DA160" s="1620"/>
      <c r="DB160" s="1620" t="str">
        <f>IFERROR(INDEX(N_Bedarf!$CE$2:$CE$304,_xlfn.AGGREGATE(15,6,(ROW(N_Bedarf!$CE$2:$CE$304)-1)/(--(SEARCH(DC$2,N_Bedarf!$CE$2:$CE$304)&gt;0)),ROW()-2),1),"")</f>
        <v/>
      </c>
      <c r="DC160" s="1620"/>
      <c r="DD160" s="1620" t="str">
        <f>IFERROR(INDEX(N_Bedarf!$CE$2:$CE$304,_xlfn.AGGREGATE(15,6,(ROW(N_Bedarf!$CE$2:$CE$304)-1)/(--(SEARCH(DE$2,N_Bedarf!$CE$2:$CE$304)&gt;0)),ROW()-2),1),"")</f>
        <v/>
      </c>
      <c r="DE160" s="1620"/>
    </row>
    <row r="161" spans="1:153" ht="21" customHeight="1">
      <c r="A161" s="156"/>
      <c r="B161" s="156"/>
      <c r="C161" s="1764" t="s">
        <v>1824</v>
      </c>
      <c r="D161" s="1765" t="s">
        <v>33</v>
      </c>
      <c r="E161" s="1766">
        <v>60</v>
      </c>
      <c r="F161" s="1767">
        <v>50</v>
      </c>
      <c r="G161" s="1993" t="s">
        <v>1791</v>
      </c>
      <c r="H161" s="1994">
        <v>60</v>
      </c>
      <c r="I161" s="1995">
        <v>50</v>
      </c>
      <c r="J161" s="1765" t="s">
        <v>1402</v>
      </c>
      <c r="K161" s="1766">
        <v>60</v>
      </c>
      <c r="L161" s="1767">
        <v>50</v>
      </c>
      <c r="M161" s="1765" t="s">
        <v>1403</v>
      </c>
      <c r="N161" s="1766">
        <v>60</v>
      </c>
      <c r="O161" s="1767">
        <v>50</v>
      </c>
      <c r="P161" s="1765" t="s">
        <v>1404</v>
      </c>
      <c r="Q161" s="1766">
        <v>60</v>
      </c>
      <c r="R161" s="1770">
        <v>50</v>
      </c>
      <c r="S161" s="1762">
        <v>100</v>
      </c>
      <c r="T161" s="1766">
        <v>100</v>
      </c>
      <c r="U161" s="1760">
        <v>100</v>
      </c>
      <c r="V161" s="1759">
        <v>80</v>
      </c>
      <c r="W161" s="1766">
        <v>80</v>
      </c>
      <c r="X161" s="1760">
        <v>80</v>
      </c>
      <c r="Y161" s="2012">
        <v>60</v>
      </c>
      <c r="Z161" s="2010">
        <v>65</v>
      </c>
      <c r="AA161" s="2013">
        <v>75</v>
      </c>
      <c r="AB161" s="1872" t="s">
        <v>1388</v>
      </c>
      <c r="AC161" s="1769" t="s">
        <v>1389</v>
      </c>
      <c r="AD161" s="1762">
        <v>75</v>
      </c>
      <c r="AE161" s="1766">
        <v>75</v>
      </c>
      <c r="AF161" s="1760">
        <v>75</v>
      </c>
      <c r="AG161" s="1759">
        <v>65</v>
      </c>
      <c r="AH161" s="1766">
        <v>65</v>
      </c>
      <c r="AI161" s="1760">
        <v>65</v>
      </c>
      <c r="AJ161" s="2012">
        <v>45</v>
      </c>
      <c r="AK161" s="2010">
        <v>50</v>
      </c>
      <c r="AL161" s="2013">
        <v>60</v>
      </c>
      <c r="AM161" s="1872" t="s">
        <v>1390</v>
      </c>
      <c r="AN161" s="1769" t="s">
        <v>1389</v>
      </c>
      <c r="AO161" s="156"/>
      <c r="AP161" s="156"/>
      <c r="AU161"/>
      <c r="AV161"/>
      <c r="AW161"/>
      <c r="AX161" s="394" t="s">
        <v>1882</v>
      </c>
      <c r="AY161" s="394">
        <v>20</v>
      </c>
      <c r="AZ161" s="394"/>
      <c r="BA161" s="1671" t="s">
        <v>2694</v>
      </c>
      <c r="BB161" s="394">
        <v>30</v>
      </c>
      <c r="BC161" s="394"/>
      <c r="BD161" s="1671" t="s">
        <v>2581</v>
      </c>
      <c r="BE161" s="394">
        <v>30</v>
      </c>
      <c r="BF161" s="394"/>
      <c r="BG161" s="1671" t="s">
        <v>2581</v>
      </c>
      <c r="BH161" s="394"/>
      <c r="BI161" s="394"/>
      <c r="BJ161" s="394"/>
      <c r="BK161" s="394"/>
      <c r="BL161" s="394"/>
      <c r="BM161" s="394"/>
      <c r="BN161" s="394"/>
      <c r="BO161" s="394"/>
      <c r="BP161" s="394"/>
      <c r="BQ161" s="394" t="s">
        <v>1882</v>
      </c>
      <c r="BR161" s="1591">
        <v>15</v>
      </c>
      <c r="BS161" s="1591">
        <v>30</v>
      </c>
      <c r="BT161" s="1591">
        <v>30</v>
      </c>
      <c r="BU161" s="394"/>
      <c r="BV161" s="394" t="s">
        <v>1882</v>
      </c>
      <c r="BW161" s="1589">
        <v>20</v>
      </c>
      <c r="BX161" s="1589">
        <v>35</v>
      </c>
      <c r="BY161" s="1589">
        <v>35</v>
      </c>
      <c r="CB161" s="428"/>
      <c r="CC161" s="428"/>
      <c r="CD161" s="428"/>
      <c r="CE161" s="1669"/>
      <c r="CF161" s="1620" t="str">
        <f>IFERROR(INDEX(N_Bedarf!$CE$2:$CE$304,_xlfn.AGGREGATE(15,6,(ROW(N_Bedarf!$CE$2:$CE$304)-1)/(--(SEARCH(CG$2,N_Bedarf!$CE$2:$CE$304)&gt;0)),ROW()-2),1),"")</f>
        <v/>
      </c>
      <c r="CG161" s="1620"/>
      <c r="CH161" s="1620" t="str">
        <f>IFERROR(INDEX(N_Bedarf!$CE$2:$CE$304,_xlfn.AGGREGATE(15,6,(ROW(N_Bedarf!$CE$2:$CE$304)-1)/(--(SEARCH(CI$2,N_Bedarf!$CE$2:$CE$304)&gt;0)),ROW()-2),1),"")</f>
        <v/>
      </c>
      <c r="CI161" s="1620"/>
      <c r="CJ161" s="1620" t="str">
        <f>IFERROR(INDEX(N_Bedarf!$CE$2:$CE$304,_xlfn.AGGREGATE(15,6,(ROW(N_Bedarf!$CE$2:$CE$304)-1)/(--(SEARCH(CK$2,N_Bedarf!$CE$2:$CE$304)&gt;0)),ROW()-2),1),"")</f>
        <v/>
      </c>
      <c r="CK161" s="1620"/>
      <c r="CL161" s="1620" t="str">
        <f>IFERROR(INDEX(N_Bedarf!$CE$2:$CE$304,_xlfn.AGGREGATE(15,6,(ROW(N_Bedarf!$CE$2:$CE$304)-1)/(--(SEARCH(CM$2,N_Bedarf!$CE$2:$CE$304)&gt;0)),ROW()-2),1),"")</f>
        <v/>
      </c>
      <c r="CM161" s="1620"/>
      <c r="CN161" s="1620" t="str">
        <f>IFERROR(INDEX(N_Bedarf!$CE$2:$CE$304,_xlfn.AGGREGATE(15,6,(ROW(N_Bedarf!$CE$2:$CE$304)-1)/(--(SEARCH(CO$2,N_Bedarf!$CE$2:$CE$304)&gt;0)),ROW()-2),1),"")</f>
        <v/>
      </c>
      <c r="CO161" s="1620"/>
      <c r="CP161" s="1620" t="str">
        <f>IFERROR(INDEX(N_Bedarf!$CE$2:$CE$304,_xlfn.AGGREGATE(15,6,(ROW(N_Bedarf!$CE$2:$CE$304)-1)/(--(SEARCH(CQ$2,N_Bedarf!$CE$2:$CE$304)&gt;0)),ROW()-2),1),"")</f>
        <v/>
      </c>
      <c r="CQ161" s="1620"/>
      <c r="CR161" s="1620" t="str">
        <f>IFERROR(INDEX(N_Bedarf!$CE$2:$CE$304,_xlfn.AGGREGATE(15,6,(ROW(N_Bedarf!$CE$2:$CE$304)-1)/(--(SEARCH(CS$2,N_Bedarf!$CE$2:$CE$304)&gt;0)),ROW()-2),1),"")</f>
        <v/>
      </c>
      <c r="CS161" s="1620"/>
      <c r="CT161" s="1620" t="str">
        <f>IFERROR(INDEX(N_Bedarf!$CE$2:$CE$304,_xlfn.AGGREGATE(15,6,(ROW(N_Bedarf!$CE$2:$CE$304)-1)/(--(SEARCH(CU$2,N_Bedarf!$CE$2:$CE$304)&gt;0)),ROW()-2),1),"")</f>
        <v/>
      </c>
      <c r="CU161" s="1620"/>
      <c r="CV161" s="1620" t="str">
        <f>IFERROR(INDEX(N_Bedarf!$CE$2:$CE$304,_xlfn.AGGREGATE(15,6,(ROW(N_Bedarf!$CE$2:$CE$304)-1)/(--(SEARCH(CW$2,N_Bedarf!$CE$2:$CE$304)&gt;0)),ROW()-2),1),"")</f>
        <v/>
      </c>
      <c r="CW161" s="1620"/>
      <c r="CX161" s="1620" t="str">
        <f>IFERROR(INDEX(N_Bedarf!$CE$2:$CE$304,_xlfn.AGGREGATE(15,6,(ROW(N_Bedarf!$CE$2:$CE$304)-1)/(--(SEARCH(CY$2,N_Bedarf!$CE$2:$CE$304)&gt;0)),ROW()-2),1),"")</f>
        <v/>
      </c>
      <c r="CY161" s="1620"/>
      <c r="CZ161" s="1620" t="str">
        <f>IFERROR(INDEX(N_Bedarf!$CE$2:$CE$304,_xlfn.AGGREGATE(15,6,(ROW(N_Bedarf!$CE$2:$CE$304)-1)/(--(SEARCH(DA$2,N_Bedarf!$CE$2:$CE$304)&gt;0)),ROW()-2),1),"")</f>
        <v/>
      </c>
      <c r="DA161" s="1620"/>
      <c r="DB161" s="1620" t="str">
        <f>IFERROR(INDEX(N_Bedarf!$CE$2:$CE$304,_xlfn.AGGREGATE(15,6,(ROW(N_Bedarf!$CE$2:$CE$304)-1)/(--(SEARCH(DC$2,N_Bedarf!$CE$2:$CE$304)&gt;0)),ROW()-2),1),"")</f>
        <v/>
      </c>
      <c r="DC161" s="1620"/>
      <c r="DD161" s="1620" t="str">
        <f>IFERROR(INDEX(N_Bedarf!$CE$2:$CE$304,_xlfn.AGGREGATE(15,6,(ROW(N_Bedarf!$CE$2:$CE$304)-1)/(--(SEARCH(DE$2,N_Bedarf!$CE$2:$CE$304)&gt;0)),ROW()-2),1),"")</f>
        <v/>
      </c>
      <c r="DE161" s="1620"/>
    </row>
    <row r="162" spans="1:153" ht="21" customHeight="1">
      <c r="A162" s="156"/>
      <c r="B162" s="156"/>
      <c r="C162" s="1758" t="s">
        <v>37</v>
      </c>
      <c r="D162" s="1759" t="s">
        <v>585</v>
      </c>
      <c r="E162" s="1729">
        <v>80</v>
      </c>
      <c r="F162" s="1760">
        <v>70</v>
      </c>
      <c r="G162" s="1993" t="s">
        <v>1582</v>
      </c>
      <c r="H162" s="1994">
        <v>110</v>
      </c>
      <c r="I162" s="1995">
        <v>95</v>
      </c>
      <c r="J162" s="1759" t="s">
        <v>1399</v>
      </c>
      <c r="K162" s="1729">
        <v>130</v>
      </c>
      <c r="L162" s="1760">
        <v>110</v>
      </c>
      <c r="M162" s="1759" t="s">
        <v>1400</v>
      </c>
      <c r="N162" s="1729">
        <v>140</v>
      </c>
      <c r="O162" s="1760">
        <v>120</v>
      </c>
      <c r="P162" s="1759" t="s">
        <v>1401</v>
      </c>
      <c r="Q162" s="1729">
        <v>150</v>
      </c>
      <c r="R162" s="1761">
        <v>130</v>
      </c>
      <c r="S162" s="1762">
        <v>85</v>
      </c>
      <c r="T162" s="1729">
        <v>85</v>
      </c>
      <c r="U162" s="1760">
        <v>85</v>
      </c>
      <c r="V162" s="1759">
        <v>70</v>
      </c>
      <c r="W162" s="1729">
        <v>70</v>
      </c>
      <c r="X162" s="1760">
        <v>70</v>
      </c>
      <c r="Y162" s="2009">
        <v>50</v>
      </c>
      <c r="Z162" s="2010">
        <v>55</v>
      </c>
      <c r="AA162" s="2011">
        <v>65</v>
      </c>
      <c r="AB162" s="1871" t="s">
        <v>1388</v>
      </c>
      <c r="AC162" s="1763" t="s">
        <v>1389</v>
      </c>
      <c r="AD162" s="1762">
        <v>120</v>
      </c>
      <c r="AE162" s="1729">
        <v>120</v>
      </c>
      <c r="AF162" s="1760">
        <v>120</v>
      </c>
      <c r="AG162" s="1759">
        <v>100</v>
      </c>
      <c r="AH162" s="1729">
        <v>100</v>
      </c>
      <c r="AI162" s="1760">
        <v>100</v>
      </c>
      <c r="AJ162" s="2009">
        <v>70</v>
      </c>
      <c r="AK162" s="2010">
        <v>80</v>
      </c>
      <c r="AL162" s="2011">
        <v>90</v>
      </c>
      <c r="AM162" s="1871" t="s">
        <v>1390</v>
      </c>
      <c r="AN162" s="1763" t="s">
        <v>1389</v>
      </c>
      <c r="AO162" s="156"/>
      <c r="AP162" s="156"/>
      <c r="AU162"/>
      <c r="AV162"/>
      <c r="AW162"/>
      <c r="AX162" s="394" t="s">
        <v>435</v>
      </c>
      <c r="AY162" s="394">
        <v>80</v>
      </c>
      <c r="AZ162" s="394"/>
      <c r="BA162" s="1671" t="s">
        <v>2653</v>
      </c>
      <c r="BB162" s="394">
        <v>130</v>
      </c>
      <c r="BC162" s="394"/>
      <c r="BD162" s="1671" t="s">
        <v>2738</v>
      </c>
      <c r="BE162" s="394">
        <v>180</v>
      </c>
      <c r="BF162" s="394"/>
      <c r="BG162" s="1671" t="s">
        <v>2585</v>
      </c>
      <c r="BH162" s="394"/>
      <c r="BI162" s="394"/>
      <c r="BJ162" s="394"/>
      <c r="BK162" s="394"/>
      <c r="BL162" s="394"/>
      <c r="BM162" s="394"/>
      <c r="BN162" s="394"/>
      <c r="BO162" s="394"/>
      <c r="BP162" s="394"/>
      <c r="BQ162" s="394" t="s">
        <v>435</v>
      </c>
      <c r="BR162" s="1591">
        <v>45</v>
      </c>
      <c r="BS162" s="1591">
        <v>70</v>
      </c>
      <c r="BT162" s="1591">
        <v>100</v>
      </c>
      <c r="BU162" s="394"/>
      <c r="BV162" s="394" t="s">
        <v>435</v>
      </c>
      <c r="BW162" s="1589">
        <v>130</v>
      </c>
      <c r="BX162" s="1589">
        <v>190</v>
      </c>
      <c r="BY162" s="1589">
        <v>290</v>
      </c>
      <c r="CB162" s="428"/>
      <c r="CC162" s="428"/>
      <c r="CD162" s="428"/>
      <c r="CE162" s="1669"/>
      <c r="CF162" s="1620" t="str">
        <f>IFERROR(INDEX(N_Bedarf!$CE$2:$CE$304,_xlfn.AGGREGATE(15,6,(ROW(N_Bedarf!$CE$2:$CE$304)-1)/(--(SEARCH(CG$2,N_Bedarf!$CE$2:$CE$304)&gt;0)),ROW()-2),1),"")</f>
        <v/>
      </c>
      <c r="CG162" s="1620"/>
      <c r="CH162" s="1620" t="str">
        <f>IFERROR(INDEX(N_Bedarf!$CE$2:$CE$304,_xlfn.AGGREGATE(15,6,(ROW(N_Bedarf!$CE$2:$CE$304)-1)/(--(SEARCH(CI$2,N_Bedarf!$CE$2:$CE$304)&gt;0)),ROW()-2),1),"")</f>
        <v/>
      </c>
      <c r="CI162" s="1620"/>
      <c r="CJ162" s="1620" t="str">
        <f>IFERROR(INDEX(N_Bedarf!$CE$2:$CE$304,_xlfn.AGGREGATE(15,6,(ROW(N_Bedarf!$CE$2:$CE$304)-1)/(--(SEARCH(CK$2,N_Bedarf!$CE$2:$CE$304)&gt;0)),ROW()-2),1),"")</f>
        <v/>
      </c>
      <c r="CK162" s="1620"/>
      <c r="CL162" s="1620" t="str">
        <f>IFERROR(INDEX(N_Bedarf!$CE$2:$CE$304,_xlfn.AGGREGATE(15,6,(ROW(N_Bedarf!$CE$2:$CE$304)-1)/(--(SEARCH(CM$2,N_Bedarf!$CE$2:$CE$304)&gt;0)),ROW()-2),1),"")</f>
        <v/>
      </c>
      <c r="CM162" s="1620"/>
      <c r="CN162" s="1620" t="str">
        <f>IFERROR(INDEX(N_Bedarf!$CE$2:$CE$304,_xlfn.AGGREGATE(15,6,(ROW(N_Bedarf!$CE$2:$CE$304)-1)/(--(SEARCH(CO$2,N_Bedarf!$CE$2:$CE$304)&gt;0)),ROW()-2),1),"")</f>
        <v/>
      </c>
      <c r="CO162" s="1620"/>
      <c r="CP162" s="1620" t="str">
        <f>IFERROR(INDEX(N_Bedarf!$CE$2:$CE$304,_xlfn.AGGREGATE(15,6,(ROW(N_Bedarf!$CE$2:$CE$304)-1)/(--(SEARCH(CQ$2,N_Bedarf!$CE$2:$CE$304)&gt;0)),ROW()-2),1),"")</f>
        <v/>
      </c>
      <c r="CQ162" s="1620"/>
      <c r="CR162" s="1620" t="str">
        <f>IFERROR(INDEX(N_Bedarf!$CE$2:$CE$304,_xlfn.AGGREGATE(15,6,(ROW(N_Bedarf!$CE$2:$CE$304)-1)/(--(SEARCH(CS$2,N_Bedarf!$CE$2:$CE$304)&gt;0)),ROW()-2),1),"")</f>
        <v/>
      </c>
      <c r="CS162" s="1620"/>
      <c r="CT162" s="1620" t="str">
        <f>IFERROR(INDEX(N_Bedarf!$CE$2:$CE$304,_xlfn.AGGREGATE(15,6,(ROW(N_Bedarf!$CE$2:$CE$304)-1)/(--(SEARCH(CU$2,N_Bedarf!$CE$2:$CE$304)&gt;0)),ROW()-2),1),"")</f>
        <v/>
      </c>
      <c r="CU162" s="1620"/>
      <c r="CV162" s="1620" t="str">
        <f>IFERROR(INDEX(N_Bedarf!$CE$2:$CE$304,_xlfn.AGGREGATE(15,6,(ROW(N_Bedarf!$CE$2:$CE$304)-1)/(--(SEARCH(CW$2,N_Bedarf!$CE$2:$CE$304)&gt;0)),ROW()-2),1),"")</f>
        <v/>
      </c>
      <c r="CW162" s="1620"/>
      <c r="CX162" s="1620" t="str">
        <f>IFERROR(INDEX(N_Bedarf!$CE$2:$CE$304,_xlfn.AGGREGATE(15,6,(ROW(N_Bedarf!$CE$2:$CE$304)-1)/(--(SEARCH(CY$2,N_Bedarf!$CE$2:$CE$304)&gt;0)),ROW()-2),1),"")</f>
        <v/>
      </c>
      <c r="CY162" s="1620"/>
      <c r="CZ162" s="1620" t="str">
        <f>IFERROR(INDEX(N_Bedarf!$CE$2:$CE$304,_xlfn.AGGREGATE(15,6,(ROW(N_Bedarf!$CE$2:$CE$304)-1)/(--(SEARCH(DA$2,N_Bedarf!$CE$2:$CE$304)&gt;0)),ROW()-2),1),"")</f>
        <v/>
      </c>
      <c r="DA162" s="1620"/>
      <c r="DB162" s="1620" t="str">
        <f>IFERROR(INDEX(N_Bedarf!$CE$2:$CE$304,_xlfn.AGGREGATE(15,6,(ROW(N_Bedarf!$CE$2:$CE$304)-1)/(--(SEARCH(DC$2,N_Bedarf!$CE$2:$CE$304)&gt;0)),ROW()-2),1),"")</f>
        <v/>
      </c>
      <c r="DC162" s="1620"/>
      <c r="DD162" s="1620" t="str">
        <f>IFERROR(INDEX(N_Bedarf!$CE$2:$CE$304,_xlfn.AGGREGATE(15,6,(ROW(N_Bedarf!$CE$2:$CE$304)-1)/(--(SEARCH(DE$2,N_Bedarf!$CE$2:$CE$304)&gt;0)),ROW()-2),1),"")</f>
        <v/>
      </c>
      <c r="DE162" s="1620"/>
    </row>
    <row r="163" spans="1:153" ht="21" customHeight="1">
      <c r="A163" s="156"/>
      <c r="B163" s="156"/>
      <c r="C163" s="1758" t="s">
        <v>1731</v>
      </c>
      <c r="D163" s="1759" t="s">
        <v>126</v>
      </c>
      <c r="E163" s="1729">
        <v>65</v>
      </c>
      <c r="F163" s="1760">
        <v>55</v>
      </c>
      <c r="G163" s="1993" t="s">
        <v>127</v>
      </c>
      <c r="H163" s="1994">
        <v>90</v>
      </c>
      <c r="I163" s="1995">
        <v>75</v>
      </c>
      <c r="J163" s="1759" t="s">
        <v>128</v>
      </c>
      <c r="K163" s="1729">
        <v>105</v>
      </c>
      <c r="L163" s="1760">
        <v>90</v>
      </c>
      <c r="M163" s="1759" t="s">
        <v>1825</v>
      </c>
      <c r="N163" s="1729">
        <v>110</v>
      </c>
      <c r="O163" s="1760">
        <v>95</v>
      </c>
      <c r="P163" s="1759" t="s">
        <v>1779</v>
      </c>
      <c r="Q163" s="1729">
        <v>120</v>
      </c>
      <c r="R163" s="1761">
        <v>100</v>
      </c>
      <c r="S163" s="1762">
        <v>85</v>
      </c>
      <c r="T163" s="1729">
        <v>85</v>
      </c>
      <c r="U163" s="1760">
        <v>85</v>
      </c>
      <c r="V163" s="1759">
        <v>70</v>
      </c>
      <c r="W163" s="1729">
        <v>70</v>
      </c>
      <c r="X163" s="1760">
        <v>70</v>
      </c>
      <c r="Y163" s="2009">
        <v>50</v>
      </c>
      <c r="Z163" s="2010">
        <v>55</v>
      </c>
      <c r="AA163" s="2011">
        <v>65</v>
      </c>
      <c r="AB163" s="1871" t="s">
        <v>1388</v>
      </c>
      <c r="AC163" s="1763" t="s">
        <v>1389</v>
      </c>
      <c r="AD163" s="1762">
        <v>150</v>
      </c>
      <c r="AE163" s="1729">
        <v>150</v>
      </c>
      <c r="AF163" s="1760">
        <v>150</v>
      </c>
      <c r="AG163" s="1759">
        <v>125</v>
      </c>
      <c r="AH163" s="1729">
        <v>125</v>
      </c>
      <c r="AI163" s="1760">
        <v>125</v>
      </c>
      <c r="AJ163" s="2009">
        <v>90</v>
      </c>
      <c r="AK163" s="2010">
        <v>100</v>
      </c>
      <c r="AL163" s="2011">
        <v>115</v>
      </c>
      <c r="AM163" s="1871" t="s">
        <v>1390</v>
      </c>
      <c r="AN163" s="1763" t="s">
        <v>1389</v>
      </c>
      <c r="AO163" s="156"/>
      <c r="AP163" s="156"/>
      <c r="AU163"/>
      <c r="AV163"/>
      <c r="AW163"/>
      <c r="AX163" s="394" t="s">
        <v>2002</v>
      </c>
      <c r="AY163" s="394">
        <v>60</v>
      </c>
      <c r="AZ163" s="394"/>
      <c r="BA163" s="1671" t="s">
        <v>2703</v>
      </c>
      <c r="BB163" s="394">
        <v>90</v>
      </c>
      <c r="BC163" s="394"/>
      <c r="BD163" s="1671" t="s">
        <v>2595</v>
      </c>
      <c r="BE163" s="394">
        <v>90</v>
      </c>
      <c r="BF163" s="394"/>
      <c r="BG163" s="1671" t="s">
        <v>2595</v>
      </c>
      <c r="BH163" s="394"/>
      <c r="BI163" s="394"/>
      <c r="BJ163" s="394"/>
      <c r="BK163" s="394"/>
      <c r="BL163" s="394"/>
      <c r="BM163" s="394"/>
      <c r="BN163" s="394"/>
      <c r="BO163" s="394"/>
      <c r="BP163" s="394"/>
      <c r="BQ163" s="394" t="s">
        <v>2002</v>
      </c>
      <c r="BR163" s="1591">
        <v>40</v>
      </c>
      <c r="BS163" s="1591">
        <v>50</v>
      </c>
      <c r="BT163" s="1591">
        <v>50</v>
      </c>
      <c r="BU163" s="394"/>
      <c r="BV163" s="394" t="s">
        <v>2002</v>
      </c>
      <c r="BW163" s="1589">
        <v>110</v>
      </c>
      <c r="BX163" s="1589">
        <v>140</v>
      </c>
      <c r="BY163" s="1589">
        <v>140</v>
      </c>
      <c r="CB163" s="428"/>
      <c r="CC163" s="428"/>
      <c r="CD163" s="428"/>
      <c r="CE163" s="1669"/>
      <c r="CF163" s="1620" t="str">
        <f>IFERROR(INDEX(N_Bedarf!$CE$2:$CE$304,_xlfn.AGGREGATE(15,6,(ROW(N_Bedarf!$CE$2:$CE$304)-1)/(--(SEARCH(CG$2,N_Bedarf!$CE$2:$CE$304)&gt;0)),ROW()-2),1),"")</f>
        <v/>
      </c>
      <c r="CG163" s="1620"/>
      <c r="CH163" s="1620" t="str">
        <f>IFERROR(INDEX(N_Bedarf!$CE$2:$CE$304,_xlfn.AGGREGATE(15,6,(ROW(N_Bedarf!$CE$2:$CE$304)-1)/(--(SEARCH(CI$2,N_Bedarf!$CE$2:$CE$304)&gt;0)),ROW()-2),1),"")</f>
        <v/>
      </c>
      <c r="CI163" s="1620"/>
      <c r="CJ163" s="1620" t="str">
        <f>IFERROR(INDEX(N_Bedarf!$CE$2:$CE$304,_xlfn.AGGREGATE(15,6,(ROW(N_Bedarf!$CE$2:$CE$304)-1)/(--(SEARCH(CK$2,N_Bedarf!$CE$2:$CE$304)&gt;0)),ROW()-2),1),"")</f>
        <v/>
      </c>
      <c r="CK163" s="1620"/>
      <c r="CL163" s="1620" t="str">
        <f>IFERROR(INDEX(N_Bedarf!$CE$2:$CE$304,_xlfn.AGGREGATE(15,6,(ROW(N_Bedarf!$CE$2:$CE$304)-1)/(--(SEARCH(CM$2,N_Bedarf!$CE$2:$CE$304)&gt;0)),ROW()-2),1),"")</f>
        <v/>
      </c>
      <c r="CM163" s="1620"/>
      <c r="CN163" s="1620" t="str">
        <f>IFERROR(INDEX(N_Bedarf!$CE$2:$CE$304,_xlfn.AGGREGATE(15,6,(ROW(N_Bedarf!$CE$2:$CE$304)-1)/(--(SEARCH(CO$2,N_Bedarf!$CE$2:$CE$304)&gt;0)),ROW()-2),1),"")</f>
        <v/>
      </c>
      <c r="CO163" s="1620"/>
      <c r="CP163" s="1620" t="str">
        <f>IFERROR(INDEX(N_Bedarf!$CE$2:$CE$304,_xlfn.AGGREGATE(15,6,(ROW(N_Bedarf!$CE$2:$CE$304)-1)/(--(SEARCH(CQ$2,N_Bedarf!$CE$2:$CE$304)&gt;0)),ROW()-2),1),"")</f>
        <v/>
      </c>
      <c r="CQ163" s="1620"/>
      <c r="CR163" s="1620" t="str">
        <f>IFERROR(INDEX(N_Bedarf!$CE$2:$CE$304,_xlfn.AGGREGATE(15,6,(ROW(N_Bedarf!$CE$2:$CE$304)-1)/(--(SEARCH(CS$2,N_Bedarf!$CE$2:$CE$304)&gt;0)),ROW()-2),1),"")</f>
        <v/>
      </c>
      <c r="CS163" s="1620"/>
      <c r="CT163" s="1620" t="str">
        <f>IFERROR(INDEX(N_Bedarf!$CE$2:$CE$304,_xlfn.AGGREGATE(15,6,(ROW(N_Bedarf!$CE$2:$CE$304)-1)/(--(SEARCH(CU$2,N_Bedarf!$CE$2:$CE$304)&gt;0)),ROW()-2),1),"")</f>
        <v/>
      </c>
      <c r="CU163" s="1620"/>
      <c r="CV163" s="1620" t="str">
        <f>IFERROR(INDEX(N_Bedarf!$CE$2:$CE$304,_xlfn.AGGREGATE(15,6,(ROW(N_Bedarf!$CE$2:$CE$304)-1)/(--(SEARCH(CW$2,N_Bedarf!$CE$2:$CE$304)&gt;0)),ROW()-2),1),"")</f>
        <v/>
      </c>
      <c r="CW163" s="1620"/>
      <c r="CX163" s="1620" t="str">
        <f>IFERROR(INDEX(N_Bedarf!$CE$2:$CE$304,_xlfn.AGGREGATE(15,6,(ROW(N_Bedarf!$CE$2:$CE$304)-1)/(--(SEARCH(CY$2,N_Bedarf!$CE$2:$CE$304)&gt;0)),ROW()-2),1),"")</f>
        <v/>
      </c>
      <c r="CY163" s="1620"/>
      <c r="CZ163" s="1620" t="str">
        <f>IFERROR(INDEX(N_Bedarf!$CE$2:$CE$304,_xlfn.AGGREGATE(15,6,(ROW(N_Bedarf!$CE$2:$CE$304)-1)/(--(SEARCH(DA$2,N_Bedarf!$CE$2:$CE$304)&gt;0)),ROW()-2),1),"")</f>
        <v/>
      </c>
      <c r="DA163" s="1620"/>
      <c r="DB163" s="1620" t="str">
        <f>IFERROR(INDEX(N_Bedarf!$CE$2:$CE$304,_xlfn.AGGREGATE(15,6,(ROW(N_Bedarf!$CE$2:$CE$304)-1)/(--(SEARCH(DC$2,N_Bedarf!$CE$2:$CE$304)&gt;0)),ROW()-2),1),"")</f>
        <v/>
      </c>
      <c r="DC163" s="1620"/>
      <c r="DD163" s="1620" t="str">
        <f>IFERROR(INDEX(N_Bedarf!$CE$2:$CE$304,_xlfn.AGGREGATE(15,6,(ROW(N_Bedarf!$CE$2:$CE$304)-1)/(--(SEARCH(DE$2,N_Bedarf!$CE$2:$CE$304)&gt;0)),ROW()-2),1),"")</f>
        <v/>
      </c>
      <c r="DE163" s="1620"/>
    </row>
    <row r="164" spans="1:153" ht="21" customHeight="1">
      <c r="A164" s="156"/>
      <c r="B164" s="156"/>
      <c r="C164" s="1758" t="s">
        <v>434</v>
      </c>
      <c r="D164" s="1759" t="s">
        <v>33</v>
      </c>
      <c r="E164" s="1729">
        <v>110</v>
      </c>
      <c r="F164" s="1760">
        <v>100</v>
      </c>
      <c r="G164" s="1993" t="s">
        <v>1780</v>
      </c>
      <c r="H164" s="1994">
        <v>155</v>
      </c>
      <c r="I164" s="1995">
        <v>140</v>
      </c>
      <c r="J164" s="1759" t="s">
        <v>1415</v>
      </c>
      <c r="K164" s="1729">
        <v>180</v>
      </c>
      <c r="L164" s="1760">
        <v>160</v>
      </c>
      <c r="M164" s="1759" t="s">
        <v>1416</v>
      </c>
      <c r="N164" s="1729">
        <v>195</v>
      </c>
      <c r="O164" s="1760">
        <v>175</v>
      </c>
      <c r="P164" s="1759" t="s">
        <v>1417</v>
      </c>
      <c r="Q164" s="1729">
        <v>210</v>
      </c>
      <c r="R164" s="1761">
        <v>190</v>
      </c>
      <c r="S164" s="1762">
        <v>115</v>
      </c>
      <c r="T164" s="1729">
        <v>115</v>
      </c>
      <c r="U164" s="1760">
        <v>115</v>
      </c>
      <c r="V164" s="1759">
        <v>95</v>
      </c>
      <c r="W164" s="1729">
        <v>95</v>
      </c>
      <c r="X164" s="1760">
        <v>95</v>
      </c>
      <c r="Y164" s="2009">
        <v>70</v>
      </c>
      <c r="Z164" s="2010">
        <v>75</v>
      </c>
      <c r="AA164" s="2011">
        <v>85</v>
      </c>
      <c r="AB164" s="1871" t="s">
        <v>1388</v>
      </c>
      <c r="AC164" s="1763" t="s">
        <v>1389</v>
      </c>
      <c r="AD164" s="1762">
        <v>300</v>
      </c>
      <c r="AE164" s="1729">
        <v>300</v>
      </c>
      <c r="AF164" s="1760">
        <v>300</v>
      </c>
      <c r="AG164" s="1759">
        <v>250</v>
      </c>
      <c r="AH164" s="1729">
        <v>250</v>
      </c>
      <c r="AI164" s="1760">
        <v>250</v>
      </c>
      <c r="AJ164" s="2009">
        <v>180</v>
      </c>
      <c r="AK164" s="2010">
        <v>200</v>
      </c>
      <c r="AL164" s="2011">
        <v>230</v>
      </c>
      <c r="AM164" s="1871" t="s">
        <v>1390</v>
      </c>
      <c r="AN164" s="1763" t="s">
        <v>1389</v>
      </c>
      <c r="AO164" s="156"/>
      <c r="AP164" s="156"/>
      <c r="AU164"/>
      <c r="AV164"/>
      <c r="AW164"/>
      <c r="AX164" s="394" t="s">
        <v>2003</v>
      </c>
      <c r="AY164" s="394">
        <v>110</v>
      </c>
      <c r="AZ164" s="394"/>
      <c r="BA164" s="1671" t="s">
        <v>2704</v>
      </c>
      <c r="BB164" s="394">
        <v>110</v>
      </c>
      <c r="BC164" s="394"/>
      <c r="BD164" s="1671" t="s">
        <v>2704</v>
      </c>
      <c r="BE164" s="394">
        <v>140</v>
      </c>
      <c r="BF164" s="394"/>
      <c r="BG164" s="1671" t="s">
        <v>2584</v>
      </c>
      <c r="BH164" s="394"/>
      <c r="BI164" s="394"/>
      <c r="BJ164" s="394"/>
      <c r="BK164" s="394"/>
      <c r="BL164" s="394"/>
      <c r="BM164" s="394"/>
      <c r="BN164" s="394"/>
      <c r="BO164" s="394"/>
      <c r="BP164" s="394"/>
      <c r="BQ164" s="394" t="s">
        <v>2003</v>
      </c>
      <c r="BR164" s="1591">
        <v>45</v>
      </c>
      <c r="BS164" s="1591">
        <v>60</v>
      </c>
      <c r="BT164" s="1591">
        <v>80</v>
      </c>
      <c r="BU164" s="394"/>
      <c r="BV164" s="394" t="s">
        <v>2003</v>
      </c>
      <c r="BW164" s="1589">
        <v>145</v>
      </c>
      <c r="BX164" s="1589">
        <v>190</v>
      </c>
      <c r="BY164" s="1589">
        <v>225</v>
      </c>
      <c r="CB164" s="428"/>
      <c r="CC164" s="428"/>
      <c r="CD164" s="428"/>
      <c r="CE164" s="1669"/>
      <c r="CF164" s="1620" t="str">
        <f>IFERROR(INDEX(N_Bedarf!$CE$2:$CE$304,_xlfn.AGGREGATE(15,6,(ROW(N_Bedarf!$CE$2:$CE$304)-1)/(--(SEARCH(CG$2,N_Bedarf!$CE$2:$CE$304)&gt;0)),ROW()-2),1),"")</f>
        <v/>
      </c>
      <c r="CG164" s="1620"/>
      <c r="CH164" s="1620" t="str">
        <f>IFERROR(INDEX(N_Bedarf!$CE$2:$CE$304,_xlfn.AGGREGATE(15,6,(ROW(N_Bedarf!$CE$2:$CE$304)-1)/(--(SEARCH(CI$2,N_Bedarf!$CE$2:$CE$304)&gt;0)),ROW()-2),1),"")</f>
        <v/>
      </c>
      <c r="CI164" s="1620"/>
      <c r="CJ164" s="1620" t="str">
        <f>IFERROR(INDEX(N_Bedarf!$CE$2:$CE$304,_xlfn.AGGREGATE(15,6,(ROW(N_Bedarf!$CE$2:$CE$304)-1)/(--(SEARCH(CK$2,N_Bedarf!$CE$2:$CE$304)&gt;0)),ROW()-2),1),"")</f>
        <v/>
      </c>
      <c r="CK164" s="1620"/>
      <c r="CL164" s="1620" t="str">
        <f>IFERROR(INDEX(N_Bedarf!$CE$2:$CE$304,_xlfn.AGGREGATE(15,6,(ROW(N_Bedarf!$CE$2:$CE$304)-1)/(--(SEARCH(CM$2,N_Bedarf!$CE$2:$CE$304)&gt;0)),ROW()-2),1),"")</f>
        <v/>
      </c>
      <c r="CM164" s="1620"/>
      <c r="CN164" s="1620" t="str">
        <f>IFERROR(INDEX(N_Bedarf!$CE$2:$CE$304,_xlfn.AGGREGATE(15,6,(ROW(N_Bedarf!$CE$2:$CE$304)-1)/(--(SEARCH(CO$2,N_Bedarf!$CE$2:$CE$304)&gt;0)),ROW()-2),1),"")</f>
        <v/>
      </c>
      <c r="CO164" s="1620"/>
      <c r="CP164" s="1620" t="str">
        <f>IFERROR(INDEX(N_Bedarf!$CE$2:$CE$304,_xlfn.AGGREGATE(15,6,(ROW(N_Bedarf!$CE$2:$CE$304)-1)/(--(SEARCH(CQ$2,N_Bedarf!$CE$2:$CE$304)&gt;0)),ROW()-2),1),"")</f>
        <v/>
      </c>
      <c r="CQ164" s="1620"/>
      <c r="CR164" s="1620" t="str">
        <f>IFERROR(INDEX(N_Bedarf!$CE$2:$CE$304,_xlfn.AGGREGATE(15,6,(ROW(N_Bedarf!$CE$2:$CE$304)-1)/(--(SEARCH(CS$2,N_Bedarf!$CE$2:$CE$304)&gt;0)),ROW()-2),1),"")</f>
        <v/>
      </c>
      <c r="CS164" s="1620"/>
      <c r="CT164" s="1620" t="str">
        <f>IFERROR(INDEX(N_Bedarf!$CE$2:$CE$304,_xlfn.AGGREGATE(15,6,(ROW(N_Bedarf!$CE$2:$CE$304)-1)/(--(SEARCH(CU$2,N_Bedarf!$CE$2:$CE$304)&gt;0)),ROW()-2),1),"")</f>
        <v/>
      </c>
      <c r="CU164" s="1620"/>
      <c r="CV164" s="1620" t="str">
        <f>IFERROR(INDEX(N_Bedarf!$CE$2:$CE$304,_xlfn.AGGREGATE(15,6,(ROW(N_Bedarf!$CE$2:$CE$304)-1)/(--(SEARCH(CW$2,N_Bedarf!$CE$2:$CE$304)&gt;0)),ROW()-2),1),"")</f>
        <v/>
      </c>
      <c r="CW164" s="1620"/>
      <c r="CX164" s="1620" t="str">
        <f>IFERROR(INDEX(N_Bedarf!$CE$2:$CE$304,_xlfn.AGGREGATE(15,6,(ROW(N_Bedarf!$CE$2:$CE$304)-1)/(--(SEARCH(CY$2,N_Bedarf!$CE$2:$CE$304)&gt;0)),ROW()-2),1),"")</f>
        <v/>
      </c>
      <c r="CY164" s="1620"/>
      <c r="CZ164" s="1620" t="str">
        <f>IFERROR(INDEX(N_Bedarf!$CE$2:$CE$304,_xlfn.AGGREGATE(15,6,(ROW(N_Bedarf!$CE$2:$CE$304)-1)/(--(SEARCH(DA$2,N_Bedarf!$CE$2:$CE$304)&gt;0)),ROW()-2),1),"")</f>
        <v/>
      </c>
      <c r="DA164" s="1620"/>
      <c r="DB164" s="1620" t="str">
        <f>IFERROR(INDEX(N_Bedarf!$CE$2:$CE$304,_xlfn.AGGREGATE(15,6,(ROW(N_Bedarf!$CE$2:$CE$304)-1)/(--(SEARCH(DC$2,N_Bedarf!$CE$2:$CE$304)&gt;0)),ROW()-2),1),"")</f>
        <v/>
      </c>
      <c r="DC164" s="1620"/>
      <c r="DD164" s="1620" t="str">
        <f>IFERROR(INDEX(N_Bedarf!$CE$2:$CE$304,_xlfn.AGGREGATE(15,6,(ROW(N_Bedarf!$CE$2:$CE$304)-1)/(--(SEARCH(DE$2,N_Bedarf!$CE$2:$CE$304)&gt;0)),ROW()-2),1),"")</f>
        <v/>
      </c>
      <c r="DE164" s="1620"/>
    </row>
    <row r="165" spans="1:153" ht="18" customHeight="1">
      <c r="A165" s="156"/>
      <c r="B165" s="156"/>
      <c r="C165" s="1758" t="s">
        <v>1398</v>
      </c>
      <c r="D165" s="1759" t="s">
        <v>585</v>
      </c>
      <c r="E165" s="1729">
        <v>80</v>
      </c>
      <c r="F165" s="1760">
        <v>70</v>
      </c>
      <c r="G165" s="1993" t="s">
        <v>1582</v>
      </c>
      <c r="H165" s="1994">
        <v>110</v>
      </c>
      <c r="I165" s="1995">
        <v>95</v>
      </c>
      <c r="J165" s="1759" t="s">
        <v>1399</v>
      </c>
      <c r="K165" s="1729">
        <v>130</v>
      </c>
      <c r="L165" s="1760">
        <v>110</v>
      </c>
      <c r="M165" s="1759" t="s">
        <v>1400</v>
      </c>
      <c r="N165" s="1729">
        <v>140</v>
      </c>
      <c r="O165" s="1760">
        <v>120</v>
      </c>
      <c r="P165" s="1759" t="s">
        <v>1401</v>
      </c>
      <c r="Q165" s="1729">
        <v>150</v>
      </c>
      <c r="R165" s="1761">
        <v>130</v>
      </c>
      <c r="S165" s="1762">
        <v>85</v>
      </c>
      <c r="T165" s="1729">
        <v>85</v>
      </c>
      <c r="U165" s="1760">
        <v>85</v>
      </c>
      <c r="V165" s="1759">
        <v>70</v>
      </c>
      <c r="W165" s="1729">
        <v>70</v>
      </c>
      <c r="X165" s="1760">
        <v>70</v>
      </c>
      <c r="Y165" s="2009">
        <v>50</v>
      </c>
      <c r="Z165" s="2010">
        <v>55</v>
      </c>
      <c r="AA165" s="2011">
        <v>65</v>
      </c>
      <c r="AB165" s="1871" t="s">
        <v>1388</v>
      </c>
      <c r="AC165" s="1763" t="s">
        <v>1389</v>
      </c>
      <c r="AD165" s="1762">
        <v>120</v>
      </c>
      <c r="AE165" s="1729">
        <v>120</v>
      </c>
      <c r="AF165" s="1760">
        <v>120</v>
      </c>
      <c r="AG165" s="1759">
        <v>100</v>
      </c>
      <c r="AH165" s="1729">
        <v>100</v>
      </c>
      <c r="AI165" s="1760">
        <v>100</v>
      </c>
      <c r="AJ165" s="2009">
        <v>70</v>
      </c>
      <c r="AK165" s="2010">
        <v>80</v>
      </c>
      <c r="AL165" s="2011">
        <v>90</v>
      </c>
      <c r="AM165" s="1871" t="s">
        <v>1390</v>
      </c>
      <c r="AN165" s="1763" t="s">
        <v>1389</v>
      </c>
      <c r="AO165" s="156"/>
      <c r="AP165" s="156"/>
      <c r="AR165" s="477"/>
      <c r="AS165" s="477"/>
      <c r="AT165" s="477"/>
      <c r="AU165" s="477"/>
      <c r="AV165" s="477"/>
      <c r="AW165" s="477"/>
      <c r="AX165" s="394" t="s">
        <v>2004</v>
      </c>
      <c r="AY165" s="394">
        <v>120</v>
      </c>
      <c r="AZ165" s="394"/>
      <c r="BA165" s="1671" t="s">
        <v>2705</v>
      </c>
      <c r="BB165" s="394">
        <v>120</v>
      </c>
      <c r="BC165" s="394"/>
      <c r="BD165" s="1671" t="s">
        <v>2705</v>
      </c>
      <c r="BE165" s="394">
        <v>170</v>
      </c>
      <c r="BF165" s="394"/>
      <c r="BG165" s="1671" t="s">
        <v>2596</v>
      </c>
      <c r="BH165" s="3"/>
      <c r="BI165" s="3"/>
      <c r="BJ165" s="3"/>
      <c r="BK165" s="3"/>
      <c r="BL165" s="3"/>
      <c r="BM165" s="3"/>
      <c r="BN165" s="394"/>
      <c r="BO165" s="394"/>
      <c r="BP165" s="394"/>
      <c r="BQ165" s="394" t="s">
        <v>2004</v>
      </c>
      <c r="BR165" s="1591">
        <v>60</v>
      </c>
      <c r="BS165" s="1591">
        <v>80</v>
      </c>
      <c r="BT165" s="1591">
        <v>100</v>
      </c>
      <c r="BU165" s="394"/>
      <c r="BV165" s="394" t="s">
        <v>2004</v>
      </c>
      <c r="BW165" s="1589">
        <v>160</v>
      </c>
      <c r="BX165" s="1589">
        <v>215</v>
      </c>
      <c r="BY165" s="1589">
        <v>290</v>
      </c>
      <c r="CB165" s="428"/>
      <c r="CC165" s="428"/>
      <c r="CD165" s="428"/>
      <c r="CE165" s="1669"/>
      <c r="CF165" s="1620" t="str">
        <f>IFERROR(INDEX(N_Bedarf!$CE$2:$CE$304,_xlfn.AGGREGATE(15,6,(ROW(N_Bedarf!$CE$2:$CE$304)-1)/(--(SEARCH(CG$2,N_Bedarf!$CE$2:$CE$304)&gt;0)),ROW()-2),1),"")</f>
        <v/>
      </c>
      <c r="CG165" s="1620"/>
      <c r="CH165" s="1620" t="str">
        <f>IFERROR(INDEX(N_Bedarf!$CE$2:$CE$304,_xlfn.AGGREGATE(15,6,(ROW(N_Bedarf!$CE$2:$CE$304)-1)/(--(SEARCH(CI$2,N_Bedarf!$CE$2:$CE$304)&gt;0)),ROW()-2),1),"")</f>
        <v/>
      </c>
      <c r="CI165" s="1620"/>
      <c r="CJ165" s="1620" t="str">
        <f>IFERROR(INDEX(N_Bedarf!$CE$2:$CE$304,_xlfn.AGGREGATE(15,6,(ROW(N_Bedarf!$CE$2:$CE$304)-1)/(--(SEARCH(CK$2,N_Bedarf!$CE$2:$CE$304)&gt;0)),ROW()-2),1),"")</f>
        <v/>
      </c>
      <c r="CK165" s="1620"/>
      <c r="CL165" s="1620" t="str">
        <f>IFERROR(INDEX(N_Bedarf!$CE$2:$CE$304,_xlfn.AGGREGATE(15,6,(ROW(N_Bedarf!$CE$2:$CE$304)-1)/(--(SEARCH(CM$2,N_Bedarf!$CE$2:$CE$304)&gt;0)),ROW()-2),1),"")</f>
        <v/>
      </c>
      <c r="CM165" s="1620"/>
      <c r="CN165" s="1620" t="str">
        <f>IFERROR(INDEX(N_Bedarf!$CE$2:$CE$304,_xlfn.AGGREGATE(15,6,(ROW(N_Bedarf!$CE$2:$CE$304)-1)/(--(SEARCH(CO$2,N_Bedarf!$CE$2:$CE$304)&gt;0)),ROW()-2),1),"")</f>
        <v/>
      </c>
      <c r="CO165" s="1620"/>
      <c r="CP165" s="1620" t="str">
        <f>IFERROR(INDEX(N_Bedarf!$CE$2:$CE$304,_xlfn.AGGREGATE(15,6,(ROW(N_Bedarf!$CE$2:$CE$304)-1)/(--(SEARCH(CQ$2,N_Bedarf!$CE$2:$CE$304)&gt;0)),ROW()-2),1),"")</f>
        <v/>
      </c>
      <c r="CQ165" s="1620"/>
      <c r="CR165" s="1620" t="str">
        <f>IFERROR(INDEX(N_Bedarf!$CE$2:$CE$304,_xlfn.AGGREGATE(15,6,(ROW(N_Bedarf!$CE$2:$CE$304)-1)/(--(SEARCH(CS$2,N_Bedarf!$CE$2:$CE$304)&gt;0)),ROW()-2),1),"")</f>
        <v/>
      </c>
      <c r="CS165" s="1620"/>
      <c r="CT165" s="1620" t="str">
        <f>IFERROR(INDEX(N_Bedarf!$CE$2:$CE$304,_xlfn.AGGREGATE(15,6,(ROW(N_Bedarf!$CE$2:$CE$304)-1)/(--(SEARCH(CU$2,N_Bedarf!$CE$2:$CE$304)&gt;0)),ROW()-2),1),"")</f>
        <v/>
      </c>
      <c r="CU165" s="1620"/>
      <c r="CV165" s="1620" t="str">
        <f>IFERROR(INDEX(N_Bedarf!$CE$2:$CE$304,_xlfn.AGGREGATE(15,6,(ROW(N_Bedarf!$CE$2:$CE$304)-1)/(--(SEARCH(CW$2,N_Bedarf!$CE$2:$CE$304)&gt;0)),ROW()-2),1),"")</f>
        <v/>
      </c>
      <c r="CW165" s="1620"/>
      <c r="CX165" s="1620" t="str">
        <f>IFERROR(INDEX(N_Bedarf!$CE$2:$CE$304,_xlfn.AGGREGATE(15,6,(ROW(N_Bedarf!$CE$2:$CE$304)-1)/(--(SEARCH(CY$2,N_Bedarf!$CE$2:$CE$304)&gt;0)),ROW()-2),1),"")</f>
        <v/>
      </c>
      <c r="CY165" s="1620"/>
      <c r="CZ165" s="1620" t="str">
        <f>IFERROR(INDEX(N_Bedarf!$CE$2:$CE$304,_xlfn.AGGREGATE(15,6,(ROW(N_Bedarf!$CE$2:$CE$304)-1)/(--(SEARCH(DA$2,N_Bedarf!$CE$2:$CE$304)&gt;0)),ROW()-2),1),"")</f>
        <v/>
      </c>
      <c r="DA165" s="1620"/>
      <c r="DB165" s="1620" t="str">
        <f>IFERROR(INDEX(N_Bedarf!$CE$2:$CE$304,_xlfn.AGGREGATE(15,6,(ROW(N_Bedarf!$CE$2:$CE$304)-1)/(--(SEARCH(DC$2,N_Bedarf!$CE$2:$CE$304)&gt;0)),ROW()-2),1),"")</f>
        <v/>
      </c>
      <c r="DC165" s="1620"/>
      <c r="DD165" s="1620" t="str">
        <f>IFERROR(INDEX(N_Bedarf!$CE$2:$CE$304,_xlfn.AGGREGATE(15,6,(ROW(N_Bedarf!$CE$2:$CE$304)-1)/(--(SEARCH(DE$2,N_Bedarf!$CE$2:$CE$304)&gt;0)),ROW()-2),1),"")</f>
        <v/>
      </c>
      <c r="DE165" s="1620"/>
    </row>
    <row r="166" spans="1:153" ht="21.75" customHeight="1">
      <c r="A166" s="156"/>
      <c r="B166" s="156"/>
      <c r="C166" s="1758" t="s">
        <v>1732</v>
      </c>
      <c r="D166" s="1759" t="s">
        <v>123</v>
      </c>
      <c r="E166" s="1729">
        <v>130</v>
      </c>
      <c r="F166" s="1760">
        <v>110</v>
      </c>
      <c r="G166" s="1993" t="s">
        <v>5</v>
      </c>
      <c r="H166" s="1994">
        <v>130</v>
      </c>
      <c r="I166" s="1995">
        <v>110</v>
      </c>
      <c r="J166" s="1759" t="s">
        <v>6</v>
      </c>
      <c r="K166" s="1729">
        <v>130</v>
      </c>
      <c r="L166" s="1760">
        <v>110</v>
      </c>
      <c r="M166" s="1759" t="s">
        <v>7</v>
      </c>
      <c r="N166" s="1729">
        <v>130</v>
      </c>
      <c r="O166" s="1760">
        <v>110</v>
      </c>
      <c r="P166" s="1759" t="s">
        <v>582</v>
      </c>
      <c r="Q166" s="1729">
        <v>130</v>
      </c>
      <c r="R166" s="1761">
        <v>110</v>
      </c>
      <c r="S166" s="1762">
        <v>115</v>
      </c>
      <c r="T166" s="1729">
        <v>115</v>
      </c>
      <c r="U166" s="1760">
        <v>115</v>
      </c>
      <c r="V166" s="1759">
        <v>95</v>
      </c>
      <c r="W166" s="1729">
        <v>95</v>
      </c>
      <c r="X166" s="1760">
        <v>95</v>
      </c>
      <c r="Y166" s="2009">
        <v>70</v>
      </c>
      <c r="Z166" s="2010">
        <v>75</v>
      </c>
      <c r="AA166" s="2011">
        <v>85</v>
      </c>
      <c r="AB166" s="1871" t="s">
        <v>1388</v>
      </c>
      <c r="AC166" s="1763" t="s">
        <v>1389</v>
      </c>
      <c r="AD166" s="1762">
        <v>300</v>
      </c>
      <c r="AE166" s="1729">
        <v>300</v>
      </c>
      <c r="AF166" s="1760">
        <v>300</v>
      </c>
      <c r="AG166" s="1759">
        <v>250</v>
      </c>
      <c r="AH166" s="1729">
        <v>250</v>
      </c>
      <c r="AI166" s="1760">
        <v>250</v>
      </c>
      <c r="AJ166" s="2009">
        <v>180</v>
      </c>
      <c r="AK166" s="2010">
        <v>200</v>
      </c>
      <c r="AL166" s="2011">
        <v>230</v>
      </c>
      <c r="AM166" s="1871" t="s">
        <v>1390</v>
      </c>
      <c r="AN166" s="1763" t="s">
        <v>1389</v>
      </c>
      <c r="AO166" s="156"/>
      <c r="AP166" s="156"/>
      <c r="AU166"/>
      <c r="AV166"/>
      <c r="AW166"/>
      <c r="AX166" s="394" t="s">
        <v>1885</v>
      </c>
      <c r="AY166" s="394">
        <v>20</v>
      </c>
      <c r="AZ166" s="394"/>
      <c r="BA166" s="1671" t="s">
        <v>2694</v>
      </c>
      <c r="BB166" s="394">
        <v>30</v>
      </c>
      <c r="BC166" s="394"/>
      <c r="BD166" s="1671" t="s">
        <v>2581</v>
      </c>
      <c r="BE166" s="394">
        <v>30</v>
      </c>
      <c r="BF166" s="394"/>
      <c r="BG166" s="1671" t="s">
        <v>2581</v>
      </c>
      <c r="BH166" s="3"/>
      <c r="BI166" s="3"/>
      <c r="BJ166" s="3"/>
      <c r="BK166" s="3"/>
      <c r="BL166" s="3"/>
      <c r="BM166" s="3"/>
      <c r="BN166" s="394"/>
      <c r="BO166" s="394"/>
      <c r="BP166" s="394"/>
      <c r="BQ166" s="394" t="s">
        <v>1885</v>
      </c>
      <c r="BR166" s="1591">
        <v>15</v>
      </c>
      <c r="BS166" s="1591">
        <v>30</v>
      </c>
      <c r="BT166" s="1591">
        <v>30</v>
      </c>
      <c r="BU166" s="394"/>
      <c r="BV166" s="394" t="s">
        <v>1885</v>
      </c>
      <c r="BW166" s="1589">
        <v>45</v>
      </c>
      <c r="BX166" s="1589">
        <v>80</v>
      </c>
      <c r="BY166" s="1589">
        <v>80</v>
      </c>
      <c r="CB166" s="428"/>
      <c r="CC166" s="428"/>
      <c r="CD166" s="428"/>
      <c r="CE166" s="1669"/>
      <c r="CF166" s="1620" t="str">
        <f>IFERROR(INDEX(N_Bedarf!$CE$2:$CE$304,_xlfn.AGGREGATE(15,6,(ROW(N_Bedarf!$CE$2:$CE$304)-1)/(--(SEARCH(CG$2,N_Bedarf!$CE$2:$CE$304)&gt;0)),ROW()-2),1),"")</f>
        <v/>
      </c>
      <c r="CG166" s="1620"/>
      <c r="CH166" s="1620" t="str">
        <f>IFERROR(INDEX(N_Bedarf!$CE$2:$CE$304,_xlfn.AGGREGATE(15,6,(ROW(N_Bedarf!$CE$2:$CE$304)-1)/(--(SEARCH(CI$2,N_Bedarf!$CE$2:$CE$304)&gt;0)),ROW()-2),1),"")</f>
        <v/>
      </c>
      <c r="CI166" s="1620"/>
      <c r="CJ166" s="1620" t="str">
        <f>IFERROR(INDEX(N_Bedarf!$CE$2:$CE$304,_xlfn.AGGREGATE(15,6,(ROW(N_Bedarf!$CE$2:$CE$304)-1)/(--(SEARCH(CK$2,N_Bedarf!$CE$2:$CE$304)&gt;0)),ROW()-2),1),"")</f>
        <v/>
      </c>
      <c r="CK166" s="1620"/>
      <c r="CL166" s="1620" t="str">
        <f>IFERROR(INDEX(N_Bedarf!$CE$2:$CE$304,_xlfn.AGGREGATE(15,6,(ROW(N_Bedarf!$CE$2:$CE$304)-1)/(--(SEARCH(CM$2,N_Bedarf!$CE$2:$CE$304)&gt;0)),ROW()-2),1),"")</f>
        <v/>
      </c>
      <c r="CM166" s="1620"/>
      <c r="CN166" s="1620" t="str">
        <f>IFERROR(INDEX(N_Bedarf!$CE$2:$CE$304,_xlfn.AGGREGATE(15,6,(ROW(N_Bedarf!$CE$2:$CE$304)-1)/(--(SEARCH(CO$2,N_Bedarf!$CE$2:$CE$304)&gt;0)),ROW()-2),1),"")</f>
        <v/>
      </c>
      <c r="CO166" s="1620"/>
      <c r="CP166" s="1620" t="str">
        <f>IFERROR(INDEX(N_Bedarf!$CE$2:$CE$304,_xlfn.AGGREGATE(15,6,(ROW(N_Bedarf!$CE$2:$CE$304)-1)/(--(SEARCH(CQ$2,N_Bedarf!$CE$2:$CE$304)&gt;0)),ROW()-2),1),"")</f>
        <v/>
      </c>
      <c r="CQ166" s="1620"/>
      <c r="CR166" s="1620" t="str">
        <f>IFERROR(INDEX(N_Bedarf!$CE$2:$CE$304,_xlfn.AGGREGATE(15,6,(ROW(N_Bedarf!$CE$2:$CE$304)-1)/(--(SEARCH(CS$2,N_Bedarf!$CE$2:$CE$304)&gt;0)),ROW()-2),1),"")</f>
        <v/>
      </c>
      <c r="CS166" s="1620"/>
      <c r="CT166" s="1620" t="str">
        <f>IFERROR(INDEX(N_Bedarf!$CE$2:$CE$304,_xlfn.AGGREGATE(15,6,(ROW(N_Bedarf!$CE$2:$CE$304)-1)/(--(SEARCH(CU$2,N_Bedarf!$CE$2:$CE$304)&gt;0)),ROW()-2),1),"")</f>
        <v/>
      </c>
      <c r="CU166" s="1620"/>
      <c r="CV166" s="1620" t="str">
        <f>IFERROR(INDEX(N_Bedarf!$CE$2:$CE$304,_xlfn.AGGREGATE(15,6,(ROW(N_Bedarf!$CE$2:$CE$304)-1)/(--(SEARCH(CW$2,N_Bedarf!$CE$2:$CE$304)&gt;0)),ROW()-2),1),"")</f>
        <v/>
      </c>
      <c r="CW166" s="1620"/>
      <c r="CX166" s="1620" t="str">
        <f>IFERROR(INDEX(N_Bedarf!$CE$2:$CE$304,_xlfn.AGGREGATE(15,6,(ROW(N_Bedarf!$CE$2:$CE$304)-1)/(--(SEARCH(CY$2,N_Bedarf!$CE$2:$CE$304)&gt;0)),ROW()-2),1),"")</f>
        <v/>
      </c>
      <c r="CY166" s="1620"/>
      <c r="CZ166" s="1620" t="str">
        <f>IFERROR(INDEX(N_Bedarf!$CE$2:$CE$304,_xlfn.AGGREGATE(15,6,(ROW(N_Bedarf!$CE$2:$CE$304)-1)/(--(SEARCH(DA$2,N_Bedarf!$CE$2:$CE$304)&gt;0)),ROW()-2),1),"")</f>
        <v/>
      </c>
      <c r="DA166" s="1620"/>
      <c r="DB166" s="1620" t="str">
        <f>IFERROR(INDEX(N_Bedarf!$CE$2:$CE$304,_xlfn.AGGREGATE(15,6,(ROW(N_Bedarf!$CE$2:$CE$304)-1)/(--(SEARCH(DC$2,N_Bedarf!$CE$2:$CE$304)&gt;0)),ROW()-2),1),"")</f>
        <v/>
      </c>
      <c r="DC166" s="1620"/>
      <c r="DD166" s="1620" t="str">
        <f>IFERROR(INDEX(N_Bedarf!$CE$2:$CE$304,_xlfn.AGGREGATE(15,6,(ROW(N_Bedarf!$CE$2:$CE$304)-1)/(--(SEARCH(DE$2,N_Bedarf!$CE$2:$CE$304)&gt;0)),ROW()-2),1),"")</f>
        <v/>
      </c>
      <c r="DE166" s="1620"/>
    </row>
    <row r="167" spans="1:153" ht="18" customHeight="1">
      <c r="A167" s="156"/>
      <c r="B167" s="156"/>
      <c r="C167" s="1758" t="s">
        <v>1733</v>
      </c>
      <c r="D167" s="1759" t="s">
        <v>1803</v>
      </c>
      <c r="E167" s="1729">
        <v>90</v>
      </c>
      <c r="F167" s="1760">
        <v>80</v>
      </c>
      <c r="G167" s="1993" t="s">
        <v>1804</v>
      </c>
      <c r="H167" s="1994">
        <v>120</v>
      </c>
      <c r="I167" s="1995">
        <v>105</v>
      </c>
      <c r="J167" s="1759" t="s">
        <v>1385</v>
      </c>
      <c r="K167" s="1729">
        <v>145</v>
      </c>
      <c r="L167" s="1760">
        <v>125</v>
      </c>
      <c r="M167" s="1759" t="s">
        <v>1386</v>
      </c>
      <c r="N167" s="1729">
        <v>155</v>
      </c>
      <c r="O167" s="1760">
        <v>135</v>
      </c>
      <c r="P167" s="1759" t="s">
        <v>1387</v>
      </c>
      <c r="Q167" s="1729">
        <v>165</v>
      </c>
      <c r="R167" s="1761">
        <v>140</v>
      </c>
      <c r="S167" s="1762">
        <v>85</v>
      </c>
      <c r="T167" s="1729">
        <v>85</v>
      </c>
      <c r="U167" s="1760">
        <v>85</v>
      </c>
      <c r="V167" s="1759">
        <v>70</v>
      </c>
      <c r="W167" s="1729">
        <v>70</v>
      </c>
      <c r="X167" s="1760">
        <v>70</v>
      </c>
      <c r="Y167" s="2009">
        <v>50</v>
      </c>
      <c r="Z167" s="2010">
        <v>55</v>
      </c>
      <c r="AA167" s="2011">
        <v>65</v>
      </c>
      <c r="AB167" s="1871" t="s">
        <v>1388</v>
      </c>
      <c r="AC167" s="1763" t="s">
        <v>1389</v>
      </c>
      <c r="AD167" s="1762">
        <v>120</v>
      </c>
      <c r="AE167" s="1729">
        <v>120</v>
      </c>
      <c r="AF167" s="1760">
        <v>120</v>
      </c>
      <c r="AG167" s="1759">
        <v>100</v>
      </c>
      <c r="AH167" s="1729">
        <v>100</v>
      </c>
      <c r="AI167" s="1760">
        <v>100</v>
      </c>
      <c r="AJ167" s="2009">
        <v>70</v>
      </c>
      <c r="AK167" s="2010">
        <v>80</v>
      </c>
      <c r="AL167" s="2011">
        <v>90</v>
      </c>
      <c r="AM167" s="1871" t="s">
        <v>1390</v>
      </c>
      <c r="AN167" s="1763" t="s">
        <v>1389</v>
      </c>
      <c r="AO167" s="156"/>
      <c r="AP167" s="156"/>
      <c r="AU167"/>
      <c r="AV167"/>
      <c r="AW167"/>
      <c r="AX167" s="394" t="s">
        <v>1886</v>
      </c>
      <c r="AY167" s="394">
        <v>60</v>
      </c>
      <c r="AZ167" s="394"/>
      <c r="BA167" s="1671" t="s">
        <v>2561</v>
      </c>
      <c r="BB167" s="394">
        <v>90</v>
      </c>
      <c r="BC167" s="394"/>
      <c r="BD167" s="1671" t="s">
        <v>2582</v>
      </c>
      <c r="BE167" s="394">
        <v>90</v>
      </c>
      <c r="BF167" s="394"/>
      <c r="BG167" s="1671" t="s">
        <v>2582</v>
      </c>
      <c r="BH167" s="3"/>
      <c r="BI167" s="3"/>
      <c r="BJ167" s="3"/>
      <c r="BK167" s="3"/>
      <c r="BL167" s="3"/>
      <c r="BM167" s="3"/>
      <c r="BN167" s="394"/>
      <c r="BO167" s="394"/>
      <c r="BP167" s="394"/>
      <c r="BQ167" s="394" t="s">
        <v>1886</v>
      </c>
      <c r="BR167" s="1591">
        <v>30</v>
      </c>
      <c r="BS167" s="1591">
        <v>45</v>
      </c>
      <c r="BT167" s="1591">
        <v>45</v>
      </c>
      <c r="BU167" s="394"/>
      <c r="BV167" s="394" t="s">
        <v>1886</v>
      </c>
      <c r="BW167" s="1589">
        <v>80</v>
      </c>
      <c r="BX167" s="1589">
        <v>120</v>
      </c>
      <c r="BY167" s="1589">
        <v>120</v>
      </c>
      <c r="CB167" s="428"/>
      <c r="CC167" s="428"/>
      <c r="CD167" s="428"/>
      <c r="CE167" s="1669"/>
      <c r="CF167" s="1620" t="str">
        <f>IFERROR(INDEX(N_Bedarf!$CE$2:$CE$304,_xlfn.AGGREGATE(15,6,(ROW(N_Bedarf!$CE$2:$CE$304)-1)/(--(SEARCH(CG$2,N_Bedarf!$CE$2:$CE$304)&gt;0)),ROW()-2),1),"")</f>
        <v/>
      </c>
      <c r="CG167" s="1620"/>
      <c r="CH167" s="1620" t="str">
        <f>IFERROR(INDEX(N_Bedarf!$CE$2:$CE$304,_xlfn.AGGREGATE(15,6,(ROW(N_Bedarf!$CE$2:$CE$304)-1)/(--(SEARCH(CI$2,N_Bedarf!$CE$2:$CE$304)&gt;0)),ROW()-2),1),"")</f>
        <v/>
      </c>
      <c r="CI167" s="1620"/>
      <c r="CJ167" s="1620" t="str">
        <f>IFERROR(INDEX(N_Bedarf!$CE$2:$CE$304,_xlfn.AGGREGATE(15,6,(ROW(N_Bedarf!$CE$2:$CE$304)-1)/(--(SEARCH(CK$2,N_Bedarf!$CE$2:$CE$304)&gt;0)),ROW()-2),1),"")</f>
        <v/>
      </c>
      <c r="CK167" s="1620"/>
      <c r="CL167" s="1620" t="str">
        <f>IFERROR(INDEX(N_Bedarf!$CE$2:$CE$304,_xlfn.AGGREGATE(15,6,(ROW(N_Bedarf!$CE$2:$CE$304)-1)/(--(SEARCH(CM$2,N_Bedarf!$CE$2:$CE$304)&gt;0)),ROW()-2),1),"")</f>
        <v/>
      </c>
      <c r="CM167" s="1620"/>
      <c r="CN167" s="1620" t="str">
        <f>IFERROR(INDEX(N_Bedarf!$CE$2:$CE$304,_xlfn.AGGREGATE(15,6,(ROW(N_Bedarf!$CE$2:$CE$304)-1)/(--(SEARCH(CO$2,N_Bedarf!$CE$2:$CE$304)&gt;0)),ROW()-2),1),"")</f>
        <v/>
      </c>
      <c r="CO167" s="1620"/>
      <c r="CP167" s="1620" t="str">
        <f>IFERROR(INDEX(N_Bedarf!$CE$2:$CE$304,_xlfn.AGGREGATE(15,6,(ROW(N_Bedarf!$CE$2:$CE$304)-1)/(--(SEARCH(CQ$2,N_Bedarf!$CE$2:$CE$304)&gt;0)),ROW()-2),1),"")</f>
        <v/>
      </c>
      <c r="CQ167" s="1620"/>
      <c r="CR167" s="1620" t="str">
        <f>IFERROR(INDEX(N_Bedarf!$CE$2:$CE$304,_xlfn.AGGREGATE(15,6,(ROW(N_Bedarf!$CE$2:$CE$304)-1)/(--(SEARCH(CS$2,N_Bedarf!$CE$2:$CE$304)&gt;0)),ROW()-2),1),"")</f>
        <v/>
      </c>
      <c r="CS167" s="1620"/>
      <c r="CT167" s="1620" t="str">
        <f>IFERROR(INDEX(N_Bedarf!$CE$2:$CE$304,_xlfn.AGGREGATE(15,6,(ROW(N_Bedarf!$CE$2:$CE$304)-1)/(--(SEARCH(CU$2,N_Bedarf!$CE$2:$CE$304)&gt;0)),ROW()-2),1),"")</f>
        <v/>
      </c>
      <c r="CU167" s="1620"/>
      <c r="CV167" s="1620" t="str">
        <f>IFERROR(INDEX(N_Bedarf!$CE$2:$CE$304,_xlfn.AGGREGATE(15,6,(ROW(N_Bedarf!$CE$2:$CE$304)-1)/(--(SEARCH(CW$2,N_Bedarf!$CE$2:$CE$304)&gt;0)),ROW()-2),1),"")</f>
        <v/>
      </c>
      <c r="CW167" s="1620"/>
      <c r="CX167" s="1620" t="str">
        <f>IFERROR(INDEX(N_Bedarf!$CE$2:$CE$304,_xlfn.AGGREGATE(15,6,(ROW(N_Bedarf!$CE$2:$CE$304)-1)/(--(SEARCH(CY$2,N_Bedarf!$CE$2:$CE$304)&gt;0)),ROW()-2),1),"")</f>
        <v/>
      </c>
      <c r="CY167" s="1620"/>
      <c r="CZ167" s="1620" t="str">
        <f>IFERROR(INDEX(N_Bedarf!$CE$2:$CE$304,_xlfn.AGGREGATE(15,6,(ROW(N_Bedarf!$CE$2:$CE$304)-1)/(--(SEARCH(DA$2,N_Bedarf!$CE$2:$CE$304)&gt;0)),ROW()-2),1),"")</f>
        <v/>
      </c>
      <c r="DA167" s="1620"/>
      <c r="DB167" s="1620" t="str">
        <f>IFERROR(INDEX(N_Bedarf!$CE$2:$CE$304,_xlfn.AGGREGATE(15,6,(ROW(N_Bedarf!$CE$2:$CE$304)-1)/(--(SEARCH(DC$2,N_Bedarf!$CE$2:$CE$304)&gt;0)),ROW()-2),1),"")</f>
        <v/>
      </c>
      <c r="DC167" s="1620"/>
      <c r="DD167" s="1620" t="str">
        <f>IFERROR(INDEX(N_Bedarf!$CE$2:$CE$304,_xlfn.AGGREGATE(15,6,(ROW(N_Bedarf!$CE$2:$CE$304)-1)/(--(SEARCH(DE$2,N_Bedarf!$CE$2:$CE$304)&gt;0)),ROW()-2),1),"")</f>
        <v/>
      </c>
      <c r="DE167" s="1620"/>
    </row>
    <row r="168" spans="1:153" ht="21.75" customHeight="1">
      <c r="A168" s="156"/>
      <c r="B168" s="156"/>
      <c r="C168" s="1758" t="s">
        <v>1734</v>
      </c>
      <c r="D168" s="1759" t="s">
        <v>1803</v>
      </c>
      <c r="E168" s="1729">
        <v>105</v>
      </c>
      <c r="F168" s="1760">
        <v>95</v>
      </c>
      <c r="G168" s="1993" t="s">
        <v>1804</v>
      </c>
      <c r="H168" s="1994">
        <v>145</v>
      </c>
      <c r="I168" s="1995">
        <v>130</v>
      </c>
      <c r="J168" s="1759" t="s">
        <v>1385</v>
      </c>
      <c r="K168" s="1729">
        <v>170</v>
      </c>
      <c r="L168" s="1760">
        <v>150</v>
      </c>
      <c r="M168" s="1759" t="s">
        <v>1386</v>
      </c>
      <c r="N168" s="1729">
        <v>180</v>
      </c>
      <c r="O168" s="1760">
        <v>160</v>
      </c>
      <c r="P168" s="1759" t="s">
        <v>1387</v>
      </c>
      <c r="Q168" s="1729">
        <v>195</v>
      </c>
      <c r="R168" s="1761">
        <v>175</v>
      </c>
      <c r="S168" s="1762">
        <v>85</v>
      </c>
      <c r="T168" s="1729">
        <v>85</v>
      </c>
      <c r="U168" s="1760">
        <v>85</v>
      </c>
      <c r="V168" s="1759">
        <v>70</v>
      </c>
      <c r="W168" s="1729">
        <v>70</v>
      </c>
      <c r="X168" s="1760">
        <v>70</v>
      </c>
      <c r="Y168" s="2009">
        <v>50</v>
      </c>
      <c r="Z168" s="2010">
        <v>55</v>
      </c>
      <c r="AA168" s="2011">
        <v>65</v>
      </c>
      <c r="AB168" s="1871" t="s">
        <v>1388</v>
      </c>
      <c r="AC168" s="1763" t="s">
        <v>1389</v>
      </c>
      <c r="AD168" s="1762">
        <v>120</v>
      </c>
      <c r="AE168" s="1729">
        <v>120</v>
      </c>
      <c r="AF168" s="1760">
        <v>120</v>
      </c>
      <c r="AG168" s="1759">
        <v>70</v>
      </c>
      <c r="AH168" s="1729">
        <v>70</v>
      </c>
      <c r="AI168" s="1760">
        <v>70</v>
      </c>
      <c r="AJ168" s="2009">
        <v>70</v>
      </c>
      <c r="AK168" s="2010">
        <v>80</v>
      </c>
      <c r="AL168" s="2011">
        <v>90</v>
      </c>
      <c r="AM168" s="1871" t="s">
        <v>1390</v>
      </c>
      <c r="AN168" s="1763" t="s">
        <v>1389</v>
      </c>
      <c r="AO168" s="156"/>
      <c r="AP168" s="156"/>
      <c r="AU168"/>
      <c r="AV168"/>
      <c r="AW168"/>
      <c r="AX168" s="394" t="s">
        <v>1888</v>
      </c>
      <c r="AY168" s="394">
        <v>120</v>
      </c>
      <c r="AZ168" s="394"/>
      <c r="BA168" s="1671" t="s">
        <v>2696</v>
      </c>
      <c r="BB168" s="394">
        <v>120</v>
      </c>
      <c r="BC168" s="394"/>
      <c r="BD168" s="1671" t="s">
        <v>2739</v>
      </c>
      <c r="BE168" s="394">
        <v>150</v>
      </c>
      <c r="BF168" s="394"/>
      <c r="BG168" s="1671" t="s">
        <v>2584</v>
      </c>
      <c r="BH168" s="3"/>
      <c r="BI168" s="3"/>
      <c r="BJ168" s="3"/>
      <c r="BK168" s="3"/>
      <c r="BL168" s="3"/>
      <c r="BM168" s="3"/>
      <c r="BN168" s="394"/>
      <c r="BO168" s="394"/>
      <c r="BP168" s="394"/>
      <c r="BQ168" s="394" t="s">
        <v>1888</v>
      </c>
      <c r="BR168" s="1591">
        <v>45</v>
      </c>
      <c r="BS168" s="1591">
        <v>65</v>
      </c>
      <c r="BT168" s="1591">
        <v>80</v>
      </c>
      <c r="BU168" s="394"/>
      <c r="BV168" s="394" t="s">
        <v>1888</v>
      </c>
      <c r="BW168" s="1589">
        <v>130</v>
      </c>
      <c r="BX168" s="1589">
        <v>170</v>
      </c>
      <c r="BY168" s="1589">
        <v>215</v>
      </c>
      <c r="CB168" s="428"/>
      <c r="CC168" s="428"/>
      <c r="CD168" s="428"/>
      <c r="CE168" s="1669"/>
      <c r="CF168" s="1620" t="str">
        <f>IFERROR(INDEX(N_Bedarf!$CE$2:$CE$304,_xlfn.AGGREGATE(15,6,(ROW(N_Bedarf!$CE$2:$CE$304)-1)/(--(SEARCH(CG$2,N_Bedarf!$CE$2:$CE$304)&gt;0)),ROW()-2),1),"")</f>
        <v/>
      </c>
      <c r="CG168" s="1620"/>
      <c r="CH168" s="1620" t="str">
        <f>IFERROR(INDEX(N_Bedarf!$CE$2:$CE$304,_xlfn.AGGREGATE(15,6,(ROW(N_Bedarf!$CE$2:$CE$304)-1)/(--(SEARCH(CI$2,N_Bedarf!$CE$2:$CE$304)&gt;0)),ROW()-2),1),"")</f>
        <v/>
      </c>
      <c r="CI168" s="1620"/>
      <c r="CJ168" s="1620" t="str">
        <f>IFERROR(INDEX(N_Bedarf!$CE$2:$CE$304,_xlfn.AGGREGATE(15,6,(ROW(N_Bedarf!$CE$2:$CE$304)-1)/(--(SEARCH(CK$2,N_Bedarf!$CE$2:$CE$304)&gt;0)),ROW()-2),1),"")</f>
        <v/>
      </c>
      <c r="CK168" s="1620"/>
      <c r="CL168" s="1620" t="str">
        <f>IFERROR(INDEX(N_Bedarf!$CE$2:$CE$304,_xlfn.AGGREGATE(15,6,(ROW(N_Bedarf!$CE$2:$CE$304)-1)/(--(SEARCH(CM$2,N_Bedarf!$CE$2:$CE$304)&gt;0)),ROW()-2),1),"")</f>
        <v/>
      </c>
      <c r="CM168" s="1620"/>
      <c r="CN168" s="1620" t="str">
        <f>IFERROR(INDEX(N_Bedarf!$CE$2:$CE$304,_xlfn.AGGREGATE(15,6,(ROW(N_Bedarf!$CE$2:$CE$304)-1)/(--(SEARCH(CO$2,N_Bedarf!$CE$2:$CE$304)&gt;0)),ROW()-2),1),"")</f>
        <v/>
      </c>
      <c r="CO168" s="1620"/>
      <c r="CP168" s="1620" t="str">
        <f>IFERROR(INDEX(N_Bedarf!$CE$2:$CE$304,_xlfn.AGGREGATE(15,6,(ROW(N_Bedarf!$CE$2:$CE$304)-1)/(--(SEARCH(CQ$2,N_Bedarf!$CE$2:$CE$304)&gt;0)),ROW()-2),1),"")</f>
        <v/>
      </c>
      <c r="CQ168" s="1620"/>
      <c r="CR168" s="1620" t="str">
        <f>IFERROR(INDEX(N_Bedarf!$CE$2:$CE$304,_xlfn.AGGREGATE(15,6,(ROW(N_Bedarf!$CE$2:$CE$304)-1)/(--(SEARCH(CS$2,N_Bedarf!$CE$2:$CE$304)&gt;0)),ROW()-2),1),"")</f>
        <v/>
      </c>
      <c r="CS168" s="1620"/>
      <c r="CT168" s="1620" t="str">
        <f>IFERROR(INDEX(N_Bedarf!$CE$2:$CE$304,_xlfn.AGGREGATE(15,6,(ROW(N_Bedarf!$CE$2:$CE$304)-1)/(--(SEARCH(CU$2,N_Bedarf!$CE$2:$CE$304)&gt;0)),ROW()-2),1),"")</f>
        <v/>
      </c>
      <c r="CU168" s="1620"/>
      <c r="CV168" s="1620" t="str">
        <f>IFERROR(INDEX(N_Bedarf!$CE$2:$CE$304,_xlfn.AGGREGATE(15,6,(ROW(N_Bedarf!$CE$2:$CE$304)-1)/(--(SEARCH(CW$2,N_Bedarf!$CE$2:$CE$304)&gt;0)),ROW()-2),1),"")</f>
        <v/>
      </c>
      <c r="CW168" s="1620"/>
      <c r="CX168" s="1620" t="str">
        <f>IFERROR(INDEX(N_Bedarf!$CE$2:$CE$304,_xlfn.AGGREGATE(15,6,(ROW(N_Bedarf!$CE$2:$CE$304)-1)/(--(SEARCH(CY$2,N_Bedarf!$CE$2:$CE$304)&gt;0)),ROW()-2),1),"")</f>
        <v/>
      </c>
      <c r="CY168" s="1620"/>
      <c r="CZ168" s="1620" t="str">
        <f>IFERROR(INDEX(N_Bedarf!$CE$2:$CE$304,_xlfn.AGGREGATE(15,6,(ROW(N_Bedarf!$CE$2:$CE$304)-1)/(--(SEARCH(DA$2,N_Bedarf!$CE$2:$CE$304)&gt;0)),ROW()-2),1),"")</f>
        <v/>
      </c>
      <c r="DA168" s="1620"/>
      <c r="DB168" s="1620" t="str">
        <f>IFERROR(INDEX(N_Bedarf!$CE$2:$CE$304,_xlfn.AGGREGATE(15,6,(ROW(N_Bedarf!$CE$2:$CE$304)-1)/(--(SEARCH(DC$2,N_Bedarf!$CE$2:$CE$304)&gt;0)),ROW()-2),1),"")</f>
        <v/>
      </c>
      <c r="DC168" s="1620"/>
      <c r="DD168" s="1620" t="str">
        <f>IFERROR(INDEX(N_Bedarf!$CE$2:$CE$304,_xlfn.AGGREGATE(15,6,(ROW(N_Bedarf!$CE$2:$CE$304)-1)/(--(SEARCH(DE$2,N_Bedarf!$CE$2:$CE$304)&gt;0)),ROW()-2),1),"")</f>
        <v/>
      </c>
      <c r="DE168" s="1620"/>
    </row>
    <row r="169" spans="1:153" ht="21.75" customHeight="1">
      <c r="A169" s="156"/>
      <c r="B169" s="156"/>
      <c r="C169" s="1758" t="s">
        <v>1826</v>
      </c>
      <c r="D169" s="1759" t="s">
        <v>585</v>
      </c>
      <c r="E169" s="1729">
        <v>105</v>
      </c>
      <c r="F169" s="1760">
        <v>95</v>
      </c>
      <c r="G169" s="1993" t="s">
        <v>1582</v>
      </c>
      <c r="H169" s="1994">
        <v>145</v>
      </c>
      <c r="I169" s="1995">
        <v>130</v>
      </c>
      <c r="J169" s="1759" t="s">
        <v>1391</v>
      </c>
      <c r="K169" s="1729">
        <v>170</v>
      </c>
      <c r="L169" s="1760">
        <v>150</v>
      </c>
      <c r="M169" s="1759" t="s">
        <v>1807</v>
      </c>
      <c r="N169" s="1729">
        <v>180</v>
      </c>
      <c r="O169" s="1760">
        <v>160</v>
      </c>
      <c r="P169" s="1759" t="s">
        <v>1404</v>
      </c>
      <c r="Q169" s="1729">
        <v>195</v>
      </c>
      <c r="R169" s="1761">
        <v>175</v>
      </c>
      <c r="S169" s="1762">
        <v>85</v>
      </c>
      <c r="T169" s="1729">
        <v>85</v>
      </c>
      <c r="U169" s="1760">
        <v>85</v>
      </c>
      <c r="V169" s="1759">
        <v>70</v>
      </c>
      <c r="W169" s="1729">
        <v>70</v>
      </c>
      <c r="X169" s="1760">
        <v>70</v>
      </c>
      <c r="Y169" s="2009">
        <v>50</v>
      </c>
      <c r="Z169" s="2010">
        <v>55</v>
      </c>
      <c r="AA169" s="2011">
        <v>65</v>
      </c>
      <c r="AB169" s="1871" t="s">
        <v>1388</v>
      </c>
      <c r="AC169" s="1763" t="s">
        <v>1389</v>
      </c>
      <c r="AD169" s="1762">
        <v>120</v>
      </c>
      <c r="AE169" s="1729">
        <v>120</v>
      </c>
      <c r="AF169" s="1760">
        <v>120</v>
      </c>
      <c r="AG169" s="1759">
        <v>70</v>
      </c>
      <c r="AH169" s="1729">
        <v>70</v>
      </c>
      <c r="AI169" s="1760">
        <v>70</v>
      </c>
      <c r="AJ169" s="2009">
        <v>70</v>
      </c>
      <c r="AK169" s="2010">
        <v>80</v>
      </c>
      <c r="AL169" s="2011">
        <v>90</v>
      </c>
      <c r="AM169" s="1871" t="s">
        <v>1390</v>
      </c>
      <c r="AN169" s="1763" t="s">
        <v>1389</v>
      </c>
      <c r="AO169" s="394"/>
      <c r="AP169" s="156"/>
      <c r="AU169"/>
      <c r="AV169"/>
      <c r="AW169"/>
      <c r="AX169" s="394" t="s">
        <v>1889</v>
      </c>
      <c r="AY169" s="394">
        <v>80</v>
      </c>
      <c r="AZ169" s="394"/>
      <c r="BA169" s="1671" t="s">
        <v>2696</v>
      </c>
      <c r="BB169" s="394">
        <v>100</v>
      </c>
      <c r="BC169" s="394"/>
      <c r="BD169" s="1671" t="s">
        <v>2739</v>
      </c>
      <c r="BE169" s="394">
        <v>120</v>
      </c>
      <c r="BF169" s="394"/>
      <c r="BG169" s="1671" t="s">
        <v>2584</v>
      </c>
      <c r="BH169" s="3"/>
      <c r="BI169" s="3"/>
      <c r="BJ169" s="3"/>
      <c r="BK169" s="3"/>
      <c r="BL169" s="3"/>
      <c r="BM169" s="3"/>
      <c r="BN169" s="394"/>
      <c r="BO169" s="394"/>
      <c r="BP169" s="394"/>
      <c r="BQ169" s="394" t="s">
        <v>1889</v>
      </c>
      <c r="BR169" s="1591">
        <v>45</v>
      </c>
      <c r="BS169" s="1591">
        <v>65</v>
      </c>
      <c r="BT169" s="1591">
        <v>80</v>
      </c>
      <c r="BU169" s="394"/>
      <c r="BV169" s="394" t="s">
        <v>1889</v>
      </c>
      <c r="BW169" s="1589">
        <v>130</v>
      </c>
      <c r="BX169" s="1589">
        <v>170</v>
      </c>
      <c r="BY169" s="1589">
        <v>215</v>
      </c>
      <c r="CB169" s="428"/>
      <c r="CC169" s="428"/>
      <c r="CD169" s="428"/>
      <c r="CE169" s="1669"/>
      <c r="CF169" s="1620" t="str">
        <f>IFERROR(INDEX(N_Bedarf!$CE$2:$CE$304,_xlfn.AGGREGATE(15,6,(ROW(N_Bedarf!$CE$2:$CE$304)-1)/(--(SEARCH(CG$2,N_Bedarf!$CE$2:$CE$304)&gt;0)),ROW()-2),1),"")</f>
        <v/>
      </c>
      <c r="CG169" s="1620"/>
      <c r="CH169" s="1620" t="str">
        <f>IFERROR(INDEX(N_Bedarf!$CE$2:$CE$304,_xlfn.AGGREGATE(15,6,(ROW(N_Bedarf!$CE$2:$CE$304)-1)/(--(SEARCH(CI$2,N_Bedarf!$CE$2:$CE$304)&gt;0)),ROW()-2),1),"")</f>
        <v/>
      </c>
      <c r="CI169" s="1620"/>
      <c r="CJ169" s="1620" t="str">
        <f>IFERROR(INDEX(N_Bedarf!$CE$2:$CE$304,_xlfn.AGGREGATE(15,6,(ROW(N_Bedarf!$CE$2:$CE$304)-1)/(--(SEARCH(CK$2,N_Bedarf!$CE$2:$CE$304)&gt;0)),ROW()-2),1),"")</f>
        <v/>
      </c>
      <c r="CK169" s="1620"/>
      <c r="CL169" s="1620" t="str">
        <f>IFERROR(INDEX(N_Bedarf!$CE$2:$CE$304,_xlfn.AGGREGATE(15,6,(ROW(N_Bedarf!$CE$2:$CE$304)-1)/(--(SEARCH(CM$2,N_Bedarf!$CE$2:$CE$304)&gt;0)),ROW()-2),1),"")</f>
        <v/>
      </c>
      <c r="CM169" s="1620"/>
      <c r="CN169" s="1620" t="str">
        <f>IFERROR(INDEX(N_Bedarf!$CE$2:$CE$304,_xlfn.AGGREGATE(15,6,(ROW(N_Bedarf!$CE$2:$CE$304)-1)/(--(SEARCH(CO$2,N_Bedarf!$CE$2:$CE$304)&gt;0)),ROW()-2),1),"")</f>
        <v/>
      </c>
      <c r="CO169" s="1620"/>
      <c r="CP169" s="1620" t="str">
        <f>IFERROR(INDEX(N_Bedarf!$CE$2:$CE$304,_xlfn.AGGREGATE(15,6,(ROW(N_Bedarf!$CE$2:$CE$304)-1)/(--(SEARCH(CQ$2,N_Bedarf!$CE$2:$CE$304)&gt;0)),ROW()-2),1),"")</f>
        <v/>
      </c>
      <c r="CQ169" s="1620"/>
      <c r="CR169" s="1620" t="str">
        <f>IFERROR(INDEX(N_Bedarf!$CE$2:$CE$304,_xlfn.AGGREGATE(15,6,(ROW(N_Bedarf!$CE$2:$CE$304)-1)/(--(SEARCH(CS$2,N_Bedarf!$CE$2:$CE$304)&gt;0)),ROW()-2),1),"")</f>
        <v/>
      </c>
      <c r="CS169" s="1620"/>
      <c r="CT169" s="1620" t="str">
        <f>IFERROR(INDEX(N_Bedarf!$CE$2:$CE$304,_xlfn.AGGREGATE(15,6,(ROW(N_Bedarf!$CE$2:$CE$304)-1)/(--(SEARCH(CU$2,N_Bedarf!$CE$2:$CE$304)&gt;0)),ROW()-2),1),"")</f>
        <v/>
      </c>
      <c r="CU169" s="1620"/>
      <c r="CV169" s="1620" t="str">
        <f>IFERROR(INDEX(N_Bedarf!$CE$2:$CE$304,_xlfn.AGGREGATE(15,6,(ROW(N_Bedarf!$CE$2:$CE$304)-1)/(--(SEARCH(CW$2,N_Bedarf!$CE$2:$CE$304)&gt;0)),ROW()-2),1),"")</f>
        <v/>
      </c>
      <c r="CW169" s="1620"/>
      <c r="CX169" s="1620" t="str">
        <f>IFERROR(INDEX(N_Bedarf!$CE$2:$CE$304,_xlfn.AGGREGATE(15,6,(ROW(N_Bedarf!$CE$2:$CE$304)-1)/(--(SEARCH(CY$2,N_Bedarf!$CE$2:$CE$304)&gt;0)),ROW()-2),1),"")</f>
        <v/>
      </c>
      <c r="CY169" s="1620"/>
      <c r="CZ169" s="1620" t="str">
        <f>IFERROR(INDEX(N_Bedarf!$CE$2:$CE$304,_xlfn.AGGREGATE(15,6,(ROW(N_Bedarf!$CE$2:$CE$304)-1)/(--(SEARCH(DA$2,N_Bedarf!$CE$2:$CE$304)&gt;0)),ROW()-2),1),"")</f>
        <v/>
      </c>
      <c r="DA169" s="1620"/>
      <c r="DB169" s="1620" t="str">
        <f>IFERROR(INDEX(N_Bedarf!$CE$2:$CE$304,_xlfn.AGGREGATE(15,6,(ROW(N_Bedarf!$CE$2:$CE$304)-1)/(--(SEARCH(DC$2,N_Bedarf!$CE$2:$CE$304)&gt;0)),ROW()-2),1),"")</f>
        <v/>
      </c>
      <c r="DC169" s="1620"/>
      <c r="DD169" s="1620" t="str">
        <f>IFERROR(INDEX(N_Bedarf!$CE$2:$CE$304,_xlfn.AGGREGATE(15,6,(ROW(N_Bedarf!$CE$2:$CE$304)-1)/(--(SEARCH(DE$2,N_Bedarf!$CE$2:$CE$304)&gt;0)),ROW()-2),1),"")</f>
        <v/>
      </c>
      <c r="DE169" s="1620"/>
    </row>
    <row r="170" spans="1:153" s="394" customFormat="1" ht="21" customHeight="1">
      <c r="C170" s="1758" t="s">
        <v>1735</v>
      </c>
      <c r="D170" s="1759" t="s">
        <v>1808</v>
      </c>
      <c r="E170" s="1729">
        <v>60</v>
      </c>
      <c r="F170" s="1760">
        <v>50</v>
      </c>
      <c r="G170" s="1993" t="s">
        <v>1809</v>
      </c>
      <c r="H170" s="1994">
        <v>60</v>
      </c>
      <c r="I170" s="1995">
        <v>50</v>
      </c>
      <c r="J170" s="1759" t="s">
        <v>1810</v>
      </c>
      <c r="K170" s="1729">
        <v>60</v>
      </c>
      <c r="L170" s="1760">
        <v>50</v>
      </c>
      <c r="M170" s="1759" t="s">
        <v>1811</v>
      </c>
      <c r="N170" s="1729">
        <v>60</v>
      </c>
      <c r="O170" s="1760">
        <v>50</v>
      </c>
      <c r="P170" s="1759" t="s">
        <v>1812</v>
      </c>
      <c r="Q170" s="1729">
        <v>60</v>
      </c>
      <c r="R170" s="1761">
        <v>50</v>
      </c>
      <c r="S170" s="1762">
        <v>100</v>
      </c>
      <c r="T170" s="1729">
        <v>100</v>
      </c>
      <c r="U170" s="1760">
        <v>100</v>
      </c>
      <c r="V170" s="1759">
        <v>80</v>
      </c>
      <c r="W170" s="1729">
        <v>80</v>
      </c>
      <c r="X170" s="1760">
        <v>80</v>
      </c>
      <c r="Y170" s="2009">
        <v>60</v>
      </c>
      <c r="Z170" s="2010">
        <v>65</v>
      </c>
      <c r="AA170" s="2011">
        <v>75</v>
      </c>
      <c r="AB170" s="1871" t="s">
        <v>1388</v>
      </c>
      <c r="AC170" s="1763" t="s">
        <v>1389</v>
      </c>
      <c r="AD170" s="1762">
        <v>150</v>
      </c>
      <c r="AE170" s="1729">
        <v>150</v>
      </c>
      <c r="AF170" s="1760">
        <v>150</v>
      </c>
      <c r="AG170" s="1759">
        <v>125</v>
      </c>
      <c r="AH170" s="1729">
        <v>125</v>
      </c>
      <c r="AI170" s="1760">
        <v>125</v>
      </c>
      <c r="AJ170" s="2009">
        <v>90</v>
      </c>
      <c r="AK170" s="2010">
        <v>100</v>
      </c>
      <c r="AL170" s="2011">
        <v>115</v>
      </c>
      <c r="AM170" s="1871" t="s">
        <v>1390</v>
      </c>
      <c r="AN170" s="1763" t="s">
        <v>1389</v>
      </c>
      <c r="AR170" s="156"/>
      <c r="AS170" s="156"/>
      <c r="AT170" s="156"/>
      <c r="AU170" s="395"/>
      <c r="AV170" s="395"/>
      <c r="AW170" s="395"/>
      <c r="AX170" s="394" t="s">
        <v>1890</v>
      </c>
      <c r="AY170" s="394">
        <v>160</v>
      </c>
      <c r="BA170" s="1671" t="s">
        <v>2697</v>
      </c>
      <c r="BB170" s="394">
        <v>160</v>
      </c>
      <c r="BD170" s="1671" t="s">
        <v>2697</v>
      </c>
      <c r="BE170" s="394">
        <v>200</v>
      </c>
      <c r="BG170" s="1671" t="s">
        <v>2585</v>
      </c>
      <c r="BH170" s="3"/>
      <c r="BI170" s="3"/>
      <c r="BJ170" s="3"/>
      <c r="BK170" s="3"/>
      <c r="BL170" s="3"/>
      <c r="BM170" s="3"/>
      <c r="BQ170" s="394" t="s">
        <v>1890</v>
      </c>
      <c r="BR170" s="1591">
        <v>80</v>
      </c>
      <c r="BS170" s="1591">
        <v>80</v>
      </c>
      <c r="BT170" s="1591">
        <v>90</v>
      </c>
      <c r="BV170" s="394" t="s">
        <v>1890</v>
      </c>
      <c r="BW170" s="1589">
        <v>205</v>
      </c>
      <c r="BX170" s="1589">
        <v>205</v>
      </c>
      <c r="BY170" s="1589">
        <v>260</v>
      </c>
      <c r="CB170" s="428"/>
      <c r="CC170" s="428"/>
      <c r="CD170" s="428"/>
      <c r="CE170" s="1669"/>
      <c r="CF170" s="1620" t="str">
        <f>IFERROR(INDEX(N_Bedarf!$CE$2:$CE$304,_xlfn.AGGREGATE(15,6,(ROW(N_Bedarf!$CE$2:$CE$304)-1)/(--(SEARCH(CG$2,N_Bedarf!$CE$2:$CE$304)&gt;0)),ROW()-2),1),"")</f>
        <v/>
      </c>
      <c r="CG170" s="1620"/>
      <c r="CH170" s="1620" t="str">
        <f>IFERROR(INDEX(N_Bedarf!$CE$2:$CE$304,_xlfn.AGGREGATE(15,6,(ROW(N_Bedarf!$CE$2:$CE$304)-1)/(--(SEARCH(CI$2,N_Bedarf!$CE$2:$CE$304)&gt;0)),ROW()-2),1),"")</f>
        <v/>
      </c>
      <c r="CI170" s="1620"/>
      <c r="CJ170" s="1620" t="str">
        <f>IFERROR(INDEX(N_Bedarf!$CE$2:$CE$304,_xlfn.AGGREGATE(15,6,(ROW(N_Bedarf!$CE$2:$CE$304)-1)/(--(SEARCH(CK$2,N_Bedarf!$CE$2:$CE$304)&gt;0)),ROW()-2),1),"")</f>
        <v/>
      </c>
      <c r="CK170" s="1620"/>
      <c r="CL170" s="1620" t="str">
        <f>IFERROR(INDEX(N_Bedarf!$CE$2:$CE$304,_xlfn.AGGREGATE(15,6,(ROW(N_Bedarf!$CE$2:$CE$304)-1)/(--(SEARCH(CM$2,N_Bedarf!$CE$2:$CE$304)&gt;0)),ROW()-2),1),"")</f>
        <v/>
      </c>
      <c r="CM170" s="1620"/>
      <c r="CN170" s="1620" t="str">
        <f>IFERROR(INDEX(N_Bedarf!$CE$2:$CE$304,_xlfn.AGGREGATE(15,6,(ROW(N_Bedarf!$CE$2:$CE$304)-1)/(--(SEARCH(CO$2,N_Bedarf!$CE$2:$CE$304)&gt;0)),ROW()-2),1),"")</f>
        <v/>
      </c>
      <c r="CO170" s="1620"/>
      <c r="CP170" s="1620" t="str">
        <f>IFERROR(INDEX(N_Bedarf!$CE$2:$CE$304,_xlfn.AGGREGATE(15,6,(ROW(N_Bedarf!$CE$2:$CE$304)-1)/(--(SEARCH(CQ$2,N_Bedarf!$CE$2:$CE$304)&gt;0)),ROW()-2),1),"")</f>
        <v/>
      </c>
      <c r="CQ170" s="1620"/>
      <c r="CR170" s="1620" t="str">
        <f>IFERROR(INDEX(N_Bedarf!$CE$2:$CE$304,_xlfn.AGGREGATE(15,6,(ROW(N_Bedarf!$CE$2:$CE$304)-1)/(--(SEARCH(CS$2,N_Bedarf!$CE$2:$CE$304)&gt;0)),ROW()-2),1),"")</f>
        <v/>
      </c>
      <c r="CS170" s="1620"/>
      <c r="CT170" s="1620" t="str">
        <f>IFERROR(INDEX(N_Bedarf!$CE$2:$CE$304,_xlfn.AGGREGATE(15,6,(ROW(N_Bedarf!$CE$2:$CE$304)-1)/(--(SEARCH(CU$2,N_Bedarf!$CE$2:$CE$304)&gt;0)),ROW()-2),1),"")</f>
        <v/>
      </c>
      <c r="CU170" s="1620"/>
      <c r="CV170" s="1620" t="str">
        <f>IFERROR(INDEX(N_Bedarf!$CE$2:$CE$304,_xlfn.AGGREGATE(15,6,(ROW(N_Bedarf!$CE$2:$CE$304)-1)/(--(SEARCH(CW$2,N_Bedarf!$CE$2:$CE$304)&gt;0)),ROW()-2),1),"")</f>
        <v/>
      </c>
      <c r="CW170" s="1620"/>
      <c r="CX170" s="1620" t="str">
        <f>IFERROR(INDEX(N_Bedarf!$CE$2:$CE$304,_xlfn.AGGREGATE(15,6,(ROW(N_Bedarf!$CE$2:$CE$304)-1)/(--(SEARCH(CY$2,N_Bedarf!$CE$2:$CE$304)&gt;0)),ROW()-2),1),"")</f>
        <v/>
      </c>
      <c r="CY170" s="1620"/>
      <c r="CZ170" s="1620" t="str">
        <f>IFERROR(INDEX(N_Bedarf!$CE$2:$CE$304,_xlfn.AGGREGATE(15,6,(ROW(N_Bedarf!$CE$2:$CE$304)-1)/(--(SEARCH(DA$2,N_Bedarf!$CE$2:$CE$304)&gt;0)),ROW()-2),1),"")</f>
        <v/>
      </c>
      <c r="DA170" s="1620"/>
      <c r="DB170" s="1620" t="str">
        <f>IFERROR(INDEX(N_Bedarf!$CE$2:$CE$304,_xlfn.AGGREGATE(15,6,(ROW(N_Bedarf!$CE$2:$CE$304)-1)/(--(SEARCH(DC$2,N_Bedarf!$CE$2:$CE$304)&gt;0)),ROW()-2),1),"")</f>
        <v/>
      </c>
      <c r="DC170" s="1620"/>
      <c r="DD170" s="1620" t="str">
        <f>IFERROR(INDEX(N_Bedarf!$CE$2:$CE$304,_xlfn.AGGREGATE(15,6,(ROW(N_Bedarf!$CE$2:$CE$304)-1)/(--(SEARCH(DE$2,N_Bedarf!$CE$2:$CE$304)&gt;0)),ROW()-2),1),"")</f>
        <v/>
      </c>
      <c r="DE170" s="1620"/>
      <c r="DF170" s="156"/>
      <c r="DG170" s="156"/>
      <c r="DH170" s="156"/>
      <c r="DI170" s="156"/>
      <c r="DJ170" s="156"/>
      <c r="DK170" s="156"/>
      <c r="DL170" s="156"/>
      <c r="DM170" s="156"/>
      <c r="DN170" s="156"/>
      <c r="DO170" s="156"/>
      <c r="DP170" s="156"/>
      <c r="DQ170" s="156"/>
      <c r="DR170" s="156"/>
      <c r="DS170" s="156"/>
      <c r="DT170" s="156"/>
      <c r="DU170" s="156"/>
      <c r="DV170" s="156"/>
      <c r="DW170" s="156"/>
      <c r="DX170" s="156"/>
      <c r="DY170" s="156"/>
      <c r="DZ170" s="156"/>
      <c r="EA170" s="156"/>
      <c r="EB170" s="156"/>
      <c r="EC170" s="156"/>
      <c r="ES170" s="768"/>
      <c r="ET170" s="768"/>
      <c r="EU170" s="768"/>
      <c r="EV170" s="768"/>
      <c r="EW170" s="768"/>
    </row>
    <row r="171" spans="1:153" s="394" customFormat="1" ht="21" customHeight="1">
      <c r="C171" s="1758" t="s">
        <v>1736</v>
      </c>
      <c r="D171" s="1759" t="s">
        <v>1827</v>
      </c>
      <c r="E171" s="1729">
        <v>110</v>
      </c>
      <c r="F171" s="1760">
        <v>95</v>
      </c>
      <c r="G171" s="1993" t="s">
        <v>1828</v>
      </c>
      <c r="H171" s="1994">
        <v>155</v>
      </c>
      <c r="I171" s="1995">
        <v>130</v>
      </c>
      <c r="J171" s="1759" t="s">
        <v>1829</v>
      </c>
      <c r="K171" s="1729">
        <v>180</v>
      </c>
      <c r="L171" s="1760">
        <v>155</v>
      </c>
      <c r="M171" s="1759" t="s">
        <v>1830</v>
      </c>
      <c r="N171" s="1729">
        <v>195</v>
      </c>
      <c r="O171" s="1760">
        <v>165</v>
      </c>
      <c r="P171" s="1759" t="s">
        <v>1831</v>
      </c>
      <c r="Q171" s="1729">
        <v>210</v>
      </c>
      <c r="R171" s="1761">
        <v>180</v>
      </c>
      <c r="S171" s="1762">
        <v>130</v>
      </c>
      <c r="T171" s="1729">
        <v>130</v>
      </c>
      <c r="U171" s="1760">
        <v>130</v>
      </c>
      <c r="V171" s="1759">
        <v>105</v>
      </c>
      <c r="W171" s="1729">
        <v>105</v>
      </c>
      <c r="X171" s="1760">
        <v>105</v>
      </c>
      <c r="Y171" s="2009">
        <v>75</v>
      </c>
      <c r="Z171" s="2010">
        <v>85</v>
      </c>
      <c r="AA171" s="2011">
        <v>100</v>
      </c>
      <c r="AB171" s="1871" t="s">
        <v>1388</v>
      </c>
      <c r="AC171" s="1763" t="s">
        <v>1389</v>
      </c>
      <c r="AD171" s="1762">
        <v>480</v>
      </c>
      <c r="AE171" s="1729">
        <v>480</v>
      </c>
      <c r="AF171" s="1760">
        <v>480</v>
      </c>
      <c r="AG171" s="1759">
        <v>400</v>
      </c>
      <c r="AH171" s="1729">
        <v>400</v>
      </c>
      <c r="AI171" s="1760">
        <v>400</v>
      </c>
      <c r="AJ171" s="2009">
        <v>290</v>
      </c>
      <c r="AK171" s="2010">
        <v>320</v>
      </c>
      <c r="AL171" s="2011">
        <v>370</v>
      </c>
      <c r="AM171" s="1871" t="s">
        <v>1390</v>
      </c>
      <c r="AN171" s="1763" t="s">
        <v>1389</v>
      </c>
      <c r="AR171" s="156"/>
      <c r="AS171" s="156"/>
      <c r="AT171" s="156"/>
      <c r="AU171" s="395"/>
      <c r="AV171" s="395"/>
      <c r="AW171" s="395"/>
      <c r="AX171" s="394" t="s">
        <v>1891</v>
      </c>
      <c r="AY171" s="394">
        <v>120</v>
      </c>
      <c r="BA171" s="1671" t="s">
        <v>2740</v>
      </c>
      <c r="BB171" s="394">
        <v>120</v>
      </c>
      <c r="BD171" s="1671" t="s">
        <v>2697</v>
      </c>
      <c r="BE171" s="394">
        <v>150</v>
      </c>
      <c r="BG171" s="1671" t="s">
        <v>2585</v>
      </c>
      <c r="BH171" s="3"/>
      <c r="BI171" s="3"/>
      <c r="BJ171" s="3"/>
      <c r="BK171" s="3"/>
      <c r="BL171" s="3"/>
      <c r="BM171" s="3"/>
      <c r="BQ171" s="394" t="s">
        <v>1891</v>
      </c>
      <c r="BR171" s="1591">
        <v>80</v>
      </c>
      <c r="BS171" s="1591">
        <v>80</v>
      </c>
      <c r="BT171" s="1591">
        <v>90</v>
      </c>
      <c r="BV171" s="394" t="s">
        <v>1891</v>
      </c>
      <c r="BW171" s="1589">
        <v>205</v>
      </c>
      <c r="BX171" s="1589">
        <v>205</v>
      </c>
      <c r="BY171" s="1589">
        <v>260</v>
      </c>
      <c r="CB171" s="428"/>
      <c r="CC171" s="428"/>
      <c r="CD171" s="428"/>
      <c r="CE171" s="1669"/>
      <c r="CF171" s="1620" t="str">
        <f>IFERROR(INDEX(N_Bedarf!$CE$2:$CE$304,_xlfn.AGGREGATE(15,6,(ROW(N_Bedarf!$CE$2:$CE$304)-1)/(--(SEARCH(CG$2,N_Bedarf!$CE$2:$CE$304)&gt;0)),ROW()-2),1),"")</f>
        <v/>
      </c>
      <c r="CG171" s="1620"/>
      <c r="CH171" s="1620" t="str">
        <f>IFERROR(INDEX(N_Bedarf!$CE$2:$CE$304,_xlfn.AGGREGATE(15,6,(ROW(N_Bedarf!$CE$2:$CE$304)-1)/(--(SEARCH(CI$2,N_Bedarf!$CE$2:$CE$304)&gt;0)),ROW()-2),1),"")</f>
        <v/>
      </c>
      <c r="CI171" s="1620"/>
      <c r="CJ171" s="1620" t="str">
        <f>IFERROR(INDEX(N_Bedarf!$CE$2:$CE$304,_xlfn.AGGREGATE(15,6,(ROW(N_Bedarf!$CE$2:$CE$304)-1)/(--(SEARCH(CK$2,N_Bedarf!$CE$2:$CE$304)&gt;0)),ROW()-2),1),"")</f>
        <v/>
      </c>
      <c r="CK171" s="1620"/>
      <c r="CL171" s="1620" t="str">
        <f>IFERROR(INDEX(N_Bedarf!$CE$2:$CE$304,_xlfn.AGGREGATE(15,6,(ROW(N_Bedarf!$CE$2:$CE$304)-1)/(--(SEARCH(CM$2,N_Bedarf!$CE$2:$CE$304)&gt;0)),ROW()-2),1),"")</f>
        <v/>
      </c>
      <c r="CM171" s="1620"/>
      <c r="CN171" s="1620" t="str">
        <f>IFERROR(INDEX(N_Bedarf!$CE$2:$CE$304,_xlfn.AGGREGATE(15,6,(ROW(N_Bedarf!$CE$2:$CE$304)-1)/(--(SEARCH(CO$2,N_Bedarf!$CE$2:$CE$304)&gt;0)),ROW()-2),1),"")</f>
        <v/>
      </c>
      <c r="CO171" s="1620"/>
      <c r="CP171" s="1620" t="str">
        <f>IFERROR(INDEX(N_Bedarf!$CE$2:$CE$304,_xlfn.AGGREGATE(15,6,(ROW(N_Bedarf!$CE$2:$CE$304)-1)/(--(SEARCH(CQ$2,N_Bedarf!$CE$2:$CE$304)&gt;0)),ROW()-2),1),"")</f>
        <v/>
      </c>
      <c r="CQ171" s="1620"/>
      <c r="CR171" s="1620" t="str">
        <f>IFERROR(INDEX(N_Bedarf!$CE$2:$CE$304,_xlfn.AGGREGATE(15,6,(ROW(N_Bedarf!$CE$2:$CE$304)-1)/(--(SEARCH(CS$2,N_Bedarf!$CE$2:$CE$304)&gt;0)),ROW()-2),1),"")</f>
        <v/>
      </c>
      <c r="CS171" s="1620"/>
      <c r="CT171" s="1620" t="str">
        <f>IFERROR(INDEX(N_Bedarf!$CE$2:$CE$304,_xlfn.AGGREGATE(15,6,(ROW(N_Bedarf!$CE$2:$CE$304)-1)/(--(SEARCH(CU$2,N_Bedarf!$CE$2:$CE$304)&gt;0)),ROW()-2),1),"")</f>
        <v/>
      </c>
      <c r="CU171" s="1620"/>
      <c r="CV171" s="1620" t="str">
        <f>IFERROR(INDEX(N_Bedarf!$CE$2:$CE$304,_xlfn.AGGREGATE(15,6,(ROW(N_Bedarf!$CE$2:$CE$304)-1)/(--(SEARCH(CW$2,N_Bedarf!$CE$2:$CE$304)&gt;0)),ROW()-2),1),"")</f>
        <v/>
      </c>
      <c r="CW171" s="1620"/>
      <c r="CX171" s="1620" t="str">
        <f>IFERROR(INDEX(N_Bedarf!$CE$2:$CE$304,_xlfn.AGGREGATE(15,6,(ROW(N_Bedarf!$CE$2:$CE$304)-1)/(--(SEARCH(CY$2,N_Bedarf!$CE$2:$CE$304)&gt;0)),ROW()-2),1),"")</f>
        <v/>
      </c>
      <c r="CY171" s="1620"/>
      <c r="CZ171" s="1620" t="str">
        <f>IFERROR(INDEX(N_Bedarf!$CE$2:$CE$304,_xlfn.AGGREGATE(15,6,(ROW(N_Bedarf!$CE$2:$CE$304)-1)/(--(SEARCH(DA$2,N_Bedarf!$CE$2:$CE$304)&gt;0)),ROW()-2),1),"")</f>
        <v/>
      </c>
      <c r="DA171" s="1620"/>
      <c r="DB171" s="1620" t="str">
        <f>IFERROR(INDEX(N_Bedarf!$CE$2:$CE$304,_xlfn.AGGREGATE(15,6,(ROW(N_Bedarf!$CE$2:$CE$304)-1)/(--(SEARCH(DC$2,N_Bedarf!$CE$2:$CE$304)&gt;0)),ROW()-2),1),"")</f>
        <v/>
      </c>
      <c r="DC171" s="1620"/>
      <c r="DD171" s="1620" t="str">
        <f>IFERROR(INDEX(N_Bedarf!$CE$2:$CE$304,_xlfn.AGGREGATE(15,6,(ROW(N_Bedarf!$CE$2:$CE$304)-1)/(--(SEARCH(DE$2,N_Bedarf!$CE$2:$CE$304)&gt;0)),ROW()-2),1),"")</f>
        <v/>
      </c>
      <c r="DE171" s="1620"/>
      <c r="ES171" s="768"/>
      <c r="ET171" s="768"/>
      <c r="EU171" s="768"/>
      <c r="EV171" s="768"/>
      <c r="EW171" s="768"/>
    </row>
    <row r="172" spans="1:153" s="394" customFormat="1" ht="21" customHeight="1">
      <c r="C172" s="1758" t="s">
        <v>1737</v>
      </c>
      <c r="D172" s="1759" t="s">
        <v>1832</v>
      </c>
      <c r="E172" s="1729">
        <v>130</v>
      </c>
      <c r="F172" s="1760">
        <v>110</v>
      </c>
      <c r="G172" s="1993" t="s">
        <v>1833</v>
      </c>
      <c r="H172" s="1994">
        <v>175</v>
      </c>
      <c r="I172" s="1995">
        <v>160</v>
      </c>
      <c r="J172" s="1759" t="s">
        <v>1834</v>
      </c>
      <c r="K172" s="1729">
        <v>210</v>
      </c>
      <c r="L172" s="1760">
        <v>190</v>
      </c>
      <c r="M172" s="1759" t="s">
        <v>1835</v>
      </c>
      <c r="N172" s="1729">
        <v>225</v>
      </c>
      <c r="O172" s="1760">
        <v>205</v>
      </c>
      <c r="P172" s="1759" t="s">
        <v>1836</v>
      </c>
      <c r="Q172" s="1729">
        <v>240</v>
      </c>
      <c r="R172" s="1761">
        <v>215</v>
      </c>
      <c r="S172" s="1762">
        <v>135</v>
      </c>
      <c r="T172" s="1729">
        <v>135</v>
      </c>
      <c r="U172" s="1760">
        <v>135</v>
      </c>
      <c r="V172" s="1759">
        <v>115</v>
      </c>
      <c r="W172" s="1729">
        <v>115</v>
      </c>
      <c r="X172" s="1760">
        <v>115</v>
      </c>
      <c r="Y172" s="2009">
        <v>80</v>
      </c>
      <c r="Z172" s="2010">
        <v>90</v>
      </c>
      <c r="AA172" s="2011">
        <v>105</v>
      </c>
      <c r="AB172" s="1871" t="s">
        <v>1388</v>
      </c>
      <c r="AC172" s="1763" t="s">
        <v>1389</v>
      </c>
      <c r="AD172" s="1762">
        <v>340</v>
      </c>
      <c r="AE172" s="1729">
        <v>340</v>
      </c>
      <c r="AF172" s="1760">
        <v>340</v>
      </c>
      <c r="AG172" s="1759">
        <v>280</v>
      </c>
      <c r="AH172" s="1729">
        <v>280</v>
      </c>
      <c r="AI172" s="1760">
        <v>280</v>
      </c>
      <c r="AJ172" s="2009">
        <v>205</v>
      </c>
      <c r="AK172" s="2010">
        <v>225</v>
      </c>
      <c r="AL172" s="2011">
        <v>260</v>
      </c>
      <c r="AM172" s="1871" t="s">
        <v>1390</v>
      </c>
      <c r="AN172" s="1763" t="s">
        <v>1389</v>
      </c>
      <c r="AR172" s="156"/>
      <c r="AS172" s="156"/>
      <c r="AT172" s="156"/>
      <c r="AU172" s="395"/>
      <c r="AV172" s="395"/>
      <c r="AW172" s="395"/>
      <c r="AX172" s="394" t="s">
        <v>1892</v>
      </c>
      <c r="AY172" s="394">
        <v>200</v>
      </c>
      <c r="BA172" s="1671" t="s">
        <v>2698</v>
      </c>
      <c r="BB172" s="394">
        <v>200</v>
      </c>
      <c r="BD172" s="1671" t="s">
        <v>2698</v>
      </c>
      <c r="BE172" s="394">
        <v>240</v>
      </c>
      <c r="BG172" s="1671" t="s">
        <v>2586</v>
      </c>
      <c r="BH172" s="3"/>
      <c r="BI172" s="3"/>
      <c r="BJ172" s="3"/>
      <c r="BK172" s="3"/>
      <c r="BL172" s="3"/>
      <c r="BM172" s="3"/>
      <c r="BQ172" s="394" t="s">
        <v>1892</v>
      </c>
      <c r="BR172" s="1591">
        <v>85</v>
      </c>
      <c r="BS172" s="1591">
        <v>85</v>
      </c>
      <c r="BT172" s="1591">
        <v>105</v>
      </c>
      <c r="BV172" s="394" t="s">
        <v>1892</v>
      </c>
      <c r="BW172" s="1589">
        <v>230</v>
      </c>
      <c r="BX172" s="1589">
        <v>230</v>
      </c>
      <c r="BY172" s="1589">
        <v>300</v>
      </c>
      <c r="CB172" s="428"/>
      <c r="CC172" s="428"/>
      <c r="CD172" s="428"/>
      <c r="CE172" s="1669"/>
      <c r="CF172" s="1620" t="str">
        <f>IFERROR(INDEX(N_Bedarf!$CE$2:$CE$304,_xlfn.AGGREGATE(15,6,(ROW(N_Bedarf!$CE$2:$CE$304)-1)/(--(SEARCH(CG$2,N_Bedarf!$CE$2:$CE$304)&gt;0)),ROW()-2),1),"")</f>
        <v/>
      </c>
      <c r="CG172" s="1620"/>
      <c r="CH172" s="1620" t="str">
        <f>IFERROR(INDEX(N_Bedarf!$CE$2:$CE$304,_xlfn.AGGREGATE(15,6,(ROW(N_Bedarf!$CE$2:$CE$304)-1)/(--(SEARCH(CI$2,N_Bedarf!$CE$2:$CE$304)&gt;0)),ROW()-2),1),"")</f>
        <v/>
      </c>
      <c r="CI172" s="1620"/>
      <c r="CJ172" s="1620" t="str">
        <f>IFERROR(INDEX(N_Bedarf!$CE$2:$CE$304,_xlfn.AGGREGATE(15,6,(ROW(N_Bedarf!$CE$2:$CE$304)-1)/(--(SEARCH(CK$2,N_Bedarf!$CE$2:$CE$304)&gt;0)),ROW()-2),1),"")</f>
        <v/>
      </c>
      <c r="CK172" s="1620"/>
      <c r="CL172" s="1620" t="str">
        <f>IFERROR(INDEX(N_Bedarf!$CE$2:$CE$304,_xlfn.AGGREGATE(15,6,(ROW(N_Bedarf!$CE$2:$CE$304)-1)/(--(SEARCH(CM$2,N_Bedarf!$CE$2:$CE$304)&gt;0)),ROW()-2),1),"")</f>
        <v/>
      </c>
      <c r="CM172" s="1620"/>
      <c r="CN172" s="1620" t="str">
        <f>IFERROR(INDEX(N_Bedarf!$CE$2:$CE$304,_xlfn.AGGREGATE(15,6,(ROW(N_Bedarf!$CE$2:$CE$304)-1)/(--(SEARCH(CO$2,N_Bedarf!$CE$2:$CE$304)&gt;0)),ROW()-2),1),"")</f>
        <v/>
      </c>
      <c r="CO172" s="1620"/>
      <c r="CP172" s="1620" t="str">
        <f>IFERROR(INDEX(N_Bedarf!$CE$2:$CE$304,_xlfn.AGGREGATE(15,6,(ROW(N_Bedarf!$CE$2:$CE$304)-1)/(--(SEARCH(CQ$2,N_Bedarf!$CE$2:$CE$304)&gt;0)),ROW()-2),1),"")</f>
        <v/>
      </c>
      <c r="CQ172" s="1620"/>
      <c r="CR172" s="1620" t="str">
        <f>IFERROR(INDEX(N_Bedarf!$CE$2:$CE$304,_xlfn.AGGREGATE(15,6,(ROW(N_Bedarf!$CE$2:$CE$304)-1)/(--(SEARCH(CS$2,N_Bedarf!$CE$2:$CE$304)&gt;0)),ROW()-2),1),"")</f>
        <v/>
      </c>
      <c r="CS172" s="1620"/>
      <c r="CT172" s="1620" t="str">
        <f>IFERROR(INDEX(N_Bedarf!$CE$2:$CE$304,_xlfn.AGGREGATE(15,6,(ROW(N_Bedarf!$CE$2:$CE$304)-1)/(--(SEARCH(CU$2,N_Bedarf!$CE$2:$CE$304)&gt;0)),ROW()-2),1),"")</f>
        <v/>
      </c>
      <c r="CU172" s="1620"/>
      <c r="CV172" s="1620" t="str">
        <f>IFERROR(INDEX(N_Bedarf!$CE$2:$CE$304,_xlfn.AGGREGATE(15,6,(ROW(N_Bedarf!$CE$2:$CE$304)-1)/(--(SEARCH(CW$2,N_Bedarf!$CE$2:$CE$304)&gt;0)),ROW()-2),1),"")</f>
        <v/>
      </c>
      <c r="CW172" s="1620"/>
      <c r="CX172" s="1620" t="str">
        <f>IFERROR(INDEX(N_Bedarf!$CE$2:$CE$304,_xlfn.AGGREGATE(15,6,(ROW(N_Bedarf!$CE$2:$CE$304)-1)/(--(SEARCH(CY$2,N_Bedarf!$CE$2:$CE$304)&gt;0)),ROW()-2),1),"")</f>
        <v/>
      </c>
      <c r="CY172" s="1620"/>
      <c r="CZ172" s="1620" t="str">
        <f>IFERROR(INDEX(N_Bedarf!$CE$2:$CE$304,_xlfn.AGGREGATE(15,6,(ROW(N_Bedarf!$CE$2:$CE$304)-1)/(--(SEARCH(DA$2,N_Bedarf!$CE$2:$CE$304)&gt;0)),ROW()-2),1),"")</f>
        <v/>
      </c>
      <c r="DA172" s="1620"/>
      <c r="DB172" s="1620" t="str">
        <f>IFERROR(INDEX(N_Bedarf!$CE$2:$CE$304,_xlfn.AGGREGATE(15,6,(ROW(N_Bedarf!$CE$2:$CE$304)-1)/(--(SEARCH(DC$2,N_Bedarf!$CE$2:$CE$304)&gt;0)),ROW()-2),1),"")</f>
        <v/>
      </c>
      <c r="DC172" s="1620"/>
      <c r="DD172" s="1620" t="str">
        <f>IFERROR(INDEX(N_Bedarf!$CE$2:$CE$304,_xlfn.AGGREGATE(15,6,(ROW(N_Bedarf!$CE$2:$CE$304)-1)/(--(SEARCH(DE$2,N_Bedarf!$CE$2:$CE$304)&gt;0)),ROW()-2),1),"")</f>
        <v/>
      </c>
      <c r="DE172" s="1620"/>
      <c r="ES172" s="768"/>
      <c r="ET172" s="768"/>
      <c r="EU172" s="768"/>
      <c r="EV172" s="768"/>
      <c r="EW172" s="768"/>
    </row>
    <row r="173" spans="1:153" s="394" customFormat="1" ht="21" customHeight="1">
      <c r="C173" s="1758" t="s">
        <v>1738</v>
      </c>
      <c r="D173" s="1759" t="s">
        <v>1827</v>
      </c>
      <c r="E173" s="1729">
        <v>130</v>
      </c>
      <c r="F173" s="1760">
        <v>110</v>
      </c>
      <c r="G173" s="1993" t="s">
        <v>1837</v>
      </c>
      <c r="H173" s="1994">
        <v>175</v>
      </c>
      <c r="I173" s="1995">
        <v>160</v>
      </c>
      <c r="J173" s="1759" t="s">
        <v>1838</v>
      </c>
      <c r="K173" s="1729">
        <v>210</v>
      </c>
      <c r="L173" s="1760">
        <v>190</v>
      </c>
      <c r="M173" s="1759" t="s">
        <v>1839</v>
      </c>
      <c r="N173" s="1729">
        <v>225</v>
      </c>
      <c r="O173" s="1760">
        <v>205</v>
      </c>
      <c r="P173" s="1759" t="s">
        <v>1840</v>
      </c>
      <c r="Q173" s="1729">
        <v>240</v>
      </c>
      <c r="R173" s="1761">
        <v>215</v>
      </c>
      <c r="S173" s="1762">
        <v>135</v>
      </c>
      <c r="T173" s="1729">
        <v>135</v>
      </c>
      <c r="U173" s="1760">
        <v>135</v>
      </c>
      <c r="V173" s="1759">
        <v>115</v>
      </c>
      <c r="W173" s="1729">
        <v>115</v>
      </c>
      <c r="X173" s="1760">
        <v>115</v>
      </c>
      <c r="Y173" s="2009">
        <v>80</v>
      </c>
      <c r="Z173" s="2010">
        <v>90</v>
      </c>
      <c r="AA173" s="2011">
        <v>105</v>
      </c>
      <c r="AB173" s="1871" t="s">
        <v>1388</v>
      </c>
      <c r="AC173" s="1763" t="s">
        <v>1389</v>
      </c>
      <c r="AD173" s="1762">
        <v>340</v>
      </c>
      <c r="AE173" s="1729">
        <v>340</v>
      </c>
      <c r="AF173" s="1760">
        <v>340</v>
      </c>
      <c r="AG173" s="1759">
        <v>280</v>
      </c>
      <c r="AH173" s="1729">
        <v>280</v>
      </c>
      <c r="AI173" s="1760">
        <v>280</v>
      </c>
      <c r="AJ173" s="2009">
        <v>205</v>
      </c>
      <c r="AK173" s="2010">
        <v>225</v>
      </c>
      <c r="AL173" s="2011">
        <v>260</v>
      </c>
      <c r="AM173" s="1871" t="s">
        <v>1390</v>
      </c>
      <c r="AN173" s="1763" t="s">
        <v>1389</v>
      </c>
      <c r="AR173" s="156"/>
      <c r="AS173" s="156"/>
      <c r="AT173" s="156"/>
      <c r="AU173" s="395"/>
      <c r="AV173" s="395"/>
      <c r="AW173" s="395"/>
      <c r="AX173" s="394" t="s">
        <v>1894</v>
      </c>
      <c r="AY173" s="394">
        <v>200</v>
      </c>
      <c r="BA173" s="1671" t="s">
        <v>2698</v>
      </c>
      <c r="BB173" s="394">
        <v>200</v>
      </c>
      <c r="BD173" s="1671" t="s">
        <v>2698</v>
      </c>
      <c r="BE173" s="394">
        <v>240</v>
      </c>
      <c r="BG173" s="1671" t="s">
        <v>2586</v>
      </c>
      <c r="BH173" s="3"/>
      <c r="BI173" s="3"/>
      <c r="BJ173" s="3"/>
      <c r="BK173" s="3"/>
      <c r="BL173" s="3"/>
      <c r="BM173" s="3"/>
      <c r="BQ173" s="394" t="s">
        <v>1894</v>
      </c>
      <c r="BR173" s="1591">
        <v>85</v>
      </c>
      <c r="BS173" s="1591">
        <v>85</v>
      </c>
      <c r="BT173" s="1591">
        <v>105</v>
      </c>
      <c r="BV173" s="394" t="s">
        <v>1894</v>
      </c>
      <c r="BW173" s="1589">
        <v>230</v>
      </c>
      <c r="BX173" s="1589">
        <v>230</v>
      </c>
      <c r="BY173" s="1589">
        <v>300</v>
      </c>
      <c r="CB173" s="428"/>
      <c r="CC173" s="428"/>
      <c r="CD173" s="428"/>
      <c r="CE173" s="1669"/>
      <c r="CF173" s="1620" t="str">
        <f>IFERROR(INDEX(N_Bedarf!$CE$2:$CE$304,_xlfn.AGGREGATE(15,6,(ROW(N_Bedarf!$CE$2:$CE$304)-1)/(--(SEARCH(CG$2,N_Bedarf!$CE$2:$CE$304)&gt;0)),ROW()-2),1),"")</f>
        <v/>
      </c>
      <c r="CG173" s="1620"/>
      <c r="CH173" s="1620" t="str">
        <f>IFERROR(INDEX(N_Bedarf!$CE$2:$CE$304,_xlfn.AGGREGATE(15,6,(ROW(N_Bedarf!$CE$2:$CE$304)-1)/(--(SEARCH(CI$2,N_Bedarf!$CE$2:$CE$304)&gt;0)),ROW()-2),1),"")</f>
        <v/>
      </c>
      <c r="CI173" s="1620"/>
      <c r="CJ173" s="1620" t="str">
        <f>IFERROR(INDEX(N_Bedarf!$CE$2:$CE$304,_xlfn.AGGREGATE(15,6,(ROW(N_Bedarf!$CE$2:$CE$304)-1)/(--(SEARCH(CK$2,N_Bedarf!$CE$2:$CE$304)&gt;0)),ROW()-2),1),"")</f>
        <v/>
      </c>
      <c r="CK173" s="1620"/>
      <c r="CL173" s="1620" t="str">
        <f>IFERROR(INDEX(N_Bedarf!$CE$2:$CE$304,_xlfn.AGGREGATE(15,6,(ROW(N_Bedarf!$CE$2:$CE$304)-1)/(--(SEARCH(CM$2,N_Bedarf!$CE$2:$CE$304)&gt;0)),ROW()-2),1),"")</f>
        <v/>
      </c>
      <c r="CM173" s="1620"/>
      <c r="CN173" s="1620" t="str">
        <f>IFERROR(INDEX(N_Bedarf!$CE$2:$CE$304,_xlfn.AGGREGATE(15,6,(ROW(N_Bedarf!$CE$2:$CE$304)-1)/(--(SEARCH(CO$2,N_Bedarf!$CE$2:$CE$304)&gt;0)),ROW()-2),1),"")</f>
        <v/>
      </c>
      <c r="CO173" s="1620"/>
      <c r="CP173" s="1620" t="str">
        <f>IFERROR(INDEX(N_Bedarf!$CE$2:$CE$304,_xlfn.AGGREGATE(15,6,(ROW(N_Bedarf!$CE$2:$CE$304)-1)/(--(SEARCH(CQ$2,N_Bedarf!$CE$2:$CE$304)&gt;0)),ROW()-2),1),"")</f>
        <v/>
      </c>
      <c r="CQ173" s="1620"/>
      <c r="CR173" s="1620" t="str">
        <f>IFERROR(INDEX(N_Bedarf!$CE$2:$CE$304,_xlfn.AGGREGATE(15,6,(ROW(N_Bedarf!$CE$2:$CE$304)-1)/(--(SEARCH(CS$2,N_Bedarf!$CE$2:$CE$304)&gt;0)),ROW()-2),1),"")</f>
        <v/>
      </c>
      <c r="CS173" s="1620"/>
      <c r="CT173" s="1620" t="str">
        <f>IFERROR(INDEX(N_Bedarf!$CE$2:$CE$304,_xlfn.AGGREGATE(15,6,(ROW(N_Bedarf!$CE$2:$CE$304)-1)/(--(SEARCH(CU$2,N_Bedarf!$CE$2:$CE$304)&gt;0)),ROW()-2),1),"")</f>
        <v/>
      </c>
      <c r="CU173" s="1620"/>
      <c r="CV173" s="1620" t="str">
        <f>IFERROR(INDEX(N_Bedarf!$CE$2:$CE$304,_xlfn.AGGREGATE(15,6,(ROW(N_Bedarf!$CE$2:$CE$304)-1)/(--(SEARCH(CW$2,N_Bedarf!$CE$2:$CE$304)&gt;0)),ROW()-2),1),"")</f>
        <v/>
      </c>
      <c r="CW173" s="1620"/>
      <c r="CX173" s="1620" t="str">
        <f>IFERROR(INDEX(N_Bedarf!$CE$2:$CE$304,_xlfn.AGGREGATE(15,6,(ROW(N_Bedarf!$CE$2:$CE$304)-1)/(--(SEARCH(CY$2,N_Bedarf!$CE$2:$CE$304)&gt;0)),ROW()-2),1),"")</f>
        <v/>
      </c>
      <c r="CY173" s="1620"/>
      <c r="CZ173" s="1620" t="str">
        <f>IFERROR(INDEX(N_Bedarf!$CE$2:$CE$304,_xlfn.AGGREGATE(15,6,(ROW(N_Bedarf!$CE$2:$CE$304)-1)/(--(SEARCH(DA$2,N_Bedarf!$CE$2:$CE$304)&gt;0)),ROW()-2),1),"")</f>
        <v/>
      </c>
      <c r="DA173" s="1620"/>
      <c r="DB173" s="1620" t="str">
        <f>IFERROR(INDEX(N_Bedarf!$CE$2:$CE$304,_xlfn.AGGREGATE(15,6,(ROW(N_Bedarf!$CE$2:$CE$304)-1)/(--(SEARCH(DC$2,N_Bedarf!$CE$2:$CE$304)&gt;0)),ROW()-2),1),"")</f>
        <v/>
      </c>
      <c r="DC173" s="1620"/>
      <c r="DD173" s="1620" t="str">
        <f>IFERROR(INDEX(N_Bedarf!$CE$2:$CE$304,_xlfn.AGGREGATE(15,6,(ROW(N_Bedarf!$CE$2:$CE$304)-1)/(--(SEARCH(DE$2,N_Bedarf!$CE$2:$CE$304)&gt;0)),ROW()-2),1),"")</f>
        <v/>
      </c>
      <c r="DE173" s="1620"/>
      <c r="ES173" s="768"/>
      <c r="ET173" s="768"/>
      <c r="EU173" s="768"/>
      <c r="EV173" s="768"/>
      <c r="EW173" s="768"/>
    </row>
    <row r="174" spans="1:153" s="394" customFormat="1" ht="21" customHeight="1">
      <c r="C174" s="1758" t="s">
        <v>1739</v>
      </c>
      <c r="D174" s="1759" t="s">
        <v>590</v>
      </c>
      <c r="E174" s="1729">
        <v>110</v>
      </c>
      <c r="F174" s="1760">
        <v>100</v>
      </c>
      <c r="G174" s="1993" t="s">
        <v>1841</v>
      </c>
      <c r="H174" s="1994">
        <v>155</v>
      </c>
      <c r="I174" s="1995">
        <v>140</v>
      </c>
      <c r="J174" s="1759" t="s">
        <v>1842</v>
      </c>
      <c r="K174" s="1729">
        <v>180</v>
      </c>
      <c r="L174" s="1760">
        <v>160</v>
      </c>
      <c r="M174" s="1759" t="s">
        <v>1843</v>
      </c>
      <c r="N174" s="1729">
        <v>195</v>
      </c>
      <c r="O174" s="1760">
        <v>175</v>
      </c>
      <c r="P174" s="1759" t="s">
        <v>1844</v>
      </c>
      <c r="Q174" s="1729">
        <v>210</v>
      </c>
      <c r="R174" s="1761">
        <v>190</v>
      </c>
      <c r="S174" s="1762">
        <v>130</v>
      </c>
      <c r="T174" s="1729">
        <v>130</v>
      </c>
      <c r="U174" s="1760">
        <v>130</v>
      </c>
      <c r="V174" s="1759">
        <v>105</v>
      </c>
      <c r="W174" s="1729">
        <v>105</v>
      </c>
      <c r="X174" s="1760">
        <v>105</v>
      </c>
      <c r="Y174" s="2009">
        <v>75</v>
      </c>
      <c r="Z174" s="2010">
        <v>85</v>
      </c>
      <c r="AA174" s="2011">
        <v>100</v>
      </c>
      <c r="AB174" s="1871" t="s">
        <v>1388</v>
      </c>
      <c r="AC174" s="1763" t="s">
        <v>1389</v>
      </c>
      <c r="AD174" s="1762">
        <v>300</v>
      </c>
      <c r="AE174" s="1729">
        <v>300</v>
      </c>
      <c r="AF174" s="1760">
        <v>300</v>
      </c>
      <c r="AG174" s="1759">
        <v>250</v>
      </c>
      <c r="AH174" s="1729">
        <v>250</v>
      </c>
      <c r="AI174" s="1760">
        <v>250</v>
      </c>
      <c r="AJ174" s="2009">
        <v>180</v>
      </c>
      <c r="AK174" s="2010">
        <v>200</v>
      </c>
      <c r="AL174" s="2011">
        <v>230</v>
      </c>
      <c r="AM174" s="1871" t="s">
        <v>1390</v>
      </c>
      <c r="AN174" s="1763" t="s">
        <v>1389</v>
      </c>
      <c r="AR174" s="156"/>
      <c r="AS174" s="156"/>
      <c r="AT174" s="156"/>
      <c r="AU174" s="395"/>
      <c r="AV174" s="395"/>
      <c r="AW174" s="395"/>
      <c r="AX174" s="394" t="s">
        <v>1895</v>
      </c>
      <c r="AY174" s="394">
        <v>270</v>
      </c>
      <c r="BA174" s="1671" t="s">
        <v>2587</v>
      </c>
      <c r="BB174" s="394">
        <v>270</v>
      </c>
      <c r="BD174" s="1671" t="s">
        <v>2587</v>
      </c>
      <c r="BE174" s="394">
        <v>270</v>
      </c>
      <c r="BG174" s="1671" t="s">
        <v>2587</v>
      </c>
      <c r="BH174" s="3"/>
      <c r="BI174" s="3"/>
      <c r="BJ174" s="3"/>
      <c r="BK174" s="3"/>
      <c r="BL174" s="3"/>
      <c r="BM174" s="3"/>
      <c r="BQ174" s="394" t="s">
        <v>1895</v>
      </c>
      <c r="BR174" s="1591">
        <v>120</v>
      </c>
      <c r="BS174" s="1591">
        <v>120</v>
      </c>
      <c r="BT174" s="1591">
        <v>120</v>
      </c>
      <c r="BV174" s="394" t="s">
        <v>1895</v>
      </c>
      <c r="BW174" s="1589">
        <v>340</v>
      </c>
      <c r="BX174" s="1589">
        <v>340</v>
      </c>
      <c r="BY174" s="1589">
        <v>340</v>
      </c>
      <c r="CB174" s="428"/>
      <c r="CC174" s="428"/>
      <c r="CD174" s="428"/>
      <c r="CE174" s="1669"/>
      <c r="CF174" s="1620" t="str">
        <f>IFERROR(INDEX(N_Bedarf!$CE$2:$CE$304,_xlfn.AGGREGATE(15,6,(ROW(N_Bedarf!$CE$2:$CE$304)-1)/(--(SEARCH(CG$2,N_Bedarf!$CE$2:$CE$304)&gt;0)),ROW()-2),1),"")</f>
        <v/>
      </c>
      <c r="CG174" s="1620"/>
      <c r="CH174" s="1620" t="str">
        <f>IFERROR(INDEX(N_Bedarf!$CE$2:$CE$304,_xlfn.AGGREGATE(15,6,(ROW(N_Bedarf!$CE$2:$CE$304)-1)/(--(SEARCH(CI$2,N_Bedarf!$CE$2:$CE$304)&gt;0)),ROW()-2),1),"")</f>
        <v/>
      </c>
      <c r="CI174" s="1620"/>
      <c r="CJ174" s="1620" t="str">
        <f>IFERROR(INDEX(N_Bedarf!$CE$2:$CE$304,_xlfn.AGGREGATE(15,6,(ROW(N_Bedarf!$CE$2:$CE$304)-1)/(--(SEARCH(CK$2,N_Bedarf!$CE$2:$CE$304)&gt;0)),ROW()-2),1),"")</f>
        <v/>
      </c>
      <c r="CK174" s="1620"/>
      <c r="CL174" s="1620" t="str">
        <f>IFERROR(INDEX(N_Bedarf!$CE$2:$CE$304,_xlfn.AGGREGATE(15,6,(ROW(N_Bedarf!$CE$2:$CE$304)-1)/(--(SEARCH(CM$2,N_Bedarf!$CE$2:$CE$304)&gt;0)),ROW()-2),1),"")</f>
        <v/>
      </c>
      <c r="CM174" s="1620"/>
      <c r="CN174" s="1620" t="str">
        <f>IFERROR(INDEX(N_Bedarf!$CE$2:$CE$304,_xlfn.AGGREGATE(15,6,(ROW(N_Bedarf!$CE$2:$CE$304)-1)/(--(SEARCH(CO$2,N_Bedarf!$CE$2:$CE$304)&gt;0)),ROW()-2),1),"")</f>
        <v/>
      </c>
      <c r="CO174" s="1620"/>
      <c r="CP174" s="1620" t="str">
        <f>IFERROR(INDEX(N_Bedarf!$CE$2:$CE$304,_xlfn.AGGREGATE(15,6,(ROW(N_Bedarf!$CE$2:$CE$304)-1)/(--(SEARCH(CQ$2,N_Bedarf!$CE$2:$CE$304)&gt;0)),ROW()-2),1),"")</f>
        <v/>
      </c>
      <c r="CQ174" s="1620"/>
      <c r="CR174" s="1620" t="str">
        <f>IFERROR(INDEX(N_Bedarf!$CE$2:$CE$304,_xlfn.AGGREGATE(15,6,(ROW(N_Bedarf!$CE$2:$CE$304)-1)/(--(SEARCH(CS$2,N_Bedarf!$CE$2:$CE$304)&gt;0)),ROW()-2),1),"")</f>
        <v/>
      </c>
      <c r="CS174" s="1620"/>
      <c r="CT174" s="1620" t="str">
        <f>IFERROR(INDEX(N_Bedarf!$CE$2:$CE$304,_xlfn.AGGREGATE(15,6,(ROW(N_Bedarf!$CE$2:$CE$304)-1)/(--(SEARCH(CU$2,N_Bedarf!$CE$2:$CE$304)&gt;0)),ROW()-2),1),"")</f>
        <v/>
      </c>
      <c r="CU174" s="1620"/>
      <c r="CV174" s="1620" t="str">
        <f>IFERROR(INDEX(N_Bedarf!$CE$2:$CE$304,_xlfn.AGGREGATE(15,6,(ROW(N_Bedarf!$CE$2:$CE$304)-1)/(--(SEARCH(CW$2,N_Bedarf!$CE$2:$CE$304)&gt;0)),ROW()-2),1),"")</f>
        <v/>
      </c>
      <c r="CW174" s="1620"/>
      <c r="CX174" s="1620" t="str">
        <f>IFERROR(INDEX(N_Bedarf!$CE$2:$CE$304,_xlfn.AGGREGATE(15,6,(ROW(N_Bedarf!$CE$2:$CE$304)-1)/(--(SEARCH(CY$2,N_Bedarf!$CE$2:$CE$304)&gt;0)),ROW()-2),1),"")</f>
        <v/>
      </c>
      <c r="CY174" s="1620"/>
      <c r="CZ174" s="1620" t="str">
        <f>IFERROR(INDEX(N_Bedarf!$CE$2:$CE$304,_xlfn.AGGREGATE(15,6,(ROW(N_Bedarf!$CE$2:$CE$304)-1)/(--(SEARCH(DA$2,N_Bedarf!$CE$2:$CE$304)&gt;0)),ROW()-2),1),"")</f>
        <v/>
      </c>
      <c r="DA174" s="1620"/>
      <c r="DB174" s="1620" t="str">
        <f>IFERROR(INDEX(N_Bedarf!$CE$2:$CE$304,_xlfn.AGGREGATE(15,6,(ROW(N_Bedarf!$CE$2:$CE$304)-1)/(--(SEARCH(DC$2,N_Bedarf!$CE$2:$CE$304)&gt;0)),ROW()-2),1),"")</f>
        <v/>
      </c>
      <c r="DC174" s="1620"/>
      <c r="DD174" s="1620" t="str">
        <f>IFERROR(INDEX(N_Bedarf!$CE$2:$CE$304,_xlfn.AGGREGATE(15,6,(ROW(N_Bedarf!$CE$2:$CE$304)-1)/(--(SEARCH(DE$2,N_Bedarf!$CE$2:$CE$304)&gt;0)),ROW()-2),1),"")</f>
        <v/>
      </c>
      <c r="DE174" s="1620"/>
      <c r="ES174" s="768"/>
      <c r="ET174" s="768"/>
      <c r="EU174" s="768"/>
      <c r="EV174" s="768"/>
      <c r="EW174" s="768"/>
    </row>
    <row r="175" spans="1:153" s="394" customFormat="1" ht="21" customHeight="1">
      <c r="C175" s="1758" t="s">
        <v>1740</v>
      </c>
      <c r="D175" s="1759" t="s">
        <v>1845</v>
      </c>
      <c r="E175" s="1729">
        <v>110</v>
      </c>
      <c r="F175" s="1760">
        <v>100</v>
      </c>
      <c r="G175" s="1993" t="s">
        <v>1846</v>
      </c>
      <c r="H175" s="1994">
        <v>155</v>
      </c>
      <c r="I175" s="1995">
        <v>140</v>
      </c>
      <c r="J175" s="1759" t="s">
        <v>1847</v>
      </c>
      <c r="K175" s="1729">
        <v>180</v>
      </c>
      <c r="L175" s="1760">
        <v>160</v>
      </c>
      <c r="M175" s="1759" t="s">
        <v>1848</v>
      </c>
      <c r="N175" s="1729">
        <v>195</v>
      </c>
      <c r="O175" s="1760">
        <v>175</v>
      </c>
      <c r="P175" s="1759" t="s">
        <v>1849</v>
      </c>
      <c r="Q175" s="1729">
        <v>210</v>
      </c>
      <c r="R175" s="1761">
        <v>190</v>
      </c>
      <c r="S175" s="1762">
        <v>130</v>
      </c>
      <c r="T175" s="1729">
        <v>130</v>
      </c>
      <c r="U175" s="1760">
        <v>130</v>
      </c>
      <c r="V175" s="1759">
        <v>105</v>
      </c>
      <c r="W175" s="1729">
        <v>105</v>
      </c>
      <c r="X175" s="1760">
        <v>105</v>
      </c>
      <c r="Y175" s="2009">
        <v>75</v>
      </c>
      <c r="Z175" s="2010">
        <v>85</v>
      </c>
      <c r="AA175" s="2011">
        <v>100</v>
      </c>
      <c r="AB175" s="1871" t="s">
        <v>1388</v>
      </c>
      <c r="AC175" s="1763" t="s">
        <v>1389</v>
      </c>
      <c r="AD175" s="1762">
        <v>300</v>
      </c>
      <c r="AE175" s="1729">
        <v>300</v>
      </c>
      <c r="AF175" s="1760">
        <v>300</v>
      </c>
      <c r="AG175" s="1759">
        <v>250</v>
      </c>
      <c r="AH175" s="1729">
        <v>250</v>
      </c>
      <c r="AI175" s="1760">
        <v>250</v>
      </c>
      <c r="AJ175" s="2009">
        <v>180</v>
      </c>
      <c r="AK175" s="2010">
        <v>200</v>
      </c>
      <c r="AL175" s="2011">
        <v>230</v>
      </c>
      <c r="AM175" s="1871" t="s">
        <v>1390</v>
      </c>
      <c r="AN175" s="1763" t="s">
        <v>1389</v>
      </c>
      <c r="AR175" s="156"/>
      <c r="AS175" s="156"/>
      <c r="AT175" s="156"/>
      <c r="AU175" s="395"/>
      <c r="AV175" s="395"/>
      <c r="AW175" s="395"/>
      <c r="AX175" s="394" t="s">
        <v>1896</v>
      </c>
      <c r="AY175" s="394">
        <v>270</v>
      </c>
      <c r="BA175" s="1671" t="s">
        <v>2587</v>
      </c>
      <c r="BB175" s="394">
        <v>270</v>
      </c>
      <c r="BD175" s="1671" t="s">
        <v>2587</v>
      </c>
      <c r="BE175" s="394">
        <v>270</v>
      </c>
      <c r="BG175" s="1671" t="s">
        <v>2587</v>
      </c>
      <c r="BH175" s="3"/>
      <c r="BI175" s="3"/>
      <c r="BJ175" s="3"/>
      <c r="BK175" s="3"/>
      <c r="BL175" s="3"/>
      <c r="BM175" s="3"/>
      <c r="BQ175" s="394" t="s">
        <v>1896</v>
      </c>
      <c r="BR175" s="1591">
        <v>120</v>
      </c>
      <c r="BS175" s="1591">
        <v>120</v>
      </c>
      <c r="BT175" s="1591">
        <v>120</v>
      </c>
      <c r="BV175" s="394" t="s">
        <v>1896</v>
      </c>
      <c r="BW175" s="1589">
        <v>340</v>
      </c>
      <c r="BX175" s="1589">
        <v>340</v>
      </c>
      <c r="BY175" s="1589">
        <v>340</v>
      </c>
      <c r="CB175" s="428"/>
      <c r="CC175" s="428"/>
      <c r="CD175" s="428"/>
      <c r="CE175" s="1669"/>
      <c r="CF175" s="1620" t="str">
        <f>IFERROR(INDEX(N_Bedarf!$CE$2:$CE$304,_xlfn.AGGREGATE(15,6,(ROW(N_Bedarf!$CE$2:$CE$304)-1)/(--(SEARCH(CG$2,N_Bedarf!$CE$2:$CE$304)&gt;0)),ROW()-2),1),"")</f>
        <v/>
      </c>
      <c r="CG175" s="1620"/>
      <c r="CH175" s="1620" t="str">
        <f>IFERROR(INDEX(N_Bedarf!$CE$2:$CE$304,_xlfn.AGGREGATE(15,6,(ROW(N_Bedarf!$CE$2:$CE$304)-1)/(--(SEARCH(CI$2,N_Bedarf!$CE$2:$CE$304)&gt;0)),ROW()-2),1),"")</f>
        <v/>
      </c>
      <c r="CI175" s="1620"/>
      <c r="CJ175" s="1620" t="str">
        <f>IFERROR(INDEX(N_Bedarf!$CE$2:$CE$304,_xlfn.AGGREGATE(15,6,(ROW(N_Bedarf!$CE$2:$CE$304)-1)/(--(SEARCH(CK$2,N_Bedarf!$CE$2:$CE$304)&gt;0)),ROW()-2),1),"")</f>
        <v/>
      </c>
      <c r="CK175" s="1620"/>
      <c r="CL175" s="1620" t="str">
        <f>IFERROR(INDEX(N_Bedarf!$CE$2:$CE$304,_xlfn.AGGREGATE(15,6,(ROW(N_Bedarf!$CE$2:$CE$304)-1)/(--(SEARCH(CM$2,N_Bedarf!$CE$2:$CE$304)&gt;0)),ROW()-2),1),"")</f>
        <v/>
      </c>
      <c r="CM175" s="1620"/>
      <c r="CN175" s="1620" t="str">
        <f>IFERROR(INDEX(N_Bedarf!$CE$2:$CE$304,_xlfn.AGGREGATE(15,6,(ROW(N_Bedarf!$CE$2:$CE$304)-1)/(--(SEARCH(CO$2,N_Bedarf!$CE$2:$CE$304)&gt;0)),ROW()-2),1),"")</f>
        <v/>
      </c>
      <c r="CO175" s="1620"/>
      <c r="CP175" s="1620" t="str">
        <f>IFERROR(INDEX(N_Bedarf!$CE$2:$CE$304,_xlfn.AGGREGATE(15,6,(ROW(N_Bedarf!$CE$2:$CE$304)-1)/(--(SEARCH(CQ$2,N_Bedarf!$CE$2:$CE$304)&gt;0)),ROW()-2),1),"")</f>
        <v/>
      </c>
      <c r="CQ175" s="1620"/>
      <c r="CR175" s="1620" t="str">
        <f>IFERROR(INDEX(N_Bedarf!$CE$2:$CE$304,_xlfn.AGGREGATE(15,6,(ROW(N_Bedarf!$CE$2:$CE$304)-1)/(--(SEARCH(CS$2,N_Bedarf!$CE$2:$CE$304)&gt;0)),ROW()-2),1),"")</f>
        <v/>
      </c>
      <c r="CS175" s="1620"/>
      <c r="CT175" s="1620" t="str">
        <f>IFERROR(INDEX(N_Bedarf!$CE$2:$CE$304,_xlfn.AGGREGATE(15,6,(ROW(N_Bedarf!$CE$2:$CE$304)-1)/(--(SEARCH(CU$2,N_Bedarf!$CE$2:$CE$304)&gt;0)),ROW()-2),1),"")</f>
        <v/>
      </c>
      <c r="CU175" s="1620"/>
      <c r="CV175" s="1620" t="str">
        <f>IFERROR(INDEX(N_Bedarf!$CE$2:$CE$304,_xlfn.AGGREGATE(15,6,(ROW(N_Bedarf!$CE$2:$CE$304)-1)/(--(SEARCH(CW$2,N_Bedarf!$CE$2:$CE$304)&gt;0)),ROW()-2),1),"")</f>
        <v/>
      </c>
      <c r="CW175" s="1620"/>
      <c r="CX175" s="1620" t="str">
        <f>IFERROR(INDEX(N_Bedarf!$CE$2:$CE$304,_xlfn.AGGREGATE(15,6,(ROW(N_Bedarf!$CE$2:$CE$304)-1)/(--(SEARCH(CY$2,N_Bedarf!$CE$2:$CE$304)&gt;0)),ROW()-2),1),"")</f>
        <v/>
      </c>
      <c r="CY175" s="1620"/>
      <c r="CZ175" s="1620" t="str">
        <f>IFERROR(INDEX(N_Bedarf!$CE$2:$CE$304,_xlfn.AGGREGATE(15,6,(ROW(N_Bedarf!$CE$2:$CE$304)-1)/(--(SEARCH(DA$2,N_Bedarf!$CE$2:$CE$304)&gt;0)),ROW()-2),1),"")</f>
        <v/>
      </c>
      <c r="DA175" s="1620"/>
      <c r="DB175" s="1620" t="str">
        <f>IFERROR(INDEX(N_Bedarf!$CE$2:$CE$304,_xlfn.AGGREGATE(15,6,(ROW(N_Bedarf!$CE$2:$CE$304)-1)/(--(SEARCH(DC$2,N_Bedarf!$CE$2:$CE$304)&gt;0)),ROW()-2),1),"")</f>
        <v/>
      </c>
      <c r="DC175" s="1620"/>
      <c r="DD175" s="1620" t="str">
        <f>IFERROR(INDEX(N_Bedarf!$CE$2:$CE$304,_xlfn.AGGREGATE(15,6,(ROW(N_Bedarf!$CE$2:$CE$304)-1)/(--(SEARCH(DE$2,N_Bedarf!$CE$2:$CE$304)&gt;0)),ROW()-2),1),"")</f>
        <v/>
      </c>
      <c r="DE175" s="1620"/>
      <c r="ES175" s="768"/>
      <c r="ET175" s="768"/>
      <c r="EU175" s="768"/>
      <c r="EV175" s="768"/>
      <c r="EW175" s="768"/>
    </row>
    <row r="176" spans="1:153" s="394" customFormat="1" ht="21" customHeight="1">
      <c r="C176" s="1758" t="s">
        <v>1741</v>
      </c>
      <c r="D176" s="1759" t="s">
        <v>1850</v>
      </c>
      <c r="E176" s="1729">
        <v>110</v>
      </c>
      <c r="F176" s="1760">
        <v>100</v>
      </c>
      <c r="G176" s="1993" t="s">
        <v>1851</v>
      </c>
      <c r="H176" s="1994">
        <v>155</v>
      </c>
      <c r="I176" s="1995">
        <v>140</v>
      </c>
      <c r="J176" s="1759" t="s">
        <v>1407</v>
      </c>
      <c r="K176" s="1729">
        <v>180</v>
      </c>
      <c r="L176" s="1760">
        <v>160</v>
      </c>
      <c r="M176" s="1759" t="s">
        <v>1852</v>
      </c>
      <c r="N176" s="1729">
        <v>195</v>
      </c>
      <c r="O176" s="1760">
        <v>175</v>
      </c>
      <c r="P176" s="1759" t="s">
        <v>1853</v>
      </c>
      <c r="Q176" s="1729">
        <v>210</v>
      </c>
      <c r="R176" s="1761">
        <v>190</v>
      </c>
      <c r="S176" s="1762">
        <v>130</v>
      </c>
      <c r="T176" s="1729">
        <v>130</v>
      </c>
      <c r="U176" s="1760">
        <v>130</v>
      </c>
      <c r="V176" s="1759">
        <v>105</v>
      </c>
      <c r="W176" s="1729">
        <v>105</v>
      </c>
      <c r="X176" s="1760">
        <v>105</v>
      </c>
      <c r="Y176" s="2009">
        <v>75</v>
      </c>
      <c r="Z176" s="2010">
        <v>85</v>
      </c>
      <c r="AA176" s="2011">
        <v>100</v>
      </c>
      <c r="AB176" s="1871" t="s">
        <v>1388</v>
      </c>
      <c r="AC176" s="1763" t="s">
        <v>1389</v>
      </c>
      <c r="AD176" s="1762">
        <v>300</v>
      </c>
      <c r="AE176" s="1729">
        <v>300</v>
      </c>
      <c r="AF176" s="1760">
        <v>300</v>
      </c>
      <c r="AG176" s="1759">
        <v>250</v>
      </c>
      <c r="AH176" s="1729">
        <v>250</v>
      </c>
      <c r="AI176" s="1760">
        <v>250</v>
      </c>
      <c r="AJ176" s="2009">
        <v>180</v>
      </c>
      <c r="AK176" s="2010">
        <v>200</v>
      </c>
      <c r="AL176" s="2011">
        <v>230</v>
      </c>
      <c r="AM176" s="1871" t="s">
        <v>1390</v>
      </c>
      <c r="AN176" s="1763" t="s">
        <v>1389</v>
      </c>
      <c r="AR176" s="156"/>
      <c r="AS176" s="156"/>
      <c r="AT176" s="156"/>
      <c r="AU176" s="395"/>
      <c r="AV176" s="395"/>
      <c r="AW176" s="395"/>
      <c r="AX176" s="394" t="s">
        <v>2005</v>
      </c>
      <c r="AY176" s="394">
        <v>20</v>
      </c>
      <c r="BA176" s="1671" t="s">
        <v>2655</v>
      </c>
      <c r="BB176" s="394">
        <v>30</v>
      </c>
      <c r="BD176" s="1671" t="s">
        <v>2751</v>
      </c>
      <c r="BE176" s="394">
        <v>30</v>
      </c>
      <c r="BG176" s="1671" t="s">
        <v>2751</v>
      </c>
      <c r="BH176" s="3"/>
      <c r="BI176" s="3"/>
      <c r="BJ176" s="3"/>
      <c r="BK176" s="3"/>
      <c r="BL176" s="3"/>
      <c r="BM176" s="3"/>
      <c r="BQ176" s="394" t="s">
        <v>2005</v>
      </c>
      <c r="BR176" s="1591">
        <v>10</v>
      </c>
      <c r="BS176" s="1591">
        <v>20</v>
      </c>
      <c r="BT176" s="1591">
        <v>20</v>
      </c>
      <c r="BV176" s="394" t="s">
        <v>2005</v>
      </c>
      <c r="BW176" s="1589">
        <v>20</v>
      </c>
      <c r="BX176" s="1589">
        <v>40</v>
      </c>
      <c r="BY176" s="1589">
        <v>40</v>
      </c>
      <c r="CB176" s="428"/>
      <c r="CC176" s="428"/>
      <c r="CD176" s="428"/>
      <c r="CE176" s="1669"/>
      <c r="CF176" s="1620" t="str">
        <f>IFERROR(INDEX(N_Bedarf!$CE$2:$CE$304,_xlfn.AGGREGATE(15,6,(ROW(N_Bedarf!$CE$2:$CE$304)-1)/(--(SEARCH(CG$2,N_Bedarf!$CE$2:$CE$304)&gt;0)),ROW()-2),1),"")</f>
        <v/>
      </c>
      <c r="CG176" s="1620"/>
      <c r="CH176" s="1620" t="str">
        <f>IFERROR(INDEX(N_Bedarf!$CE$2:$CE$304,_xlfn.AGGREGATE(15,6,(ROW(N_Bedarf!$CE$2:$CE$304)-1)/(--(SEARCH(CI$2,N_Bedarf!$CE$2:$CE$304)&gt;0)),ROW()-2),1),"")</f>
        <v/>
      </c>
      <c r="CI176" s="1620"/>
      <c r="CJ176" s="1620" t="str">
        <f>IFERROR(INDEX(N_Bedarf!$CE$2:$CE$304,_xlfn.AGGREGATE(15,6,(ROW(N_Bedarf!$CE$2:$CE$304)-1)/(--(SEARCH(CK$2,N_Bedarf!$CE$2:$CE$304)&gt;0)),ROW()-2),1),"")</f>
        <v/>
      </c>
      <c r="CK176" s="1620"/>
      <c r="CL176" s="1620" t="str">
        <f>IFERROR(INDEX(N_Bedarf!$CE$2:$CE$304,_xlfn.AGGREGATE(15,6,(ROW(N_Bedarf!$CE$2:$CE$304)-1)/(--(SEARCH(CM$2,N_Bedarf!$CE$2:$CE$304)&gt;0)),ROW()-2),1),"")</f>
        <v/>
      </c>
      <c r="CM176" s="1620"/>
      <c r="CN176" s="1620" t="str">
        <f>IFERROR(INDEX(N_Bedarf!$CE$2:$CE$304,_xlfn.AGGREGATE(15,6,(ROW(N_Bedarf!$CE$2:$CE$304)-1)/(--(SEARCH(CO$2,N_Bedarf!$CE$2:$CE$304)&gt;0)),ROW()-2),1),"")</f>
        <v/>
      </c>
      <c r="CO176" s="1620"/>
      <c r="CP176" s="1620" t="str">
        <f>IFERROR(INDEX(N_Bedarf!$CE$2:$CE$304,_xlfn.AGGREGATE(15,6,(ROW(N_Bedarf!$CE$2:$CE$304)-1)/(--(SEARCH(CQ$2,N_Bedarf!$CE$2:$CE$304)&gt;0)),ROW()-2),1),"")</f>
        <v/>
      </c>
      <c r="CQ176" s="1620"/>
      <c r="CR176" s="1620" t="str">
        <f>IFERROR(INDEX(N_Bedarf!$CE$2:$CE$304,_xlfn.AGGREGATE(15,6,(ROW(N_Bedarf!$CE$2:$CE$304)-1)/(--(SEARCH(CS$2,N_Bedarf!$CE$2:$CE$304)&gt;0)),ROW()-2),1),"")</f>
        <v/>
      </c>
      <c r="CS176" s="1620"/>
      <c r="CT176" s="1620" t="str">
        <f>IFERROR(INDEX(N_Bedarf!$CE$2:$CE$304,_xlfn.AGGREGATE(15,6,(ROW(N_Bedarf!$CE$2:$CE$304)-1)/(--(SEARCH(CU$2,N_Bedarf!$CE$2:$CE$304)&gt;0)),ROW()-2),1),"")</f>
        <v/>
      </c>
      <c r="CU176" s="1620"/>
      <c r="CV176" s="1620" t="str">
        <f>IFERROR(INDEX(N_Bedarf!$CE$2:$CE$304,_xlfn.AGGREGATE(15,6,(ROW(N_Bedarf!$CE$2:$CE$304)-1)/(--(SEARCH(CW$2,N_Bedarf!$CE$2:$CE$304)&gt;0)),ROW()-2),1),"")</f>
        <v/>
      </c>
      <c r="CW176" s="1620"/>
      <c r="CX176" s="1620" t="str">
        <f>IFERROR(INDEX(N_Bedarf!$CE$2:$CE$304,_xlfn.AGGREGATE(15,6,(ROW(N_Bedarf!$CE$2:$CE$304)-1)/(--(SEARCH(CY$2,N_Bedarf!$CE$2:$CE$304)&gt;0)),ROW()-2),1),"")</f>
        <v/>
      </c>
      <c r="CY176" s="1620"/>
      <c r="CZ176" s="1620" t="str">
        <f>IFERROR(INDEX(N_Bedarf!$CE$2:$CE$304,_xlfn.AGGREGATE(15,6,(ROW(N_Bedarf!$CE$2:$CE$304)-1)/(--(SEARCH(DA$2,N_Bedarf!$CE$2:$CE$304)&gt;0)),ROW()-2),1),"")</f>
        <v/>
      </c>
      <c r="DA176" s="1620"/>
      <c r="DB176" s="1620" t="str">
        <f>IFERROR(INDEX(N_Bedarf!$CE$2:$CE$304,_xlfn.AGGREGATE(15,6,(ROW(N_Bedarf!$CE$2:$CE$304)-1)/(--(SEARCH(DC$2,N_Bedarf!$CE$2:$CE$304)&gt;0)),ROW()-2),1),"")</f>
        <v/>
      </c>
      <c r="DC176" s="1620"/>
      <c r="DD176" s="1620" t="str">
        <f>IFERROR(INDEX(N_Bedarf!$CE$2:$CE$304,_xlfn.AGGREGATE(15,6,(ROW(N_Bedarf!$CE$2:$CE$304)-1)/(--(SEARCH(DE$2,N_Bedarf!$CE$2:$CE$304)&gt;0)),ROW()-2),1),"")</f>
        <v/>
      </c>
      <c r="DE176" s="1620"/>
      <c r="ES176" s="768"/>
      <c r="ET176" s="768"/>
      <c r="EU176" s="768"/>
      <c r="EV176" s="768"/>
      <c r="EW176" s="768"/>
    </row>
    <row r="177" spans="3:153" s="394" customFormat="1" ht="21" customHeight="1">
      <c r="C177" s="1758" t="s">
        <v>1742</v>
      </c>
      <c r="D177" s="1759" t="s">
        <v>1854</v>
      </c>
      <c r="E177" s="1729">
        <v>110</v>
      </c>
      <c r="F177" s="1760">
        <v>100</v>
      </c>
      <c r="G177" s="1993" t="s">
        <v>1855</v>
      </c>
      <c r="H177" s="1994">
        <v>155</v>
      </c>
      <c r="I177" s="1995">
        <v>140</v>
      </c>
      <c r="J177" s="1759" t="s">
        <v>1856</v>
      </c>
      <c r="K177" s="1729">
        <v>180</v>
      </c>
      <c r="L177" s="1760">
        <v>160</v>
      </c>
      <c r="M177" s="1759" t="s">
        <v>1857</v>
      </c>
      <c r="N177" s="1729">
        <v>195</v>
      </c>
      <c r="O177" s="1760">
        <v>175</v>
      </c>
      <c r="P177" s="1759" t="s">
        <v>1858</v>
      </c>
      <c r="Q177" s="1729">
        <v>210</v>
      </c>
      <c r="R177" s="1761">
        <v>190</v>
      </c>
      <c r="S177" s="1762">
        <v>130</v>
      </c>
      <c r="T177" s="1729">
        <v>130</v>
      </c>
      <c r="U177" s="1760">
        <v>130</v>
      </c>
      <c r="V177" s="1759">
        <v>105</v>
      </c>
      <c r="W177" s="1729">
        <v>105</v>
      </c>
      <c r="X177" s="1760">
        <v>105</v>
      </c>
      <c r="Y177" s="2009">
        <v>75</v>
      </c>
      <c r="Z177" s="2010">
        <v>85</v>
      </c>
      <c r="AA177" s="2011">
        <v>100</v>
      </c>
      <c r="AB177" s="1871" t="s">
        <v>1388</v>
      </c>
      <c r="AC177" s="1763" t="s">
        <v>1389</v>
      </c>
      <c r="AD177" s="1762">
        <v>300</v>
      </c>
      <c r="AE177" s="1729">
        <v>300</v>
      </c>
      <c r="AF177" s="1760">
        <v>300</v>
      </c>
      <c r="AG177" s="1759">
        <v>250</v>
      </c>
      <c r="AH177" s="1729">
        <v>250</v>
      </c>
      <c r="AI177" s="1760">
        <v>250</v>
      </c>
      <c r="AJ177" s="2009">
        <v>180</v>
      </c>
      <c r="AK177" s="2010">
        <v>200</v>
      </c>
      <c r="AL177" s="2011">
        <v>230</v>
      </c>
      <c r="AM177" s="1871" t="s">
        <v>1390</v>
      </c>
      <c r="AN177" s="1763" t="s">
        <v>1389</v>
      </c>
      <c r="AR177" s="156"/>
      <c r="AS177" s="156"/>
      <c r="AT177" s="156"/>
      <c r="AU177" s="395"/>
      <c r="AV177" s="395"/>
      <c r="AW177" s="395"/>
      <c r="AX177" s="394" t="s">
        <v>1298</v>
      </c>
      <c r="AY177" s="394">
        <v>20</v>
      </c>
      <c r="BA177" s="1671" t="s">
        <v>2655</v>
      </c>
      <c r="BB177" s="394">
        <v>30</v>
      </c>
      <c r="BD177" s="1671" t="s">
        <v>2752</v>
      </c>
      <c r="BE177" s="394">
        <v>30</v>
      </c>
      <c r="BG177" s="1671" t="s">
        <v>2752</v>
      </c>
      <c r="BH177" s="3"/>
      <c r="BI177" s="3"/>
      <c r="BJ177" s="3"/>
      <c r="BK177" s="3"/>
      <c r="BL177" s="3"/>
      <c r="BM177" s="3"/>
      <c r="BQ177" s="394" t="s">
        <v>1298</v>
      </c>
      <c r="BR177" s="1591">
        <v>15</v>
      </c>
      <c r="BS177" s="1591">
        <v>30</v>
      </c>
      <c r="BT177" s="1591">
        <v>30</v>
      </c>
      <c r="BV177" s="394" t="s">
        <v>1298</v>
      </c>
      <c r="BW177" s="1589">
        <v>45</v>
      </c>
      <c r="BX177" s="1589">
        <v>80</v>
      </c>
      <c r="BY177" s="1589">
        <v>80</v>
      </c>
      <c r="CB177" s="428"/>
      <c r="CC177" s="428"/>
      <c r="CD177" s="428"/>
      <c r="CE177" s="1669"/>
      <c r="CF177" s="1620" t="str">
        <f>IFERROR(INDEX(N_Bedarf!$CE$2:$CE$304,_xlfn.AGGREGATE(15,6,(ROW(N_Bedarf!$CE$2:$CE$304)-1)/(--(SEARCH(CG$2,N_Bedarf!$CE$2:$CE$304)&gt;0)),ROW()-2),1),"")</f>
        <v/>
      </c>
      <c r="CG177" s="1620"/>
      <c r="CH177" s="1620" t="str">
        <f>IFERROR(INDEX(N_Bedarf!$CE$2:$CE$304,_xlfn.AGGREGATE(15,6,(ROW(N_Bedarf!$CE$2:$CE$304)-1)/(--(SEARCH(CI$2,N_Bedarf!$CE$2:$CE$304)&gt;0)),ROW()-2),1),"")</f>
        <v/>
      </c>
      <c r="CI177" s="1620"/>
      <c r="CJ177" s="1620" t="str">
        <f>IFERROR(INDEX(N_Bedarf!$CE$2:$CE$304,_xlfn.AGGREGATE(15,6,(ROW(N_Bedarf!$CE$2:$CE$304)-1)/(--(SEARCH(CK$2,N_Bedarf!$CE$2:$CE$304)&gt;0)),ROW()-2),1),"")</f>
        <v/>
      </c>
      <c r="CK177" s="1620"/>
      <c r="CL177" s="1620" t="str">
        <f>IFERROR(INDEX(N_Bedarf!$CE$2:$CE$304,_xlfn.AGGREGATE(15,6,(ROW(N_Bedarf!$CE$2:$CE$304)-1)/(--(SEARCH(CM$2,N_Bedarf!$CE$2:$CE$304)&gt;0)),ROW()-2),1),"")</f>
        <v/>
      </c>
      <c r="CM177" s="1620"/>
      <c r="CN177" s="1620" t="str">
        <f>IFERROR(INDEX(N_Bedarf!$CE$2:$CE$304,_xlfn.AGGREGATE(15,6,(ROW(N_Bedarf!$CE$2:$CE$304)-1)/(--(SEARCH(CO$2,N_Bedarf!$CE$2:$CE$304)&gt;0)),ROW()-2),1),"")</f>
        <v/>
      </c>
      <c r="CO177" s="1620"/>
      <c r="CP177" s="1620" t="str">
        <f>IFERROR(INDEX(N_Bedarf!$CE$2:$CE$304,_xlfn.AGGREGATE(15,6,(ROW(N_Bedarf!$CE$2:$CE$304)-1)/(--(SEARCH(CQ$2,N_Bedarf!$CE$2:$CE$304)&gt;0)),ROW()-2),1),"")</f>
        <v/>
      </c>
      <c r="CQ177" s="1620"/>
      <c r="CR177" s="1620" t="str">
        <f>IFERROR(INDEX(N_Bedarf!$CE$2:$CE$304,_xlfn.AGGREGATE(15,6,(ROW(N_Bedarf!$CE$2:$CE$304)-1)/(--(SEARCH(CS$2,N_Bedarf!$CE$2:$CE$304)&gt;0)),ROW()-2),1),"")</f>
        <v/>
      </c>
      <c r="CS177" s="1620"/>
      <c r="CT177" s="1620" t="str">
        <f>IFERROR(INDEX(N_Bedarf!$CE$2:$CE$304,_xlfn.AGGREGATE(15,6,(ROW(N_Bedarf!$CE$2:$CE$304)-1)/(--(SEARCH(CU$2,N_Bedarf!$CE$2:$CE$304)&gt;0)),ROW()-2),1),"")</f>
        <v/>
      </c>
      <c r="CU177" s="1620"/>
      <c r="CV177" s="1620" t="str">
        <f>IFERROR(INDEX(N_Bedarf!$CE$2:$CE$304,_xlfn.AGGREGATE(15,6,(ROW(N_Bedarf!$CE$2:$CE$304)-1)/(--(SEARCH(CW$2,N_Bedarf!$CE$2:$CE$304)&gt;0)),ROW()-2),1),"")</f>
        <v/>
      </c>
      <c r="CW177" s="1620"/>
      <c r="CX177" s="1620" t="str">
        <f>IFERROR(INDEX(N_Bedarf!$CE$2:$CE$304,_xlfn.AGGREGATE(15,6,(ROW(N_Bedarf!$CE$2:$CE$304)-1)/(--(SEARCH(CY$2,N_Bedarf!$CE$2:$CE$304)&gt;0)),ROW()-2),1),"")</f>
        <v/>
      </c>
      <c r="CY177" s="1620"/>
      <c r="CZ177" s="1620" t="str">
        <f>IFERROR(INDEX(N_Bedarf!$CE$2:$CE$304,_xlfn.AGGREGATE(15,6,(ROW(N_Bedarf!$CE$2:$CE$304)-1)/(--(SEARCH(DA$2,N_Bedarf!$CE$2:$CE$304)&gt;0)),ROW()-2),1),"")</f>
        <v/>
      </c>
      <c r="DA177" s="1620"/>
      <c r="DB177" s="1620" t="str">
        <f>IFERROR(INDEX(N_Bedarf!$CE$2:$CE$304,_xlfn.AGGREGATE(15,6,(ROW(N_Bedarf!$CE$2:$CE$304)-1)/(--(SEARCH(DC$2,N_Bedarf!$CE$2:$CE$304)&gt;0)),ROW()-2),1),"")</f>
        <v/>
      </c>
      <c r="DC177" s="1620"/>
      <c r="DD177" s="1620" t="str">
        <f>IFERROR(INDEX(N_Bedarf!$CE$2:$CE$304,_xlfn.AGGREGATE(15,6,(ROW(N_Bedarf!$CE$2:$CE$304)-1)/(--(SEARCH(DE$2,N_Bedarf!$CE$2:$CE$304)&gt;0)),ROW()-2),1),"")</f>
        <v/>
      </c>
      <c r="DE177" s="1620"/>
      <c r="ES177" s="768"/>
      <c r="ET177" s="768"/>
      <c r="EU177" s="768"/>
      <c r="EV177" s="768"/>
      <c r="EW177" s="768"/>
    </row>
    <row r="178" spans="3:153" s="394" customFormat="1" ht="21" customHeight="1">
      <c r="C178" s="1758" t="s">
        <v>1743</v>
      </c>
      <c r="D178" s="1759" t="s">
        <v>1859</v>
      </c>
      <c r="E178" s="1729">
        <v>130</v>
      </c>
      <c r="F178" s="1760">
        <v>110</v>
      </c>
      <c r="G178" s="1993" t="s">
        <v>1860</v>
      </c>
      <c r="H178" s="1994">
        <v>175</v>
      </c>
      <c r="I178" s="1995">
        <v>150</v>
      </c>
      <c r="J178" s="1759" t="s">
        <v>1861</v>
      </c>
      <c r="K178" s="1729">
        <v>210</v>
      </c>
      <c r="L178" s="1760">
        <v>180</v>
      </c>
      <c r="M178" s="1759" t="s">
        <v>1862</v>
      </c>
      <c r="N178" s="1729">
        <v>225</v>
      </c>
      <c r="O178" s="1760">
        <v>190</v>
      </c>
      <c r="P178" s="1759" t="s">
        <v>1863</v>
      </c>
      <c r="Q178" s="1729">
        <v>240</v>
      </c>
      <c r="R178" s="1761">
        <v>205</v>
      </c>
      <c r="S178" s="1762">
        <v>145</v>
      </c>
      <c r="T178" s="1729">
        <v>145</v>
      </c>
      <c r="U178" s="1760">
        <v>145</v>
      </c>
      <c r="V178" s="1759">
        <v>120</v>
      </c>
      <c r="W178" s="1729">
        <v>120</v>
      </c>
      <c r="X178" s="1760">
        <v>120</v>
      </c>
      <c r="Y178" s="2009">
        <v>85</v>
      </c>
      <c r="Z178" s="2010">
        <v>95</v>
      </c>
      <c r="AA178" s="2011">
        <v>110</v>
      </c>
      <c r="AB178" s="1871" t="s">
        <v>1388</v>
      </c>
      <c r="AC178" s="1763" t="s">
        <v>1389</v>
      </c>
      <c r="AD178" s="1762">
        <v>565</v>
      </c>
      <c r="AE178" s="1729">
        <v>565</v>
      </c>
      <c r="AF178" s="1760">
        <v>565</v>
      </c>
      <c r="AG178" s="1759">
        <v>470</v>
      </c>
      <c r="AH178" s="1729">
        <v>470</v>
      </c>
      <c r="AI178" s="1760">
        <v>470</v>
      </c>
      <c r="AJ178" s="2009">
        <v>340</v>
      </c>
      <c r="AK178" s="2010">
        <v>375</v>
      </c>
      <c r="AL178" s="2011">
        <v>430</v>
      </c>
      <c r="AM178" s="1871" t="s">
        <v>1390</v>
      </c>
      <c r="AN178" s="1763" t="s">
        <v>1389</v>
      </c>
      <c r="AR178" s="156"/>
      <c r="AS178" s="156"/>
      <c r="AT178" s="156"/>
      <c r="AU178" s="395"/>
      <c r="AV178" s="395"/>
      <c r="AW178" s="395"/>
      <c r="AX178" s="394" t="s">
        <v>1299</v>
      </c>
      <c r="AY178" s="394">
        <v>0</v>
      </c>
      <c r="BA178" s="394" t="s">
        <v>714</v>
      </c>
      <c r="BB178" s="394">
        <v>0</v>
      </c>
      <c r="BD178" s="394" t="s">
        <v>714</v>
      </c>
      <c r="BE178" s="394">
        <v>0</v>
      </c>
      <c r="BG178" s="394" t="s">
        <v>714</v>
      </c>
      <c r="BH178" s="3"/>
      <c r="BI178" s="3"/>
      <c r="BJ178" s="3"/>
      <c r="BK178" s="3"/>
      <c r="BL178" s="3"/>
      <c r="BM178" s="3"/>
      <c r="BQ178" s="394" t="s">
        <v>1299</v>
      </c>
      <c r="BR178" s="1591">
        <v>0</v>
      </c>
      <c r="BS178" s="1591">
        <v>0</v>
      </c>
      <c r="BT178" s="1591">
        <v>0</v>
      </c>
      <c r="BV178" s="394" t="s">
        <v>1299</v>
      </c>
      <c r="BW178" s="1589">
        <v>0</v>
      </c>
      <c r="BX178" s="1589">
        <v>0</v>
      </c>
      <c r="BY178" s="1589">
        <v>0</v>
      </c>
      <c r="CB178" s="428"/>
      <c r="CC178" s="428"/>
      <c r="CD178" s="428"/>
      <c r="CE178" s="1669"/>
      <c r="CF178" s="1620" t="str">
        <f>IFERROR(INDEX(N_Bedarf!$CE$2:$CE$304,_xlfn.AGGREGATE(15,6,(ROW(N_Bedarf!$CE$2:$CE$304)-1)/(--(SEARCH(CG$2,N_Bedarf!$CE$2:$CE$304)&gt;0)),ROW()-2),1),"")</f>
        <v/>
      </c>
      <c r="CG178" s="1620"/>
      <c r="CH178" s="1620" t="str">
        <f>IFERROR(INDEX(N_Bedarf!$CE$2:$CE$304,_xlfn.AGGREGATE(15,6,(ROW(N_Bedarf!$CE$2:$CE$304)-1)/(--(SEARCH(CI$2,N_Bedarf!$CE$2:$CE$304)&gt;0)),ROW()-2),1),"")</f>
        <v/>
      </c>
      <c r="CI178" s="1620"/>
      <c r="CJ178" s="1620" t="str">
        <f>IFERROR(INDEX(N_Bedarf!$CE$2:$CE$304,_xlfn.AGGREGATE(15,6,(ROW(N_Bedarf!$CE$2:$CE$304)-1)/(--(SEARCH(CK$2,N_Bedarf!$CE$2:$CE$304)&gt;0)),ROW()-2),1),"")</f>
        <v/>
      </c>
      <c r="CK178" s="1620"/>
      <c r="CL178" s="1620" t="str">
        <f>IFERROR(INDEX(N_Bedarf!$CE$2:$CE$304,_xlfn.AGGREGATE(15,6,(ROW(N_Bedarf!$CE$2:$CE$304)-1)/(--(SEARCH(CM$2,N_Bedarf!$CE$2:$CE$304)&gt;0)),ROW()-2),1),"")</f>
        <v/>
      </c>
      <c r="CM178" s="1620"/>
      <c r="CN178" s="1620" t="str">
        <f>IFERROR(INDEX(N_Bedarf!$CE$2:$CE$304,_xlfn.AGGREGATE(15,6,(ROW(N_Bedarf!$CE$2:$CE$304)-1)/(--(SEARCH(CO$2,N_Bedarf!$CE$2:$CE$304)&gt;0)),ROW()-2),1),"")</f>
        <v/>
      </c>
      <c r="CO178" s="1620"/>
      <c r="CP178" s="1620" t="str">
        <f>IFERROR(INDEX(N_Bedarf!$CE$2:$CE$304,_xlfn.AGGREGATE(15,6,(ROW(N_Bedarf!$CE$2:$CE$304)-1)/(--(SEARCH(CQ$2,N_Bedarf!$CE$2:$CE$304)&gt;0)),ROW()-2),1),"")</f>
        <v/>
      </c>
      <c r="CQ178" s="1620"/>
      <c r="CR178" s="1620" t="str">
        <f>IFERROR(INDEX(N_Bedarf!$CE$2:$CE$304,_xlfn.AGGREGATE(15,6,(ROW(N_Bedarf!$CE$2:$CE$304)-1)/(--(SEARCH(CS$2,N_Bedarf!$CE$2:$CE$304)&gt;0)),ROW()-2),1),"")</f>
        <v/>
      </c>
      <c r="CS178" s="1620"/>
      <c r="CT178" s="1620" t="str">
        <f>IFERROR(INDEX(N_Bedarf!$CE$2:$CE$304,_xlfn.AGGREGATE(15,6,(ROW(N_Bedarf!$CE$2:$CE$304)-1)/(--(SEARCH(CU$2,N_Bedarf!$CE$2:$CE$304)&gt;0)),ROW()-2),1),"")</f>
        <v/>
      </c>
      <c r="CU178" s="1620"/>
      <c r="CV178" s="1620" t="str">
        <f>IFERROR(INDEX(N_Bedarf!$CE$2:$CE$304,_xlfn.AGGREGATE(15,6,(ROW(N_Bedarf!$CE$2:$CE$304)-1)/(--(SEARCH(CW$2,N_Bedarf!$CE$2:$CE$304)&gt;0)),ROW()-2),1),"")</f>
        <v/>
      </c>
      <c r="CW178" s="1620"/>
      <c r="CX178" s="1620" t="str">
        <f>IFERROR(INDEX(N_Bedarf!$CE$2:$CE$304,_xlfn.AGGREGATE(15,6,(ROW(N_Bedarf!$CE$2:$CE$304)-1)/(--(SEARCH(CY$2,N_Bedarf!$CE$2:$CE$304)&gt;0)),ROW()-2),1),"")</f>
        <v/>
      </c>
      <c r="CY178" s="1620"/>
      <c r="CZ178" s="1620" t="str">
        <f>IFERROR(INDEX(N_Bedarf!$CE$2:$CE$304,_xlfn.AGGREGATE(15,6,(ROW(N_Bedarf!$CE$2:$CE$304)-1)/(--(SEARCH(DA$2,N_Bedarf!$CE$2:$CE$304)&gt;0)),ROW()-2),1),"")</f>
        <v/>
      </c>
      <c r="DA178" s="1620"/>
      <c r="DB178" s="1620" t="str">
        <f>IFERROR(INDEX(N_Bedarf!$CE$2:$CE$304,_xlfn.AGGREGATE(15,6,(ROW(N_Bedarf!$CE$2:$CE$304)-1)/(--(SEARCH(DC$2,N_Bedarf!$CE$2:$CE$304)&gt;0)),ROW()-2),1),"")</f>
        <v/>
      </c>
      <c r="DC178" s="1620"/>
      <c r="DD178" s="1620" t="str">
        <f>IFERROR(INDEX(N_Bedarf!$CE$2:$CE$304,_xlfn.AGGREGATE(15,6,(ROW(N_Bedarf!$CE$2:$CE$304)-1)/(--(SEARCH(DE$2,N_Bedarf!$CE$2:$CE$304)&gt;0)),ROW()-2),1),"")</f>
        <v/>
      </c>
      <c r="DE178" s="1620"/>
      <c r="ES178" s="768"/>
      <c r="ET178" s="768"/>
      <c r="EU178" s="768"/>
      <c r="EV178" s="768"/>
      <c r="EW178" s="768"/>
    </row>
    <row r="179" spans="3:153" s="394" customFormat="1" ht="21" customHeight="1" thickBot="1">
      <c r="C179" s="1771" t="s">
        <v>1864</v>
      </c>
      <c r="D179" s="1730" t="s">
        <v>1770</v>
      </c>
      <c r="E179" s="1731">
        <v>90</v>
      </c>
      <c r="F179" s="1732">
        <v>80</v>
      </c>
      <c r="G179" s="1997" t="s">
        <v>1865</v>
      </c>
      <c r="H179" s="1998">
        <v>120</v>
      </c>
      <c r="I179" s="1999">
        <v>105</v>
      </c>
      <c r="J179" s="1730" t="s">
        <v>1866</v>
      </c>
      <c r="K179" s="1731">
        <v>145</v>
      </c>
      <c r="L179" s="1732">
        <v>125</v>
      </c>
      <c r="M179" s="1730" t="s">
        <v>1867</v>
      </c>
      <c r="N179" s="1731">
        <v>155</v>
      </c>
      <c r="O179" s="1732">
        <v>135</v>
      </c>
      <c r="P179" s="1730" t="s">
        <v>1536</v>
      </c>
      <c r="Q179" s="1731">
        <v>165</v>
      </c>
      <c r="R179" s="1772">
        <v>140</v>
      </c>
      <c r="S179" s="1773">
        <v>85</v>
      </c>
      <c r="T179" s="1731">
        <v>85</v>
      </c>
      <c r="U179" s="1732">
        <v>85</v>
      </c>
      <c r="V179" s="1730">
        <v>70</v>
      </c>
      <c r="W179" s="1731">
        <v>70</v>
      </c>
      <c r="X179" s="1732">
        <v>70</v>
      </c>
      <c r="Y179" s="2014">
        <v>50</v>
      </c>
      <c r="Z179" s="2015">
        <v>55</v>
      </c>
      <c r="AA179" s="2016">
        <v>65</v>
      </c>
      <c r="AB179" s="1774" t="s">
        <v>1388</v>
      </c>
      <c r="AC179" s="1775" t="s">
        <v>1389</v>
      </c>
      <c r="AD179" s="1773">
        <v>120</v>
      </c>
      <c r="AE179" s="1731">
        <v>120</v>
      </c>
      <c r="AF179" s="1732">
        <v>120</v>
      </c>
      <c r="AG179" s="1730">
        <v>100</v>
      </c>
      <c r="AH179" s="1731">
        <v>100</v>
      </c>
      <c r="AI179" s="1732">
        <v>100</v>
      </c>
      <c r="AJ179" s="2014">
        <v>70</v>
      </c>
      <c r="AK179" s="2015">
        <v>80</v>
      </c>
      <c r="AL179" s="2016">
        <v>90</v>
      </c>
      <c r="AM179" s="1774" t="s">
        <v>1390</v>
      </c>
      <c r="AN179" s="1775" t="s">
        <v>1389</v>
      </c>
      <c r="AR179" s="156"/>
      <c r="AS179" s="156"/>
      <c r="AT179" s="156"/>
      <c r="AU179" s="395"/>
      <c r="AV179" s="395"/>
      <c r="AW179" s="395"/>
      <c r="AX179" s="1669"/>
      <c r="AY179" s="3"/>
      <c r="AZ179" s="3"/>
      <c r="BA179" s="3"/>
      <c r="BB179" s="3"/>
      <c r="BC179" s="3"/>
      <c r="BD179" s="3"/>
      <c r="BE179" s="3"/>
      <c r="BF179" s="3"/>
      <c r="BG179" s="3"/>
      <c r="BH179" s="3"/>
      <c r="BI179" s="3"/>
      <c r="BJ179" s="3"/>
      <c r="BK179" s="3"/>
      <c r="BL179" s="3"/>
      <c r="BM179" s="3"/>
      <c r="BN179" s="263"/>
      <c r="BO179" s="3"/>
      <c r="BQ179" s="1669"/>
      <c r="BR179" s="397"/>
      <c r="BS179" s="397"/>
      <c r="BT179" s="397"/>
      <c r="BV179" s="1669"/>
      <c r="BW179" s="397"/>
      <c r="BX179" s="397"/>
      <c r="BY179" s="397"/>
      <c r="CB179" s="428"/>
      <c r="CC179" s="428"/>
      <c r="CD179" s="428"/>
      <c r="CE179" s="1669"/>
      <c r="CF179" s="1620" t="str">
        <f>IFERROR(INDEX(N_Bedarf!$CE$2:$CE$304,_xlfn.AGGREGATE(15,6,(ROW(N_Bedarf!$CE$2:$CE$304)-1)/(--(SEARCH(CG$2,N_Bedarf!$CE$2:$CE$304)&gt;0)),ROW()-2),1),"")</f>
        <v/>
      </c>
      <c r="CG179" s="1620"/>
      <c r="CH179" s="1620" t="str">
        <f>IFERROR(INDEX(N_Bedarf!$CE$2:$CE$304,_xlfn.AGGREGATE(15,6,(ROW(N_Bedarf!$CE$2:$CE$304)-1)/(--(SEARCH(CI$2,N_Bedarf!$CE$2:$CE$304)&gt;0)),ROW()-2),1),"")</f>
        <v/>
      </c>
      <c r="CI179" s="1620"/>
      <c r="CJ179" s="1620" t="str">
        <f>IFERROR(INDEX(N_Bedarf!$CE$2:$CE$304,_xlfn.AGGREGATE(15,6,(ROW(N_Bedarf!$CE$2:$CE$304)-1)/(--(SEARCH(CK$2,N_Bedarf!$CE$2:$CE$304)&gt;0)),ROW()-2),1),"")</f>
        <v/>
      </c>
      <c r="CK179" s="1620"/>
      <c r="CL179" s="1620" t="str">
        <f>IFERROR(INDEX(N_Bedarf!$CE$2:$CE$304,_xlfn.AGGREGATE(15,6,(ROW(N_Bedarf!$CE$2:$CE$304)-1)/(--(SEARCH(CM$2,N_Bedarf!$CE$2:$CE$304)&gt;0)),ROW()-2),1),"")</f>
        <v/>
      </c>
      <c r="CM179" s="1620"/>
      <c r="CN179" s="1620" t="str">
        <f>IFERROR(INDEX(N_Bedarf!$CE$2:$CE$304,_xlfn.AGGREGATE(15,6,(ROW(N_Bedarf!$CE$2:$CE$304)-1)/(--(SEARCH(CO$2,N_Bedarf!$CE$2:$CE$304)&gt;0)),ROW()-2),1),"")</f>
        <v/>
      </c>
      <c r="CO179" s="1620"/>
      <c r="CP179" s="1620" t="str">
        <f>IFERROR(INDEX(N_Bedarf!$CE$2:$CE$304,_xlfn.AGGREGATE(15,6,(ROW(N_Bedarf!$CE$2:$CE$304)-1)/(--(SEARCH(CQ$2,N_Bedarf!$CE$2:$CE$304)&gt;0)),ROW()-2),1),"")</f>
        <v/>
      </c>
      <c r="CQ179" s="1620"/>
      <c r="CR179" s="1620" t="str">
        <f>IFERROR(INDEX(N_Bedarf!$CE$2:$CE$304,_xlfn.AGGREGATE(15,6,(ROW(N_Bedarf!$CE$2:$CE$304)-1)/(--(SEARCH(CS$2,N_Bedarf!$CE$2:$CE$304)&gt;0)),ROW()-2),1),"")</f>
        <v/>
      </c>
      <c r="CS179" s="1620"/>
      <c r="CT179" s="1620" t="str">
        <f>IFERROR(INDEX(N_Bedarf!$CE$2:$CE$304,_xlfn.AGGREGATE(15,6,(ROW(N_Bedarf!$CE$2:$CE$304)-1)/(--(SEARCH(CU$2,N_Bedarf!$CE$2:$CE$304)&gt;0)),ROW()-2),1),"")</f>
        <v/>
      </c>
      <c r="CU179" s="1620"/>
      <c r="CV179" s="1620" t="str">
        <f>IFERROR(INDEX(N_Bedarf!$CE$2:$CE$304,_xlfn.AGGREGATE(15,6,(ROW(N_Bedarf!$CE$2:$CE$304)-1)/(--(SEARCH(CW$2,N_Bedarf!$CE$2:$CE$304)&gt;0)),ROW()-2),1),"")</f>
        <v/>
      </c>
      <c r="CW179" s="1620"/>
      <c r="CX179" s="1620" t="str">
        <f>IFERROR(INDEX(N_Bedarf!$CE$2:$CE$304,_xlfn.AGGREGATE(15,6,(ROW(N_Bedarf!$CE$2:$CE$304)-1)/(--(SEARCH(CY$2,N_Bedarf!$CE$2:$CE$304)&gt;0)),ROW()-2),1),"")</f>
        <v/>
      </c>
      <c r="CY179" s="1620"/>
      <c r="CZ179" s="1620" t="str">
        <f>IFERROR(INDEX(N_Bedarf!$CE$2:$CE$304,_xlfn.AGGREGATE(15,6,(ROW(N_Bedarf!$CE$2:$CE$304)-1)/(--(SEARCH(DA$2,N_Bedarf!$CE$2:$CE$304)&gt;0)),ROW()-2),1),"")</f>
        <v/>
      </c>
      <c r="DA179" s="1620"/>
      <c r="DB179" s="1620" t="str">
        <f>IFERROR(INDEX(N_Bedarf!$CE$2:$CE$304,_xlfn.AGGREGATE(15,6,(ROW(N_Bedarf!$CE$2:$CE$304)-1)/(--(SEARCH(DC$2,N_Bedarf!$CE$2:$CE$304)&gt;0)),ROW()-2),1),"")</f>
        <v/>
      </c>
      <c r="DC179" s="1620"/>
      <c r="DD179" s="1620" t="str">
        <f>IFERROR(INDEX(N_Bedarf!$CE$2:$CE$304,_xlfn.AGGREGATE(15,6,(ROW(N_Bedarf!$CE$2:$CE$304)-1)/(--(SEARCH(DE$2,N_Bedarf!$CE$2:$CE$304)&gt;0)),ROW()-2),1),"")</f>
        <v/>
      </c>
      <c r="DE179" s="1620"/>
      <c r="ES179" s="768"/>
      <c r="ET179" s="768"/>
      <c r="EU179" s="768"/>
      <c r="EV179" s="768"/>
      <c r="EW179" s="768"/>
    </row>
    <row r="180" spans="3:153" s="394" customFormat="1" ht="21" customHeight="1" thickBot="1">
      <c r="C180" s="2343" t="s">
        <v>58</v>
      </c>
      <c r="D180" s="2358"/>
      <c r="E180" s="2358"/>
      <c r="F180" s="2358"/>
      <c r="G180" s="2358"/>
      <c r="H180" s="2358"/>
      <c r="I180" s="2358"/>
      <c r="J180" s="2344"/>
      <c r="K180" s="2344"/>
      <c r="L180" s="2344"/>
      <c r="M180" s="2358"/>
      <c r="N180" s="2358"/>
      <c r="O180" s="2358"/>
      <c r="P180" s="2358"/>
      <c r="Q180" s="2358"/>
      <c r="R180" s="2358"/>
      <c r="S180" s="2344"/>
      <c r="T180" s="2344"/>
      <c r="U180" s="2344"/>
      <c r="V180" s="2344"/>
      <c r="W180" s="2344"/>
      <c r="X180" s="2344"/>
      <c r="Y180" s="2344"/>
      <c r="Z180" s="2344"/>
      <c r="AA180" s="2344"/>
      <c r="AB180" s="2344"/>
      <c r="AC180" s="2344"/>
      <c r="AD180" s="2344"/>
      <c r="AE180" s="2344"/>
      <c r="AF180" s="2344"/>
      <c r="AG180" s="2344"/>
      <c r="AH180" s="2344"/>
      <c r="AI180" s="2344"/>
      <c r="AJ180" s="2344"/>
      <c r="AK180" s="2344"/>
      <c r="AL180" s="2344"/>
      <c r="AM180" s="2344"/>
      <c r="AN180" s="2345"/>
      <c r="AR180" s="156"/>
      <c r="AS180" s="156"/>
      <c r="AT180" s="156"/>
      <c r="AU180" s="395"/>
      <c r="AV180" s="395"/>
      <c r="AW180" s="395"/>
      <c r="AX180" s="1669"/>
      <c r="AY180" s="3"/>
      <c r="AZ180" s="3"/>
      <c r="BA180" s="3"/>
      <c r="BB180" s="3"/>
      <c r="BC180" s="3"/>
      <c r="BD180" s="3"/>
      <c r="BE180" s="3"/>
      <c r="BF180" s="3"/>
      <c r="BG180" s="3"/>
      <c r="BH180" s="3"/>
      <c r="BI180" s="3"/>
      <c r="BJ180" s="3"/>
      <c r="BK180" s="3"/>
      <c r="BL180" s="3"/>
      <c r="BM180" s="3"/>
      <c r="BN180" s="263"/>
      <c r="BO180" s="3"/>
      <c r="BQ180" s="1669"/>
      <c r="BR180" s="397"/>
      <c r="BS180" s="397"/>
      <c r="BT180" s="397"/>
      <c r="BV180" s="1669"/>
      <c r="BW180" s="397"/>
      <c r="BX180" s="397"/>
      <c r="BY180" s="397"/>
      <c r="CB180" s="428"/>
      <c r="CC180" s="428"/>
      <c r="CD180" s="428"/>
      <c r="CE180" s="1669"/>
      <c r="CF180" s="1620" t="str">
        <f>IFERROR(INDEX(N_Bedarf!$CE$2:$CE$304,_xlfn.AGGREGATE(15,6,(ROW(N_Bedarf!$CE$2:$CE$304)-1)/(--(SEARCH(CG$2,N_Bedarf!$CE$2:$CE$304)&gt;0)),ROW()-2),1),"")</f>
        <v/>
      </c>
      <c r="CG180" s="1620"/>
      <c r="CH180" s="1620" t="str">
        <f>IFERROR(INDEX(N_Bedarf!$CE$2:$CE$304,_xlfn.AGGREGATE(15,6,(ROW(N_Bedarf!$CE$2:$CE$304)-1)/(--(SEARCH(CI$2,N_Bedarf!$CE$2:$CE$304)&gt;0)),ROW()-2),1),"")</f>
        <v/>
      </c>
      <c r="CI180" s="1620"/>
      <c r="CJ180" s="1620" t="str">
        <f>IFERROR(INDEX(N_Bedarf!$CE$2:$CE$304,_xlfn.AGGREGATE(15,6,(ROW(N_Bedarf!$CE$2:$CE$304)-1)/(--(SEARCH(CK$2,N_Bedarf!$CE$2:$CE$304)&gt;0)),ROW()-2),1),"")</f>
        <v/>
      </c>
      <c r="CK180" s="1620"/>
      <c r="CL180" s="1620" t="str">
        <f>IFERROR(INDEX(N_Bedarf!$CE$2:$CE$304,_xlfn.AGGREGATE(15,6,(ROW(N_Bedarf!$CE$2:$CE$304)-1)/(--(SEARCH(CM$2,N_Bedarf!$CE$2:$CE$304)&gt;0)),ROW()-2),1),"")</f>
        <v/>
      </c>
      <c r="CM180" s="1620"/>
      <c r="CN180" s="1620" t="str">
        <f>IFERROR(INDEX(N_Bedarf!$CE$2:$CE$304,_xlfn.AGGREGATE(15,6,(ROW(N_Bedarf!$CE$2:$CE$304)-1)/(--(SEARCH(CO$2,N_Bedarf!$CE$2:$CE$304)&gt;0)),ROW()-2),1),"")</f>
        <v/>
      </c>
      <c r="CO180" s="1620"/>
      <c r="CP180" s="1620" t="str">
        <f>IFERROR(INDEX(N_Bedarf!$CE$2:$CE$304,_xlfn.AGGREGATE(15,6,(ROW(N_Bedarf!$CE$2:$CE$304)-1)/(--(SEARCH(CQ$2,N_Bedarf!$CE$2:$CE$304)&gt;0)),ROW()-2),1),"")</f>
        <v/>
      </c>
      <c r="CQ180" s="1620"/>
      <c r="CR180" s="1620" t="str">
        <f>IFERROR(INDEX(N_Bedarf!$CE$2:$CE$304,_xlfn.AGGREGATE(15,6,(ROW(N_Bedarf!$CE$2:$CE$304)-1)/(--(SEARCH(CS$2,N_Bedarf!$CE$2:$CE$304)&gt;0)),ROW()-2),1),"")</f>
        <v/>
      </c>
      <c r="CS180" s="1620"/>
      <c r="CT180" s="1620" t="str">
        <f>IFERROR(INDEX(N_Bedarf!$CE$2:$CE$304,_xlfn.AGGREGATE(15,6,(ROW(N_Bedarf!$CE$2:$CE$304)-1)/(--(SEARCH(CU$2,N_Bedarf!$CE$2:$CE$304)&gt;0)),ROW()-2),1),"")</f>
        <v/>
      </c>
      <c r="CU180" s="1620"/>
      <c r="CV180" s="1620" t="str">
        <f>IFERROR(INDEX(N_Bedarf!$CE$2:$CE$304,_xlfn.AGGREGATE(15,6,(ROW(N_Bedarf!$CE$2:$CE$304)-1)/(--(SEARCH(CW$2,N_Bedarf!$CE$2:$CE$304)&gt;0)),ROW()-2),1),"")</f>
        <v/>
      </c>
      <c r="CW180" s="1620"/>
      <c r="CX180" s="1620" t="str">
        <f>IFERROR(INDEX(N_Bedarf!$CE$2:$CE$304,_xlfn.AGGREGATE(15,6,(ROW(N_Bedarf!$CE$2:$CE$304)-1)/(--(SEARCH(CY$2,N_Bedarf!$CE$2:$CE$304)&gt;0)),ROW()-2),1),"")</f>
        <v/>
      </c>
      <c r="CY180" s="1620"/>
      <c r="CZ180" s="1620" t="str">
        <f>IFERROR(INDEX(N_Bedarf!$CE$2:$CE$304,_xlfn.AGGREGATE(15,6,(ROW(N_Bedarf!$CE$2:$CE$304)-1)/(--(SEARCH(DA$2,N_Bedarf!$CE$2:$CE$304)&gt;0)),ROW()-2),1),"")</f>
        <v/>
      </c>
      <c r="DA180" s="1620"/>
      <c r="DB180" s="1620" t="str">
        <f>IFERROR(INDEX(N_Bedarf!$CE$2:$CE$304,_xlfn.AGGREGATE(15,6,(ROW(N_Bedarf!$CE$2:$CE$304)-1)/(--(SEARCH(DC$2,N_Bedarf!$CE$2:$CE$304)&gt;0)),ROW()-2),1),"")</f>
        <v/>
      </c>
      <c r="DC180" s="1620"/>
      <c r="DD180" s="1620" t="str">
        <f>IFERROR(INDEX(N_Bedarf!$CE$2:$CE$304,_xlfn.AGGREGATE(15,6,(ROW(N_Bedarf!$CE$2:$CE$304)-1)/(--(SEARCH(DE$2,N_Bedarf!$CE$2:$CE$304)&gt;0)),ROW()-2),1),"")</f>
        <v/>
      </c>
      <c r="DE180" s="1620"/>
      <c r="ES180" s="768"/>
      <c r="ET180" s="768"/>
      <c r="EU180" s="768"/>
      <c r="EV180" s="768"/>
      <c r="EW180" s="768"/>
    </row>
    <row r="181" spans="3:153" s="394" customFormat="1" ht="21" customHeight="1" thickTop="1">
      <c r="C181" s="1754" t="s">
        <v>1868</v>
      </c>
      <c r="D181" s="1726" t="s">
        <v>714</v>
      </c>
      <c r="E181" s="1727">
        <v>0</v>
      </c>
      <c r="F181" s="1728" t="s">
        <v>1764</v>
      </c>
      <c r="G181" s="1987" t="s">
        <v>1773</v>
      </c>
      <c r="H181" s="1988">
        <v>0</v>
      </c>
      <c r="I181" s="1989"/>
      <c r="J181" s="1733"/>
      <c r="K181" s="1690"/>
      <c r="L181" s="1690"/>
      <c r="M181" s="1690"/>
      <c r="N181" s="1690"/>
      <c r="O181" s="1690"/>
      <c r="P181" s="1690"/>
      <c r="Q181" s="1690"/>
      <c r="R181" s="1690"/>
      <c r="S181" s="1776">
        <v>0</v>
      </c>
      <c r="T181" s="1777">
        <v>0</v>
      </c>
      <c r="U181" s="1778">
        <v>0</v>
      </c>
      <c r="V181" s="1779">
        <v>0</v>
      </c>
      <c r="W181" s="1777">
        <v>0</v>
      </c>
      <c r="X181" s="1778">
        <v>0</v>
      </c>
      <c r="Y181" s="2017">
        <v>0</v>
      </c>
      <c r="Z181" s="2018">
        <v>0</v>
      </c>
      <c r="AA181" s="2019">
        <v>0</v>
      </c>
      <c r="AB181" s="1780" t="s">
        <v>714</v>
      </c>
      <c r="AC181" s="1781" t="s">
        <v>714</v>
      </c>
      <c r="AD181" s="1776">
        <v>0</v>
      </c>
      <c r="AE181" s="1777">
        <v>0</v>
      </c>
      <c r="AF181" s="1778">
        <v>0</v>
      </c>
      <c r="AG181" s="1779">
        <v>0</v>
      </c>
      <c r="AH181" s="1777">
        <v>0</v>
      </c>
      <c r="AI181" s="1778">
        <v>0</v>
      </c>
      <c r="AJ181" s="2017">
        <v>0</v>
      </c>
      <c r="AK181" s="2018">
        <v>0</v>
      </c>
      <c r="AL181" s="2019">
        <v>0</v>
      </c>
      <c r="AM181" s="1780" t="s">
        <v>714</v>
      </c>
      <c r="AN181" s="1781" t="s">
        <v>714</v>
      </c>
      <c r="AR181" s="156"/>
      <c r="AS181" s="156"/>
      <c r="AT181" s="156"/>
      <c r="AU181" s="395"/>
      <c r="AV181" s="395"/>
      <c r="AW181" s="395"/>
      <c r="AX181" s="1669"/>
      <c r="AY181" s="3"/>
      <c r="AZ181" s="3"/>
      <c r="BA181" s="3"/>
      <c r="BB181" s="3"/>
      <c r="BC181" s="3"/>
      <c r="BD181" s="3"/>
      <c r="BE181" s="3"/>
      <c r="BF181" s="3"/>
      <c r="BG181" s="3"/>
      <c r="BH181" s="3"/>
      <c r="BI181" s="3"/>
      <c r="BJ181" s="3"/>
      <c r="BK181" s="3"/>
      <c r="BL181" s="3"/>
      <c r="BM181" s="3"/>
      <c r="BN181" s="263"/>
      <c r="BO181" s="3"/>
      <c r="BQ181" s="1669"/>
      <c r="BR181" s="397"/>
      <c r="BS181" s="397"/>
      <c r="BT181" s="397"/>
      <c r="BV181" s="1669"/>
      <c r="BW181" s="397"/>
      <c r="BX181" s="397"/>
      <c r="BY181" s="397"/>
      <c r="CB181" s="428"/>
      <c r="CC181" s="428"/>
      <c r="CD181" s="428"/>
      <c r="CE181" s="1669"/>
      <c r="CF181" s="1620" t="str">
        <f>IFERROR(INDEX(N_Bedarf!$CE$2:$CE$304,_xlfn.AGGREGATE(15,6,(ROW(N_Bedarf!$CE$2:$CE$304)-1)/(--(SEARCH(CG$2,N_Bedarf!$CE$2:$CE$304)&gt;0)),ROW()-2),1),"")</f>
        <v/>
      </c>
      <c r="CG181" s="1620"/>
      <c r="CH181" s="1620" t="str">
        <f>IFERROR(INDEX(N_Bedarf!$CE$2:$CE$304,_xlfn.AGGREGATE(15,6,(ROW(N_Bedarf!$CE$2:$CE$304)-1)/(--(SEARCH(CI$2,N_Bedarf!$CE$2:$CE$304)&gt;0)),ROW()-2),1),"")</f>
        <v/>
      </c>
      <c r="CI181" s="1620"/>
      <c r="CJ181" s="1620" t="str">
        <f>IFERROR(INDEX(N_Bedarf!$CE$2:$CE$304,_xlfn.AGGREGATE(15,6,(ROW(N_Bedarf!$CE$2:$CE$304)-1)/(--(SEARCH(CK$2,N_Bedarf!$CE$2:$CE$304)&gt;0)),ROW()-2),1),"")</f>
        <v/>
      </c>
      <c r="CK181" s="1620"/>
      <c r="CL181" s="1620" t="str">
        <f>IFERROR(INDEX(N_Bedarf!$CE$2:$CE$304,_xlfn.AGGREGATE(15,6,(ROW(N_Bedarf!$CE$2:$CE$304)-1)/(--(SEARCH(CM$2,N_Bedarf!$CE$2:$CE$304)&gt;0)),ROW()-2),1),"")</f>
        <v/>
      </c>
      <c r="CM181" s="1620"/>
      <c r="CN181" s="1620" t="str">
        <f>IFERROR(INDEX(N_Bedarf!$CE$2:$CE$304,_xlfn.AGGREGATE(15,6,(ROW(N_Bedarf!$CE$2:$CE$304)-1)/(--(SEARCH(CO$2,N_Bedarf!$CE$2:$CE$304)&gt;0)),ROW()-2),1),"")</f>
        <v/>
      </c>
      <c r="CO181" s="1620"/>
      <c r="CP181" s="1620" t="str">
        <f>IFERROR(INDEX(N_Bedarf!$CE$2:$CE$304,_xlfn.AGGREGATE(15,6,(ROW(N_Bedarf!$CE$2:$CE$304)-1)/(--(SEARCH(CQ$2,N_Bedarf!$CE$2:$CE$304)&gt;0)),ROW()-2),1),"")</f>
        <v/>
      </c>
      <c r="CQ181" s="1620"/>
      <c r="CR181" s="1620" t="str">
        <f>IFERROR(INDEX(N_Bedarf!$CE$2:$CE$304,_xlfn.AGGREGATE(15,6,(ROW(N_Bedarf!$CE$2:$CE$304)-1)/(--(SEARCH(CS$2,N_Bedarf!$CE$2:$CE$304)&gt;0)),ROW()-2),1),"")</f>
        <v/>
      </c>
      <c r="CS181" s="1620"/>
      <c r="CT181" s="1620" t="str">
        <f>IFERROR(INDEX(N_Bedarf!$CE$2:$CE$304,_xlfn.AGGREGATE(15,6,(ROW(N_Bedarf!$CE$2:$CE$304)-1)/(--(SEARCH(CU$2,N_Bedarf!$CE$2:$CE$304)&gt;0)),ROW()-2),1),"")</f>
        <v/>
      </c>
      <c r="CU181" s="1620"/>
      <c r="CV181" s="1620" t="str">
        <f>IFERROR(INDEX(N_Bedarf!$CE$2:$CE$304,_xlfn.AGGREGATE(15,6,(ROW(N_Bedarf!$CE$2:$CE$304)-1)/(--(SEARCH(CW$2,N_Bedarf!$CE$2:$CE$304)&gt;0)),ROW()-2),1),"")</f>
        <v/>
      </c>
      <c r="CW181" s="1620"/>
      <c r="CX181" s="1620" t="str">
        <f>IFERROR(INDEX(N_Bedarf!$CE$2:$CE$304,_xlfn.AGGREGATE(15,6,(ROW(N_Bedarf!$CE$2:$CE$304)-1)/(--(SEARCH(CY$2,N_Bedarf!$CE$2:$CE$304)&gt;0)),ROW()-2),1),"")</f>
        <v/>
      </c>
      <c r="CY181" s="1620"/>
      <c r="CZ181" s="1620" t="str">
        <f>IFERROR(INDEX(N_Bedarf!$CE$2:$CE$304,_xlfn.AGGREGATE(15,6,(ROW(N_Bedarf!$CE$2:$CE$304)-1)/(--(SEARCH(DA$2,N_Bedarf!$CE$2:$CE$304)&gt;0)),ROW()-2),1),"")</f>
        <v/>
      </c>
      <c r="DA181" s="1620"/>
      <c r="DB181" s="1620" t="str">
        <f>IFERROR(INDEX(N_Bedarf!$CE$2:$CE$304,_xlfn.AGGREGATE(15,6,(ROW(N_Bedarf!$CE$2:$CE$304)-1)/(--(SEARCH(DC$2,N_Bedarf!$CE$2:$CE$304)&gt;0)),ROW()-2),1),"")</f>
        <v/>
      </c>
      <c r="DC181" s="1620"/>
      <c r="DD181" s="1620" t="str">
        <f>IFERROR(INDEX(N_Bedarf!$CE$2:$CE$304,_xlfn.AGGREGATE(15,6,(ROW(N_Bedarf!$CE$2:$CE$304)-1)/(--(SEARCH(DE$2,N_Bedarf!$CE$2:$CE$304)&gt;0)),ROW()-2),1),"")</f>
        <v/>
      </c>
      <c r="DE181" s="1620"/>
      <c r="ES181" s="768"/>
      <c r="ET181" s="768"/>
      <c r="EU181" s="768"/>
      <c r="EV181" s="768"/>
      <c r="EW181" s="768"/>
    </row>
    <row r="182" spans="3:153" s="394" customFormat="1" ht="21" customHeight="1">
      <c r="C182" s="1758" t="s">
        <v>1869</v>
      </c>
      <c r="D182" s="1759" t="s">
        <v>1803</v>
      </c>
      <c r="E182" s="1729">
        <v>65</v>
      </c>
      <c r="F182" s="1760">
        <v>50</v>
      </c>
      <c r="G182" s="1993" t="s">
        <v>1870</v>
      </c>
      <c r="H182" s="1994">
        <v>80</v>
      </c>
      <c r="I182" s="1995">
        <v>50</v>
      </c>
      <c r="J182" s="1734"/>
      <c r="K182" s="1"/>
      <c r="L182" s="1"/>
      <c r="M182" s="1"/>
      <c r="N182" s="1"/>
      <c r="O182" s="1"/>
      <c r="P182" s="1"/>
      <c r="Q182" s="1" t="s">
        <v>1764</v>
      </c>
      <c r="R182" s="1"/>
      <c r="S182" s="1762">
        <v>105</v>
      </c>
      <c r="T182" s="1729">
        <v>105</v>
      </c>
      <c r="U182" s="1760">
        <v>105</v>
      </c>
      <c r="V182" s="1759">
        <v>90</v>
      </c>
      <c r="W182" s="1729">
        <v>90</v>
      </c>
      <c r="X182" s="1760">
        <v>90</v>
      </c>
      <c r="Y182" s="2009">
        <v>40</v>
      </c>
      <c r="Z182" s="2010">
        <v>40</v>
      </c>
      <c r="AA182" s="2011">
        <v>40</v>
      </c>
      <c r="AB182" s="1871" t="s">
        <v>714</v>
      </c>
      <c r="AC182" s="1763" t="s">
        <v>714</v>
      </c>
      <c r="AD182" s="1762">
        <v>240</v>
      </c>
      <c r="AE182" s="1729">
        <v>240</v>
      </c>
      <c r="AF182" s="1760">
        <v>240</v>
      </c>
      <c r="AG182" s="1759">
        <v>200</v>
      </c>
      <c r="AH182" s="1729">
        <v>200</v>
      </c>
      <c r="AI182" s="1760">
        <v>200</v>
      </c>
      <c r="AJ182" s="2009">
        <v>160</v>
      </c>
      <c r="AK182" s="2010">
        <v>160</v>
      </c>
      <c r="AL182" s="2011">
        <v>160</v>
      </c>
      <c r="AM182" s="1871">
        <v>80</v>
      </c>
      <c r="AN182" s="1763" t="s">
        <v>714</v>
      </c>
      <c r="AR182" s="156"/>
      <c r="AS182" s="156"/>
      <c r="AT182" s="156"/>
      <c r="AU182" s="395"/>
      <c r="AV182" s="395"/>
      <c r="AW182" s="395"/>
      <c r="AX182" s="1669"/>
      <c r="AY182" s="3"/>
      <c r="AZ182" s="3"/>
      <c r="BA182" s="3"/>
      <c r="BB182" s="3"/>
      <c r="BC182" s="3"/>
      <c r="BD182" s="3"/>
      <c r="BE182" s="3"/>
      <c r="BF182" s="3"/>
      <c r="BG182" s="3"/>
      <c r="BH182" s="3"/>
      <c r="BI182" s="3"/>
      <c r="BJ182" s="3"/>
      <c r="BK182" s="3"/>
      <c r="BL182" s="3"/>
      <c r="BM182" s="3"/>
      <c r="BN182" s="263"/>
      <c r="BO182" s="3"/>
      <c r="BQ182" s="1669"/>
      <c r="BR182" s="397"/>
      <c r="BS182" s="397"/>
      <c r="BT182" s="397"/>
      <c r="BV182" s="1669"/>
      <c r="BW182" s="397"/>
      <c r="BX182" s="397"/>
      <c r="BY182" s="397"/>
      <c r="CB182" s="428"/>
      <c r="CC182" s="428"/>
      <c r="CD182" s="428"/>
      <c r="CE182" s="1669"/>
      <c r="CF182" s="1620" t="str">
        <f>IFERROR(INDEX(N_Bedarf!$CE$2:$CE$304,_xlfn.AGGREGATE(15,6,(ROW(N_Bedarf!$CE$2:$CE$304)-1)/(--(SEARCH(CG$2,N_Bedarf!$CE$2:$CE$304)&gt;0)),ROW()-2),1),"")</f>
        <v/>
      </c>
      <c r="CG182" s="1620"/>
      <c r="CH182" s="1620" t="str">
        <f>IFERROR(INDEX(N_Bedarf!$CE$2:$CE$304,_xlfn.AGGREGATE(15,6,(ROW(N_Bedarf!$CE$2:$CE$304)-1)/(--(SEARCH(CI$2,N_Bedarf!$CE$2:$CE$304)&gt;0)),ROW()-2),1),"")</f>
        <v/>
      </c>
      <c r="CI182" s="1620"/>
      <c r="CJ182" s="1620" t="str">
        <f>IFERROR(INDEX(N_Bedarf!$CE$2:$CE$304,_xlfn.AGGREGATE(15,6,(ROW(N_Bedarf!$CE$2:$CE$304)-1)/(--(SEARCH(CK$2,N_Bedarf!$CE$2:$CE$304)&gt;0)),ROW()-2),1),"")</f>
        <v/>
      </c>
      <c r="CK182" s="1620"/>
      <c r="CL182" s="1620" t="str">
        <f>IFERROR(INDEX(N_Bedarf!$CE$2:$CE$304,_xlfn.AGGREGATE(15,6,(ROW(N_Bedarf!$CE$2:$CE$304)-1)/(--(SEARCH(CM$2,N_Bedarf!$CE$2:$CE$304)&gt;0)),ROW()-2),1),"")</f>
        <v/>
      </c>
      <c r="CM182" s="1620"/>
      <c r="CN182" s="1620" t="str">
        <f>IFERROR(INDEX(N_Bedarf!$CE$2:$CE$304,_xlfn.AGGREGATE(15,6,(ROW(N_Bedarf!$CE$2:$CE$304)-1)/(--(SEARCH(CO$2,N_Bedarf!$CE$2:$CE$304)&gt;0)),ROW()-2),1),"")</f>
        <v/>
      </c>
      <c r="CO182" s="1620"/>
      <c r="CP182" s="1620" t="str">
        <f>IFERROR(INDEX(N_Bedarf!$CE$2:$CE$304,_xlfn.AGGREGATE(15,6,(ROW(N_Bedarf!$CE$2:$CE$304)-1)/(--(SEARCH(CQ$2,N_Bedarf!$CE$2:$CE$304)&gt;0)),ROW()-2),1),"")</f>
        <v/>
      </c>
      <c r="CQ182" s="1620"/>
      <c r="CR182" s="1620" t="str">
        <f>IFERROR(INDEX(N_Bedarf!$CE$2:$CE$304,_xlfn.AGGREGATE(15,6,(ROW(N_Bedarf!$CE$2:$CE$304)-1)/(--(SEARCH(CS$2,N_Bedarf!$CE$2:$CE$304)&gt;0)),ROW()-2),1),"")</f>
        <v/>
      </c>
      <c r="CS182" s="1620"/>
      <c r="CT182" s="1620" t="str">
        <f>IFERROR(INDEX(N_Bedarf!$CE$2:$CE$304,_xlfn.AGGREGATE(15,6,(ROW(N_Bedarf!$CE$2:$CE$304)-1)/(--(SEARCH(CU$2,N_Bedarf!$CE$2:$CE$304)&gt;0)),ROW()-2),1),"")</f>
        <v/>
      </c>
      <c r="CU182" s="1620"/>
      <c r="CV182" s="1620" t="str">
        <f>IFERROR(INDEX(N_Bedarf!$CE$2:$CE$304,_xlfn.AGGREGATE(15,6,(ROW(N_Bedarf!$CE$2:$CE$304)-1)/(--(SEARCH(CW$2,N_Bedarf!$CE$2:$CE$304)&gt;0)),ROW()-2),1),"")</f>
        <v/>
      </c>
      <c r="CW182" s="1620"/>
      <c r="CX182" s="1620" t="str">
        <f>IFERROR(INDEX(N_Bedarf!$CE$2:$CE$304,_xlfn.AGGREGATE(15,6,(ROW(N_Bedarf!$CE$2:$CE$304)-1)/(--(SEARCH(CY$2,N_Bedarf!$CE$2:$CE$304)&gt;0)),ROW()-2),1),"")</f>
        <v/>
      </c>
      <c r="CY182" s="1620"/>
      <c r="CZ182" s="1620" t="str">
        <f>IFERROR(INDEX(N_Bedarf!$CE$2:$CE$304,_xlfn.AGGREGATE(15,6,(ROW(N_Bedarf!$CE$2:$CE$304)-1)/(--(SEARCH(DA$2,N_Bedarf!$CE$2:$CE$304)&gt;0)),ROW()-2),1),"")</f>
        <v/>
      </c>
      <c r="DA182" s="1620"/>
      <c r="DB182" s="1620" t="str">
        <f>IFERROR(INDEX(N_Bedarf!$CE$2:$CE$304,_xlfn.AGGREGATE(15,6,(ROW(N_Bedarf!$CE$2:$CE$304)-1)/(--(SEARCH(DC$2,N_Bedarf!$CE$2:$CE$304)&gt;0)),ROW()-2),1),"")</f>
        <v/>
      </c>
      <c r="DC182" s="1620"/>
      <c r="DD182" s="1620" t="str">
        <f>IFERROR(INDEX(N_Bedarf!$CE$2:$CE$304,_xlfn.AGGREGATE(15,6,(ROW(N_Bedarf!$CE$2:$CE$304)-1)/(--(SEARCH(DE$2,N_Bedarf!$CE$2:$CE$304)&gt;0)),ROW()-2),1),"")</f>
        <v/>
      </c>
      <c r="DE182" s="1620"/>
      <c r="ES182" s="768"/>
      <c r="ET182" s="768"/>
      <c r="EU182" s="768"/>
      <c r="EV182" s="768"/>
      <c r="EW182" s="768"/>
    </row>
    <row r="183" spans="3:153" s="394" customFormat="1" ht="21" customHeight="1">
      <c r="C183" s="1758" t="s">
        <v>1871</v>
      </c>
      <c r="D183" s="1759" t="s">
        <v>1803</v>
      </c>
      <c r="E183" s="1729">
        <v>50</v>
      </c>
      <c r="F183" s="1760">
        <v>50</v>
      </c>
      <c r="G183" s="1993" t="s">
        <v>1870</v>
      </c>
      <c r="H183" s="1994">
        <v>60</v>
      </c>
      <c r="I183" s="1995">
        <v>50</v>
      </c>
      <c r="J183" s="1734"/>
      <c r="K183" s="1"/>
      <c r="L183" s="1"/>
      <c r="M183" s="1"/>
      <c r="N183" s="1"/>
      <c r="O183" s="1"/>
      <c r="P183" s="1"/>
      <c r="Q183" s="1" t="s">
        <v>1764</v>
      </c>
      <c r="R183" s="1"/>
      <c r="S183" s="1762">
        <v>105</v>
      </c>
      <c r="T183" s="1729">
        <v>105</v>
      </c>
      <c r="U183" s="1760">
        <v>105</v>
      </c>
      <c r="V183" s="1759">
        <v>90</v>
      </c>
      <c r="W183" s="1729">
        <v>90</v>
      </c>
      <c r="X183" s="1760">
        <v>90</v>
      </c>
      <c r="Y183" s="2009">
        <v>40</v>
      </c>
      <c r="Z183" s="2010">
        <v>40</v>
      </c>
      <c r="AA183" s="2011">
        <v>40</v>
      </c>
      <c r="AB183" s="1871" t="s">
        <v>714</v>
      </c>
      <c r="AC183" s="1763" t="s">
        <v>714</v>
      </c>
      <c r="AD183" s="1762">
        <v>240</v>
      </c>
      <c r="AE183" s="1729">
        <v>240</v>
      </c>
      <c r="AF183" s="1760">
        <v>240</v>
      </c>
      <c r="AG183" s="1759">
        <v>200</v>
      </c>
      <c r="AH183" s="1729">
        <v>200</v>
      </c>
      <c r="AI183" s="1760">
        <v>200</v>
      </c>
      <c r="AJ183" s="2009">
        <v>160</v>
      </c>
      <c r="AK183" s="2010">
        <v>160</v>
      </c>
      <c r="AL183" s="2011">
        <v>160</v>
      </c>
      <c r="AM183" s="1871">
        <v>80</v>
      </c>
      <c r="AN183" s="1763" t="s">
        <v>714</v>
      </c>
      <c r="AR183" s="156"/>
      <c r="AS183" s="156"/>
      <c r="AT183" s="156"/>
      <c r="AU183" s="395"/>
      <c r="AV183" s="395"/>
      <c r="AW183" s="395"/>
      <c r="AX183" s="1669"/>
      <c r="AY183" s="3"/>
      <c r="AZ183" s="3"/>
      <c r="BA183" s="3"/>
      <c r="BB183" s="3"/>
      <c r="BC183" s="3"/>
      <c r="BD183" s="3"/>
      <c r="BE183" s="3"/>
      <c r="BF183" s="3"/>
      <c r="BG183" s="3"/>
      <c r="BH183" s="3"/>
      <c r="BI183" s="3"/>
      <c r="BJ183" s="3"/>
      <c r="BK183" s="3"/>
      <c r="BL183" s="3"/>
      <c r="BM183" s="3"/>
      <c r="BN183" s="263"/>
      <c r="BO183" s="3"/>
      <c r="BQ183" s="1669"/>
      <c r="BR183" s="397"/>
      <c r="BS183" s="397"/>
      <c r="BT183" s="397"/>
      <c r="BV183" s="1669"/>
      <c r="BW183" s="397"/>
      <c r="BX183" s="397"/>
      <c r="BY183" s="397"/>
      <c r="CB183" s="428"/>
      <c r="CC183" s="428"/>
      <c r="CD183" s="428"/>
      <c r="CE183" s="1669"/>
      <c r="CF183" s="1620" t="str">
        <f>IFERROR(INDEX(N_Bedarf!$CE$2:$CE$304,_xlfn.AGGREGATE(15,6,(ROW(N_Bedarf!$CE$2:$CE$304)-1)/(--(SEARCH(CG$2,N_Bedarf!$CE$2:$CE$304)&gt;0)),ROW()-2),1),"")</f>
        <v/>
      </c>
      <c r="CG183" s="1620"/>
      <c r="CH183" s="1620" t="str">
        <f>IFERROR(INDEX(N_Bedarf!$CE$2:$CE$304,_xlfn.AGGREGATE(15,6,(ROW(N_Bedarf!$CE$2:$CE$304)-1)/(--(SEARCH(CI$2,N_Bedarf!$CE$2:$CE$304)&gt;0)),ROW()-2),1),"")</f>
        <v/>
      </c>
      <c r="CI183" s="1620"/>
      <c r="CJ183" s="1620" t="str">
        <f>IFERROR(INDEX(N_Bedarf!$CE$2:$CE$304,_xlfn.AGGREGATE(15,6,(ROW(N_Bedarf!$CE$2:$CE$304)-1)/(--(SEARCH(CK$2,N_Bedarf!$CE$2:$CE$304)&gt;0)),ROW()-2),1),"")</f>
        <v/>
      </c>
      <c r="CK183" s="1620"/>
      <c r="CL183" s="1620" t="str">
        <f>IFERROR(INDEX(N_Bedarf!$CE$2:$CE$304,_xlfn.AGGREGATE(15,6,(ROW(N_Bedarf!$CE$2:$CE$304)-1)/(--(SEARCH(CM$2,N_Bedarf!$CE$2:$CE$304)&gt;0)),ROW()-2),1),"")</f>
        <v/>
      </c>
      <c r="CM183" s="1620"/>
      <c r="CN183" s="1620" t="str">
        <f>IFERROR(INDEX(N_Bedarf!$CE$2:$CE$304,_xlfn.AGGREGATE(15,6,(ROW(N_Bedarf!$CE$2:$CE$304)-1)/(--(SEARCH(CO$2,N_Bedarf!$CE$2:$CE$304)&gt;0)),ROW()-2),1),"")</f>
        <v/>
      </c>
      <c r="CO183" s="1620"/>
      <c r="CP183" s="1620" t="str">
        <f>IFERROR(INDEX(N_Bedarf!$CE$2:$CE$304,_xlfn.AGGREGATE(15,6,(ROW(N_Bedarf!$CE$2:$CE$304)-1)/(--(SEARCH(CQ$2,N_Bedarf!$CE$2:$CE$304)&gt;0)),ROW()-2),1),"")</f>
        <v/>
      </c>
      <c r="CQ183" s="1620"/>
      <c r="CR183" s="1620" t="str">
        <f>IFERROR(INDEX(N_Bedarf!$CE$2:$CE$304,_xlfn.AGGREGATE(15,6,(ROW(N_Bedarf!$CE$2:$CE$304)-1)/(--(SEARCH(CS$2,N_Bedarf!$CE$2:$CE$304)&gt;0)),ROW()-2),1),"")</f>
        <v/>
      </c>
      <c r="CS183" s="1620"/>
      <c r="CT183" s="1620" t="str">
        <f>IFERROR(INDEX(N_Bedarf!$CE$2:$CE$304,_xlfn.AGGREGATE(15,6,(ROW(N_Bedarf!$CE$2:$CE$304)-1)/(--(SEARCH(CU$2,N_Bedarf!$CE$2:$CE$304)&gt;0)),ROW()-2),1),"")</f>
        <v/>
      </c>
      <c r="CU183" s="1620"/>
      <c r="CV183" s="1620" t="str">
        <f>IFERROR(INDEX(N_Bedarf!$CE$2:$CE$304,_xlfn.AGGREGATE(15,6,(ROW(N_Bedarf!$CE$2:$CE$304)-1)/(--(SEARCH(CW$2,N_Bedarf!$CE$2:$CE$304)&gt;0)),ROW()-2),1),"")</f>
        <v/>
      </c>
      <c r="CW183" s="1620"/>
      <c r="CX183" s="1620" t="str">
        <f>IFERROR(INDEX(N_Bedarf!$CE$2:$CE$304,_xlfn.AGGREGATE(15,6,(ROW(N_Bedarf!$CE$2:$CE$304)-1)/(--(SEARCH(CY$2,N_Bedarf!$CE$2:$CE$304)&gt;0)),ROW()-2),1),"")</f>
        <v/>
      </c>
      <c r="CY183" s="1620"/>
      <c r="CZ183" s="1620" t="str">
        <f>IFERROR(INDEX(N_Bedarf!$CE$2:$CE$304,_xlfn.AGGREGATE(15,6,(ROW(N_Bedarf!$CE$2:$CE$304)-1)/(--(SEARCH(DA$2,N_Bedarf!$CE$2:$CE$304)&gt;0)),ROW()-2),1),"")</f>
        <v/>
      </c>
      <c r="DA183" s="1620"/>
      <c r="DB183" s="1620" t="str">
        <f>IFERROR(INDEX(N_Bedarf!$CE$2:$CE$304,_xlfn.AGGREGATE(15,6,(ROW(N_Bedarf!$CE$2:$CE$304)-1)/(--(SEARCH(DC$2,N_Bedarf!$CE$2:$CE$304)&gt;0)),ROW()-2),1),"")</f>
        <v/>
      </c>
      <c r="DC183" s="1620"/>
      <c r="DD183" s="1620" t="str">
        <f>IFERROR(INDEX(N_Bedarf!$CE$2:$CE$304,_xlfn.AGGREGATE(15,6,(ROW(N_Bedarf!$CE$2:$CE$304)-1)/(--(SEARCH(DE$2,N_Bedarf!$CE$2:$CE$304)&gt;0)),ROW()-2),1),"")</f>
        <v/>
      </c>
      <c r="DE183" s="1620"/>
      <c r="ES183" s="768"/>
      <c r="ET183" s="768"/>
      <c r="EU183" s="768"/>
      <c r="EV183" s="768"/>
      <c r="EW183" s="768"/>
    </row>
    <row r="184" spans="3:153" s="394" customFormat="1" ht="21" customHeight="1">
      <c r="C184" s="1758" t="s">
        <v>1872</v>
      </c>
      <c r="D184" s="1759" t="s">
        <v>1803</v>
      </c>
      <c r="E184" s="1729">
        <v>55</v>
      </c>
      <c r="F184" s="1760">
        <v>50</v>
      </c>
      <c r="G184" s="1993" t="s">
        <v>1870</v>
      </c>
      <c r="H184" s="1994">
        <v>50</v>
      </c>
      <c r="I184" s="1995">
        <v>50</v>
      </c>
      <c r="J184" s="1734"/>
      <c r="K184" s="1"/>
      <c r="L184" s="1"/>
      <c r="M184" s="1"/>
      <c r="N184" s="1"/>
      <c r="O184" s="1"/>
      <c r="P184" s="1"/>
      <c r="Q184" s="1" t="s">
        <v>1764</v>
      </c>
      <c r="R184" s="1"/>
      <c r="S184" s="1762">
        <v>105</v>
      </c>
      <c r="T184" s="1729">
        <v>105</v>
      </c>
      <c r="U184" s="1760">
        <v>105</v>
      </c>
      <c r="V184" s="1759">
        <v>90</v>
      </c>
      <c r="W184" s="1729">
        <v>90</v>
      </c>
      <c r="X184" s="1760">
        <v>90</v>
      </c>
      <c r="Y184" s="2009">
        <v>40</v>
      </c>
      <c r="Z184" s="2010">
        <v>40</v>
      </c>
      <c r="AA184" s="2011">
        <v>40</v>
      </c>
      <c r="AB184" s="1871" t="s">
        <v>714</v>
      </c>
      <c r="AC184" s="1763" t="s">
        <v>714</v>
      </c>
      <c r="AD184" s="1762">
        <v>240</v>
      </c>
      <c r="AE184" s="1729">
        <v>240</v>
      </c>
      <c r="AF184" s="1760">
        <v>240</v>
      </c>
      <c r="AG184" s="1759">
        <v>200</v>
      </c>
      <c r="AH184" s="1729">
        <v>200</v>
      </c>
      <c r="AI184" s="1760">
        <v>200</v>
      </c>
      <c r="AJ184" s="2009">
        <v>160</v>
      </c>
      <c r="AK184" s="2010">
        <v>160</v>
      </c>
      <c r="AL184" s="2011">
        <v>160</v>
      </c>
      <c r="AM184" s="1871">
        <v>80</v>
      </c>
      <c r="AN184" s="1763" t="s">
        <v>714</v>
      </c>
      <c r="AR184" s="156"/>
      <c r="AS184" s="156"/>
      <c r="AT184" s="156"/>
      <c r="AU184" s="395"/>
      <c r="AV184" s="395"/>
      <c r="AW184" s="395"/>
      <c r="AX184" s="1669"/>
      <c r="AY184" s="3"/>
      <c r="AZ184" s="3"/>
      <c r="BA184" s="3"/>
      <c r="BB184" s="3"/>
      <c r="BC184" s="3"/>
      <c r="BD184" s="3"/>
      <c r="BE184" s="3"/>
      <c r="BF184" s="3"/>
      <c r="BG184" s="3"/>
      <c r="BH184" s="3"/>
      <c r="BI184" s="3"/>
      <c r="BJ184" s="3"/>
      <c r="BK184" s="3"/>
      <c r="BL184" s="3"/>
      <c r="BM184" s="3"/>
      <c r="BN184" s="263"/>
      <c r="BO184" s="3"/>
      <c r="BQ184" s="1669"/>
      <c r="BR184" s="397"/>
      <c r="BS184" s="397"/>
      <c r="BT184" s="397"/>
      <c r="BV184" s="1669"/>
      <c r="BW184" s="397"/>
      <c r="BX184" s="397"/>
      <c r="BY184" s="397"/>
      <c r="CB184" s="428"/>
      <c r="CC184" s="428"/>
      <c r="CD184" s="428"/>
      <c r="CE184" s="1669"/>
      <c r="CF184" s="1620" t="str">
        <f>IFERROR(INDEX(N_Bedarf!$CE$2:$CE$304,_xlfn.AGGREGATE(15,6,(ROW(N_Bedarf!$CE$2:$CE$304)-1)/(--(SEARCH(CG$2,N_Bedarf!$CE$2:$CE$304)&gt;0)),ROW()-2),1),"")</f>
        <v/>
      </c>
      <c r="CG184" s="1620"/>
      <c r="CH184" s="1620" t="str">
        <f>IFERROR(INDEX(N_Bedarf!$CE$2:$CE$304,_xlfn.AGGREGATE(15,6,(ROW(N_Bedarf!$CE$2:$CE$304)-1)/(--(SEARCH(CI$2,N_Bedarf!$CE$2:$CE$304)&gt;0)),ROW()-2),1),"")</f>
        <v/>
      </c>
      <c r="CI184" s="1620"/>
      <c r="CJ184" s="1620" t="str">
        <f>IFERROR(INDEX(N_Bedarf!$CE$2:$CE$304,_xlfn.AGGREGATE(15,6,(ROW(N_Bedarf!$CE$2:$CE$304)-1)/(--(SEARCH(CK$2,N_Bedarf!$CE$2:$CE$304)&gt;0)),ROW()-2),1),"")</f>
        <v/>
      </c>
      <c r="CK184" s="1620"/>
      <c r="CL184" s="1620" t="str">
        <f>IFERROR(INDEX(N_Bedarf!$CE$2:$CE$304,_xlfn.AGGREGATE(15,6,(ROW(N_Bedarf!$CE$2:$CE$304)-1)/(--(SEARCH(CM$2,N_Bedarf!$CE$2:$CE$304)&gt;0)),ROW()-2),1),"")</f>
        <v/>
      </c>
      <c r="CM184" s="1620"/>
      <c r="CN184" s="1620" t="str">
        <f>IFERROR(INDEX(N_Bedarf!$CE$2:$CE$304,_xlfn.AGGREGATE(15,6,(ROW(N_Bedarf!$CE$2:$CE$304)-1)/(--(SEARCH(CO$2,N_Bedarf!$CE$2:$CE$304)&gt;0)),ROW()-2),1),"")</f>
        <v/>
      </c>
      <c r="CO184" s="1620"/>
      <c r="CP184" s="1620" t="str">
        <f>IFERROR(INDEX(N_Bedarf!$CE$2:$CE$304,_xlfn.AGGREGATE(15,6,(ROW(N_Bedarf!$CE$2:$CE$304)-1)/(--(SEARCH(CQ$2,N_Bedarf!$CE$2:$CE$304)&gt;0)),ROW()-2),1),"")</f>
        <v/>
      </c>
      <c r="CQ184" s="1620"/>
      <c r="CR184" s="1620" t="str">
        <f>IFERROR(INDEX(N_Bedarf!$CE$2:$CE$304,_xlfn.AGGREGATE(15,6,(ROW(N_Bedarf!$CE$2:$CE$304)-1)/(--(SEARCH(CS$2,N_Bedarf!$CE$2:$CE$304)&gt;0)),ROW()-2),1),"")</f>
        <v/>
      </c>
      <c r="CS184" s="1620"/>
      <c r="CT184" s="1620" t="str">
        <f>IFERROR(INDEX(N_Bedarf!$CE$2:$CE$304,_xlfn.AGGREGATE(15,6,(ROW(N_Bedarf!$CE$2:$CE$304)-1)/(--(SEARCH(CU$2,N_Bedarf!$CE$2:$CE$304)&gt;0)),ROW()-2),1),"")</f>
        <v/>
      </c>
      <c r="CU184" s="1620"/>
      <c r="CV184" s="1620" t="str">
        <f>IFERROR(INDEX(N_Bedarf!$CE$2:$CE$304,_xlfn.AGGREGATE(15,6,(ROW(N_Bedarf!$CE$2:$CE$304)-1)/(--(SEARCH(CW$2,N_Bedarf!$CE$2:$CE$304)&gt;0)),ROW()-2),1),"")</f>
        <v/>
      </c>
      <c r="CW184" s="1620"/>
      <c r="CX184" s="1620" t="str">
        <f>IFERROR(INDEX(N_Bedarf!$CE$2:$CE$304,_xlfn.AGGREGATE(15,6,(ROW(N_Bedarf!$CE$2:$CE$304)-1)/(--(SEARCH(CY$2,N_Bedarf!$CE$2:$CE$304)&gt;0)),ROW()-2),1),"")</f>
        <v/>
      </c>
      <c r="CY184" s="1620"/>
      <c r="CZ184" s="1620" t="str">
        <f>IFERROR(INDEX(N_Bedarf!$CE$2:$CE$304,_xlfn.AGGREGATE(15,6,(ROW(N_Bedarf!$CE$2:$CE$304)-1)/(--(SEARCH(DA$2,N_Bedarf!$CE$2:$CE$304)&gt;0)),ROW()-2),1),"")</f>
        <v/>
      </c>
      <c r="DA184" s="1620"/>
      <c r="DB184" s="1620" t="str">
        <f>IFERROR(INDEX(N_Bedarf!$CE$2:$CE$304,_xlfn.AGGREGATE(15,6,(ROW(N_Bedarf!$CE$2:$CE$304)-1)/(--(SEARCH(DC$2,N_Bedarf!$CE$2:$CE$304)&gt;0)),ROW()-2),1),"")</f>
        <v/>
      </c>
      <c r="DC184" s="1620"/>
      <c r="DD184" s="1620" t="str">
        <f>IFERROR(INDEX(N_Bedarf!$CE$2:$CE$304,_xlfn.AGGREGATE(15,6,(ROW(N_Bedarf!$CE$2:$CE$304)-1)/(--(SEARCH(DE$2,N_Bedarf!$CE$2:$CE$304)&gt;0)),ROW()-2),1),"")</f>
        <v/>
      </c>
      <c r="DE184" s="1620"/>
      <c r="ES184" s="768"/>
      <c r="ET184" s="768"/>
      <c r="EU184" s="768"/>
      <c r="EV184" s="768"/>
      <c r="EW184" s="768"/>
    </row>
    <row r="185" spans="3:153" s="394" customFormat="1" ht="21" customHeight="1">
      <c r="C185" s="1758" t="s">
        <v>1873</v>
      </c>
      <c r="D185" s="1759" t="s">
        <v>1803</v>
      </c>
      <c r="E185" s="1729">
        <v>40</v>
      </c>
      <c r="F185" s="1760">
        <v>40</v>
      </c>
      <c r="G185" s="1993" t="s">
        <v>1870</v>
      </c>
      <c r="H185" s="1994">
        <v>70</v>
      </c>
      <c r="I185" s="1995">
        <v>50</v>
      </c>
      <c r="J185" s="1734"/>
      <c r="K185" s="1"/>
      <c r="L185" s="1"/>
      <c r="M185" s="1"/>
      <c r="N185" s="1"/>
      <c r="O185" s="1"/>
      <c r="P185" s="1"/>
      <c r="Q185" s="1" t="s">
        <v>1764</v>
      </c>
      <c r="R185" s="1"/>
      <c r="S185" s="1762">
        <v>105</v>
      </c>
      <c r="T185" s="1729">
        <v>105</v>
      </c>
      <c r="U185" s="1760">
        <v>105</v>
      </c>
      <c r="V185" s="1759">
        <v>90</v>
      </c>
      <c r="W185" s="1729">
        <v>90</v>
      </c>
      <c r="X185" s="1760">
        <v>90</v>
      </c>
      <c r="Y185" s="2009">
        <v>40</v>
      </c>
      <c r="Z185" s="2010">
        <v>40</v>
      </c>
      <c r="AA185" s="2011">
        <v>40</v>
      </c>
      <c r="AB185" s="1871" t="s">
        <v>714</v>
      </c>
      <c r="AC185" s="1763" t="s">
        <v>714</v>
      </c>
      <c r="AD185" s="1762">
        <v>240</v>
      </c>
      <c r="AE185" s="1729">
        <v>240</v>
      </c>
      <c r="AF185" s="1760">
        <v>240</v>
      </c>
      <c r="AG185" s="1759">
        <v>200</v>
      </c>
      <c r="AH185" s="1729">
        <v>200</v>
      </c>
      <c r="AI185" s="1760">
        <v>200</v>
      </c>
      <c r="AJ185" s="2009">
        <v>160</v>
      </c>
      <c r="AK185" s="2010">
        <v>160</v>
      </c>
      <c r="AL185" s="2011">
        <v>160</v>
      </c>
      <c r="AM185" s="1871">
        <v>80</v>
      </c>
      <c r="AN185" s="1763" t="s">
        <v>714</v>
      </c>
      <c r="AR185" s="156"/>
      <c r="AS185" s="156"/>
      <c r="AT185" s="156"/>
      <c r="AU185" s="395"/>
      <c r="AV185" s="395"/>
      <c r="AW185" s="395"/>
      <c r="AX185" s="1669"/>
      <c r="AY185" s="3"/>
      <c r="AZ185" s="3"/>
      <c r="BA185" s="3"/>
      <c r="BB185" s="3"/>
      <c r="BC185" s="3"/>
      <c r="BD185" s="3"/>
      <c r="BE185" s="3"/>
      <c r="BF185" s="3"/>
      <c r="BG185" s="3"/>
      <c r="BH185" s="3"/>
      <c r="BI185" s="3"/>
      <c r="BJ185" s="3"/>
      <c r="BK185" s="3"/>
      <c r="BL185" s="3"/>
      <c r="BM185" s="3"/>
      <c r="BN185" s="263"/>
      <c r="BO185" s="3"/>
      <c r="BQ185" s="1669"/>
      <c r="BR185" s="397"/>
      <c r="BS185" s="397"/>
      <c r="BT185" s="397"/>
      <c r="BV185" s="1669"/>
      <c r="BW185" s="397"/>
      <c r="BX185" s="397"/>
      <c r="BY185" s="397"/>
      <c r="CB185" s="428"/>
      <c r="CC185" s="428"/>
      <c r="CD185" s="428"/>
      <c r="CE185" s="1669"/>
      <c r="CF185" s="1620" t="str">
        <f>IFERROR(INDEX(N_Bedarf!$CE$2:$CE$304,_xlfn.AGGREGATE(15,6,(ROW(N_Bedarf!$CE$2:$CE$304)-1)/(--(SEARCH(CG$2,N_Bedarf!$CE$2:$CE$304)&gt;0)),ROW()-2),1),"")</f>
        <v/>
      </c>
      <c r="CG185" s="1620"/>
      <c r="CH185" s="1620" t="str">
        <f>IFERROR(INDEX(N_Bedarf!$CE$2:$CE$304,_xlfn.AGGREGATE(15,6,(ROW(N_Bedarf!$CE$2:$CE$304)-1)/(--(SEARCH(CI$2,N_Bedarf!$CE$2:$CE$304)&gt;0)),ROW()-2),1),"")</f>
        <v/>
      </c>
      <c r="CI185" s="1620"/>
      <c r="CJ185" s="1620" t="str">
        <f>IFERROR(INDEX(N_Bedarf!$CE$2:$CE$304,_xlfn.AGGREGATE(15,6,(ROW(N_Bedarf!$CE$2:$CE$304)-1)/(--(SEARCH(CK$2,N_Bedarf!$CE$2:$CE$304)&gt;0)),ROW()-2),1),"")</f>
        <v/>
      </c>
      <c r="CK185" s="1620"/>
      <c r="CL185" s="1620" t="str">
        <f>IFERROR(INDEX(N_Bedarf!$CE$2:$CE$304,_xlfn.AGGREGATE(15,6,(ROW(N_Bedarf!$CE$2:$CE$304)-1)/(--(SEARCH(CM$2,N_Bedarf!$CE$2:$CE$304)&gt;0)),ROW()-2),1),"")</f>
        <v/>
      </c>
      <c r="CM185" s="1620"/>
      <c r="CN185" s="1620" t="str">
        <f>IFERROR(INDEX(N_Bedarf!$CE$2:$CE$304,_xlfn.AGGREGATE(15,6,(ROW(N_Bedarf!$CE$2:$CE$304)-1)/(--(SEARCH(CO$2,N_Bedarf!$CE$2:$CE$304)&gt;0)),ROW()-2),1),"")</f>
        <v/>
      </c>
      <c r="CO185" s="1620"/>
      <c r="CP185" s="1620" t="str">
        <f>IFERROR(INDEX(N_Bedarf!$CE$2:$CE$304,_xlfn.AGGREGATE(15,6,(ROW(N_Bedarf!$CE$2:$CE$304)-1)/(--(SEARCH(CQ$2,N_Bedarf!$CE$2:$CE$304)&gt;0)),ROW()-2),1),"")</f>
        <v/>
      </c>
      <c r="CQ185" s="1620"/>
      <c r="CR185" s="1620" t="str">
        <f>IFERROR(INDEX(N_Bedarf!$CE$2:$CE$304,_xlfn.AGGREGATE(15,6,(ROW(N_Bedarf!$CE$2:$CE$304)-1)/(--(SEARCH(CS$2,N_Bedarf!$CE$2:$CE$304)&gt;0)),ROW()-2),1),"")</f>
        <v/>
      </c>
      <c r="CS185" s="1620"/>
      <c r="CT185" s="1620" t="str">
        <f>IFERROR(INDEX(N_Bedarf!$CE$2:$CE$304,_xlfn.AGGREGATE(15,6,(ROW(N_Bedarf!$CE$2:$CE$304)-1)/(--(SEARCH(CU$2,N_Bedarf!$CE$2:$CE$304)&gt;0)),ROW()-2),1),"")</f>
        <v/>
      </c>
      <c r="CU185" s="1620"/>
      <c r="CV185" s="1620" t="str">
        <f>IFERROR(INDEX(N_Bedarf!$CE$2:$CE$304,_xlfn.AGGREGATE(15,6,(ROW(N_Bedarf!$CE$2:$CE$304)-1)/(--(SEARCH(CW$2,N_Bedarf!$CE$2:$CE$304)&gt;0)),ROW()-2),1),"")</f>
        <v/>
      </c>
      <c r="CW185" s="1620"/>
      <c r="CX185" s="1620" t="str">
        <f>IFERROR(INDEX(N_Bedarf!$CE$2:$CE$304,_xlfn.AGGREGATE(15,6,(ROW(N_Bedarf!$CE$2:$CE$304)-1)/(--(SEARCH(CY$2,N_Bedarf!$CE$2:$CE$304)&gt;0)),ROW()-2),1),"")</f>
        <v/>
      </c>
      <c r="CY185" s="1620"/>
      <c r="CZ185" s="1620" t="str">
        <f>IFERROR(INDEX(N_Bedarf!$CE$2:$CE$304,_xlfn.AGGREGATE(15,6,(ROW(N_Bedarf!$CE$2:$CE$304)-1)/(--(SEARCH(DA$2,N_Bedarf!$CE$2:$CE$304)&gt;0)),ROW()-2),1),"")</f>
        <v/>
      </c>
      <c r="DA185" s="1620"/>
      <c r="DB185" s="1620" t="str">
        <f>IFERROR(INDEX(N_Bedarf!$CE$2:$CE$304,_xlfn.AGGREGATE(15,6,(ROW(N_Bedarf!$CE$2:$CE$304)-1)/(--(SEARCH(DC$2,N_Bedarf!$CE$2:$CE$304)&gt;0)),ROW()-2),1),"")</f>
        <v/>
      </c>
      <c r="DC185" s="1620"/>
      <c r="DD185" s="1620" t="str">
        <f>IFERROR(INDEX(N_Bedarf!$CE$2:$CE$304,_xlfn.AGGREGATE(15,6,(ROW(N_Bedarf!$CE$2:$CE$304)-1)/(--(SEARCH(DE$2,N_Bedarf!$CE$2:$CE$304)&gt;0)),ROW()-2),1),"")</f>
        <v/>
      </c>
      <c r="DE185" s="1620"/>
      <c r="ES185" s="768"/>
      <c r="ET185" s="768"/>
      <c r="EU185" s="768"/>
      <c r="EV185" s="768"/>
      <c r="EW185" s="768"/>
    </row>
    <row r="186" spans="3:153" s="394" customFormat="1" ht="21" customHeight="1">
      <c r="C186" s="1758" t="s">
        <v>1874</v>
      </c>
      <c r="D186" s="1759" t="s">
        <v>1803</v>
      </c>
      <c r="E186" s="1729">
        <v>40</v>
      </c>
      <c r="F186" s="1760">
        <v>40</v>
      </c>
      <c r="G186" s="1993" t="s">
        <v>1870</v>
      </c>
      <c r="H186" s="1994">
        <v>50</v>
      </c>
      <c r="I186" s="1995">
        <v>50</v>
      </c>
      <c r="J186" s="1734"/>
      <c r="K186" s="1"/>
      <c r="L186" s="1"/>
      <c r="M186" s="1"/>
      <c r="N186" s="1"/>
      <c r="O186" s="1"/>
      <c r="P186" s="1"/>
      <c r="Q186" s="1" t="s">
        <v>1764</v>
      </c>
      <c r="R186" s="1"/>
      <c r="S186" s="1762">
        <v>105</v>
      </c>
      <c r="T186" s="1729">
        <v>105</v>
      </c>
      <c r="U186" s="1760">
        <v>105</v>
      </c>
      <c r="V186" s="1759">
        <v>90</v>
      </c>
      <c r="W186" s="1729">
        <v>90</v>
      </c>
      <c r="X186" s="1760">
        <v>90</v>
      </c>
      <c r="Y186" s="2009">
        <v>40</v>
      </c>
      <c r="Z186" s="2010">
        <v>40</v>
      </c>
      <c r="AA186" s="2011">
        <v>40</v>
      </c>
      <c r="AB186" s="1871" t="s">
        <v>714</v>
      </c>
      <c r="AC186" s="1763" t="s">
        <v>714</v>
      </c>
      <c r="AD186" s="1762">
        <v>240</v>
      </c>
      <c r="AE186" s="1729">
        <v>240</v>
      </c>
      <c r="AF186" s="1760">
        <v>240</v>
      </c>
      <c r="AG186" s="1759">
        <v>200</v>
      </c>
      <c r="AH186" s="1729">
        <v>200</v>
      </c>
      <c r="AI186" s="1760">
        <v>200</v>
      </c>
      <c r="AJ186" s="2009">
        <v>160</v>
      </c>
      <c r="AK186" s="2010">
        <v>160</v>
      </c>
      <c r="AL186" s="2011">
        <v>160</v>
      </c>
      <c r="AM186" s="1871">
        <v>80</v>
      </c>
      <c r="AN186" s="1763" t="s">
        <v>714</v>
      </c>
      <c r="AR186" s="156"/>
      <c r="AS186" s="156"/>
      <c r="AT186" s="156"/>
      <c r="AU186" s="395"/>
      <c r="AV186" s="395"/>
      <c r="AW186" s="395"/>
      <c r="AX186" s="1669"/>
      <c r="AY186" s="3"/>
      <c r="AZ186" s="3"/>
      <c r="BA186" s="3"/>
      <c r="BB186" s="3"/>
      <c r="BC186" s="3"/>
      <c r="BD186" s="3"/>
      <c r="BE186" s="3"/>
      <c r="BF186" s="3"/>
      <c r="BG186" s="3"/>
      <c r="BH186" s="3"/>
      <c r="BI186" s="3"/>
      <c r="BJ186" s="3"/>
      <c r="BK186" s="3"/>
      <c r="BL186" s="3"/>
      <c r="BM186" s="3"/>
      <c r="BN186" s="263"/>
      <c r="BO186" s="3"/>
      <c r="BQ186" s="1669"/>
      <c r="BR186" s="397"/>
      <c r="BS186" s="397"/>
      <c r="BT186" s="397"/>
      <c r="BV186" s="1669"/>
      <c r="BW186" s="397"/>
      <c r="BX186" s="397"/>
      <c r="BY186" s="397"/>
      <c r="CB186" s="428"/>
      <c r="CC186" s="428"/>
      <c r="CD186" s="428"/>
      <c r="CE186" s="1669"/>
      <c r="CF186" s="1620" t="str">
        <f>IFERROR(INDEX(N_Bedarf!$CE$2:$CE$304,_xlfn.AGGREGATE(15,6,(ROW(N_Bedarf!$CE$2:$CE$304)-1)/(--(SEARCH(CG$2,N_Bedarf!$CE$2:$CE$304)&gt;0)),ROW()-2),1),"")</f>
        <v/>
      </c>
      <c r="CG186" s="1620"/>
      <c r="CH186" s="1620" t="str">
        <f>IFERROR(INDEX(N_Bedarf!$CE$2:$CE$304,_xlfn.AGGREGATE(15,6,(ROW(N_Bedarf!$CE$2:$CE$304)-1)/(--(SEARCH(CI$2,N_Bedarf!$CE$2:$CE$304)&gt;0)),ROW()-2),1),"")</f>
        <v/>
      </c>
      <c r="CI186" s="1620"/>
      <c r="CJ186" s="1620" t="str">
        <f>IFERROR(INDEX(N_Bedarf!$CE$2:$CE$304,_xlfn.AGGREGATE(15,6,(ROW(N_Bedarf!$CE$2:$CE$304)-1)/(--(SEARCH(CK$2,N_Bedarf!$CE$2:$CE$304)&gt;0)),ROW()-2),1),"")</f>
        <v/>
      </c>
      <c r="CK186" s="1620"/>
      <c r="CL186" s="1620" t="str">
        <f>IFERROR(INDEX(N_Bedarf!$CE$2:$CE$304,_xlfn.AGGREGATE(15,6,(ROW(N_Bedarf!$CE$2:$CE$304)-1)/(--(SEARCH(CM$2,N_Bedarf!$CE$2:$CE$304)&gt;0)),ROW()-2),1),"")</f>
        <v/>
      </c>
      <c r="CM186" s="1620"/>
      <c r="CN186" s="1620" t="str">
        <f>IFERROR(INDEX(N_Bedarf!$CE$2:$CE$304,_xlfn.AGGREGATE(15,6,(ROW(N_Bedarf!$CE$2:$CE$304)-1)/(--(SEARCH(CO$2,N_Bedarf!$CE$2:$CE$304)&gt;0)),ROW()-2),1),"")</f>
        <v/>
      </c>
      <c r="CO186" s="1620"/>
      <c r="CP186" s="1620" t="str">
        <f>IFERROR(INDEX(N_Bedarf!$CE$2:$CE$304,_xlfn.AGGREGATE(15,6,(ROW(N_Bedarf!$CE$2:$CE$304)-1)/(--(SEARCH(CQ$2,N_Bedarf!$CE$2:$CE$304)&gt;0)),ROW()-2),1),"")</f>
        <v/>
      </c>
      <c r="CQ186" s="1620"/>
      <c r="CR186" s="1620" t="str">
        <f>IFERROR(INDEX(N_Bedarf!$CE$2:$CE$304,_xlfn.AGGREGATE(15,6,(ROW(N_Bedarf!$CE$2:$CE$304)-1)/(--(SEARCH(CS$2,N_Bedarf!$CE$2:$CE$304)&gt;0)),ROW()-2),1),"")</f>
        <v/>
      </c>
      <c r="CS186" s="1620"/>
      <c r="CT186" s="1620" t="str">
        <f>IFERROR(INDEX(N_Bedarf!$CE$2:$CE$304,_xlfn.AGGREGATE(15,6,(ROW(N_Bedarf!$CE$2:$CE$304)-1)/(--(SEARCH(CU$2,N_Bedarf!$CE$2:$CE$304)&gt;0)),ROW()-2),1),"")</f>
        <v/>
      </c>
      <c r="CU186" s="1620"/>
      <c r="CV186" s="1620" t="str">
        <f>IFERROR(INDEX(N_Bedarf!$CE$2:$CE$304,_xlfn.AGGREGATE(15,6,(ROW(N_Bedarf!$CE$2:$CE$304)-1)/(--(SEARCH(CW$2,N_Bedarf!$CE$2:$CE$304)&gt;0)),ROW()-2),1),"")</f>
        <v/>
      </c>
      <c r="CW186" s="1620"/>
      <c r="CX186" s="1620" t="str">
        <f>IFERROR(INDEX(N_Bedarf!$CE$2:$CE$304,_xlfn.AGGREGATE(15,6,(ROW(N_Bedarf!$CE$2:$CE$304)-1)/(--(SEARCH(CY$2,N_Bedarf!$CE$2:$CE$304)&gt;0)),ROW()-2),1),"")</f>
        <v/>
      </c>
      <c r="CY186" s="1620"/>
      <c r="CZ186" s="1620" t="str">
        <f>IFERROR(INDEX(N_Bedarf!$CE$2:$CE$304,_xlfn.AGGREGATE(15,6,(ROW(N_Bedarf!$CE$2:$CE$304)-1)/(--(SEARCH(DA$2,N_Bedarf!$CE$2:$CE$304)&gt;0)),ROW()-2),1),"")</f>
        <v/>
      </c>
      <c r="DA186" s="1620"/>
      <c r="DB186" s="1620" t="str">
        <f>IFERROR(INDEX(N_Bedarf!$CE$2:$CE$304,_xlfn.AGGREGATE(15,6,(ROW(N_Bedarf!$CE$2:$CE$304)-1)/(--(SEARCH(DC$2,N_Bedarf!$CE$2:$CE$304)&gt;0)),ROW()-2),1),"")</f>
        <v/>
      </c>
      <c r="DC186" s="1620"/>
      <c r="DD186" s="1620" t="str">
        <f>IFERROR(INDEX(N_Bedarf!$CE$2:$CE$304,_xlfn.AGGREGATE(15,6,(ROW(N_Bedarf!$CE$2:$CE$304)-1)/(--(SEARCH(DE$2,N_Bedarf!$CE$2:$CE$304)&gt;0)),ROW()-2),1),"")</f>
        <v/>
      </c>
      <c r="DE186" s="1620"/>
      <c r="ES186" s="768"/>
      <c r="ET186" s="768"/>
      <c r="EU186" s="768"/>
      <c r="EV186" s="768"/>
      <c r="EW186" s="768"/>
    </row>
    <row r="187" spans="3:153" s="394" customFormat="1" ht="21" customHeight="1" thickBot="1">
      <c r="C187" s="1758" t="s">
        <v>1875</v>
      </c>
      <c r="D187" s="1759" t="s">
        <v>1803</v>
      </c>
      <c r="E187" s="1729">
        <v>25</v>
      </c>
      <c r="F187" s="1760">
        <v>25</v>
      </c>
      <c r="G187" s="1993" t="s">
        <v>1870</v>
      </c>
      <c r="H187" s="1994">
        <v>30</v>
      </c>
      <c r="I187" s="1995">
        <v>30</v>
      </c>
      <c r="J187" s="1735"/>
      <c r="K187" s="1736"/>
      <c r="L187" s="1736"/>
      <c r="M187" s="1"/>
      <c r="N187" s="1"/>
      <c r="O187" s="1"/>
      <c r="P187" s="1"/>
      <c r="Q187" s="1" t="s">
        <v>1764</v>
      </c>
      <c r="R187" s="1"/>
      <c r="S187" s="1782">
        <v>105</v>
      </c>
      <c r="T187" s="1783">
        <v>105</v>
      </c>
      <c r="U187" s="1784">
        <v>105</v>
      </c>
      <c r="V187" s="1785">
        <v>90</v>
      </c>
      <c r="W187" s="1783">
        <v>90</v>
      </c>
      <c r="X187" s="1784">
        <v>90</v>
      </c>
      <c r="Y187" s="2020">
        <v>40</v>
      </c>
      <c r="Z187" s="2021">
        <v>40</v>
      </c>
      <c r="AA187" s="2022">
        <v>40</v>
      </c>
      <c r="AB187" s="1786" t="s">
        <v>714</v>
      </c>
      <c r="AC187" s="1787" t="s">
        <v>714</v>
      </c>
      <c r="AD187" s="1782">
        <v>240</v>
      </c>
      <c r="AE187" s="1783">
        <v>240</v>
      </c>
      <c r="AF187" s="1784">
        <v>240</v>
      </c>
      <c r="AG187" s="1785">
        <v>200</v>
      </c>
      <c r="AH187" s="1783">
        <v>200</v>
      </c>
      <c r="AI187" s="1784">
        <v>200</v>
      </c>
      <c r="AJ187" s="2020">
        <v>160</v>
      </c>
      <c r="AK187" s="2021">
        <v>160</v>
      </c>
      <c r="AL187" s="2022">
        <v>160</v>
      </c>
      <c r="AM187" s="1786">
        <v>80</v>
      </c>
      <c r="AN187" s="1787" t="s">
        <v>714</v>
      </c>
      <c r="AR187" s="156"/>
      <c r="AS187" s="156"/>
      <c r="AT187" s="156"/>
      <c r="AU187" s="397"/>
      <c r="AV187" s="396"/>
      <c r="AW187" s="396"/>
      <c r="AX187" s="1669"/>
      <c r="AY187" s="3"/>
      <c r="AZ187" s="3"/>
      <c r="BA187" s="3"/>
      <c r="BB187" s="3"/>
      <c r="BC187" s="3"/>
      <c r="BD187" s="3"/>
      <c r="BE187" s="3"/>
      <c r="BF187" s="3"/>
      <c r="BG187" s="3"/>
      <c r="BH187" s="3"/>
      <c r="BI187" s="3"/>
      <c r="BJ187" s="3"/>
      <c r="BK187" s="3"/>
      <c r="BL187" s="3"/>
      <c r="BM187" s="3"/>
      <c r="BN187" s="263"/>
      <c r="BO187" s="3"/>
      <c r="BQ187" s="1669"/>
      <c r="BR187" s="397"/>
      <c r="BS187" s="397"/>
      <c r="BT187" s="397"/>
      <c r="BV187" s="1669"/>
      <c r="BW187" s="397"/>
      <c r="BX187" s="397"/>
      <c r="BY187" s="397"/>
      <c r="CB187" s="428"/>
      <c r="CC187" s="428"/>
      <c r="CD187" s="428"/>
      <c r="CE187" s="1669"/>
      <c r="CF187" s="1620" t="str">
        <f>IFERROR(INDEX(N_Bedarf!$CE$2:$CE$304,_xlfn.AGGREGATE(15,6,(ROW(N_Bedarf!$CE$2:$CE$304)-1)/(--(SEARCH(CG$2,N_Bedarf!$CE$2:$CE$304)&gt;0)),ROW()-2),1),"")</f>
        <v/>
      </c>
      <c r="CG187" s="1620"/>
      <c r="CH187" s="1620" t="str">
        <f>IFERROR(INDEX(N_Bedarf!$CE$2:$CE$304,_xlfn.AGGREGATE(15,6,(ROW(N_Bedarf!$CE$2:$CE$304)-1)/(--(SEARCH(CI$2,N_Bedarf!$CE$2:$CE$304)&gt;0)),ROW()-2),1),"")</f>
        <v/>
      </c>
      <c r="CI187" s="1620"/>
      <c r="CJ187" s="1620" t="str">
        <f>IFERROR(INDEX(N_Bedarf!$CE$2:$CE$304,_xlfn.AGGREGATE(15,6,(ROW(N_Bedarf!$CE$2:$CE$304)-1)/(--(SEARCH(CK$2,N_Bedarf!$CE$2:$CE$304)&gt;0)),ROW()-2),1),"")</f>
        <v/>
      </c>
      <c r="CK187" s="1620"/>
      <c r="CL187" s="1620" t="str">
        <f>IFERROR(INDEX(N_Bedarf!$CE$2:$CE$304,_xlfn.AGGREGATE(15,6,(ROW(N_Bedarf!$CE$2:$CE$304)-1)/(--(SEARCH(CM$2,N_Bedarf!$CE$2:$CE$304)&gt;0)),ROW()-2),1),"")</f>
        <v/>
      </c>
      <c r="CM187" s="1620"/>
      <c r="CN187" s="1620" t="str">
        <f>IFERROR(INDEX(N_Bedarf!$CE$2:$CE$304,_xlfn.AGGREGATE(15,6,(ROW(N_Bedarf!$CE$2:$CE$304)-1)/(--(SEARCH(CO$2,N_Bedarf!$CE$2:$CE$304)&gt;0)),ROW()-2),1),"")</f>
        <v/>
      </c>
      <c r="CO187" s="1620"/>
      <c r="CP187" s="1620" t="str">
        <f>IFERROR(INDEX(N_Bedarf!$CE$2:$CE$304,_xlfn.AGGREGATE(15,6,(ROW(N_Bedarf!$CE$2:$CE$304)-1)/(--(SEARCH(CQ$2,N_Bedarf!$CE$2:$CE$304)&gt;0)),ROW()-2),1),"")</f>
        <v/>
      </c>
      <c r="CQ187" s="1620"/>
      <c r="CR187" s="1620" t="str">
        <f>IFERROR(INDEX(N_Bedarf!$CE$2:$CE$304,_xlfn.AGGREGATE(15,6,(ROW(N_Bedarf!$CE$2:$CE$304)-1)/(--(SEARCH(CS$2,N_Bedarf!$CE$2:$CE$304)&gt;0)),ROW()-2),1),"")</f>
        <v/>
      </c>
      <c r="CS187" s="1620"/>
      <c r="CT187" s="1620" t="str">
        <f>IFERROR(INDEX(N_Bedarf!$CE$2:$CE$304,_xlfn.AGGREGATE(15,6,(ROW(N_Bedarf!$CE$2:$CE$304)-1)/(--(SEARCH(CU$2,N_Bedarf!$CE$2:$CE$304)&gt;0)),ROW()-2),1),"")</f>
        <v/>
      </c>
      <c r="CU187" s="1620"/>
      <c r="CV187" s="1620" t="str">
        <f>IFERROR(INDEX(N_Bedarf!$CE$2:$CE$304,_xlfn.AGGREGATE(15,6,(ROW(N_Bedarf!$CE$2:$CE$304)-1)/(--(SEARCH(CW$2,N_Bedarf!$CE$2:$CE$304)&gt;0)),ROW()-2),1),"")</f>
        <v/>
      </c>
      <c r="CW187" s="1620"/>
      <c r="CX187" s="1620" t="str">
        <f>IFERROR(INDEX(N_Bedarf!$CE$2:$CE$304,_xlfn.AGGREGATE(15,6,(ROW(N_Bedarf!$CE$2:$CE$304)-1)/(--(SEARCH(CY$2,N_Bedarf!$CE$2:$CE$304)&gt;0)),ROW()-2),1),"")</f>
        <v/>
      </c>
      <c r="CY187" s="1620"/>
      <c r="CZ187" s="1620" t="str">
        <f>IFERROR(INDEX(N_Bedarf!$CE$2:$CE$304,_xlfn.AGGREGATE(15,6,(ROW(N_Bedarf!$CE$2:$CE$304)-1)/(--(SEARCH(DA$2,N_Bedarf!$CE$2:$CE$304)&gt;0)),ROW()-2),1),"")</f>
        <v/>
      </c>
      <c r="DA187" s="1620"/>
      <c r="DB187" s="1620" t="str">
        <f>IFERROR(INDEX(N_Bedarf!$CE$2:$CE$304,_xlfn.AGGREGATE(15,6,(ROW(N_Bedarf!$CE$2:$CE$304)-1)/(--(SEARCH(DC$2,N_Bedarf!$CE$2:$CE$304)&gt;0)),ROW()-2),1),"")</f>
        <v/>
      </c>
      <c r="DC187" s="1620"/>
      <c r="DD187" s="1620" t="str">
        <f>IFERROR(INDEX(N_Bedarf!$CE$2:$CE$304,_xlfn.AGGREGATE(15,6,(ROW(N_Bedarf!$CE$2:$CE$304)-1)/(--(SEARCH(DE$2,N_Bedarf!$CE$2:$CE$304)&gt;0)),ROW()-2),1),"")</f>
        <v/>
      </c>
      <c r="DE187" s="1620"/>
      <c r="ES187" s="768"/>
      <c r="ET187" s="768"/>
      <c r="EU187" s="768"/>
      <c r="EV187" s="768"/>
      <c r="EW187" s="768"/>
    </row>
    <row r="188" spans="3:153" s="394" customFormat="1" ht="21" customHeight="1" thickBot="1">
      <c r="C188" s="2343" t="s">
        <v>1876</v>
      </c>
      <c r="D188" s="2358"/>
      <c r="E188" s="2358"/>
      <c r="F188" s="2358"/>
      <c r="G188" s="2358"/>
      <c r="H188" s="2358"/>
      <c r="I188" s="2358"/>
      <c r="J188" s="2346"/>
      <c r="K188" s="2346"/>
      <c r="L188" s="2346"/>
      <c r="M188" s="2358"/>
      <c r="N188" s="2358"/>
      <c r="O188" s="2358"/>
      <c r="P188" s="2358"/>
      <c r="Q188" s="2358"/>
      <c r="R188" s="2358"/>
      <c r="S188" s="2346"/>
      <c r="T188" s="2346"/>
      <c r="U188" s="2346"/>
      <c r="V188" s="2346"/>
      <c r="W188" s="2346"/>
      <c r="X188" s="2346"/>
      <c r="Y188" s="2346"/>
      <c r="Z188" s="2346"/>
      <c r="AA188" s="2346"/>
      <c r="AB188" s="2346"/>
      <c r="AC188" s="2346"/>
      <c r="AD188" s="2346"/>
      <c r="AE188" s="2346"/>
      <c r="AF188" s="2346"/>
      <c r="AG188" s="2346"/>
      <c r="AH188" s="2346"/>
      <c r="AI188" s="2346"/>
      <c r="AJ188" s="2346"/>
      <c r="AK188" s="2346"/>
      <c r="AL188" s="2346"/>
      <c r="AM188" s="2346"/>
      <c r="AN188" s="2347"/>
      <c r="AR188" s="156"/>
      <c r="AS188" s="156"/>
      <c r="AT188" s="156"/>
      <c r="AU188" s="397"/>
      <c r="AV188" s="396"/>
      <c r="AW188" s="396"/>
      <c r="AX188" s="1669"/>
      <c r="AY188" s="3"/>
      <c r="AZ188" s="3"/>
      <c r="BA188" s="3"/>
      <c r="BB188" s="3"/>
      <c r="BC188" s="3"/>
      <c r="BD188" s="3"/>
      <c r="BE188" s="3"/>
      <c r="BF188" s="3"/>
      <c r="BG188" s="3"/>
      <c r="BH188" s="3"/>
      <c r="BI188" s="3"/>
      <c r="BJ188" s="3"/>
      <c r="BK188" s="3"/>
      <c r="BL188" s="3"/>
      <c r="BM188" s="3"/>
      <c r="BN188" s="263"/>
      <c r="BO188" s="3"/>
      <c r="BQ188" s="1669"/>
      <c r="BR188" s="397"/>
      <c r="BS188" s="397"/>
      <c r="BT188" s="397"/>
      <c r="BV188" s="1669"/>
      <c r="BW188" s="397"/>
      <c r="BX188" s="397"/>
      <c r="BY188" s="397"/>
      <c r="CB188" s="428"/>
      <c r="CC188" s="428"/>
      <c r="CD188" s="428"/>
      <c r="CE188" s="1669"/>
      <c r="CF188" s="1620" t="str">
        <f>IFERROR(INDEX(N_Bedarf!$CE$2:$CE$304,_xlfn.AGGREGATE(15,6,(ROW(N_Bedarf!$CE$2:$CE$304)-1)/(--(SEARCH(CG$2,N_Bedarf!$CE$2:$CE$304)&gt;0)),ROW()-2),1),"")</f>
        <v/>
      </c>
      <c r="CG188" s="1620"/>
      <c r="CH188" s="1620" t="str">
        <f>IFERROR(INDEX(N_Bedarf!$CE$2:$CE$304,_xlfn.AGGREGATE(15,6,(ROW(N_Bedarf!$CE$2:$CE$304)-1)/(--(SEARCH(CI$2,N_Bedarf!$CE$2:$CE$304)&gt;0)),ROW()-2),1),"")</f>
        <v/>
      </c>
      <c r="CI188" s="1620"/>
      <c r="CJ188" s="1620" t="str">
        <f>IFERROR(INDEX(N_Bedarf!$CE$2:$CE$304,_xlfn.AGGREGATE(15,6,(ROW(N_Bedarf!$CE$2:$CE$304)-1)/(--(SEARCH(CK$2,N_Bedarf!$CE$2:$CE$304)&gt;0)),ROW()-2),1),"")</f>
        <v/>
      </c>
      <c r="CK188" s="1620"/>
      <c r="CL188" s="1620" t="str">
        <f>IFERROR(INDEX(N_Bedarf!$CE$2:$CE$304,_xlfn.AGGREGATE(15,6,(ROW(N_Bedarf!$CE$2:$CE$304)-1)/(--(SEARCH(CM$2,N_Bedarf!$CE$2:$CE$304)&gt;0)),ROW()-2),1),"")</f>
        <v/>
      </c>
      <c r="CM188" s="1620"/>
      <c r="CN188" s="1620" t="str">
        <f>IFERROR(INDEX(N_Bedarf!$CE$2:$CE$304,_xlfn.AGGREGATE(15,6,(ROW(N_Bedarf!$CE$2:$CE$304)-1)/(--(SEARCH(CO$2,N_Bedarf!$CE$2:$CE$304)&gt;0)),ROW()-2),1),"")</f>
        <v/>
      </c>
      <c r="CO188" s="1620"/>
      <c r="CP188" s="1620" t="str">
        <f>IFERROR(INDEX(N_Bedarf!$CE$2:$CE$304,_xlfn.AGGREGATE(15,6,(ROW(N_Bedarf!$CE$2:$CE$304)-1)/(--(SEARCH(CQ$2,N_Bedarf!$CE$2:$CE$304)&gt;0)),ROW()-2),1),"")</f>
        <v/>
      </c>
      <c r="CQ188" s="1620"/>
      <c r="CR188" s="1620" t="str">
        <f>IFERROR(INDEX(N_Bedarf!$CE$2:$CE$304,_xlfn.AGGREGATE(15,6,(ROW(N_Bedarf!$CE$2:$CE$304)-1)/(--(SEARCH(CS$2,N_Bedarf!$CE$2:$CE$304)&gt;0)),ROW()-2),1),"")</f>
        <v/>
      </c>
      <c r="CS188" s="1620"/>
      <c r="CT188" s="1620" t="str">
        <f>IFERROR(INDEX(N_Bedarf!$CE$2:$CE$304,_xlfn.AGGREGATE(15,6,(ROW(N_Bedarf!$CE$2:$CE$304)-1)/(--(SEARCH(CU$2,N_Bedarf!$CE$2:$CE$304)&gt;0)),ROW()-2),1),"")</f>
        <v/>
      </c>
      <c r="CU188" s="1620"/>
      <c r="CV188" s="1620" t="str">
        <f>IFERROR(INDEX(N_Bedarf!$CE$2:$CE$304,_xlfn.AGGREGATE(15,6,(ROW(N_Bedarf!$CE$2:$CE$304)-1)/(--(SEARCH(CW$2,N_Bedarf!$CE$2:$CE$304)&gt;0)),ROW()-2),1),"")</f>
        <v/>
      </c>
      <c r="CW188" s="1620"/>
      <c r="CX188" s="1620" t="str">
        <f>IFERROR(INDEX(N_Bedarf!$CE$2:$CE$304,_xlfn.AGGREGATE(15,6,(ROW(N_Bedarf!$CE$2:$CE$304)-1)/(--(SEARCH(CY$2,N_Bedarf!$CE$2:$CE$304)&gt;0)),ROW()-2),1),"")</f>
        <v/>
      </c>
      <c r="CY188" s="1620"/>
      <c r="CZ188" s="1620" t="str">
        <f>IFERROR(INDEX(N_Bedarf!$CE$2:$CE$304,_xlfn.AGGREGATE(15,6,(ROW(N_Bedarf!$CE$2:$CE$304)-1)/(--(SEARCH(DA$2,N_Bedarf!$CE$2:$CE$304)&gt;0)),ROW()-2),1),"")</f>
        <v/>
      </c>
      <c r="DA188" s="1620"/>
      <c r="DB188" s="1620" t="str">
        <f>IFERROR(INDEX(N_Bedarf!$CE$2:$CE$304,_xlfn.AGGREGATE(15,6,(ROW(N_Bedarf!$CE$2:$CE$304)-1)/(--(SEARCH(DC$2,N_Bedarf!$CE$2:$CE$304)&gt;0)),ROW()-2),1),"")</f>
        <v/>
      </c>
      <c r="DC188" s="1620"/>
      <c r="DD188" s="1620" t="str">
        <f>IFERROR(INDEX(N_Bedarf!$CE$2:$CE$304,_xlfn.AGGREGATE(15,6,(ROW(N_Bedarf!$CE$2:$CE$304)-1)/(--(SEARCH(DE$2,N_Bedarf!$CE$2:$CE$304)&gt;0)),ROW()-2),1),"")</f>
        <v/>
      </c>
      <c r="DE188" s="1620"/>
      <c r="ES188" s="768"/>
      <c r="ET188" s="768"/>
      <c r="EU188" s="768"/>
      <c r="EV188" s="768"/>
      <c r="EW188" s="768"/>
    </row>
    <row r="189" spans="3:153" s="394" customFormat="1" ht="21" customHeight="1">
      <c r="C189" s="1788" t="s">
        <v>59</v>
      </c>
      <c r="D189" s="1726" t="s">
        <v>714</v>
      </c>
      <c r="E189" s="1727">
        <v>80</v>
      </c>
      <c r="F189" s="1728">
        <v>70</v>
      </c>
      <c r="G189" s="1987" t="s">
        <v>714</v>
      </c>
      <c r="H189" s="1988">
        <v>80</v>
      </c>
      <c r="I189" s="1989">
        <v>70</v>
      </c>
      <c r="J189" s="1726" t="s">
        <v>714</v>
      </c>
      <c r="K189" s="1727">
        <v>80</v>
      </c>
      <c r="L189" s="1728">
        <v>70</v>
      </c>
      <c r="M189" s="1690"/>
      <c r="N189" s="1690"/>
      <c r="O189" s="1690"/>
      <c r="P189" s="1690"/>
      <c r="Q189" s="1690"/>
      <c r="R189" s="1690"/>
      <c r="S189" s="1726">
        <v>90</v>
      </c>
      <c r="T189" s="1727">
        <v>90</v>
      </c>
      <c r="U189" s="1728">
        <v>90</v>
      </c>
      <c r="V189" s="1726">
        <v>75</v>
      </c>
      <c r="W189" s="1727">
        <v>75</v>
      </c>
      <c r="X189" s="1728">
        <v>75</v>
      </c>
      <c r="Y189" s="2006">
        <v>60</v>
      </c>
      <c r="Z189" s="2007">
        <v>60</v>
      </c>
      <c r="AA189" s="2008">
        <v>60</v>
      </c>
      <c r="AB189" s="1756" t="s">
        <v>1388</v>
      </c>
      <c r="AC189" s="1789" t="s">
        <v>1389</v>
      </c>
      <c r="AD189" s="1755"/>
      <c r="AE189" s="1727"/>
      <c r="AF189" s="1728"/>
      <c r="AG189" s="1726"/>
      <c r="AH189" s="1727"/>
      <c r="AI189" s="1728"/>
      <c r="AJ189" s="2006"/>
      <c r="AK189" s="2007"/>
      <c r="AL189" s="2008"/>
      <c r="AM189" s="1756" t="s">
        <v>1764</v>
      </c>
      <c r="AN189" s="1757" t="s">
        <v>1764</v>
      </c>
      <c r="AR189" s="156"/>
      <c r="AS189" s="156"/>
      <c r="AT189" s="156"/>
      <c r="AU189" s="397"/>
      <c r="AV189" s="396"/>
      <c r="AW189" s="396"/>
      <c r="AX189" s="1669"/>
      <c r="AY189" s="3"/>
      <c r="AZ189" s="3"/>
      <c r="BA189" s="3"/>
      <c r="BB189" s="3"/>
      <c r="BC189" s="3"/>
      <c r="BD189" s="3"/>
      <c r="BE189" s="3"/>
      <c r="BF189" s="3"/>
      <c r="BG189" s="3"/>
      <c r="BH189" s="3"/>
      <c r="BI189" s="3"/>
      <c r="BJ189" s="3"/>
      <c r="BK189" s="3"/>
      <c r="BL189" s="3"/>
      <c r="BM189" s="3"/>
      <c r="BN189" s="263"/>
      <c r="BO189" s="3"/>
      <c r="BQ189" s="1669"/>
      <c r="BR189" s="397"/>
      <c r="BS189" s="397"/>
      <c r="BT189" s="397"/>
      <c r="BV189" s="1669"/>
      <c r="BW189" s="397"/>
      <c r="BX189" s="397"/>
      <c r="BY189" s="397"/>
      <c r="CB189" s="428"/>
      <c r="CC189" s="428"/>
      <c r="CD189" s="428"/>
      <c r="CE189" s="1669"/>
      <c r="CF189" s="1620" t="str">
        <f>IFERROR(INDEX(N_Bedarf!$CE$2:$CE$304,_xlfn.AGGREGATE(15,6,(ROW(N_Bedarf!$CE$2:$CE$304)-1)/(--(SEARCH(CG$2,N_Bedarf!$CE$2:$CE$304)&gt;0)),ROW()-2),1),"")</f>
        <v/>
      </c>
      <c r="CG189" s="1620"/>
      <c r="CH189" s="1620" t="str">
        <f>IFERROR(INDEX(N_Bedarf!$CE$2:$CE$304,_xlfn.AGGREGATE(15,6,(ROW(N_Bedarf!$CE$2:$CE$304)-1)/(--(SEARCH(CI$2,N_Bedarf!$CE$2:$CE$304)&gt;0)),ROW()-2),1),"")</f>
        <v/>
      </c>
      <c r="CI189" s="1620"/>
      <c r="CJ189" s="1620" t="str">
        <f>IFERROR(INDEX(N_Bedarf!$CE$2:$CE$304,_xlfn.AGGREGATE(15,6,(ROW(N_Bedarf!$CE$2:$CE$304)-1)/(--(SEARCH(CK$2,N_Bedarf!$CE$2:$CE$304)&gt;0)),ROW()-2),1),"")</f>
        <v/>
      </c>
      <c r="CK189" s="1620"/>
      <c r="CL189" s="1620" t="str">
        <f>IFERROR(INDEX(N_Bedarf!$CE$2:$CE$304,_xlfn.AGGREGATE(15,6,(ROW(N_Bedarf!$CE$2:$CE$304)-1)/(--(SEARCH(CM$2,N_Bedarf!$CE$2:$CE$304)&gt;0)),ROW()-2),1),"")</f>
        <v/>
      </c>
      <c r="CM189" s="1620"/>
      <c r="CN189" s="1620" t="str">
        <f>IFERROR(INDEX(N_Bedarf!$CE$2:$CE$304,_xlfn.AGGREGATE(15,6,(ROW(N_Bedarf!$CE$2:$CE$304)-1)/(--(SEARCH(CO$2,N_Bedarf!$CE$2:$CE$304)&gt;0)),ROW()-2),1),"")</f>
        <v/>
      </c>
      <c r="CO189" s="1620"/>
      <c r="CP189" s="1620" t="str">
        <f>IFERROR(INDEX(N_Bedarf!$CE$2:$CE$304,_xlfn.AGGREGATE(15,6,(ROW(N_Bedarf!$CE$2:$CE$304)-1)/(--(SEARCH(CQ$2,N_Bedarf!$CE$2:$CE$304)&gt;0)),ROW()-2),1),"")</f>
        <v/>
      </c>
      <c r="CQ189" s="1620"/>
      <c r="CR189" s="1620" t="str">
        <f>IFERROR(INDEX(N_Bedarf!$CE$2:$CE$304,_xlfn.AGGREGATE(15,6,(ROW(N_Bedarf!$CE$2:$CE$304)-1)/(--(SEARCH(CS$2,N_Bedarf!$CE$2:$CE$304)&gt;0)),ROW()-2),1),"")</f>
        <v/>
      </c>
      <c r="CS189" s="1620"/>
      <c r="CT189" s="1620" t="str">
        <f>IFERROR(INDEX(N_Bedarf!$CE$2:$CE$304,_xlfn.AGGREGATE(15,6,(ROW(N_Bedarf!$CE$2:$CE$304)-1)/(--(SEARCH(CU$2,N_Bedarf!$CE$2:$CE$304)&gt;0)),ROW()-2),1),"")</f>
        <v/>
      </c>
      <c r="CU189" s="1620"/>
      <c r="CV189" s="1620" t="str">
        <f>IFERROR(INDEX(N_Bedarf!$CE$2:$CE$304,_xlfn.AGGREGATE(15,6,(ROW(N_Bedarf!$CE$2:$CE$304)-1)/(--(SEARCH(CW$2,N_Bedarf!$CE$2:$CE$304)&gt;0)),ROW()-2),1),"")</f>
        <v/>
      </c>
      <c r="CW189" s="1620"/>
      <c r="CX189" s="1620" t="str">
        <f>IFERROR(INDEX(N_Bedarf!$CE$2:$CE$304,_xlfn.AGGREGATE(15,6,(ROW(N_Bedarf!$CE$2:$CE$304)-1)/(--(SEARCH(CY$2,N_Bedarf!$CE$2:$CE$304)&gt;0)),ROW()-2),1),"")</f>
        <v/>
      </c>
      <c r="CY189" s="1620"/>
      <c r="CZ189" s="1620" t="str">
        <f>IFERROR(INDEX(N_Bedarf!$CE$2:$CE$304,_xlfn.AGGREGATE(15,6,(ROW(N_Bedarf!$CE$2:$CE$304)-1)/(--(SEARCH(DA$2,N_Bedarf!$CE$2:$CE$304)&gt;0)),ROW()-2),1),"")</f>
        <v/>
      </c>
      <c r="DA189" s="1620"/>
      <c r="DB189" s="1620" t="str">
        <f>IFERROR(INDEX(N_Bedarf!$CE$2:$CE$304,_xlfn.AGGREGATE(15,6,(ROW(N_Bedarf!$CE$2:$CE$304)-1)/(--(SEARCH(DC$2,N_Bedarf!$CE$2:$CE$304)&gt;0)),ROW()-2),1),"")</f>
        <v/>
      </c>
      <c r="DC189" s="1620"/>
      <c r="DD189" s="1620" t="str">
        <f>IFERROR(INDEX(N_Bedarf!$CE$2:$CE$304,_xlfn.AGGREGATE(15,6,(ROW(N_Bedarf!$CE$2:$CE$304)-1)/(--(SEARCH(DE$2,N_Bedarf!$CE$2:$CE$304)&gt;0)),ROW()-2),1),"")</f>
        <v/>
      </c>
      <c r="DE189" s="1620"/>
      <c r="ES189" s="768"/>
      <c r="ET189" s="768"/>
      <c r="EU189" s="768"/>
      <c r="EV189" s="768"/>
      <c r="EW189" s="768"/>
    </row>
    <row r="190" spans="3:153" s="394" customFormat="1" ht="21" customHeight="1">
      <c r="C190" s="1790" t="s">
        <v>60</v>
      </c>
      <c r="D190" s="1759" t="s">
        <v>714</v>
      </c>
      <c r="E190" s="1729">
        <v>140</v>
      </c>
      <c r="F190" s="1760">
        <v>120</v>
      </c>
      <c r="G190" s="1993" t="s">
        <v>714</v>
      </c>
      <c r="H190" s="1994">
        <v>140</v>
      </c>
      <c r="I190" s="1995">
        <v>120</v>
      </c>
      <c r="J190" s="1759" t="s">
        <v>714</v>
      </c>
      <c r="K190" s="1729">
        <v>140</v>
      </c>
      <c r="L190" s="1760">
        <v>120</v>
      </c>
      <c r="M190" s="1"/>
      <c r="N190" s="1"/>
      <c r="O190" s="1"/>
      <c r="P190" s="1"/>
      <c r="Q190" s="1"/>
      <c r="R190" s="1"/>
      <c r="S190" s="1759">
        <v>90</v>
      </c>
      <c r="T190" s="1729">
        <v>90</v>
      </c>
      <c r="U190" s="1760">
        <v>90</v>
      </c>
      <c r="V190" s="1759">
        <v>75</v>
      </c>
      <c r="W190" s="1729">
        <v>75</v>
      </c>
      <c r="X190" s="1760">
        <v>75</v>
      </c>
      <c r="Y190" s="2009">
        <v>60</v>
      </c>
      <c r="Z190" s="2010">
        <v>60</v>
      </c>
      <c r="AA190" s="2011">
        <v>60</v>
      </c>
      <c r="AB190" s="1871" t="s">
        <v>1388</v>
      </c>
      <c r="AC190" s="1737" t="s">
        <v>1389</v>
      </c>
      <c r="AD190" s="1762"/>
      <c r="AE190" s="1729"/>
      <c r="AF190" s="1760"/>
      <c r="AG190" s="1759"/>
      <c r="AH190" s="1729"/>
      <c r="AI190" s="1760"/>
      <c r="AJ190" s="2009"/>
      <c r="AK190" s="2010"/>
      <c r="AL190" s="2011"/>
      <c r="AM190" s="1871" t="s">
        <v>1764</v>
      </c>
      <c r="AN190" s="1763" t="s">
        <v>1764</v>
      </c>
      <c r="AR190" s="156"/>
      <c r="AS190" s="156"/>
      <c r="AT190" s="156"/>
      <c r="AU190" s="397"/>
      <c r="AV190" s="396"/>
      <c r="AW190" s="396"/>
      <c r="AX190" s="1669"/>
      <c r="AY190" s="3"/>
      <c r="AZ190" s="3"/>
      <c r="BA190" s="3"/>
      <c r="BB190" s="3"/>
      <c r="BC190" s="3"/>
      <c r="BD190" s="3"/>
      <c r="BE190" s="3"/>
      <c r="BF190" s="3"/>
      <c r="BG190" s="3"/>
      <c r="BH190" s="3"/>
      <c r="BI190" s="3"/>
      <c r="BJ190" s="3"/>
      <c r="BK190" s="3"/>
      <c r="BL190" s="3"/>
      <c r="BM190" s="3"/>
      <c r="BN190" s="263"/>
      <c r="BO190" s="3"/>
      <c r="BQ190" s="1669"/>
      <c r="BR190" s="397"/>
      <c r="BS190" s="397"/>
      <c r="BT190" s="397"/>
      <c r="BV190" s="1669"/>
      <c r="BW190" s="397"/>
      <c r="BX190" s="397"/>
      <c r="BY190" s="397"/>
      <c r="CB190" s="428"/>
      <c r="CC190" s="428"/>
      <c r="CD190" s="428"/>
      <c r="CE190" s="1669"/>
      <c r="CF190" s="1620" t="str">
        <f>IFERROR(INDEX(N_Bedarf!$CE$2:$CE$304,_xlfn.AGGREGATE(15,6,(ROW(N_Bedarf!$CE$2:$CE$304)-1)/(--(SEARCH(CG$2,N_Bedarf!$CE$2:$CE$304)&gt;0)),ROW()-2),1),"")</f>
        <v/>
      </c>
      <c r="CG190" s="1620"/>
      <c r="CH190" s="1620" t="str">
        <f>IFERROR(INDEX(N_Bedarf!$CE$2:$CE$304,_xlfn.AGGREGATE(15,6,(ROW(N_Bedarf!$CE$2:$CE$304)-1)/(--(SEARCH(CI$2,N_Bedarf!$CE$2:$CE$304)&gt;0)),ROW()-2),1),"")</f>
        <v/>
      </c>
      <c r="CI190" s="1620"/>
      <c r="CJ190" s="1620" t="str">
        <f>IFERROR(INDEX(N_Bedarf!$CE$2:$CE$304,_xlfn.AGGREGATE(15,6,(ROW(N_Bedarf!$CE$2:$CE$304)-1)/(--(SEARCH(CK$2,N_Bedarf!$CE$2:$CE$304)&gt;0)),ROW()-2),1),"")</f>
        <v/>
      </c>
      <c r="CK190" s="1620"/>
      <c r="CL190" s="1620" t="str">
        <f>IFERROR(INDEX(N_Bedarf!$CE$2:$CE$304,_xlfn.AGGREGATE(15,6,(ROW(N_Bedarf!$CE$2:$CE$304)-1)/(--(SEARCH(CM$2,N_Bedarf!$CE$2:$CE$304)&gt;0)),ROW()-2),1),"")</f>
        <v/>
      </c>
      <c r="CM190" s="1620"/>
      <c r="CN190" s="1620" t="str">
        <f>IFERROR(INDEX(N_Bedarf!$CE$2:$CE$304,_xlfn.AGGREGATE(15,6,(ROW(N_Bedarf!$CE$2:$CE$304)-1)/(--(SEARCH(CO$2,N_Bedarf!$CE$2:$CE$304)&gt;0)),ROW()-2),1),"")</f>
        <v/>
      </c>
      <c r="CO190" s="1620"/>
      <c r="CP190" s="1620" t="str">
        <f>IFERROR(INDEX(N_Bedarf!$CE$2:$CE$304,_xlfn.AGGREGATE(15,6,(ROW(N_Bedarf!$CE$2:$CE$304)-1)/(--(SEARCH(CQ$2,N_Bedarf!$CE$2:$CE$304)&gt;0)),ROW()-2),1),"")</f>
        <v/>
      </c>
      <c r="CQ190" s="1620"/>
      <c r="CR190" s="1620" t="str">
        <f>IFERROR(INDEX(N_Bedarf!$CE$2:$CE$304,_xlfn.AGGREGATE(15,6,(ROW(N_Bedarf!$CE$2:$CE$304)-1)/(--(SEARCH(CS$2,N_Bedarf!$CE$2:$CE$304)&gt;0)),ROW()-2),1),"")</f>
        <v/>
      </c>
      <c r="CS190" s="1620"/>
      <c r="CT190" s="1620" t="str">
        <f>IFERROR(INDEX(N_Bedarf!$CE$2:$CE$304,_xlfn.AGGREGATE(15,6,(ROW(N_Bedarf!$CE$2:$CE$304)-1)/(--(SEARCH(CU$2,N_Bedarf!$CE$2:$CE$304)&gt;0)),ROW()-2),1),"")</f>
        <v/>
      </c>
      <c r="CU190" s="1620"/>
      <c r="CV190" s="1620" t="str">
        <f>IFERROR(INDEX(N_Bedarf!$CE$2:$CE$304,_xlfn.AGGREGATE(15,6,(ROW(N_Bedarf!$CE$2:$CE$304)-1)/(--(SEARCH(CW$2,N_Bedarf!$CE$2:$CE$304)&gt;0)),ROW()-2),1),"")</f>
        <v/>
      </c>
      <c r="CW190" s="1620"/>
      <c r="CX190" s="1620" t="str">
        <f>IFERROR(INDEX(N_Bedarf!$CE$2:$CE$304,_xlfn.AGGREGATE(15,6,(ROW(N_Bedarf!$CE$2:$CE$304)-1)/(--(SEARCH(CY$2,N_Bedarf!$CE$2:$CE$304)&gt;0)),ROW()-2),1),"")</f>
        <v/>
      </c>
      <c r="CY190" s="1620"/>
      <c r="CZ190" s="1620" t="str">
        <f>IFERROR(INDEX(N_Bedarf!$CE$2:$CE$304,_xlfn.AGGREGATE(15,6,(ROW(N_Bedarf!$CE$2:$CE$304)-1)/(--(SEARCH(DA$2,N_Bedarf!$CE$2:$CE$304)&gt;0)),ROW()-2),1),"")</f>
        <v/>
      </c>
      <c r="DA190" s="1620"/>
      <c r="DB190" s="1620" t="str">
        <f>IFERROR(INDEX(N_Bedarf!$CE$2:$CE$304,_xlfn.AGGREGATE(15,6,(ROW(N_Bedarf!$CE$2:$CE$304)-1)/(--(SEARCH(DC$2,N_Bedarf!$CE$2:$CE$304)&gt;0)),ROW()-2),1),"")</f>
        <v/>
      </c>
      <c r="DC190" s="1620"/>
      <c r="DD190" s="1620" t="str">
        <f>IFERROR(INDEX(N_Bedarf!$CE$2:$CE$304,_xlfn.AGGREGATE(15,6,(ROW(N_Bedarf!$CE$2:$CE$304)-1)/(--(SEARCH(DE$2,N_Bedarf!$CE$2:$CE$304)&gt;0)),ROW()-2),1),"")</f>
        <v/>
      </c>
      <c r="DE190" s="1620"/>
      <c r="ES190" s="768"/>
      <c r="ET190" s="768"/>
      <c r="EU190" s="768"/>
      <c r="EV190" s="768"/>
      <c r="EW190" s="768"/>
    </row>
    <row r="191" spans="3:153" s="394" customFormat="1" ht="21" customHeight="1">
      <c r="C191" s="1790" t="s">
        <v>61</v>
      </c>
      <c r="D191" s="1759" t="s">
        <v>714</v>
      </c>
      <c r="E191" s="1729">
        <v>70</v>
      </c>
      <c r="F191" s="1760">
        <v>60</v>
      </c>
      <c r="G191" s="1993" t="s">
        <v>714</v>
      </c>
      <c r="H191" s="1994">
        <v>70</v>
      </c>
      <c r="I191" s="1995">
        <v>60</v>
      </c>
      <c r="J191" s="1759" t="s">
        <v>714</v>
      </c>
      <c r="K191" s="1729">
        <v>70</v>
      </c>
      <c r="L191" s="1760">
        <v>60</v>
      </c>
      <c r="M191" s="1"/>
      <c r="N191" s="1"/>
      <c r="O191" s="1"/>
      <c r="P191" s="1"/>
      <c r="Q191" s="1"/>
      <c r="R191" s="1"/>
      <c r="S191" s="1759">
        <v>90</v>
      </c>
      <c r="T191" s="1729">
        <v>90</v>
      </c>
      <c r="U191" s="1760">
        <v>90</v>
      </c>
      <c r="V191" s="1759">
        <v>75</v>
      </c>
      <c r="W191" s="1729">
        <v>75</v>
      </c>
      <c r="X191" s="1760">
        <v>75</v>
      </c>
      <c r="Y191" s="2009">
        <v>60</v>
      </c>
      <c r="Z191" s="2010">
        <v>60</v>
      </c>
      <c r="AA191" s="2011">
        <v>60</v>
      </c>
      <c r="AB191" s="1871" t="s">
        <v>1388</v>
      </c>
      <c r="AC191" s="1737" t="s">
        <v>1389</v>
      </c>
      <c r="AD191" s="1762"/>
      <c r="AE191" s="1729"/>
      <c r="AF191" s="1760"/>
      <c r="AG191" s="1759"/>
      <c r="AH191" s="1729"/>
      <c r="AI191" s="1760"/>
      <c r="AJ191" s="2009"/>
      <c r="AK191" s="2010"/>
      <c r="AL191" s="2011"/>
      <c r="AM191" s="1871" t="s">
        <v>1764</v>
      </c>
      <c r="AN191" s="1763" t="s">
        <v>1764</v>
      </c>
      <c r="AR191" s="156"/>
      <c r="AS191" s="156"/>
      <c r="AT191" s="156"/>
      <c r="AU191" s="397"/>
      <c r="AV191" s="396"/>
      <c r="AW191" s="396"/>
      <c r="AX191" s="1669"/>
      <c r="AY191" s="3"/>
      <c r="AZ191" s="3"/>
      <c r="BA191" s="3"/>
      <c r="BB191" s="3"/>
      <c r="BC191" s="3"/>
      <c r="BD191" s="3"/>
      <c r="BE191" s="3"/>
      <c r="BF191" s="3"/>
      <c r="BG191" s="3"/>
      <c r="BH191" s="3"/>
      <c r="BI191" s="3"/>
      <c r="BJ191" s="3"/>
      <c r="BK191" s="3"/>
      <c r="BL191" s="3"/>
      <c r="BM191" s="3"/>
      <c r="BN191" s="263"/>
      <c r="BO191" s="3"/>
      <c r="BQ191" s="1669"/>
      <c r="BR191" s="397"/>
      <c r="BS191" s="397"/>
      <c r="BT191" s="397"/>
      <c r="BV191" s="1669"/>
      <c r="BW191" s="397"/>
      <c r="BX191" s="397"/>
      <c r="BY191" s="397"/>
      <c r="CB191" s="428"/>
      <c r="CC191" s="428"/>
      <c r="CD191" s="428"/>
      <c r="CE191" s="1669"/>
      <c r="CF191" s="1620" t="str">
        <f>IFERROR(INDEX(N_Bedarf!$CE$2:$CE$304,_xlfn.AGGREGATE(15,6,(ROW(N_Bedarf!$CE$2:$CE$304)-1)/(--(SEARCH(CG$2,N_Bedarf!$CE$2:$CE$304)&gt;0)),ROW()-2),1),"")</f>
        <v/>
      </c>
      <c r="CG191" s="1620"/>
      <c r="CH191" s="1620" t="str">
        <f>IFERROR(INDEX(N_Bedarf!$CE$2:$CE$304,_xlfn.AGGREGATE(15,6,(ROW(N_Bedarf!$CE$2:$CE$304)-1)/(--(SEARCH(CI$2,N_Bedarf!$CE$2:$CE$304)&gt;0)),ROW()-2),1),"")</f>
        <v/>
      </c>
      <c r="CI191" s="1620"/>
      <c r="CJ191" s="1620" t="str">
        <f>IFERROR(INDEX(N_Bedarf!$CE$2:$CE$304,_xlfn.AGGREGATE(15,6,(ROW(N_Bedarf!$CE$2:$CE$304)-1)/(--(SEARCH(CK$2,N_Bedarf!$CE$2:$CE$304)&gt;0)),ROW()-2),1),"")</f>
        <v/>
      </c>
      <c r="CK191" s="1620"/>
      <c r="CL191" s="1620" t="str">
        <f>IFERROR(INDEX(N_Bedarf!$CE$2:$CE$304,_xlfn.AGGREGATE(15,6,(ROW(N_Bedarf!$CE$2:$CE$304)-1)/(--(SEARCH(CM$2,N_Bedarf!$CE$2:$CE$304)&gt;0)),ROW()-2),1),"")</f>
        <v/>
      </c>
      <c r="CM191" s="1620"/>
      <c r="CN191" s="1620" t="str">
        <f>IFERROR(INDEX(N_Bedarf!$CE$2:$CE$304,_xlfn.AGGREGATE(15,6,(ROW(N_Bedarf!$CE$2:$CE$304)-1)/(--(SEARCH(CO$2,N_Bedarf!$CE$2:$CE$304)&gt;0)),ROW()-2),1),"")</f>
        <v/>
      </c>
      <c r="CO191" s="1620"/>
      <c r="CP191" s="1620" t="str">
        <f>IFERROR(INDEX(N_Bedarf!$CE$2:$CE$304,_xlfn.AGGREGATE(15,6,(ROW(N_Bedarf!$CE$2:$CE$304)-1)/(--(SEARCH(CQ$2,N_Bedarf!$CE$2:$CE$304)&gt;0)),ROW()-2),1),"")</f>
        <v/>
      </c>
      <c r="CQ191" s="1620"/>
      <c r="CR191" s="1620" t="str">
        <f>IFERROR(INDEX(N_Bedarf!$CE$2:$CE$304,_xlfn.AGGREGATE(15,6,(ROW(N_Bedarf!$CE$2:$CE$304)-1)/(--(SEARCH(CS$2,N_Bedarf!$CE$2:$CE$304)&gt;0)),ROW()-2),1),"")</f>
        <v/>
      </c>
      <c r="CS191" s="1620"/>
      <c r="CT191" s="1620" t="str">
        <f>IFERROR(INDEX(N_Bedarf!$CE$2:$CE$304,_xlfn.AGGREGATE(15,6,(ROW(N_Bedarf!$CE$2:$CE$304)-1)/(--(SEARCH(CU$2,N_Bedarf!$CE$2:$CE$304)&gt;0)),ROW()-2),1),"")</f>
        <v/>
      </c>
      <c r="CU191" s="1620"/>
      <c r="CV191" s="1620" t="str">
        <f>IFERROR(INDEX(N_Bedarf!$CE$2:$CE$304,_xlfn.AGGREGATE(15,6,(ROW(N_Bedarf!$CE$2:$CE$304)-1)/(--(SEARCH(CW$2,N_Bedarf!$CE$2:$CE$304)&gt;0)),ROW()-2),1),"")</f>
        <v/>
      </c>
      <c r="CW191" s="1620"/>
      <c r="CX191" s="1620" t="str">
        <f>IFERROR(INDEX(N_Bedarf!$CE$2:$CE$304,_xlfn.AGGREGATE(15,6,(ROW(N_Bedarf!$CE$2:$CE$304)-1)/(--(SEARCH(CY$2,N_Bedarf!$CE$2:$CE$304)&gt;0)),ROW()-2),1),"")</f>
        <v/>
      </c>
      <c r="CY191" s="1620"/>
      <c r="CZ191" s="1620" t="str">
        <f>IFERROR(INDEX(N_Bedarf!$CE$2:$CE$304,_xlfn.AGGREGATE(15,6,(ROW(N_Bedarf!$CE$2:$CE$304)-1)/(--(SEARCH(DA$2,N_Bedarf!$CE$2:$CE$304)&gt;0)),ROW()-2),1),"")</f>
        <v/>
      </c>
      <c r="DA191" s="1620"/>
      <c r="DB191" s="1620" t="str">
        <f>IFERROR(INDEX(N_Bedarf!$CE$2:$CE$304,_xlfn.AGGREGATE(15,6,(ROW(N_Bedarf!$CE$2:$CE$304)-1)/(--(SEARCH(DC$2,N_Bedarf!$CE$2:$CE$304)&gt;0)),ROW()-2),1),"")</f>
        <v/>
      </c>
      <c r="DC191" s="1620"/>
      <c r="DD191" s="1620" t="str">
        <f>IFERROR(INDEX(N_Bedarf!$CE$2:$CE$304,_xlfn.AGGREGATE(15,6,(ROW(N_Bedarf!$CE$2:$CE$304)-1)/(--(SEARCH(DE$2,N_Bedarf!$CE$2:$CE$304)&gt;0)),ROW()-2),1),"")</f>
        <v/>
      </c>
      <c r="DE191" s="1620"/>
      <c r="ES191" s="768"/>
      <c r="ET191" s="768"/>
      <c r="EU191" s="768"/>
      <c r="EV191" s="768"/>
      <c r="EW191" s="768"/>
    </row>
    <row r="192" spans="3:153" s="394" customFormat="1" ht="21" customHeight="1">
      <c r="C192" s="1790" t="s">
        <v>62</v>
      </c>
      <c r="D192" s="1759" t="s">
        <v>714</v>
      </c>
      <c r="E192" s="1729">
        <v>40</v>
      </c>
      <c r="F192" s="1760">
        <v>35</v>
      </c>
      <c r="G192" s="1993" t="s">
        <v>714</v>
      </c>
      <c r="H192" s="1994">
        <v>40</v>
      </c>
      <c r="I192" s="1995">
        <v>35</v>
      </c>
      <c r="J192" s="1759" t="s">
        <v>714</v>
      </c>
      <c r="K192" s="1729">
        <v>40</v>
      </c>
      <c r="L192" s="1760">
        <v>35</v>
      </c>
      <c r="M192" s="1"/>
      <c r="N192" s="1"/>
      <c r="O192" s="1"/>
      <c r="P192" s="1"/>
      <c r="Q192" s="1"/>
      <c r="R192" s="1"/>
      <c r="S192" s="1759">
        <v>45</v>
      </c>
      <c r="T192" s="1729">
        <v>45</v>
      </c>
      <c r="U192" s="1760">
        <v>45</v>
      </c>
      <c r="V192" s="1759">
        <v>40</v>
      </c>
      <c r="W192" s="1729">
        <v>40</v>
      </c>
      <c r="X192" s="1760">
        <v>40</v>
      </c>
      <c r="Y192" s="2009">
        <v>30</v>
      </c>
      <c r="Z192" s="2010">
        <v>30</v>
      </c>
      <c r="AA192" s="2011">
        <v>30</v>
      </c>
      <c r="AB192" s="1871" t="s">
        <v>3</v>
      </c>
      <c r="AC192" s="1737" t="s">
        <v>714</v>
      </c>
      <c r="AD192" s="1762"/>
      <c r="AE192" s="1729"/>
      <c r="AF192" s="1760"/>
      <c r="AG192" s="1759"/>
      <c r="AH192" s="1729"/>
      <c r="AI192" s="1760"/>
      <c r="AJ192" s="2009"/>
      <c r="AK192" s="2010"/>
      <c r="AL192" s="2011"/>
      <c r="AM192" s="1871" t="s">
        <v>1764</v>
      </c>
      <c r="AN192" s="1763" t="s">
        <v>1764</v>
      </c>
      <c r="AR192" s="156"/>
      <c r="AS192" s="156"/>
      <c r="AT192" s="156"/>
      <c r="AU192" s="397"/>
      <c r="AV192" s="396"/>
      <c r="AW192" s="396"/>
      <c r="AX192" s="1669"/>
      <c r="AY192" s="3"/>
      <c r="AZ192" s="3"/>
      <c r="BA192" s="3"/>
      <c r="BB192" s="3"/>
      <c r="BC192" s="3"/>
      <c r="BD192" s="3"/>
      <c r="BE192" s="3"/>
      <c r="BF192" s="3"/>
      <c r="BG192" s="3"/>
      <c r="BH192" s="3"/>
      <c r="BI192" s="3"/>
      <c r="BJ192" s="3"/>
      <c r="BK192" s="3"/>
      <c r="BL192" s="3"/>
      <c r="BM192" s="3"/>
      <c r="BN192" s="263"/>
      <c r="BO192" s="3"/>
      <c r="BQ192" s="1669"/>
      <c r="BR192" s="397"/>
      <c r="BS192" s="397"/>
      <c r="BT192" s="397"/>
      <c r="BV192" s="1669"/>
      <c r="BW192" s="397"/>
      <c r="BX192" s="397"/>
      <c r="BY192" s="397"/>
      <c r="CB192" s="428"/>
      <c r="CC192" s="428"/>
      <c r="CD192" s="428"/>
      <c r="CE192" s="1669"/>
      <c r="CF192" s="1620" t="str">
        <f>IFERROR(INDEX(N_Bedarf!$CE$2:$CE$304,_xlfn.AGGREGATE(15,6,(ROW(N_Bedarf!$CE$2:$CE$304)-1)/(--(SEARCH(CG$2,N_Bedarf!$CE$2:$CE$304)&gt;0)),ROW()-2),1),"")</f>
        <v/>
      </c>
      <c r="CG192" s="1620"/>
      <c r="CH192" s="1620" t="str">
        <f>IFERROR(INDEX(N_Bedarf!$CE$2:$CE$304,_xlfn.AGGREGATE(15,6,(ROW(N_Bedarf!$CE$2:$CE$304)-1)/(--(SEARCH(CI$2,N_Bedarf!$CE$2:$CE$304)&gt;0)),ROW()-2),1),"")</f>
        <v/>
      </c>
      <c r="CI192" s="1620"/>
      <c r="CJ192" s="1620" t="str">
        <f>IFERROR(INDEX(N_Bedarf!$CE$2:$CE$304,_xlfn.AGGREGATE(15,6,(ROW(N_Bedarf!$CE$2:$CE$304)-1)/(--(SEARCH(CK$2,N_Bedarf!$CE$2:$CE$304)&gt;0)),ROW()-2),1),"")</f>
        <v/>
      </c>
      <c r="CK192" s="1620"/>
      <c r="CL192" s="1620" t="str">
        <f>IFERROR(INDEX(N_Bedarf!$CE$2:$CE$304,_xlfn.AGGREGATE(15,6,(ROW(N_Bedarf!$CE$2:$CE$304)-1)/(--(SEARCH(CM$2,N_Bedarf!$CE$2:$CE$304)&gt;0)),ROW()-2),1),"")</f>
        <v/>
      </c>
      <c r="CM192" s="1620"/>
      <c r="CN192" s="1620" t="str">
        <f>IFERROR(INDEX(N_Bedarf!$CE$2:$CE$304,_xlfn.AGGREGATE(15,6,(ROW(N_Bedarf!$CE$2:$CE$304)-1)/(--(SEARCH(CO$2,N_Bedarf!$CE$2:$CE$304)&gt;0)),ROW()-2),1),"")</f>
        <v/>
      </c>
      <c r="CO192" s="1620"/>
      <c r="CP192" s="1620" t="str">
        <f>IFERROR(INDEX(N_Bedarf!$CE$2:$CE$304,_xlfn.AGGREGATE(15,6,(ROW(N_Bedarf!$CE$2:$CE$304)-1)/(--(SEARCH(CQ$2,N_Bedarf!$CE$2:$CE$304)&gt;0)),ROW()-2),1),"")</f>
        <v/>
      </c>
      <c r="CQ192" s="1620"/>
      <c r="CR192" s="1620" t="str">
        <f>IFERROR(INDEX(N_Bedarf!$CE$2:$CE$304,_xlfn.AGGREGATE(15,6,(ROW(N_Bedarf!$CE$2:$CE$304)-1)/(--(SEARCH(CS$2,N_Bedarf!$CE$2:$CE$304)&gt;0)),ROW()-2),1),"")</f>
        <v/>
      </c>
      <c r="CS192" s="1620"/>
      <c r="CT192" s="1620" t="str">
        <f>IFERROR(INDEX(N_Bedarf!$CE$2:$CE$304,_xlfn.AGGREGATE(15,6,(ROW(N_Bedarf!$CE$2:$CE$304)-1)/(--(SEARCH(CU$2,N_Bedarf!$CE$2:$CE$304)&gt;0)),ROW()-2),1),"")</f>
        <v/>
      </c>
      <c r="CU192" s="1620"/>
      <c r="CV192" s="1620" t="str">
        <f>IFERROR(INDEX(N_Bedarf!$CE$2:$CE$304,_xlfn.AGGREGATE(15,6,(ROW(N_Bedarf!$CE$2:$CE$304)-1)/(--(SEARCH(CW$2,N_Bedarf!$CE$2:$CE$304)&gt;0)),ROW()-2),1),"")</f>
        <v/>
      </c>
      <c r="CW192" s="1620"/>
      <c r="CX192" s="1620" t="str">
        <f>IFERROR(INDEX(N_Bedarf!$CE$2:$CE$304,_xlfn.AGGREGATE(15,6,(ROW(N_Bedarf!$CE$2:$CE$304)-1)/(--(SEARCH(CY$2,N_Bedarf!$CE$2:$CE$304)&gt;0)),ROW()-2),1),"")</f>
        <v/>
      </c>
      <c r="CY192" s="1620"/>
      <c r="CZ192" s="1620" t="str">
        <f>IFERROR(INDEX(N_Bedarf!$CE$2:$CE$304,_xlfn.AGGREGATE(15,6,(ROW(N_Bedarf!$CE$2:$CE$304)-1)/(--(SEARCH(DA$2,N_Bedarf!$CE$2:$CE$304)&gt;0)),ROW()-2),1),"")</f>
        <v/>
      </c>
      <c r="DA192" s="1620"/>
      <c r="DB192" s="1620" t="str">
        <f>IFERROR(INDEX(N_Bedarf!$CE$2:$CE$304,_xlfn.AGGREGATE(15,6,(ROW(N_Bedarf!$CE$2:$CE$304)-1)/(--(SEARCH(DC$2,N_Bedarf!$CE$2:$CE$304)&gt;0)),ROW()-2),1),"")</f>
        <v/>
      </c>
      <c r="DC192" s="1620"/>
      <c r="DD192" s="1620" t="str">
        <f>IFERROR(INDEX(N_Bedarf!$CE$2:$CE$304,_xlfn.AGGREGATE(15,6,(ROW(N_Bedarf!$CE$2:$CE$304)-1)/(--(SEARCH(DE$2,N_Bedarf!$CE$2:$CE$304)&gt;0)),ROW()-2),1),"")</f>
        <v/>
      </c>
      <c r="DE192" s="1620"/>
      <c r="ES192" s="768"/>
      <c r="ET192" s="768"/>
      <c r="EU192" s="768"/>
      <c r="EV192" s="768"/>
      <c r="EW192" s="768"/>
    </row>
    <row r="193" spans="3:153" s="394" customFormat="1" ht="21" customHeight="1">
      <c r="C193" s="1790" t="s">
        <v>63</v>
      </c>
      <c r="D193" s="1759" t="s">
        <v>714</v>
      </c>
      <c r="E193" s="1729">
        <v>140</v>
      </c>
      <c r="F193" s="1760">
        <v>120</v>
      </c>
      <c r="G193" s="1993" t="s">
        <v>714</v>
      </c>
      <c r="H193" s="1994">
        <v>140</v>
      </c>
      <c r="I193" s="1995">
        <v>120</v>
      </c>
      <c r="J193" s="1759" t="s">
        <v>714</v>
      </c>
      <c r="K193" s="1729">
        <v>140</v>
      </c>
      <c r="L193" s="1760">
        <v>120</v>
      </c>
      <c r="M193" s="1"/>
      <c r="N193" s="1"/>
      <c r="O193" s="1"/>
      <c r="P193" s="1"/>
      <c r="Q193" s="1"/>
      <c r="R193" s="1"/>
      <c r="S193" s="1759">
        <v>90</v>
      </c>
      <c r="T193" s="1729">
        <v>90</v>
      </c>
      <c r="U193" s="1760">
        <v>90</v>
      </c>
      <c r="V193" s="1759">
        <v>75</v>
      </c>
      <c r="W193" s="1729">
        <v>75</v>
      </c>
      <c r="X193" s="1760">
        <v>75</v>
      </c>
      <c r="Y193" s="2009">
        <v>60</v>
      </c>
      <c r="Z193" s="2010">
        <v>60</v>
      </c>
      <c r="AA193" s="2011">
        <v>60</v>
      </c>
      <c r="AB193" s="1871" t="s">
        <v>1388</v>
      </c>
      <c r="AC193" s="1737" t="s">
        <v>1389</v>
      </c>
      <c r="AD193" s="1762"/>
      <c r="AE193" s="1729"/>
      <c r="AF193" s="1760"/>
      <c r="AG193" s="1759"/>
      <c r="AH193" s="1729"/>
      <c r="AI193" s="1760"/>
      <c r="AJ193" s="2009"/>
      <c r="AK193" s="2010"/>
      <c r="AL193" s="2011"/>
      <c r="AM193" s="1871" t="s">
        <v>1764</v>
      </c>
      <c r="AN193" s="1763" t="s">
        <v>1764</v>
      </c>
      <c r="AR193" s="156"/>
      <c r="AS193" s="156"/>
      <c r="AT193" s="156"/>
      <c r="AU193" s="397"/>
      <c r="AV193" s="396"/>
      <c r="AW193" s="396"/>
      <c r="AX193" s="1669"/>
      <c r="AY193" s="3"/>
      <c r="AZ193" s="3"/>
      <c r="BA193" s="3"/>
      <c r="BB193" s="3"/>
      <c r="BC193" s="3"/>
      <c r="BD193" s="3"/>
      <c r="BE193" s="3"/>
      <c r="BF193" s="3"/>
      <c r="BG193" s="3"/>
      <c r="BH193" s="3"/>
      <c r="BI193" s="3"/>
      <c r="BJ193" s="3"/>
      <c r="BK193" s="3"/>
      <c r="BL193" s="3"/>
      <c r="BM193" s="3"/>
      <c r="BN193" s="263"/>
      <c r="BO193" s="3"/>
      <c r="BQ193" s="1669"/>
      <c r="BR193" s="397"/>
      <c r="BS193" s="397"/>
      <c r="BT193" s="397"/>
      <c r="BV193" s="1669"/>
      <c r="BW193" s="397"/>
      <c r="BX193" s="397"/>
      <c r="BY193" s="397"/>
      <c r="CB193" s="428"/>
      <c r="CC193" s="428"/>
      <c r="CD193" s="428"/>
      <c r="CE193" s="1669"/>
      <c r="CF193" s="1620" t="str">
        <f>IFERROR(INDEX(N_Bedarf!$CE$2:$CE$304,_xlfn.AGGREGATE(15,6,(ROW(N_Bedarf!$CE$2:$CE$304)-1)/(--(SEARCH(CG$2,N_Bedarf!$CE$2:$CE$304)&gt;0)),ROW()-2),1),"")</f>
        <v/>
      </c>
      <c r="CG193" s="1620"/>
      <c r="CH193" s="1620" t="str">
        <f>IFERROR(INDEX(N_Bedarf!$CE$2:$CE$304,_xlfn.AGGREGATE(15,6,(ROW(N_Bedarf!$CE$2:$CE$304)-1)/(--(SEARCH(CI$2,N_Bedarf!$CE$2:$CE$304)&gt;0)),ROW()-2),1),"")</f>
        <v/>
      </c>
      <c r="CI193" s="1620"/>
      <c r="CJ193" s="1620" t="str">
        <f>IFERROR(INDEX(N_Bedarf!$CE$2:$CE$304,_xlfn.AGGREGATE(15,6,(ROW(N_Bedarf!$CE$2:$CE$304)-1)/(--(SEARCH(CK$2,N_Bedarf!$CE$2:$CE$304)&gt;0)),ROW()-2),1),"")</f>
        <v/>
      </c>
      <c r="CK193" s="1620"/>
      <c r="CL193" s="1620" t="str">
        <f>IFERROR(INDEX(N_Bedarf!$CE$2:$CE$304,_xlfn.AGGREGATE(15,6,(ROW(N_Bedarf!$CE$2:$CE$304)-1)/(--(SEARCH(CM$2,N_Bedarf!$CE$2:$CE$304)&gt;0)),ROW()-2),1),"")</f>
        <v/>
      </c>
      <c r="CM193" s="1620"/>
      <c r="CN193" s="1620" t="str">
        <f>IFERROR(INDEX(N_Bedarf!$CE$2:$CE$304,_xlfn.AGGREGATE(15,6,(ROW(N_Bedarf!$CE$2:$CE$304)-1)/(--(SEARCH(CO$2,N_Bedarf!$CE$2:$CE$304)&gt;0)),ROW()-2),1),"")</f>
        <v/>
      </c>
      <c r="CO193" s="1620"/>
      <c r="CP193" s="1620" t="str">
        <f>IFERROR(INDEX(N_Bedarf!$CE$2:$CE$304,_xlfn.AGGREGATE(15,6,(ROW(N_Bedarf!$CE$2:$CE$304)-1)/(--(SEARCH(CQ$2,N_Bedarf!$CE$2:$CE$304)&gt;0)),ROW()-2),1),"")</f>
        <v/>
      </c>
      <c r="CQ193" s="1620"/>
      <c r="CR193" s="1620" t="str">
        <f>IFERROR(INDEX(N_Bedarf!$CE$2:$CE$304,_xlfn.AGGREGATE(15,6,(ROW(N_Bedarf!$CE$2:$CE$304)-1)/(--(SEARCH(CS$2,N_Bedarf!$CE$2:$CE$304)&gt;0)),ROW()-2),1),"")</f>
        <v/>
      </c>
      <c r="CS193" s="1620"/>
      <c r="CT193" s="1620" t="str">
        <f>IFERROR(INDEX(N_Bedarf!$CE$2:$CE$304,_xlfn.AGGREGATE(15,6,(ROW(N_Bedarf!$CE$2:$CE$304)-1)/(--(SEARCH(CU$2,N_Bedarf!$CE$2:$CE$304)&gt;0)),ROW()-2),1),"")</f>
        <v/>
      </c>
      <c r="CU193" s="1620"/>
      <c r="CV193" s="1620" t="str">
        <f>IFERROR(INDEX(N_Bedarf!$CE$2:$CE$304,_xlfn.AGGREGATE(15,6,(ROW(N_Bedarf!$CE$2:$CE$304)-1)/(--(SEARCH(CW$2,N_Bedarf!$CE$2:$CE$304)&gt;0)),ROW()-2),1),"")</f>
        <v/>
      </c>
      <c r="CW193" s="1620"/>
      <c r="CX193" s="1620" t="str">
        <f>IFERROR(INDEX(N_Bedarf!$CE$2:$CE$304,_xlfn.AGGREGATE(15,6,(ROW(N_Bedarf!$CE$2:$CE$304)-1)/(--(SEARCH(CY$2,N_Bedarf!$CE$2:$CE$304)&gt;0)),ROW()-2),1),"")</f>
        <v/>
      </c>
      <c r="CY193" s="1620"/>
      <c r="CZ193" s="1620" t="str">
        <f>IFERROR(INDEX(N_Bedarf!$CE$2:$CE$304,_xlfn.AGGREGATE(15,6,(ROW(N_Bedarf!$CE$2:$CE$304)-1)/(--(SEARCH(DA$2,N_Bedarf!$CE$2:$CE$304)&gt;0)),ROW()-2),1),"")</f>
        <v/>
      </c>
      <c r="DA193" s="1620"/>
      <c r="DB193" s="1620" t="str">
        <f>IFERROR(INDEX(N_Bedarf!$CE$2:$CE$304,_xlfn.AGGREGATE(15,6,(ROW(N_Bedarf!$CE$2:$CE$304)-1)/(--(SEARCH(DC$2,N_Bedarf!$CE$2:$CE$304)&gt;0)),ROW()-2),1),"")</f>
        <v/>
      </c>
      <c r="DC193" s="1620"/>
      <c r="DD193" s="1620" t="str">
        <f>IFERROR(INDEX(N_Bedarf!$CE$2:$CE$304,_xlfn.AGGREGATE(15,6,(ROW(N_Bedarf!$CE$2:$CE$304)-1)/(--(SEARCH(DE$2,N_Bedarf!$CE$2:$CE$304)&gt;0)),ROW()-2),1),"")</f>
        <v/>
      </c>
      <c r="DE193" s="1620"/>
      <c r="ES193" s="768"/>
      <c r="ET193" s="768"/>
      <c r="EU193" s="768"/>
      <c r="EV193" s="768"/>
      <c r="EW193" s="768"/>
    </row>
    <row r="194" spans="3:153" s="394" customFormat="1" ht="21" customHeight="1">
      <c r="C194" s="1790" t="s">
        <v>64</v>
      </c>
      <c r="D194" s="1759" t="s">
        <v>714</v>
      </c>
      <c r="E194" s="1729">
        <v>150</v>
      </c>
      <c r="F194" s="1760">
        <v>130</v>
      </c>
      <c r="G194" s="1993" t="s">
        <v>714</v>
      </c>
      <c r="H194" s="1994">
        <v>150</v>
      </c>
      <c r="I194" s="1995">
        <v>130</v>
      </c>
      <c r="J194" s="1759" t="s">
        <v>714</v>
      </c>
      <c r="K194" s="1729">
        <v>150</v>
      </c>
      <c r="L194" s="1760">
        <v>130</v>
      </c>
      <c r="M194" s="1"/>
      <c r="N194" s="1"/>
      <c r="O194" s="1"/>
      <c r="P194" s="1"/>
      <c r="Q194" s="1"/>
      <c r="R194" s="1"/>
      <c r="S194" s="1759">
        <v>75</v>
      </c>
      <c r="T194" s="1729">
        <v>75</v>
      </c>
      <c r="U194" s="1760">
        <v>75</v>
      </c>
      <c r="V194" s="1759">
        <v>65</v>
      </c>
      <c r="W194" s="1729">
        <v>65</v>
      </c>
      <c r="X194" s="1760">
        <v>65</v>
      </c>
      <c r="Y194" s="2009">
        <v>50</v>
      </c>
      <c r="Z194" s="2010">
        <v>50</v>
      </c>
      <c r="AA194" s="2011">
        <v>50</v>
      </c>
      <c r="AB194" s="1871" t="s">
        <v>1388</v>
      </c>
      <c r="AC194" s="1737" t="s">
        <v>1389</v>
      </c>
      <c r="AD194" s="1762"/>
      <c r="AE194" s="1729"/>
      <c r="AF194" s="1760"/>
      <c r="AG194" s="1759"/>
      <c r="AH194" s="1729"/>
      <c r="AI194" s="1760"/>
      <c r="AJ194" s="2009"/>
      <c r="AK194" s="2010"/>
      <c r="AL194" s="2011"/>
      <c r="AM194" s="1871" t="s">
        <v>1764</v>
      </c>
      <c r="AN194" s="1763" t="s">
        <v>1764</v>
      </c>
      <c r="AR194" s="156"/>
      <c r="AS194" s="156"/>
      <c r="AT194" s="156"/>
      <c r="AU194" s="397"/>
      <c r="AV194" s="396"/>
      <c r="AW194" s="396"/>
      <c r="AX194" s="1669"/>
      <c r="AY194" s="3"/>
      <c r="AZ194" s="3"/>
      <c r="BA194" s="3"/>
      <c r="BB194" s="3"/>
      <c r="BC194" s="3"/>
      <c r="BD194" s="3"/>
      <c r="BE194" s="3"/>
      <c r="BF194" s="3"/>
      <c r="BG194" s="3"/>
      <c r="BH194" s="3"/>
      <c r="BI194" s="3"/>
      <c r="BJ194" s="3"/>
      <c r="BK194" s="3"/>
      <c r="BL194" s="3"/>
      <c r="BM194" s="3"/>
      <c r="BN194" s="263"/>
      <c r="BO194" s="3"/>
      <c r="BQ194" s="1669"/>
      <c r="BR194" s="397"/>
      <c r="BS194" s="397"/>
      <c r="BT194" s="397"/>
      <c r="BV194" s="1669"/>
      <c r="BW194" s="397"/>
      <c r="BX194" s="397"/>
      <c r="BY194" s="397"/>
      <c r="CB194" s="428"/>
      <c r="CC194" s="428"/>
      <c r="CD194" s="428"/>
      <c r="CE194" s="1669"/>
      <c r="CF194" s="1620" t="str">
        <f>IFERROR(INDEX(N_Bedarf!$CE$2:$CE$304,_xlfn.AGGREGATE(15,6,(ROW(N_Bedarf!$CE$2:$CE$304)-1)/(--(SEARCH(CG$2,N_Bedarf!$CE$2:$CE$304)&gt;0)),ROW()-2),1),"")</f>
        <v/>
      </c>
      <c r="CG194" s="1620"/>
      <c r="CH194" s="1620" t="str">
        <f>IFERROR(INDEX(N_Bedarf!$CE$2:$CE$304,_xlfn.AGGREGATE(15,6,(ROW(N_Bedarf!$CE$2:$CE$304)-1)/(--(SEARCH(CI$2,N_Bedarf!$CE$2:$CE$304)&gt;0)),ROW()-2),1),"")</f>
        <v/>
      </c>
      <c r="CI194" s="1620"/>
      <c r="CJ194" s="1620" t="str">
        <f>IFERROR(INDEX(N_Bedarf!$CE$2:$CE$304,_xlfn.AGGREGATE(15,6,(ROW(N_Bedarf!$CE$2:$CE$304)-1)/(--(SEARCH(CK$2,N_Bedarf!$CE$2:$CE$304)&gt;0)),ROW()-2),1),"")</f>
        <v/>
      </c>
      <c r="CK194" s="1620"/>
      <c r="CL194" s="1620" t="str">
        <f>IFERROR(INDEX(N_Bedarf!$CE$2:$CE$304,_xlfn.AGGREGATE(15,6,(ROW(N_Bedarf!$CE$2:$CE$304)-1)/(--(SEARCH(CM$2,N_Bedarf!$CE$2:$CE$304)&gt;0)),ROW()-2),1),"")</f>
        <v/>
      </c>
      <c r="CM194" s="1620"/>
      <c r="CN194" s="1620" t="str">
        <f>IFERROR(INDEX(N_Bedarf!$CE$2:$CE$304,_xlfn.AGGREGATE(15,6,(ROW(N_Bedarf!$CE$2:$CE$304)-1)/(--(SEARCH(CO$2,N_Bedarf!$CE$2:$CE$304)&gt;0)),ROW()-2),1),"")</f>
        <v/>
      </c>
      <c r="CO194" s="1620"/>
      <c r="CP194" s="1620" t="str">
        <f>IFERROR(INDEX(N_Bedarf!$CE$2:$CE$304,_xlfn.AGGREGATE(15,6,(ROW(N_Bedarf!$CE$2:$CE$304)-1)/(--(SEARCH(CQ$2,N_Bedarf!$CE$2:$CE$304)&gt;0)),ROW()-2),1),"")</f>
        <v/>
      </c>
      <c r="CQ194" s="1620"/>
      <c r="CR194" s="1620" t="str">
        <f>IFERROR(INDEX(N_Bedarf!$CE$2:$CE$304,_xlfn.AGGREGATE(15,6,(ROW(N_Bedarf!$CE$2:$CE$304)-1)/(--(SEARCH(CS$2,N_Bedarf!$CE$2:$CE$304)&gt;0)),ROW()-2),1),"")</f>
        <v/>
      </c>
      <c r="CS194" s="1620"/>
      <c r="CT194" s="1620" t="str">
        <f>IFERROR(INDEX(N_Bedarf!$CE$2:$CE$304,_xlfn.AGGREGATE(15,6,(ROW(N_Bedarf!$CE$2:$CE$304)-1)/(--(SEARCH(CU$2,N_Bedarf!$CE$2:$CE$304)&gt;0)),ROW()-2),1),"")</f>
        <v/>
      </c>
      <c r="CU194" s="1620"/>
      <c r="CV194" s="1620" t="str">
        <f>IFERROR(INDEX(N_Bedarf!$CE$2:$CE$304,_xlfn.AGGREGATE(15,6,(ROW(N_Bedarf!$CE$2:$CE$304)-1)/(--(SEARCH(CW$2,N_Bedarf!$CE$2:$CE$304)&gt;0)),ROW()-2),1),"")</f>
        <v/>
      </c>
      <c r="CW194" s="1620"/>
      <c r="CX194" s="1620" t="str">
        <f>IFERROR(INDEX(N_Bedarf!$CE$2:$CE$304,_xlfn.AGGREGATE(15,6,(ROW(N_Bedarf!$CE$2:$CE$304)-1)/(--(SEARCH(CY$2,N_Bedarf!$CE$2:$CE$304)&gt;0)),ROW()-2),1),"")</f>
        <v/>
      </c>
      <c r="CY194" s="1620"/>
      <c r="CZ194" s="1620" t="str">
        <f>IFERROR(INDEX(N_Bedarf!$CE$2:$CE$304,_xlfn.AGGREGATE(15,6,(ROW(N_Bedarf!$CE$2:$CE$304)-1)/(--(SEARCH(DA$2,N_Bedarf!$CE$2:$CE$304)&gt;0)),ROW()-2),1),"")</f>
        <v/>
      </c>
      <c r="DA194" s="1620"/>
      <c r="DB194" s="1620" t="str">
        <f>IFERROR(INDEX(N_Bedarf!$CE$2:$CE$304,_xlfn.AGGREGATE(15,6,(ROW(N_Bedarf!$CE$2:$CE$304)-1)/(--(SEARCH(DC$2,N_Bedarf!$CE$2:$CE$304)&gt;0)),ROW()-2),1),"")</f>
        <v/>
      </c>
      <c r="DC194" s="1620"/>
      <c r="DD194" s="1620" t="str">
        <f>IFERROR(INDEX(N_Bedarf!$CE$2:$CE$304,_xlfn.AGGREGATE(15,6,(ROW(N_Bedarf!$CE$2:$CE$304)-1)/(--(SEARCH(DE$2,N_Bedarf!$CE$2:$CE$304)&gt;0)),ROW()-2),1),"")</f>
        <v/>
      </c>
      <c r="DE194" s="1620"/>
      <c r="ES194" s="768"/>
      <c r="ET194" s="768"/>
      <c r="EU194" s="768"/>
      <c r="EV194" s="768"/>
      <c r="EW194" s="768"/>
    </row>
    <row r="195" spans="3:153" s="394" customFormat="1" ht="21" customHeight="1">
      <c r="C195" s="1790" t="s">
        <v>65</v>
      </c>
      <c r="D195" s="1759" t="s">
        <v>714</v>
      </c>
      <c r="E195" s="1729">
        <v>100</v>
      </c>
      <c r="F195" s="1760">
        <v>85</v>
      </c>
      <c r="G195" s="1993" t="s">
        <v>714</v>
      </c>
      <c r="H195" s="1994">
        <v>100</v>
      </c>
      <c r="I195" s="1995">
        <v>85</v>
      </c>
      <c r="J195" s="1759" t="s">
        <v>714</v>
      </c>
      <c r="K195" s="1729">
        <v>100</v>
      </c>
      <c r="L195" s="1760">
        <v>85</v>
      </c>
      <c r="M195" s="1"/>
      <c r="N195" s="1"/>
      <c r="O195" s="1"/>
      <c r="P195" s="1"/>
      <c r="Q195" s="1"/>
      <c r="R195" s="1"/>
      <c r="S195" s="1759">
        <v>90</v>
      </c>
      <c r="T195" s="1729">
        <v>90</v>
      </c>
      <c r="U195" s="1760">
        <v>90</v>
      </c>
      <c r="V195" s="1759">
        <v>75</v>
      </c>
      <c r="W195" s="1729">
        <v>75</v>
      </c>
      <c r="X195" s="1760">
        <v>75</v>
      </c>
      <c r="Y195" s="2009">
        <v>60</v>
      </c>
      <c r="Z195" s="2010">
        <v>60</v>
      </c>
      <c r="AA195" s="2011">
        <v>60</v>
      </c>
      <c r="AB195" s="1871" t="s">
        <v>1388</v>
      </c>
      <c r="AC195" s="1737" t="s">
        <v>1389</v>
      </c>
      <c r="AD195" s="1762"/>
      <c r="AE195" s="1729"/>
      <c r="AF195" s="1760"/>
      <c r="AG195" s="1759"/>
      <c r="AH195" s="1729"/>
      <c r="AI195" s="1760"/>
      <c r="AJ195" s="2009"/>
      <c r="AK195" s="2010"/>
      <c r="AL195" s="2011"/>
      <c r="AM195" s="1871" t="s">
        <v>1764</v>
      </c>
      <c r="AN195" s="1763" t="s">
        <v>1764</v>
      </c>
      <c r="AR195" s="156"/>
      <c r="AS195" s="156"/>
      <c r="AT195" s="156"/>
      <c r="AU195" s="397"/>
      <c r="AV195" s="396"/>
      <c r="AW195" s="396"/>
      <c r="AX195" s="1669"/>
      <c r="AY195" s="3"/>
      <c r="AZ195" s="3"/>
      <c r="BA195" s="3"/>
      <c r="BB195" s="3"/>
      <c r="BC195" s="3"/>
      <c r="BD195" s="3"/>
      <c r="BE195" s="3"/>
      <c r="BF195" s="3"/>
      <c r="BG195" s="3"/>
      <c r="BH195" s="3"/>
      <c r="BI195" s="3"/>
      <c r="BJ195" s="3"/>
      <c r="BK195" s="3"/>
      <c r="BL195" s="3"/>
      <c r="BM195" s="3"/>
      <c r="BN195" s="263"/>
      <c r="BO195" s="3"/>
      <c r="BQ195" s="1669"/>
      <c r="BR195" s="397"/>
      <c r="BS195" s="397"/>
      <c r="BT195" s="397"/>
      <c r="BV195" s="1669"/>
      <c r="BW195" s="397"/>
      <c r="BX195" s="397"/>
      <c r="BY195" s="397"/>
      <c r="CB195" s="428"/>
      <c r="CC195" s="428"/>
      <c r="CD195" s="428"/>
      <c r="CE195" s="1669"/>
      <c r="CF195" s="1620" t="str">
        <f>IFERROR(INDEX(N_Bedarf!$CE$2:$CE$304,_xlfn.AGGREGATE(15,6,(ROW(N_Bedarf!$CE$2:$CE$304)-1)/(--(SEARCH(CG$2,N_Bedarf!$CE$2:$CE$304)&gt;0)),ROW()-2),1),"")</f>
        <v/>
      </c>
      <c r="CG195" s="1620"/>
      <c r="CH195" s="1620" t="str">
        <f>IFERROR(INDEX(N_Bedarf!$CE$2:$CE$304,_xlfn.AGGREGATE(15,6,(ROW(N_Bedarf!$CE$2:$CE$304)-1)/(--(SEARCH(CI$2,N_Bedarf!$CE$2:$CE$304)&gt;0)),ROW()-2),1),"")</f>
        <v/>
      </c>
      <c r="CI195" s="1620"/>
      <c r="CJ195" s="1620" t="str">
        <f>IFERROR(INDEX(N_Bedarf!$CE$2:$CE$304,_xlfn.AGGREGATE(15,6,(ROW(N_Bedarf!$CE$2:$CE$304)-1)/(--(SEARCH(CK$2,N_Bedarf!$CE$2:$CE$304)&gt;0)),ROW()-2),1),"")</f>
        <v/>
      </c>
      <c r="CK195" s="1620"/>
      <c r="CL195" s="1620" t="str">
        <f>IFERROR(INDEX(N_Bedarf!$CE$2:$CE$304,_xlfn.AGGREGATE(15,6,(ROW(N_Bedarf!$CE$2:$CE$304)-1)/(--(SEARCH(CM$2,N_Bedarf!$CE$2:$CE$304)&gt;0)),ROW()-2),1),"")</f>
        <v/>
      </c>
      <c r="CM195" s="1620"/>
      <c r="CN195" s="1620" t="str">
        <f>IFERROR(INDEX(N_Bedarf!$CE$2:$CE$304,_xlfn.AGGREGATE(15,6,(ROW(N_Bedarf!$CE$2:$CE$304)-1)/(--(SEARCH(CO$2,N_Bedarf!$CE$2:$CE$304)&gt;0)),ROW()-2),1),"")</f>
        <v/>
      </c>
      <c r="CO195" s="1620"/>
      <c r="CP195" s="1620" t="str">
        <f>IFERROR(INDEX(N_Bedarf!$CE$2:$CE$304,_xlfn.AGGREGATE(15,6,(ROW(N_Bedarf!$CE$2:$CE$304)-1)/(--(SEARCH(CQ$2,N_Bedarf!$CE$2:$CE$304)&gt;0)),ROW()-2),1),"")</f>
        <v/>
      </c>
      <c r="CQ195" s="1620"/>
      <c r="CR195" s="1620" t="str">
        <f>IFERROR(INDEX(N_Bedarf!$CE$2:$CE$304,_xlfn.AGGREGATE(15,6,(ROW(N_Bedarf!$CE$2:$CE$304)-1)/(--(SEARCH(CS$2,N_Bedarf!$CE$2:$CE$304)&gt;0)),ROW()-2),1),"")</f>
        <v/>
      </c>
      <c r="CS195" s="1620"/>
      <c r="CT195" s="1620" t="str">
        <f>IFERROR(INDEX(N_Bedarf!$CE$2:$CE$304,_xlfn.AGGREGATE(15,6,(ROW(N_Bedarf!$CE$2:$CE$304)-1)/(--(SEARCH(CU$2,N_Bedarf!$CE$2:$CE$304)&gt;0)),ROW()-2),1),"")</f>
        <v/>
      </c>
      <c r="CU195" s="1620"/>
      <c r="CV195" s="1620" t="str">
        <f>IFERROR(INDEX(N_Bedarf!$CE$2:$CE$304,_xlfn.AGGREGATE(15,6,(ROW(N_Bedarf!$CE$2:$CE$304)-1)/(--(SEARCH(CW$2,N_Bedarf!$CE$2:$CE$304)&gt;0)),ROW()-2),1),"")</f>
        <v/>
      </c>
      <c r="CW195" s="1620"/>
      <c r="CX195" s="1620" t="str">
        <f>IFERROR(INDEX(N_Bedarf!$CE$2:$CE$304,_xlfn.AGGREGATE(15,6,(ROW(N_Bedarf!$CE$2:$CE$304)-1)/(--(SEARCH(CY$2,N_Bedarf!$CE$2:$CE$304)&gt;0)),ROW()-2),1),"")</f>
        <v/>
      </c>
      <c r="CY195" s="1620"/>
      <c r="CZ195" s="1620" t="str">
        <f>IFERROR(INDEX(N_Bedarf!$CE$2:$CE$304,_xlfn.AGGREGATE(15,6,(ROW(N_Bedarf!$CE$2:$CE$304)-1)/(--(SEARCH(DA$2,N_Bedarf!$CE$2:$CE$304)&gt;0)),ROW()-2),1),"")</f>
        <v/>
      </c>
      <c r="DA195" s="1620"/>
      <c r="DB195" s="1620" t="str">
        <f>IFERROR(INDEX(N_Bedarf!$CE$2:$CE$304,_xlfn.AGGREGATE(15,6,(ROW(N_Bedarf!$CE$2:$CE$304)-1)/(--(SEARCH(DC$2,N_Bedarf!$CE$2:$CE$304)&gt;0)),ROW()-2),1),"")</f>
        <v/>
      </c>
      <c r="DC195" s="1620"/>
      <c r="DD195" s="1620" t="str">
        <f>IFERROR(INDEX(N_Bedarf!$CE$2:$CE$304,_xlfn.AGGREGATE(15,6,(ROW(N_Bedarf!$CE$2:$CE$304)-1)/(--(SEARCH(DE$2,N_Bedarf!$CE$2:$CE$304)&gt;0)),ROW()-2),1),"")</f>
        <v/>
      </c>
      <c r="DE195" s="1620"/>
      <c r="ES195" s="768"/>
      <c r="ET195" s="768"/>
      <c r="EU195" s="768"/>
      <c r="EV195" s="768"/>
      <c r="EW195" s="768"/>
    </row>
    <row r="196" spans="3:153" s="394" customFormat="1" ht="21" customHeight="1">
      <c r="C196" s="1790" t="s">
        <v>66</v>
      </c>
      <c r="D196" s="1759" t="s">
        <v>714</v>
      </c>
      <c r="E196" s="1729">
        <v>150</v>
      </c>
      <c r="F196" s="1760">
        <v>130</v>
      </c>
      <c r="G196" s="1993" t="s">
        <v>714</v>
      </c>
      <c r="H196" s="1994">
        <v>150</v>
      </c>
      <c r="I196" s="1995">
        <v>130</v>
      </c>
      <c r="J196" s="1759" t="s">
        <v>714</v>
      </c>
      <c r="K196" s="1729">
        <v>150</v>
      </c>
      <c r="L196" s="1760">
        <v>130</v>
      </c>
      <c r="M196" s="1"/>
      <c r="N196" s="1"/>
      <c r="O196" s="1"/>
      <c r="P196" s="1"/>
      <c r="Q196" s="1"/>
      <c r="R196" s="1"/>
      <c r="S196" s="1759">
        <v>90</v>
      </c>
      <c r="T196" s="1729">
        <v>90</v>
      </c>
      <c r="U196" s="1760">
        <v>90</v>
      </c>
      <c r="V196" s="1759">
        <v>75</v>
      </c>
      <c r="W196" s="1729">
        <v>75</v>
      </c>
      <c r="X196" s="1760">
        <v>75</v>
      </c>
      <c r="Y196" s="2009">
        <v>60</v>
      </c>
      <c r="Z196" s="2010">
        <v>60</v>
      </c>
      <c r="AA196" s="2011">
        <v>60</v>
      </c>
      <c r="AB196" s="1871" t="s">
        <v>1388</v>
      </c>
      <c r="AC196" s="1737" t="s">
        <v>1389</v>
      </c>
      <c r="AD196" s="1762"/>
      <c r="AE196" s="1729"/>
      <c r="AF196" s="1760"/>
      <c r="AG196" s="1759"/>
      <c r="AH196" s="1729"/>
      <c r="AI196" s="1760"/>
      <c r="AJ196" s="2009"/>
      <c r="AK196" s="2010"/>
      <c r="AL196" s="2011"/>
      <c r="AM196" s="1871" t="s">
        <v>1764</v>
      </c>
      <c r="AN196" s="1763" t="s">
        <v>1764</v>
      </c>
      <c r="AR196" s="156"/>
      <c r="AS196" s="156"/>
      <c r="AT196" s="156"/>
      <c r="AU196" s="397"/>
      <c r="AV196" s="396"/>
      <c r="AW196" s="396"/>
      <c r="AX196" s="1669"/>
      <c r="AY196" s="3"/>
      <c r="AZ196" s="3"/>
      <c r="BA196" s="3"/>
      <c r="BB196" s="3"/>
      <c r="BC196" s="3"/>
      <c r="BD196" s="3"/>
      <c r="BE196" s="3"/>
      <c r="BF196" s="3"/>
      <c r="BG196" s="3"/>
      <c r="BH196" s="3"/>
      <c r="BI196" s="3"/>
      <c r="BJ196" s="3"/>
      <c r="BK196" s="3"/>
      <c r="BL196" s="3"/>
      <c r="BM196" s="3"/>
      <c r="BN196" s="263"/>
      <c r="BO196" s="3"/>
      <c r="BQ196" s="1669"/>
      <c r="BR196" s="397"/>
      <c r="BS196" s="397"/>
      <c r="BT196" s="397"/>
      <c r="BV196" s="1669"/>
      <c r="BW196" s="397"/>
      <c r="BX196" s="397"/>
      <c r="BY196" s="397"/>
      <c r="CB196" s="428"/>
      <c r="CC196" s="428"/>
      <c r="CD196" s="428"/>
      <c r="CE196" s="1669"/>
      <c r="CF196" s="1620" t="str">
        <f>IFERROR(INDEX(N_Bedarf!$CE$2:$CE$304,_xlfn.AGGREGATE(15,6,(ROW(N_Bedarf!$CE$2:$CE$304)-1)/(--(SEARCH(CG$2,N_Bedarf!$CE$2:$CE$304)&gt;0)),ROW()-2),1),"")</f>
        <v/>
      </c>
      <c r="CG196" s="1620"/>
      <c r="CH196" s="1620" t="str">
        <f>IFERROR(INDEX(N_Bedarf!$CE$2:$CE$304,_xlfn.AGGREGATE(15,6,(ROW(N_Bedarf!$CE$2:$CE$304)-1)/(--(SEARCH(CI$2,N_Bedarf!$CE$2:$CE$304)&gt;0)),ROW()-2),1),"")</f>
        <v/>
      </c>
      <c r="CI196" s="1620"/>
      <c r="CJ196" s="1620" t="str">
        <f>IFERROR(INDEX(N_Bedarf!$CE$2:$CE$304,_xlfn.AGGREGATE(15,6,(ROW(N_Bedarf!$CE$2:$CE$304)-1)/(--(SEARCH(CK$2,N_Bedarf!$CE$2:$CE$304)&gt;0)),ROW()-2),1),"")</f>
        <v/>
      </c>
      <c r="CK196" s="1620"/>
      <c r="CL196" s="1620" t="str">
        <f>IFERROR(INDEX(N_Bedarf!$CE$2:$CE$304,_xlfn.AGGREGATE(15,6,(ROW(N_Bedarf!$CE$2:$CE$304)-1)/(--(SEARCH(CM$2,N_Bedarf!$CE$2:$CE$304)&gt;0)),ROW()-2),1),"")</f>
        <v/>
      </c>
      <c r="CM196" s="1620"/>
      <c r="CN196" s="1620" t="str">
        <f>IFERROR(INDEX(N_Bedarf!$CE$2:$CE$304,_xlfn.AGGREGATE(15,6,(ROW(N_Bedarf!$CE$2:$CE$304)-1)/(--(SEARCH(CO$2,N_Bedarf!$CE$2:$CE$304)&gt;0)),ROW()-2),1),"")</f>
        <v/>
      </c>
      <c r="CO196" s="1620"/>
      <c r="CP196" s="1620" t="str">
        <f>IFERROR(INDEX(N_Bedarf!$CE$2:$CE$304,_xlfn.AGGREGATE(15,6,(ROW(N_Bedarf!$CE$2:$CE$304)-1)/(--(SEARCH(CQ$2,N_Bedarf!$CE$2:$CE$304)&gt;0)),ROW()-2),1),"")</f>
        <v/>
      </c>
      <c r="CQ196" s="1620"/>
      <c r="CR196" s="1620" t="str">
        <f>IFERROR(INDEX(N_Bedarf!$CE$2:$CE$304,_xlfn.AGGREGATE(15,6,(ROW(N_Bedarf!$CE$2:$CE$304)-1)/(--(SEARCH(CS$2,N_Bedarf!$CE$2:$CE$304)&gt;0)),ROW()-2),1),"")</f>
        <v/>
      </c>
      <c r="CS196" s="1620"/>
      <c r="CT196" s="1620" t="str">
        <f>IFERROR(INDEX(N_Bedarf!$CE$2:$CE$304,_xlfn.AGGREGATE(15,6,(ROW(N_Bedarf!$CE$2:$CE$304)-1)/(--(SEARCH(CU$2,N_Bedarf!$CE$2:$CE$304)&gt;0)),ROW()-2),1),"")</f>
        <v/>
      </c>
      <c r="CU196" s="1620"/>
      <c r="CV196" s="1620" t="str">
        <f>IFERROR(INDEX(N_Bedarf!$CE$2:$CE$304,_xlfn.AGGREGATE(15,6,(ROW(N_Bedarf!$CE$2:$CE$304)-1)/(--(SEARCH(CW$2,N_Bedarf!$CE$2:$CE$304)&gt;0)),ROW()-2),1),"")</f>
        <v/>
      </c>
      <c r="CW196" s="1620"/>
      <c r="CX196" s="1620" t="str">
        <f>IFERROR(INDEX(N_Bedarf!$CE$2:$CE$304,_xlfn.AGGREGATE(15,6,(ROW(N_Bedarf!$CE$2:$CE$304)-1)/(--(SEARCH(CY$2,N_Bedarf!$CE$2:$CE$304)&gt;0)),ROW()-2),1),"")</f>
        <v/>
      </c>
      <c r="CY196" s="1620"/>
      <c r="CZ196" s="1620" t="str">
        <f>IFERROR(INDEX(N_Bedarf!$CE$2:$CE$304,_xlfn.AGGREGATE(15,6,(ROW(N_Bedarf!$CE$2:$CE$304)-1)/(--(SEARCH(DA$2,N_Bedarf!$CE$2:$CE$304)&gt;0)),ROW()-2),1),"")</f>
        <v/>
      </c>
      <c r="DA196" s="1620"/>
      <c r="DB196" s="1620" t="str">
        <f>IFERROR(INDEX(N_Bedarf!$CE$2:$CE$304,_xlfn.AGGREGATE(15,6,(ROW(N_Bedarf!$CE$2:$CE$304)-1)/(--(SEARCH(DC$2,N_Bedarf!$CE$2:$CE$304)&gt;0)),ROW()-2),1),"")</f>
        <v/>
      </c>
      <c r="DC196" s="1620"/>
      <c r="DD196" s="1620" t="str">
        <f>IFERROR(INDEX(N_Bedarf!$CE$2:$CE$304,_xlfn.AGGREGATE(15,6,(ROW(N_Bedarf!$CE$2:$CE$304)-1)/(--(SEARCH(DE$2,N_Bedarf!$CE$2:$CE$304)&gt;0)),ROW()-2),1),"")</f>
        <v/>
      </c>
      <c r="DE196" s="1620"/>
      <c r="ES196" s="768"/>
      <c r="ET196" s="768"/>
      <c r="EU196" s="768"/>
      <c r="EV196" s="768"/>
      <c r="EW196" s="768"/>
    </row>
    <row r="197" spans="3:153" s="394" customFormat="1" ht="21" customHeight="1">
      <c r="C197" s="1790" t="s">
        <v>67</v>
      </c>
      <c r="D197" s="1759" t="s">
        <v>714</v>
      </c>
      <c r="E197" s="1729">
        <v>0</v>
      </c>
      <c r="F197" s="1760">
        <v>0</v>
      </c>
      <c r="G197" s="1993" t="s">
        <v>714</v>
      </c>
      <c r="H197" s="1994">
        <v>0</v>
      </c>
      <c r="I197" s="1995">
        <v>0</v>
      </c>
      <c r="J197" s="1759" t="s">
        <v>714</v>
      </c>
      <c r="K197" s="1729">
        <v>0</v>
      </c>
      <c r="L197" s="1760">
        <v>0</v>
      </c>
      <c r="M197" s="1"/>
      <c r="N197" s="1"/>
      <c r="O197" s="1"/>
      <c r="P197" s="1"/>
      <c r="Q197" s="1"/>
      <c r="R197" s="1"/>
      <c r="S197" s="1759">
        <v>45</v>
      </c>
      <c r="T197" s="1729">
        <v>45</v>
      </c>
      <c r="U197" s="1760">
        <v>45</v>
      </c>
      <c r="V197" s="1759">
        <v>40</v>
      </c>
      <c r="W197" s="1729">
        <v>40</v>
      </c>
      <c r="X197" s="1760">
        <v>40</v>
      </c>
      <c r="Y197" s="2009">
        <v>30</v>
      </c>
      <c r="Z197" s="2010">
        <v>30</v>
      </c>
      <c r="AA197" s="2011">
        <v>30</v>
      </c>
      <c r="AB197" s="1871" t="s">
        <v>1388</v>
      </c>
      <c r="AC197" s="1737" t="s">
        <v>1389</v>
      </c>
      <c r="AD197" s="1762"/>
      <c r="AE197" s="1729"/>
      <c r="AF197" s="1760"/>
      <c r="AG197" s="1759"/>
      <c r="AH197" s="1729"/>
      <c r="AI197" s="1760"/>
      <c r="AJ197" s="2009"/>
      <c r="AK197" s="2010"/>
      <c r="AL197" s="2011"/>
      <c r="AM197" s="1871" t="s">
        <v>1764</v>
      </c>
      <c r="AN197" s="1763" t="s">
        <v>1764</v>
      </c>
      <c r="AR197" s="156"/>
      <c r="AS197" s="156"/>
      <c r="AT197" s="156"/>
      <c r="AU197" s="397"/>
      <c r="AV197" s="396"/>
      <c r="AW197" s="396"/>
      <c r="AX197" s="1669"/>
      <c r="AY197" s="3"/>
      <c r="AZ197" s="3"/>
      <c r="BA197" s="3"/>
      <c r="BB197" s="3"/>
      <c r="BC197" s="3"/>
      <c r="BD197" s="3"/>
      <c r="BE197" s="3"/>
      <c r="BF197" s="3"/>
      <c r="BG197" s="3"/>
      <c r="BH197" s="3"/>
      <c r="BI197" s="3"/>
      <c r="BJ197" s="3"/>
      <c r="BK197" s="3"/>
      <c r="BL197" s="3"/>
      <c r="BM197" s="3"/>
      <c r="BN197" s="263"/>
      <c r="BO197" s="3"/>
      <c r="BQ197" s="1669"/>
      <c r="BR197" s="397"/>
      <c r="BS197" s="397"/>
      <c r="BT197" s="397"/>
      <c r="BV197" s="1669"/>
      <c r="BW197" s="397"/>
      <c r="BX197" s="397"/>
      <c r="BY197" s="397"/>
      <c r="CB197" s="428"/>
      <c r="CC197" s="428"/>
      <c r="CD197" s="428"/>
      <c r="CE197" s="1669"/>
      <c r="CF197" s="1620" t="str">
        <f>IFERROR(INDEX(N_Bedarf!$CE$2:$CE$304,_xlfn.AGGREGATE(15,6,(ROW(N_Bedarf!$CE$2:$CE$304)-1)/(--(SEARCH(CG$2,N_Bedarf!$CE$2:$CE$304)&gt;0)),ROW()-2),1),"")</f>
        <v/>
      </c>
      <c r="CG197" s="1620"/>
      <c r="CH197" s="1620" t="str">
        <f>IFERROR(INDEX(N_Bedarf!$CE$2:$CE$304,_xlfn.AGGREGATE(15,6,(ROW(N_Bedarf!$CE$2:$CE$304)-1)/(--(SEARCH(CI$2,N_Bedarf!$CE$2:$CE$304)&gt;0)),ROW()-2),1),"")</f>
        <v/>
      </c>
      <c r="CI197" s="1620"/>
      <c r="CJ197" s="1620" t="str">
        <f>IFERROR(INDEX(N_Bedarf!$CE$2:$CE$304,_xlfn.AGGREGATE(15,6,(ROW(N_Bedarf!$CE$2:$CE$304)-1)/(--(SEARCH(CK$2,N_Bedarf!$CE$2:$CE$304)&gt;0)),ROW()-2),1),"")</f>
        <v/>
      </c>
      <c r="CK197" s="1620"/>
      <c r="CL197" s="1620" t="str">
        <f>IFERROR(INDEX(N_Bedarf!$CE$2:$CE$304,_xlfn.AGGREGATE(15,6,(ROW(N_Bedarf!$CE$2:$CE$304)-1)/(--(SEARCH(CM$2,N_Bedarf!$CE$2:$CE$304)&gt;0)),ROW()-2),1),"")</f>
        <v/>
      </c>
      <c r="CM197" s="1620"/>
      <c r="CN197" s="1620" t="str">
        <f>IFERROR(INDEX(N_Bedarf!$CE$2:$CE$304,_xlfn.AGGREGATE(15,6,(ROW(N_Bedarf!$CE$2:$CE$304)-1)/(--(SEARCH(CO$2,N_Bedarf!$CE$2:$CE$304)&gt;0)),ROW()-2),1),"")</f>
        <v/>
      </c>
      <c r="CO197" s="1620"/>
      <c r="CP197" s="1620" t="str">
        <f>IFERROR(INDEX(N_Bedarf!$CE$2:$CE$304,_xlfn.AGGREGATE(15,6,(ROW(N_Bedarf!$CE$2:$CE$304)-1)/(--(SEARCH(CQ$2,N_Bedarf!$CE$2:$CE$304)&gt;0)),ROW()-2),1),"")</f>
        <v/>
      </c>
      <c r="CQ197" s="1620"/>
      <c r="CR197" s="1620" t="str">
        <f>IFERROR(INDEX(N_Bedarf!$CE$2:$CE$304,_xlfn.AGGREGATE(15,6,(ROW(N_Bedarf!$CE$2:$CE$304)-1)/(--(SEARCH(CS$2,N_Bedarf!$CE$2:$CE$304)&gt;0)),ROW()-2),1),"")</f>
        <v/>
      </c>
      <c r="CS197" s="1620"/>
      <c r="CT197" s="1620" t="str">
        <f>IFERROR(INDEX(N_Bedarf!$CE$2:$CE$304,_xlfn.AGGREGATE(15,6,(ROW(N_Bedarf!$CE$2:$CE$304)-1)/(--(SEARCH(CU$2,N_Bedarf!$CE$2:$CE$304)&gt;0)),ROW()-2),1),"")</f>
        <v/>
      </c>
      <c r="CU197" s="1620"/>
      <c r="CV197" s="1620" t="str">
        <f>IFERROR(INDEX(N_Bedarf!$CE$2:$CE$304,_xlfn.AGGREGATE(15,6,(ROW(N_Bedarf!$CE$2:$CE$304)-1)/(--(SEARCH(CW$2,N_Bedarf!$CE$2:$CE$304)&gt;0)),ROW()-2),1),"")</f>
        <v/>
      </c>
      <c r="CW197" s="1620"/>
      <c r="CX197" s="1620" t="str">
        <f>IFERROR(INDEX(N_Bedarf!$CE$2:$CE$304,_xlfn.AGGREGATE(15,6,(ROW(N_Bedarf!$CE$2:$CE$304)-1)/(--(SEARCH(CY$2,N_Bedarf!$CE$2:$CE$304)&gt;0)),ROW()-2),1),"")</f>
        <v/>
      </c>
      <c r="CY197" s="1620"/>
      <c r="CZ197" s="1620" t="str">
        <f>IFERROR(INDEX(N_Bedarf!$CE$2:$CE$304,_xlfn.AGGREGATE(15,6,(ROW(N_Bedarf!$CE$2:$CE$304)-1)/(--(SEARCH(DA$2,N_Bedarf!$CE$2:$CE$304)&gt;0)),ROW()-2),1),"")</f>
        <v/>
      </c>
      <c r="DA197" s="1620"/>
      <c r="DB197" s="1620" t="str">
        <f>IFERROR(INDEX(N_Bedarf!$CE$2:$CE$304,_xlfn.AGGREGATE(15,6,(ROW(N_Bedarf!$CE$2:$CE$304)-1)/(--(SEARCH(DC$2,N_Bedarf!$CE$2:$CE$304)&gt;0)),ROW()-2),1),"")</f>
        <v/>
      </c>
      <c r="DC197" s="1620"/>
      <c r="DD197" s="1620" t="str">
        <f>IFERROR(INDEX(N_Bedarf!$CE$2:$CE$304,_xlfn.AGGREGATE(15,6,(ROW(N_Bedarf!$CE$2:$CE$304)-1)/(--(SEARCH(DE$2,N_Bedarf!$CE$2:$CE$304)&gt;0)),ROW()-2),1),"")</f>
        <v/>
      </c>
      <c r="DE197" s="1620"/>
      <c r="ES197" s="768"/>
      <c r="ET197" s="768"/>
      <c r="EU197" s="768"/>
      <c r="EV197" s="768"/>
      <c r="EW197" s="768"/>
    </row>
    <row r="198" spans="3:153" s="394" customFormat="1" ht="21" customHeight="1">
      <c r="C198" s="1790" t="s">
        <v>68</v>
      </c>
      <c r="D198" s="1759" t="s">
        <v>714</v>
      </c>
      <c r="E198" s="1729">
        <v>80</v>
      </c>
      <c r="F198" s="1760">
        <v>70</v>
      </c>
      <c r="G198" s="1993" t="s">
        <v>714</v>
      </c>
      <c r="H198" s="1994">
        <v>80</v>
      </c>
      <c r="I198" s="1995">
        <v>70</v>
      </c>
      <c r="J198" s="1759" t="s">
        <v>714</v>
      </c>
      <c r="K198" s="1729">
        <v>80</v>
      </c>
      <c r="L198" s="1760">
        <v>70</v>
      </c>
      <c r="M198" s="1"/>
      <c r="N198" s="1"/>
      <c r="O198" s="1"/>
      <c r="P198" s="1"/>
      <c r="Q198" s="1"/>
      <c r="R198" s="1"/>
      <c r="S198" s="1759">
        <v>75</v>
      </c>
      <c r="T198" s="1729">
        <v>75</v>
      </c>
      <c r="U198" s="1760">
        <v>75</v>
      </c>
      <c r="V198" s="1759">
        <v>65</v>
      </c>
      <c r="W198" s="1729">
        <v>65</v>
      </c>
      <c r="X198" s="1760">
        <v>65</v>
      </c>
      <c r="Y198" s="2009">
        <v>50</v>
      </c>
      <c r="Z198" s="2010">
        <v>50</v>
      </c>
      <c r="AA198" s="2011">
        <v>50</v>
      </c>
      <c r="AB198" s="1871" t="s">
        <v>1388</v>
      </c>
      <c r="AC198" s="1737" t="s">
        <v>1389</v>
      </c>
      <c r="AD198" s="1762"/>
      <c r="AE198" s="1729"/>
      <c r="AF198" s="1760"/>
      <c r="AG198" s="1759"/>
      <c r="AH198" s="1729"/>
      <c r="AI198" s="1760"/>
      <c r="AJ198" s="2009"/>
      <c r="AK198" s="2010"/>
      <c r="AL198" s="2011"/>
      <c r="AM198" s="1871" t="s">
        <v>1764</v>
      </c>
      <c r="AN198" s="1763" t="s">
        <v>1764</v>
      </c>
      <c r="AR198" s="156"/>
      <c r="AS198" s="156"/>
      <c r="AT198" s="156"/>
      <c r="AU198" s="397"/>
      <c r="AV198" s="396"/>
      <c r="AW198" s="396"/>
      <c r="AX198" s="1669"/>
      <c r="AY198" s="3"/>
      <c r="AZ198" s="3"/>
      <c r="BA198" s="3"/>
      <c r="BB198" s="3"/>
      <c r="BC198" s="3"/>
      <c r="BD198" s="3"/>
      <c r="BE198" s="3"/>
      <c r="BF198" s="3"/>
      <c r="BG198" s="3"/>
      <c r="BH198" s="3"/>
      <c r="BI198" s="3"/>
      <c r="BJ198" s="3"/>
      <c r="BK198" s="3"/>
      <c r="BL198" s="3"/>
      <c r="BM198" s="3"/>
      <c r="BN198" s="263"/>
      <c r="BO198" s="3"/>
      <c r="BQ198" s="1669"/>
      <c r="BR198" s="397"/>
      <c r="BS198" s="397"/>
      <c r="BT198" s="397"/>
      <c r="BV198" s="1669"/>
      <c r="BW198" s="397"/>
      <c r="BX198" s="397"/>
      <c r="BY198" s="397"/>
      <c r="CB198" s="428"/>
      <c r="CC198" s="428"/>
      <c r="CD198" s="428"/>
      <c r="CE198" s="1669"/>
      <c r="CF198" s="1620" t="str">
        <f>IFERROR(INDEX(N_Bedarf!$CE$2:$CE$304,_xlfn.AGGREGATE(15,6,(ROW(N_Bedarf!$CE$2:$CE$304)-1)/(--(SEARCH(CG$2,N_Bedarf!$CE$2:$CE$304)&gt;0)),ROW()-2),1),"")</f>
        <v/>
      </c>
      <c r="CG198" s="1620"/>
      <c r="CH198" s="1620" t="str">
        <f>IFERROR(INDEX(N_Bedarf!$CE$2:$CE$304,_xlfn.AGGREGATE(15,6,(ROW(N_Bedarf!$CE$2:$CE$304)-1)/(--(SEARCH(CI$2,N_Bedarf!$CE$2:$CE$304)&gt;0)),ROW()-2),1),"")</f>
        <v/>
      </c>
      <c r="CI198" s="1620"/>
      <c r="CJ198" s="1620" t="str">
        <f>IFERROR(INDEX(N_Bedarf!$CE$2:$CE$304,_xlfn.AGGREGATE(15,6,(ROW(N_Bedarf!$CE$2:$CE$304)-1)/(--(SEARCH(CK$2,N_Bedarf!$CE$2:$CE$304)&gt;0)),ROW()-2),1),"")</f>
        <v/>
      </c>
      <c r="CK198" s="1620"/>
      <c r="CL198" s="1620" t="str">
        <f>IFERROR(INDEX(N_Bedarf!$CE$2:$CE$304,_xlfn.AGGREGATE(15,6,(ROW(N_Bedarf!$CE$2:$CE$304)-1)/(--(SEARCH(CM$2,N_Bedarf!$CE$2:$CE$304)&gt;0)),ROW()-2),1),"")</f>
        <v/>
      </c>
      <c r="CM198" s="1620"/>
      <c r="CN198" s="1620" t="str">
        <f>IFERROR(INDEX(N_Bedarf!$CE$2:$CE$304,_xlfn.AGGREGATE(15,6,(ROW(N_Bedarf!$CE$2:$CE$304)-1)/(--(SEARCH(CO$2,N_Bedarf!$CE$2:$CE$304)&gt;0)),ROW()-2),1),"")</f>
        <v/>
      </c>
      <c r="CO198" s="1620"/>
      <c r="CP198" s="1620" t="str">
        <f>IFERROR(INDEX(N_Bedarf!$CE$2:$CE$304,_xlfn.AGGREGATE(15,6,(ROW(N_Bedarf!$CE$2:$CE$304)-1)/(--(SEARCH(CQ$2,N_Bedarf!$CE$2:$CE$304)&gt;0)),ROW()-2),1),"")</f>
        <v/>
      </c>
      <c r="CQ198" s="1620"/>
      <c r="CR198" s="1620" t="str">
        <f>IFERROR(INDEX(N_Bedarf!$CE$2:$CE$304,_xlfn.AGGREGATE(15,6,(ROW(N_Bedarf!$CE$2:$CE$304)-1)/(--(SEARCH(CS$2,N_Bedarf!$CE$2:$CE$304)&gt;0)),ROW()-2),1),"")</f>
        <v/>
      </c>
      <c r="CS198" s="1620"/>
      <c r="CT198" s="1620" t="str">
        <f>IFERROR(INDEX(N_Bedarf!$CE$2:$CE$304,_xlfn.AGGREGATE(15,6,(ROW(N_Bedarf!$CE$2:$CE$304)-1)/(--(SEARCH(CU$2,N_Bedarf!$CE$2:$CE$304)&gt;0)),ROW()-2),1),"")</f>
        <v/>
      </c>
      <c r="CU198" s="1620"/>
      <c r="CV198" s="1620" t="str">
        <f>IFERROR(INDEX(N_Bedarf!$CE$2:$CE$304,_xlfn.AGGREGATE(15,6,(ROW(N_Bedarf!$CE$2:$CE$304)-1)/(--(SEARCH(CW$2,N_Bedarf!$CE$2:$CE$304)&gt;0)),ROW()-2),1),"")</f>
        <v/>
      </c>
      <c r="CW198" s="1620"/>
      <c r="CX198" s="1620" t="str">
        <f>IFERROR(INDEX(N_Bedarf!$CE$2:$CE$304,_xlfn.AGGREGATE(15,6,(ROW(N_Bedarf!$CE$2:$CE$304)-1)/(--(SEARCH(CY$2,N_Bedarf!$CE$2:$CE$304)&gt;0)),ROW()-2),1),"")</f>
        <v/>
      </c>
      <c r="CY198" s="1620"/>
      <c r="CZ198" s="1620" t="str">
        <f>IFERROR(INDEX(N_Bedarf!$CE$2:$CE$304,_xlfn.AGGREGATE(15,6,(ROW(N_Bedarf!$CE$2:$CE$304)-1)/(--(SEARCH(DA$2,N_Bedarf!$CE$2:$CE$304)&gt;0)),ROW()-2),1),"")</f>
        <v/>
      </c>
      <c r="DA198" s="1620"/>
      <c r="DB198" s="1620" t="str">
        <f>IFERROR(INDEX(N_Bedarf!$CE$2:$CE$304,_xlfn.AGGREGATE(15,6,(ROW(N_Bedarf!$CE$2:$CE$304)-1)/(--(SEARCH(DC$2,N_Bedarf!$CE$2:$CE$304)&gt;0)),ROW()-2),1),"")</f>
        <v/>
      </c>
      <c r="DC198" s="1620"/>
      <c r="DD198" s="1620" t="str">
        <f>IFERROR(INDEX(N_Bedarf!$CE$2:$CE$304,_xlfn.AGGREGATE(15,6,(ROW(N_Bedarf!$CE$2:$CE$304)-1)/(--(SEARCH(DE$2,N_Bedarf!$CE$2:$CE$304)&gt;0)),ROW()-2),1),"")</f>
        <v/>
      </c>
      <c r="DE198" s="1620"/>
      <c r="ES198" s="768"/>
      <c r="ET198" s="768"/>
      <c r="EU198" s="768"/>
      <c r="EV198" s="768"/>
      <c r="EW198" s="768"/>
    </row>
    <row r="199" spans="3:153" s="394" customFormat="1" ht="21" customHeight="1">
      <c r="C199" s="1790" t="s">
        <v>69</v>
      </c>
      <c r="D199" s="1759" t="s">
        <v>714</v>
      </c>
      <c r="E199" s="1729">
        <v>120</v>
      </c>
      <c r="F199" s="1760">
        <v>100</v>
      </c>
      <c r="G199" s="1993" t="s">
        <v>714</v>
      </c>
      <c r="H199" s="1994">
        <v>120</v>
      </c>
      <c r="I199" s="1995">
        <v>100</v>
      </c>
      <c r="J199" s="1759" t="s">
        <v>714</v>
      </c>
      <c r="K199" s="1729">
        <v>120</v>
      </c>
      <c r="L199" s="1760">
        <v>100</v>
      </c>
      <c r="M199" s="1"/>
      <c r="N199" s="1"/>
      <c r="O199" s="1"/>
      <c r="P199" s="1"/>
      <c r="Q199" s="1"/>
      <c r="R199" s="1"/>
      <c r="S199" s="1759">
        <v>60</v>
      </c>
      <c r="T199" s="1729">
        <v>60</v>
      </c>
      <c r="U199" s="1760">
        <v>60</v>
      </c>
      <c r="V199" s="1759">
        <v>50</v>
      </c>
      <c r="W199" s="1729">
        <v>50</v>
      </c>
      <c r="X199" s="1760">
        <v>50</v>
      </c>
      <c r="Y199" s="2009">
        <v>40</v>
      </c>
      <c r="Z199" s="2010">
        <v>40</v>
      </c>
      <c r="AA199" s="2011">
        <v>40</v>
      </c>
      <c r="AB199" s="1871" t="s">
        <v>1388</v>
      </c>
      <c r="AC199" s="1737" t="s">
        <v>1389</v>
      </c>
      <c r="AD199" s="1762"/>
      <c r="AE199" s="1729"/>
      <c r="AF199" s="1760"/>
      <c r="AG199" s="1759"/>
      <c r="AH199" s="1729"/>
      <c r="AI199" s="1760"/>
      <c r="AJ199" s="2009"/>
      <c r="AK199" s="2010"/>
      <c r="AL199" s="2011"/>
      <c r="AM199" s="1871" t="s">
        <v>1764</v>
      </c>
      <c r="AN199" s="1763" t="s">
        <v>1764</v>
      </c>
      <c r="AR199" s="156"/>
      <c r="AS199" s="156"/>
      <c r="AT199" s="156"/>
      <c r="AU199" s="397"/>
      <c r="AV199" s="396"/>
      <c r="AW199" s="396"/>
      <c r="AX199" s="1669"/>
      <c r="AY199" s="3"/>
      <c r="AZ199" s="3"/>
      <c r="BA199" s="3"/>
      <c r="BB199" s="3"/>
      <c r="BC199" s="3"/>
      <c r="BD199" s="3"/>
      <c r="BE199" s="3"/>
      <c r="BF199" s="3"/>
      <c r="BG199" s="3"/>
      <c r="BH199" s="3"/>
      <c r="BI199" s="3"/>
      <c r="BJ199" s="3"/>
      <c r="BK199" s="3"/>
      <c r="BL199" s="3"/>
      <c r="BM199" s="3"/>
      <c r="BN199" s="263"/>
      <c r="BO199" s="3"/>
      <c r="BQ199" s="1669"/>
      <c r="BR199" s="397"/>
      <c r="BS199" s="397"/>
      <c r="BT199" s="397"/>
      <c r="BV199" s="1669"/>
      <c r="BW199" s="397"/>
      <c r="BX199" s="397"/>
      <c r="BY199" s="397"/>
      <c r="CB199" s="428"/>
      <c r="CC199" s="428"/>
      <c r="CD199" s="428"/>
      <c r="CE199" s="1669"/>
      <c r="CF199" s="1620" t="str">
        <f>IFERROR(INDEX(N_Bedarf!$CE$2:$CE$304,_xlfn.AGGREGATE(15,6,(ROW(N_Bedarf!$CE$2:$CE$304)-1)/(--(SEARCH(CG$2,N_Bedarf!$CE$2:$CE$304)&gt;0)),ROW()-2),1),"")</f>
        <v/>
      </c>
      <c r="CG199" s="1620"/>
      <c r="CH199" s="1620" t="str">
        <f>IFERROR(INDEX(N_Bedarf!$CE$2:$CE$304,_xlfn.AGGREGATE(15,6,(ROW(N_Bedarf!$CE$2:$CE$304)-1)/(--(SEARCH(CI$2,N_Bedarf!$CE$2:$CE$304)&gt;0)),ROW()-2),1),"")</f>
        <v/>
      </c>
      <c r="CI199" s="1620"/>
      <c r="CJ199" s="1620" t="str">
        <f>IFERROR(INDEX(N_Bedarf!$CE$2:$CE$304,_xlfn.AGGREGATE(15,6,(ROW(N_Bedarf!$CE$2:$CE$304)-1)/(--(SEARCH(CK$2,N_Bedarf!$CE$2:$CE$304)&gt;0)),ROW()-2),1),"")</f>
        <v/>
      </c>
      <c r="CK199" s="1620"/>
      <c r="CL199" s="1620" t="str">
        <f>IFERROR(INDEX(N_Bedarf!$CE$2:$CE$304,_xlfn.AGGREGATE(15,6,(ROW(N_Bedarf!$CE$2:$CE$304)-1)/(--(SEARCH(CM$2,N_Bedarf!$CE$2:$CE$304)&gt;0)),ROW()-2),1),"")</f>
        <v/>
      </c>
      <c r="CM199" s="1620"/>
      <c r="CN199" s="1620" t="str">
        <f>IFERROR(INDEX(N_Bedarf!$CE$2:$CE$304,_xlfn.AGGREGATE(15,6,(ROW(N_Bedarf!$CE$2:$CE$304)-1)/(--(SEARCH(CO$2,N_Bedarf!$CE$2:$CE$304)&gt;0)),ROW()-2),1),"")</f>
        <v/>
      </c>
      <c r="CO199" s="1620"/>
      <c r="CP199" s="1620" t="str">
        <f>IFERROR(INDEX(N_Bedarf!$CE$2:$CE$304,_xlfn.AGGREGATE(15,6,(ROW(N_Bedarf!$CE$2:$CE$304)-1)/(--(SEARCH(CQ$2,N_Bedarf!$CE$2:$CE$304)&gt;0)),ROW()-2),1),"")</f>
        <v/>
      </c>
      <c r="CQ199" s="1620"/>
      <c r="CR199" s="1620" t="str">
        <f>IFERROR(INDEX(N_Bedarf!$CE$2:$CE$304,_xlfn.AGGREGATE(15,6,(ROW(N_Bedarf!$CE$2:$CE$304)-1)/(--(SEARCH(CS$2,N_Bedarf!$CE$2:$CE$304)&gt;0)),ROW()-2),1),"")</f>
        <v/>
      </c>
      <c r="CS199" s="1620"/>
      <c r="CT199" s="1620" t="str">
        <f>IFERROR(INDEX(N_Bedarf!$CE$2:$CE$304,_xlfn.AGGREGATE(15,6,(ROW(N_Bedarf!$CE$2:$CE$304)-1)/(--(SEARCH(CU$2,N_Bedarf!$CE$2:$CE$304)&gt;0)),ROW()-2),1),"")</f>
        <v/>
      </c>
      <c r="CU199" s="1620"/>
      <c r="CV199" s="1620" t="str">
        <f>IFERROR(INDEX(N_Bedarf!$CE$2:$CE$304,_xlfn.AGGREGATE(15,6,(ROW(N_Bedarf!$CE$2:$CE$304)-1)/(--(SEARCH(CW$2,N_Bedarf!$CE$2:$CE$304)&gt;0)),ROW()-2),1),"")</f>
        <v/>
      </c>
      <c r="CW199" s="1620"/>
      <c r="CX199" s="1620" t="str">
        <f>IFERROR(INDEX(N_Bedarf!$CE$2:$CE$304,_xlfn.AGGREGATE(15,6,(ROW(N_Bedarf!$CE$2:$CE$304)-1)/(--(SEARCH(CY$2,N_Bedarf!$CE$2:$CE$304)&gt;0)),ROW()-2),1),"")</f>
        <v/>
      </c>
      <c r="CY199" s="1620"/>
      <c r="CZ199" s="1620" t="str">
        <f>IFERROR(INDEX(N_Bedarf!$CE$2:$CE$304,_xlfn.AGGREGATE(15,6,(ROW(N_Bedarf!$CE$2:$CE$304)-1)/(--(SEARCH(DA$2,N_Bedarf!$CE$2:$CE$304)&gt;0)),ROW()-2),1),"")</f>
        <v/>
      </c>
      <c r="DA199" s="1620"/>
      <c r="DB199" s="1620" t="str">
        <f>IFERROR(INDEX(N_Bedarf!$CE$2:$CE$304,_xlfn.AGGREGATE(15,6,(ROW(N_Bedarf!$CE$2:$CE$304)-1)/(--(SEARCH(DC$2,N_Bedarf!$CE$2:$CE$304)&gt;0)),ROW()-2),1),"")</f>
        <v/>
      </c>
      <c r="DC199" s="1620"/>
      <c r="DD199" s="1620" t="str">
        <f>IFERROR(INDEX(N_Bedarf!$CE$2:$CE$304,_xlfn.AGGREGATE(15,6,(ROW(N_Bedarf!$CE$2:$CE$304)-1)/(--(SEARCH(DE$2,N_Bedarf!$CE$2:$CE$304)&gt;0)),ROW()-2),1),"")</f>
        <v/>
      </c>
      <c r="DE199" s="1620"/>
      <c r="ES199" s="768"/>
      <c r="ET199" s="768"/>
      <c r="EU199" s="768"/>
      <c r="EV199" s="768"/>
      <c r="EW199" s="768"/>
    </row>
    <row r="200" spans="3:153" s="394" customFormat="1" ht="21" customHeight="1">
      <c r="C200" s="1790" t="s">
        <v>70</v>
      </c>
      <c r="D200" s="1759" t="s">
        <v>714</v>
      </c>
      <c r="E200" s="1729">
        <v>200</v>
      </c>
      <c r="F200" s="1760">
        <v>170</v>
      </c>
      <c r="G200" s="1993" t="s">
        <v>714</v>
      </c>
      <c r="H200" s="1994">
        <v>200</v>
      </c>
      <c r="I200" s="1995">
        <v>170</v>
      </c>
      <c r="J200" s="1759" t="s">
        <v>714</v>
      </c>
      <c r="K200" s="1729">
        <v>200</v>
      </c>
      <c r="L200" s="1760">
        <v>170</v>
      </c>
      <c r="M200" s="1"/>
      <c r="N200" s="1"/>
      <c r="O200" s="1"/>
      <c r="P200" s="1"/>
      <c r="Q200" s="1"/>
      <c r="R200" s="1"/>
      <c r="S200" s="1759">
        <v>90</v>
      </c>
      <c r="T200" s="1729">
        <v>90</v>
      </c>
      <c r="U200" s="1760">
        <v>90</v>
      </c>
      <c r="V200" s="1759">
        <v>75</v>
      </c>
      <c r="W200" s="1729">
        <v>75</v>
      </c>
      <c r="X200" s="1760">
        <v>75</v>
      </c>
      <c r="Y200" s="2009">
        <v>60</v>
      </c>
      <c r="Z200" s="2010">
        <v>60</v>
      </c>
      <c r="AA200" s="2011">
        <v>60</v>
      </c>
      <c r="AB200" s="1871" t="s">
        <v>1388</v>
      </c>
      <c r="AC200" s="1737" t="s">
        <v>1389</v>
      </c>
      <c r="AD200" s="1762"/>
      <c r="AE200" s="1729"/>
      <c r="AF200" s="1760"/>
      <c r="AG200" s="1759"/>
      <c r="AH200" s="1729"/>
      <c r="AI200" s="1760"/>
      <c r="AJ200" s="2009"/>
      <c r="AK200" s="2010"/>
      <c r="AL200" s="2011"/>
      <c r="AM200" s="1871" t="s">
        <v>1764</v>
      </c>
      <c r="AN200" s="1763" t="s">
        <v>1764</v>
      </c>
      <c r="AR200" s="156"/>
      <c r="AS200" s="156"/>
      <c r="AT200" s="156"/>
      <c r="AU200" s="397"/>
      <c r="AV200" s="396"/>
      <c r="AW200" s="396"/>
      <c r="AX200" s="1669"/>
      <c r="AY200" s="3"/>
      <c r="AZ200" s="3"/>
      <c r="BA200" s="3"/>
      <c r="BB200" s="3"/>
      <c r="BC200" s="3"/>
      <c r="BD200" s="3"/>
      <c r="BE200" s="3"/>
      <c r="BF200" s="3"/>
      <c r="BG200" s="3"/>
      <c r="BH200" s="3"/>
      <c r="BI200" s="3"/>
      <c r="BJ200" s="3"/>
      <c r="BK200" s="3"/>
      <c r="BL200" s="3"/>
      <c r="BM200" s="3"/>
      <c r="BN200" s="263"/>
      <c r="BO200" s="3"/>
      <c r="BQ200" s="1669"/>
      <c r="BR200" s="397"/>
      <c r="BS200" s="397"/>
      <c r="BT200" s="397"/>
      <c r="BV200" s="1669"/>
      <c r="BW200" s="397"/>
      <c r="BX200" s="397"/>
      <c r="BY200" s="397"/>
      <c r="CB200" s="428"/>
      <c r="CC200" s="428"/>
      <c r="CD200" s="428"/>
      <c r="CE200" s="1669"/>
      <c r="CF200" s="1620" t="str">
        <f>IFERROR(INDEX(N_Bedarf!$CE$2:$CE$304,_xlfn.AGGREGATE(15,6,(ROW(N_Bedarf!$CE$2:$CE$304)-1)/(--(SEARCH(CG$2,N_Bedarf!$CE$2:$CE$304)&gt;0)),ROW()-2),1),"")</f>
        <v/>
      </c>
      <c r="CG200" s="1620"/>
      <c r="CH200" s="1620" t="str">
        <f>IFERROR(INDEX(N_Bedarf!$CE$2:$CE$304,_xlfn.AGGREGATE(15,6,(ROW(N_Bedarf!$CE$2:$CE$304)-1)/(--(SEARCH(CI$2,N_Bedarf!$CE$2:$CE$304)&gt;0)),ROW()-2),1),"")</f>
        <v/>
      </c>
      <c r="CI200" s="1620"/>
      <c r="CJ200" s="1620" t="str">
        <f>IFERROR(INDEX(N_Bedarf!$CE$2:$CE$304,_xlfn.AGGREGATE(15,6,(ROW(N_Bedarf!$CE$2:$CE$304)-1)/(--(SEARCH(CK$2,N_Bedarf!$CE$2:$CE$304)&gt;0)),ROW()-2),1),"")</f>
        <v/>
      </c>
      <c r="CK200" s="1620"/>
      <c r="CL200" s="1620" t="str">
        <f>IFERROR(INDEX(N_Bedarf!$CE$2:$CE$304,_xlfn.AGGREGATE(15,6,(ROW(N_Bedarf!$CE$2:$CE$304)-1)/(--(SEARCH(CM$2,N_Bedarf!$CE$2:$CE$304)&gt;0)),ROW()-2),1),"")</f>
        <v/>
      </c>
      <c r="CM200" s="1620"/>
      <c r="CN200" s="1620" t="str">
        <f>IFERROR(INDEX(N_Bedarf!$CE$2:$CE$304,_xlfn.AGGREGATE(15,6,(ROW(N_Bedarf!$CE$2:$CE$304)-1)/(--(SEARCH(CO$2,N_Bedarf!$CE$2:$CE$304)&gt;0)),ROW()-2),1),"")</f>
        <v/>
      </c>
      <c r="CO200" s="1620"/>
      <c r="CP200" s="1620" t="str">
        <f>IFERROR(INDEX(N_Bedarf!$CE$2:$CE$304,_xlfn.AGGREGATE(15,6,(ROW(N_Bedarf!$CE$2:$CE$304)-1)/(--(SEARCH(CQ$2,N_Bedarf!$CE$2:$CE$304)&gt;0)),ROW()-2),1),"")</f>
        <v/>
      </c>
      <c r="CQ200" s="1620"/>
      <c r="CR200" s="1620" t="str">
        <f>IFERROR(INDEX(N_Bedarf!$CE$2:$CE$304,_xlfn.AGGREGATE(15,6,(ROW(N_Bedarf!$CE$2:$CE$304)-1)/(--(SEARCH(CS$2,N_Bedarf!$CE$2:$CE$304)&gt;0)),ROW()-2),1),"")</f>
        <v/>
      </c>
      <c r="CS200" s="1620"/>
      <c r="CT200" s="1620" t="str">
        <f>IFERROR(INDEX(N_Bedarf!$CE$2:$CE$304,_xlfn.AGGREGATE(15,6,(ROW(N_Bedarf!$CE$2:$CE$304)-1)/(--(SEARCH(CU$2,N_Bedarf!$CE$2:$CE$304)&gt;0)),ROW()-2),1),"")</f>
        <v/>
      </c>
      <c r="CU200" s="1620"/>
      <c r="CV200" s="1620" t="str">
        <f>IFERROR(INDEX(N_Bedarf!$CE$2:$CE$304,_xlfn.AGGREGATE(15,6,(ROW(N_Bedarf!$CE$2:$CE$304)-1)/(--(SEARCH(CW$2,N_Bedarf!$CE$2:$CE$304)&gt;0)),ROW()-2),1),"")</f>
        <v/>
      </c>
      <c r="CW200" s="1620"/>
      <c r="CX200" s="1620" t="str">
        <f>IFERROR(INDEX(N_Bedarf!$CE$2:$CE$304,_xlfn.AGGREGATE(15,6,(ROW(N_Bedarf!$CE$2:$CE$304)-1)/(--(SEARCH(CY$2,N_Bedarf!$CE$2:$CE$304)&gt;0)),ROW()-2),1),"")</f>
        <v/>
      </c>
      <c r="CY200" s="1620"/>
      <c r="CZ200" s="1620" t="str">
        <f>IFERROR(INDEX(N_Bedarf!$CE$2:$CE$304,_xlfn.AGGREGATE(15,6,(ROW(N_Bedarf!$CE$2:$CE$304)-1)/(--(SEARCH(DA$2,N_Bedarf!$CE$2:$CE$304)&gt;0)),ROW()-2),1),"")</f>
        <v/>
      </c>
      <c r="DA200" s="1620"/>
      <c r="DB200" s="1620" t="str">
        <f>IFERROR(INDEX(N_Bedarf!$CE$2:$CE$304,_xlfn.AGGREGATE(15,6,(ROW(N_Bedarf!$CE$2:$CE$304)-1)/(--(SEARCH(DC$2,N_Bedarf!$CE$2:$CE$304)&gt;0)),ROW()-2),1),"")</f>
        <v/>
      </c>
      <c r="DC200" s="1620"/>
      <c r="DD200" s="1620" t="str">
        <f>IFERROR(INDEX(N_Bedarf!$CE$2:$CE$304,_xlfn.AGGREGATE(15,6,(ROW(N_Bedarf!$CE$2:$CE$304)-1)/(--(SEARCH(DE$2,N_Bedarf!$CE$2:$CE$304)&gt;0)),ROW()-2),1),"")</f>
        <v/>
      </c>
      <c r="DE200" s="1620"/>
      <c r="ES200" s="768"/>
      <c r="ET200" s="768"/>
      <c r="EU200" s="768"/>
      <c r="EV200" s="768"/>
      <c r="EW200" s="768"/>
    </row>
    <row r="201" spans="3:153" s="394" customFormat="1" ht="21" customHeight="1">
      <c r="C201" s="1790" t="s">
        <v>71</v>
      </c>
      <c r="D201" s="1759" t="s">
        <v>714</v>
      </c>
      <c r="E201" s="1729">
        <v>140</v>
      </c>
      <c r="F201" s="1760">
        <v>120</v>
      </c>
      <c r="G201" s="1993" t="s">
        <v>714</v>
      </c>
      <c r="H201" s="1994">
        <v>140</v>
      </c>
      <c r="I201" s="1995">
        <v>120</v>
      </c>
      <c r="J201" s="1759" t="s">
        <v>714</v>
      </c>
      <c r="K201" s="1729">
        <v>140</v>
      </c>
      <c r="L201" s="1760">
        <v>120</v>
      </c>
      <c r="M201" s="1"/>
      <c r="N201" s="1"/>
      <c r="O201" s="1"/>
      <c r="P201" s="1"/>
      <c r="Q201" s="1"/>
      <c r="R201" s="1"/>
      <c r="S201" s="1759">
        <v>90</v>
      </c>
      <c r="T201" s="1729">
        <v>90</v>
      </c>
      <c r="U201" s="1760">
        <v>90</v>
      </c>
      <c r="V201" s="1759">
        <v>75</v>
      </c>
      <c r="W201" s="1729">
        <v>75</v>
      </c>
      <c r="X201" s="1760">
        <v>75</v>
      </c>
      <c r="Y201" s="2009">
        <v>60</v>
      </c>
      <c r="Z201" s="2010">
        <v>60</v>
      </c>
      <c r="AA201" s="2011">
        <v>60</v>
      </c>
      <c r="AB201" s="1871" t="s">
        <v>1388</v>
      </c>
      <c r="AC201" s="1737" t="s">
        <v>1389</v>
      </c>
      <c r="AD201" s="1762"/>
      <c r="AE201" s="1729"/>
      <c r="AF201" s="1760"/>
      <c r="AG201" s="1759"/>
      <c r="AH201" s="1729"/>
      <c r="AI201" s="1760"/>
      <c r="AJ201" s="2009"/>
      <c r="AK201" s="2010"/>
      <c r="AL201" s="2011"/>
      <c r="AM201" s="1871" t="s">
        <v>1764</v>
      </c>
      <c r="AN201" s="1763" t="s">
        <v>1764</v>
      </c>
      <c r="AR201" s="156"/>
      <c r="AS201" s="156"/>
      <c r="AT201" s="156"/>
      <c r="AU201" s="397"/>
      <c r="AV201" s="396"/>
      <c r="AW201" s="396"/>
      <c r="AX201" s="1669"/>
      <c r="AY201" s="3"/>
      <c r="AZ201" s="3"/>
      <c r="BA201" s="3"/>
      <c r="BB201" s="3"/>
      <c r="BC201" s="3"/>
      <c r="BD201" s="3"/>
      <c r="BE201" s="3"/>
      <c r="BF201" s="3"/>
      <c r="BG201" s="3"/>
      <c r="BH201" s="3"/>
      <c r="BI201" s="3"/>
      <c r="BJ201" s="3"/>
      <c r="BK201" s="3"/>
      <c r="BL201" s="3"/>
      <c r="BM201" s="3"/>
      <c r="BN201" s="263"/>
      <c r="BO201" s="3"/>
      <c r="BQ201" s="1669"/>
      <c r="BR201" s="397"/>
      <c r="BS201" s="397"/>
      <c r="BT201" s="397"/>
      <c r="BV201" s="1669"/>
      <c r="BW201" s="397"/>
      <c r="BX201" s="397"/>
      <c r="BY201" s="397"/>
      <c r="CB201" s="428"/>
      <c r="CC201" s="428"/>
      <c r="CD201" s="428"/>
      <c r="CE201" s="1669"/>
      <c r="CF201" s="1620" t="str">
        <f>IFERROR(INDEX(N_Bedarf!$CE$2:$CE$304,_xlfn.AGGREGATE(15,6,(ROW(N_Bedarf!$CE$2:$CE$304)-1)/(--(SEARCH(CG$2,N_Bedarf!$CE$2:$CE$304)&gt;0)),ROW()-2),1),"")</f>
        <v/>
      </c>
      <c r="CG201" s="1620"/>
      <c r="CH201" s="1620" t="str">
        <f>IFERROR(INDEX(N_Bedarf!$CE$2:$CE$304,_xlfn.AGGREGATE(15,6,(ROW(N_Bedarf!$CE$2:$CE$304)-1)/(--(SEARCH(CI$2,N_Bedarf!$CE$2:$CE$304)&gt;0)),ROW()-2),1),"")</f>
        <v/>
      </c>
      <c r="CI201" s="1620"/>
      <c r="CJ201" s="1620" t="str">
        <f>IFERROR(INDEX(N_Bedarf!$CE$2:$CE$304,_xlfn.AGGREGATE(15,6,(ROW(N_Bedarf!$CE$2:$CE$304)-1)/(--(SEARCH(CK$2,N_Bedarf!$CE$2:$CE$304)&gt;0)),ROW()-2),1),"")</f>
        <v/>
      </c>
      <c r="CK201" s="1620"/>
      <c r="CL201" s="1620" t="str">
        <f>IFERROR(INDEX(N_Bedarf!$CE$2:$CE$304,_xlfn.AGGREGATE(15,6,(ROW(N_Bedarf!$CE$2:$CE$304)-1)/(--(SEARCH(CM$2,N_Bedarf!$CE$2:$CE$304)&gt;0)),ROW()-2),1),"")</f>
        <v/>
      </c>
      <c r="CM201" s="1620"/>
      <c r="CN201" s="1620" t="str">
        <f>IFERROR(INDEX(N_Bedarf!$CE$2:$CE$304,_xlfn.AGGREGATE(15,6,(ROW(N_Bedarf!$CE$2:$CE$304)-1)/(--(SEARCH(CO$2,N_Bedarf!$CE$2:$CE$304)&gt;0)),ROW()-2),1),"")</f>
        <v/>
      </c>
      <c r="CO201" s="1620"/>
      <c r="CP201" s="1620" t="str">
        <f>IFERROR(INDEX(N_Bedarf!$CE$2:$CE$304,_xlfn.AGGREGATE(15,6,(ROW(N_Bedarf!$CE$2:$CE$304)-1)/(--(SEARCH(CQ$2,N_Bedarf!$CE$2:$CE$304)&gt;0)),ROW()-2),1),"")</f>
        <v/>
      </c>
      <c r="CQ201" s="1620"/>
      <c r="CR201" s="1620" t="str">
        <f>IFERROR(INDEX(N_Bedarf!$CE$2:$CE$304,_xlfn.AGGREGATE(15,6,(ROW(N_Bedarf!$CE$2:$CE$304)-1)/(--(SEARCH(CS$2,N_Bedarf!$CE$2:$CE$304)&gt;0)),ROW()-2),1),"")</f>
        <v/>
      </c>
      <c r="CS201" s="1620"/>
      <c r="CT201" s="1620" t="str">
        <f>IFERROR(INDEX(N_Bedarf!$CE$2:$CE$304,_xlfn.AGGREGATE(15,6,(ROW(N_Bedarf!$CE$2:$CE$304)-1)/(--(SEARCH(CU$2,N_Bedarf!$CE$2:$CE$304)&gt;0)),ROW()-2),1),"")</f>
        <v/>
      </c>
      <c r="CU201" s="1620"/>
      <c r="CV201" s="1620" t="str">
        <f>IFERROR(INDEX(N_Bedarf!$CE$2:$CE$304,_xlfn.AGGREGATE(15,6,(ROW(N_Bedarf!$CE$2:$CE$304)-1)/(--(SEARCH(CW$2,N_Bedarf!$CE$2:$CE$304)&gt;0)),ROW()-2),1),"")</f>
        <v/>
      </c>
      <c r="CW201" s="1620"/>
      <c r="CX201" s="1620" t="str">
        <f>IFERROR(INDEX(N_Bedarf!$CE$2:$CE$304,_xlfn.AGGREGATE(15,6,(ROW(N_Bedarf!$CE$2:$CE$304)-1)/(--(SEARCH(CY$2,N_Bedarf!$CE$2:$CE$304)&gt;0)),ROW()-2),1),"")</f>
        <v/>
      </c>
      <c r="CY201" s="1620"/>
      <c r="CZ201" s="1620" t="str">
        <f>IFERROR(INDEX(N_Bedarf!$CE$2:$CE$304,_xlfn.AGGREGATE(15,6,(ROW(N_Bedarf!$CE$2:$CE$304)-1)/(--(SEARCH(DA$2,N_Bedarf!$CE$2:$CE$304)&gt;0)),ROW()-2),1),"")</f>
        <v/>
      </c>
      <c r="DA201" s="1620"/>
      <c r="DB201" s="1620" t="str">
        <f>IFERROR(INDEX(N_Bedarf!$CE$2:$CE$304,_xlfn.AGGREGATE(15,6,(ROW(N_Bedarf!$CE$2:$CE$304)-1)/(--(SEARCH(DC$2,N_Bedarf!$CE$2:$CE$304)&gt;0)),ROW()-2),1),"")</f>
        <v/>
      </c>
      <c r="DC201" s="1620"/>
      <c r="DD201" s="1620" t="str">
        <f>IFERROR(INDEX(N_Bedarf!$CE$2:$CE$304,_xlfn.AGGREGATE(15,6,(ROW(N_Bedarf!$CE$2:$CE$304)-1)/(--(SEARCH(DE$2,N_Bedarf!$CE$2:$CE$304)&gt;0)),ROW()-2),1),"")</f>
        <v/>
      </c>
      <c r="DE201" s="1620"/>
      <c r="ES201" s="768"/>
      <c r="ET201" s="768"/>
      <c r="EU201" s="768"/>
      <c r="EV201" s="768"/>
      <c r="EW201" s="768"/>
    </row>
    <row r="202" spans="3:153" s="394" customFormat="1" ht="21" customHeight="1">
      <c r="C202" s="1790" t="s">
        <v>72</v>
      </c>
      <c r="D202" s="1759" t="s">
        <v>714</v>
      </c>
      <c r="E202" s="1729">
        <v>130</v>
      </c>
      <c r="F202" s="1760">
        <v>110</v>
      </c>
      <c r="G202" s="1993" t="s">
        <v>714</v>
      </c>
      <c r="H202" s="1994">
        <v>130</v>
      </c>
      <c r="I202" s="1995">
        <v>110</v>
      </c>
      <c r="J202" s="1759" t="s">
        <v>714</v>
      </c>
      <c r="K202" s="1729">
        <v>130</v>
      </c>
      <c r="L202" s="1760">
        <v>110</v>
      </c>
      <c r="M202" s="1"/>
      <c r="N202" s="1"/>
      <c r="O202" s="1"/>
      <c r="P202" s="1"/>
      <c r="Q202" s="1"/>
      <c r="R202" s="1"/>
      <c r="S202" s="1759">
        <v>105</v>
      </c>
      <c r="T202" s="1729">
        <v>105</v>
      </c>
      <c r="U202" s="1760">
        <v>105</v>
      </c>
      <c r="V202" s="1759">
        <v>90</v>
      </c>
      <c r="W202" s="1729">
        <v>90</v>
      </c>
      <c r="X202" s="1760">
        <v>90</v>
      </c>
      <c r="Y202" s="2009">
        <v>70</v>
      </c>
      <c r="Z202" s="2010">
        <v>70</v>
      </c>
      <c r="AA202" s="2011">
        <v>70</v>
      </c>
      <c r="AB202" s="1871" t="s">
        <v>1388</v>
      </c>
      <c r="AC202" s="1737" t="s">
        <v>1389</v>
      </c>
      <c r="AD202" s="1762"/>
      <c r="AE202" s="1729"/>
      <c r="AF202" s="1760"/>
      <c r="AG202" s="1759"/>
      <c r="AH202" s="1729"/>
      <c r="AI202" s="1760"/>
      <c r="AJ202" s="2009"/>
      <c r="AK202" s="2010"/>
      <c r="AL202" s="2011"/>
      <c r="AM202" s="1871" t="s">
        <v>1764</v>
      </c>
      <c r="AN202" s="1763" t="s">
        <v>1764</v>
      </c>
      <c r="AR202" s="156"/>
      <c r="AS202" s="156"/>
      <c r="AT202" s="156"/>
      <c r="AU202" s="397"/>
      <c r="AV202" s="396"/>
      <c r="AW202" s="396"/>
      <c r="AX202" s="1669"/>
      <c r="AY202" s="3"/>
      <c r="AZ202" s="3"/>
      <c r="BA202" s="3"/>
      <c r="BB202" s="3"/>
      <c r="BC202" s="3"/>
      <c r="BD202" s="3"/>
      <c r="BE202" s="3"/>
      <c r="BF202" s="3"/>
      <c r="BG202" s="3"/>
      <c r="BH202" s="3"/>
      <c r="BI202" s="3"/>
      <c r="BJ202" s="3"/>
      <c r="BK202" s="3"/>
      <c r="BL202" s="3"/>
      <c r="BM202" s="3"/>
      <c r="BN202" s="263"/>
      <c r="BO202" s="3"/>
      <c r="BQ202" s="1669"/>
      <c r="BR202" s="397"/>
      <c r="BS202" s="397"/>
      <c r="BT202" s="397"/>
      <c r="BV202" s="1669"/>
      <c r="BW202" s="397"/>
      <c r="BX202" s="397"/>
      <c r="BY202" s="397"/>
      <c r="CB202" s="428"/>
      <c r="CC202" s="428"/>
      <c r="CD202" s="428"/>
      <c r="CE202" s="1669"/>
      <c r="CF202" s="1620" t="str">
        <f>IFERROR(INDEX(N_Bedarf!$CE$2:$CE$304,_xlfn.AGGREGATE(15,6,(ROW(N_Bedarf!$CE$2:$CE$304)-1)/(--(SEARCH(CG$2,N_Bedarf!$CE$2:$CE$304)&gt;0)),ROW()-2),1),"")</f>
        <v/>
      </c>
      <c r="CG202" s="1620"/>
      <c r="CH202" s="1620" t="str">
        <f>IFERROR(INDEX(N_Bedarf!$CE$2:$CE$304,_xlfn.AGGREGATE(15,6,(ROW(N_Bedarf!$CE$2:$CE$304)-1)/(--(SEARCH(CI$2,N_Bedarf!$CE$2:$CE$304)&gt;0)),ROW()-2),1),"")</f>
        <v/>
      </c>
      <c r="CI202" s="1620"/>
      <c r="CJ202" s="1620" t="str">
        <f>IFERROR(INDEX(N_Bedarf!$CE$2:$CE$304,_xlfn.AGGREGATE(15,6,(ROW(N_Bedarf!$CE$2:$CE$304)-1)/(--(SEARCH(CK$2,N_Bedarf!$CE$2:$CE$304)&gt;0)),ROW()-2),1),"")</f>
        <v/>
      </c>
      <c r="CK202" s="1620"/>
      <c r="CL202" s="1620" t="str">
        <f>IFERROR(INDEX(N_Bedarf!$CE$2:$CE$304,_xlfn.AGGREGATE(15,6,(ROW(N_Bedarf!$CE$2:$CE$304)-1)/(--(SEARCH(CM$2,N_Bedarf!$CE$2:$CE$304)&gt;0)),ROW()-2),1),"")</f>
        <v/>
      </c>
      <c r="CM202" s="1620"/>
      <c r="CN202" s="1620" t="str">
        <f>IFERROR(INDEX(N_Bedarf!$CE$2:$CE$304,_xlfn.AGGREGATE(15,6,(ROW(N_Bedarf!$CE$2:$CE$304)-1)/(--(SEARCH(CO$2,N_Bedarf!$CE$2:$CE$304)&gt;0)),ROW()-2),1),"")</f>
        <v/>
      </c>
      <c r="CO202" s="1620"/>
      <c r="CP202" s="1620" t="str">
        <f>IFERROR(INDEX(N_Bedarf!$CE$2:$CE$304,_xlfn.AGGREGATE(15,6,(ROW(N_Bedarf!$CE$2:$CE$304)-1)/(--(SEARCH(CQ$2,N_Bedarf!$CE$2:$CE$304)&gt;0)),ROW()-2),1),"")</f>
        <v/>
      </c>
      <c r="CQ202" s="1620"/>
      <c r="CR202" s="1620" t="str">
        <f>IFERROR(INDEX(N_Bedarf!$CE$2:$CE$304,_xlfn.AGGREGATE(15,6,(ROW(N_Bedarf!$CE$2:$CE$304)-1)/(--(SEARCH(CS$2,N_Bedarf!$CE$2:$CE$304)&gt;0)),ROW()-2),1),"")</f>
        <v/>
      </c>
      <c r="CS202" s="1620"/>
      <c r="CT202" s="1620" t="str">
        <f>IFERROR(INDEX(N_Bedarf!$CE$2:$CE$304,_xlfn.AGGREGATE(15,6,(ROW(N_Bedarf!$CE$2:$CE$304)-1)/(--(SEARCH(CU$2,N_Bedarf!$CE$2:$CE$304)&gt;0)),ROW()-2),1),"")</f>
        <v/>
      </c>
      <c r="CU202" s="1620"/>
      <c r="CV202" s="1620" t="str">
        <f>IFERROR(INDEX(N_Bedarf!$CE$2:$CE$304,_xlfn.AGGREGATE(15,6,(ROW(N_Bedarf!$CE$2:$CE$304)-1)/(--(SEARCH(CW$2,N_Bedarf!$CE$2:$CE$304)&gt;0)),ROW()-2),1),"")</f>
        <v/>
      </c>
      <c r="CW202" s="1620"/>
      <c r="CX202" s="1620" t="str">
        <f>IFERROR(INDEX(N_Bedarf!$CE$2:$CE$304,_xlfn.AGGREGATE(15,6,(ROW(N_Bedarf!$CE$2:$CE$304)-1)/(--(SEARCH(CY$2,N_Bedarf!$CE$2:$CE$304)&gt;0)),ROW()-2),1),"")</f>
        <v/>
      </c>
      <c r="CY202" s="1620"/>
      <c r="CZ202" s="1620" t="str">
        <f>IFERROR(INDEX(N_Bedarf!$CE$2:$CE$304,_xlfn.AGGREGATE(15,6,(ROW(N_Bedarf!$CE$2:$CE$304)-1)/(--(SEARCH(DA$2,N_Bedarf!$CE$2:$CE$304)&gt;0)),ROW()-2),1),"")</f>
        <v/>
      </c>
      <c r="DA202" s="1620"/>
      <c r="DB202" s="1620" t="str">
        <f>IFERROR(INDEX(N_Bedarf!$CE$2:$CE$304,_xlfn.AGGREGATE(15,6,(ROW(N_Bedarf!$CE$2:$CE$304)-1)/(--(SEARCH(DC$2,N_Bedarf!$CE$2:$CE$304)&gt;0)),ROW()-2),1),"")</f>
        <v/>
      </c>
      <c r="DC202" s="1620"/>
      <c r="DD202" s="1620" t="str">
        <f>IFERROR(INDEX(N_Bedarf!$CE$2:$CE$304,_xlfn.AGGREGATE(15,6,(ROW(N_Bedarf!$CE$2:$CE$304)-1)/(--(SEARCH(DE$2,N_Bedarf!$CE$2:$CE$304)&gt;0)),ROW()-2),1),"")</f>
        <v/>
      </c>
      <c r="DE202" s="1620"/>
      <c r="ES202" s="768"/>
      <c r="ET202" s="768"/>
      <c r="EU202" s="768"/>
      <c r="EV202" s="768"/>
      <c r="EW202" s="768"/>
    </row>
    <row r="203" spans="3:153" s="394" customFormat="1" ht="21" customHeight="1">
      <c r="C203" s="1790" t="s">
        <v>73</v>
      </c>
      <c r="D203" s="1759" t="s">
        <v>714</v>
      </c>
      <c r="E203" s="1729">
        <v>120</v>
      </c>
      <c r="F203" s="1760">
        <v>100</v>
      </c>
      <c r="G203" s="1993" t="s">
        <v>714</v>
      </c>
      <c r="H203" s="1994">
        <v>120</v>
      </c>
      <c r="I203" s="1995">
        <v>100</v>
      </c>
      <c r="J203" s="1759" t="s">
        <v>714</v>
      </c>
      <c r="K203" s="1729">
        <v>120</v>
      </c>
      <c r="L203" s="1760">
        <v>100</v>
      </c>
      <c r="M203" s="1"/>
      <c r="N203" s="1"/>
      <c r="O203" s="1"/>
      <c r="P203" s="1"/>
      <c r="Q203" s="1"/>
      <c r="R203" s="1"/>
      <c r="S203" s="1759">
        <v>90</v>
      </c>
      <c r="T203" s="1729">
        <v>90</v>
      </c>
      <c r="U203" s="1760">
        <v>90</v>
      </c>
      <c r="V203" s="1759">
        <v>75</v>
      </c>
      <c r="W203" s="1729">
        <v>75</v>
      </c>
      <c r="X203" s="1760">
        <v>75</v>
      </c>
      <c r="Y203" s="2009">
        <v>60</v>
      </c>
      <c r="Z203" s="2010">
        <v>60</v>
      </c>
      <c r="AA203" s="2011">
        <v>60</v>
      </c>
      <c r="AB203" s="1871" t="s">
        <v>1388</v>
      </c>
      <c r="AC203" s="1737" t="s">
        <v>1389</v>
      </c>
      <c r="AD203" s="1762"/>
      <c r="AE203" s="1729"/>
      <c r="AF203" s="1760"/>
      <c r="AG203" s="1759"/>
      <c r="AH203" s="1729"/>
      <c r="AI203" s="1760"/>
      <c r="AJ203" s="2009"/>
      <c r="AK203" s="2010"/>
      <c r="AL203" s="2011"/>
      <c r="AM203" s="1871" t="s">
        <v>1764</v>
      </c>
      <c r="AN203" s="1763" t="s">
        <v>1764</v>
      </c>
      <c r="AR203" s="156"/>
      <c r="AS203" s="156"/>
      <c r="AT203" s="156"/>
      <c r="AU203" s="397"/>
      <c r="AV203" s="396"/>
      <c r="AW203" s="396"/>
      <c r="AX203" s="1669"/>
      <c r="AY203" s="3"/>
      <c r="AZ203" s="3"/>
      <c r="BA203" s="3"/>
      <c r="BB203" s="3"/>
      <c r="BC203" s="3"/>
      <c r="BD203" s="3"/>
      <c r="BE203" s="3"/>
      <c r="BF203" s="3"/>
      <c r="BG203" s="3"/>
      <c r="BH203" s="3"/>
      <c r="BI203" s="3"/>
      <c r="BJ203" s="3"/>
      <c r="BK203" s="3"/>
      <c r="BL203" s="3"/>
      <c r="BM203" s="3"/>
      <c r="BN203" s="263"/>
      <c r="BO203" s="3"/>
      <c r="BQ203" s="1669"/>
      <c r="BR203" s="397"/>
      <c r="BS203" s="397"/>
      <c r="BT203" s="397"/>
      <c r="BV203" s="1669"/>
      <c r="BW203" s="397"/>
      <c r="BX203" s="397"/>
      <c r="BY203" s="397"/>
      <c r="CB203" s="428"/>
      <c r="CC203" s="428"/>
      <c r="CD203" s="428"/>
      <c r="CE203" s="1669"/>
      <c r="CF203" s="1620" t="str">
        <f>IFERROR(INDEX(N_Bedarf!$CE$2:$CE$304,_xlfn.AGGREGATE(15,6,(ROW(N_Bedarf!$CE$2:$CE$304)-1)/(--(SEARCH(CG$2,N_Bedarf!$CE$2:$CE$304)&gt;0)),ROW()-2),1),"")</f>
        <v/>
      </c>
      <c r="CG203" s="1620"/>
      <c r="CH203" s="1620" t="str">
        <f>IFERROR(INDEX(N_Bedarf!$CE$2:$CE$304,_xlfn.AGGREGATE(15,6,(ROW(N_Bedarf!$CE$2:$CE$304)-1)/(--(SEARCH(CI$2,N_Bedarf!$CE$2:$CE$304)&gt;0)),ROW()-2),1),"")</f>
        <v/>
      </c>
      <c r="CI203" s="1620"/>
      <c r="CJ203" s="1620" t="str">
        <f>IFERROR(INDEX(N_Bedarf!$CE$2:$CE$304,_xlfn.AGGREGATE(15,6,(ROW(N_Bedarf!$CE$2:$CE$304)-1)/(--(SEARCH(CK$2,N_Bedarf!$CE$2:$CE$304)&gt;0)),ROW()-2),1),"")</f>
        <v/>
      </c>
      <c r="CK203" s="1620"/>
      <c r="CL203" s="1620" t="str">
        <f>IFERROR(INDEX(N_Bedarf!$CE$2:$CE$304,_xlfn.AGGREGATE(15,6,(ROW(N_Bedarf!$CE$2:$CE$304)-1)/(--(SEARCH(CM$2,N_Bedarf!$CE$2:$CE$304)&gt;0)),ROW()-2),1),"")</f>
        <v/>
      </c>
      <c r="CM203" s="1620"/>
      <c r="CN203" s="1620" t="str">
        <f>IFERROR(INDEX(N_Bedarf!$CE$2:$CE$304,_xlfn.AGGREGATE(15,6,(ROW(N_Bedarf!$CE$2:$CE$304)-1)/(--(SEARCH(CO$2,N_Bedarf!$CE$2:$CE$304)&gt;0)),ROW()-2),1),"")</f>
        <v/>
      </c>
      <c r="CO203" s="1620"/>
      <c r="CP203" s="1620" t="str">
        <f>IFERROR(INDEX(N_Bedarf!$CE$2:$CE$304,_xlfn.AGGREGATE(15,6,(ROW(N_Bedarf!$CE$2:$CE$304)-1)/(--(SEARCH(CQ$2,N_Bedarf!$CE$2:$CE$304)&gt;0)),ROW()-2),1),"")</f>
        <v/>
      </c>
      <c r="CQ203" s="1620"/>
      <c r="CR203" s="1620" t="str">
        <f>IFERROR(INDEX(N_Bedarf!$CE$2:$CE$304,_xlfn.AGGREGATE(15,6,(ROW(N_Bedarf!$CE$2:$CE$304)-1)/(--(SEARCH(CS$2,N_Bedarf!$CE$2:$CE$304)&gt;0)),ROW()-2),1),"")</f>
        <v/>
      </c>
      <c r="CS203" s="1620"/>
      <c r="CT203" s="1620" t="str">
        <f>IFERROR(INDEX(N_Bedarf!$CE$2:$CE$304,_xlfn.AGGREGATE(15,6,(ROW(N_Bedarf!$CE$2:$CE$304)-1)/(--(SEARCH(CU$2,N_Bedarf!$CE$2:$CE$304)&gt;0)),ROW()-2),1),"")</f>
        <v/>
      </c>
      <c r="CU203" s="1620"/>
      <c r="CV203" s="1620" t="str">
        <f>IFERROR(INDEX(N_Bedarf!$CE$2:$CE$304,_xlfn.AGGREGATE(15,6,(ROW(N_Bedarf!$CE$2:$CE$304)-1)/(--(SEARCH(CW$2,N_Bedarf!$CE$2:$CE$304)&gt;0)),ROW()-2),1),"")</f>
        <v/>
      </c>
      <c r="CW203" s="1620"/>
      <c r="CX203" s="1620" t="str">
        <f>IFERROR(INDEX(N_Bedarf!$CE$2:$CE$304,_xlfn.AGGREGATE(15,6,(ROW(N_Bedarf!$CE$2:$CE$304)-1)/(--(SEARCH(CY$2,N_Bedarf!$CE$2:$CE$304)&gt;0)),ROW()-2),1),"")</f>
        <v/>
      </c>
      <c r="CY203" s="1620"/>
      <c r="CZ203" s="1620" t="str">
        <f>IFERROR(INDEX(N_Bedarf!$CE$2:$CE$304,_xlfn.AGGREGATE(15,6,(ROW(N_Bedarf!$CE$2:$CE$304)-1)/(--(SEARCH(DA$2,N_Bedarf!$CE$2:$CE$304)&gt;0)),ROW()-2),1),"")</f>
        <v/>
      </c>
      <c r="DA203" s="1620"/>
      <c r="DB203" s="1620" t="str">
        <f>IFERROR(INDEX(N_Bedarf!$CE$2:$CE$304,_xlfn.AGGREGATE(15,6,(ROW(N_Bedarf!$CE$2:$CE$304)-1)/(--(SEARCH(DC$2,N_Bedarf!$CE$2:$CE$304)&gt;0)),ROW()-2),1),"")</f>
        <v/>
      </c>
      <c r="DC203" s="1620"/>
      <c r="DD203" s="1620" t="str">
        <f>IFERROR(INDEX(N_Bedarf!$CE$2:$CE$304,_xlfn.AGGREGATE(15,6,(ROW(N_Bedarf!$CE$2:$CE$304)-1)/(--(SEARCH(DE$2,N_Bedarf!$CE$2:$CE$304)&gt;0)),ROW()-2),1),"")</f>
        <v/>
      </c>
      <c r="DE203" s="1620"/>
      <c r="ES203" s="768"/>
      <c r="ET203" s="768"/>
      <c r="EU203" s="768"/>
      <c r="EV203" s="768"/>
      <c r="EW203" s="768"/>
    </row>
    <row r="204" spans="3:153" s="394" customFormat="1" ht="21" customHeight="1">
      <c r="C204" s="1790" t="s">
        <v>74</v>
      </c>
      <c r="D204" s="1759" t="s">
        <v>714</v>
      </c>
      <c r="E204" s="1729">
        <v>0</v>
      </c>
      <c r="F204" s="1760">
        <v>0</v>
      </c>
      <c r="G204" s="1993" t="s">
        <v>714</v>
      </c>
      <c r="H204" s="1994">
        <v>0</v>
      </c>
      <c r="I204" s="1995">
        <v>0</v>
      </c>
      <c r="J204" s="1759" t="s">
        <v>714</v>
      </c>
      <c r="K204" s="1729">
        <v>0</v>
      </c>
      <c r="L204" s="1760">
        <v>0</v>
      </c>
      <c r="M204" s="1"/>
      <c r="N204" s="1"/>
      <c r="O204" s="1"/>
      <c r="P204" s="1"/>
      <c r="Q204" s="1"/>
      <c r="R204" s="1"/>
      <c r="S204" s="1759">
        <v>0</v>
      </c>
      <c r="T204" s="1729">
        <v>0</v>
      </c>
      <c r="U204" s="1760">
        <v>0</v>
      </c>
      <c r="V204" s="1759">
        <v>0</v>
      </c>
      <c r="W204" s="1729">
        <v>0</v>
      </c>
      <c r="X204" s="1760">
        <v>0</v>
      </c>
      <c r="Y204" s="2009">
        <v>0</v>
      </c>
      <c r="Z204" s="2010">
        <v>0</v>
      </c>
      <c r="AA204" s="2011">
        <v>0</v>
      </c>
      <c r="AB204" s="1871"/>
      <c r="AC204" s="1737"/>
      <c r="AD204" s="1762"/>
      <c r="AE204" s="1729"/>
      <c r="AF204" s="1760"/>
      <c r="AG204" s="1759"/>
      <c r="AH204" s="1729"/>
      <c r="AI204" s="1760"/>
      <c r="AJ204" s="2009"/>
      <c r="AK204" s="2010"/>
      <c r="AL204" s="2011"/>
      <c r="AM204" s="1871" t="s">
        <v>1764</v>
      </c>
      <c r="AN204" s="1763" t="s">
        <v>1764</v>
      </c>
      <c r="AR204" s="156"/>
      <c r="AS204" s="156"/>
      <c r="AT204" s="156"/>
      <c r="AU204" s="397"/>
      <c r="AV204" s="396"/>
      <c r="AW204" s="396"/>
      <c r="AX204" s="1669"/>
      <c r="AY204" s="3"/>
      <c r="AZ204" s="3"/>
      <c r="BA204" s="3"/>
      <c r="BB204" s="3"/>
      <c r="BC204" s="3"/>
      <c r="BD204" s="3"/>
      <c r="BE204" s="3"/>
      <c r="BF204" s="3"/>
      <c r="BG204" s="3"/>
      <c r="BH204" s="3"/>
      <c r="BI204" s="3"/>
      <c r="BJ204" s="3"/>
      <c r="BK204" s="3"/>
      <c r="BL204" s="3"/>
      <c r="BM204" s="3"/>
      <c r="BN204" s="263"/>
      <c r="BO204" s="3"/>
      <c r="BQ204" s="1669"/>
      <c r="BR204" s="397"/>
      <c r="BS204" s="397"/>
      <c r="BT204" s="397"/>
      <c r="BV204" s="1669"/>
      <c r="BW204" s="397"/>
      <c r="BX204" s="397"/>
      <c r="BY204" s="397"/>
      <c r="CB204" s="428"/>
      <c r="CC204" s="428"/>
      <c r="CD204" s="428"/>
      <c r="CE204" s="1669"/>
      <c r="CF204" s="1620" t="str">
        <f>IFERROR(INDEX(N_Bedarf!$CE$2:$CE$304,_xlfn.AGGREGATE(15,6,(ROW(N_Bedarf!$CE$2:$CE$304)-1)/(--(SEARCH(CG$2,N_Bedarf!$CE$2:$CE$304)&gt;0)),ROW()-2),1),"")</f>
        <v/>
      </c>
      <c r="CG204" s="1620"/>
      <c r="CH204" s="1620" t="str">
        <f>IFERROR(INDEX(N_Bedarf!$CE$2:$CE$304,_xlfn.AGGREGATE(15,6,(ROW(N_Bedarf!$CE$2:$CE$304)-1)/(--(SEARCH(CI$2,N_Bedarf!$CE$2:$CE$304)&gt;0)),ROW()-2),1),"")</f>
        <v/>
      </c>
      <c r="CI204" s="1620"/>
      <c r="CJ204" s="1620" t="str">
        <f>IFERROR(INDEX(N_Bedarf!$CE$2:$CE$304,_xlfn.AGGREGATE(15,6,(ROW(N_Bedarf!$CE$2:$CE$304)-1)/(--(SEARCH(CK$2,N_Bedarf!$CE$2:$CE$304)&gt;0)),ROW()-2),1),"")</f>
        <v/>
      </c>
      <c r="CK204" s="1620"/>
      <c r="CL204" s="1620" t="str">
        <f>IFERROR(INDEX(N_Bedarf!$CE$2:$CE$304,_xlfn.AGGREGATE(15,6,(ROW(N_Bedarf!$CE$2:$CE$304)-1)/(--(SEARCH(CM$2,N_Bedarf!$CE$2:$CE$304)&gt;0)),ROW()-2),1),"")</f>
        <v/>
      </c>
      <c r="CM204" s="1620"/>
      <c r="CN204" s="1620" t="str">
        <f>IFERROR(INDEX(N_Bedarf!$CE$2:$CE$304,_xlfn.AGGREGATE(15,6,(ROW(N_Bedarf!$CE$2:$CE$304)-1)/(--(SEARCH(CO$2,N_Bedarf!$CE$2:$CE$304)&gt;0)),ROW()-2),1),"")</f>
        <v/>
      </c>
      <c r="CO204" s="1620"/>
      <c r="CP204" s="1620" t="str">
        <f>IFERROR(INDEX(N_Bedarf!$CE$2:$CE$304,_xlfn.AGGREGATE(15,6,(ROW(N_Bedarf!$CE$2:$CE$304)-1)/(--(SEARCH(CQ$2,N_Bedarf!$CE$2:$CE$304)&gt;0)),ROW()-2),1),"")</f>
        <v/>
      </c>
      <c r="CQ204" s="1620"/>
      <c r="CR204" s="1620" t="str">
        <f>IFERROR(INDEX(N_Bedarf!$CE$2:$CE$304,_xlfn.AGGREGATE(15,6,(ROW(N_Bedarf!$CE$2:$CE$304)-1)/(--(SEARCH(CS$2,N_Bedarf!$CE$2:$CE$304)&gt;0)),ROW()-2),1),"")</f>
        <v/>
      </c>
      <c r="CS204" s="1620"/>
      <c r="CT204" s="1620" t="str">
        <f>IFERROR(INDEX(N_Bedarf!$CE$2:$CE$304,_xlfn.AGGREGATE(15,6,(ROW(N_Bedarf!$CE$2:$CE$304)-1)/(--(SEARCH(CU$2,N_Bedarf!$CE$2:$CE$304)&gt;0)),ROW()-2),1),"")</f>
        <v/>
      </c>
      <c r="CU204" s="1620"/>
      <c r="CV204" s="1620" t="str">
        <f>IFERROR(INDEX(N_Bedarf!$CE$2:$CE$304,_xlfn.AGGREGATE(15,6,(ROW(N_Bedarf!$CE$2:$CE$304)-1)/(--(SEARCH(CW$2,N_Bedarf!$CE$2:$CE$304)&gt;0)),ROW()-2),1),"")</f>
        <v/>
      </c>
      <c r="CW204" s="1620"/>
      <c r="CX204" s="1620" t="str">
        <f>IFERROR(INDEX(N_Bedarf!$CE$2:$CE$304,_xlfn.AGGREGATE(15,6,(ROW(N_Bedarf!$CE$2:$CE$304)-1)/(--(SEARCH(CY$2,N_Bedarf!$CE$2:$CE$304)&gt;0)),ROW()-2),1),"")</f>
        <v/>
      </c>
      <c r="CY204" s="1620"/>
      <c r="CZ204" s="1620" t="str">
        <f>IFERROR(INDEX(N_Bedarf!$CE$2:$CE$304,_xlfn.AGGREGATE(15,6,(ROW(N_Bedarf!$CE$2:$CE$304)-1)/(--(SEARCH(DA$2,N_Bedarf!$CE$2:$CE$304)&gt;0)),ROW()-2),1),"")</f>
        <v/>
      </c>
      <c r="DA204" s="1620"/>
      <c r="DB204" s="1620" t="str">
        <f>IFERROR(INDEX(N_Bedarf!$CE$2:$CE$304,_xlfn.AGGREGATE(15,6,(ROW(N_Bedarf!$CE$2:$CE$304)-1)/(--(SEARCH(DC$2,N_Bedarf!$CE$2:$CE$304)&gt;0)),ROW()-2),1),"")</f>
        <v/>
      </c>
      <c r="DC204" s="1620"/>
      <c r="DD204" s="1620" t="str">
        <f>IFERROR(INDEX(N_Bedarf!$CE$2:$CE$304,_xlfn.AGGREGATE(15,6,(ROW(N_Bedarf!$CE$2:$CE$304)-1)/(--(SEARCH(DE$2,N_Bedarf!$CE$2:$CE$304)&gt;0)),ROW()-2),1),"")</f>
        <v/>
      </c>
      <c r="DE204" s="1620"/>
      <c r="ES204" s="768"/>
      <c r="ET204" s="768"/>
      <c r="EU204" s="768"/>
      <c r="EV204" s="768"/>
      <c r="EW204" s="768"/>
    </row>
    <row r="205" spans="3:153" s="394" customFormat="1" ht="21" customHeight="1">
      <c r="C205" s="1790" t="s">
        <v>1744</v>
      </c>
      <c r="D205" s="1759" t="s">
        <v>714</v>
      </c>
      <c r="E205" s="1729">
        <v>0</v>
      </c>
      <c r="F205" s="1760">
        <v>0</v>
      </c>
      <c r="G205" s="1993" t="s">
        <v>714</v>
      </c>
      <c r="H205" s="1994">
        <v>0</v>
      </c>
      <c r="I205" s="1995">
        <v>0</v>
      </c>
      <c r="J205" s="1759" t="s">
        <v>714</v>
      </c>
      <c r="K205" s="1729">
        <v>0</v>
      </c>
      <c r="L205" s="1760">
        <v>0</v>
      </c>
      <c r="M205" s="1"/>
      <c r="N205" s="1"/>
      <c r="O205" s="1"/>
      <c r="P205" s="1"/>
      <c r="Q205" s="1"/>
      <c r="R205" s="1"/>
      <c r="S205" s="1759">
        <v>0</v>
      </c>
      <c r="T205" s="1729">
        <v>0</v>
      </c>
      <c r="U205" s="1760">
        <v>0</v>
      </c>
      <c r="V205" s="1759">
        <v>0</v>
      </c>
      <c r="W205" s="1729">
        <v>0</v>
      </c>
      <c r="X205" s="1760">
        <v>0</v>
      </c>
      <c r="Y205" s="2009">
        <v>0</v>
      </c>
      <c r="Z205" s="2010">
        <v>0</v>
      </c>
      <c r="AA205" s="2011">
        <v>0</v>
      </c>
      <c r="AB205" s="1871" t="s">
        <v>714</v>
      </c>
      <c r="AC205" s="1737" t="s">
        <v>714</v>
      </c>
      <c r="AD205" s="1762"/>
      <c r="AE205" s="1729"/>
      <c r="AF205" s="1760"/>
      <c r="AG205" s="1759"/>
      <c r="AH205" s="1729"/>
      <c r="AI205" s="1760"/>
      <c r="AJ205" s="2009"/>
      <c r="AK205" s="2010"/>
      <c r="AL205" s="2011"/>
      <c r="AM205" s="1871" t="s">
        <v>1764</v>
      </c>
      <c r="AN205" s="1763" t="s">
        <v>1764</v>
      </c>
      <c r="AR205" s="156"/>
      <c r="AS205" s="156"/>
      <c r="AT205" s="156"/>
      <c r="AU205" s="397"/>
      <c r="AV205" s="396"/>
      <c r="AW205" s="396"/>
      <c r="AX205" s="1669"/>
      <c r="AY205" s="3"/>
      <c r="AZ205" s="3"/>
      <c r="BA205" s="3"/>
      <c r="BB205" s="3"/>
      <c r="BC205" s="3"/>
      <c r="BD205" s="3"/>
      <c r="BE205" s="3"/>
      <c r="BF205" s="3"/>
      <c r="BG205" s="3"/>
      <c r="BH205" s="3"/>
      <c r="BI205" s="3"/>
      <c r="BJ205" s="3"/>
      <c r="BK205" s="3"/>
      <c r="BL205" s="3"/>
      <c r="BM205" s="3"/>
      <c r="BN205" s="263"/>
      <c r="BO205" s="3"/>
      <c r="BQ205" s="1669"/>
      <c r="BR205" s="397"/>
      <c r="BS205" s="397"/>
      <c r="BT205" s="397"/>
      <c r="BV205" s="1669"/>
      <c r="BW205" s="397"/>
      <c r="BX205" s="397"/>
      <c r="BY205" s="397"/>
      <c r="CB205" s="428"/>
      <c r="CC205" s="428"/>
      <c r="CD205" s="428"/>
      <c r="CE205" s="1669"/>
      <c r="CF205" s="1620" t="str">
        <f>IFERROR(INDEX(N_Bedarf!$CE$2:$CE$304,_xlfn.AGGREGATE(15,6,(ROW(N_Bedarf!$CE$2:$CE$304)-1)/(--(SEARCH(CG$2,N_Bedarf!$CE$2:$CE$304)&gt;0)),ROW()-2),1),"")</f>
        <v/>
      </c>
      <c r="CG205" s="1620"/>
      <c r="CH205" s="1620" t="str">
        <f>IFERROR(INDEX(N_Bedarf!$CE$2:$CE$304,_xlfn.AGGREGATE(15,6,(ROW(N_Bedarf!$CE$2:$CE$304)-1)/(--(SEARCH(CI$2,N_Bedarf!$CE$2:$CE$304)&gt;0)),ROW()-2),1),"")</f>
        <v/>
      </c>
      <c r="CI205" s="1620"/>
      <c r="CJ205" s="1620" t="str">
        <f>IFERROR(INDEX(N_Bedarf!$CE$2:$CE$304,_xlfn.AGGREGATE(15,6,(ROW(N_Bedarf!$CE$2:$CE$304)-1)/(--(SEARCH(CK$2,N_Bedarf!$CE$2:$CE$304)&gt;0)),ROW()-2),1),"")</f>
        <v/>
      </c>
      <c r="CK205" s="1620"/>
      <c r="CL205" s="1620" t="str">
        <f>IFERROR(INDEX(N_Bedarf!$CE$2:$CE$304,_xlfn.AGGREGATE(15,6,(ROW(N_Bedarf!$CE$2:$CE$304)-1)/(--(SEARCH(CM$2,N_Bedarf!$CE$2:$CE$304)&gt;0)),ROW()-2),1),"")</f>
        <v/>
      </c>
      <c r="CM205" s="1620"/>
      <c r="CN205" s="1620" t="str">
        <f>IFERROR(INDEX(N_Bedarf!$CE$2:$CE$304,_xlfn.AGGREGATE(15,6,(ROW(N_Bedarf!$CE$2:$CE$304)-1)/(--(SEARCH(CO$2,N_Bedarf!$CE$2:$CE$304)&gt;0)),ROW()-2),1),"")</f>
        <v/>
      </c>
      <c r="CO205" s="1620"/>
      <c r="CP205" s="1620" t="str">
        <f>IFERROR(INDEX(N_Bedarf!$CE$2:$CE$304,_xlfn.AGGREGATE(15,6,(ROW(N_Bedarf!$CE$2:$CE$304)-1)/(--(SEARCH(CQ$2,N_Bedarf!$CE$2:$CE$304)&gt;0)),ROW()-2),1),"")</f>
        <v/>
      </c>
      <c r="CQ205" s="1620"/>
      <c r="CR205" s="1620" t="str">
        <f>IFERROR(INDEX(N_Bedarf!$CE$2:$CE$304,_xlfn.AGGREGATE(15,6,(ROW(N_Bedarf!$CE$2:$CE$304)-1)/(--(SEARCH(CS$2,N_Bedarf!$CE$2:$CE$304)&gt;0)),ROW()-2),1),"")</f>
        <v/>
      </c>
      <c r="CS205" s="1620"/>
      <c r="CT205" s="1620" t="str">
        <f>IFERROR(INDEX(N_Bedarf!$CE$2:$CE$304,_xlfn.AGGREGATE(15,6,(ROW(N_Bedarf!$CE$2:$CE$304)-1)/(--(SEARCH(CU$2,N_Bedarf!$CE$2:$CE$304)&gt;0)),ROW()-2),1),"")</f>
        <v/>
      </c>
      <c r="CU205" s="1620"/>
      <c r="CV205" s="1620" t="str">
        <f>IFERROR(INDEX(N_Bedarf!$CE$2:$CE$304,_xlfn.AGGREGATE(15,6,(ROW(N_Bedarf!$CE$2:$CE$304)-1)/(--(SEARCH(CW$2,N_Bedarf!$CE$2:$CE$304)&gt;0)),ROW()-2),1),"")</f>
        <v/>
      </c>
      <c r="CW205" s="1620"/>
      <c r="CX205" s="1620" t="str">
        <f>IFERROR(INDEX(N_Bedarf!$CE$2:$CE$304,_xlfn.AGGREGATE(15,6,(ROW(N_Bedarf!$CE$2:$CE$304)-1)/(--(SEARCH(CY$2,N_Bedarf!$CE$2:$CE$304)&gt;0)),ROW()-2),1),"")</f>
        <v/>
      </c>
      <c r="CY205" s="1620"/>
      <c r="CZ205" s="1620" t="str">
        <f>IFERROR(INDEX(N_Bedarf!$CE$2:$CE$304,_xlfn.AGGREGATE(15,6,(ROW(N_Bedarf!$CE$2:$CE$304)-1)/(--(SEARCH(DA$2,N_Bedarf!$CE$2:$CE$304)&gt;0)),ROW()-2),1),"")</f>
        <v/>
      </c>
      <c r="DA205" s="1620"/>
      <c r="DB205" s="1620" t="str">
        <f>IFERROR(INDEX(N_Bedarf!$CE$2:$CE$304,_xlfn.AGGREGATE(15,6,(ROW(N_Bedarf!$CE$2:$CE$304)-1)/(--(SEARCH(DC$2,N_Bedarf!$CE$2:$CE$304)&gt;0)),ROW()-2),1),"")</f>
        <v/>
      </c>
      <c r="DC205" s="1620"/>
      <c r="DD205" s="1620" t="str">
        <f>IFERROR(INDEX(N_Bedarf!$CE$2:$CE$304,_xlfn.AGGREGATE(15,6,(ROW(N_Bedarf!$CE$2:$CE$304)-1)/(--(SEARCH(DE$2,N_Bedarf!$CE$2:$CE$304)&gt;0)),ROW()-2),1),"")</f>
        <v/>
      </c>
      <c r="DE205" s="1620"/>
      <c r="ES205" s="768"/>
      <c r="ET205" s="768"/>
      <c r="EU205" s="768"/>
      <c r="EV205" s="768"/>
      <c r="EW205" s="768"/>
    </row>
    <row r="206" spans="3:153" s="394" customFormat="1" ht="21" customHeight="1">
      <c r="C206" s="1790" t="s">
        <v>1745</v>
      </c>
      <c r="D206" s="1759" t="s">
        <v>714</v>
      </c>
      <c r="E206" s="1729">
        <v>60</v>
      </c>
      <c r="F206" s="1760">
        <v>50</v>
      </c>
      <c r="G206" s="1993" t="s">
        <v>714</v>
      </c>
      <c r="H206" s="1994">
        <v>60</v>
      </c>
      <c r="I206" s="1995">
        <v>50</v>
      </c>
      <c r="J206" s="1759" t="s">
        <v>714</v>
      </c>
      <c r="K206" s="1729">
        <v>60</v>
      </c>
      <c r="L206" s="1760">
        <v>50</v>
      </c>
      <c r="M206" s="1"/>
      <c r="N206" s="1"/>
      <c r="O206" s="1"/>
      <c r="P206" s="1"/>
      <c r="Q206" s="1"/>
      <c r="R206" s="1"/>
      <c r="S206" s="1759">
        <v>90</v>
      </c>
      <c r="T206" s="1729">
        <v>90</v>
      </c>
      <c r="U206" s="1760">
        <v>90</v>
      </c>
      <c r="V206" s="1759">
        <v>75</v>
      </c>
      <c r="W206" s="1729">
        <v>75</v>
      </c>
      <c r="X206" s="1760">
        <v>75</v>
      </c>
      <c r="Y206" s="2009">
        <v>60</v>
      </c>
      <c r="Z206" s="2010">
        <v>60</v>
      </c>
      <c r="AA206" s="2011">
        <v>60</v>
      </c>
      <c r="AB206" s="1871" t="s">
        <v>1388</v>
      </c>
      <c r="AC206" s="1737" t="s">
        <v>1389</v>
      </c>
      <c r="AD206" s="1762"/>
      <c r="AE206" s="1729"/>
      <c r="AF206" s="1760"/>
      <c r="AG206" s="1759"/>
      <c r="AH206" s="1729"/>
      <c r="AI206" s="1760"/>
      <c r="AJ206" s="2009"/>
      <c r="AK206" s="2010"/>
      <c r="AL206" s="2011"/>
      <c r="AM206" s="1871" t="s">
        <v>1764</v>
      </c>
      <c r="AN206" s="1763" t="s">
        <v>1764</v>
      </c>
      <c r="AR206" s="156"/>
      <c r="AS206" s="156"/>
      <c r="AT206" s="156"/>
      <c r="AU206" s="397"/>
      <c r="AV206" s="396"/>
      <c r="AW206" s="396"/>
      <c r="AX206" s="1669"/>
      <c r="AY206" s="3"/>
      <c r="AZ206" s="3"/>
      <c r="BA206" s="3"/>
      <c r="BB206" s="3"/>
      <c r="BC206" s="3"/>
      <c r="BD206" s="3"/>
      <c r="BE206" s="3"/>
      <c r="BF206" s="3"/>
      <c r="BG206" s="3"/>
      <c r="BH206" s="3"/>
      <c r="BI206" s="3"/>
      <c r="BJ206" s="3"/>
      <c r="BK206" s="3"/>
      <c r="BL206" s="3"/>
      <c r="BM206" s="3"/>
      <c r="BN206" s="263"/>
      <c r="BO206" s="3"/>
      <c r="BQ206" s="1669"/>
      <c r="BR206" s="397"/>
      <c r="BS206" s="397"/>
      <c r="BT206" s="397"/>
      <c r="BV206" s="1669"/>
      <c r="BW206" s="397"/>
      <c r="BX206" s="397"/>
      <c r="BY206" s="397"/>
      <c r="BZ206" s="1751"/>
      <c r="CE206" s="1669"/>
      <c r="CF206" s="1620" t="str">
        <f>IFERROR(INDEX(N_Bedarf!$CE$2:$CE$304,_xlfn.AGGREGATE(15,6,(ROW(N_Bedarf!$CE$2:$CE$304)-1)/(--(SEARCH(CG$2,N_Bedarf!$CE$2:$CE$304)&gt;0)),ROW()-2),1),"")</f>
        <v/>
      </c>
      <c r="CG206" s="1620"/>
      <c r="CH206" s="1620" t="str">
        <f>IFERROR(INDEX(N_Bedarf!$CE$2:$CE$304,_xlfn.AGGREGATE(15,6,(ROW(N_Bedarf!$CE$2:$CE$304)-1)/(--(SEARCH(CI$2,N_Bedarf!$CE$2:$CE$304)&gt;0)),ROW()-2),1),"")</f>
        <v/>
      </c>
      <c r="CI206" s="1620"/>
      <c r="CJ206" s="1620" t="str">
        <f>IFERROR(INDEX(N_Bedarf!$CE$2:$CE$304,_xlfn.AGGREGATE(15,6,(ROW(N_Bedarf!$CE$2:$CE$304)-1)/(--(SEARCH(CK$2,N_Bedarf!$CE$2:$CE$304)&gt;0)),ROW()-2),1),"")</f>
        <v/>
      </c>
      <c r="CK206" s="1620"/>
      <c r="CL206" s="1620" t="str">
        <f>IFERROR(INDEX(N_Bedarf!$CE$2:$CE$304,_xlfn.AGGREGATE(15,6,(ROW(N_Bedarf!$CE$2:$CE$304)-1)/(--(SEARCH(CM$2,N_Bedarf!$CE$2:$CE$304)&gt;0)),ROW()-2),1),"")</f>
        <v/>
      </c>
      <c r="CM206" s="1620"/>
      <c r="CN206" s="1620" t="str">
        <f>IFERROR(INDEX(N_Bedarf!$CE$2:$CE$304,_xlfn.AGGREGATE(15,6,(ROW(N_Bedarf!$CE$2:$CE$304)-1)/(--(SEARCH(CO$2,N_Bedarf!$CE$2:$CE$304)&gt;0)),ROW()-2),1),"")</f>
        <v/>
      </c>
      <c r="CO206" s="1620"/>
      <c r="CP206" s="1620" t="str">
        <f>IFERROR(INDEX(N_Bedarf!$CE$2:$CE$304,_xlfn.AGGREGATE(15,6,(ROW(N_Bedarf!$CE$2:$CE$304)-1)/(--(SEARCH(CQ$2,N_Bedarf!$CE$2:$CE$304)&gt;0)),ROW()-2),1),"")</f>
        <v/>
      </c>
      <c r="CQ206" s="1620"/>
      <c r="CR206" s="1620" t="str">
        <f>IFERROR(INDEX(N_Bedarf!$CE$2:$CE$304,_xlfn.AGGREGATE(15,6,(ROW(N_Bedarf!$CE$2:$CE$304)-1)/(--(SEARCH(CS$2,N_Bedarf!$CE$2:$CE$304)&gt;0)),ROW()-2),1),"")</f>
        <v/>
      </c>
      <c r="CS206" s="1620"/>
      <c r="CT206" s="1620" t="str">
        <f>IFERROR(INDEX(N_Bedarf!$CE$2:$CE$304,_xlfn.AGGREGATE(15,6,(ROW(N_Bedarf!$CE$2:$CE$304)-1)/(--(SEARCH(CU$2,N_Bedarf!$CE$2:$CE$304)&gt;0)),ROW()-2),1),"")</f>
        <v/>
      </c>
      <c r="CU206" s="1620"/>
      <c r="CV206" s="1620" t="str">
        <f>IFERROR(INDEX(N_Bedarf!$CE$2:$CE$304,_xlfn.AGGREGATE(15,6,(ROW(N_Bedarf!$CE$2:$CE$304)-1)/(--(SEARCH(CW$2,N_Bedarf!$CE$2:$CE$304)&gt;0)),ROW()-2),1),"")</f>
        <v/>
      </c>
      <c r="CW206" s="1620"/>
      <c r="CX206" s="1620" t="str">
        <f>IFERROR(INDEX(N_Bedarf!$CE$2:$CE$304,_xlfn.AGGREGATE(15,6,(ROW(N_Bedarf!$CE$2:$CE$304)-1)/(--(SEARCH(CY$2,N_Bedarf!$CE$2:$CE$304)&gt;0)),ROW()-2),1),"")</f>
        <v/>
      </c>
      <c r="CY206" s="1620"/>
      <c r="CZ206" s="1620" t="str">
        <f>IFERROR(INDEX(N_Bedarf!$CE$2:$CE$304,_xlfn.AGGREGATE(15,6,(ROW(N_Bedarf!$CE$2:$CE$304)-1)/(--(SEARCH(DA$2,N_Bedarf!$CE$2:$CE$304)&gt;0)),ROW()-2),1),"")</f>
        <v/>
      </c>
      <c r="DA206" s="1620"/>
      <c r="DB206" s="1620" t="str">
        <f>IFERROR(INDEX(N_Bedarf!$CE$2:$CE$304,_xlfn.AGGREGATE(15,6,(ROW(N_Bedarf!$CE$2:$CE$304)-1)/(--(SEARCH(DC$2,N_Bedarf!$CE$2:$CE$304)&gt;0)),ROW()-2),1),"")</f>
        <v/>
      </c>
      <c r="DC206" s="1620"/>
      <c r="DD206" s="1620" t="str">
        <f>IFERROR(INDEX(N_Bedarf!$CE$2:$CE$304,_xlfn.AGGREGATE(15,6,(ROW(N_Bedarf!$CE$2:$CE$304)-1)/(--(SEARCH(DE$2,N_Bedarf!$CE$2:$CE$304)&gt;0)),ROW()-2),1),"")</f>
        <v/>
      </c>
      <c r="DE206" s="1620"/>
      <c r="ES206" s="768"/>
      <c r="ET206" s="768"/>
      <c r="EU206" s="768"/>
      <c r="EV206" s="768"/>
      <c r="EW206" s="768"/>
    </row>
    <row r="207" spans="3:153" s="394" customFormat="1" ht="21" customHeight="1">
      <c r="C207" s="1790" t="s">
        <v>1746</v>
      </c>
      <c r="D207" s="1759" t="s">
        <v>714</v>
      </c>
      <c r="E207" s="1729">
        <v>120</v>
      </c>
      <c r="F207" s="1760">
        <v>100</v>
      </c>
      <c r="G207" s="1993" t="s">
        <v>714</v>
      </c>
      <c r="H207" s="1994">
        <v>120</v>
      </c>
      <c r="I207" s="1995">
        <v>100</v>
      </c>
      <c r="J207" s="1759" t="s">
        <v>714</v>
      </c>
      <c r="K207" s="1729">
        <v>120</v>
      </c>
      <c r="L207" s="1760">
        <v>100</v>
      </c>
      <c r="M207" s="1"/>
      <c r="N207" s="1"/>
      <c r="O207" s="1"/>
      <c r="P207" s="1"/>
      <c r="Q207" s="1"/>
      <c r="R207" s="1"/>
      <c r="S207" s="1759">
        <v>90</v>
      </c>
      <c r="T207" s="1729">
        <v>90</v>
      </c>
      <c r="U207" s="1760">
        <v>90</v>
      </c>
      <c r="V207" s="1759">
        <v>75</v>
      </c>
      <c r="W207" s="1729">
        <v>75</v>
      </c>
      <c r="X207" s="1760">
        <v>75</v>
      </c>
      <c r="Y207" s="2009">
        <v>60</v>
      </c>
      <c r="Z207" s="2010">
        <v>60</v>
      </c>
      <c r="AA207" s="2011">
        <v>60</v>
      </c>
      <c r="AB207" s="1871" t="s">
        <v>1388</v>
      </c>
      <c r="AC207" s="1737" t="s">
        <v>1389</v>
      </c>
      <c r="AD207" s="1762"/>
      <c r="AE207" s="1729"/>
      <c r="AF207" s="1760"/>
      <c r="AG207" s="1759"/>
      <c r="AH207" s="1729"/>
      <c r="AI207" s="1760"/>
      <c r="AJ207" s="2009"/>
      <c r="AK207" s="2010"/>
      <c r="AL207" s="2011"/>
      <c r="AM207" s="1871" t="s">
        <v>1764</v>
      </c>
      <c r="AN207" s="1763" t="s">
        <v>1764</v>
      </c>
      <c r="AR207" s="156"/>
      <c r="AS207" s="156"/>
      <c r="AT207" s="156"/>
      <c r="AU207" s="397"/>
      <c r="AV207" s="396"/>
      <c r="AW207" s="396"/>
      <c r="AX207" s="1669"/>
      <c r="AY207" s="3"/>
      <c r="AZ207" s="3"/>
      <c r="BA207" s="3"/>
      <c r="BB207" s="3"/>
      <c r="BC207" s="3"/>
      <c r="BD207" s="3"/>
      <c r="BE207" s="3"/>
      <c r="BF207" s="3"/>
      <c r="BG207" s="3"/>
      <c r="BH207" s="3"/>
      <c r="BI207" s="3"/>
      <c r="BJ207" s="3"/>
      <c r="BK207" s="3"/>
      <c r="BL207" s="3"/>
      <c r="BM207" s="3"/>
      <c r="BN207" s="263"/>
      <c r="BO207" s="3"/>
      <c r="BQ207" s="1669"/>
      <c r="BR207" s="397"/>
      <c r="BS207" s="397"/>
      <c r="BT207" s="397"/>
      <c r="BV207" s="1669"/>
      <c r="BW207" s="397"/>
      <c r="BX207" s="397"/>
      <c r="BY207" s="397"/>
      <c r="BZ207" s="1751"/>
      <c r="CE207" s="1669"/>
      <c r="CF207" s="1620" t="str">
        <f>IFERROR(INDEX(N_Bedarf!$CE$2:$CE$304,_xlfn.AGGREGATE(15,6,(ROW(N_Bedarf!$CE$2:$CE$304)-1)/(--(SEARCH(CG$2,N_Bedarf!$CE$2:$CE$304)&gt;0)),ROW()-2),1),"")</f>
        <v/>
      </c>
      <c r="CG207" s="1620"/>
      <c r="CH207" s="1620" t="str">
        <f>IFERROR(INDEX(N_Bedarf!$CE$2:$CE$304,_xlfn.AGGREGATE(15,6,(ROW(N_Bedarf!$CE$2:$CE$304)-1)/(--(SEARCH(CI$2,N_Bedarf!$CE$2:$CE$304)&gt;0)),ROW()-2),1),"")</f>
        <v/>
      </c>
      <c r="CI207" s="1620"/>
      <c r="CJ207" s="1620" t="str">
        <f>IFERROR(INDEX(N_Bedarf!$CE$2:$CE$304,_xlfn.AGGREGATE(15,6,(ROW(N_Bedarf!$CE$2:$CE$304)-1)/(--(SEARCH(CK$2,N_Bedarf!$CE$2:$CE$304)&gt;0)),ROW()-2),1),"")</f>
        <v/>
      </c>
      <c r="CK207" s="1620"/>
      <c r="CL207" s="1620" t="str">
        <f>IFERROR(INDEX(N_Bedarf!$CE$2:$CE$304,_xlfn.AGGREGATE(15,6,(ROW(N_Bedarf!$CE$2:$CE$304)-1)/(--(SEARCH(CM$2,N_Bedarf!$CE$2:$CE$304)&gt;0)),ROW()-2),1),"")</f>
        <v/>
      </c>
      <c r="CM207" s="1620"/>
      <c r="CN207" s="1620" t="str">
        <f>IFERROR(INDEX(N_Bedarf!$CE$2:$CE$304,_xlfn.AGGREGATE(15,6,(ROW(N_Bedarf!$CE$2:$CE$304)-1)/(--(SEARCH(CO$2,N_Bedarf!$CE$2:$CE$304)&gt;0)),ROW()-2),1),"")</f>
        <v/>
      </c>
      <c r="CO207" s="1620"/>
      <c r="CP207" s="1620" t="str">
        <f>IFERROR(INDEX(N_Bedarf!$CE$2:$CE$304,_xlfn.AGGREGATE(15,6,(ROW(N_Bedarf!$CE$2:$CE$304)-1)/(--(SEARCH(CQ$2,N_Bedarf!$CE$2:$CE$304)&gt;0)),ROW()-2),1),"")</f>
        <v/>
      </c>
      <c r="CQ207" s="1620"/>
      <c r="CR207" s="1620" t="str">
        <f>IFERROR(INDEX(N_Bedarf!$CE$2:$CE$304,_xlfn.AGGREGATE(15,6,(ROW(N_Bedarf!$CE$2:$CE$304)-1)/(--(SEARCH(CS$2,N_Bedarf!$CE$2:$CE$304)&gt;0)),ROW()-2),1),"")</f>
        <v/>
      </c>
      <c r="CS207" s="1620"/>
      <c r="CT207" s="1620" t="str">
        <f>IFERROR(INDEX(N_Bedarf!$CE$2:$CE$304,_xlfn.AGGREGATE(15,6,(ROW(N_Bedarf!$CE$2:$CE$304)-1)/(--(SEARCH(CU$2,N_Bedarf!$CE$2:$CE$304)&gt;0)),ROW()-2),1),"")</f>
        <v/>
      </c>
      <c r="CU207" s="1620"/>
      <c r="CV207" s="1620" t="str">
        <f>IFERROR(INDEX(N_Bedarf!$CE$2:$CE$304,_xlfn.AGGREGATE(15,6,(ROW(N_Bedarf!$CE$2:$CE$304)-1)/(--(SEARCH(CW$2,N_Bedarf!$CE$2:$CE$304)&gt;0)),ROW()-2),1),"")</f>
        <v/>
      </c>
      <c r="CW207" s="1620"/>
      <c r="CX207" s="1620" t="str">
        <f>IFERROR(INDEX(N_Bedarf!$CE$2:$CE$304,_xlfn.AGGREGATE(15,6,(ROW(N_Bedarf!$CE$2:$CE$304)-1)/(--(SEARCH(CY$2,N_Bedarf!$CE$2:$CE$304)&gt;0)),ROW()-2),1),"")</f>
        <v/>
      </c>
      <c r="CY207" s="1620"/>
      <c r="CZ207" s="1620" t="str">
        <f>IFERROR(INDEX(N_Bedarf!$CE$2:$CE$304,_xlfn.AGGREGATE(15,6,(ROW(N_Bedarf!$CE$2:$CE$304)-1)/(--(SEARCH(DA$2,N_Bedarf!$CE$2:$CE$304)&gt;0)),ROW()-2),1),"")</f>
        <v/>
      </c>
      <c r="DA207" s="1620"/>
      <c r="DB207" s="1620" t="str">
        <f>IFERROR(INDEX(N_Bedarf!$CE$2:$CE$304,_xlfn.AGGREGATE(15,6,(ROW(N_Bedarf!$CE$2:$CE$304)-1)/(--(SEARCH(DC$2,N_Bedarf!$CE$2:$CE$304)&gt;0)),ROW()-2),1),"")</f>
        <v/>
      </c>
      <c r="DC207" s="1620"/>
      <c r="DD207" s="1620" t="str">
        <f>IFERROR(INDEX(N_Bedarf!$CE$2:$CE$304,_xlfn.AGGREGATE(15,6,(ROW(N_Bedarf!$CE$2:$CE$304)-1)/(--(SEARCH(DE$2,N_Bedarf!$CE$2:$CE$304)&gt;0)),ROW()-2),1),"")</f>
        <v/>
      </c>
      <c r="DE207" s="1620"/>
      <c r="ES207" s="768"/>
      <c r="ET207" s="768"/>
      <c r="EU207" s="768"/>
      <c r="EV207" s="768"/>
      <c r="EW207" s="768"/>
    </row>
    <row r="208" spans="3:153" s="394" customFormat="1" ht="21" customHeight="1">
      <c r="C208" s="1790" t="s">
        <v>75</v>
      </c>
      <c r="D208" s="1759" t="s">
        <v>714</v>
      </c>
      <c r="E208" s="1729">
        <v>120</v>
      </c>
      <c r="F208" s="1760">
        <v>100</v>
      </c>
      <c r="G208" s="1993" t="s">
        <v>714</v>
      </c>
      <c r="H208" s="1994">
        <v>120</v>
      </c>
      <c r="I208" s="1995">
        <v>100</v>
      </c>
      <c r="J208" s="1759" t="s">
        <v>714</v>
      </c>
      <c r="K208" s="1729">
        <v>120</v>
      </c>
      <c r="L208" s="1760">
        <v>100</v>
      </c>
      <c r="M208" s="1"/>
      <c r="N208" s="1"/>
      <c r="O208" s="1"/>
      <c r="P208" s="1"/>
      <c r="Q208" s="1"/>
      <c r="R208" s="1"/>
      <c r="S208" s="1759">
        <v>90</v>
      </c>
      <c r="T208" s="1729">
        <v>90</v>
      </c>
      <c r="U208" s="1760">
        <v>90</v>
      </c>
      <c r="V208" s="1759">
        <v>75</v>
      </c>
      <c r="W208" s="1729">
        <v>75</v>
      </c>
      <c r="X208" s="1760">
        <v>75</v>
      </c>
      <c r="Y208" s="2009">
        <v>60</v>
      </c>
      <c r="Z208" s="2010">
        <v>60</v>
      </c>
      <c r="AA208" s="2011">
        <v>60</v>
      </c>
      <c r="AB208" s="1871" t="s">
        <v>1388</v>
      </c>
      <c r="AC208" s="1737" t="s">
        <v>1389</v>
      </c>
      <c r="AD208" s="1762"/>
      <c r="AE208" s="1729"/>
      <c r="AF208" s="1760"/>
      <c r="AG208" s="1759"/>
      <c r="AH208" s="1729"/>
      <c r="AI208" s="1760"/>
      <c r="AJ208" s="2009"/>
      <c r="AK208" s="2010"/>
      <c r="AL208" s="2011"/>
      <c r="AM208" s="1871" t="s">
        <v>1764</v>
      </c>
      <c r="AN208" s="1763" t="s">
        <v>1764</v>
      </c>
      <c r="AR208" s="156"/>
      <c r="AS208" s="156"/>
      <c r="AT208" s="156"/>
      <c r="AU208" s="397"/>
      <c r="AV208" s="396"/>
      <c r="AW208" s="396"/>
      <c r="AX208" s="1669"/>
      <c r="AY208" s="3"/>
      <c r="AZ208" s="3"/>
      <c r="BA208" s="3"/>
      <c r="BB208" s="3"/>
      <c r="BC208" s="3"/>
      <c r="BD208" s="3"/>
      <c r="BE208" s="3"/>
      <c r="BF208" s="3"/>
      <c r="BG208" s="3"/>
      <c r="BH208" s="3"/>
      <c r="BI208" s="3"/>
      <c r="BJ208" s="3"/>
      <c r="BK208" s="3"/>
      <c r="BL208" s="3"/>
      <c r="BM208" s="3"/>
      <c r="BN208" s="263"/>
      <c r="BO208" s="3"/>
      <c r="BQ208" s="1669"/>
      <c r="BR208" s="397"/>
      <c r="BS208" s="397"/>
      <c r="BT208" s="397"/>
      <c r="BV208" s="1669"/>
      <c r="BW208" s="397"/>
      <c r="BX208" s="397"/>
      <c r="BY208" s="397"/>
      <c r="BZ208" s="1751"/>
      <c r="CE208" s="1669"/>
      <c r="CF208" s="1620" t="str">
        <f>IFERROR(INDEX(N_Bedarf!$CE$2:$CE$304,_xlfn.AGGREGATE(15,6,(ROW(N_Bedarf!$CE$2:$CE$304)-1)/(--(SEARCH(CG$2,N_Bedarf!$CE$2:$CE$304)&gt;0)),ROW()-2),1),"")</f>
        <v/>
      </c>
      <c r="CG208" s="1620"/>
      <c r="CH208" s="1620" t="str">
        <f>IFERROR(INDEX(N_Bedarf!$CE$2:$CE$304,_xlfn.AGGREGATE(15,6,(ROW(N_Bedarf!$CE$2:$CE$304)-1)/(--(SEARCH(CI$2,N_Bedarf!$CE$2:$CE$304)&gt;0)),ROW()-2),1),"")</f>
        <v/>
      </c>
      <c r="CI208" s="1620"/>
      <c r="CJ208" s="1620" t="str">
        <f>IFERROR(INDEX(N_Bedarf!$CE$2:$CE$304,_xlfn.AGGREGATE(15,6,(ROW(N_Bedarf!$CE$2:$CE$304)-1)/(--(SEARCH(CK$2,N_Bedarf!$CE$2:$CE$304)&gt;0)),ROW()-2),1),"")</f>
        <v/>
      </c>
      <c r="CK208" s="1620"/>
      <c r="CL208" s="1620" t="str">
        <f>IFERROR(INDEX(N_Bedarf!$CE$2:$CE$304,_xlfn.AGGREGATE(15,6,(ROW(N_Bedarf!$CE$2:$CE$304)-1)/(--(SEARCH(CM$2,N_Bedarf!$CE$2:$CE$304)&gt;0)),ROW()-2),1),"")</f>
        <v/>
      </c>
      <c r="CM208" s="1620"/>
      <c r="CN208" s="1620" t="str">
        <f>IFERROR(INDEX(N_Bedarf!$CE$2:$CE$304,_xlfn.AGGREGATE(15,6,(ROW(N_Bedarf!$CE$2:$CE$304)-1)/(--(SEARCH(CO$2,N_Bedarf!$CE$2:$CE$304)&gt;0)),ROW()-2),1),"")</f>
        <v/>
      </c>
      <c r="CO208" s="1620"/>
      <c r="CP208" s="1620" t="str">
        <f>IFERROR(INDEX(N_Bedarf!$CE$2:$CE$304,_xlfn.AGGREGATE(15,6,(ROW(N_Bedarf!$CE$2:$CE$304)-1)/(--(SEARCH(CQ$2,N_Bedarf!$CE$2:$CE$304)&gt;0)),ROW()-2),1),"")</f>
        <v/>
      </c>
      <c r="CQ208" s="1620"/>
      <c r="CR208" s="1620" t="str">
        <f>IFERROR(INDEX(N_Bedarf!$CE$2:$CE$304,_xlfn.AGGREGATE(15,6,(ROW(N_Bedarf!$CE$2:$CE$304)-1)/(--(SEARCH(CS$2,N_Bedarf!$CE$2:$CE$304)&gt;0)),ROW()-2),1),"")</f>
        <v/>
      </c>
      <c r="CS208" s="1620"/>
      <c r="CT208" s="1620" t="str">
        <f>IFERROR(INDEX(N_Bedarf!$CE$2:$CE$304,_xlfn.AGGREGATE(15,6,(ROW(N_Bedarf!$CE$2:$CE$304)-1)/(--(SEARCH(CU$2,N_Bedarf!$CE$2:$CE$304)&gt;0)),ROW()-2),1),"")</f>
        <v/>
      </c>
      <c r="CU208" s="1620"/>
      <c r="CV208" s="1620" t="str">
        <f>IFERROR(INDEX(N_Bedarf!$CE$2:$CE$304,_xlfn.AGGREGATE(15,6,(ROW(N_Bedarf!$CE$2:$CE$304)-1)/(--(SEARCH(CW$2,N_Bedarf!$CE$2:$CE$304)&gt;0)),ROW()-2),1),"")</f>
        <v/>
      </c>
      <c r="CW208" s="1620"/>
      <c r="CX208" s="1620" t="str">
        <f>IFERROR(INDEX(N_Bedarf!$CE$2:$CE$304,_xlfn.AGGREGATE(15,6,(ROW(N_Bedarf!$CE$2:$CE$304)-1)/(--(SEARCH(CY$2,N_Bedarf!$CE$2:$CE$304)&gt;0)),ROW()-2),1),"")</f>
        <v/>
      </c>
      <c r="CY208" s="1620"/>
      <c r="CZ208" s="1620" t="str">
        <f>IFERROR(INDEX(N_Bedarf!$CE$2:$CE$304,_xlfn.AGGREGATE(15,6,(ROW(N_Bedarf!$CE$2:$CE$304)-1)/(--(SEARCH(DA$2,N_Bedarf!$CE$2:$CE$304)&gt;0)),ROW()-2),1),"")</f>
        <v/>
      </c>
      <c r="DA208" s="1620"/>
      <c r="DB208" s="1620" t="str">
        <f>IFERROR(INDEX(N_Bedarf!$CE$2:$CE$304,_xlfn.AGGREGATE(15,6,(ROW(N_Bedarf!$CE$2:$CE$304)-1)/(--(SEARCH(DC$2,N_Bedarf!$CE$2:$CE$304)&gt;0)),ROW()-2),1),"")</f>
        <v/>
      </c>
      <c r="DC208" s="1620"/>
      <c r="DD208" s="1620" t="str">
        <f>IFERROR(INDEX(N_Bedarf!$CE$2:$CE$304,_xlfn.AGGREGATE(15,6,(ROW(N_Bedarf!$CE$2:$CE$304)-1)/(--(SEARCH(DE$2,N_Bedarf!$CE$2:$CE$304)&gt;0)),ROW()-2),1),"")</f>
        <v/>
      </c>
      <c r="DE208" s="1620"/>
      <c r="ES208" s="768"/>
      <c r="ET208" s="768"/>
      <c r="EU208" s="768"/>
      <c r="EV208" s="768"/>
      <c r="EW208" s="768"/>
    </row>
    <row r="209" spans="3:153" s="394" customFormat="1" ht="49.5" customHeight="1">
      <c r="C209" s="1790" t="s">
        <v>76</v>
      </c>
      <c r="D209" s="1759" t="s">
        <v>714</v>
      </c>
      <c r="E209" s="1729">
        <v>70</v>
      </c>
      <c r="F209" s="1760">
        <v>60</v>
      </c>
      <c r="G209" s="1993" t="s">
        <v>714</v>
      </c>
      <c r="H209" s="1994">
        <v>70</v>
      </c>
      <c r="I209" s="1995">
        <v>60</v>
      </c>
      <c r="J209" s="1759" t="s">
        <v>714</v>
      </c>
      <c r="K209" s="1729">
        <v>70</v>
      </c>
      <c r="L209" s="1760">
        <v>60</v>
      </c>
      <c r="M209" s="1"/>
      <c r="N209" s="1"/>
      <c r="O209" s="1"/>
      <c r="P209" s="1"/>
      <c r="Q209" s="1"/>
      <c r="R209" s="1"/>
      <c r="S209" s="1759">
        <v>90</v>
      </c>
      <c r="T209" s="1729">
        <v>90</v>
      </c>
      <c r="U209" s="1760">
        <v>90</v>
      </c>
      <c r="V209" s="1759">
        <v>75</v>
      </c>
      <c r="W209" s="1729">
        <v>75</v>
      </c>
      <c r="X209" s="1760">
        <v>75</v>
      </c>
      <c r="Y209" s="2009">
        <v>60</v>
      </c>
      <c r="Z209" s="2010">
        <v>60</v>
      </c>
      <c r="AA209" s="2011">
        <v>60</v>
      </c>
      <c r="AB209" s="1871" t="s">
        <v>1388</v>
      </c>
      <c r="AC209" s="1737" t="s">
        <v>1389</v>
      </c>
      <c r="AD209" s="1762"/>
      <c r="AE209" s="1729"/>
      <c r="AF209" s="1760"/>
      <c r="AG209" s="1759"/>
      <c r="AH209" s="1729"/>
      <c r="AI209" s="1760"/>
      <c r="AJ209" s="2009"/>
      <c r="AK209" s="2010"/>
      <c r="AL209" s="2011"/>
      <c r="AM209" s="1871" t="s">
        <v>1764</v>
      </c>
      <c r="AN209" s="1763" t="s">
        <v>1764</v>
      </c>
      <c r="AR209" s="156"/>
      <c r="AS209" s="156"/>
      <c r="AT209" s="156"/>
      <c r="AU209" s="397"/>
      <c r="AV209" s="396"/>
      <c r="AW209" s="396"/>
      <c r="AX209" s="1669"/>
      <c r="AY209" s="3"/>
      <c r="AZ209" s="3"/>
      <c r="BA209" s="3"/>
      <c r="BB209" s="3"/>
      <c r="BC209" s="3"/>
      <c r="BD209" s="3"/>
      <c r="BE209" s="3"/>
      <c r="BF209" s="3"/>
      <c r="BG209" s="3"/>
      <c r="BH209" s="3"/>
      <c r="BI209" s="3"/>
      <c r="BJ209" s="3"/>
      <c r="BK209" s="3"/>
      <c r="BL209" s="3"/>
      <c r="BM209" s="3"/>
      <c r="BN209" s="263"/>
      <c r="BO209" s="3"/>
      <c r="BQ209" s="1669"/>
      <c r="BR209" s="397"/>
      <c r="BS209" s="397"/>
      <c r="BT209" s="397"/>
      <c r="BV209" s="1669"/>
      <c r="BW209" s="397"/>
      <c r="BX209" s="397"/>
      <c r="BY209" s="397"/>
      <c r="BZ209" s="1751"/>
      <c r="CE209" s="1669"/>
      <c r="CF209" s="1620" t="str">
        <f>IFERROR(INDEX(N_Bedarf!$CE$2:$CE$304,_xlfn.AGGREGATE(15,6,(ROW(N_Bedarf!$CE$2:$CE$304)-1)/(--(SEARCH(CG$2,N_Bedarf!$CE$2:$CE$304)&gt;0)),ROW()-2),1),"")</f>
        <v/>
      </c>
      <c r="CG209" s="1620"/>
      <c r="CH209" s="1620" t="str">
        <f>IFERROR(INDEX(N_Bedarf!$CE$2:$CE$304,_xlfn.AGGREGATE(15,6,(ROW(N_Bedarf!$CE$2:$CE$304)-1)/(--(SEARCH(CI$2,N_Bedarf!$CE$2:$CE$304)&gt;0)),ROW()-2),1),"")</f>
        <v/>
      </c>
      <c r="CI209" s="1620"/>
      <c r="CJ209" s="1620" t="str">
        <f>IFERROR(INDEX(N_Bedarf!$CE$2:$CE$304,_xlfn.AGGREGATE(15,6,(ROW(N_Bedarf!$CE$2:$CE$304)-1)/(--(SEARCH(CK$2,N_Bedarf!$CE$2:$CE$304)&gt;0)),ROW()-2),1),"")</f>
        <v/>
      </c>
      <c r="CK209" s="1620"/>
      <c r="CL209" s="1620" t="str">
        <f>IFERROR(INDEX(N_Bedarf!$CE$2:$CE$304,_xlfn.AGGREGATE(15,6,(ROW(N_Bedarf!$CE$2:$CE$304)-1)/(--(SEARCH(CM$2,N_Bedarf!$CE$2:$CE$304)&gt;0)),ROW()-2),1),"")</f>
        <v/>
      </c>
      <c r="CM209" s="1620"/>
      <c r="CN209" s="1620" t="str">
        <f>IFERROR(INDEX(N_Bedarf!$CE$2:$CE$304,_xlfn.AGGREGATE(15,6,(ROW(N_Bedarf!$CE$2:$CE$304)-1)/(--(SEARCH(CO$2,N_Bedarf!$CE$2:$CE$304)&gt;0)),ROW()-2),1),"")</f>
        <v/>
      </c>
      <c r="CO209" s="1620"/>
      <c r="CP209" s="1620" t="str">
        <f>IFERROR(INDEX(N_Bedarf!$CE$2:$CE$304,_xlfn.AGGREGATE(15,6,(ROW(N_Bedarf!$CE$2:$CE$304)-1)/(--(SEARCH(CQ$2,N_Bedarf!$CE$2:$CE$304)&gt;0)),ROW()-2),1),"")</f>
        <v/>
      </c>
      <c r="CQ209" s="1620"/>
      <c r="CR209" s="1620" t="str">
        <f>IFERROR(INDEX(N_Bedarf!$CE$2:$CE$304,_xlfn.AGGREGATE(15,6,(ROW(N_Bedarf!$CE$2:$CE$304)-1)/(--(SEARCH(CS$2,N_Bedarf!$CE$2:$CE$304)&gt;0)),ROW()-2),1),"")</f>
        <v/>
      </c>
      <c r="CS209" s="1620"/>
      <c r="CT209" s="1620" t="str">
        <f>IFERROR(INDEX(N_Bedarf!$CE$2:$CE$304,_xlfn.AGGREGATE(15,6,(ROW(N_Bedarf!$CE$2:$CE$304)-1)/(--(SEARCH(CU$2,N_Bedarf!$CE$2:$CE$304)&gt;0)),ROW()-2),1),"")</f>
        <v/>
      </c>
      <c r="CU209" s="1620"/>
      <c r="CV209" s="1620" t="str">
        <f>IFERROR(INDEX(N_Bedarf!$CE$2:$CE$304,_xlfn.AGGREGATE(15,6,(ROW(N_Bedarf!$CE$2:$CE$304)-1)/(--(SEARCH(CW$2,N_Bedarf!$CE$2:$CE$304)&gt;0)),ROW()-2),1),"")</f>
        <v/>
      </c>
      <c r="CW209" s="1620"/>
      <c r="CX209" s="1620" t="str">
        <f>IFERROR(INDEX(N_Bedarf!$CE$2:$CE$304,_xlfn.AGGREGATE(15,6,(ROW(N_Bedarf!$CE$2:$CE$304)-1)/(--(SEARCH(CY$2,N_Bedarf!$CE$2:$CE$304)&gt;0)),ROW()-2),1),"")</f>
        <v/>
      </c>
      <c r="CY209" s="1620"/>
      <c r="CZ209" s="1620" t="str">
        <f>IFERROR(INDEX(N_Bedarf!$CE$2:$CE$304,_xlfn.AGGREGATE(15,6,(ROW(N_Bedarf!$CE$2:$CE$304)-1)/(--(SEARCH(DA$2,N_Bedarf!$CE$2:$CE$304)&gt;0)),ROW()-2),1),"")</f>
        <v/>
      </c>
      <c r="DA209" s="1620"/>
      <c r="DB209" s="1620" t="str">
        <f>IFERROR(INDEX(N_Bedarf!$CE$2:$CE$304,_xlfn.AGGREGATE(15,6,(ROW(N_Bedarf!$CE$2:$CE$304)-1)/(--(SEARCH(DC$2,N_Bedarf!$CE$2:$CE$304)&gt;0)),ROW()-2),1),"")</f>
        <v/>
      </c>
      <c r="DC209" s="1620"/>
      <c r="DD209" s="1620" t="str">
        <f>IFERROR(INDEX(N_Bedarf!$CE$2:$CE$304,_xlfn.AGGREGATE(15,6,(ROW(N_Bedarf!$CE$2:$CE$304)-1)/(--(SEARCH(DE$2,N_Bedarf!$CE$2:$CE$304)&gt;0)),ROW()-2),1),"")</f>
        <v/>
      </c>
      <c r="DE209" s="1620"/>
      <c r="ES209" s="768"/>
      <c r="ET209" s="768"/>
      <c r="EU209" s="768"/>
      <c r="EV209" s="768"/>
      <c r="EW209" s="768"/>
    </row>
    <row r="210" spans="3:153" s="394" customFormat="1" ht="21" customHeight="1">
      <c r="C210" s="1790" t="s">
        <v>77</v>
      </c>
      <c r="D210" s="1759" t="s">
        <v>714</v>
      </c>
      <c r="E210" s="1729">
        <v>180</v>
      </c>
      <c r="F210" s="1760">
        <v>155</v>
      </c>
      <c r="G210" s="1993" t="s">
        <v>714</v>
      </c>
      <c r="H210" s="1994">
        <v>180</v>
      </c>
      <c r="I210" s="1995">
        <v>155</v>
      </c>
      <c r="J210" s="1759" t="s">
        <v>714</v>
      </c>
      <c r="K210" s="1729">
        <v>180</v>
      </c>
      <c r="L210" s="1760">
        <v>155</v>
      </c>
      <c r="M210" s="1"/>
      <c r="N210" s="1"/>
      <c r="O210" s="1"/>
      <c r="P210" s="1"/>
      <c r="Q210" s="1"/>
      <c r="R210" s="1"/>
      <c r="S210" s="1759">
        <v>90</v>
      </c>
      <c r="T210" s="1729">
        <v>90</v>
      </c>
      <c r="U210" s="1760">
        <v>90</v>
      </c>
      <c r="V210" s="1759">
        <v>75</v>
      </c>
      <c r="W210" s="1729">
        <v>75</v>
      </c>
      <c r="X210" s="1760">
        <v>75</v>
      </c>
      <c r="Y210" s="2009">
        <v>60</v>
      </c>
      <c r="Z210" s="2010">
        <v>60</v>
      </c>
      <c r="AA210" s="2011">
        <v>60</v>
      </c>
      <c r="AB210" s="1871" t="s">
        <v>1388</v>
      </c>
      <c r="AC210" s="1737" t="s">
        <v>1389</v>
      </c>
      <c r="AD210" s="1762"/>
      <c r="AE210" s="1729"/>
      <c r="AF210" s="1760"/>
      <c r="AG210" s="1759"/>
      <c r="AH210" s="1729"/>
      <c r="AI210" s="1760"/>
      <c r="AJ210" s="2009"/>
      <c r="AK210" s="2010"/>
      <c r="AL210" s="2011"/>
      <c r="AM210" s="1871" t="s">
        <v>1764</v>
      </c>
      <c r="AN210" s="1763" t="s">
        <v>1764</v>
      </c>
      <c r="AR210" s="156"/>
      <c r="AS210" s="156"/>
      <c r="AT210" s="156"/>
      <c r="AU210" s="397"/>
      <c r="AV210" s="396"/>
      <c r="AW210" s="396"/>
      <c r="AX210" s="1669"/>
      <c r="AY210" s="3"/>
      <c r="AZ210" s="3"/>
      <c r="BA210" s="3"/>
      <c r="BB210" s="3"/>
      <c r="BC210" s="3"/>
      <c r="BD210" s="3"/>
      <c r="BE210" s="3"/>
      <c r="BF210" s="3"/>
      <c r="BG210" s="3"/>
      <c r="BH210" s="3"/>
      <c r="BI210" s="3"/>
      <c r="BJ210" s="3"/>
      <c r="BK210" s="3"/>
      <c r="BL210" s="3"/>
      <c r="BM210" s="3"/>
      <c r="BN210" s="263"/>
      <c r="BO210" s="3"/>
      <c r="BQ210" s="1669"/>
      <c r="BR210" s="397"/>
      <c r="BS210" s="397"/>
      <c r="BT210" s="397"/>
      <c r="BV210" s="1669"/>
      <c r="BW210" s="397"/>
      <c r="BX210" s="397"/>
      <c r="BY210" s="397"/>
      <c r="BZ210" s="1751"/>
      <c r="CE210" s="1669"/>
      <c r="CF210" s="1620" t="str">
        <f>IFERROR(INDEX(N_Bedarf!$CE$2:$CE$304,_xlfn.AGGREGATE(15,6,(ROW(N_Bedarf!$CE$2:$CE$304)-1)/(--(SEARCH(CG$2,N_Bedarf!$CE$2:$CE$304)&gt;0)),ROW()-2),1),"")</f>
        <v/>
      </c>
      <c r="CG210" s="1620"/>
      <c r="CH210" s="1620" t="str">
        <f>IFERROR(INDEX(N_Bedarf!$CE$2:$CE$304,_xlfn.AGGREGATE(15,6,(ROW(N_Bedarf!$CE$2:$CE$304)-1)/(--(SEARCH(CI$2,N_Bedarf!$CE$2:$CE$304)&gt;0)),ROW()-2),1),"")</f>
        <v/>
      </c>
      <c r="CI210" s="1620"/>
      <c r="CJ210" s="1620" t="str">
        <f>IFERROR(INDEX(N_Bedarf!$CE$2:$CE$304,_xlfn.AGGREGATE(15,6,(ROW(N_Bedarf!$CE$2:$CE$304)-1)/(--(SEARCH(CK$2,N_Bedarf!$CE$2:$CE$304)&gt;0)),ROW()-2),1),"")</f>
        <v/>
      </c>
      <c r="CK210" s="1620"/>
      <c r="CL210" s="1620" t="str">
        <f>IFERROR(INDEX(N_Bedarf!$CE$2:$CE$304,_xlfn.AGGREGATE(15,6,(ROW(N_Bedarf!$CE$2:$CE$304)-1)/(--(SEARCH(CM$2,N_Bedarf!$CE$2:$CE$304)&gt;0)),ROW()-2),1),"")</f>
        <v/>
      </c>
      <c r="CM210" s="1620"/>
      <c r="CN210" s="1620" t="str">
        <f>IFERROR(INDEX(N_Bedarf!$CE$2:$CE$304,_xlfn.AGGREGATE(15,6,(ROW(N_Bedarf!$CE$2:$CE$304)-1)/(--(SEARCH(CO$2,N_Bedarf!$CE$2:$CE$304)&gt;0)),ROW()-2),1),"")</f>
        <v/>
      </c>
      <c r="CO210" s="1620"/>
      <c r="CP210" s="1620" t="str">
        <f>IFERROR(INDEX(N_Bedarf!$CE$2:$CE$304,_xlfn.AGGREGATE(15,6,(ROW(N_Bedarf!$CE$2:$CE$304)-1)/(--(SEARCH(CQ$2,N_Bedarf!$CE$2:$CE$304)&gt;0)),ROW()-2),1),"")</f>
        <v/>
      </c>
      <c r="CQ210" s="1620"/>
      <c r="CR210" s="1620" t="str">
        <f>IFERROR(INDEX(N_Bedarf!$CE$2:$CE$304,_xlfn.AGGREGATE(15,6,(ROW(N_Bedarf!$CE$2:$CE$304)-1)/(--(SEARCH(CS$2,N_Bedarf!$CE$2:$CE$304)&gt;0)),ROW()-2),1),"")</f>
        <v/>
      </c>
      <c r="CS210" s="1620"/>
      <c r="CT210" s="1620" t="str">
        <f>IFERROR(INDEX(N_Bedarf!$CE$2:$CE$304,_xlfn.AGGREGATE(15,6,(ROW(N_Bedarf!$CE$2:$CE$304)-1)/(--(SEARCH(CU$2,N_Bedarf!$CE$2:$CE$304)&gt;0)),ROW()-2),1),"")</f>
        <v/>
      </c>
      <c r="CU210" s="1620"/>
      <c r="CV210" s="1620" t="str">
        <f>IFERROR(INDEX(N_Bedarf!$CE$2:$CE$304,_xlfn.AGGREGATE(15,6,(ROW(N_Bedarf!$CE$2:$CE$304)-1)/(--(SEARCH(CW$2,N_Bedarf!$CE$2:$CE$304)&gt;0)),ROW()-2),1),"")</f>
        <v/>
      </c>
      <c r="CW210" s="1620"/>
      <c r="CX210" s="1620" t="str">
        <f>IFERROR(INDEX(N_Bedarf!$CE$2:$CE$304,_xlfn.AGGREGATE(15,6,(ROW(N_Bedarf!$CE$2:$CE$304)-1)/(--(SEARCH(CY$2,N_Bedarf!$CE$2:$CE$304)&gt;0)),ROW()-2),1),"")</f>
        <v/>
      </c>
      <c r="CY210" s="1620"/>
      <c r="CZ210" s="1620" t="str">
        <f>IFERROR(INDEX(N_Bedarf!$CE$2:$CE$304,_xlfn.AGGREGATE(15,6,(ROW(N_Bedarf!$CE$2:$CE$304)-1)/(--(SEARCH(DA$2,N_Bedarf!$CE$2:$CE$304)&gt;0)),ROW()-2),1),"")</f>
        <v/>
      </c>
      <c r="DA210" s="1620"/>
      <c r="DB210" s="1620" t="str">
        <f>IFERROR(INDEX(N_Bedarf!$CE$2:$CE$304,_xlfn.AGGREGATE(15,6,(ROW(N_Bedarf!$CE$2:$CE$304)-1)/(--(SEARCH(DC$2,N_Bedarf!$CE$2:$CE$304)&gt;0)),ROW()-2),1),"")</f>
        <v/>
      </c>
      <c r="DC210" s="1620"/>
      <c r="DD210" s="1620" t="str">
        <f>IFERROR(INDEX(N_Bedarf!$CE$2:$CE$304,_xlfn.AGGREGATE(15,6,(ROW(N_Bedarf!$CE$2:$CE$304)-1)/(--(SEARCH(DE$2,N_Bedarf!$CE$2:$CE$304)&gt;0)),ROW()-2),1),"")</f>
        <v/>
      </c>
      <c r="DE210" s="1620"/>
      <c r="ES210" s="768"/>
      <c r="ET210" s="768"/>
      <c r="EU210" s="768"/>
      <c r="EV210" s="768"/>
      <c r="EW210" s="768"/>
    </row>
    <row r="211" spans="3:153" s="394" customFormat="1" ht="21" customHeight="1">
      <c r="C211" s="1790" t="s">
        <v>78</v>
      </c>
      <c r="D211" s="1759" t="s">
        <v>714</v>
      </c>
      <c r="E211" s="1729">
        <v>120</v>
      </c>
      <c r="F211" s="1760">
        <v>100</v>
      </c>
      <c r="G211" s="1993" t="s">
        <v>714</v>
      </c>
      <c r="H211" s="1994">
        <v>120</v>
      </c>
      <c r="I211" s="1995">
        <v>100</v>
      </c>
      <c r="J211" s="1759" t="s">
        <v>714</v>
      </c>
      <c r="K211" s="1729">
        <v>120</v>
      </c>
      <c r="L211" s="1760">
        <v>100</v>
      </c>
      <c r="M211" s="1"/>
      <c r="N211" s="1"/>
      <c r="O211" s="1"/>
      <c r="P211" s="1"/>
      <c r="Q211" s="1"/>
      <c r="R211" s="1"/>
      <c r="S211" s="1759">
        <v>75</v>
      </c>
      <c r="T211" s="1729">
        <v>75</v>
      </c>
      <c r="U211" s="1760">
        <v>75</v>
      </c>
      <c r="V211" s="1759">
        <v>65</v>
      </c>
      <c r="W211" s="1729">
        <v>65</v>
      </c>
      <c r="X211" s="1760">
        <v>65</v>
      </c>
      <c r="Y211" s="2009">
        <v>50</v>
      </c>
      <c r="Z211" s="2010">
        <v>50</v>
      </c>
      <c r="AA211" s="2011">
        <v>50</v>
      </c>
      <c r="AB211" s="1871" t="s">
        <v>1388</v>
      </c>
      <c r="AC211" s="1737" t="s">
        <v>1389</v>
      </c>
      <c r="AD211" s="1762"/>
      <c r="AE211" s="1729"/>
      <c r="AF211" s="1760"/>
      <c r="AG211" s="1759"/>
      <c r="AH211" s="1729"/>
      <c r="AI211" s="1760"/>
      <c r="AJ211" s="2009"/>
      <c r="AK211" s="2010"/>
      <c r="AL211" s="2011"/>
      <c r="AM211" s="1871" t="s">
        <v>1764</v>
      </c>
      <c r="AN211" s="1763" t="s">
        <v>1764</v>
      </c>
      <c r="AR211" s="156"/>
      <c r="AS211" s="156"/>
      <c r="AT211" s="156"/>
      <c r="AU211" s="397"/>
      <c r="AV211" s="396"/>
      <c r="AW211" s="396"/>
      <c r="AX211" s="1669"/>
      <c r="AY211" s="3"/>
      <c r="AZ211" s="3"/>
      <c r="BA211" s="3"/>
      <c r="BB211" s="3"/>
      <c r="BC211" s="3"/>
      <c r="BD211" s="3"/>
      <c r="BE211" s="3"/>
      <c r="BF211" s="3"/>
      <c r="BG211" s="3"/>
      <c r="BH211" s="3"/>
      <c r="BI211" s="3"/>
      <c r="BJ211" s="3"/>
      <c r="BK211" s="3"/>
      <c r="BL211" s="3"/>
      <c r="BM211" s="3"/>
      <c r="BN211" s="263"/>
      <c r="BO211" s="3"/>
      <c r="BQ211" s="1669"/>
      <c r="BR211" s="397"/>
      <c r="BS211" s="397"/>
      <c r="BT211" s="397"/>
      <c r="BV211" s="1669"/>
      <c r="BW211" s="397"/>
      <c r="BX211" s="397"/>
      <c r="BY211" s="397"/>
      <c r="BZ211" s="1751"/>
      <c r="CE211" s="1669"/>
      <c r="CF211" s="1620" t="str">
        <f>IFERROR(INDEX(N_Bedarf!$CE$2:$CE$304,_xlfn.AGGREGATE(15,6,(ROW(N_Bedarf!$CE$2:$CE$304)-1)/(--(SEARCH(CG$2,N_Bedarf!$CE$2:$CE$304)&gt;0)),ROW()-2),1),"")</f>
        <v/>
      </c>
      <c r="CG211" s="1620"/>
      <c r="CH211" s="1620" t="str">
        <f>IFERROR(INDEX(N_Bedarf!$CE$2:$CE$304,_xlfn.AGGREGATE(15,6,(ROW(N_Bedarf!$CE$2:$CE$304)-1)/(--(SEARCH(CI$2,N_Bedarf!$CE$2:$CE$304)&gt;0)),ROW()-2),1),"")</f>
        <v/>
      </c>
      <c r="CI211" s="1620"/>
      <c r="CJ211" s="1620" t="str">
        <f>IFERROR(INDEX(N_Bedarf!$CE$2:$CE$304,_xlfn.AGGREGATE(15,6,(ROW(N_Bedarf!$CE$2:$CE$304)-1)/(--(SEARCH(CK$2,N_Bedarf!$CE$2:$CE$304)&gt;0)),ROW()-2),1),"")</f>
        <v/>
      </c>
      <c r="CK211" s="1620"/>
      <c r="CL211" s="1620" t="str">
        <f>IFERROR(INDEX(N_Bedarf!$CE$2:$CE$304,_xlfn.AGGREGATE(15,6,(ROW(N_Bedarf!$CE$2:$CE$304)-1)/(--(SEARCH(CM$2,N_Bedarf!$CE$2:$CE$304)&gt;0)),ROW()-2),1),"")</f>
        <v/>
      </c>
      <c r="CM211" s="1620"/>
      <c r="CN211" s="1620" t="str">
        <f>IFERROR(INDEX(N_Bedarf!$CE$2:$CE$304,_xlfn.AGGREGATE(15,6,(ROW(N_Bedarf!$CE$2:$CE$304)-1)/(--(SEARCH(CO$2,N_Bedarf!$CE$2:$CE$304)&gt;0)),ROW()-2),1),"")</f>
        <v/>
      </c>
      <c r="CO211" s="1620"/>
      <c r="CP211" s="1620" t="str">
        <f>IFERROR(INDEX(N_Bedarf!$CE$2:$CE$304,_xlfn.AGGREGATE(15,6,(ROW(N_Bedarf!$CE$2:$CE$304)-1)/(--(SEARCH(CQ$2,N_Bedarf!$CE$2:$CE$304)&gt;0)),ROW()-2),1),"")</f>
        <v/>
      </c>
      <c r="CQ211" s="1620"/>
      <c r="CR211" s="1620" t="str">
        <f>IFERROR(INDEX(N_Bedarf!$CE$2:$CE$304,_xlfn.AGGREGATE(15,6,(ROW(N_Bedarf!$CE$2:$CE$304)-1)/(--(SEARCH(CS$2,N_Bedarf!$CE$2:$CE$304)&gt;0)),ROW()-2),1),"")</f>
        <v/>
      </c>
      <c r="CS211" s="1620"/>
      <c r="CT211" s="1620" t="str">
        <f>IFERROR(INDEX(N_Bedarf!$CE$2:$CE$304,_xlfn.AGGREGATE(15,6,(ROW(N_Bedarf!$CE$2:$CE$304)-1)/(--(SEARCH(CU$2,N_Bedarf!$CE$2:$CE$304)&gt;0)),ROW()-2),1),"")</f>
        <v/>
      </c>
      <c r="CU211" s="1620"/>
      <c r="CV211" s="1620" t="str">
        <f>IFERROR(INDEX(N_Bedarf!$CE$2:$CE$304,_xlfn.AGGREGATE(15,6,(ROW(N_Bedarf!$CE$2:$CE$304)-1)/(--(SEARCH(CW$2,N_Bedarf!$CE$2:$CE$304)&gt;0)),ROW()-2),1),"")</f>
        <v/>
      </c>
      <c r="CW211" s="1620"/>
      <c r="CX211" s="1620" t="str">
        <f>IFERROR(INDEX(N_Bedarf!$CE$2:$CE$304,_xlfn.AGGREGATE(15,6,(ROW(N_Bedarf!$CE$2:$CE$304)-1)/(--(SEARCH(CY$2,N_Bedarf!$CE$2:$CE$304)&gt;0)),ROW()-2),1),"")</f>
        <v/>
      </c>
      <c r="CY211" s="1620"/>
      <c r="CZ211" s="1620" t="str">
        <f>IFERROR(INDEX(N_Bedarf!$CE$2:$CE$304,_xlfn.AGGREGATE(15,6,(ROW(N_Bedarf!$CE$2:$CE$304)-1)/(--(SEARCH(DA$2,N_Bedarf!$CE$2:$CE$304)&gt;0)),ROW()-2),1),"")</f>
        <v/>
      </c>
      <c r="DA211" s="1620"/>
      <c r="DB211" s="1620" t="str">
        <f>IFERROR(INDEX(N_Bedarf!$CE$2:$CE$304,_xlfn.AGGREGATE(15,6,(ROW(N_Bedarf!$CE$2:$CE$304)-1)/(--(SEARCH(DC$2,N_Bedarf!$CE$2:$CE$304)&gt;0)),ROW()-2),1),"")</f>
        <v/>
      </c>
      <c r="DC211" s="1620"/>
      <c r="DD211" s="1620" t="str">
        <f>IFERROR(INDEX(N_Bedarf!$CE$2:$CE$304,_xlfn.AGGREGATE(15,6,(ROW(N_Bedarf!$CE$2:$CE$304)-1)/(--(SEARCH(DE$2,N_Bedarf!$CE$2:$CE$304)&gt;0)),ROW()-2),1),"")</f>
        <v/>
      </c>
      <c r="DE211" s="1620"/>
      <c r="ES211" s="768"/>
      <c r="ET211" s="768"/>
      <c r="EU211" s="768"/>
      <c r="EV211" s="768"/>
      <c r="EW211" s="768"/>
    </row>
    <row r="212" spans="3:153" s="394" customFormat="1" ht="21" customHeight="1">
      <c r="C212" s="1790" t="s">
        <v>79</v>
      </c>
      <c r="D212" s="1759" t="s">
        <v>714</v>
      </c>
      <c r="E212" s="1729">
        <v>50</v>
      </c>
      <c r="F212" s="1760">
        <v>45</v>
      </c>
      <c r="G212" s="1993" t="s">
        <v>714</v>
      </c>
      <c r="H212" s="1994">
        <v>50</v>
      </c>
      <c r="I212" s="1995">
        <v>45</v>
      </c>
      <c r="J212" s="1759" t="s">
        <v>714</v>
      </c>
      <c r="K212" s="1729">
        <v>50</v>
      </c>
      <c r="L212" s="1760">
        <v>45</v>
      </c>
      <c r="M212" s="1"/>
      <c r="N212" s="1"/>
      <c r="O212" s="1"/>
      <c r="P212" s="1"/>
      <c r="Q212" s="1"/>
      <c r="R212" s="1"/>
      <c r="S212" s="1759">
        <v>75</v>
      </c>
      <c r="T212" s="1729">
        <v>75</v>
      </c>
      <c r="U212" s="1760">
        <v>75</v>
      </c>
      <c r="V212" s="1759">
        <v>65</v>
      </c>
      <c r="W212" s="1729">
        <v>65</v>
      </c>
      <c r="X212" s="1760">
        <v>65</v>
      </c>
      <c r="Y212" s="2009">
        <v>50</v>
      </c>
      <c r="Z212" s="2010">
        <v>50</v>
      </c>
      <c r="AA212" s="2011">
        <v>50</v>
      </c>
      <c r="AB212" s="1871" t="s">
        <v>1388</v>
      </c>
      <c r="AC212" s="1737" t="s">
        <v>1389</v>
      </c>
      <c r="AD212" s="1762"/>
      <c r="AE212" s="1729"/>
      <c r="AF212" s="1760"/>
      <c r="AG212" s="1759"/>
      <c r="AH212" s="1729"/>
      <c r="AI212" s="1760"/>
      <c r="AJ212" s="2009"/>
      <c r="AK212" s="2010"/>
      <c r="AL212" s="2011"/>
      <c r="AM212" s="1871" t="s">
        <v>1764</v>
      </c>
      <c r="AN212" s="1763" t="s">
        <v>1764</v>
      </c>
      <c r="AR212" s="156"/>
      <c r="AS212" s="156"/>
      <c r="AT212" s="156"/>
      <c r="AU212" s="397"/>
      <c r="AV212" s="396"/>
      <c r="AW212" s="396"/>
      <c r="AX212" s="1669"/>
      <c r="AY212" s="3"/>
      <c r="AZ212" s="3"/>
      <c r="BA212" s="3"/>
      <c r="BB212" s="3"/>
      <c r="BC212" s="3"/>
      <c r="BD212" s="3"/>
      <c r="BE212" s="3"/>
      <c r="BF212" s="3"/>
      <c r="BG212" s="3"/>
      <c r="BH212" s="3"/>
      <c r="BI212" s="3"/>
      <c r="BJ212" s="3"/>
      <c r="BK212" s="3"/>
      <c r="BL212" s="3"/>
      <c r="BM212" s="3"/>
      <c r="BN212" s="263"/>
      <c r="BO212" s="3"/>
      <c r="BQ212" s="1669"/>
      <c r="BR212" s="397"/>
      <c r="BS212" s="397"/>
      <c r="BT212" s="397"/>
      <c r="BV212" s="1669"/>
      <c r="BW212" s="397"/>
      <c r="BX212" s="397"/>
      <c r="BY212" s="397"/>
      <c r="BZ212" s="1751"/>
      <c r="CE212" s="1669"/>
      <c r="CF212" s="1620" t="str">
        <f>IFERROR(INDEX(N_Bedarf!$CE$2:$CE$304,_xlfn.AGGREGATE(15,6,(ROW(N_Bedarf!$CE$2:$CE$304)-1)/(--(SEARCH(CG$2,N_Bedarf!$CE$2:$CE$304)&gt;0)),ROW()-2),1),"")</f>
        <v/>
      </c>
      <c r="CG212" s="1620"/>
      <c r="CH212" s="1620" t="str">
        <f>IFERROR(INDEX(N_Bedarf!$CE$2:$CE$304,_xlfn.AGGREGATE(15,6,(ROW(N_Bedarf!$CE$2:$CE$304)-1)/(--(SEARCH(CI$2,N_Bedarf!$CE$2:$CE$304)&gt;0)),ROW()-2),1),"")</f>
        <v/>
      </c>
      <c r="CI212" s="1620"/>
      <c r="CJ212" s="1620" t="str">
        <f>IFERROR(INDEX(N_Bedarf!$CE$2:$CE$304,_xlfn.AGGREGATE(15,6,(ROW(N_Bedarf!$CE$2:$CE$304)-1)/(--(SEARCH(CK$2,N_Bedarf!$CE$2:$CE$304)&gt;0)),ROW()-2),1),"")</f>
        <v/>
      </c>
      <c r="CK212" s="1620"/>
      <c r="CL212" s="1620" t="str">
        <f>IFERROR(INDEX(N_Bedarf!$CE$2:$CE$304,_xlfn.AGGREGATE(15,6,(ROW(N_Bedarf!$CE$2:$CE$304)-1)/(--(SEARCH(CM$2,N_Bedarf!$CE$2:$CE$304)&gt;0)),ROW()-2),1),"")</f>
        <v/>
      </c>
      <c r="CM212" s="1620"/>
      <c r="CN212" s="1620" t="str">
        <f>IFERROR(INDEX(N_Bedarf!$CE$2:$CE$304,_xlfn.AGGREGATE(15,6,(ROW(N_Bedarf!$CE$2:$CE$304)-1)/(--(SEARCH(CO$2,N_Bedarf!$CE$2:$CE$304)&gt;0)),ROW()-2),1),"")</f>
        <v/>
      </c>
      <c r="CO212" s="1620"/>
      <c r="CP212" s="1620" t="str">
        <f>IFERROR(INDEX(N_Bedarf!$CE$2:$CE$304,_xlfn.AGGREGATE(15,6,(ROW(N_Bedarf!$CE$2:$CE$304)-1)/(--(SEARCH(CQ$2,N_Bedarf!$CE$2:$CE$304)&gt;0)),ROW()-2),1),"")</f>
        <v/>
      </c>
      <c r="CQ212" s="1620"/>
      <c r="CR212" s="1620" t="str">
        <f>IFERROR(INDEX(N_Bedarf!$CE$2:$CE$304,_xlfn.AGGREGATE(15,6,(ROW(N_Bedarf!$CE$2:$CE$304)-1)/(--(SEARCH(CS$2,N_Bedarf!$CE$2:$CE$304)&gt;0)),ROW()-2),1),"")</f>
        <v/>
      </c>
      <c r="CS212" s="1620"/>
      <c r="CT212" s="1620" t="str">
        <f>IFERROR(INDEX(N_Bedarf!$CE$2:$CE$304,_xlfn.AGGREGATE(15,6,(ROW(N_Bedarf!$CE$2:$CE$304)-1)/(--(SEARCH(CU$2,N_Bedarf!$CE$2:$CE$304)&gt;0)),ROW()-2),1),"")</f>
        <v/>
      </c>
      <c r="CU212" s="1620"/>
      <c r="CV212" s="1620" t="str">
        <f>IFERROR(INDEX(N_Bedarf!$CE$2:$CE$304,_xlfn.AGGREGATE(15,6,(ROW(N_Bedarf!$CE$2:$CE$304)-1)/(--(SEARCH(CW$2,N_Bedarf!$CE$2:$CE$304)&gt;0)),ROW()-2),1),"")</f>
        <v/>
      </c>
      <c r="CW212" s="1620"/>
      <c r="CX212" s="1620" t="str">
        <f>IFERROR(INDEX(N_Bedarf!$CE$2:$CE$304,_xlfn.AGGREGATE(15,6,(ROW(N_Bedarf!$CE$2:$CE$304)-1)/(--(SEARCH(CY$2,N_Bedarf!$CE$2:$CE$304)&gt;0)),ROW()-2),1),"")</f>
        <v/>
      </c>
      <c r="CY212" s="1620"/>
      <c r="CZ212" s="1620" t="str">
        <f>IFERROR(INDEX(N_Bedarf!$CE$2:$CE$304,_xlfn.AGGREGATE(15,6,(ROW(N_Bedarf!$CE$2:$CE$304)-1)/(--(SEARCH(DA$2,N_Bedarf!$CE$2:$CE$304)&gt;0)),ROW()-2),1),"")</f>
        <v/>
      </c>
      <c r="DA212" s="1620"/>
      <c r="DB212" s="1620" t="str">
        <f>IFERROR(INDEX(N_Bedarf!$CE$2:$CE$304,_xlfn.AGGREGATE(15,6,(ROW(N_Bedarf!$CE$2:$CE$304)-1)/(--(SEARCH(DC$2,N_Bedarf!$CE$2:$CE$304)&gt;0)),ROW()-2),1),"")</f>
        <v/>
      </c>
      <c r="DC212" s="1620"/>
      <c r="DD212" s="1620" t="str">
        <f>IFERROR(INDEX(N_Bedarf!$CE$2:$CE$304,_xlfn.AGGREGATE(15,6,(ROW(N_Bedarf!$CE$2:$CE$304)-1)/(--(SEARCH(DE$2,N_Bedarf!$CE$2:$CE$304)&gt;0)),ROW()-2),1),"")</f>
        <v/>
      </c>
      <c r="DE212" s="1620"/>
      <c r="ES212" s="768"/>
      <c r="ET212" s="768"/>
      <c r="EU212" s="768"/>
      <c r="EV212" s="768"/>
      <c r="EW212" s="768"/>
    </row>
    <row r="213" spans="3:153" s="394" customFormat="1" ht="21" customHeight="1">
      <c r="C213" s="1790" t="s">
        <v>80</v>
      </c>
      <c r="D213" s="1759" t="s">
        <v>714</v>
      </c>
      <c r="E213" s="1729">
        <v>80</v>
      </c>
      <c r="F213" s="1760">
        <v>70</v>
      </c>
      <c r="G213" s="1993" t="s">
        <v>714</v>
      </c>
      <c r="H213" s="1994">
        <v>80</v>
      </c>
      <c r="I213" s="1995">
        <v>70</v>
      </c>
      <c r="J213" s="1759" t="s">
        <v>714</v>
      </c>
      <c r="K213" s="1729">
        <v>80</v>
      </c>
      <c r="L213" s="1760">
        <v>70</v>
      </c>
      <c r="M213" s="1"/>
      <c r="N213" s="1"/>
      <c r="O213" s="1"/>
      <c r="P213" s="1"/>
      <c r="Q213" s="1"/>
      <c r="R213" s="1"/>
      <c r="S213" s="1759">
        <v>75</v>
      </c>
      <c r="T213" s="1729">
        <v>75</v>
      </c>
      <c r="U213" s="1760">
        <v>75</v>
      </c>
      <c r="V213" s="1759">
        <v>65</v>
      </c>
      <c r="W213" s="1729">
        <v>65</v>
      </c>
      <c r="X213" s="1760">
        <v>65</v>
      </c>
      <c r="Y213" s="2009">
        <v>50</v>
      </c>
      <c r="Z213" s="2010">
        <v>50</v>
      </c>
      <c r="AA213" s="2011">
        <v>50</v>
      </c>
      <c r="AB213" s="1871" t="s">
        <v>1388</v>
      </c>
      <c r="AC213" s="1737" t="s">
        <v>1389</v>
      </c>
      <c r="AD213" s="1762">
        <v>150</v>
      </c>
      <c r="AE213" s="1729">
        <v>150</v>
      </c>
      <c r="AF213" s="1760">
        <v>150</v>
      </c>
      <c r="AG213" s="1759">
        <v>125</v>
      </c>
      <c r="AH213" s="1729">
        <v>125</v>
      </c>
      <c r="AI213" s="1760">
        <v>125</v>
      </c>
      <c r="AJ213" s="2009">
        <v>100</v>
      </c>
      <c r="AK213" s="2010">
        <v>100</v>
      </c>
      <c r="AL213" s="2011">
        <v>100</v>
      </c>
      <c r="AM213" s="1871" t="s">
        <v>1390</v>
      </c>
      <c r="AN213" s="1763" t="s">
        <v>1389</v>
      </c>
      <c r="AR213" s="156"/>
      <c r="AS213" s="156"/>
      <c r="AT213" s="156"/>
      <c r="AU213" s="397"/>
      <c r="AV213" s="396"/>
      <c r="AW213" s="396"/>
      <c r="AX213" s="1669"/>
      <c r="AY213" s="3"/>
      <c r="AZ213" s="3"/>
      <c r="BA213" s="3"/>
      <c r="BB213" s="3"/>
      <c r="BC213" s="3"/>
      <c r="BD213" s="3"/>
      <c r="BE213" s="3"/>
      <c r="BF213" s="3"/>
      <c r="BG213" s="3"/>
      <c r="BH213" s="3"/>
      <c r="BI213" s="3"/>
      <c r="BJ213" s="3"/>
      <c r="BK213" s="3"/>
      <c r="BL213" s="3"/>
      <c r="BM213" s="3"/>
      <c r="BN213" s="263"/>
      <c r="BO213" s="3"/>
      <c r="BQ213" s="1669"/>
      <c r="BR213" s="397"/>
      <c r="BS213" s="397"/>
      <c r="BT213" s="397"/>
      <c r="BV213" s="1669"/>
      <c r="BW213" s="397"/>
      <c r="BX213" s="397"/>
      <c r="BY213" s="397"/>
      <c r="BZ213" s="1751"/>
      <c r="CE213" s="1669"/>
      <c r="CF213" s="1620" t="str">
        <f>IFERROR(INDEX(N_Bedarf!$CE$2:$CE$304,_xlfn.AGGREGATE(15,6,(ROW(N_Bedarf!$CE$2:$CE$304)-1)/(--(SEARCH(CG$2,N_Bedarf!$CE$2:$CE$304)&gt;0)),ROW()-2),1),"")</f>
        <v/>
      </c>
      <c r="CG213" s="1620"/>
      <c r="CH213" s="1620" t="str">
        <f>IFERROR(INDEX(N_Bedarf!$CE$2:$CE$304,_xlfn.AGGREGATE(15,6,(ROW(N_Bedarf!$CE$2:$CE$304)-1)/(--(SEARCH(CI$2,N_Bedarf!$CE$2:$CE$304)&gt;0)),ROW()-2),1),"")</f>
        <v/>
      </c>
      <c r="CI213" s="1620"/>
      <c r="CJ213" s="1620" t="str">
        <f>IFERROR(INDEX(N_Bedarf!$CE$2:$CE$304,_xlfn.AGGREGATE(15,6,(ROW(N_Bedarf!$CE$2:$CE$304)-1)/(--(SEARCH(CK$2,N_Bedarf!$CE$2:$CE$304)&gt;0)),ROW()-2),1),"")</f>
        <v/>
      </c>
      <c r="CK213" s="1620"/>
      <c r="CL213" s="1620" t="str">
        <f>IFERROR(INDEX(N_Bedarf!$CE$2:$CE$304,_xlfn.AGGREGATE(15,6,(ROW(N_Bedarf!$CE$2:$CE$304)-1)/(--(SEARCH(CM$2,N_Bedarf!$CE$2:$CE$304)&gt;0)),ROW()-2),1),"")</f>
        <v/>
      </c>
      <c r="CM213" s="1620"/>
      <c r="CN213" s="1620" t="str">
        <f>IFERROR(INDEX(N_Bedarf!$CE$2:$CE$304,_xlfn.AGGREGATE(15,6,(ROW(N_Bedarf!$CE$2:$CE$304)-1)/(--(SEARCH(CO$2,N_Bedarf!$CE$2:$CE$304)&gt;0)),ROW()-2),1),"")</f>
        <v/>
      </c>
      <c r="CO213" s="1620"/>
      <c r="CP213" s="1620" t="str">
        <f>IFERROR(INDEX(N_Bedarf!$CE$2:$CE$304,_xlfn.AGGREGATE(15,6,(ROW(N_Bedarf!$CE$2:$CE$304)-1)/(--(SEARCH(CQ$2,N_Bedarf!$CE$2:$CE$304)&gt;0)),ROW()-2),1),"")</f>
        <v/>
      </c>
      <c r="CQ213" s="1620"/>
      <c r="CR213" s="1620" t="str">
        <f>IFERROR(INDEX(N_Bedarf!$CE$2:$CE$304,_xlfn.AGGREGATE(15,6,(ROW(N_Bedarf!$CE$2:$CE$304)-1)/(--(SEARCH(CS$2,N_Bedarf!$CE$2:$CE$304)&gt;0)),ROW()-2),1),"")</f>
        <v/>
      </c>
      <c r="CS213" s="1620"/>
      <c r="CT213" s="1620" t="str">
        <f>IFERROR(INDEX(N_Bedarf!$CE$2:$CE$304,_xlfn.AGGREGATE(15,6,(ROW(N_Bedarf!$CE$2:$CE$304)-1)/(--(SEARCH(CU$2,N_Bedarf!$CE$2:$CE$304)&gt;0)),ROW()-2),1),"")</f>
        <v/>
      </c>
      <c r="CU213" s="1620"/>
      <c r="CV213" s="1620" t="str">
        <f>IFERROR(INDEX(N_Bedarf!$CE$2:$CE$304,_xlfn.AGGREGATE(15,6,(ROW(N_Bedarf!$CE$2:$CE$304)-1)/(--(SEARCH(CW$2,N_Bedarf!$CE$2:$CE$304)&gt;0)),ROW()-2),1),"")</f>
        <v/>
      </c>
      <c r="CW213" s="1620"/>
      <c r="CX213" s="1620" t="str">
        <f>IFERROR(INDEX(N_Bedarf!$CE$2:$CE$304,_xlfn.AGGREGATE(15,6,(ROW(N_Bedarf!$CE$2:$CE$304)-1)/(--(SEARCH(CY$2,N_Bedarf!$CE$2:$CE$304)&gt;0)),ROW()-2),1),"")</f>
        <v/>
      </c>
      <c r="CY213" s="1620"/>
      <c r="CZ213" s="1620" t="str">
        <f>IFERROR(INDEX(N_Bedarf!$CE$2:$CE$304,_xlfn.AGGREGATE(15,6,(ROW(N_Bedarf!$CE$2:$CE$304)-1)/(--(SEARCH(DA$2,N_Bedarf!$CE$2:$CE$304)&gt;0)),ROW()-2),1),"")</f>
        <v/>
      </c>
      <c r="DA213" s="1620"/>
      <c r="DB213" s="1620" t="str">
        <f>IFERROR(INDEX(N_Bedarf!$CE$2:$CE$304,_xlfn.AGGREGATE(15,6,(ROW(N_Bedarf!$CE$2:$CE$304)-1)/(--(SEARCH(DC$2,N_Bedarf!$CE$2:$CE$304)&gt;0)),ROW()-2),1),"")</f>
        <v/>
      </c>
      <c r="DC213" s="1620"/>
      <c r="DD213" s="1620" t="str">
        <f>IFERROR(INDEX(N_Bedarf!$CE$2:$CE$304,_xlfn.AGGREGATE(15,6,(ROW(N_Bedarf!$CE$2:$CE$304)-1)/(--(SEARCH(DE$2,N_Bedarf!$CE$2:$CE$304)&gt;0)),ROW()-2),1),"")</f>
        <v/>
      </c>
      <c r="DE213" s="1620"/>
      <c r="ES213" s="768"/>
      <c r="ET213" s="768"/>
      <c r="EU213" s="768"/>
      <c r="EV213" s="768"/>
      <c r="EW213" s="768"/>
    </row>
    <row r="214" spans="3:153" s="394" customFormat="1" ht="21" customHeight="1">
      <c r="C214" s="1790" t="s">
        <v>81</v>
      </c>
      <c r="D214" s="1759" t="s">
        <v>714</v>
      </c>
      <c r="E214" s="1729">
        <v>60</v>
      </c>
      <c r="F214" s="1760">
        <v>50</v>
      </c>
      <c r="G214" s="1993" t="s">
        <v>714</v>
      </c>
      <c r="H214" s="1994">
        <v>60</v>
      </c>
      <c r="I214" s="1995">
        <v>50</v>
      </c>
      <c r="J214" s="1759" t="s">
        <v>714</v>
      </c>
      <c r="K214" s="1729">
        <v>60</v>
      </c>
      <c r="L214" s="1760">
        <v>50</v>
      </c>
      <c r="M214" s="1"/>
      <c r="N214" s="1"/>
      <c r="O214" s="1"/>
      <c r="P214" s="1"/>
      <c r="Q214" s="1"/>
      <c r="R214" s="1"/>
      <c r="S214" s="1759">
        <v>75</v>
      </c>
      <c r="T214" s="1729">
        <v>75</v>
      </c>
      <c r="U214" s="1760">
        <v>75</v>
      </c>
      <c r="V214" s="1759">
        <v>65</v>
      </c>
      <c r="W214" s="1729">
        <v>65</v>
      </c>
      <c r="X214" s="1760">
        <v>65</v>
      </c>
      <c r="Y214" s="2009">
        <v>50</v>
      </c>
      <c r="Z214" s="2010">
        <v>50</v>
      </c>
      <c r="AA214" s="2011">
        <v>50</v>
      </c>
      <c r="AB214" s="1871" t="s">
        <v>1388</v>
      </c>
      <c r="AC214" s="1737" t="s">
        <v>1389</v>
      </c>
      <c r="AD214" s="1762">
        <v>150</v>
      </c>
      <c r="AE214" s="1729">
        <v>150</v>
      </c>
      <c r="AF214" s="1760">
        <v>150</v>
      </c>
      <c r="AG214" s="1759">
        <v>125</v>
      </c>
      <c r="AH214" s="1729">
        <v>125</v>
      </c>
      <c r="AI214" s="1760">
        <v>125</v>
      </c>
      <c r="AJ214" s="2009">
        <v>100</v>
      </c>
      <c r="AK214" s="2010">
        <v>100</v>
      </c>
      <c r="AL214" s="2011">
        <v>100</v>
      </c>
      <c r="AM214" s="1871" t="s">
        <v>1390</v>
      </c>
      <c r="AN214" s="1763" t="s">
        <v>1389</v>
      </c>
      <c r="AR214" s="156"/>
      <c r="AS214" s="156"/>
      <c r="AT214" s="156"/>
      <c r="AU214" s="397"/>
      <c r="AV214" s="396"/>
      <c r="AW214" s="396"/>
      <c r="AX214" s="1669"/>
      <c r="AY214" s="3"/>
      <c r="AZ214" s="3"/>
      <c r="BA214" s="3"/>
      <c r="BB214" s="3"/>
      <c r="BC214" s="3"/>
      <c r="BD214" s="3"/>
      <c r="BE214" s="3"/>
      <c r="BF214" s="3"/>
      <c r="BG214" s="3"/>
      <c r="BH214" s="3"/>
      <c r="BI214" s="3"/>
      <c r="BJ214" s="3"/>
      <c r="BK214" s="3"/>
      <c r="BL214" s="3"/>
      <c r="BM214" s="3"/>
      <c r="BN214" s="263"/>
      <c r="BO214" s="3"/>
      <c r="BQ214" s="1669"/>
      <c r="BR214" s="397"/>
      <c r="BS214" s="397"/>
      <c r="BT214" s="397"/>
      <c r="BV214" s="1669"/>
      <c r="BW214" s="397"/>
      <c r="BX214" s="397"/>
      <c r="BY214" s="397"/>
      <c r="BZ214" s="1751"/>
      <c r="CE214" s="1669"/>
      <c r="CF214" s="1620" t="str">
        <f>IFERROR(INDEX(N_Bedarf!$CE$2:$CE$304,_xlfn.AGGREGATE(15,6,(ROW(N_Bedarf!$CE$2:$CE$304)-1)/(--(SEARCH(CG$2,N_Bedarf!$CE$2:$CE$304)&gt;0)),ROW()-2),1),"")</f>
        <v/>
      </c>
      <c r="CG214" s="1620"/>
      <c r="CH214" s="1620" t="str">
        <f>IFERROR(INDEX(N_Bedarf!$CE$2:$CE$304,_xlfn.AGGREGATE(15,6,(ROW(N_Bedarf!$CE$2:$CE$304)-1)/(--(SEARCH(CI$2,N_Bedarf!$CE$2:$CE$304)&gt;0)),ROW()-2),1),"")</f>
        <v/>
      </c>
      <c r="CI214" s="1620"/>
      <c r="CJ214" s="1620" t="str">
        <f>IFERROR(INDEX(N_Bedarf!$CE$2:$CE$304,_xlfn.AGGREGATE(15,6,(ROW(N_Bedarf!$CE$2:$CE$304)-1)/(--(SEARCH(CK$2,N_Bedarf!$CE$2:$CE$304)&gt;0)),ROW()-2),1),"")</f>
        <v/>
      </c>
      <c r="CK214" s="1620"/>
      <c r="CL214" s="1620" t="str">
        <f>IFERROR(INDEX(N_Bedarf!$CE$2:$CE$304,_xlfn.AGGREGATE(15,6,(ROW(N_Bedarf!$CE$2:$CE$304)-1)/(--(SEARCH(CM$2,N_Bedarf!$CE$2:$CE$304)&gt;0)),ROW()-2),1),"")</f>
        <v/>
      </c>
      <c r="CM214" s="1620"/>
      <c r="CN214" s="1620" t="str">
        <f>IFERROR(INDEX(N_Bedarf!$CE$2:$CE$304,_xlfn.AGGREGATE(15,6,(ROW(N_Bedarf!$CE$2:$CE$304)-1)/(--(SEARCH(CO$2,N_Bedarf!$CE$2:$CE$304)&gt;0)),ROW()-2),1),"")</f>
        <v/>
      </c>
      <c r="CO214" s="1620"/>
      <c r="CP214" s="1620" t="str">
        <f>IFERROR(INDEX(N_Bedarf!$CE$2:$CE$304,_xlfn.AGGREGATE(15,6,(ROW(N_Bedarf!$CE$2:$CE$304)-1)/(--(SEARCH(CQ$2,N_Bedarf!$CE$2:$CE$304)&gt;0)),ROW()-2),1),"")</f>
        <v/>
      </c>
      <c r="CQ214" s="1620"/>
      <c r="CR214" s="1620" t="str">
        <f>IFERROR(INDEX(N_Bedarf!$CE$2:$CE$304,_xlfn.AGGREGATE(15,6,(ROW(N_Bedarf!$CE$2:$CE$304)-1)/(--(SEARCH(CS$2,N_Bedarf!$CE$2:$CE$304)&gt;0)),ROW()-2),1),"")</f>
        <v/>
      </c>
      <c r="CS214" s="1620"/>
      <c r="CT214" s="1620" t="str">
        <f>IFERROR(INDEX(N_Bedarf!$CE$2:$CE$304,_xlfn.AGGREGATE(15,6,(ROW(N_Bedarf!$CE$2:$CE$304)-1)/(--(SEARCH(CU$2,N_Bedarf!$CE$2:$CE$304)&gt;0)),ROW()-2),1),"")</f>
        <v/>
      </c>
      <c r="CU214" s="1620"/>
      <c r="CV214" s="1620" t="str">
        <f>IFERROR(INDEX(N_Bedarf!$CE$2:$CE$304,_xlfn.AGGREGATE(15,6,(ROW(N_Bedarf!$CE$2:$CE$304)-1)/(--(SEARCH(CW$2,N_Bedarf!$CE$2:$CE$304)&gt;0)),ROW()-2),1),"")</f>
        <v/>
      </c>
      <c r="CW214" s="1620"/>
      <c r="CX214" s="1620" t="str">
        <f>IFERROR(INDEX(N_Bedarf!$CE$2:$CE$304,_xlfn.AGGREGATE(15,6,(ROW(N_Bedarf!$CE$2:$CE$304)-1)/(--(SEARCH(CY$2,N_Bedarf!$CE$2:$CE$304)&gt;0)),ROW()-2),1),"")</f>
        <v/>
      </c>
      <c r="CY214" s="1620"/>
      <c r="CZ214" s="1620" t="str">
        <f>IFERROR(INDEX(N_Bedarf!$CE$2:$CE$304,_xlfn.AGGREGATE(15,6,(ROW(N_Bedarf!$CE$2:$CE$304)-1)/(--(SEARCH(DA$2,N_Bedarf!$CE$2:$CE$304)&gt;0)),ROW()-2),1),"")</f>
        <v/>
      </c>
      <c r="DA214" s="1620"/>
      <c r="DB214" s="1620" t="str">
        <f>IFERROR(INDEX(N_Bedarf!$CE$2:$CE$304,_xlfn.AGGREGATE(15,6,(ROW(N_Bedarf!$CE$2:$CE$304)-1)/(--(SEARCH(DC$2,N_Bedarf!$CE$2:$CE$304)&gt;0)),ROW()-2),1),"")</f>
        <v/>
      </c>
      <c r="DC214" s="1620"/>
      <c r="DD214" s="1620" t="str">
        <f>IFERROR(INDEX(N_Bedarf!$CE$2:$CE$304,_xlfn.AGGREGATE(15,6,(ROW(N_Bedarf!$CE$2:$CE$304)-1)/(--(SEARCH(DE$2,N_Bedarf!$CE$2:$CE$304)&gt;0)),ROW()-2),1),"")</f>
        <v/>
      </c>
      <c r="DE214" s="1620"/>
      <c r="ES214" s="768"/>
      <c r="ET214" s="768"/>
      <c r="EU214" s="768"/>
      <c r="EV214" s="768"/>
      <c r="EW214" s="768"/>
    </row>
    <row r="215" spans="3:153" s="394" customFormat="1" ht="21" customHeight="1">
      <c r="C215" s="1790" t="s">
        <v>82</v>
      </c>
      <c r="D215" s="1759" t="s">
        <v>714</v>
      </c>
      <c r="E215" s="1729">
        <v>90</v>
      </c>
      <c r="F215" s="1760">
        <v>75</v>
      </c>
      <c r="G215" s="1993" t="s">
        <v>714</v>
      </c>
      <c r="H215" s="1994">
        <v>90</v>
      </c>
      <c r="I215" s="1995">
        <v>75</v>
      </c>
      <c r="J215" s="1759" t="s">
        <v>714</v>
      </c>
      <c r="K215" s="1729">
        <v>90</v>
      </c>
      <c r="L215" s="1760">
        <v>75</v>
      </c>
      <c r="M215" s="1"/>
      <c r="N215" s="1"/>
      <c r="O215" s="1"/>
      <c r="P215" s="1"/>
      <c r="Q215" s="1"/>
      <c r="R215" s="1"/>
      <c r="S215" s="1759">
        <v>90</v>
      </c>
      <c r="T215" s="1729">
        <v>90</v>
      </c>
      <c r="U215" s="1760">
        <v>90</v>
      </c>
      <c r="V215" s="1759">
        <v>75</v>
      </c>
      <c r="W215" s="1729">
        <v>75</v>
      </c>
      <c r="X215" s="1760">
        <v>75</v>
      </c>
      <c r="Y215" s="2009">
        <v>60</v>
      </c>
      <c r="Z215" s="2010">
        <v>60</v>
      </c>
      <c r="AA215" s="2011">
        <v>60</v>
      </c>
      <c r="AB215" s="1871" t="s">
        <v>1388</v>
      </c>
      <c r="AC215" s="1737" t="s">
        <v>1389</v>
      </c>
      <c r="AD215" s="1762">
        <v>120</v>
      </c>
      <c r="AE215" s="1729">
        <v>120</v>
      </c>
      <c r="AF215" s="1760">
        <v>120</v>
      </c>
      <c r="AG215" s="1759">
        <v>100</v>
      </c>
      <c r="AH215" s="1729">
        <v>100</v>
      </c>
      <c r="AI215" s="1760">
        <v>100</v>
      </c>
      <c r="AJ215" s="2009">
        <v>80</v>
      </c>
      <c r="AK215" s="2010">
        <v>80</v>
      </c>
      <c r="AL215" s="2011">
        <v>80</v>
      </c>
      <c r="AM215" s="1871" t="s">
        <v>1390</v>
      </c>
      <c r="AN215" s="1763" t="s">
        <v>1389</v>
      </c>
      <c r="AR215" s="156"/>
      <c r="AS215" s="156"/>
      <c r="AT215" s="156"/>
      <c r="AU215" s="397"/>
      <c r="AV215" s="396"/>
      <c r="AW215" s="396"/>
      <c r="AX215" s="1669"/>
      <c r="AY215" s="3"/>
      <c r="AZ215" s="3"/>
      <c r="BA215" s="3"/>
      <c r="BB215" s="3"/>
      <c r="BC215" s="3"/>
      <c r="BD215" s="3"/>
      <c r="BE215" s="3"/>
      <c r="BF215" s="3"/>
      <c r="BG215" s="3"/>
      <c r="BH215" s="3"/>
      <c r="BI215" s="3"/>
      <c r="BJ215" s="3"/>
      <c r="BK215" s="3"/>
      <c r="BL215" s="3"/>
      <c r="BM215" s="3"/>
      <c r="BN215" s="263"/>
      <c r="BO215" s="3"/>
      <c r="BQ215" s="1669"/>
      <c r="BR215" s="397"/>
      <c r="BS215" s="397"/>
      <c r="BT215" s="397"/>
      <c r="BV215" s="1669"/>
      <c r="BW215" s="397"/>
      <c r="BX215" s="397"/>
      <c r="BY215" s="397"/>
      <c r="BZ215" s="1751"/>
      <c r="CE215" s="1669"/>
      <c r="CF215" s="1620" t="str">
        <f>IFERROR(INDEX(N_Bedarf!$CE$2:$CE$304,_xlfn.AGGREGATE(15,6,(ROW(N_Bedarf!$CE$2:$CE$304)-1)/(--(SEARCH(CG$2,N_Bedarf!$CE$2:$CE$304)&gt;0)),ROW()-2),1),"")</f>
        <v/>
      </c>
      <c r="CG215" s="1620"/>
      <c r="CH215" s="1620" t="str">
        <f>IFERROR(INDEX(N_Bedarf!$CE$2:$CE$304,_xlfn.AGGREGATE(15,6,(ROW(N_Bedarf!$CE$2:$CE$304)-1)/(--(SEARCH(CI$2,N_Bedarf!$CE$2:$CE$304)&gt;0)),ROW()-2),1),"")</f>
        <v/>
      </c>
      <c r="CI215" s="1620"/>
      <c r="CJ215" s="1620" t="str">
        <f>IFERROR(INDEX(N_Bedarf!$CE$2:$CE$304,_xlfn.AGGREGATE(15,6,(ROW(N_Bedarf!$CE$2:$CE$304)-1)/(--(SEARCH(CK$2,N_Bedarf!$CE$2:$CE$304)&gt;0)),ROW()-2),1),"")</f>
        <v/>
      </c>
      <c r="CK215" s="1620"/>
      <c r="CL215" s="1620" t="str">
        <f>IFERROR(INDEX(N_Bedarf!$CE$2:$CE$304,_xlfn.AGGREGATE(15,6,(ROW(N_Bedarf!$CE$2:$CE$304)-1)/(--(SEARCH(CM$2,N_Bedarf!$CE$2:$CE$304)&gt;0)),ROW()-2),1),"")</f>
        <v/>
      </c>
      <c r="CM215" s="1620"/>
      <c r="CN215" s="1620" t="str">
        <f>IFERROR(INDEX(N_Bedarf!$CE$2:$CE$304,_xlfn.AGGREGATE(15,6,(ROW(N_Bedarf!$CE$2:$CE$304)-1)/(--(SEARCH(CO$2,N_Bedarf!$CE$2:$CE$304)&gt;0)),ROW()-2),1),"")</f>
        <v/>
      </c>
      <c r="CO215" s="1620"/>
      <c r="CP215" s="1620" t="str">
        <f>IFERROR(INDEX(N_Bedarf!$CE$2:$CE$304,_xlfn.AGGREGATE(15,6,(ROW(N_Bedarf!$CE$2:$CE$304)-1)/(--(SEARCH(CQ$2,N_Bedarf!$CE$2:$CE$304)&gt;0)),ROW()-2),1),"")</f>
        <v/>
      </c>
      <c r="CQ215" s="1620"/>
      <c r="CR215" s="1620" t="str">
        <f>IFERROR(INDEX(N_Bedarf!$CE$2:$CE$304,_xlfn.AGGREGATE(15,6,(ROW(N_Bedarf!$CE$2:$CE$304)-1)/(--(SEARCH(CS$2,N_Bedarf!$CE$2:$CE$304)&gt;0)),ROW()-2),1),"")</f>
        <v/>
      </c>
      <c r="CS215" s="1620"/>
      <c r="CT215" s="1620" t="str">
        <f>IFERROR(INDEX(N_Bedarf!$CE$2:$CE$304,_xlfn.AGGREGATE(15,6,(ROW(N_Bedarf!$CE$2:$CE$304)-1)/(--(SEARCH(CU$2,N_Bedarf!$CE$2:$CE$304)&gt;0)),ROW()-2),1),"")</f>
        <v/>
      </c>
      <c r="CU215" s="1620"/>
      <c r="CV215" s="1620" t="str">
        <f>IFERROR(INDEX(N_Bedarf!$CE$2:$CE$304,_xlfn.AGGREGATE(15,6,(ROW(N_Bedarf!$CE$2:$CE$304)-1)/(--(SEARCH(CW$2,N_Bedarf!$CE$2:$CE$304)&gt;0)),ROW()-2),1),"")</f>
        <v/>
      </c>
      <c r="CW215" s="1620"/>
      <c r="CX215" s="1620" t="str">
        <f>IFERROR(INDEX(N_Bedarf!$CE$2:$CE$304,_xlfn.AGGREGATE(15,6,(ROW(N_Bedarf!$CE$2:$CE$304)-1)/(--(SEARCH(CY$2,N_Bedarf!$CE$2:$CE$304)&gt;0)),ROW()-2),1),"")</f>
        <v/>
      </c>
      <c r="CY215" s="1620"/>
      <c r="CZ215" s="1620" t="str">
        <f>IFERROR(INDEX(N_Bedarf!$CE$2:$CE$304,_xlfn.AGGREGATE(15,6,(ROW(N_Bedarf!$CE$2:$CE$304)-1)/(--(SEARCH(DA$2,N_Bedarf!$CE$2:$CE$304)&gt;0)),ROW()-2),1),"")</f>
        <v/>
      </c>
      <c r="DA215" s="1620"/>
      <c r="DB215" s="1620" t="str">
        <f>IFERROR(INDEX(N_Bedarf!$CE$2:$CE$304,_xlfn.AGGREGATE(15,6,(ROW(N_Bedarf!$CE$2:$CE$304)-1)/(--(SEARCH(DC$2,N_Bedarf!$CE$2:$CE$304)&gt;0)),ROW()-2),1),"")</f>
        <v/>
      </c>
      <c r="DC215" s="1620"/>
      <c r="DD215" s="1620" t="str">
        <f>IFERROR(INDEX(N_Bedarf!$CE$2:$CE$304,_xlfn.AGGREGATE(15,6,(ROW(N_Bedarf!$CE$2:$CE$304)-1)/(--(SEARCH(DE$2,N_Bedarf!$CE$2:$CE$304)&gt;0)),ROW()-2),1),"")</f>
        <v/>
      </c>
      <c r="DE215" s="1620"/>
      <c r="ES215" s="768"/>
      <c r="ET215" s="768"/>
      <c r="EU215" s="768"/>
      <c r="EV215" s="768"/>
      <c r="EW215" s="768"/>
    </row>
    <row r="216" spans="3:153" s="394" customFormat="1" ht="21" customHeight="1">
      <c r="C216" s="1790" t="s">
        <v>83</v>
      </c>
      <c r="D216" s="1759" t="s">
        <v>714</v>
      </c>
      <c r="E216" s="1729">
        <v>60</v>
      </c>
      <c r="F216" s="1760">
        <v>50</v>
      </c>
      <c r="G216" s="1993" t="s">
        <v>714</v>
      </c>
      <c r="H216" s="1994">
        <v>60</v>
      </c>
      <c r="I216" s="1995">
        <v>50</v>
      </c>
      <c r="J216" s="1759" t="s">
        <v>714</v>
      </c>
      <c r="K216" s="1729">
        <v>60</v>
      </c>
      <c r="L216" s="1760">
        <v>50</v>
      </c>
      <c r="M216" s="1"/>
      <c r="N216" s="1"/>
      <c r="O216" s="1"/>
      <c r="P216" s="1"/>
      <c r="Q216" s="1"/>
      <c r="R216" s="1"/>
      <c r="S216" s="1759">
        <v>75</v>
      </c>
      <c r="T216" s="1729">
        <v>75</v>
      </c>
      <c r="U216" s="1760">
        <v>75</v>
      </c>
      <c r="V216" s="1759">
        <v>65</v>
      </c>
      <c r="W216" s="1729">
        <v>65</v>
      </c>
      <c r="X216" s="1760">
        <v>65</v>
      </c>
      <c r="Y216" s="2009">
        <v>50</v>
      </c>
      <c r="Z216" s="2010">
        <v>50</v>
      </c>
      <c r="AA216" s="2011">
        <v>50</v>
      </c>
      <c r="AB216" s="1871" t="s">
        <v>1388</v>
      </c>
      <c r="AC216" s="1737" t="s">
        <v>1389</v>
      </c>
      <c r="AD216" s="1762">
        <v>150</v>
      </c>
      <c r="AE216" s="1729">
        <v>150</v>
      </c>
      <c r="AF216" s="1760">
        <v>150</v>
      </c>
      <c r="AG216" s="1759">
        <v>125</v>
      </c>
      <c r="AH216" s="1729">
        <v>125</v>
      </c>
      <c r="AI216" s="1760">
        <v>125</v>
      </c>
      <c r="AJ216" s="2009">
        <v>100</v>
      </c>
      <c r="AK216" s="2010">
        <v>100</v>
      </c>
      <c r="AL216" s="2011">
        <v>100</v>
      </c>
      <c r="AM216" s="1871" t="s">
        <v>1390</v>
      </c>
      <c r="AN216" s="1763" t="s">
        <v>1389</v>
      </c>
      <c r="AR216" s="156"/>
      <c r="AS216" s="156"/>
      <c r="AT216" s="156"/>
      <c r="AU216" s="397"/>
      <c r="AV216" s="396"/>
      <c r="AW216" s="396"/>
      <c r="AX216" s="1669"/>
      <c r="AY216" s="3"/>
      <c r="AZ216" s="3"/>
      <c r="BA216" s="3"/>
      <c r="BB216" s="3"/>
      <c r="BC216" s="3"/>
      <c r="BD216" s="3"/>
      <c r="BE216" s="3"/>
      <c r="BF216" s="3"/>
      <c r="BG216" s="3"/>
      <c r="BH216" s="3"/>
      <c r="BI216" s="3"/>
      <c r="BJ216" s="3"/>
      <c r="BK216" s="3"/>
      <c r="BL216" s="3"/>
      <c r="BM216" s="3"/>
      <c r="BN216" s="263"/>
      <c r="BO216" s="3"/>
      <c r="BQ216" s="1669"/>
      <c r="BR216" s="397"/>
      <c r="BS216" s="397"/>
      <c r="BT216" s="397"/>
      <c r="BV216" s="1669"/>
      <c r="BW216" s="397"/>
      <c r="BX216" s="397"/>
      <c r="BY216" s="397"/>
      <c r="BZ216" s="1751"/>
      <c r="CE216" s="1669"/>
      <c r="CF216" s="1620" t="str">
        <f>IFERROR(INDEX(N_Bedarf!$CE$2:$CE$304,_xlfn.AGGREGATE(15,6,(ROW(N_Bedarf!$CE$2:$CE$304)-1)/(--(SEARCH(CG$2,N_Bedarf!$CE$2:$CE$304)&gt;0)),ROW()-2),1),"")</f>
        <v/>
      </c>
      <c r="CG216" s="1620"/>
      <c r="CH216" s="1620" t="str">
        <f>IFERROR(INDEX(N_Bedarf!$CE$2:$CE$304,_xlfn.AGGREGATE(15,6,(ROW(N_Bedarf!$CE$2:$CE$304)-1)/(--(SEARCH(CI$2,N_Bedarf!$CE$2:$CE$304)&gt;0)),ROW()-2),1),"")</f>
        <v/>
      </c>
      <c r="CI216" s="1620"/>
      <c r="CJ216" s="1620" t="str">
        <f>IFERROR(INDEX(N_Bedarf!$CE$2:$CE$304,_xlfn.AGGREGATE(15,6,(ROW(N_Bedarf!$CE$2:$CE$304)-1)/(--(SEARCH(CK$2,N_Bedarf!$CE$2:$CE$304)&gt;0)),ROW()-2),1),"")</f>
        <v/>
      </c>
      <c r="CK216" s="1620"/>
      <c r="CL216" s="1620" t="str">
        <f>IFERROR(INDEX(N_Bedarf!$CE$2:$CE$304,_xlfn.AGGREGATE(15,6,(ROW(N_Bedarf!$CE$2:$CE$304)-1)/(--(SEARCH(CM$2,N_Bedarf!$CE$2:$CE$304)&gt;0)),ROW()-2),1),"")</f>
        <v/>
      </c>
      <c r="CM216" s="1620"/>
      <c r="CN216" s="1620" t="str">
        <f>IFERROR(INDEX(N_Bedarf!$CE$2:$CE$304,_xlfn.AGGREGATE(15,6,(ROW(N_Bedarf!$CE$2:$CE$304)-1)/(--(SEARCH(CO$2,N_Bedarf!$CE$2:$CE$304)&gt;0)),ROW()-2),1),"")</f>
        <v/>
      </c>
      <c r="CO216" s="1620"/>
      <c r="CP216" s="1620" t="str">
        <f>IFERROR(INDEX(N_Bedarf!$CE$2:$CE$304,_xlfn.AGGREGATE(15,6,(ROW(N_Bedarf!$CE$2:$CE$304)-1)/(--(SEARCH(CQ$2,N_Bedarf!$CE$2:$CE$304)&gt;0)),ROW()-2),1),"")</f>
        <v/>
      </c>
      <c r="CQ216" s="1620"/>
      <c r="CR216" s="1620" t="str">
        <f>IFERROR(INDEX(N_Bedarf!$CE$2:$CE$304,_xlfn.AGGREGATE(15,6,(ROW(N_Bedarf!$CE$2:$CE$304)-1)/(--(SEARCH(CS$2,N_Bedarf!$CE$2:$CE$304)&gt;0)),ROW()-2),1),"")</f>
        <v/>
      </c>
      <c r="CS216" s="1620"/>
      <c r="CT216" s="1620" t="str">
        <f>IFERROR(INDEX(N_Bedarf!$CE$2:$CE$304,_xlfn.AGGREGATE(15,6,(ROW(N_Bedarf!$CE$2:$CE$304)-1)/(--(SEARCH(CU$2,N_Bedarf!$CE$2:$CE$304)&gt;0)),ROW()-2),1),"")</f>
        <v/>
      </c>
      <c r="CU216" s="1620"/>
      <c r="CV216" s="1620" t="str">
        <f>IFERROR(INDEX(N_Bedarf!$CE$2:$CE$304,_xlfn.AGGREGATE(15,6,(ROW(N_Bedarf!$CE$2:$CE$304)-1)/(--(SEARCH(CW$2,N_Bedarf!$CE$2:$CE$304)&gt;0)),ROW()-2),1),"")</f>
        <v/>
      </c>
      <c r="CW216" s="1620"/>
      <c r="CX216" s="1620" t="str">
        <f>IFERROR(INDEX(N_Bedarf!$CE$2:$CE$304,_xlfn.AGGREGATE(15,6,(ROW(N_Bedarf!$CE$2:$CE$304)-1)/(--(SEARCH(CY$2,N_Bedarf!$CE$2:$CE$304)&gt;0)),ROW()-2),1),"")</f>
        <v/>
      </c>
      <c r="CY216" s="1620"/>
      <c r="CZ216" s="1620" t="str">
        <f>IFERROR(INDEX(N_Bedarf!$CE$2:$CE$304,_xlfn.AGGREGATE(15,6,(ROW(N_Bedarf!$CE$2:$CE$304)-1)/(--(SEARCH(DA$2,N_Bedarf!$CE$2:$CE$304)&gt;0)),ROW()-2),1),"")</f>
        <v/>
      </c>
      <c r="DA216" s="1620"/>
      <c r="DB216" s="1620" t="str">
        <f>IFERROR(INDEX(N_Bedarf!$CE$2:$CE$304,_xlfn.AGGREGATE(15,6,(ROW(N_Bedarf!$CE$2:$CE$304)-1)/(--(SEARCH(DC$2,N_Bedarf!$CE$2:$CE$304)&gt;0)),ROW()-2),1),"")</f>
        <v/>
      </c>
      <c r="DC216" s="1620"/>
      <c r="DD216" s="1620" t="str">
        <f>IFERROR(INDEX(N_Bedarf!$CE$2:$CE$304,_xlfn.AGGREGATE(15,6,(ROW(N_Bedarf!$CE$2:$CE$304)-1)/(--(SEARCH(DE$2,N_Bedarf!$CE$2:$CE$304)&gt;0)),ROW()-2),1),"")</f>
        <v/>
      </c>
      <c r="DE216" s="1620"/>
      <c r="ES216" s="768"/>
      <c r="ET216" s="768"/>
      <c r="EU216" s="768"/>
      <c r="EV216" s="768"/>
      <c r="EW216" s="768"/>
    </row>
    <row r="217" spans="3:153" s="394" customFormat="1" ht="21" customHeight="1">
      <c r="C217" s="1790" t="s">
        <v>84</v>
      </c>
      <c r="D217" s="1759" t="s">
        <v>714</v>
      </c>
      <c r="E217" s="1729">
        <v>70</v>
      </c>
      <c r="F217" s="1760">
        <v>60</v>
      </c>
      <c r="G217" s="1993" t="s">
        <v>714</v>
      </c>
      <c r="H217" s="1994">
        <v>70</v>
      </c>
      <c r="I217" s="1995">
        <v>60</v>
      </c>
      <c r="J217" s="1759" t="s">
        <v>714</v>
      </c>
      <c r="K217" s="1729">
        <v>70</v>
      </c>
      <c r="L217" s="1760">
        <v>60</v>
      </c>
      <c r="M217" s="1"/>
      <c r="N217" s="1"/>
      <c r="O217" s="1"/>
      <c r="P217" s="1"/>
      <c r="Q217" s="1"/>
      <c r="R217" s="1"/>
      <c r="S217" s="1759">
        <v>75</v>
      </c>
      <c r="T217" s="1729">
        <v>75</v>
      </c>
      <c r="U217" s="1760">
        <v>75</v>
      </c>
      <c r="V217" s="1759">
        <v>65</v>
      </c>
      <c r="W217" s="1729">
        <v>65</v>
      </c>
      <c r="X217" s="1760">
        <v>65</v>
      </c>
      <c r="Y217" s="2009">
        <v>50</v>
      </c>
      <c r="Z217" s="2010">
        <v>50</v>
      </c>
      <c r="AA217" s="2011">
        <v>50</v>
      </c>
      <c r="AB217" s="1871" t="s">
        <v>1388</v>
      </c>
      <c r="AC217" s="1737" t="s">
        <v>1389</v>
      </c>
      <c r="AD217" s="1762">
        <v>90</v>
      </c>
      <c r="AE217" s="1729">
        <v>90</v>
      </c>
      <c r="AF217" s="1760">
        <v>90</v>
      </c>
      <c r="AG217" s="1759">
        <v>75</v>
      </c>
      <c r="AH217" s="1729">
        <v>75</v>
      </c>
      <c r="AI217" s="1760">
        <v>75</v>
      </c>
      <c r="AJ217" s="2009">
        <v>60</v>
      </c>
      <c r="AK217" s="2010">
        <v>60</v>
      </c>
      <c r="AL217" s="2011">
        <v>60</v>
      </c>
      <c r="AM217" s="1871" t="s">
        <v>1390</v>
      </c>
      <c r="AN217" s="1763" t="s">
        <v>1389</v>
      </c>
      <c r="AR217" s="156"/>
      <c r="AS217" s="156"/>
      <c r="AT217" s="156"/>
      <c r="AU217" s="397"/>
      <c r="AV217" s="396"/>
      <c r="AW217" s="396"/>
      <c r="AX217" s="1669"/>
      <c r="AY217" s="3"/>
      <c r="AZ217" s="3"/>
      <c r="BA217" s="3"/>
      <c r="BB217" s="3"/>
      <c r="BC217" s="3"/>
      <c r="BD217" s="3"/>
      <c r="BE217" s="3"/>
      <c r="BF217" s="3"/>
      <c r="BG217" s="3"/>
      <c r="BH217" s="3"/>
      <c r="BI217" s="3"/>
      <c r="BJ217" s="3"/>
      <c r="BK217" s="3"/>
      <c r="BL217" s="3"/>
      <c r="BM217" s="3"/>
      <c r="BN217" s="263"/>
      <c r="BO217" s="3"/>
      <c r="BQ217" s="1669"/>
      <c r="BR217" s="397"/>
      <c r="BS217" s="397"/>
      <c r="BT217" s="397"/>
      <c r="BV217" s="1669"/>
      <c r="BW217" s="397"/>
      <c r="BX217" s="397"/>
      <c r="BY217" s="397"/>
      <c r="BZ217" s="1751"/>
      <c r="CE217" s="1669"/>
      <c r="CF217" s="1620" t="str">
        <f>IFERROR(INDEX(N_Bedarf!$CE$2:$CE$304,_xlfn.AGGREGATE(15,6,(ROW(N_Bedarf!$CE$2:$CE$304)-1)/(--(SEARCH(CG$2,N_Bedarf!$CE$2:$CE$304)&gt;0)),ROW()-2),1),"")</f>
        <v/>
      </c>
      <c r="CG217" s="1620"/>
      <c r="CH217" s="1620" t="str">
        <f>IFERROR(INDEX(N_Bedarf!$CE$2:$CE$304,_xlfn.AGGREGATE(15,6,(ROW(N_Bedarf!$CE$2:$CE$304)-1)/(--(SEARCH(CI$2,N_Bedarf!$CE$2:$CE$304)&gt;0)),ROW()-2),1),"")</f>
        <v/>
      </c>
      <c r="CI217" s="1620"/>
      <c r="CJ217" s="1620" t="str">
        <f>IFERROR(INDEX(N_Bedarf!$CE$2:$CE$304,_xlfn.AGGREGATE(15,6,(ROW(N_Bedarf!$CE$2:$CE$304)-1)/(--(SEARCH(CK$2,N_Bedarf!$CE$2:$CE$304)&gt;0)),ROW()-2),1),"")</f>
        <v/>
      </c>
      <c r="CK217" s="1620"/>
      <c r="CL217" s="1620" t="str">
        <f>IFERROR(INDEX(N_Bedarf!$CE$2:$CE$304,_xlfn.AGGREGATE(15,6,(ROW(N_Bedarf!$CE$2:$CE$304)-1)/(--(SEARCH(CM$2,N_Bedarf!$CE$2:$CE$304)&gt;0)),ROW()-2),1),"")</f>
        <v/>
      </c>
      <c r="CM217" s="1620"/>
      <c r="CN217" s="1620" t="str">
        <f>IFERROR(INDEX(N_Bedarf!$CE$2:$CE$304,_xlfn.AGGREGATE(15,6,(ROW(N_Bedarf!$CE$2:$CE$304)-1)/(--(SEARCH(CO$2,N_Bedarf!$CE$2:$CE$304)&gt;0)),ROW()-2),1),"")</f>
        <v/>
      </c>
      <c r="CO217" s="1620"/>
      <c r="CP217" s="1620" t="str">
        <f>IFERROR(INDEX(N_Bedarf!$CE$2:$CE$304,_xlfn.AGGREGATE(15,6,(ROW(N_Bedarf!$CE$2:$CE$304)-1)/(--(SEARCH(CQ$2,N_Bedarf!$CE$2:$CE$304)&gt;0)),ROW()-2),1),"")</f>
        <v/>
      </c>
      <c r="CQ217" s="1620"/>
      <c r="CR217" s="1620" t="str">
        <f>IFERROR(INDEX(N_Bedarf!$CE$2:$CE$304,_xlfn.AGGREGATE(15,6,(ROW(N_Bedarf!$CE$2:$CE$304)-1)/(--(SEARCH(CS$2,N_Bedarf!$CE$2:$CE$304)&gt;0)),ROW()-2),1),"")</f>
        <v/>
      </c>
      <c r="CS217" s="1620"/>
      <c r="CT217" s="1620" t="str">
        <f>IFERROR(INDEX(N_Bedarf!$CE$2:$CE$304,_xlfn.AGGREGATE(15,6,(ROW(N_Bedarf!$CE$2:$CE$304)-1)/(--(SEARCH(CU$2,N_Bedarf!$CE$2:$CE$304)&gt;0)),ROW()-2),1),"")</f>
        <v/>
      </c>
      <c r="CU217" s="1620"/>
      <c r="CV217" s="1620" t="str">
        <f>IFERROR(INDEX(N_Bedarf!$CE$2:$CE$304,_xlfn.AGGREGATE(15,6,(ROW(N_Bedarf!$CE$2:$CE$304)-1)/(--(SEARCH(CW$2,N_Bedarf!$CE$2:$CE$304)&gt;0)),ROW()-2),1),"")</f>
        <v/>
      </c>
      <c r="CW217" s="1620"/>
      <c r="CX217" s="1620" t="str">
        <f>IFERROR(INDEX(N_Bedarf!$CE$2:$CE$304,_xlfn.AGGREGATE(15,6,(ROW(N_Bedarf!$CE$2:$CE$304)-1)/(--(SEARCH(CY$2,N_Bedarf!$CE$2:$CE$304)&gt;0)),ROW()-2),1),"")</f>
        <v/>
      </c>
      <c r="CY217" s="1620"/>
      <c r="CZ217" s="1620" t="str">
        <f>IFERROR(INDEX(N_Bedarf!$CE$2:$CE$304,_xlfn.AGGREGATE(15,6,(ROW(N_Bedarf!$CE$2:$CE$304)-1)/(--(SEARCH(DA$2,N_Bedarf!$CE$2:$CE$304)&gt;0)),ROW()-2),1),"")</f>
        <v/>
      </c>
      <c r="DA217" s="1620"/>
      <c r="DB217" s="1620" t="str">
        <f>IFERROR(INDEX(N_Bedarf!$CE$2:$CE$304,_xlfn.AGGREGATE(15,6,(ROW(N_Bedarf!$CE$2:$CE$304)-1)/(--(SEARCH(DC$2,N_Bedarf!$CE$2:$CE$304)&gt;0)),ROW()-2),1),"")</f>
        <v/>
      </c>
      <c r="DC217" s="1620"/>
      <c r="DD217" s="1620" t="str">
        <f>IFERROR(INDEX(N_Bedarf!$CE$2:$CE$304,_xlfn.AGGREGATE(15,6,(ROW(N_Bedarf!$CE$2:$CE$304)-1)/(--(SEARCH(DE$2,N_Bedarf!$CE$2:$CE$304)&gt;0)),ROW()-2),1),"")</f>
        <v/>
      </c>
      <c r="DE217" s="1620"/>
      <c r="ES217" s="768"/>
      <c r="ET217" s="768"/>
      <c r="EU217" s="768"/>
      <c r="EV217" s="768"/>
      <c r="EW217" s="768"/>
    </row>
    <row r="218" spans="3:153" s="394" customFormat="1" ht="21" customHeight="1">
      <c r="C218" s="1790" t="s">
        <v>85</v>
      </c>
      <c r="D218" s="1759" t="s">
        <v>714</v>
      </c>
      <c r="E218" s="1729">
        <v>170</v>
      </c>
      <c r="F218" s="1760">
        <v>145</v>
      </c>
      <c r="G218" s="1993" t="s">
        <v>714</v>
      </c>
      <c r="H218" s="1994">
        <v>170</v>
      </c>
      <c r="I218" s="1995">
        <v>145</v>
      </c>
      <c r="J218" s="1759" t="s">
        <v>714</v>
      </c>
      <c r="K218" s="1729">
        <v>170</v>
      </c>
      <c r="L218" s="1760">
        <v>145</v>
      </c>
      <c r="M218" s="1"/>
      <c r="N218" s="1"/>
      <c r="O218" s="1"/>
      <c r="P218" s="1"/>
      <c r="Q218" s="1"/>
      <c r="R218" s="1"/>
      <c r="S218" s="1759">
        <v>105</v>
      </c>
      <c r="T218" s="1729">
        <v>105</v>
      </c>
      <c r="U218" s="1760">
        <v>105</v>
      </c>
      <c r="V218" s="1759">
        <v>90</v>
      </c>
      <c r="W218" s="1729">
        <v>90</v>
      </c>
      <c r="X218" s="1760">
        <v>90</v>
      </c>
      <c r="Y218" s="2009">
        <v>70</v>
      </c>
      <c r="Z218" s="2010">
        <v>70</v>
      </c>
      <c r="AA218" s="2011">
        <v>70</v>
      </c>
      <c r="AB218" s="1871" t="s">
        <v>1388</v>
      </c>
      <c r="AC218" s="1737" t="s">
        <v>1389</v>
      </c>
      <c r="AD218" s="1762">
        <v>300</v>
      </c>
      <c r="AE218" s="1729">
        <v>300</v>
      </c>
      <c r="AF218" s="1760">
        <v>300</v>
      </c>
      <c r="AG218" s="1759">
        <v>250</v>
      </c>
      <c r="AH218" s="1729">
        <v>250</v>
      </c>
      <c r="AI218" s="1760">
        <v>250</v>
      </c>
      <c r="AJ218" s="2009">
        <v>200</v>
      </c>
      <c r="AK218" s="2010">
        <v>200</v>
      </c>
      <c r="AL218" s="2011">
        <v>200</v>
      </c>
      <c r="AM218" s="1871" t="s">
        <v>1390</v>
      </c>
      <c r="AN218" s="1763" t="s">
        <v>1389</v>
      </c>
      <c r="AR218" s="156"/>
      <c r="AS218" s="156"/>
      <c r="AT218" s="156"/>
      <c r="AU218" s="397"/>
      <c r="AV218" s="396"/>
      <c r="AW218" s="396"/>
      <c r="AX218" s="1669"/>
      <c r="AY218" s="3"/>
      <c r="AZ218" s="3"/>
      <c r="BA218" s="3"/>
      <c r="BB218" s="3"/>
      <c r="BC218" s="3"/>
      <c r="BD218" s="3"/>
      <c r="BE218" s="3"/>
      <c r="BF218" s="3"/>
      <c r="BG218" s="3"/>
      <c r="BH218" s="3"/>
      <c r="BI218" s="3"/>
      <c r="BJ218" s="3"/>
      <c r="BK218" s="3"/>
      <c r="BL218" s="3"/>
      <c r="BM218" s="3"/>
      <c r="BN218" s="263"/>
      <c r="BO218" s="3"/>
      <c r="BQ218" s="1669"/>
      <c r="BR218" s="397"/>
      <c r="BS218" s="397"/>
      <c r="BT218" s="397"/>
      <c r="BV218" s="1669"/>
      <c r="BW218" s="397"/>
      <c r="BX218" s="397"/>
      <c r="BY218" s="397"/>
      <c r="BZ218" s="1751"/>
      <c r="CE218" s="1669"/>
      <c r="CF218" s="1620" t="str">
        <f>IFERROR(INDEX(N_Bedarf!$CE$2:$CE$304,_xlfn.AGGREGATE(15,6,(ROW(N_Bedarf!$CE$2:$CE$304)-1)/(--(SEARCH(CG$2,N_Bedarf!$CE$2:$CE$304)&gt;0)),ROW()-2),1),"")</f>
        <v/>
      </c>
      <c r="CG218" s="1620"/>
      <c r="CH218" s="1620" t="str">
        <f>IFERROR(INDEX(N_Bedarf!$CE$2:$CE$304,_xlfn.AGGREGATE(15,6,(ROW(N_Bedarf!$CE$2:$CE$304)-1)/(--(SEARCH(CI$2,N_Bedarf!$CE$2:$CE$304)&gt;0)),ROW()-2),1),"")</f>
        <v/>
      </c>
      <c r="CI218" s="1620"/>
      <c r="CJ218" s="1620" t="str">
        <f>IFERROR(INDEX(N_Bedarf!$CE$2:$CE$304,_xlfn.AGGREGATE(15,6,(ROW(N_Bedarf!$CE$2:$CE$304)-1)/(--(SEARCH(CK$2,N_Bedarf!$CE$2:$CE$304)&gt;0)),ROW()-2),1),"")</f>
        <v/>
      </c>
      <c r="CK218" s="1620"/>
      <c r="CL218" s="1620" t="str">
        <f>IFERROR(INDEX(N_Bedarf!$CE$2:$CE$304,_xlfn.AGGREGATE(15,6,(ROW(N_Bedarf!$CE$2:$CE$304)-1)/(--(SEARCH(CM$2,N_Bedarf!$CE$2:$CE$304)&gt;0)),ROW()-2),1),"")</f>
        <v/>
      </c>
      <c r="CM218" s="1620"/>
      <c r="CN218" s="1620" t="str">
        <f>IFERROR(INDEX(N_Bedarf!$CE$2:$CE$304,_xlfn.AGGREGATE(15,6,(ROW(N_Bedarf!$CE$2:$CE$304)-1)/(--(SEARCH(CO$2,N_Bedarf!$CE$2:$CE$304)&gt;0)),ROW()-2),1),"")</f>
        <v/>
      </c>
      <c r="CO218" s="1620"/>
      <c r="CP218" s="1620" t="str">
        <f>IFERROR(INDEX(N_Bedarf!$CE$2:$CE$304,_xlfn.AGGREGATE(15,6,(ROW(N_Bedarf!$CE$2:$CE$304)-1)/(--(SEARCH(CQ$2,N_Bedarf!$CE$2:$CE$304)&gt;0)),ROW()-2),1),"")</f>
        <v/>
      </c>
      <c r="CQ218" s="1620"/>
      <c r="CR218" s="1620" t="str">
        <f>IFERROR(INDEX(N_Bedarf!$CE$2:$CE$304,_xlfn.AGGREGATE(15,6,(ROW(N_Bedarf!$CE$2:$CE$304)-1)/(--(SEARCH(CS$2,N_Bedarf!$CE$2:$CE$304)&gt;0)),ROW()-2),1),"")</f>
        <v/>
      </c>
      <c r="CS218" s="1620"/>
      <c r="CT218" s="1620" t="str">
        <f>IFERROR(INDEX(N_Bedarf!$CE$2:$CE$304,_xlfn.AGGREGATE(15,6,(ROW(N_Bedarf!$CE$2:$CE$304)-1)/(--(SEARCH(CU$2,N_Bedarf!$CE$2:$CE$304)&gt;0)),ROW()-2),1),"")</f>
        <v/>
      </c>
      <c r="CU218" s="1620"/>
      <c r="CV218" s="1620" t="str">
        <f>IFERROR(INDEX(N_Bedarf!$CE$2:$CE$304,_xlfn.AGGREGATE(15,6,(ROW(N_Bedarf!$CE$2:$CE$304)-1)/(--(SEARCH(CW$2,N_Bedarf!$CE$2:$CE$304)&gt;0)),ROW()-2),1),"")</f>
        <v/>
      </c>
      <c r="CW218" s="1620"/>
      <c r="CX218" s="1620" t="str">
        <f>IFERROR(INDEX(N_Bedarf!$CE$2:$CE$304,_xlfn.AGGREGATE(15,6,(ROW(N_Bedarf!$CE$2:$CE$304)-1)/(--(SEARCH(CY$2,N_Bedarf!$CE$2:$CE$304)&gt;0)),ROW()-2),1),"")</f>
        <v/>
      </c>
      <c r="CY218" s="1620"/>
      <c r="CZ218" s="1620" t="str">
        <f>IFERROR(INDEX(N_Bedarf!$CE$2:$CE$304,_xlfn.AGGREGATE(15,6,(ROW(N_Bedarf!$CE$2:$CE$304)-1)/(--(SEARCH(DA$2,N_Bedarf!$CE$2:$CE$304)&gt;0)),ROW()-2),1),"")</f>
        <v/>
      </c>
      <c r="DA218" s="1620"/>
      <c r="DB218" s="1620" t="str">
        <f>IFERROR(INDEX(N_Bedarf!$CE$2:$CE$304,_xlfn.AGGREGATE(15,6,(ROW(N_Bedarf!$CE$2:$CE$304)-1)/(--(SEARCH(DC$2,N_Bedarf!$CE$2:$CE$304)&gt;0)),ROW()-2),1),"")</f>
        <v/>
      </c>
      <c r="DC218" s="1620"/>
      <c r="DD218" s="1620" t="str">
        <f>IFERROR(INDEX(N_Bedarf!$CE$2:$CE$304,_xlfn.AGGREGATE(15,6,(ROW(N_Bedarf!$CE$2:$CE$304)-1)/(--(SEARCH(DE$2,N_Bedarf!$CE$2:$CE$304)&gt;0)),ROW()-2),1),"")</f>
        <v/>
      </c>
      <c r="DE218" s="1620"/>
      <c r="ES218" s="768"/>
      <c r="ET218" s="768"/>
      <c r="EU218" s="768"/>
      <c r="EV218" s="768"/>
      <c r="EW218" s="768"/>
    </row>
    <row r="219" spans="3:153" s="394" customFormat="1" ht="21" customHeight="1">
      <c r="C219" s="1790" t="s">
        <v>86</v>
      </c>
      <c r="D219" s="1759" t="s">
        <v>714</v>
      </c>
      <c r="E219" s="1729">
        <v>150</v>
      </c>
      <c r="F219" s="1760">
        <v>130</v>
      </c>
      <c r="G219" s="1993" t="s">
        <v>714</v>
      </c>
      <c r="H219" s="1994">
        <v>150</v>
      </c>
      <c r="I219" s="1995">
        <v>130</v>
      </c>
      <c r="J219" s="1759" t="s">
        <v>714</v>
      </c>
      <c r="K219" s="1729">
        <v>150</v>
      </c>
      <c r="L219" s="1760">
        <v>130</v>
      </c>
      <c r="M219" s="1"/>
      <c r="N219" s="1"/>
      <c r="O219" s="1"/>
      <c r="P219" s="1"/>
      <c r="Q219" s="1"/>
      <c r="R219" s="1"/>
      <c r="S219" s="1759">
        <v>75</v>
      </c>
      <c r="T219" s="1729">
        <v>75</v>
      </c>
      <c r="U219" s="1760">
        <v>75</v>
      </c>
      <c r="V219" s="1759">
        <v>65</v>
      </c>
      <c r="W219" s="1729">
        <v>65</v>
      </c>
      <c r="X219" s="1760">
        <v>65</v>
      </c>
      <c r="Y219" s="2009">
        <v>50</v>
      </c>
      <c r="Z219" s="2010">
        <v>50</v>
      </c>
      <c r="AA219" s="2011">
        <v>50</v>
      </c>
      <c r="AB219" s="1871" t="s">
        <v>1388</v>
      </c>
      <c r="AC219" s="1737" t="s">
        <v>1389</v>
      </c>
      <c r="AD219" s="1762">
        <v>135</v>
      </c>
      <c r="AE219" s="1729">
        <v>135</v>
      </c>
      <c r="AF219" s="1760">
        <v>135</v>
      </c>
      <c r="AG219" s="1759">
        <v>115</v>
      </c>
      <c r="AH219" s="1729">
        <v>115</v>
      </c>
      <c r="AI219" s="1760">
        <v>115</v>
      </c>
      <c r="AJ219" s="2009">
        <v>90</v>
      </c>
      <c r="AK219" s="2010">
        <v>90</v>
      </c>
      <c r="AL219" s="2011">
        <v>90</v>
      </c>
      <c r="AM219" s="1871" t="s">
        <v>1390</v>
      </c>
      <c r="AN219" s="1763" t="s">
        <v>1389</v>
      </c>
      <c r="AR219" s="156"/>
      <c r="AS219" s="156"/>
      <c r="AT219" s="156"/>
      <c r="AU219" s="397"/>
      <c r="AV219" s="396"/>
      <c r="AW219" s="396"/>
      <c r="AX219" s="1669"/>
      <c r="AY219" s="3"/>
      <c r="AZ219" s="3"/>
      <c r="BA219" s="3"/>
      <c r="BB219" s="3"/>
      <c r="BC219" s="3"/>
      <c r="BD219" s="3"/>
      <c r="BE219" s="3"/>
      <c r="BF219" s="3"/>
      <c r="BG219" s="3"/>
      <c r="BH219" s="3"/>
      <c r="BI219" s="3"/>
      <c r="BJ219" s="3"/>
      <c r="BK219" s="3"/>
      <c r="BL219" s="3"/>
      <c r="BM219" s="3"/>
      <c r="BN219" s="263"/>
      <c r="BO219" s="3"/>
      <c r="BQ219" s="1669"/>
      <c r="BR219" s="397"/>
      <c r="BS219" s="397"/>
      <c r="BT219" s="397"/>
      <c r="BV219" s="1669"/>
      <c r="BW219" s="397"/>
      <c r="BX219" s="397"/>
      <c r="BY219" s="397"/>
      <c r="BZ219" s="1751"/>
      <c r="CE219" s="1669"/>
      <c r="CF219" s="1620" t="str">
        <f>IFERROR(INDEX(N_Bedarf!$CE$2:$CE$304,_xlfn.AGGREGATE(15,6,(ROW(N_Bedarf!$CE$2:$CE$304)-1)/(--(SEARCH(CG$2,N_Bedarf!$CE$2:$CE$304)&gt;0)),ROW()-2),1),"")</f>
        <v/>
      </c>
      <c r="CG219" s="1620"/>
      <c r="CH219" s="1620" t="str">
        <f>IFERROR(INDEX(N_Bedarf!$CE$2:$CE$304,_xlfn.AGGREGATE(15,6,(ROW(N_Bedarf!$CE$2:$CE$304)-1)/(--(SEARCH(CI$2,N_Bedarf!$CE$2:$CE$304)&gt;0)),ROW()-2),1),"")</f>
        <v/>
      </c>
      <c r="CI219" s="1620"/>
      <c r="CJ219" s="1620" t="str">
        <f>IFERROR(INDEX(N_Bedarf!$CE$2:$CE$304,_xlfn.AGGREGATE(15,6,(ROW(N_Bedarf!$CE$2:$CE$304)-1)/(--(SEARCH(CK$2,N_Bedarf!$CE$2:$CE$304)&gt;0)),ROW()-2),1),"")</f>
        <v/>
      </c>
      <c r="CK219" s="1620"/>
      <c r="CL219" s="1620" t="str">
        <f>IFERROR(INDEX(N_Bedarf!$CE$2:$CE$304,_xlfn.AGGREGATE(15,6,(ROW(N_Bedarf!$CE$2:$CE$304)-1)/(--(SEARCH(CM$2,N_Bedarf!$CE$2:$CE$304)&gt;0)),ROW()-2),1),"")</f>
        <v/>
      </c>
      <c r="CM219" s="1620"/>
      <c r="CN219" s="1620" t="str">
        <f>IFERROR(INDEX(N_Bedarf!$CE$2:$CE$304,_xlfn.AGGREGATE(15,6,(ROW(N_Bedarf!$CE$2:$CE$304)-1)/(--(SEARCH(CO$2,N_Bedarf!$CE$2:$CE$304)&gt;0)),ROW()-2),1),"")</f>
        <v/>
      </c>
      <c r="CO219" s="1620"/>
      <c r="CP219" s="1620" t="str">
        <f>IFERROR(INDEX(N_Bedarf!$CE$2:$CE$304,_xlfn.AGGREGATE(15,6,(ROW(N_Bedarf!$CE$2:$CE$304)-1)/(--(SEARCH(CQ$2,N_Bedarf!$CE$2:$CE$304)&gt;0)),ROW()-2),1),"")</f>
        <v/>
      </c>
      <c r="CQ219" s="1620"/>
      <c r="CR219" s="1620" t="str">
        <f>IFERROR(INDEX(N_Bedarf!$CE$2:$CE$304,_xlfn.AGGREGATE(15,6,(ROW(N_Bedarf!$CE$2:$CE$304)-1)/(--(SEARCH(CS$2,N_Bedarf!$CE$2:$CE$304)&gt;0)),ROW()-2),1),"")</f>
        <v/>
      </c>
      <c r="CS219" s="1620"/>
      <c r="CT219" s="1620" t="str">
        <f>IFERROR(INDEX(N_Bedarf!$CE$2:$CE$304,_xlfn.AGGREGATE(15,6,(ROW(N_Bedarf!$CE$2:$CE$304)-1)/(--(SEARCH(CU$2,N_Bedarf!$CE$2:$CE$304)&gt;0)),ROW()-2),1),"")</f>
        <v/>
      </c>
      <c r="CU219" s="1620"/>
      <c r="CV219" s="1620" t="str">
        <f>IFERROR(INDEX(N_Bedarf!$CE$2:$CE$304,_xlfn.AGGREGATE(15,6,(ROW(N_Bedarf!$CE$2:$CE$304)-1)/(--(SEARCH(CW$2,N_Bedarf!$CE$2:$CE$304)&gt;0)),ROW()-2),1),"")</f>
        <v/>
      </c>
      <c r="CW219" s="1620"/>
      <c r="CX219" s="1620" t="str">
        <f>IFERROR(INDEX(N_Bedarf!$CE$2:$CE$304,_xlfn.AGGREGATE(15,6,(ROW(N_Bedarf!$CE$2:$CE$304)-1)/(--(SEARCH(CY$2,N_Bedarf!$CE$2:$CE$304)&gt;0)),ROW()-2),1),"")</f>
        <v/>
      </c>
      <c r="CY219" s="1620"/>
      <c r="CZ219" s="1620" t="str">
        <f>IFERROR(INDEX(N_Bedarf!$CE$2:$CE$304,_xlfn.AGGREGATE(15,6,(ROW(N_Bedarf!$CE$2:$CE$304)-1)/(--(SEARCH(DA$2,N_Bedarf!$CE$2:$CE$304)&gt;0)),ROW()-2),1),"")</f>
        <v/>
      </c>
      <c r="DA219" s="1620"/>
      <c r="DB219" s="1620" t="str">
        <f>IFERROR(INDEX(N_Bedarf!$CE$2:$CE$304,_xlfn.AGGREGATE(15,6,(ROW(N_Bedarf!$CE$2:$CE$304)-1)/(--(SEARCH(DC$2,N_Bedarf!$CE$2:$CE$304)&gt;0)),ROW()-2),1),"")</f>
        <v/>
      </c>
      <c r="DC219" s="1620"/>
      <c r="DD219" s="1620" t="str">
        <f>IFERROR(INDEX(N_Bedarf!$CE$2:$CE$304,_xlfn.AGGREGATE(15,6,(ROW(N_Bedarf!$CE$2:$CE$304)-1)/(--(SEARCH(DE$2,N_Bedarf!$CE$2:$CE$304)&gt;0)),ROW()-2),1),"")</f>
        <v/>
      </c>
      <c r="DE219" s="1620"/>
      <c r="ES219" s="768"/>
      <c r="ET219" s="768"/>
      <c r="EU219" s="768"/>
      <c r="EV219" s="768"/>
      <c r="EW219" s="768"/>
    </row>
    <row r="220" spans="3:153" s="394" customFormat="1" ht="21" customHeight="1">
      <c r="C220" s="1790" t="s">
        <v>87</v>
      </c>
      <c r="D220" s="1759" t="s">
        <v>714</v>
      </c>
      <c r="E220" s="1729">
        <v>150</v>
      </c>
      <c r="F220" s="1760">
        <v>130</v>
      </c>
      <c r="G220" s="1993" t="s">
        <v>714</v>
      </c>
      <c r="H220" s="1994">
        <v>150</v>
      </c>
      <c r="I220" s="1995">
        <v>130</v>
      </c>
      <c r="J220" s="1759" t="s">
        <v>714</v>
      </c>
      <c r="K220" s="1729">
        <v>150</v>
      </c>
      <c r="L220" s="1760">
        <v>130</v>
      </c>
      <c r="M220" s="1"/>
      <c r="N220" s="1"/>
      <c r="O220" s="1"/>
      <c r="P220" s="1"/>
      <c r="Q220" s="1"/>
      <c r="R220" s="1"/>
      <c r="S220" s="1759">
        <v>120</v>
      </c>
      <c r="T220" s="1729">
        <v>120</v>
      </c>
      <c r="U220" s="1760">
        <v>120</v>
      </c>
      <c r="V220" s="1759">
        <v>100</v>
      </c>
      <c r="W220" s="1729">
        <v>100</v>
      </c>
      <c r="X220" s="1760">
        <v>100</v>
      </c>
      <c r="Y220" s="2009">
        <v>80</v>
      </c>
      <c r="Z220" s="2010">
        <v>80</v>
      </c>
      <c r="AA220" s="2011">
        <v>80</v>
      </c>
      <c r="AB220" s="1871" t="s">
        <v>1388</v>
      </c>
      <c r="AC220" s="1737" t="s">
        <v>1389</v>
      </c>
      <c r="AD220" s="1762">
        <v>150</v>
      </c>
      <c r="AE220" s="1729">
        <v>150</v>
      </c>
      <c r="AF220" s="1760">
        <v>150</v>
      </c>
      <c r="AG220" s="1759">
        <v>125</v>
      </c>
      <c r="AH220" s="1729">
        <v>125</v>
      </c>
      <c r="AI220" s="1760">
        <v>125</v>
      </c>
      <c r="AJ220" s="2009">
        <v>100</v>
      </c>
      <c r="AK220" s="2010">
        <v>100</v>
      </c>
      <c r="AL220" s="2011">
        <v>100</v>
      </c>
      <c r="AM220" s="1871" t="s">
        <v>1390</v>
      </c>
      <c r="AN220" s="1763" t="s">
        <v>1389</v>
      </c>
      <c r="AR220" s="156"/>
      <c r="AS220" s="156"/>
      <c r="AT220" s="156"/>
      <c r="AU220" s="397"/>
      <c r="AV220" s="396"/>
      <c r="AW220" s="396"/>
      <c r="AX220" s="1669"/>
      <c r="AY220" s="3"/>
      <c r="AZ220" s="3"/>
      <c r="BA220" s="3"/>
      <c r="BB220" s="3"/>
      <c r="BC220" s="3"/>
      <c r="BD220" s="3"/>
      <c r="BE220" s="3"/>
      <c r="BF220" s="3"/>
      <c r="BG220" s="3"/>
      <c r="BH220" s="3"/>
      <c r="BI220" s="3"/>
      <c r="BJ220" s="3"/>
      <c r="BK220" s="3"/>
      <c r="BL220" s="3"/>
      <c r="BM220" s="3"/>
      <c r="BN220" s="263"/>
      <c r="BO220" s="3"/>
      <c r="BQ220" s="1669"/>
      <c r="BR220" s="397"/>
      <c r="BS220" s="397"/>
      <c r="BT220" s="397"/>
      <c r="BV220" s="1669"/>
      <c r="BW220" s="397"/>
      <c r="BX220" s="397"/>
      <c r="BY220" s="397"/>
      <c r="BZ220" s="1751"/>
      <c r="CE220" s="1669"/>
      <c r="CF220" s="1620" t="str">
        <f>IFERROR(INDEX(N_Bedarf!$CE$2:$CE$304,_xlfn.AGGREGATE(15,6,(ROW(N_Bedarf!$CE$2:$CE$304)-1)/(--(SEARCH(CG$2,N_Bedarf!$CE$2:$CE$304)&gt;0)),ROW()-2),1),"")</f>
        <v/>
      </c>
      <c r="CG220" s="1620"/>
      <c r="CH220" s="1620" t="str">
        <f>IFERROR(INDEX(N_Bedarf!$CE$2:$CE$304,_xlfn.AGGREGATE(15,6,(ROW(N_Bedarf!$CE$2:$CE$304)-1)/(--(SEARCH(CI$2,N_Bedarf!$CE$2:$CE$304)&gt;0)),ROW()-2),1),"")</f>
        <v/>
      </c>
      <c r="CI220" s="1620"/>
      <c r="CJ220" s="1620" t="str">
        <f>IFERROR(INDEX(N_Bedarf!$CE$2:$CE$304,_xlfn.AGGREGATE(15,6,(ROW(N_Bedarf!$CE$2:$CE$304)-1)/(--(SEARCH(CK$2,N_Bedarf!$CE$2:$CE$304)&gt;0)),ROW()-2),1),"")</f>
        <v/>
      </c>
      <c r="CK220" s="1620"/>
      <c r="CL220" s="1620" t="str">
        <f>IFERROR(INDEX(N_Bedarf!$CE$2:$CE$304,_xlfn.AGGREGATE(15,6,(ROW(N_Bedarf!$CE$2:$CE$304)-1)/(--(SEARCH(CM$2,N_Bedarf!$CE$2:$CE$304)&gt;0)),ROW()-2),1),"")</f>
        <v/>
      </c>
      <c r="CM220" s="1620"/>
      <c r="CN220" s="1620" t="str">
        <f>IFERROR(INDEX(N_Bedarf!$CE$2:$CE$304,_xlfn.AGGREGATE(15,6,(ROW(N_Bedarf!$CE$2:$CE$304)-1)/(--(SEARCH(CO$2,N_Bedarf!$CE$2:$CE$304)&gt;0)),ROW()-2),1),"")</f>
        <v/>
      </c>
      <c r="CO220" s="1620"/>
      <c r="CP220" s="1620" t="str">
        <f>IFERROR(INDEX(N_Bedarf!$CE$2:$CE$304,_xlfn.AGGREGATE(15,6,(ROW(N_Bedarf!$CE$2:$CE$304)-1)/(--(SEARCH(CQ$2,N_Bedarf!$CE$2:$CE$304)&gt;0)),ROW()-2),1),"")</f>
        <v/>
      </c>
      <c r="CQ220" s="1620"/>
      <c r="CR220" s="1620" t="str">
        <f>IFERROR(INDEX(N_Bedarf!$CE$2:$CE$304,_xlfn.AGGREGATE(15,6,(ROW(N_Bedarf!$CE$2:$CE$304)-1)/(--(SEARCH(CS$2,N_Bedarf!$CE$2:$CE$304)&gt;0)),ROW()-2),1),"")</f>
        <v/>
      </c>
      <c r="CS220" s="1620"/>
      <c r="CT220" s="1620" t="str">
        <f>IFERROR(INDEX(N_Bedarf!$CE$2:$CE$304,_xlfn.AGGREGATE(15,6,(ROW(N_Bedarf!$CE$2:$CE$304)-1)/(--(SEARCH(CU$2,N_Bedarf!$CE$2:$CE$304)&gt;0)),ROW()-2),1),"")</f>
        <v/>
      </c>
      <c r="CU220" s="1620"/>
      <c r="CV220" s="1620" t="str">
        <f>IFERROR(INDEX(N_Bedarf!$CE$2:$CE$304,_xlfn.AGGREGATE(15,6,(ROW(N_Bedarf!$CE$2:$CE$304)-1)/(--(SEARCH(CW$2,N_Bedarf!$CE$2:$CE$304)&gt;0)),ROW()-2),1),"")</f>
        <v/>
      </c>
      <c r="CW220" s="1620"/>
      <c r="CX220" s="1620" t="str">
        <f>IFERROR(INDEX(N_Bedarf!$CE$2:$CE$304,_xlfn.AGGREGATE(15,6,(ROW(N_Bedarf!$CE$2:$CE$304)-1)/(--(SEARCH(CY$2,N_Bedarf!$CE$2:$CE$304)&gt;0)),ROW()-2),1),"")</f>
        <v/>
      </c>
      <c r="CY220" s="1620"/>
      <c r="CZ220" s="1620" t="str">
        <f>IFERROR(INDEX(N_Bedarf!$CE$2:$CE$304,_xlfn.AGGREGATE(15,6,(ROW(N_Bedarf!$CE$2:$CE$304)-1)/(--(SEARCH(DA$2,N_Bedarf!$CE$2:$CE$304)&gt;0)),ROW()-2),1),"")</f>
        <v/>
      </c>
      <c r="DA220" s="1620"/>
      <c r="DB220" s="1620" t="str">
        <f>IFERROR(INDEX(N_Bedarf!$CE$2:$CE$304,_xlfn.AGGREGATE(15,6,(ROW(N_Bedarf!$CE$2:$CE$304)-1)/(--(SEARCH(DC$2,N_Bedarf!$CE$2:$CE$304)&gt;0)),ROW()-2),1),"")</f>
        <v/>
      </c>
      <c r="DC220" s="1620"/>
      <c r="DD220" s="1620" t="str">
        <f>IFERROR(INDEX(N_Bedarf!$CE$2:$CE$304,_xlfn.AGGREGATE(15,6,(ROW(N_Bedarf!$CE$2:$CE$304)-1)/(--(SEARCH(DE$2,N_Bedarf!$CE$2:$CE$304)&gt;0)),ROW()-2),1),"")</f>
        <v/>
      </c>
      <c r="DE220" s="1620"/>
      <c r="ES220" s="768"/>
      <c r="ET220" s="768"/>
      <c r="EU220" s="768"/>
      <c r="EV220" s="768"/>
      <c r="EW220" s="768"/>
    </row>
    <row r="221" spans="3:153" s="394" customFormat="1" ht="21" customHeight="1">
      <c r="C221" s="1790" t="s">
        <v>88</v>
      </c>
      <c r="D221" s="1759" t="s">
        <v>714</v>
      </c>
      <c r="E221" s="1729">
        <v>100</v>
      </c>
      <c r="F221" s="1760">
        <v>85</v>
      </c>
      <c r="G221" s="1993" t="s">
        <v>714</v>
      </c>
      <c r="H221" s="1994">
        <v>100</v>
      </c>
      <c r="I221" s="1995">
        <v>85</v>
      </c>
      <c r="J221" s="1759" t="s">
        <v>714</v>
      </c>
      <c r="K221" s="1729">
        <v>100</v>
      </c>
      <c r="L221" s="1760">
        <v>85</v>
      </c>
      <c r="M221" s="1"/>
      <c r="N221" s="1"/>
      <c r="O221" s="1"/>
      <c r="P221" s="1"/>
      <c r="Q221" s="1"/>
      <c r="R221" s="1"/>
      <c r="S221" s="1759">
        <v>60</v>
      </c>
      <c r="T221" s="1729">
        <v>60</v>
      </c>
      <c r="U221" s="1760">
        <v>60</v>
      </c>
      <c r="V221" s="1759">
        <v>50</v>
      </c>
      <c r="W221" s="1729">
        <v>50</v>
      </c>
      <c r="X221" s="1760">
        <v>50</v>
      </c>
      <c r="Y221" s="2009">
        <v>40</v>
      </c>
      <c r="Z221" s="2010">
        <v>40</v>
      </c>
      <c r="AA221" s="2011">
        <v>40</v>
      </c>
      <c r="AB221" s="1871" t="s">
        <v>1388</v>
      </c>
      <c r="AC221" s="1737" t="s">
        <v>1389</v>
      </c>
      <c r="AD221" s="1762">
        <v>130</v>
      </c>
      <c r="AE221" s="1729">
        <v>130</v>
      </c>
      <c r="AF221" s="1760">
        <v>130</v>
      </c>
      <c r="AG221" s="1759">
        <v>105</v>
      </c>
      <c r="AH221" s="1729">
        <v>105</v>
      </c>
      <c r="AI221" s="1760">
        <v>105</v>
      </c>
      <c r="AJ221" s="2009">
        <v>85</v>
      </c>
      <c r="AK221" s="2010">
        <v>85</v>
      </c>
      <c r="AL221" s="2011">
        <v>85</v>
      </c>
      <c r="AM221" s="1871" t="s">
        <v>1390</v>
      </c>
      <c r="AN221" s="1763" t="s">
        <v>1389</v>
      </c>
      <c r="AR221" s="156"/>
      <c r="AS221" s="156"/>
      <c r="AT221" s="156"/>
      <c r="AU221" s="397"/>
      <c r="AV221" s="396"/>
      <c r="AW221" s="396"/>
      <c r="AX221" s="1669"/>
      <c r="AY221" s="3"/>
      <c r="AZ221" s="3"/>
      <c r="BA221" s="3"/>
      <c r="BB221" s="3"/>
      <c r="BC221" s="3"/>
      <c r="BD221" s="3"/>
      <c r="BE221" s="3"/>
      <c r="BF221" s="3"/>
      <c r="BG221" s="3"/>
      <c r="BH221" s="3"/>
      <c r="BI221" s="3"/>
      <c r="BJ221" s="3"/>
      <c r="BK221" s="3"/>
      <c r="BL221" s="3"/>
      <c r="BM221" s="3"/>
      <c r="BN221" s="263"/>
      <c r="BO221" s="3"/>
      <c r="BQ221" s="1669"/>
      <c r="BR221" s="397"/>
      <c r="BS221" s="397"/>
      <c r="BT221" s="397"/>
      <c r="BV221" s="1669"/>
      <c r="BW221" s="397"/>
      <c r="BX221" s="397"/>
      <c r="BY221" s="397"/>
      <c r="BZ221" s="1751"/>
      <c r="CE221" s="1669"/>
      <c r="CF221" s="1620" t="str">
        <f>IFERROR(INDEX(N_Bedarf!$CE$2:$CE$304,_xlfn.AGGREGATE(15,6,(ROW(N_Bedarf!$CE$2:$CE$304)-1)/(--(SEARCH(CG$2,N_Bedarf!$CE$2:$CE$304)&gt;0)),ROW()-2),1),"")</f>
        <v/>
      </c>
      <c r="CG221" s="1620"/>
      <c r="CH221" s="1620" t="str">
        <f>IFERROR(INDEX(N_Bedarf!$CE$2:$CE$304,_xlfn.AGGREGATE(15,6,(ROW(N_Bedarf!$CE$2:$CE$304)-1)/(--(SEARCH(CI$2,N_Bedarf!$CE$2:$CE$304)&gt;0)),ROW()-2),1),"")</f>
        <v/>
      </c>
      <c r="CI221" s="1620"/>
      <c r="CJ221" s="1620" t="str">
        <f>IFERROR(INDEX(N_Bedarf!$CE$2:$CE$304,_xlfn.AGGREGATE(15,6,(ROW(N_Bedarf!$CE$2:$CE$304)-1)/(--(SEARCH(CK$2,N_Bedarf!$CE$2:$CE$304)&gt;0)),ROW()-2),1),"")</f>
        <v/>
      </c>
      <c r="CK221" s="1620"/>
      <c r="CL221" s="1620" t="str">
        <f>IFERROR(INDEX(N_Bedarf!$CE$2:$CE$304,_xlfn.AGGREGATE(15,6,(ROW(N_Bedarf!$CE$2:$CE$304)-1)/(--(SEARCH(CM$2,N_Bedarf!$CE$2:$CE$304)&gt;0)),ROW()-2),1),"")</f>
        <v/>
      </c>
      <c r="CM221" s="1620"/>
      <c r="CN221" s="1620" t="str">
        <f>IFERROR(INDEX(N_Bedarf!$CE$2:$CE$304,_xlfn.AGGREGATE(15,6,(ROW(N_Bedarf!$CE$2:$CE$304)-1)/(--(SEARCH(CO$2,N_Bedarf!$CE$2:$CE$304)&gt;0)),ROW()-2),1),"")</f>
        <v/>
      </c>
      <c r="CO221" s="1620"/>
      <c r="CP221" s="1620" t="str">
        <f>IFERROR(INDEX(N_Bedarf!$CE$2:$CE$304,_xlfn.AGGREGATE(15,6,(ROW(N_Bedarf!$CE$2:$CE$304)-1)/(--(SEARCH(CQ$2,N_Bedarf!$CE$2:$CE$304)&gt;0)),ROW()-2),1),"")</f>
        <v/>
      </c>
      <c r="CQ221" s="1620"/>
      <c r="CR221" s="1620" t="str">
        <f>IFERROR(INDEX(N_Bedarf!$CE$2:$CE$304,_xlfn.AGGREGATE(15,6,(ROW(N_Bedarf!$CE$2:$CE$304)-1)/(--(SEARCH(CS$2,N_Bedarf!$CE$2:$CE$304)&gt;0)),ROW()-2),1),"")</f>
        <v/>
      </c>
      <c r="CS221" s="1620"/>
      <c r="CT221" s="1620" t="str">
        <f>IFERROR(INDEX(N_Bedarf!$CE$2:$CE$304,_xlfn.AGGREGATE(15,6,(ROW(N_Bedarf!$CE$2:$CE$304)-1)/(--(SEARCH(CU$2,N_Bedarf!$CE$2:$CE$304)&gt;0)),ROW()-2),1),"")</f>
        <v/>
      </c>
      <c r="CU221" s="1620"/>
      <c r="CV221" s="1620" t="str">
        <f>IFERROR(INDEX(N_Bedarf!$CE$2:$CE$304,_xlfn.AGGREGATE(15,6,(ROW(N_Bedarf!$CE$2:$CE$304)-1)/(--(SEARCH(CW$2,N_Bedarf!$CE$2:$CE$304)&gt;0)),ROW()-2),1),"")</f>
        <v/>
      </c>
      <c r="CW221" s="1620"/>
      <c r="CX221" s="1620" t="str">
        <f>IFERROR(INDEX(N_Bedarf!$CE$2:$CE$304,_xlfn.AGGREGATE(15,6,(ROW(N_Bedarf!$CE$2:$CE$304)-1)/(--(SEARCH(CY$2,N_Bedarf!$CE$2:$CE$304)&gt;0)),ROW()-2),1),"")</f>
        <v/>
      </c>
      <c r="CY221" s="1620"/>
      <c r="CZ221" s="1620" t="str">
        <f>IFERROR(INDEX(N_Bedarf!$CE$2:$CE$304,_xlfn.AGGREGATE(15,6,(ROW(N_Bedarf!$CE$2:$CE$304)-1)/(--(SEARCH(DA$2,N_Bedarf!$CE$2:$CE$304)&gt;0)),ROW()-2),1),"")</f>
        <v/>
      </c>
      <c r="DA221" s="1620"/>
      <c r="DB221" s="1620" t="str">
        <f>IFERROR(INDEX(N_Bedarf!$CE$2:$CE$304,_xlfn.AGGREGATE(15,6,(ROW(N_Bedarf!$CE$2:$CE$304)-1)/(--(SEARCH(DC$2,N_Bedarf!$CE$2:$CE$304)&gt;0)),ROW()-2),1),"")</f>
        <v/>
      </c>
      <c r="DC221" s="1620"/>
      <c r="DD221" s="1620" t="str">
        <f>IFERROR(INDEX(N_Bedarf!$CE$2:$CE$304,_xlfn.AGGREGATE(15,6,(ROW(N_Bedarf!$CE$2:$CE$304)-1)/(--(SEARCH(DE$2,N_Bedarf!$CE$2:$CE$304)&gt;0)),ROW()-2),1),"")</f>
        <v/>
      </c>
      <c r="DE221" s="1620"/>
      <c r="ES221" s="768"/>
      <c r="ET221" s="768"/>
      <c r="EU221" s="768"/>
      <c r="EV221" s="768"/>
      <c r="EW221" s="768"/>
    </row>
    <row r="222" spans="3:153" s="394" customFormat="1" ht="21" customHeight="1">
      <c r="C222" s="1790" t="s">
        <v>89</v>
      </c>
      <c r="D222" s="1759" t="s">
        <v>714</v>
      </c>
      <c r="E222" s="1729">
        <v>150</v>
      </c>
      <c r="F222" s="1760">
        <v>130</v>
      </c>
      <c r="G222" s="1993" t="s">
        <v>714</v>
      </c>
      <c r="H222" s="1994">
        <v>150</v>
      </c>
      <c r="I222" s="1995">
        <v>130</v>
      </c>
      <c r="J222" s="1759" t="s">
        <v>714</v>
      </c>
      <c r="K222" s="1729">
        <v>150</v>
      </c>
      <c r="L222" s="1760">
        <v>130</v>
      </c>
      <c r="M222" s="1"/>
      <c r="N222" s="1"/>
      <c r="O222" s="1"/>
      <c r="P222" s="1"/>
      <c r="Q222" s="1"/>
      <c r="R222" s="1"/>
      <c r="S222" s="1759">
        <v>85</v>
      </c>
      <c r="T222" s="1729">
        <v>85</v>
      </c>
      <c r="U222" s="1760">
        <v>85</v>
      </c>
      <c r="V222" s="1759">
        <v>70</v>
      </c>
      <c r="W222" s="1729">
        <v>70</v>
      </c>
      <c r="X222" s="1760">
        <v>70</v>
      </c>
      <c r="Y222" s="2009">
        <v>55</v>
      </c>
      <c r="Z222" s="2010">
        <v>55</v>
      </c>
      <c r="AA222" s="2011">
        <v>55</v>
      </c>
      <c r="AB222" s="1871" t="s">
        <v>1388</v>
      </c>
      <c r="AC222" s="1737" t="s">
        <v>1389</v>
      </c>
      <c r="AD222" s="1762">
        <v>360</v>
      </c>
      <c r="AE222" s="1729">
        <v>360</v>
      </c>
      <c r="AF222" s="1760">
        <v>360</v>
      </c>
      <c r="AG222" s="1759">
        <v>300</v>
      </c>
      <c r="AH222" s="1729">
        <v>300</v>
      </c>
      <c r="AI222" s="1760">
        <v>300</v>
      </c>
      <c r="AJ222" s="2009">
        <v>240</v>
      </c>
      <c r="AK222" s="2010">
        <v>240</v>
      </c>
      <c r="AL222" s="2011">
        <v>240</v>
      </c>
      <c r="AM222" s="1871" t="s">
        <v>1390</v>
      </c>
      <c r="AN222" s="1763" t="s">
        <v>1389</v>
      </c>
      <c r="AR222" s="156"/>
      <c r="AS222" s="156"/>
      <c r="AT222" s="156"/>
      <c r="AU222" s="397"/>
      <c r="AV222" s="396"/>
      <c r="AW222" s="396"/>
      <c r="AX222" s="1669"/>
      <c r="AY222" s="3"/>
      <c r="AZ222" s="3"/>
      <c r="BA222" s="3"/>
      <c r="BB222" s="3"/>
      <c r="BC222" s="3"/>
      <c r="BD222" s="3"/>
      <c r="BE222" s="3"/>
      <c r="BF222" s="3"/>
      <c r="BG222" s="3"/>
      <c r="BH222" s="3"/>
      <c r="BI222" s="3"/>
      <c r="BJ222" s="3"/>
      <c r="BK222" s="3"/>
      <c r="BL222" s="3"/>
      <c r="BM222" s="3"/>
      <c r="BN222" s="263"/>
      <c r="BO222" s="3"/>
      <c r="BQ222" s="1669"/>
      <c r="BR222" s="397"/>
      <c r="BS222" s="397"/>
      <c r="BT222" s="397"/>
      <c r="BV222" s="1669"/>
      <c r="BW222" s="397"/>
      <c r="BX222" s="397"/>
      <c r="BY222" s="397"/>
      <c r="BZ222" s="1751"/>
      <c r="CE222" s="1669"/>
      <c r="CF222" s="1620" t="str">
        <f>IFERROR(INDEX(N_Bedarf!$CE$2:$CE$304,_xlfn.AGGREGATE(15,6,(ROW(N_Bedarf!$CE$2:$CE$304)-1)/(--(SEARCH(CG$2,N_Bedarf!$CE$2:$CE$304)&gt;0)),ROW()-2),1),"")</f>
        <v/>
      </c>
      <c r="CG222" s="1620"/>
      <c r="CH222" s="1620" t="str">
        <f>IFERROR(INDEX(N_Bedarf!$CE$2:$CE$304,_xlfn.AGGREGATE(15,6,(ROW(N_Bedarf!$CE$2:$CE$304)-1)/(--(SEARCH(CI$2,N_Bedarf!$CE$2:$CE$304)&gt;0)),ROW()-2),1),"")</f>
        <v/>
      </c>
      <c r="CI222" s="1620"/>
      <c r="CJ222" s="1620" t="str">
        <f>IFERROR(INDEX(N_Bedarf!$CE$2:$CE$304,_xlfn.AGGREGATE(15,6,(ROW(N_Bedarf!$CE$2:$CE$304)-1)/(--(SEARCH(CK$2,N_Bedarf!$CE$2:$CE$304)&gt;0)),ROW()-2),1),"")</f>
        <v/>
      </c>
      <c r="CK222" s="1620"/>
      <c r="CL222" s="1620" t="str">
        <f>IFERROR(INDEX(N_Bedarf!$CE$2:$CE$304,_xlfn.AGGREGATE(15,6,(ROW(N_Bedarf!$CE$2:$CE$304)-1)/(--(SEARCH(CM$2,N_Bedarf!$CE$2:$CE$304)&gt;0)),ROW()-2),1),"")</f>
        <v/>
      </c>
      <c r="CM222" s="1620"/>
      <c r="CN222" s="1620" t="str">
        <f>IFERROR(INDEX(N_Bedarf!$CE$2:$CE$304,_xlfn.AGGREGATE(15,6,(ROW(N_Bedarf!$CE$2:$CE$304)-1)/(--(SEARCH(CO$2,N_Bedarf!$CE$2:$CE$304)&gt;0)),ROW()-2),1),"")</f>
        <v/>
      </c>
      <c r="CO222" s="1620"/>
      <c r="CP222" s="1620" t="str">
        <f>IFERROR(INDEX(N_Bedarf!$CE$2:$CE$304,_xlfn.AGGREGATE(15,6,(ROW(N_Bedarf!$CE$2:$CE$304)-1)/(--(SEARCH(CQ$2,N_Bedarf!$CE$2:$CE$304)&gt;0)),ROW()-2),1),"")</f>
        <v/>
      </c>
      <c r="CQ222" s="1620"/>
      <c r="CR222" s="1620" t="str">
        <f>IFERROR(INDEX(N_Bedarf!$CE$2:$CE$304,_xlfn.AGGREGATE(15,6,(ROW(N_Bedarf!$CE$2:$CE$304)-1)/(--(SEARCH(CS$2,N_Bedarf!$CE$2:$CE$304)&gt;0)),ROW()-2),1),"")</f>
        <v/>
      </c>
      <c r="CS222" s="1620"/>
      <c r="CT222" s="1620" t="str">
        <f>IFERROR(INDEX(N_Bedarf!$CE$2:$CE$304,_xlfn.AGGREGATE(15,6,(ROW(N_Bedarf!$CE$2:$CE$304)-1)/(--(SEARCH(CU$2,N_Bedarf!$CE$2:$CE$304)&gt;0)),ROW()-2),1),"")</f>
        <v/>
      </c>
      <c r="CU222" s="1620"/>
      <c r="CV222" s="1620" t="str">
        <f>IFERROR(INDEX(N_Bedarf!$CE$2:$CE$304,_xlfn.AGGREGATE(15,6,(ROW(N_Bedarf!$CE$2:$CE$304)-1)/(--(SEARCH(CW$2,N_Bedarf!$CE$2:$CE$304)&gt;0)),ROW()-2),1),"")</f>
        <v/>
      </c>
      <c r="CW222" s="1620"/>
      <c r="CX222" s="1620" t="str">
        <f>IFERROR(INDEX(N_Bedarf!$CE$2:$CE$304,_xlfn.AGGREGATE(15,6,(ROW(N_Bedarf!$CE$2:$CE$304)-1)/(--(SEARCH(CY$2,N_Bedarf!$CE$2:$CE$304)&gt;0)),ROW()-2),1),"")</f>
        <v/>
      </c>
      <c r="CY222" s="1620"/>
      <c r="CZ222" s="1620" t="str">
        <f>IFERROR(INDEX(N_Bedarf!$CE$2:$CE$304,_xlfn.AGGREGATE(15,6,(ROW(N_Bedarf!$CE$2:$CE$304)-1)/(--(SEARCH(DA$2,N_Bedarf!$CE$2:$CE$304)&gt;0)),ROW()-2),1),"")</f>
        <v/>
      </c>
      <c r="DA222" s="1620"/>
      <c r="DB222" s="1620" t="str">
        <f>IFERROR(INDEX(N_Bedarf!$CE$2:$CE$304,_xlfn.AGGREGATE(15,6,(ROW(N_Bedarf!$CE$2:$CE$304)-1)/(--(SEARCH(DC$2,N_Bedarf!$CE$2:$CE$304)&gt;0)),ROW()-2),1),"")</f>
        <v/>
      </c>
      <c r="DC222" s="1620"/>
      <c r="DD222" s="1620" t="str">
        <f>IFERROR(INDEX(N_Bedarf!$CE$2:$CE$304,_xlfn.AGGREGATE(15,6,(ROW(N_Bedarf!$CE$2:$CE$304)-1)/(--(SEARCH(DE$2,N_Bedarf!$CE$2:$CE$304)&gt;0)),ROW()-2),1),"")</f>
        <v/>
      </c>
      <c r="DE222" s="1620"/>
      <c r="ES222" s="768"/>
      <c r="ET222" s="768"/>
      <c r="EU222" s="768"/>
      <c r="EV222" s="768"/>
      <c r="EW222" s="768"/>
    </row>
    <row r="223" spans="3:153" s="394" customFormat="1" ht="21" customHeight="1">
      <c r="C223" s="1790" t="s">
        <v>90</v>
      </c>
      <c r="D223" s="1759" t="s">
        <v>714</v>
      </c>
      <c r="E223" s="1729">
        <v>60</v>
      </c>
      <c r="F223" s="1760">
        <v>50</v>
      </c>
      <c r="G223" s="1993" t="s">
        <v>714</v>
      </c>
      <c r="H223" s="1994">
        <v>60</v>
      </c>
      <c r="I223" s="1995">
        <v>50</v>
      </c>
      <c r="J223" s="1759" t="s">
        <v>714</v>
      </c>
      <c r="K223" s="1729">
        <v>60</v>
      </c>
      <c r="L223" s="1760">
        <v>50</v>
      </c>
      <c r="M223" s="1"/>
      <c r="N223" s="1"/>
      <c r="O223" s="1"/>
      <c r="P223" s="1"/>
      <c r="Q223" s="1"/>
      <c r="R223" s="1"/>
      <c r="S223" s="1759"/>
      <c r="T223" s="1729"/>
      <c r="U223" s="1760"/>
      <c r="V223" s="1759"/>
      <c r="W223" s="1729"/>
      <c r="X223" s="1760"/>
      <c r="Y223" s="2009"/>
      <c r="Z223" s="2010"/>
      <c r="AA223" s="2011"/>
      <c r="AB223" s="1871"/>
      <c r="AC223" s="1737"/>
      <c r="AD223" s="1762"/>
      <c r="AE223" s="1729"/>
      <c r="AF223" s="1760"/>
      <c r="AG223" s="1759"/>
      <c r="AH223" s="1729"/>
      <c r="AI223" s="1760"/>
      <c r="AJ223" s="2009"/>
      <c r="AK223" s="2010"/>
      <c r="AL223" s="2011"/>
      <c r="AM223" s="1871"/>
      <c r="AN223" s="1763"/>
      <c r="AR223" s="156"/>
      <c r="AS223" s="156"/>
      <c r="AT223" s="156"/>
      <c r="AU223" s="397"/>
      <c r="AV223" s="396"/>
      <c r="AW223" s="396"/>
      <c r="AX223" s="1669"/>
      <c r="AY223" s="3"/>
      <c r="AZ223" s="3"/>
      <c r="BA223" s="3"/>
      <c r="BB223" s="3"/>
      <c r="BC223" s="3"/>
      <c r="BD223" s="3"/>
      <c r="BE223" s="3"/>
      <c r="BF223" s="3"/>
      <c r="BG223" s="3"/>
      <c r="BH223" s="3"/>
      <c r="BI223" s="3"/>
      <c r="BJ223" s="3"/>
      <c r="BK223" s="3"/>
      <c r="BL223" s="3"/>
      <c r="BM223" s="3"/>
      <c r="BN223" s="263"/>
      <c r="BO223" s="3"/>
      <c r="BQ223" s="1669"/>
      <c r="BR223" s="397"/>
      <c r="BS223" s="397"/>
      <c r="BT223" s="397"/>
      <c r="BV223" s="1669"/>
      <c r="BW223" s="397"/>
      <c r="BX223" s="397"/>
      <c r="BY223" s="397"/>
      <c r="BZ223" s="1751"/>
      <c r="CE223" s="1669"/>
      <c r="CF223" s="1620" t="str">
        <f>IFERROR(INDEX(N_Bedarf!$CE$2:$CE$304,_xlfn.AGGREGATE(15,6,(ROW(N_Bedarf!$CE$2:$CE$304)-1)/(--(SEARCH(CG$2,N_Bedarf!$CE$2:$CE$304)&gt;0)),ROW()-2),1),"")</f>
        <v/>
      </c>
      <c r="CG223" s="1620"/>
      <c r="CH223" s="1620" t="str">
        <f>IFERROR(INDEX(N_Bedarf!$CE$2:$CE$304,_xlfn.AGGREGATE(15,6,(ROW(N_Bedarf!$CE$2:$CE$304)-1)/(--(SEARCH(CI$2,N_Bedarf!$CE$2:$CE$304)&gt;0)),ROW()-2),1),"")</f>
        <v/>
      </c>
      <c r="CI223" s="1620"/>
      <c r="CJ223" s="1620" t="str">
        <f>IFERROR(INDEX(N_Bedarf!$CE$2:$CE$304,_xlfn.AGGREGATE(15,6,(ROW(N_Bedarf!$CE$2:$CE$304)-1)/(--(SEARCH(CK$2,N_Bedarf!$CE$2:$CE$304)&gt;0)),ROW()-2),1),"")</f>
        <v/>
      </c>
      <c r="CK223" s="1620"/>
      <c r="CL223" s="1620" t="str">
        <f>IFERROR(INDEX(N_Bedarf!$CE$2:$CE$304,_xlfn.AGGREGATE(15,6,(ROW(N_Bedarf!$CE$2:$CE$304)-1)/(--(SEARCH(CM$2,N_Bedarf!$CE$2:$CE$304)&gt;0)),ROW()-2),1),"")</f>
        <v/>
      </c>
      <c r="CM223" s="1620"/>
      <c r="CN223" s="1620" t="str">
        <f>IFERROR(INDEX(N_Bedarf!$CE$2:$CE$304,_xlfn.AGGREGATE(15,6,(ROW(N_Bedarf!$CE$2:$CE$304)-1)/(--(SEARCH(CO$2,N_Bedarf!$CE$2:$CE$304)&gt;0)),ROW()-2),1),"")</f>
        <v/>
      </c>
      <c r="CO223" s="1620"/>
      <c r="CP223" s="1620" t="str">
        <f>IFERROR(INDEX(N_Bedarf!$CE$2:$CE$304,_xlfn.AGGREGATE(15,6,(ROW(N_Bedarf!$CE$2:$CE$304)-1)/(--(SEARCH(CQ$2,N_Bedarf!$CE$2:$CE$304)&gt;0)),ROW()-2),1),"")</f>
        <v/>
      </c>
      <c r="CQ223" s="1620"/>
      <c r="CR223" s="1620" t="str">
        <f>IFERROR(INDEX(N_Bedarf!$CE$2:$CE$304,_xlfn.AGGREGATE(15,6,(ROW(N_Bedarf!$CE$2:$CE$304)-1)/(--(SEARCH(CS$2,N_Bedarf!$CE$2:$CE$304)&gt;0)),ROW()-2),1),"")</f>
        <v/>
      </c>
      <c r="CS223" s="1620"/>
      <c r="CT223" s="1620" t="str">
        <f>IFERROR(INDEX(N_Bedarf!$CE$2:$CE$304,_xlfn.AGGREGATE(15,6,(ROW(N_Bedarf!$CE$2:$CE$304)-1)/(--(SEARCH(CU$2,N_Bedarf!$CE$2:$CE$304)&gt;0)),ROW()-2),1),"")</f>
        <v/>
      </c>
      <c r="CU223" s="1620"/>
      <c r="CV223" s="1620" t="str">
        <f>IFERROR(INDEX(N_Bedarf!$CE$2:$CE$304,_xlfn.AGGREGATE(15,6,(ROW(N_Bedarf!$CE$2:$CE$304)-1)/(--(SEARCH(CW$2,N_Bedarf!$CE$2:$CE$304)&gt;0)),ROW()-2),1),"")</f>
        <v/>
      </c>
      <c r="CW223" s="1620"/>
      <c r="CX223" s="1620" t="str">
        <f>IFERROR(INDEX(N_Bedarf!$CE$2:$CE$304,_xlfn.AGGREGATE(15,6,(ROW(N_Bedarf!$CE$2:$CE$304)-1)/(--(SEARCH(CY$2,N_Bedarf!$CE$2:$CE$304)&gt;0)),ROW()-2),1),"")</f>
        <v/>
      </c>
      <c r="CY223" s="1620"/>
      <c r="CZ223" s="1620" t="str">
        <f>IFERROR(INDEX(N_Bedarf!$CE$2:$CE$304,_xlfn.AGGREGATE(15,6,(ROW(N_Bedarf!$CE$2:$CE$304)-1)/(--(SEARCH(DA$2,N_Bedarf!$CE$2:$CE$304)&gt;0)),ROW()-2),1),"")</f>
        <v/>
      </c>
      <c r="DA223" s="1620"/>
      <c r="DB223" s="1620" t="str">
        <f>IFERROR(INDEX(N_Bedarf!$CE$2:$CE$304,_xlfn.AGGREGATE(15,6,(ROW(N_Bedarf!$CE$2:$CE$304)-1)/(--(SEARCH(DC$2,N_Bedarf!$CE$2:$CE$304)&gt;0)),ROW()-2),1),"")</f>
        <v/>
      </c>
      <c r="DC223" s="1620"/>
      <c r="DD223" s="1620" t="str">
        <f>IFERROR(INDEX(N_Bedarf!$CE$2:$CE$304,_xlfn.AGGREGATE(15,6,(ROW(N_Bedarf!$CE$2:$CE$304)-1)/(--(SEARCH(DE$2,N_Bedarf!$CE$2:$CE$304)&gt;0)),ROW()-2),1),"")</f>
        <v/>
      </c>
      <c r="DE223" s="1620"/>
      <c r="ES223" s="768"/>
      <c r="ET223" s="768"/>
      <c r="EU223" s="768"/>
      <c r="EV223" s="768"/>
      <c r="EW223" s="768"/>
    </row>
    <row r="224" spans="3:153" s="394" customFormat="1" ht="21" customHeight="1">
      <c r="C224" s="1790" t="s">
        <v>91</v>
      </c>
      <c r="D224" s="1759" t="s">
        <v>714</v>
      </c>
      <c r="E224" s="1729">
        <v>90</v>
      </c>
      <c r="F224" s="1760">
        <v>75</v>
      </c>
      <c r="G224" s="1993" t="s">
        <v>714</v>
      </c>
      <c r="H224" s="1994">
        <v>90</v>
      </c>
      <c r="I224" s="1995">
        <v>75</v>
      </c>
      <c r="J224" s="1759" t="s">
        <v>714</v>
      </c>
      <c r="K224" s="1729">
        <v>90</v>
      </c>
      <c r="L224" s="1760">
        <v>75</v>
      </c>
      <c r="M224" s="1"/>
      <c r="N224" s="1"/>
      <c r="O224" s="1"/>
      <c r="P224" s="1"/>
      <c r="Q224" s="1"/>
      <c r="R224" s="1"/>
      <c r="S224" s="1759"/>
      <c r="T224" s="1729"/>
      <c r="U224" s="1760"/>
      <c r="V224" s="1759"/>
      <c r="W224" s="1729"/>
      <c r="X224" s="1760"/>
      <c r="Y224" s="2009"/>
      <c r="Z224" s="2010"/>
      <c r="AA224" s="2011"/>
      <c r="AB224" s="1871"/>
      <c r="AC224" s="1737"/>
      <c r="AD224" s="1762"/>
      <c r="AE224" s="1729"/>
      <c r="AF224" s="1760"/>
      <c r="AG224" s="1759"/>
      <c r="AH224" s="1729"/>
      <c r="AI224" s="1760"/>
      <c r="AJ224" s="2009"/>
      <c r="AK224" s="2010"/>
      <c r="AL224" s="2011"/>
      <c r="AM224" s="1871"/>
      <c r="AN224" s="1763"/>
      <c r="AR224" s="156"/>
      <c r="AS224" s="156"/>
      <c r="AT224" s="156"/>
      <c r="AU224" s="397"/>
      <c r="AV224" s="396"/>
      <c r="AW224" s="396"/>
      <c r="AX224" s="1669"/>
      <c r="AY224" s="3"/>
      <c r="AZ224" s="3"/>
      <c r="BA224" s="3"/>
      <c r="BB224" s="3"/>
      <c r="BC224" s="3"/>
      <c r="BD224" s="3"/>
      <c r="BE224" s="3"/>
      <c r="BF224" s="3"/>
      <c r="BG224" s="3"/>
      <c r="BH224" s="3"/>
      <c r="BI224" s="3"/>
      <c r="BJ224" s="3"/>
      <c r="BK224" s="3"/>
      <c r="BL224" s="3"/>
      <c r="BM224" s="3"/>
      <c r="BN224" s="263"/>
      <c r="BO224" s="3"/>
      <c r="BQ224" s="1669"/>
      <c r="BR224" s="397"/>
      <c r="BS224" s="397"/>
      <c r="BT224" s="397"/>
      <c r="BV224" s="1669"/>
      <c r="BW224" s="397"/>
      <c r="BX224" s="397"/>
      <c r="BY224" s="397"/>
      <c r="BZ224" s="1751"/>
      <c r="CE224" s="1669"/>
      <c r="CF224" s="1620" t="str">
        <f>IFERROR(INDEX(N_Bedarf!$CE$2:$CE$304,_xlfn.AGGREGATE(15,6,(ROW(N_Bedarf!$CE$2:$CE$304)-1)/(--(SEARCH(CG$2,N_Bedarf!$CE$2:$CE$304)&gt;0)),ROW()-2),1),"")</f>
        <v/>
      </c>
      <c r="CG224" s="1620"/>
      <c r="CH224" s="1620" t="str">
        <f>IFERROR(INDEX(N_Bedarf!$CE$2:$CE$304,_xlfn.AGGREGATE(15,6,(ROW(N_Bedarf!$CE$2:$CE$304)-1)/(--(SEARCH(CI$2,N_Bedarf!$CE$2:$CE$304)&gt;0)),ROW()-2),1),"")</f>
        <v/>
      </c>
      <c r="CI224" s="1620"/>
      <c r="CJ224" s="1620" t="str">
        <f>IFERROR(INDEX(N_Bedarf!$CE$2:$CE$304,_xlfn.AGGREGATE(15,6,(ROW(N_Bedarf!$CE$2:$CE$304)-1)/(--(SEARCH(CK$2,N_Bedarf!$CE$2:$CE$304)&gt;0)),ROW()-2),1),"")</f>
        <v/>
      </c>
      <c r="CK224" s="1620"/>
      <c r="CL224" s="1620" t="str">
        <f>IFERROR(INDEX(N_Bedarf!$CE$2:$CE$304,_xlfn.AGGREGATE(15,6,(ROW(N_Bedarf!$CE$2:$CE$304)-1)/(--(SEARCH(CM$2,N_Bedarf!$CE$2:$CE$304)&gt;0)),ROW()-2),1),"")</f>
        <v/>
      </c>
      <c r="CM224" s="1620"/>
      <c r="CN224" s="1620" t="str">
        <f>IFERROR(INDEX(N_Bedarf!$CE$2:$CE$304,_xlfn.AGGREGATE(15,6,(ROW(N_Bedarf!$CE$2:$CE$304)-1)/(--(SEARCH(CO$2,N_Bedarf!$CE$2:$CE$304)&gt;0)),ROW()-2),1),"")</f>
        <v/>
      </c>
      <c r="CO224" s="1620"/>
      <c r="CP224" s="1620" t="str">
        <f>IFERROR(INDEX(N_Bedarf!$CE$2:$CE$304,_xlfn.AGGREGATE(15,6,(ROW(N_Bedarf!$CE$2:$CE$304)-1)/(--(SEARCH(CQ$2,N_Bedarf!$CE$2:$CE$304)&gt;0)),ROW()-2),1),"")</f>
        <v/>
      </c>
      <c r="CQ224" s="1620"/>
      <c r="CR224" s="1620" t="str">
        <f>IFERROR(INDEX(N_Bedarf!$CE$2:$CE$304,_xlfn.AGGREGATE(15,6,(ROW(N_Bedarf!$CE$2:$CE$304)-1)/(--(SEARCH(CS$2,N_Bedarf!$CE$2:$CE$304)&gt;0)),ROW()-2),1),"")</f>
        <v/>
      </c>
      <c r="CS224" s="1620"/>
      <c r="CT224" s="1620" t="str">
        <f>IFERROR(INDEX(N_Bedarf!$CE$2:$CE$304,_xlfn.AGGREGATE(15,6,(ROW(N_Bedarf!$CE$2:$CE$304)-1)/(--(SEARCH(CU$2,N_Bedarf!$CE$2:$CE$304)&gt;0)),ROW()-2),1),"")</f>
        <v/>
      </c>
      <c r="CU224" s="1620"/>
      <c r="CV224" s="1620" t="str">
        <f>IFERROR(INDEX(N_Bedarf!$CE$2:$CE$304,_xlfn.AGGREGATE(15,6,(ROW(N_Bedarf!$CE$2:$CE$304)-1)/(--(SEARCH(CW$2,N_Bedarf!$CE$2:$CE$304)&gt;0)),ROW()-2),1),"")</f>
        <v/>
      </c>
      <c r="CW224" s="1620"/>
      <c r="CX224" s="1620" t="str">
        <f>IFERROR(INDEX(N_Bedarf!$CE$2:$CE$304,_xlfn.AGGREGATE(15,6,(ROW(N_Bedarf!$CE$2:$CE$304)-1)/(--(SEARCH(CY$2,N_Bedarf!$CE$2:$CE$304)&gt;0)),ROW()-2),1),"")</f>
        <v/>
      </c>
      <c r="CY224" s="1620"/>
      <c r="CZ224" s="1620" t="str">
        <f>IFERROR(INDEX(N_Bedarf!$CE$2:$CE$304,_xlfn.AGGREGATE(15,6,(ROW(N_Bedarf!$CE$2:$CE$304)-1)/(--(SEARCH(DA$2,N_Bedarf!$CE$2:$CE$304)&gt;0)),ROW()-2),1),"")</f>
        <v/>
      </c>
      <c r="DA224" s="1620"/>
      <c r="DB224" s="1620" t="str">
        <f>IFERROR(INDEX(N_Bedarf!$CE$2:$CE$304,_xlfn.AGGREGATE(15,6,(ROW(N_Bedarf!$CE$2:$CE$304)-1)/(--(SEARCH(DC$2,N_Bedarf!$CE$2:$CE$304)&gt;0)),ROW()-2),1),"")</f>
        <v/>
      </c>
      <c r="DC224" s="1620"/>
      <c r="DD224" s="1620" t="str">
        <f>IFERROR(INDEX(N_Bedarf!$CE$2:$CE$304,_xlfn.AGGREGATE(15,6,(ROW(N_Bedarf!$CE$2:$CE$304)-1)/(--(SEARCH(DE$2,N_Bedarf!$CE$2:$CE$304)&gt;0)),ROW()-2),1),"")</f>
        <v/>
      </c>
      <c r="DE224" s="1620"/>
      <c r="ES224" s="768"/>
      <c r="ET224" s="768"/>
      <c r="EU224" s="768"/>
      <c r="EV224" s="768"/>
      <c r="EW224" s="768"/>
    </row>
    <row r="225" spans="3:153" s="394" customFormat="1" ht="21" customHeight="1">
      <c r="C225" s="1790" t="s">
        <v>92</v>
      </c>
      <c r="D225" s="1759" t="s">
        <v>714</v>
      </c>
      <c r="E225" s="1729">
        <v>100</v>
      </c>
      <c r="F225" s="1760">
        <v>85</v>
      </c>
      <c r="G225" s="1993" t="s">
        <v>714</v>
      </c>
      <c r="H225" s="1994">
        <v>100</v>
      </c>
      <c r="I225" s="1995">
        <v>85</v>
      </c>
      <c r="J225" s="1759" t="s">
        <v>714</v>
      </c>
      <c r="K225" s="1729">
        <v>100</v>
      </c>
      <c r="L225" s="1760">
        <v>85</v>
      </c>
      <c r="M225" s="1"/>
      <c r="N225" s="1"/>
      <c r="O225" s="1"/>
      <c r="P225" s="1"/>
      <c r="Q225" s="1"/>
      <c r="R225" s="1"/>
      <c r="S225" s="1759">
        <v>90</v>
      </c>
      <c r="T225" s="1729">
        <v>90</v>
      </c>
      <c r="U225" s="1760">
        <v>90</v>
      </c>
      <c r="V225" s="1759">
        <v>75</v>
      </c>
      <c r="W225" s="1729">
        <v>75</v>
      </c>
      <c r="X225" s="1760">
        <v>75</v>
      </c>
      <c r="Y225" s="2009">
        <v>60</v>
      </c>
      <c r="Z225" s="2010">
        <v>60</v>
      </c>
      <c r="AA225" s="2011">
        <v>60</v>
      </c>
      <c r="AB225" s="1871" t="s">
        <v>1388</v>
      </c>
      <c r="AC225" s="1737" t="s">
        <v>1389</v>
      </c>
      <c r="AD225" s="1762">
        <v>150</v>
      </c>
      <c r="AE225" s="1729">
        <v>150</v>
      </c>
      <c r="AF225" s="1760">
        <v>150</v>
      </c>
      <c r="AG225" s="1759">
        <v>125</v>
      </c>
      <c r="AH225" s="1729">
        <v>125</v>
      </c>
      <c r="AI225" s="1760">
        <v>125</v>
      </c>
      <c r="AJ225" s="2009">
        <v>100</v>
      </c>
      <c r="AK225" s="2010">
        <v>100</v>
      </c>
      <c r="AL225" s="2011">
        <v>100</v>
      </c>
      <c r="AM225" s="1871" t="s">
        <v>1390</v>
      </c>
      <c r="AN225" s="1763" t="s">
        <v>1389</v>
      </c>
      <c r="AR225" s="156"/>
      <c r="AS225" s="156"/>
      <c r="AT225" s="156"/>
      <c r="AU225" s="397"/>
      <c r="AV225" s="396"/>
      <c r="AW225" s="396"/>
      <c r="AX225" s="1669"/>
      <c r="AY225" s="3"/>
      <c r="AZ225" s="3"/>
      <c r="BA225" s="3"/>
      <c r="BB225" s="3"/>
      <c r="BC225" s="3"/>
      <c r="BD225" s="3"/>
      <c r="BE225" s="3"/>
      <c r="BF225" s="3"/>
      <c r="BG225" s="3"/>
      <c r="BH225" s="3"/>
      <c r="BI225" s="3"/>
      <c r="BJ225" s="3"/>
      <c r="BK225" s="3"/>
      <c r="BL225" s="3"/>
      <c r="BM225" s="3"/>
      <c r="BN225" s="263"/>
      <c r="BO225" s="3"/>
      <c r="BQ225" s="1669"/>
      <c r="BR225" s="397"/>
      <c r="BS225" s="397"/>
      <c r="BT225" s="397"/>
      <c r="BV225" s="1669"/>
      <c r="BW225" s="397"/>
      <c r="BX225" s="397"/>
      <c r="BY225" s="397"/>
      <c r="BZ225" s="1751"/>
      <c r="CE225" s="1669"/>
      <c r="CF225" s="1620" t="str">
        <f>IFERROR(INDEX(N_Bedarf!$CE$2:$CE$304,_xlfn.AGGREGATE(15,6,(ROW(N_Bedarf!$CE$2:$CE$304)-1)/(--(SEARCH(CG$2,N_Bedarf!$CE$2:$CE$304)&gt;0)),ROW()-2),1),"")</f>
        <v/>
      </c>
      <c r="CG225" s="1620"/>
      <c r="CH225" s="1620" t="str">
        <f>IFERROR(INDEX(N_Bedarf!$CE$2:$CE$304,_xlfn.AGGREGATE(15,6,(ROW(N_Bedarf!$CE$2:$CE$304)-1)/(--(SEARCH(CI$2,N_Bedarf!$CE$2:$CE$304)&gt;0)),ROW()-2),1),"")</f>
        <v/>
      </c>
      <c r="CI225" s="1620"/>
      <c r="CJ225" s="1620" t="str">
        <f>IFERROR(INDEX(N_Bedarf!$CE$2:$CE$304,_xlfn.AGGREGATE(15,6,(ROW(N_Bedarf!$CE$2:$CE$304)-1)/(--(SEARCH(CK$2,N_Bedarf!$CE$2:$CE$304)&gt;0)),ROW()-2),1),"")</f>
        <v/>
      </c>
      <c r="CK225" s="1620"/>
      <c r="CL225" s="1620" t="str">
        <f>IFERROR(INDEX(N_Bedarf!$CE$2:$CE$304,_xlfn.AGGREGATE(15,6,(ROW(N_Bedarf!$CE$2:$CE$304)-1)/(--(SEARCH(CM$2,N_Bedarf!$CE$2:$CE$304)&gt;0)),ROW()-2),1),"")</f>
        <v/>
      </c>
      <c r="CM225" s="1620"/>
      <c r="CN225" s="1620" t="str">
        <f>IFERROR(INDEX(N_Bedarf!$CE$2:$CE$304,_xlfn.AGGREGATE(15,6,(ROW(N_Bedarf!$CE$2:$CE$304)-1)/(--(SEARCH(CO$2,N_Bedarf!$CE$2:$CE$304)&gt;0)),ROW()-2),1),"")</f>
        <v/>
      </c>
      <c r="CO225" s="1620"/>
      <c r="CP225" s="1620" t="str">
        <f>IFERROR(INDEX(N_Bedarf!$CE$2:$CE$304,_xlfn.AGGREGATE(15,6,(ROW(N_Bedarf!$CE$2:$CE$304)-1)/(--(SEARCH(CQ$2,N_Bedarf!$CE$2:$CE$304)&gt;0)),ROW()-2),1),"")</f>
        <v/>
      </c>
      <c r="CQ225" s="1620"/>
      <c r="CR225" s="1620" t="str">
        <f>IFERROR(INDEX(N_Bedarf!$CE$2:$CE$304,_xlfn.AGGREGATE(15,6,(ROW(N_Bedarf!$CE$2:$CE$304)-1)/(--(SEARCH(CS$2,N_Bedarf!$CE$2:$CE$304)&gt;0)),ROW()-2),1),"")</f>
        <v/>
      </c>
      <c r="CS225" s="1620"/>
      <c r="CT225" s="1620" t="str">
        <f>IFERROR(INDEX(N_Bedarf!$CE$2:$CE$304,_xlfn.AGGREGATE(15,6,(ROW(N_Bedarf!$CE$2:$CE$304)-1)/(--(SEARCH(CU$2,N_Bedarf!$CE$2:$CE$304)&gt;0)),ROW()-2),1),"")</f>
        <v/>
      </c>
      <c r="CU225" s="1620"/>
      <c r="CV225" s="1620" t="str">
        <f>IFERROR(INDEX(N_Bedarf!$CE$2:$CE$304,_xlfn.AGGREGATE(15,6,(ROW(N_Bedarf!$CE$2:$CE$304)-1)/(--(SEARCH(CW$2,N_Bedarf!$CE$2:$CE$304)&gt;0)),ROW()-2),1),"")</f>
        <v/>
      </c>
      <c r="CW225" s="1620"/>
      <c r="CX225" s="1620" t="str">
        <f>IFERROR(INDEX(N_Bedarf!$CE$2:$CE$304,_xlfn.AGGREGATE(15,6,(ROW(N_Bedarf!$CE$2:$CE$304)-1)/(--(SEARCH(CY$2,N_Bedarf!$CE$2:$CE$304)&gt;0)),ROW()-2),1),"")</f>
        <v/>
      </c>
      <c r="CY225" s="1620"/>
      <c r="CZ225" s="1620" t="str">
        <f>IFERROR(INDEX(N_Bedarf!$CE$2:$CE$304,_xlfn.AGGREGATE(15,6,(ROW(N_Bedarf!$CE$2:$CE$304)-1)/(--(SEARCH(DA$2,N_Bedarf!$CE$2:$CE$304)&gt;0)),ROW()-2),1),"")</f>
        <v/>
      </c>
      <c r="DA225" s="1620"/>
      <c r="DB225" s="1620" t="str">
        <f>IFERROR(INDEX(N_Bedarf!$CE$2:$CE$304,_xlfn.AGGREGATE(15,6,(ROW(N_Bedarf!$CE$2:$CE$304)-1)/(--(SEARCH(DC$2,N_Bedarf!$CE$2:$CE$304)&gt;0)),ROW()-2),1),"")</f>
        <v/>
      </c>
      <c r="DC225" s="1620"/>
      <c r="DD225" s="1620" t="str">
        <f>IFERROR(INDEX(N_Bedarf!$CE$2:$CE$304,_xlfn.AGGREGATE(15,6,(ROW(N_Bedarf!$CE$2:$CE$304)-1)/(--(SEARCH(DE$2,N_Bedarf!$CE$2:$CE$304)&gt;0)),ROW()-2),1),"")</f>
        <v/>
      </c>
      <c r="DE225" s="1620"/>
      <c r="ES225" s="768"/>
      <c r="ET225" s="768"/>
      <c r="EU225" s="768"/>
      <c r="EV225" s="768"/>
      <c r="EW225" s="768"/>
    </row>
    <row r="226" spans="3:153" s="394" customFormat="1" ht="21" customHeight="1">
      <c r="C226" s="1790" t="s">
        <v>93</v>
      </c>
      <c r="D226" s="1759" t="s">
        <v>714</v>
      </c>
      <c r="E226" s="1729">
        <v>60</v>
      </c>
      <c r="F226" s="1760">
        <v>50</v>
      </c>
      <c r="G226" s="1993" t="s">
        <v>714</v>
      </c>
      <c r="H226" s="1994">
        <v>60</v>
      </c>
      <c r="I226" s="1995">
        <v>50</v>
      </c>
      <c r="J226" s="1759" t="s">
        <v>714</v>
      </c>
      <c r="K226" s="1729">
        <v>60</v>
      </c>
      <c r="L226" s="1760">
        <v>50</v>
      </c>
      <c r="M226" s="1"/>
      <c r="N226" s="1"/>
      <c r="O226" s="1"/>
      <c r="P226" s="1"/>
      <c r="Q226" s="1"/>
      <c r="R226" s="1"/>
      <c r="S226" s="1759">
        <v>60</v>
      </c>
      <c r="T226" s="1729">
        <v>60</v>
      </c>
      <c r="U226" s="1760">
        <v>60</v>
      </c>
      <c r="V226" s="1759">
        <v>50</v>
      </c>
      <c r="W226" s="1729">
        <v>50</v>
      </c>
      <c r="X226" s="1760">
        <v>50</v>
      </c>
      <c r="Y226" s="2009">
        <v>40</v>
      </c>
      <c r="Z226" s="2010">
        <v>40</v>
      </c>
      <c r="AA226" s="2011">
        <v>40</v>
      </c>
      <c r="AB226" s="1871" t="s">
        <v>1388</v>
      </c>
      <c r="AC226" s="1737" t="s">
        <v>1389</v>
      </c>
      <c r="AD226" s="1762">
        <v>450</v>
      </c>
      <c r="AE226" s="1729">
        <v>450</v>
      </c>
      <c r="AF226" s="1760">
        <v>450</v>
      </c>
      <c r="AG226" s="1759">
        <v>375</v>
      </c>
      <c r="AH226" s="1729">
        <v>375</v>
      </c>
      <c r="AI226" s="1760">
        <v>375</v>
      </c>
      <c r="AJ226" s="2009">
        <v>300</v>
      </c>
      <c r="AK226" s="2010">
        <v>300</v>
      </c>
      <c r="AL226" s="2011">
        <v>300</v>
      </c>
      <c r="AM226" s="1871" t="s">
        <v>1390</v>
      </c>
      <c r="AN226" s="1763" t="s">
        <v>1389</v>
      </c>
      <c r="AR226" s="156"/>
      <c r="AS226" s="156"/>
      <c r="AT226" s="156"/>
      <c r="AU226" s="397"/>
      <c r="AV226" s="396"/>
      <c r="AW226" s="396"/>
      <c r="AX226" s="1669"/>
      <c r="AY226" s="3"/>
      <c r="AZ226" s="3"/>
      <c r="BA226" s="3"/>
      <c r="BB226" s="3"/>
      <c r="BC226" s="3"/>
      <c r="BD226" s="3"/>
      <c r="BE226" s="3"/>
      <c r="BF226" s="3"/>
      <c r="BG226" s="3"/>
      <c r="BH226" s="3"/>
      <c r="BI226" s="3"/>
      <c r="BJ226" s="3"/>
      <c r="BK226" s="3"/>
      <c r="BL226" s="3"/>
      <c r="BM226" s="3"/>
      <c r="BN226" s="263"/>
      <c r="BO226" s="3"/>
      <c r="BQ226" s="1669"/>
      <c r="BR226" s="397"/>
      <c r="BS226" s="397"/>
      <c r="BT226" s="397"/>
      <c r="BV226" s="1669"/>
      <c r="BW226" s="397"/>
      <c r="BX226" s="397"/>
      <c r="BY226" s="397"/>
      <c r="BZ226" s="1751"/>
      <c r="CE226" s="1669"/>
      <c r="CF226" s="1620" t="str">
        <f>IFERROR(INDEX(N_Bedarf!$CE$2:$CE$304,_xlfn.AGGREGATE(15,6,(ROW(N_Bedarf!$CE$2:$CE$304)-1)/(--(SEARCH(CG$2,N_Bedarf!$CE$2:$CE$304)&gt;0)),ROW()-2),1),"")</f>
        <v/>
      </c>
      <c r="CG226" s="1620"/>
      <c r="CH226" s="1620" t="str">
        <f>IFERROR(INDEX(N_Bedarf!$CE$2:$CE$304,_xlfn.AGGREGATE(15,6,(ROW(N_Bedarf!$CE$2:$CE$304)-1)/(--(SEARCH(CI$2,N_Bedarf!$CE$2:$CE$304)&gt;0)),ROW()-2),1),"")</f>
        <v/>
      </c>
      <c r="CI226" s="1620"/>
      <c r="CJ226" s="1620" t="str">
        <f>IFERROR(INDEX(N_Bedarf!$CE$2:$CE$304,_xlfn.AGGREGATE(15,6,(ROW(N_Bedarf!$CE$2:$CE$304)-1)/(--(SEARCH(CK$2,N_Bedarf!$CE$2:$CE$304)&gt;0)),ROW()-2),1),"")</f>
        <v/>
      </c>
      <c r="CK226" s="1620"/>
      <c r="CL226" s="1620" t="str">
        <f>IFERROR(INDEX(N_Bedarf!$CE$2:$CE$304,_xlfn.AGGREGATE(15,6,(ROW(N_Bedarf!$CE$2:$CE$304)-1)/(--(SEARCH(CM$2,N_Bedarf!$CE$2:$CE$304)&gt;0)),ROW()-2),1),"")</f>
        <v/>
      </c>
      <c r="CM226" s="1620"/>
      <c r="CN226" s="1620" t="str">
        <f>IFERROR(INDEX(N_Bedarf!$CE$2:$CE$304,_xlfn.AGGREGATE(15,6,(ROW(N_Bedarf!$CE$2:$CE$304)-1)/(--(SEARCH(CO$2,N_Bedarf!$CE$2:$CE$304)&gt;0)),ROW()-2),1),"")</f>
        <v/>
      </c>
      <c r="CO226" s="1620"/>
      <c r="CP226" s="1620" t="str">
        <f>IFERROR(INDEX(N_Bedarf!$CE$2:$CE$304,_xlfn.AGGREGATE(15,6,(ROW(N_Bedarf!$CE$2:$CE$304)-1)/(--(SEARCH(CQ$2,N_Bedarf!$CE$2:$CE$304)&gt;0)),ROW()-2),1),"")</f>
        <v/>
      </c>
      <c r="CQ226" s="1620"/>
      <c r="CR226" s="1620" t="str">
        <f>IFERROR(INDEX(N_Bedarf!$CE$2:$CE$304,_xlfn.AGGREGATE(15,6,(ROW(N_Bedarf!$CE$2:$CE$304)-1)/(--(SEARCH(CS$2,N_Bedarf!$CE$2:$CE$304)&gt;0)),ROW()-2),1),"")</f>
        <v/>
      </c>
      <c r="CS226" s="1620"/>
      <c r="CT226" s="1620" t="str">
        <f>IFERROR(INDEX(N_Bedarf!$CE$2:$CE$304,_xlfn.AGGREGATE(15,6,(ROW(N_Bedarf!$CE$2:$CE$304)-1)/(--(SEARCH(CU$2,N_Bedarf!$CE$2:$CE$304)&gt;0)),ROW()-2),1),"")</f>
        <v/>
      </c>
      <c r="CU226" s="1620"/>
      <c r="CV226" s="1620" t="str">
        <f>IFERROR(INDEX(N_Bedarf!$CE$2:$CE$304,_xlfn.AGGREGATE(15,6,(ROW(N_Bedarf!$CE$2:$CE$304)-1)/(--(SEARCH(CW$2,N_Bedarf!$CE$2:$CE$304)&gt;0)),ROW()-2),1),"")</f>
        <v/>
      </c>
      <c r="CW226" s="1620"/>
      <c r="CX226" s="1620" t="str">
        <f>IFERROR(INDEX(N_Bedarf!$CE$2:$CE$304,_xlfn.AGGREGATE(15,6,(ROW(N_Bedarf!$CE$2:$CE$304)-1)/(--(SEARCH(CY$2,N_Bedarf!$CE$2:$CE$304)&gt;0)),ROW()-2),1),"")</f>
        <v/>
      </c>
      <c r="CY226" s="1620"/>
      <c r="CZ226" s="1620" t="str">
        <f>IFERROR(INDEX(N_Bedarf!$CE$2:$CE$304,_xlfn.AGGREGATE(15,6,(ROW(N_Bedarf!$CE$2:$CE$304)-1)/(--(SEARCH(DA$2,N_Bedarf!$CE$2:$CE$304)&gt;0)),ROW()-2),1),"")</f>
        <v/>
      </c>
      <c r="DA226" s="1620"/>
      <c r="DB226" s="1620" t="str">
        <f>IFERROR(INDEX(N_Bedarf!$CE$2:$CE$304,_xlfn.AGGREGATE(15,6,(ROW(N_Bedarf!$CE$2:$CE$304)-1)/(--(SEARCH(DC$2,N_Bedarf!$CE$2:$CE$304)&gt;0)),ROW()-2),1),"")</f>
        <v/>
      </c>
      <c r="DC226" s="1620"/>
      <c r="DD226" s="1620" t="str">
        <f>IFERROR(INDEX(N_Bedarf!$CE$2:$CE$304,_xlfn.AGGREGATE(15,6,(ROW(N_Bedarf!$CE$2:$CE$304)-1)/(--(SEARCH(DE$2,N_Bedarf!$CE$2:$CE$304)&gt;0)),ROW()-2),1),"")</f>
        <v/>
      </c>
      <c r="DE226" s="1620"/>
      <c r="ES226" s="768"/>
      <c r="ET226" s="768"/>
      <c r="EU226" s="768"/>
      <c r="EV226" s="768"/>
      <c r="EW226" s="768"/>
    </row>
    <row r="227" spans="3:153" s="394" customFormat="1" ht="21" customHeight="1">
      <c r="C227" s="1790" t="s">
        <v>94</v>
      </c>
      <c r="D227" s="1759" t="s">
        <v>714</v>
      </c>
      <c r="E227" s="1729">
        <v>100</v>
      </c>
      <c r="F227" s="1760">
        <v>85</v>
      </c>
      <c r="G227" s="1993" t="s">
        <v>714</v>
      </c>
      <c r="H227" s="1994">
        <v>100</v>
      </c>
      <c r="I227" s="1995">
        <v>85</v>
      </c>
      <c r="J227" s="1759" t="s">
        <v>714</v>
      </c>
      <c r="K227" s="1729">
        <v>100</v>
      </c>
      <c r="L227" s="1760">
        <v>85</v>
      </c>
      <c r="M227" s="1"/>
      <c r="N227" s="1"/>
      <c r="O227" s="1"/>
      <c r="P227" s="1"/>
      <c r="Q227" s="1"/>
      <c r="R227" s="1"/>
      <c r="S227" s="1759">
        <v>75</v>
      </c>
      <c r="T227" s="1729">
        <v>75</v>
      </c>
      <c r="U227" s="1760">
        <v>75</v>
      </c>
      <c r="V227" s="1759">
        <v>65</v>
      </c>
      <c r="W227" s="1729">
        <v>65</v>
      </c>
      <c r="X227" s="1760">
        <v>65</v>
      </c>
      <c r="Y227" s="2009">
        <v>50</v>
      </c>
      <c r="Z227" s="2010">
        <v>50</v>
      </c>
      <c r="AA227" s="2011">
        <v>50</v>
      </c>
      <c r="AB227" s="1871" t="s">
        <v>1388</v>
      </c>
      <c r="AC227" s="1737" t="s">
        <v>1389</v>
      </c>
      <c r="AD227" s="1762">
        <v>210</v>
      </c>
      <c r="AE227" s="1729">
        <v>210</v>
      </c>
      <c r="AF227" s="1760">
        <v>210</v>
      </c>
      <c r="AG227" s="1759">
        <v>175</v>
      </c>
      <c r="AH227" s="1729">
        <v>175</v>
      </c>
      <c r="AI227" s="1760">
        <v>175</v>
      </c>
      <c r="AJ227" s="2009">
        <v>140</v>
      </c>
      <c r="AK227" s="2010">
        <v>140</v>
      </c>
      <c r="AL227" s="2011">
        <v>140</v>
      </c>
      <c r="AM227" s="1871" t="s">
        <v>1390</v>
      </c>
      <c r="AN227" s="1763" t="s">
        <v>1389</v>
      </c>
      <c r="AR227" s="156"/>
      <c r="AS227" s="156"/>
      <c r="AT227" s="156"/>
      <c r="AU227" s="397"/>
      <c r="AV227" s="396"/>
      <c r="AW227" s="396"/>
      <c r="AX227" s="1669"/>
      <c r="AY227" s="3"/>
      <c r="AZ227" s="3"/>
      <c r="BA227" s="3"/>
      <c r="BB227" s="3"/>
      <c r="BC227" s="3"/>
      <c r="BD227" s="3"/>
      <c r="BE227" s="3"/>
      <c r="BF227" s="3"/>
      <c r="BG227" s="3"/>
      <c r="BH227" s="3"/>
      <c r="BI227" s="3"/>
      <c r="BJ227" s="3"/>
      <c r="BK227" s="3"/>
      <c r="BL227" s="3"/>
      <c r="BM227" s="3"/>
      <c r="BN227" s="263"/>
      <c r="BO227" s="3"/>
      <c r="BQ227" s="1669"/>
      <c r="BR227" s="397"/>
      <c r="BS227" s="397"/>
      <c r="BT227" s="397"/>
      <c r="BV227" s="1669"/>
      <c r="BW227" s="397"/>
      <c r="BX227" s="397"/>
      <c r="BY227" s="397"/>
      <c r="BZ227" s="1751"/>
      <c r="CE227" s="1669"/>
      <c r="CF227" s="1620" t="str">
        <f>IFERROR(INDEX(N_Bedarf!$CE$2:$CE$304,_xlfn.AGGREGATE(15,6,(ROW(N_Bedarf!$CE$2:$CE$304)-1)/(--(SEARCH(CG$2,N_Bedarf!$CE$2:$CE$304)&gt;0)),ROW()-2),1),"")</f>
        <v/>
      </c>
      <c r="CG227" s="1620"/>
      <c r="CH227" s="1620" t="str">
        <f>IFERROR(INDEX(N_Bedarf!$CE$2:$CE$304,_xlfn.AGGREGATE(15,6,(ROW(N_Bedarf!$CE$2:$CE$304)-1)/(--(SEARCH(CI$2,N_Bedarf!$CE$2:$CE$304)&gt;0)),ROW()-2),1),"")</f>
        <v/>
      </c>
      <c r="CI227" s="1620"/>
      <c r="CJ227" s="1620" t="str">
        <f>IFERROR(INDEX(N_Bedarf!$CE$2:$CE$304,_xlfn.AGGREGATE(15,6,(ROW(N_Bedarf!$CE$2:$CE$304)-1)/(--(SEARCH(CK$2,N_Bedarf!$CE$2:$CE$304)&gt;0)),ROW()-2),1),"")</f>
        <v/>
      </c>
      <c r="CK227" s="1620"/>
      <c r="CL227" s="1620" t="str">
        <f>IFERROR(INDEX(N_Bedarf!$CE$2:$CE$304,_xlfn.AGGREGATE(15,6,(ROW(N_Bedarf!$CE$2:$CE$304)-1)/(--(SEARCH(CM$2,N_Bedarf!$CE$2:$CE$304)&gt;0)),ROW()-2),1),"")</f>
        <v/>
      </c>
      <c r="CM227" s="1620"/>
      <c r="CN227" s="1620" t="str">
        <f>IFERROR(INDEX(N_Bedarf!$CE$2:$CE$304,_xlfn.AGGREGATE(15,6,(ROW(N_Bedarf!$CE$2:$CE$304)-1)/(--(SEARCH(CO$2,N_Bedarf!$CE$2:$CE$304)&gt;0)),ROW()-2),1),"")</f>
        <v/>
      </c>
      <c r="CO227" s="1620"/>
      <c r="CP227" s="1620" t="str">
        <f>IFERROR(INDEX(N_Bedarf!$CE$2:$CE$304,_xlfn.AGGREGATE(15,6,(ROW(N_Bedarf!$CE$2:$CE$304)-1)/(--(SEARCH(CQ$2,N_Bedarf!$CE$2:$CE$304)&gt;0)),ROW()-2),1),"")</f>
        <v/>
      </c>
      <c r="CQ227" s="1620"/>
      <c r="CR227" s="1620" t="str">
        <f>IFERROR(INDEX(N_Bedarf!$CE$2:$CE$304,_xlfn.AGGREGATE(15,6,(ROW(N_Bedarf!$CE$2:$CE$304)-1)/(--(SEARCH(CS$2,N_Bedarf!$CE$2:$CE$304)&gt;0)),ROW()-2),1),"")</f>
        <v/>
      </c>
      <c r="CS227" s="1620"/>
      <c r="CT227" s="1620" t="str">
        <f>IFERROR(INDEX(N_Bedarf!$CE$2:$CE$304,_xlfn.AGGREGATE(15,6,(ROW(N_Bedarf!$CE$2:$CE$304)-1)/(--(SEARCH(CU$2,N_Bedarf!$CE$2:$CE$304)&gt;0)),ROW()-2),1),"")</f>
        <v/>
      </c>
      <c r="CU227" s="1620"/>
      <c r="CV227" s="1620" t="str">
        <f>IFERROR(INDEX(N_Bedarf!$CE$2:$CE$304,_xlfn.AGGREGATE(15,6,(ROW(N_Bedarf!$CE$2:$CE$304)-1)/(--(SEARCH(CW$2,N_Bedarf!$CE$2:$CE$304)&gt;0)),ROW()-2),1),"")</f>
        <v/>
      </c>
      <c r="CW227" s="1620"/>
      <c r="CX227" s="1620" t="str">
        <f>IFERROR(INDEX(N_Bedarf!$CE$2:$CE$304,_xlfn.AGGREGATE(15,6,(ROW(N_Bedarf!$CE$2:$CE$304)-1)/(--(SEARCH(CY$2,N_Bedarf!$CE$2:$CE$304)&gt;0)),ROW()-2),1),"")</f>
        <v/>
      </c>
      <c r="CY227" s="1620"/>
      <c r="CZ227" s="1620" t="str">
        <f>IFERROR(INDEX(N_Bedarf!$CE$2:$CE$304,_xlfn.AGGREGATE(15,6,(ROW(N_Bedarf!$CE$2:$CE$304)-1)/(--(SEARCH(DA$2,N_Bedarf!$CE$2:$CE$304)&gt;0)),ROW()-2),1),"")</f>
        <v/>
      </c>
      <c r="DA227" s="1620"/>
      <c r="DB227" s="1620" t="str">
        <f>IFERROR(INDEX(N_Bedarf!$CE$2:$CE$304,_xlfn.AGGREGATE(15,6,(ROW(N_Bedarf!$CE$2:$CE$304)-1)/(--(SEARCH(DC$2,N_Bedarf!$CE$2:$CE$304)&gt;0)),ROW()-2),1),"")</f>
        <v/>
      </c>
      <c r="DC227" s="1620"/>
      <c r="DD227" s="1620" t="str">
        <f>IFERROR(INDEX(N_Bedarf!$CE$2:$CE$304,_xlfn.AGGREGATE(15,6,(ROW(N_Bedarf!$CE$2:$CE$304)-1)/(--(SEARCH(DE$2,N_Bedarf!$CE$2:$CE$304)&gt;0)),ROW()-2),1),"")</f>
        <v/>
      </c>
      <c r="DE227" s="1620"/>
      <c r="ES227" s="768"/>
      <c r="ET227" s="768"/>
      <c r="EU227" s="768"/>
      <c r="EV227" s="768"/>
      <c r="EW227" s="768"/>
    </row>
    <row r="228" spans="3:153" s="394" customFormat="1" ht="21" customHeight="1">
      <c r="C228" s="1790" t="s">
        <v>95</v>
      </c>
      <c r="D228" s="1759" t="s">
        <v>714</v>
      </c>
      <c r="E228" s="1729">
        <v>70</v>
      </c>
      <c r="F228" s="1760">
        <v>60</v>
      </c>
      <c r="G228" s="1993" t="s">
        <v>714</v>
      </c>
      <c r="H228" s="1994">
        <v>70</v>
      </c>
      <c r="I228" s="1995">
        <v>60</v>
      </c>
      <c r="J228" s="1759" t="s">
        <v>714</v>
      </c>
      <c r="K228" s="1729">
        <v>70</v>
      </c>
      <c r="L228" s="1760">
        <v>60</v>
      </c>
      <c r="M228" s="1"/>
      <c r="N228" s="1"/>
      <c r="O228" s="1"/>
      <c r="P228" s="1"/>
      <c r="Q228" s="1"/>
      <c r="R228" s="1"/>
      <c r="S228" s="1759">
        <v>75</v>
      </c>
      <c r="T228" s="1729">
        <v>75</v>
      </c>
      <c r="U228" s="1760">
        <v>75</v>
      </c>
      <c r="V228" s="1759">
        <v>65</v>
      </c>
      <c r="W228" s="1729">
        <v>65</v>
      </c>
      <c r="X228" s="1760">
        <v>65</v>
      </c>
      <c r="Y228" s="2009">
        <v>50</v>
      </c>
      <c r="Z228" s="2010">
        <v>50</v>
      </c>
      <c r="AA228" s="2011">
        <v>50</v>
      </c>
      <c r="AB228" s="1871" t="s">
        <v>1388</v>
      </c>
      <c r="AC228" s="1737" t="s">
        <v>1389</v>
      </c>
      <c r="AD228" s="1762">
        <v>135</v>
      </c>
      <c r="AE228" s="1729">
        <v>135</v>
      </c>
      <c r="AF228" s="1760">
        <v>135</v>
      </c>
      <c r="AG228" s="1759">
        <v>115</v>
      </c>
      <c r="AH228" s="1729">
        <v>115</v>
      </c>
      <c r="AI228" s="1760">
        <v>115</v>
      </c>
      <c r="AJ228" s="2009">
        <v>90</v>
      </c>
      <c r="AK228" s="2010">
        <v>90</v>
      </c>
      <c r="AL228" s="2011">
        <v>90</v>
      </c>
      <c r="AM228" s="1871" t="s">
        <v>1390</v>
      </c>
      <c r="AN228" s="1763" t="s">
        <v>1389</v>
      </c>
      <c r="AR228" s="156"/>
      <c r="AS228" s="156"/>
      <c r="AT228" s="156"/>
      <c r="AU228" s="397"/>
      <c r="AV228" s="396"/>
      <c r="AW228" s="396"/>
      <c r="AX228" s="1669"/>
      <c r="AY228" s="3"/>
      <c r="AZ228" s="3"/>
      <c r="BA228" s="3"/>
      <c r="BB228" s="3"/>
      <c r="BC228" s="3"/>
      <c r="BD228" s="3"/>
      <c r="BE228" s="3"/>
      <c r="BF228" s="3"/>
      <c r="BG228" s="3"/>
      <c r="BH228" s="3"/>
      <c r="BI228" s="3"/>
      <c r="BJ228" s="3"/>
      <c r="BK228" s="3"/>
      <c r="BL228" s="3"/>
      <c r="BM228" s="3"/>
      <c r="BN228" s="263"/>
      <c r="BO228" s="3"/>
      <c r="BQ228" s="1669"/>
      <c r="BR228" s="397"/>
      <c r="BS228" s="397"/>
      <c r="BT228" s="397"/>
      <c r="BV228" s="1669"/>
      <c r="BW228" s="397"/>
      <c r="BX228" s="397"/>
      <c r="BY228" s="397"/>
      <c r="BZ228" s="1751"/>
      <c r="CE228" s="1669"/>
      <c r="CF228" s="1620" t="str">
        <f>IFERROR(INDEX(N_Bedarf!$CE$2:$CE$304,_xlfn.AGGREGATE(15,6,(ROW(N_Bedarf!$CE$2:$CE$304)-1)/(--(SEARCH(CG$2,N_Bedarf!$CE$2:$CE$304)&gt;0)),ROW()-2),1),"")</f>
        <v/>
      </c>
      <c r="CG228" s="1620"/>
      <c r="CH228" s="1620" t="str">
        <f>IFERROR(INDEX(N_Bedarf!$CE$2:$CE$304,_xlfn.AGGREGATE(15,6,(ROW(N_Bedarf!$CE$2:$CE$304)-1)/(--(SEARCH(CI$2,N_Bedarf!$CE$2:$CE$304)&gt;0)),ROW()-2),1),"")</f>
        <v/>
      </c>
      <c r="CI228" s="1620"/>
      <c r="CJ228" s="1620" t="str">
        <f>IFERROR(INDEX(N_Bedarf!$CE$2:$CE$304,_xlfn.AGGREGATE(15,6,(ROW(N_Bedarf!$CE$2:$CE$304)-1)/(--(SEARCH(CK$2,N_Bedarf!$CE$2:$CE$304)&gt;0)),ROW()-2),1),"")</f>
        <v/>
      </c>
      <c r="CK228" s="1620"/>
      <c r="CL228" s="1620" t="str">
        <f>IFERROR(INDEX(N_Bedarf!$CE$2:$CE$304,_xlfn.AGGREGATE(15,6,(ROW(N_Bedarf!$CE$2:$CE$304)-1)/(--(SEARCH(CM$2,N_Bedarf!$CE$2:$CE$304)&gt;0)),ROW()-2),1),"")</f>
        <v/>
      </c>
      <c r="CM228" s="1620"/>
      <c r="CN228" s="1620" t="str">
        <f>IFERROR(INDEX(N_Bedarf!$CE$2:$CE$304,_xlfn.AGGREGATE(15,6,(ROW(N_Bedarf!$CE$2:$CE$304)-1)/(--(SEARCH(CO$2,N_Bedarf!$CE$2:$CE$304)&gt;0)),ROW()-2),1),"")</f>
        <v/>
      </c>
      <c r="CO228" s="1620"/>
      <c r="CP228" s="1620" t="str">
        <f>IFERROR(INDEX(N_Bedarf!$CE$2:$CE$304,_xlfn.AGGREGATE(15,6,(ROW(N_Bedarf!$CE$2:$CE$304)-1)/(--(SEARCH(CQ$2,N_Bedarf!$CE$2:$CE$304)&gt;0)),ROW()-2),1),"")</f>
        <v/>
      </c>
      <c r="CQ228" s="1620"/>
      <c r="CR228" s="1620" t="str">
        <f>IFERROR(INDEX(N_Bedarf!$CE$2:$CE$304,_xlfn.AGGREGATE(15,6,(ROW(N_Bedarf!$CE$2:$CE$304)-1)/(--(SEARCH(CS$2,N_Bedarf!$CE$2:$CE$304)&gt;0)),ROW()-2),1),"")</f>
        <v/>
      </c>
      <c r="CS228" s="1620"/>
      <c r="CT228" s="1620" t="str">
        <f>IFERROR(INDEX(N_Bedarf!$CE$2:$CE$304,_xlfn.AGGREGATE(15,6,(ROW(N_Bedarf!$CE$2:$CE$304)-1)/(--(SEARCH(CU$2,N_Bedarf!$CE$2:$CE$304)&gt;0)),ROW()-2),1),"")</f>
        <v/>
      </c>
      <c r="CU228" s="1620"/>
      <c r="CV228" s="1620" t="str">
        <f>IFERROR(INDEX(N_Bedarf!$CE$2:$CE$304,_xlfn.AGGREGATE(15,6,(ROW(N_Bedarf!$CE$2:$CE$304)-1)/(--(SEARCH(CW$2,N_Bedarf!$CE$2:$CE$304)&gt;0)),ROW()-2),1),"")</f>
        <v/>
      </c>
      <c r="CW228" s="1620"/>
      <c r="CX228" s="1620" t="str">
        <f>IFERROR(INDEX(N_Bedarf!$CE$2:$CE$304,_xlfn.AGGREGATE(15,6,(ROW(N_Bedarf!$CE$2:$CE$304)-1)/(--(SEARCH(CY$2,N_Bedarf!$CE$2:$CE$304)&gt;0)),ROW()-2),1),"")</f>
        <v/>
      </c>
      <c r="CY228" s="1620"/>
      <c r="CZ228" s="1620" t="str">
        <f>IFERROR(INDEX(N_Bedarf!$CE$2:$CE$304,_xlfn.AGGREGATE(15,6,(ROW(N_Bedarf!$CE$2:$CE$304)-1)/(--(SEARCH(DA$2,N_Bedarf!$CE$2:$CE$304)&gt;0)),ROW()-2),1),"")</f>
        <v/>
      </c>
      <c r="DA228" s="1620"/>
      <c r="DB228" s="1620" t="str">
        <f>IFERROR(INDEX(N_Bedarf!$CE$2:$CE$304,_xlfn.AGGREGATE(15,6,(ROW(N_Bedarf!$CE$2:$CE$304)-1)/(--(SEARCH(DC$2,N_Bedarf!$CE$2:$CE$304)&gt;0)),ROW()-2),1),"")</f>
        <v/>
      </c>
      <c r="DC228" s="1620"/>
      <c r="DD228" s="1620" t="str">
        <f>IFERROR(INDEX(N_Bedarf!$CE$2:$CE$304,_xlfn.AGGREGATE(15,6,(ROW(N_Bedarf!$CE$2:$CE$304)-1)/(--(SEARCH(DE$2,N_Bedarf!$CE$2:$CE$304)&gt;0)),ROW()-2),1),"")</f>
        <v/>
      </c>
      <c r="DE228" s="1620"/>
      <c r="ES228" s="768"/>
      <c r="ET228" s="768"/>
      <c r="EU228" s="768"/>
      <c r="EV228" s="768"/>
      <c r="EW228" s="768"/>
    </row>
    <row r="229" spans="3:153" s="394" customFormat="1" ht="21" customHeight="1">
      <c r="C229" s="1790" t="s">
        <v>96</v>
      </c>
      <c r="D229" s="1759" t="s">
        <v>714</v>
      </c>
      <c r="E229" s="1729">
        <v>150</v>
      </c>
      <c r="F229" s="1760">
        <v>130</v>
      </c>
      <c r="G229" s="1993" t="s">
        <v>714</v>
      </c>
      <c r="H229" s="1994">
        <v>150</v>
      </c>
      <c r="I229" s="1995">
        <v>130</v>
      </c>
      <c r="J229" s="1759" t="s">
        <v>714</v>
      </c>
      <c r="K229" s="1729">
        <v>150</v>
      </c>
      <c r="L229" s="1760">
        <v>130</v>
      </c>
      <c r="M229" s="1"/>
      <c r="N229" s="1"/>
      <c r="O229" s="1"/>
      <c r="P229" s="1"/>
      <c r="Q229" s="1"/>
      <c r="R229" s="1"/>
      <c r="S229" s="1759">
        <v>45</v>
      </c>
      <c r="T229" s="1729">
        <v>45</v>
      </c>
      <c r="U229" s="1760">
        <v>45</v>
      </c>
      <c r="V229" s="1759">
        <v>40</v>
      </c>
      <c r="W229" s="1729">
        <v>40</v>
      </c>
      <c r="X229" s="1760">
        <v>40</v>
      </c>
      <c r="Y229" s="2009">
        <v>30</v>
      </c>
      <c r="Z229" s="2010">
        <v>30</v>
      </c>
      <c r="AA229" s="2011">
        <v>30</v>
      </c>
      <c r="AB229" s="1871" t="s">
        <v>1388</v>
      </c>
      <c r="AC229" s="1737" t="s">
        <v>1389</v>
      </c>
      <c r="AD229" s="1762">
        <v>210</v>
      </c>
      <c r="AE229" s="1729">
        <v>210</v>
      </c>
      <c r="AF229" s="1760">
        <v>210</v>
      </c>
      <c r="AG229" s="1759">
        <v>175</v>
      </c>
      <c r="AH229" s="1729">
        <v>175</v>
      </c>
      <c r="AI229" s="1760">
        <v>175</v>
      </c>
      <c r="AJ229" s="2009">
        <v>140</v>
      </c>
      <c r="AK229" s="2010">
        <v>140</v>
      </c>
      <c r="AL229" s="2011">
        <v>140</v>
      </c>
      <c r="AM229" s="1871" t="s">
        <v>1390</v>
      </c>
      <c r="AN229" s="1763" t="s">
        <v>1389</v>
      </c>
      <c r="AR229" s="156"/>
      <c r="AS229" s="156"/>
      <c r="AT229" s="156"/>
      <c r="AU229" s="397"/>
      <c r="AV229" s="396"/>
      <c r="AW229" s="396"/>
      <c r="AX229" s="1669"/>
      <c r="AY229" s="3"/>
      <c r="AZ229" s="3"/>
      <c r="BA229" s="3"/>
      <c r="BB229" s="3"/>
      <c r="BC229" s="3"/>
      <c r="BD229" s="3"/>
      <c r="BE229" s="3"/>
      <c r="BF229" s="3"/>
      <c r="BG229" s="3"/>
      <c r="BH229" s="3"/>
      <c r="BI229" s="3"/>
      <c r="BJ229" s="3"/>
      <c r="BK229" s="3"/>
      <c r="BL229" s="3"/>
      <c r="BM229" s="3"/>
      <c r="BN229" s="263"/>
      <c r="BO229" s="3"/>
      <c r="BQ229" s="1669"/>
      <c r="BR229" s="397"/>
      <c r="BS229" s="397"/>
      <c r="BT229" s="397"/>
      <c r="BV229" s="1669"/>
      <c r="BW229" s="397"/>
      <c r="BX229" s="397"/>
      <c r="BY229" s="397"/>
      <c r="BZ229" s="1751"/>
      <c r="CE229" s="1669"/>
      <c r="CF229" s="1620" t="str">
        <f>IFERROR(INDEX(N_Bedarf!$CE$2:$CE$304,_xlfn.AGGREGATE(15,6,(ROW(N_Bedarf!$CE$2:$CE$304)-1)/(--(SEARCH(CG$2,N_Bedarf!$CE$2:$CE$304)&gt;0)),ROW()-2),1),"")</f>
        <v/>
      </c>
      <c r="CG229" s="1620"/>
      <c r="CH229" s="1620" t="str">
        <f>IFERROR(INDEX(N_Bedarf!$CE$2:$CE$304,_xlfn.AGGREGATE(15,6,(ROW(N_Bedarf!$CE$2:$CE$304)-1)/(--(SEARCH(CI$2,N_Bedarf!$CE$2:$CE$304)&gt;0)),ROW()-2),1),"")</f>
        <v/>
      </c>
      <c r="CI229" s="1620"/>
      <c r="CJ229" s="1620" t="str">
        <f>IFERROR(INDEX(N_Bedarf!$CE$2:$CE$304,_xlfn.AGGREGATE(15,6,(ROW(N_Bedarf!$CE$2:$CE$304)-1)/(--(SEARCH(CK$2,N_Bedarf!$CE$2:$CE$304)&gt;0)),ROW()-2),1),"")</f>
        <v/>
      </c>
      <c r="CK229" s="1620"/>
      <c r="CL229" s="1620" t="str">
        <f>IFERROR(INDEX(N_Bedarf!$CE$2:$CE$304,_xlfn.AGGREGATE(15,6,(ROW(N_Bedarf!$CE$2:$CE$304)-1)/(--(SEARCH(CM$2,N_Bedarf!$CE$2:$CE$304)&gt;0)),ROW()-2),1),"")</f>
        <v/>
      </c>
      <c r="CM229" s="1620"/>
      <c r="CN229" s="1620" t="str">
        <f>IFERROR(INDEX(N_Bedarf!$CE$2:$CE$304,_xlfn.AGGREGATE(15,6,(ROW(N_Bedarf!$CE$2:$CE$304)-1)/(--(SEARCH(CO$2,N_Bedarf!$CE$2:$CE$304)&gt;0)),ROW()-2),1),"")</f>
        <v/>
      </c>
      <c r="CO229" s="1620"/>
      <c r="CP229" s="1620" t="str">
        <f>IFERROR(INDEX(N_Bedarf!$CE$2:$CE$304,_xlfn.AGGREGATE(15,6,(ROW(N_Bedarf!$CE$2:$CE$304)-1)/(--(SEARCH(CQ$2,N_Bedarf!$CE$2:$CE$304)&gt;0)),ROW()-2),1),"")</f>
        <v/>
      </c>
      <c r="CQ229" s="1620"/>
      <c r="CR229" s="1620" t="str">
        <f>IFERROR(INDEX(N_Bedarf!$CE$2:$CE$304,_xlfn.AGGREGATE(15,6,(ROW(N_Bedarf!$CE$2:$CE$304)-1)/(--(SEARCH(CS$2,N_Bedarf!$CE$2:$CE$304)&gt;0)),ROW()-2),1),"")</f>
        <v/>
      </c>
      <c r="CS229" s="1620"/>
      <c r="CT229" s="1620" t="str">
        <f>IFERROR(INDEX(N_Bedarf!$CE$2:$CE$304,_xlfn.AGGREGATE(15,6,(ROW(N_Bedarf!$CE$2:$CE$304)-1)/(--(SEARCH(CU$2,N_Bedarf!$CE$2:$CE$304)&gt;0)),ROW()-2),1),"")</f>
        <v/>
      </c>
      <c r="CU229" s="1620"/>
      <c r="CV229" s="1620" t="str">
        <f>IFERROR(INDEX(N_Bedarf!$CE$2:$CE$304,_xlfn.AGGREGATE(15,6,(ROW(N_Bedarf!$CE$2:$CE$304)-1)/(--(SEARCH(CW$2,N_Bedarf!$CE$2:$CE$304)&gt;0)),ROW()-2),1),"")</f>
        <v/>
      </c>
      <c r="CW229" s="1620"/>
      <c r="CX229" s="1620" t="str">
        <f>IFERROR(INDEX(N_Bedarf!$CE$2:$CE$304,_xlfn.AGGREGATE(15,6,(ROW(N_Bedarf!$CE$2:$CE$304)-1)/(--(SEARCH(CY$2,N_Bedarf!$CE$2:$CE$304)&gt;0)),ROW()-2),1),"")</f>
        <v/>
      </c>
      <c r="CY229" s="1620"/>
      <c r="CZ229" s="1620" t="str">
        <f>IFERROR(INDEX(N_Bedarf!$CE$2:$CE$304,_xlfn.AGGREGATE(15,6,(ROW(N_Bedarf!$CE$2:$CE$304)-1)/(--(SEARCH(DA$2,N_Bedarf!$CE$2:$CE$304)&gt;0)),ROW()-2),1),"")</f>
        <v/>
      </c>
      <c r="DA229" s="1620"/>
      <c r="DB229" s="1620" t="str">
        <f>IFERROR(INDEX(N_Bedarf!$CE$2:$CE$304,_xlfn.AGGREGATE(15,6,(ROW(N_Bedarf!$CE$2:$CE$304)-1)/(--(SEARCH(DC$2,N_Bedarf!$CE$2:$CE$304)&gt;0)),ROW()-2),1),"")</f>
        <v/>
      </c>
      <c r="DC229" s="1620"/>
      <c r="DD229" s="1620" t="str">
        <f>IFERROR(INDEX(N_Bedarf!$CE$2:$CE$304,_xlfn.AGGREGATE(15,6,(ROW(N_Bedarf!$CE$2:$CE$304)-1)/(--(SEARCH(DE$2,N_Bedarf!$CE$2:$CE$304)&gt;0)),ROW()-2),1),"")</f>
        <v/>
      </c>
      <c r="DE229" s="1620"/>
      <c r="ES229" s="768"/>
      <c r="ET229" s="768"/>
      <c r="EU229" s="768"/>
      <c r="EV229" s="768"/>
      <c r="EW229" s="768"/>
    </row>
    <row r="230" spans="3:153" s="394" customFormat="1" ht="21" customHeight="1">
      <c r="C230" s="1790" t="s">
        <v>97</v>
      </c>
      <c r="D230" s="1759" t="s">
        <v>714</v>
      </c>
      <c r="E230" s="1729">
        <v>120</v>
      </c>
      <c r="F230" s="1760">
        <v>100</v>
      </c>
      <c r="G230" s="1993" t="s">
        <v>714</v>
      </c>
      <c r="H230" s="1994">
        <v>120</v>
      </c>
      <c r="I230" s="1995">
        <v>100</v>
      </c>
      <c r="J230" s="1759" t="s">
        <v>714</v>
      </c>
      <c r="K230" s="1729">
        <v>120</v>
      </c>
      <c r="L230" s="1760">
        <v>100</v>
      </c>
      <c r="M230" s="1"/>
      <c r="N230" s="1"/>
      <c r="O230" s="1"/>
      <c r="P230" s="1"/>
      <c r="Q230" s="1"/>
      <c r="R230" s="1"/>
      <c r="S230" s="1759">
        <v>45</v>
      </c>
      <c r="T230" s="1729">
        <v>45</v>
      </c>
      <c r="U230" s="1760">
        <v>45</v>
      </c>
      <c r="V230" s="1759">
        <v>40</v>
      </c>
      <c r="W230" s="1729">
        <v>40</v>
      </c>
      <c r="X230" s="1760">
        <v>40</v>
      </c>
      <c r="Y230" s="2009">
        <v>30</v>
      </c>
      <c r="Z230" s="2010">
        <v>30</v>
      </c>
      <c r="AA230" s="2011">
        <v>30</v>
      </c>
      <c r="AB230" s="1871" t="s">
        <v>1388</v>
      </c>
      <c r="AC230" s="1737" t="s">
        <v>1389</v>
      </c>
      <c r="AD230" s="1762">
        <v>300</v>
      </c>
      <c r="AE230" s="1729">
        <v>300</v>
      </c>
      <c r="AF230" s="1760">
        <v>300</v>
      </c>
      <c r="AG230" s="1759">
        <v>250</v>
      </c>
      <c r="AH230" s="1729">
        <v>250</v>
      </c>
      <c r="AI230" s="1760">
        <v>250</v>
      </c>
      <c r="AJ230" s="2009">
        <v>200</v>
      </c>
      <c r="AK230" s="2010">
        <v>200</v>
      </c>
      <c r="AL230" s="2011">
        <v>200</v>
      </c>
      <c r="AM230" s="1871" t="s">
        <v>1390</v>
      </c>
      <c r="AN230" s="1763" t="s">
        <v>1389</v>
      </c>
      <c r="AR230" s="156"/>
      <c r="AS230" s="156"/>
      <c r="AT230" s="156"/>
      <c r="AU230" s="397"/>
      <c r="AV230" s="396"/>
      <c r="AW230" s="396"/>
      <c r="AX230" s="1669"/>
      <c r="AY230" s="3"/>
      <c r="AZ230" s="3"/>
      <c r="BA230" s="3"/>
      <c r="BB230" s="3"/>
      <c r="BC230" s="3"/>
      <c r="BD230" s="3"/>
      <c r="BE230" s="3"/>
      <c r="BF230" s="3"/>
      <c r="BG230" s="3"/>
      <c r="BH230" s="3"/>
      <c r="BI230" s="3"/>
      <c r="BJ230" s="3"/>
      <c r="BK230" s="3"/>
      <c r="BL230" s="3"/>
      <c r="BM230" s="3"/>
      <c r="BN230" s="263"/>
      <c r="BO230" s="3"/>
      <c r="BQ230" s="1669"/>
      <c r="BR230" s="397"/>
      <c r="BS230" s="397"/>
      <c r="BT230" s="397"/>
      <c r="BV230" s="1669"/>
      <c r="BW230" s="397"/>
      <c r="BX230" s="397"/>
      <c r="BY230" s="397"/>
      <c r="BZ230" s="1719"/>
      <c r="CE230" s="1669"/>
      <c r="CF230" s="1620" t="str">
        <f>IFERROR(INDEX(N_Bedarf!$CE$2:$CE$304,_xlfn.AGGREGATE(15,6,(ROW(N_Bedarf!$CE$2:$CE$304)-1)/(--(SEARCH(CG$2,N_Bedarf!$CE$2:$CE$304)&gt;0)),ROW()-2),1),"")</f>
        <v/>
      </c>
      <c r="CG230" s="1620"/>
      <c r="CH230" s="1620" t="str">
        <f>IFERROR(INDEX(N_Bedarf!$CE$2:$CE$304,_xlfn.AGGREGATE(15,6,(ROW(N_Bedarf!$CE$2:$CE$304)-1)/(--(SEARCH(CI$2,N_Bedarf!$CE$2:$CE$304)&gt;0)),ROW()-2),1),"")</f>
        <v/>
      </c>
      <c r="CI230" s="1620"/>
      <c r="CJ230" s="1620" t="str">
        <f>IFERROR(INDEX(N_Bedarf!$CE$2:$CE$304,_xlfn.AGGREGATE(15,6,(ROW(N_Bedarf!$CE$2:$CE$304)-1)/(--(SEARCH(CK$2,N_Bedarf!$CE$2:$CE$304)&gt;0)),ROW()-2),1),"")</f>
        <v/>
      </c>
      <c r="CK230" s="1620"/>
      <c r="CL230" s="1620" t="str">
        <f>IFERROR(INDEX(N_Bedarf!$CE$2:$CE$304,_xlfn.AGGREGATE(15,6,(ROW(N_Bedarf!$CE$2:$CE$304)-1)/(--(SEARCH(CM$2,N_Bedarf!$CE$2:$CE$304)&gt;0)),ROW()-2),1),"")</f>
        <v/>
      </c>
      <c r="CM230" s="1620"/>
      <c r="CN230" s="1620" t="str">
        <f>IFERROR(INDEX(N_Bedarf!$CE$2:$CE$304,_xlfn.AGGREGATE(15,6,(ROW(N_Bedarf!$CE$2:$CE$304)-1)/(--(SEARCH(CO$2,N_Bedarf!$CE$2:$CE$304)&gt;0)),ROW()-2),1),"")</f>
        <v/>
      </c>
      <c r="CO230" s="1620"/>
      <c r="CP230" s="1620" t="str">
        <f>IFERROR(INDEX(N_Bedarf!$CE$2:$CE$304,_xlfn.AGGREGATE(15,6,(ROW(N_Bedarf!$CE$2:$CE$304)-1)/(--(SEARCH(CQ$2,N_Bedarf!$CE$2:$CE$304)&gt;0)),ROW()-2),1),"")</f>
        <v/>
      </c>
      <c r="CQ230" s="1620"/>
      <c r="CR230" s="1620" t="str">
        <f>IFERROR(INDEX(N_Bedarf!$CE$2:$CE$304,_xlfn.AGGREGATE(15,6,(ROW(N_Bedarf!$CE$2:$CE$304)-1)/(--(SEARCH(CS$2,N_Bedarf!$CE$2:$CE$304)&gt;0)),ROW()-2),1),"")</f>
        <v/>
      </c>
      <c r="CS230" s="1620"/>
      <c r="CT230" s="1620" t="str">
        <f>IFERROR(INDEX(N_Bedarf!$CE$2:$CE$304,_xlfn.AGGREGATE(15,6,(ROW(N_Bedarf!$CE$2:$CE$304)-1)/(--(SEARCH(CU$2,N_Bedarf!$CE$2:$CE$304)&gt;0)),ROW()-2),1),"")</f>
        <v/>
      </c>
      <c r="CU230" s="1620"/>
      <c r="CV230" s="1620" t="str">
        <f>IFERROR(INDEX(N_Bedarf!$CE$2:$CE$304,_xlfn.AGGREGATE(15,6,(ROW(N_Bedarf!$CE$2:$CE$304)-1)/(--(SEARCH(CW$2,N_Bedarf!$CE$2:$CE$304)&gt;0)),ROW()-2),1),"")</f>
        <v/>
      </c>
      <c r="CW230" s="1620"/>
      <c r="CX230" s="1620" t="str">
        <f>IFERROR(INDEX(N_Bedarf!$CE$2:$CE$304,_xlfn.AGGREGATE(15,6,(ROW(N_Bedarf!$CE$2:$CE$304)-1)/(--(SEARCH(CY$2,N_Bedarf!$CE$2:$CE$304)&gt;0)),ROW()-2),1),"")</f>
        <v/>
      </c>
      <c r="CY230" s="1620"/>
      <c r="CZ230" s="1620" t="str">
        <f>IFERROR(INDEX(N_Bedarf!$CE$2:$CE$304,_xlfn.AGGREGATE(15,6,(ROW(N_Bedarf!$CE$2:$CE$304)-1)/(--(SEARCH(DA$2,N_Bedarf!$CE$2:$CE$304)&gt;0)),ROW()-2),1),"")</f>
        <v/>
      </c>
      <c r="DA230" s="1620"/>
      <c r="DB230" s="1620" t="str">
        <f>IFERROR(INDEX(N_Bedarf!$CE$2:$CE$304,_xlfn.AGGREGATE(15,6,(ROW(N_Bedarf!$CE$2:$CE$304)-1)/(--(SEARCH(DC$2,N_Bedarf!$CE$2:$CE$304)&gt;0)),ROW()-2),1),"")</f>
        <v/>
      </c>
      <c r="DC230" s="1620"/>
      <c r="DD230" s="1620" t="str">
        <f>IFERROR(INDEX(N_Bedarf!$CE$2:$CE$304,_xlfn.AGGREGATE(15,6,(ROW(N_Bedarf!$CE$2:$CE$304)-1)/(--(SEARCH(DE$2,N_Bedarf!$CE$2:$CE$304)&gt;0)),ROW()-2),1),"")</f>
        <v/>
      </c>
      <c r="DE230" s="1620"/>
      <c r="ES230" s="768"/>
      <c r="ET230" s="768"/>
      <c r="EU230" s="768"/>
      <c r="EV230" s="768"/>
      <c r="EW230" s="768"/>
    </row>
    <row r="231" spans="3:153" s="394" customFormat="1" ht="21" customHeight="1">
      <c r="C231" s="1790" t="s">
        <v>98</v>
      </c>
      <c r="D231" s="1759" t="s">
        <v>714</v>
      </c>
      <c r="E231" s="1729">
        <v>160</v>
      </c>
      <c r="F231" s="1760">
        <v>135</v>
      </c>
      <c r="G231" s="1993" t="s">
        <v>714</v>
      </c>
      <c r="H231" s="1994">
        <v>160</v>
      </c>
      <c r="I231" s="1995">
        <v>135</v>
      </c>
      <c r="J231" s="1759" t="s">
        <v>714</v>
      </c>
      <c r="K231" s="1729">
        <v>160</v>
      </c>
      <c r="L231" s="1760">
        <v>135</v>
      </c>
      <c r="M231" s="1"/>
      <c r="N231" s="1"/>
      <c r="O231" s="1"/>
      <c r="P231" s="1"/>
      <c r="Q231" s="1"/>
      <c r="R231" s="1"/>
      <c r="S231" s="1759">
        <v>90</v>
      </c>
      <c r="T231" s="1729">
        <v>90</v>
      </c>
      <c r="U231" s="1760">
        <v>90</v>
      </c>
      <c r="V231" s="1759">
        <v>75</v>
      </c>
      <c r="W231" s="1729">
        <v>75</v>
      </c>
      <c r="X231" s="1760">
        <v>75</v>
      </c>
      <c r="Y231" s="2009">
        <v>60</v>
      </c>
      <c r="Z231" s="2010">
        <v>60</v>
      </c>
      <c r="AA231" s="2011">
        <v>60</v>
      </c>
      <c r="AB231" s="1871" t="s">
        <v>1388</v>
      </c>
      <c r="AC231" s="1737" t="s">
        <v>1389</v>
      </c>
      <c r="AD231" s="1762">
        <v>150</v>
      </c>
      <c r="AE231" s="1729">
        <v>150</v>
      </c>
      <c r="AF231" s="1760">
        <v>150</v>
      </c>
      <c r="AG231" s="1759">
        <v>125</v>
      </c>
      <c r="AH231" s="1729">
        <v>125</v>
      </c>
      <c r="AI231" s="1760">
        <v>125</v>
      </c>
      <c r="AJ231" s="2009">
        <v>100</v>
      </c>
      <c r="AK231" s="2010">
        <v>100</v>
      </c>
      <c r="AL231" s="2011">
        <v>100</v>
      </c>
      <c r="AM231" s="1871" t="s">
        <v>1390</v>
      </c>
      <c r="AN231" s="1763" t="s">
        <v>1389</v>
      </c>
      <c r="AR231" s="156"/>
      <c r="AS231" s="156"/>
      <c r="AT231" s="156"/>
      <c r="AU231" s="397"/>
      <c r="AV231" s="396"/>
      <c r="AW231" s="396"/>
      <c r="AX231" s="1669"/>
      <c r="AY231" s="3"/>
      <c r="AZ231" s="3"/>
      <c r="BA231" s="3"/>
      <c r="BB231" s="3"/>
      <c r="BC231" s="3"/>
      <c r="BD231" s="3"/>
      <c r="BE231" s="3"/>
      <c r="BF231" s="3"/>
      <c r="BG231" s="3"/>
      <c r="BH231" s="3"/>
      <c r="BI231" s="3"/>
      <c r="BJ231" s="3"/>
      <c r="BK231" s="3"/>
      <c r="BL231" s="3"/>
      <c r="BM231" s="3"/>
      <c r="BN231" s="263"/>
      <c r="BO231" s="3"/>
      <c r="BQ231" s="1669"/>
      <c r="BR231" s="397"/>
      <c r="BS231" s="397"/>
      <c r="BT231" s="397"/>
      <c r="BV231" s="1669"/>
      <c r="BW231" s="397"/>
      <c r="BX231" s="397"/>
      <c r="BY231" s="397"/>
      <c r="BZ231" s="1719"/>
      <c r="CE231" s="1669"/>
      <c r="CF231" s="1620" t="str">
        <f>IFERROR(INDEX(N_Bedarf!$CE$2:$CE$304,_xlfn.AGGREGATE(15,6,(ROW(N_Bedarf!$CE$2:$CE$304)-1)/(--(SEARCH(CG$2,N_Bedarf!$CE$2:$CE$304)&gt;0)),ROW()-2),1),"")</f>
        <v/>
      </c>
      <c r="CG231" s="1620"/>
      <c r="CH231" s="1620" t="str">
        <f>IFERROR(INDEX(N_Bedarf!$CE$2:$CE$304,_xlfn.AGGREGATE(15,6,(ROW(N_Bedarf!$CE$2:$CE$304)-1)/(--(SEARCH(CI$2,N_Bedarf!$CE$2:$CE$304)&gt;0)),ROW()-2),1),"")</f>
        <v/>
      </c>
      <c r="CI231" s="1620"/>
      <c r="CJ231" s="1620" t="str">
        <f>IFERROR(INDEX(N_Bedarf!$CE$2:$CE$304,_xlfn.AGGREGATE(15,6,(ROW(N_Bedarf!$CE$2:$CE$304)-1)/(--(SEARCH(CK$2,N_Bedarf!$CE$2:$CE$304)&gt;0)),ROW()-2),1),"")</f>
        <v/>
      </c>
      <c r="CK231" s="1620"/>
      <c r="CL231" s="1620" t="str">
        <f>IFERROR(INDEX(N_Bedarf!$CE$2:$CE$304,_xlfn.AGGREGATE(15,6,(ROW(N_Bedarf!$CE$2:$CE$304)-1)/(--(SEARCH(CM$2,N_Bedarf!$CE$2:$CE$304)&gt;0)),ROW()-2),1),"")</f>
        <v/>
      </c>
      <c r="CM231" s="1620"/>
      <c r="CN231" s="1620" t="str">
        <f>IFERROR(INDEX(N_Bedarf!$CE$2:$CE$304,_xlfn.AGGREGATE(15,6,(ROW(N_Bedarf!$CE$2:$CE$304)-1)/(--(SEARCH(CO$2,N_Bedarf!$CE$2:$CE$304)&gt;0)),ROW()-2),1),"")</f>
        <v/>
      </c>
      <c r="CO231" s="1620"/>
      <c r="CP231" s="1620" t="str">
        <f>IFERROR(INDEX(N_Bedarf!$CE$2:$CE$304,_xlfn.AGGREGATE(15,6,(ROW(N_Bedarf!$CE$2:$CE$304)-1)/(--(SEARCH(CQ$2,N_Bedarf!$CE$2:$CE$304)&gt;0)),ROW()-2),1),"")</f>
        <v/>
      </c>
      <c r="CQ231" s="1620"/>
      <c r="CR231" s="1620" t="str">
        <f>IFERROR(INDEX(N_Bedarf!$CE$2:$CE$304,_xlfn.AGGREGATE(15,6,(ROW(N_Bedarf!$CE$2:$CE$304)-1)/(--(SEARCH(CS$2,N_Bedarf!$CE$2:$CE$304)&gt;0)),ROW()-2),1),"")</f>
        <v/>
      </c>
      <c r="CS231" s="1620"/>
      <c r="CT231" s="1620" t="str">
        <f>IFERROR(INDEX(N_Bedarf!$CE$2:$CE$304,_xlfn.AGGREGATE(15,6,(ROW(N_Bedarf!$CE$2:$CE$304)-1)/(--(SEARCH(CU$2,N_Bedarf!$CE$2:$CE$304)&gt;0)),ROW()-2),1),"")</f>
        <v/>
      </c>
      <c r="CU231" s="1620"/>
      <c r="CV231" s="1620" t="str">
        <f>IFERROR(INDEX(N_Bedarf!$CE$2:$CE$304,_xlfn.AGGREGATE(15,6,(ROW(N_Bedarf!$CE$2:$CE$304)-1)/(--(SEARCH(CW$2,N_Bedarf!$CE$2:$CE$304)&gt;0)),ROW()-2),1),"")</f>
        <v/>
      </c>
      <c r="CW231" s="1620"/>
      <c r="CX231" s="1620" t="str">
        <f>IFERROR(INDEX(N_Bedarf!$CE$2:$CE$304,_xlfn.AGGREGATE(15,6,(ROW(N_Bedarf!$CE$2:$CE$304)-1)/(--(SEARCH(CY$2,N_Bedarf!$CE$2:$CE$304)&gt;0)),ROW()-2),1),"")</f>
        <v/>
      </c>
      <c r="CY231" s="1620"/>
      <c r="CZ231" s="1620" t="str">
        <f>IFERROR(INDEX(N_Bedarf!$CE$2:$CE$304,_xlfn.AGGREGATE(15,6,(ROW(N_Bedarf!$CE$2:$CE$304)-1)/(--(SEARCH(DA$2,N_Bedarf!$CE$2:$CE$304)&gt;0)),ROW()-2),1),"")</f>
        <v/>
      </c>
      <c r="DA231" s="1620"/>
      <c r="DB231" s="1620" t="str">
        <f>IFERROR(INDEX(N_Bedarf!$CE$2:$CE$304,_xlfn.AGGREGATE(15,6,(ROW(N_Bedarf!$CE$2:$CE$304)-1)/(--(SEARCH(DC$2,N_Bedarf!$CE$2:$CE$304)&gt;0)),ROW()-2),1),"")</f>
        <v/>
      </c>
      <c r="DC231" s="1620"/>
      <c r="DD231" s="1620" t="str">
        <f>IFERROR(INDEX(N_Bedarf!$CE$2:$CE$304,_xlfn.AGGREGATE(15,6,(ROW(N_Bedarf!$CE$2:$CE$304)-1)/(--(SEARCH(DE$2,N_Bedarf!$CE$2:$CE$304)&gt;0)),ROW()-2),1),"")</f>
        <v/>
      </c>
      <c r="DE231" s="1620"/>
      <c r="ES231" s="768"/>
      <c r="ET231" s="768"/>
      <c r="EU231" s="768"/>
      <c r="EV231" s="768"/>
      <c r="EW231" s="768"/>
    </row>
    <row r="232" spans="3:153" s="394" customFormat="1" ht="21" customHeight="1">
      <c r="C232" s="1790" t="s">
        <v>99</v>
      </c>
      <c r="D232" s="1759" t="s">
        <v>714</v>
      </c>
      <c r="E232" s="1729">
        <v>130</v>
      </c>
      <c r="F232" s="1760">
        <v>100</v>
      </c>
      <c r="G232" s="1993" t="s">
        <v>714</v>
      </c>
      <c r="H232" s="1994">
        <v>130</v>
      </c>
      <c r="I232" s="1995">
        <v>100</v>
      </c>
      <c r="J232" s="1759" t="s">
        <v>714</v>
      </c>
      <c r="K232" s="1729">
        <v>130</v>
      </c>
      <c r="L232" s="1760">
        <v>100</v>
      </c>
      <c r="M232" s="1"/>
      <c r="N232" s="1"/>
      <c r="O232" s="1"/>
      <c r="P232" s="1"/>
      <c r="Q232" s="1"/>
      <c r="R232" s="1"/>
      <c r="S232" s="1759">
        <v>30</v>
      </c>
      <c r="T232" s="1729">
        <v>30</v>
      </c>
      <c r="U232" s="1760">
        <v>30</v>
      </c>
      <c r="V232" s="1759">
        <v>25</v>
      </c>
      <c r="W232" s="1729">
        <v>25</v>
      </c>
      <c r="X232" s="1760">
        <v>25</v>
      </c>
      <c r="Y232" s="2009">
        <v>20</v>
      </c>
      <c r="Z232" s="2010">
        <v>20</v>
      </c>
      <c r="AA232" s="2011">
        <v>20</v>
      </c>
      <c r="AB232" s="1871" t="s">
        <v>1388</v>
      </c>
      <c r="AC232" s="1737" t="s">
        <v>1389</v>
      </c>
      <c r="AD232" s="1762">
        <v>30</v>
      </c>
      <c r="AE232" s="1729">
        <v>30</v>
      </c>
      <c r="AF232" s="1760">
        <v>30</v>
      </c>
      <c r="AG232" s="1759">
        <v>25</v>
      </c>
      <c r="AH232" s="1729">
        <v>25</v>
      </c>
      <c r="AI232" s="1760">
        <v>25</v>
      </c>
      <c r="AJ232" s="2009">
        <v>20</v>
      </c>
      <c r="AK232" s="2010">
        <v>20</v>
      </c>
      <c r="AL232" s="2011">
        <v>20</v>
      </c>
      <c r="AM232" s="1871" t="s">
        <v>1390</v>
      </c>
      <c r="AN232" s="1763" t="s">
        <v>1389</v>
      </c>
      <c r="AR232" s="156"/>
      <c r="AS232" s="156"/>
      <c r="AT232" s="156"/>
      <c r="AU232" s="397"/>
      <c r="AV232" s="396"/>
      <c r="AW232" s="396"/>
      <c r="AX232" s="1669"/>
      <c r="AY232" s="3"/>
      <c r="AZ232" s="3"/>
      <c r="BA232" s="3"/>
      <c r="BB232" s="3"/>
      <c r="BC232" s="3"/>
      <c r="BD232" s="3"/>
      <c r="BE232" s="3"/>
      <c r="BF232" s="3"/>
      <c r="BG232" s="3"/>
      <c r="BH232" s="3"/>
      <c r="BI232" s="3"/>
      <c r="BJ232" s="3"/>
      <c r="BK232" s="3"/>
      <c r="BL232" s="3"/>
      <c r="BM232" s="3"/>
      <c r="BN232" s="263"/>
      <c r="BO232" s="3"/>
      <c r="BQ232" s="1669"/>
      <c r="BR232" s="397"/>
      <c r="BS232" s="397"/>
      <c r="BT232" s="397"/>
      <c r="BV232" s="1669"/>
      <c r="BW232" s="397"/>
      <c r="BX232" s="397"/>
      <c r="BY232" s="397"/>
      <c r="BZ232" s="1719"/>
      <c r="CE232" s="1669"/>
      <c r="CF232" s="1620" t="str">
        <f>IFERROR(INDEX(N_Bedarf!$CE$2:$CE$304,_xlfn.AGGREGATE(15,6,(ROW(N_Bedarf!$CE$2:$CE$304)-1)/(--(SEARCH(CG$2,N_Bedarf!$CE$2:$CE$304)&gt;0)),ROW()-2),1),"")</f>
        <v/>
      </c>
      <c r="CG232" s="1620"/>
      <c r="CH232" s="1620" t="str">
        <f>IFERROR(INDEX(N_Bedarf!$CE$2:$CE$304,_xlfn.AGGREGATE(15,6,(ROW(N_Bedarf!$CE$2:$CE$304)-1)/(--(SEARCH(CI$2,N_Bedarf!$CE$2:$CE$304)&gt;0)),ROW()-2),1),"")</f>
        <v/>
      </c>
      <c r="CI232" s="1620"/>
      <c r="CJ232" s="1620" t="str">
        <f>IFERROR(INDEX(N_Bedarf!$CE$2:$CE$304,_xlfn.AGGREGATE(15,6,(ROW(N_Bedarf!$CE$2:$CE$304)-1)/(--(SEARCH(CK$2,N_Bedarf!$CE$2:$CE$304)&gt;0)),ROW()-2),1),"")</f>
        <v/>
      </c>
      <c r="CK232" s="1620"/>
      <c r="CL232" s="1620" t="str">
        <f>IFERROR(INDEX(N_Bedarf!$CE$2:$CE$304,_xlfn.AGGREGATE(15,6,(ROW(N_Bedarf!$CE$2:$CE$304)-1)/(--(SEARCH(CM$2,N_Bedarf!$CE$2:$CE$304)&gt;0)),ROW()-2),1),"")</f>
        <v/>
      </c>
      <c r="CM232" s="1620"/>
      <c r="CN232" s="1620" t="str">
        <f>IFERROR(INDEX(N_Bedarf!$CE$2:$CE$304,_xlfn.AGGREGATE(15,6,(ROW(N_Bedarf!$CE$2:$CE$304)-1)/(--(SEARCH(CO$2,N_Bedarf!$CE$2:$CE$304)&gt;0)),ROW()-2),1),"")</f>
        <v/>
      </c>
      <c r="CO232" s="1620"/>
      <c r="CP232" s="1620" t="str">
        <f>IFERROR(INDEX(N_Bedarf!$CE$2:$CE$304,_xlfn.AGGREGATE(15,6,(ROW(N_Bedarf!$CE$2:$CE$304)-1)/(--(SEARCH(CQ$2,N_Bedarf!$CE$2:$CE$304)&gt;0)),ROW()-2),1),"")</f>
        <v/>
      </c>
      <c r="CQ232" s="1620"/>
      <c r="CR232" s="1620" t="str">
        <f>IFERROR(INDEX(N_Bedarf!$CE$2:$CE$304,_xlfn.AGGREGATE(15,6,(ROW(N_Bedarf!$CE$2:$CE$304)-1)/(--(SEARCH(CS$2,N_Bedarf!$CE$2:$CE$304)&gt;0)),ROW()-2),1),"")</f>
        <v/>
      </c>
      <c r="CS232" s="1620"/>
      <c r="CT232" s="1620" t="str">
        <f>IFERROR(INDEX(N_Bedarf!$CE$2:$CE$304,_xlfn.AGGREGATE(15,6,(ROW(N_Bedarf!$CE$2:$CE$304)-1)/(--(SEARCH(CU$2,N_Bedarf!$CE$2:$CE$304)&gt;0)),ROW()-2),1),"")</f>
        <v/>
      </c>
      <c r="CU232" s="1620"/>
      <c r="CV232" s="1620" t="str">
        <f>IFERROR(INDEX(N_Bedarf!$CE$2:$CE$304,_xlfn.AGGREGATE(15,6,(ROW(N_Bedarf!$CE$2:$CE$304)-1)/(--(SEARCH(CW$2,N_Bedarf!$CE$2:$CE$304)&gt;0)),ROW()-2),1),"")</f>
        <v/>
      </c>
      <c r="CW232" s="1620"/>
      <c r="CX232" s="1620" t="str">
        <f>IFERROR(INDEX(N_Bedarf!$CE$2:$CE$304,_xlfn.AGGREGATE(15,6,(ROW(N_Bedarf!$CE$2:$CE$304)-1)/(--(SEARCH(CY$2,N_Bedarf!$CE$2:$CE$304)&gt;0)),ROW()-2),1),"")</f>
        <v/>
      </c>
      <c r="CY232" s="1620"/>
      <c r="CZ232" s="1620" t="str">
        <f>IFERROR(INDEX(N_Bedarf!$CE$2:$CE$304,_xlfn.AGGREGATE(15,6,(ROW(N_Bedarf!$CE$2:$CE$304)-1)/(--(SEARCH(DA$2,N_Bedarf!$CE$2:$CE$304)&gt;0)),ROW()-2),1),"")</f>
        <v/>
      </c>
      <c r="DA232" s="1620"/>
      <c r="DB232" s="1620" t="str">
        <f>IFERROR(INDEX(N_Bedarf!$CE$2:$CE$304,_xlfn.AGGREGATE(15,6,(ROW(N_Bedarf!$CE$2:$CE$304)-1)/(--(SEARCH(DC$2,N_Bedarf!$CE$2:$CE$304)&gt;0)),ROW()-2),1),"")</f>
        <v/>
      </c>
      <c r="DC232" s="1620"/>
      <c r="DD232" s="1620" t="str">
        <f>IFERROR(INDEX(N_Bedarf!$CE$2:$CE$304,_xlfn.AGGREGATE(15,6,(ROW(N_Bedarf!$CE$2:$CE$304)-1)/(--(SEARCH(DE$2,N_Bedarf!$CE$2:$CE$304)&gt;0)),ROW()-2),1),"")</f>
        <v/>
      </c>
      <c r="DE232" s="1620"/>
      <c r="ES232" s="768"/>
      <c r="ET232" s="768"/>
      <c r="EU232" s="768"/>
      <c r="EV232" s="768"/>
      <c r="EW232" s="768"/>
    </row>
    <row r="233" spans="3:153" s="394" customFormat="1" ht="21" customHeight="1">
      <c r="C233" s="1790" t="s">
        <v>100</v>
      </c>
      <c r="D233" s="1759" t="s">
        <v>714</v>
      </c>
      <c r="E233" s="1729">
        <v>100</v>
      </c>
      <c r="F233" s="1760">
        <v>85</v>
      </c>
      <c r="G233" s="1993" t="s">
        <v>714</v>
      </c>
      <c r="H233" s="1994">
        <v>100</v>
      </c>
      <c r="I233" s="1995">
        <v>85</v>
      </c>
      <c r="J233" s="1759" t="s">
        <v>714</v>
      </c>
      <c r="K233" s="1729">
        <v>100</v>
      </c>
      <c r="L233" s="1760">
        <v>85</v>
      </c>
      <c r="M233" s="1"/>
      <c r="N233" s="1"/>
      <c r="O233" s="1"/>
      <c r="P233" s="1"/>
      <c r="Q233" s="1"/>
      <c r="R233" s="1"/>
      <c r="S233" s="1759"/>
      <c r="T233" s="1729"/>
      <c r="U233" s="1760"/>
      <c r="V233" s="1759"/>
      <c r="W233" s="1729"/>
      <c r="X233" s="1760"/>
      <c r="Y233" s="2009"/>
      <c r="Z233" s="2010"/>
      <c r="AA233" s="2011"/>
      <c r="AB233" s="1871"/>
      <c r="AC233" s="1737"/>
      <c r="AD233" s="1762"/>
      <c r="AE233" s="1729"/>
      <c r="AF233" s="1760"/>
      <c r="AG233" s="1759"/>
      <c r="AH233" s="1729"/>
      <c r="AI233" s="1760"/>
      <c r="AJ233" s="2009"/>
      <c r="AK233" s="2010"/>
      <c r="AL233" s="2011"/>
      <c r="AM233" s="1871" t="s">
        <v>1764</v>
      </c>
      <c r="AN233" s="1763" t="s">
        <v>1764</v>
      </c>
      <c r="AR233" s="156"/>
      <c r="AS233" s="156"/>
      <c r="AT233" s="156"/>
      <c r="AU233" s="397"/>
      <c r="AV233" s="396"/>
      <c r="AW233" s="396"/>
      <c r="AX233" s="1669"/>
      <c r="AY233" s="3"/>
      <c r="AZ233" s="3"/>
      <c r="BA233" s="3"/>
      <c r="BB233" s="3"/>
      <c r="BC233" s="3"/>
      <c r="BD233" s="3"/>
      <c r="BE233" s="3"/>
      <c r="BF233" s="3"/>
      <c r="BG233" s="3"/>
      <c r="BH233" s="3"/>
      <c r="BI233" s="3"/>
      <c r="BJ233" s="3"/>
      <c r="BK233" s="3"/>
      <c r="BL233" s="3"/>
      <c r="BM233" s="3"/>
      <c r="BN233" s="263"/>
      <c r="BO233" s="3"/>
      <c r="BQ233" s="1669"/>
      <c r="BR233" s="397"/>
      <c r="BS233" s="397"/>
      <c r="BT233" s="397"/>
      <c r="BV233" s="1669"/>
      <c r="BW233" s="397"/>
      <c r="BX233" s="397"/>
      <c r="BY233" s="397"/>
      <c r="BZ233" s="1719"/>
      <c r="CE233" s="1669"/>
      <c r="CF233" s="1620" t="str">
        <f>IFERROR(INDEX(N_Bedarf!$CE$2:$CE$304,_xlfn.AGGREGATE(15,6,(ROW(N_Bedarf!$CE$2:$CE$304)-1)/(--(SEARCH(CG$2,N_Bedarf!$CE$2:$CE$304)&gt;0)),ROW()-2),1),"")</f>
        <v/>
      </c>
      <c r="CG233" s="1620"/>
      <c r="CH233" s="1620" t="str">
        <f>IFERROR(INDEX(N_Bedarf!$CE$2:$CE$304,_xlfn.AGGREGATE(15,6,(ROW(N_Bedarf!$CE$2:$CE$304)-1)/(--(SEARCH(CI$2,N_Bedarf!$CE$2:$CE$304)&gt;0)),ROW()-2),1),"")</f>
        <v/>
      </c>
      <c r="CI233" s="1620"/>
      <c r="CJ233" s="1620" t="str">
        <f>IFERROR(INDEX(N_Bedarf!$CE$2:$CE$304,_xlfn.AGGREGATE(15,6,(ROW(N_Bedarf!$CE$2:$CE$304)-1)/(--(SEARCH(CK$2,N_Bedarf!$CE$2:$CE$304)&gt;0)),ROW()-2),1),"")</f>
        <v/>
      </c>
      <c r="CK233" s="1620"/>
      <c r="CL233" s="1620" t="str">
        <f>IFERROR(INDEX(N_Bedarf!$CE$2:$CE$304,_xlfn.AGGREGATE(15,6,(ROW(N_Bedarf!$CE$2:$CE$304)-1)/(--(SEARCH(CM$2,N_Bedarf!$CE$2:$CE$304)&gt;0)),ROW()-2),1),"")</f>
        <v/>
      </c>
      <c r="CM233" s="1620"/>
      <c r="CN233" s="1620" t="str">
        <f>IFERROR(INDEX(N_Bedarf!$CE$2:$CE$304,_xlfn.AGGREGATE(15,6,(ROW(N_Bedarf!$CE$2:$CE$304)-1)/(--(SEARCH(CO$2,N_Bedarf!$CE$2:$CE$304)&gt;0)),ROW()-2),1),"")</f>
        <v/>
      </c>
      <c r="CO233" s="1620"/>
      <c r="CP233" s="1620" t="str">
        <f>IFERROR(INDEX(N_Bedarf!$CE$2:$CE$304,_xlfn.AGGREGATE(15,6,(ROW(N_Bedarf!$CE$2:$CE$304)-1)/(--(SEARCH(CQ$2,N_Bedarf!$CE$2:$CE$304)&gt;0)),ROW()-2),1),"")</f>
        <v/>
      </c>
      <c r="CQ233" s="1620"/>
      <c r="CR233" s="1620" t="str">
        <f>IFERROR(INDEX(N_Bedarf!$CE$2:$CE$304,_xlfn.AGGREGATE(15,6,(ROW(N_Bedarf!$CE$2:$CE$304)-1)/(--(SEARCH(CS$2,N_Bedarf!$CE$2:$CE$304)&gt;0)),ROW()-2),1),"")</f>
        <v/>
      </c>
      <c r="CS233" s="1620"/>
      <c r="CT233" s="1620" t="str">
        <f>IFERROR(INDEX(N_Bedarf!$CE$2:$CE$304,_xlfn.AGGREGATE(15,6,(ROW(N_Bedarf!$CE$2:$CE$304)-1)/(--(SEARCH(CU$2,N_Bedarf!$CE$2:$CE$304)&gt;0)),ROW()-2),1),"")</f>
        <v/>
      </c>
      <c r="CU233" s="1620"/>
      <c r="CV233" s="1620" t="str">
        <f>IFERROR(INDEX(N_Bedarf!$CE$2:$CE$304,_xlfn.AGGREGATE(15,6,(ROW(N_Bedarf!$CE$2:$CE$304)-1)/(--(SEARCH(CW$2,N_Bedarf!$CE$2:$CE$304)&gt;0)),ROW()-2),1),"")</f>
        <v/>
      </c>
      <c r="CW233" s="1620"/>
      <c r="CX233" s="1620" t="str">
        <f>IFERROR(INDEX(N_Bedarf!$CE$2:$CE$304,_xlfn.AGGREGATE(15,6,(ROW(N_Bedarf!$CE$2:$CE$304)-1)/(--(SEARCH(CY$2,N_Bedarf!$CE$2:$CE$304)&gt;0)),ROW()-2),1),"")</f>
        <v/>
      </c>
      <c r="CY233" s="1620"/>
      <c r="CZ233" s="1620" t="str">
        <f>IFERROR(INDEX(N_Bedarf!$CE$2:$CE$304,_xlfn.AGGREGATE(15,6,(ROW(N_Bedarf!$CE$2:$CE$304)-1)/(--(SEARCH(DA$2,N_Bedarf!$CE$2:$CE$304)&gt;0)),ROW()-2),1),"")</f>
        <v/>
      </c>
      <c r="DA233" s="1620"/>
      <c r="DB233" s="1620" t="str">
        <f>IFERROR(INDEX(N_Bedarf!$CE$2:$CE$304,_xlfn.AGGREGATE(15,6,(ROW(N_Bedarf!$CE$2:$CE$304)-1)/(--(SEARCH(DC$2,N_Bedarf!$CE$2:$CE$304)&gt;0)),ROW()-2),1),"")</f>
        <v/>
      </c>
      <c r="DC233" s="1620"/>
      <c r="DD233" s="1620" t="str">
        <f>IFERROR(INDEX(N_Bedarf!$CE$2:$CE$304,_xlfn.AGGREGATE(15,6,(ROW(N_Bedarf!$CE$2:$CE$304)-1)/(--(SEARCH(DE$2,N_Bedarf!$CE$2:$CE$304)&gt;0)),ROW()-2),1),"")</f>
        <v/>
      </c>
      <c r="DE233" s="1620"/>
      <c r="ES233" s="768"/>
      <c r="ET233" s="768"/>
      <c r="EU233" s="768"/>
      <c r="EV233" s="768"/>
      <c r="EW233" s="768"/>
    </row>
    <row r="234" spans="3:153" s="394" customFormat="1" ht="21" customHeight="1">
      <c r="C234" s="1790" t="s">
        <v>101</v>
      </c>
      <c r="D234" s="1759" t="s">
        <v>714</v>
      </c>
      <c r="E234" s="1729">
        <v>80</v>
      </c>
      <c r="F234" s="1760">
        <v>70</v>
      </c>
      <c r="G234" s="1993" t="s">
        <v>714</v>
      </c>
      <c r="H234" s="1994">
        <v>80</v>
      </c>
      <c r="I234" s="1995">
        <v>70</v>
      </c>
      <c r="J234" s="1759" t="s">
        <v>714</v>
      </c>
      <c r="K234" s="1729">
        <v>80</v>
      </c>
      <c r="L234" s="1760">
        <v>70</v>
      </c>
      <c r="M234" s="1"/>
      <c r="N234" s="1"/>
      <c r="O234" s="1"/>
      <c r="P234" s="1"/>
      <c r="Q234" s="1"/>
      <c r="R234" s="1"/>
      <c r="S234" s="1759"/>
      <c r="T234" s="1729"/>
      <c r="U234" s="1760"/>
      <c r="V234" s="1759"/>
      <c r="W234" s="1729"/>
      <c r="X234" s="1760"/>
      <c r="Y234" s="2009"/>
      <c r="Z234" s="2010"/>
      <c r="AA234" s="2011"/>
      <c r="AB234" s="1871"/>
      <c r="AC234" s="1737"/>
      <c r="AD234" s="1762"/>
      <c r="AE234" s="1729"/>
      <c r="AF234" s="1760"/>
      <c r="AG234" s="1759"/>
      <c r="AH234" s="1729"/>
      <c r="AI234" s="1760"/>
      <c r="AJ234" s="2009"/>
      <c r="AK234" s="2010"/>
      <c r="AL234" s="2011"/>
      <c r="AM234" s="1871" t="s">
        <v>1764</v>
      </c>
      <c r="AN234" s="1763" t="s">
        <v>1764</v>
      </c>
      <c r="AR234" s="156"/>
      <c r="AS234" s="156"/>
      <c r="AT234" s="156"/>
      <c r="AU234" s="397"/>
      <c r="AV234" s="396"/>
      <c r="AW234" s="396"/>
      <c r="AX234" s="1669"/>
      <c r="AY234" s="3"/>
      <c r="AZ234" s="3"/>
      <c r="BA234" s="3"/>
      <c r="BB234" s="3"/>
      <c r="BC234" s="3"/>
      <c r="BD234" s="3"/>
      <c r="BE234" s="3"/>
      <c r="BF234" s="3"/>
      <c r="BG234" s="3"/>
      <c r="BH234" s="3"/>
      <c r="BI234" s="3"/>
      <c r="BJ234" s="3"/>
      <c r="BK234" s="3"/>
      <c r="BL234" s="3"/>
      <c r="BM234" s="3"/>
      <c r="BN234" s="263"/>
      <c r="BO234" s="3"/>
      <c r="BQ234" s="1669"/>
      <c r="BR234" s="397"/>
      <c r="BS234" s="397"/>
      <c r="BT234" s="397"/>
      <c r="BV234" s="1669"/>
      <c r="BW234" s="397"/>
      <c r="BX234" s="397"/>
      <c r="BY234" s="397"/>
      <c r="BZ234" s="1719"/>
      <c r="CE234" s="1669"/>
      <c r="CF234" s="1620" t="str">
        <f>IFERROR(INDEX(N_Bedarf!$CE$2:$CE$304,_xlfn.AGGREGATE(15,6,(ROW(N_Bedarf!$CE$2:$CE$304)-1)/(--(SEARCH(CG$2,N_Bedarf!$CE$2:$CE$304)&gt;0)),ROW()-2),1),"")</f>
        <v/>
      </c>
      <c r="CG234" s="1620"/>
      <c r="CH234" s="1620" t="str">
        <f>IFERROR(INDEX(N_Bedarf!$CE$2:$CE$304,_xlfn.AGGREGATE(15,6,(ROW(N_Bedarf!$CE$2:$CE$304)-1)/(--(SEARCH(CI$2,N_Bedarf!$CE$2:$CE$304)&gt;0)),ROW()-2),1),"")</f>
        <v/>
      </c>
      <c r="CI234" s="1620"/>
      <c r="CJ234" s="1620" t="str">
        <f>IFERROR(INDEX(N_Bedarf!$CE$2:$CE$304,_xlfn.AGGREGATE(15,6,(ROW(N_Bedarf!$CE$2:$CE$304)-1)/(--(SEARCH(CK$2,N_Bedarf!$CE$2:$CE$304)&gt;0)),ROW()-2),1),"")</f>
        <v/>
      </c>
      <c r="CK234" s="1620"/>
      <c r="CL234" s="1620" t="str">
        <f>IFERROR(INDEX(N_Bedarf!$CE$2:$CE$304,_xlfn.AGGREGATE(15,6,(ROW(N_Bedarf!$CE$2:$CE$304)-1)/(--(SEARCH(CM$2,N_Bedarf!$CE$2:$CE$304)&gt;0)),ROW()-2),1),"")</f>
        <v/>
      </c>
      <c r="CM234" s="1620"/>
      <c r="CN234" s="1620" t="str">
        <f>IFERROR(INDEX(N_Bedarf!$CE$2:$CE$304,_xlfn.AGGREGATE(15,6,(ROW(N_Bedarf!$CE$2:$CE$304)-1)/(--(SEARCH(CO$2,N_Bedarf!$CE$2:$CE$304)&gt;0)),ROW()-2),1),"")</f>
        <v/>
      </c>
      <c r="CO234" s="1620"/>
      <c r="CP234" s="1620" t="str">
        <f>IFERROR(INDEX(N_Bedarf!$CE$2:$CE$304,_xlfn.AGGREGATE(15,6,(ROW(N_Bedarf!$CE$2:$CE$304)-1)/(--(SEARCH(CQ$2,N_Bedarf!$CE$2:$CE$304)&gt;0)),ROW()-2),1),"")</f>
        <v/>
      </c>
      <c r="CQ234" s="1620"/>
      <c r="CR234" s="1620" t="str">
        <f>IFERROR(INDEX(N_Bedarf!$CE$2:$CE$304,_xlfn.AGGREGATE(15,6,(ROW(N_Bedarf!$CE$2:$CE$304)-1)/(--(SEARCH(CS$2,N_Bedarf!$CE$2:$CE$304)&gt;0)),ROW()-2),1),"")</f>
        <v/>
      </c>
      <c r="CS234" s="1620"/>
      <c r="CT234" s="1620" t="str">
        <f>IFERROR(INDEX(N_Bedarf!$CE$2:$CE$304,_xlfn.AGGREGATE(15,6,(ROW(N_Bedarf!$CE$2:$CE$304)-1)/(--(SEARCH(CU$2,N_Bedarf!$CE$2:$CE$304)&gt;0)),ROW()-2),1),"")</f>
        <v/>
      </c>
      <c r="CU234" s="1620"/>
      <c r="CV234" s="1620" t="str">
        <f>IFERROR(INDEX(N_Bedarf!$CE$2:$CE$304,_xlfn.AGGREGATE(15,6,(ROW(N_Bedarf!$CE$2:$CE$304)-1)/(--(SEARCH(CW$2,N_Bedarf!$CE$2:$CE$304)&gt;0)),ROW()-2),1),"")</f>
        <v/>
      </c>
      <c r="CW234" s="1620"/>
      <c r="CX234" s="1620" t="str">
        <f>IFERROR(INDEX(N_Bedarf!$CE$2:$CE$304,_xlfn.AGGREGATE(15,6,(ROW(N_Bedarf!$CE$2:$CE$304)-1)/(--(SEARCH(CY$2,N_Bedarf!$CE$2:$CE$304)&gt;0)),ROW()-2),1),"")</f>
        <v/>
      </c>
      <c r="CY234" s="1620"/>
      <c r="CZ234" s="1620" t="str">
        <f>IFERROR(INDEX(N_Bedarf!$CE$2:$CE$304,_xlfn.AGGREGATE(15,6,(ROW(N_Bedarf!$CE$2:$CE$304)-1)/(--(SEARCH(DA$2,N_Bedarf!$CE$2:$CE$304)&gt;0)),ROW()-2),1),"")</f>
        <v/>
      </c>
      <c r="DA234" s="1620"/>
      <c r="DB234" s="1620" t="str">
        <f>IFERROR(INDEX(N_Bedarf!$CE$2:$CE$304,_xlfn.AGGREGATE(15,6,(ROW(N_Bedarf!$CE$2:$CE$304)-1)/(--(SEARCH(DC$2,N_Bedarf!$CE$2:$CE$304)&gt;0)),ROW()-2),1),"")</f>
        <v/>
      </c>
      <c r="DC234" s="1620"/>
      <c r="DD234" s="1620" t="str">
        <f>IFERROR(INDEX(N_Bedarf!$CE$2:$CE$304,_xlfn.AGGREGATE(15,6,(ROW(N_Bedarf!$CE$2:$CE$304)-1)/(--(SEARCH(DE$2,N_Bedarf!$CE$2:$CE$304)&gt;0)),ROW()-2),1),"")</f>
        <v/>
      </c>
      <c r="DE234" s="1620"/>
      <c r="ES234" s="768"/>
      <c r="ET234" s="768"/>
      <c r="EU234" s="768"/>
      <c r="EV234" s="768"/>
      <c r="EW234" s="768"/>
    </row>
    <row r="235" spans="3:153" s="394" customFormat="1" ht="21" customHeight="1">
      <c r="C235" s="1790" t="s">
        <v>102</v>
      </c>
      <c r="D235" s="1759" t="s">
        <v>714</v>
      </c>
      <c r="E235" s="1729">
        <v>80</v>
      </c>
      <c r="F235" s="1760">
        <v>70</v>
      </c>
      <c r="G235" s="1993" t="s">
        <v>714</v>
      </c>
      <c r="H235" s="1994">
        <v>80</v>
      </c>
      <c r="I235" s="1995">
        <v>70</v>
      </c>
      <c r="J235" s="1759" t="s">
        <v>714</v>
      </c>
      <c r="K235" s="1729">
        <v>80</v>
      </c>
      <c r="L235" s="1760">
        <v>70</v>
      </c>
      <c r="M235" s="1"/>
      <c r="N235" s="1"/>
      <c r="O235" s="1"/>
      <c r="P235" s="1"/>
      <c r="Q235" s="1"/>
      <c r="R235" s="1"/>
      <c r="S235" s="1759">
        <v>75</v>
      </c>
      <c r="T235" s="1729">
        <v>75</v>
      </c>
      <c r="U235" s="1760">
        <v>75</v>
      </c>
      <c r="V235" s="1759">
        <v>65</v>
      </c>
      <c r="W235" s="1729">
        <v>65</v>
      </c>
      <c r="X235" s="1760">
        <v>65</v>
      </c>
      <c r="Y235" s="2009">
        <v>50</v>
      </c>
      <c r="Z235" s="2010">
        <v>50</v>
      </c>
      <c r="AA235" s="2011">
        <v>50</v>
      </c>
      <c r="AB235" s="1871" t="s">
        <v>1388</v>
      </c>
      <c r="AC235" s="1737" t="s">
        <v>1389</v>
      </c>
      <c r="AD235" s="1762"/>
      <c r="AE235" s="1729"/>
      <c r="AF235" s="1760"/>
      <c r="AG235" s="1759"/>
      <c r="AH235" s="1729"/>
      <c r="AI235" s="1760"/>
      <c r="AJ235" s="2009"/>
      <c r="AK235" s="2010"/>
      <c r="AL235" s="2011"/>
      <c r="AM235" s="1871" t="s">
        <v>1764</v>
      </c>
      <c r="AN235" s="1763" t="s">
        <v>1764</v>
      </c>
      <c r="AR235" s="156"/>
      <c r="AS235" s="156"/>
      <c r="AT235" s="156"/>
      <c r="AU235" s="397"/>
      <c r="AV235" s="396"/>
      <c r="AW235" s="396"/>
      <c r="AX235" s="1669"/>
      <c r="AY235" s="3"/>
      <c r="AZ235" s="3"/>
      <c r="BA235" s="3"/>
      <c r="BB235" s="3"/>
      <c r="BC235" s="3"/>
      <c r="BD235" s="3"/>
      <c r="BE235" s="3"/>
      <c r="BF235" s="3"/>
      <c r="BG235" s="3"/>
      <c r="BH235" s="3"/>
      <c r="BI235" s="3"/>
      <c r="BJ235" s="3"/>
      <c r="BK235" s="3"/>
      <c r="BL235" s="3"/>
      <c r="BM235" s="3"/>
      <c r="BN235" s="263"/>
      <c r="BO235" s="3"/>
      <c r="BQ235" s="1669"/>
      <c r="BR235" s="397"/>
      <c r="BS235" s="397"/>
      <c r="BT235" s="397"/>
      <c r="BV235" s="1669"/>
      <c r="BW235" s="397"/>
      <c r="BX235" s="397"/>
      <c r="BY235" s="397"/>
      <c r="BZ235" s="1719"/>
      <c r="CE235" s="1619"/>
      <c r="CF235" s="1620" t="str">
        <f>IFERROR(INDEX(N_Bedarf!$CE$2:$CE$304,_xlfn.AGGREGATE(15,6,(ROW(N_Bedarf!$CE$2:$CE$304)-1)/(--(SEARCH(CG$2,N_Bedarf!$CE$2:$CE$304)&gt;0)),ROW()-2),1),"")</f>
        <v/>
      </c>
      <c r="CG235" s="1620"/>
      <c r="CH235" s="1620" t="str">
        <f>IFERROR(INDEX(N_Bedarf!$CE$2:$CE$304,_xlfn.AGGREGATE(15,6,(ROW(N_Bedarf!$CE$2:$CE$304)-1)/(--(SEARCH(CI$2,N_Bedarf!$CE$2:$CE$304)&gt;0)),ROW()-2),1),"")</f>
        <v/>
      </c>
      <c r="CI235" s="1620"/>
      <c r="CJ235" s="1620" t="str">
        <f>IFERROR(INDEX(N_Bedarf!$CE$2:$CE$304,_xlfn.AGGREGATE(15,6,(ROW(N_Bedarf!$CE$2:$CE$304)-1)/(--(SEARCH(CK$2,N_Bedarf!$CE$2:$CE$304)&gt;0)),ROW()-2),1),"")</f>
        <v/>
      </c>
      <c r="CK235" s="1620"/>
      <c r="CL235" s="1620" t="str">
        <f>IFERROR(INDEX(N_Bedarf!$CE$2:$CE$304,_xlfn.AGGREGATE(15,6,(ROW(N_Bedarf!$CE$2:$CE$304)-1)/(--(SEARCH(CM$2,N_Bedarf!$CE$2:$CE$304)&gt;0)),ROW()-2),1),"")</f>
        <v/>
      </c>
      <c r="CM235" s="1620"/>
      <c r="CN235" s="1620" t="str">
        <f>IFERROR(INDEX(N_Bedarf!$CE$2:$CE$304,_xlfn.AGGREGATE(15,6,(ROW(N_Bedarf!$CE$2:$CE$304)-1)/(--(SEARCH(CO$2,N_Bedarf!$CE$2:$CE$304)&gt;0)),ROW()-2),1),"")</f>
        <v/>
      </c>
      <c r="CO235" s="1620"/>
      <c r="CP235" s="1620" t="str">
        <f>IFERROR(INDEX(N_Bedarf!$CE$2:$CE$304,_xlfn.AGGREGATE(15,6,(ROW(N_Bedarf!$CE$2:$CE$304)-1)/(--(SEARCH(CQ$2,N_Bedarf!$CE$2:$CE$304)&gt;0)),ROW()-2),1),"")</f>
        <v/>
      </c>
      <c r="CQ235" s="1620"/>
      <c r="CR235" s="1620" t="str">
        <f>IFERROR(INDEX(N_Bedarf!$CE$2:$CE$304,_xlfn.AGGREGATE(15,6,(ROW(N_Bedarf!$CE$2:$CE$304)-1)/(--(SEARCH(CS$2,N_Bedarf!$CE$2:$CE$304)&gt;0)),ROW()-2),1),"")</f>
        <v/>
      </c>
      <c r="CS235" s="1620"/>
      <c r="CT235" s="1620" t="str">
        <f>IFERROR(INDEX(N_Bedarf!$CE$2:$CE$304,_xlfn.AGGREGATE(15,6,(ROW(N_Bedarf!$CE$2:$CE$304)-1)/(--(SEARCH(CU$2,N_Bedarf!$CE$2:$CE$304)&gt;0)),ROW()-2),1),"")</f>
        <v/>
      </c>
      <c r="CU235" s="1620"/>
      <c r="CV235" s="1620" t="str">
        <f>IFERROR(INDEX(N_Bedarf!$CE$2:$CE$304,_xlfn.AGGREGATE(15,6,(ROW(N_Bedarf!$CE$2:$CE$304)-1)/(--(SEARCH(CW$2,N_Bedarf!$CE$2:$CE$304)&gt;0)),ROW()-2),1),"")</f>
        <v/>
      </c>
      <c r="CW235" s="1620"/>
      <c r="CX235" s="1620" t="str">
        <f>IFERROR(INDEX(N_Bedarf!$CE$2:$CE$304,_xlfn.AGGREGATE(15,6,(ROW(N_Bedarf!$CE$2:$CE$304)-1)/(--(SEARCH(CY$2,N_Bedarf!$CE$2:$CE$304)&gt;0)),ROW()-2),1),"")</f>
        <v/>
      </c>
      <c r="CY235" s="1620"/>
      <c r="CZ235" s="1620" t="str">
        <f>IFERROR(INDEX(N_Bedarf!$CE$2:$CE$304,_xlfn.AGGREGATE(15,6,(ROW(N_Bedarf!$CE$2:$CE$304)-1)/(--(SEARCH(DA$2,N_Bedarf!$CE$2:$CE$304)&gt;0)),ROW()-2),1),"")</f>
        <v/>
      </c>
      <c r="DA235" s="1620"/>
      <c r="DB235" s="1620" t="str">
        <f>IFERROR(INDEX(N_Bedarf!$CE$2:$CE$304,_xlfn.AGGREGATE(15,6,(ROW(N_Bedarf!$CE$2:$CE$304)-1)/(--(SEARCH(DC$2,N_Bedarf!$CE$2:$CE$304)&gt;0)),ROW()-2),1),"")</f>
        <v/>
      </c>
      <c r="DC235" s="1620"/>
      <c r="DD235" s="1620" t="str">
        <f>IFERROR(INDEX(N_Bedarf!$CE$2:$CE$304,_xlfn.AGGREGATE(15,6,(ROW(N_Bedarf!$CE$2:$CE$304)-1)/(--(SEARCH(DE$2,N_Bedarf!$CE$2:$CE$304)&gt;0)),ROW()-2),1),"")</f>
        <v/>
      </c>
      <c r="DE235" s="1620"/>
      <c r="ES235" s="768"/>
      <c r="ET235" s="768"/>
      <c r="EU235" s="768"/>
      <c r="EV235" s="768"/>
      <c r="EW235" s="768"/>
    </row>
    <row r="236" spans="3:153" s="394" customFormat="1" ht="21" customHeight="1">
      <c r="C236" s="1790" t="s">
        <v>103</v>
      </c>
      <c r="D236" s="1759" t="s">
        <v>714</v>
      </c>
      <c r="E236" s="1729">
        <v>120</v>
      </c>
      <c r="F236" s="1760">
        <v>100</v>
      </c>
      <c r="G236" s="1993" t="s">
        <v>714</v>
      </c>
      <c r="H236" s="1994">
        <v>120</v>
      </c>
      <c r="I236" s="1995">
        <v>100</v>
      </c>
      <c r="J236" s="1759" t="s">
        <v>714</v>
      </c>
      <c r="K236" s="1729">
        <v>120</v>
      </c>
      <c r="L236" s="1760">
        <v>100</v>
      </c>
      <c r="M236" s="1"/>
      <c r="N236" s="1"/>
      <c r="O236" s="1"/>
      <c r="P236" s="1"/>
      <c r="Q236" s="1"/>
      <c r="R236" s="1"/>
      <c r="S236" s="1759">
        <v>90</v>
      </c>
      <c r="T236" s="1729">
        <v>90</v>
      </c>
      <c r="U236" s="1760">
        <v>90</v>
      </c>
      <c r="V236" s="1759">
        <v>75</v>
      </c>
      <c r="W236" s="1729">
        <v>75</v>
      </c>
      <c r="X236" s="1760">
        <v>75</v>
      </c>
      <c r="Y236" s="2009">
        <v>60</v>
      </c>
      <c r="Z236" s="2010">
        <v>60</v>
      </c>
      <c r="AA236" s="2011">
        <v>60</v>
      </c>
      <c r="AB236" s="1871" t="s">
        <v>1388</v>
      </c>
      <c r="AC236" s="1737" t="s">
        <v>1389</v>
      </c>
      <c r="AD236" s="1762">
        <v>225</v>
      </c>
      <c r="AE236" s="1729">
        <v>225</v>
      </c>
      <c r="AF236" s="1760">
        <v>225</v>
      </c>
      <c r="AG236" s="1759">
        <v>190</v>
      </c>
      <c r="AH236" s="1729">
        <v>190</v>
      </c>
      <c r="AI236" s="1760">
        <v>190</v>
      </c>
      <c r="AJ236" s="2009">
        <v>150</v>
      </c>
      <c r="AK236" s="2010">
        <v>150</v>
      </c>
      <c r="AL236" s="2011">
        <v>150</v>
      </c>
      <c r="AM236" s="1871" t="s">
        <v>1390</v>
      </c>
      <c r="AN236" s="1763" t="s">
        <v>1389</v>
      </c>
      <c r="AR236" s="156"/>
      <c r="AS236" s="156"/>
      <c r="AT236" s="156"/>
      <c r="AU236" s="397"/>
      <c r="AV236" s="396"/>
      <c r="AW236" s="396"/>
      <c r="AX236" s="1669"/>
      <c r="AY236" s="3"/>
      <c r="AZ236" s="3"/>
      <c r="BA236" s="3"/>
      <c r="BB236" s="3"/>
      <c r="BC236" s="3"/>
      <c r="BD236" s="3"/>
      <c r="BE236" s="3"/>
      <c r="BF236" s="3"/>
      <c r="BG236" s="3"/>
      <c r="BH236" s="3"/>
      <c r="BI236" s="3"/>
      <c r="BJ236" s="3"/>
      <c r="BK236" s="3"/>
      <c r="BL236" s="3"/>
      <c r="BM236" s="3"/>
      <c r="BN236" s="263"/>
      <c r="BO236" s="3"/>
      <c r="BQ236" s="1669"/>
      <c r="BR236" s="397"/>
      <c r="BS236" s="397"/>
      <c r="BT236" s="397"/>
      <c r="BV236" s="1669"/>
      <c r="BW236" s="397"/>
      <c r="BX236" s="397"/>
      <c r="BY236" s="397"/>
      <c r="BZ236" s="1719"/>
      <c r="CE236" s="1619"/>
      <c r="CF236" s="1620" t="str">
        <f>IFERROR(INDEX(N_Bedarf!$CE$2:$CE$304,_xlfn.AGGREGATE(15,6,(ROW(N_Bedarf!$CE$2:$CE$304)-1)/(--(SEARCH(CG$2,N_Bedarf!$CE$2:$CE$304)&gt;0)),ROW()-2),1),"")</f>
        <v/>
      </c>
      <c r="CG236" s="1620"/>
      <c r="CH236" s="1620" t="str">
        <f>IFERROR(INDEX(N_Bedarf!$CE$2:$CE$304,_xlfn.AGGREGATE(15,6,(ROW(N_Bedarf!$CE$2:$CE$304)-1)/(--(SEARCH(CI$2,N_Bedarf!$CE$2:$CE$304)&gt;0)),ROW()-2),1),"")</f>
        <v/>
      </c>
      <c r="CI236" s="1620"/>
      <c r="CJ236" s="1620" t="str">
        <f>IFERROR(INDEX(N_Bedarf!$CE$2:$CE$304,_xlfn.AGGREGATE(15,6,(ROW(N_Bedarf!$CE$2:$CE$304)-1)/(--(SEARCH(CK$2,N_Bedarf!$CE$2:$CE$304)&gt;0)),ROW()-2),1),"")</f>
        <v/>
      </c>
      <c r="CK236" s="1620"/>
      <c r="CL236" s="1620" t="str">
        <f>IFERROR(INDEX(N_Bedarf!$CE$2:$CE$304,_xlfn.AGGREGATE(15,6,(ROW(N_Bedarf!$CE$2:$CE$304)-1)/(--(SEARCH(CM$2,N_Bedarf!$CE$2:$CE$304)&gt;0)),ROW()-2),1),"")</f>
        <v/>
      </c>
      <c r="CM236" s="1620"/>
      <c r="CN236" s="1620" t="str">
        <f>IFERROR(INDEX(N_Bedarf!$CE$2:$CE$304,_xlfn.AGGREGATE(15,6,(ROW(N_Bedarf!$CE$2:$CE$304)-1)/(--(SEARCH(CO$2,N_Bedarf!$CE$2:$CE$304)&gt;0)),ROW()-2),1),"")</f>
        <v/>
      </c>
      <c r="CO236" s="1620"/>
      <c r="CP236" s="1620" t="str">
        <f>IFERROR(INDEX(N_Bedarf!$CE$2:$CE$304,_xlfn.AGGREGATE(15,6,(ROW(N_Bedarf!$CE$2:$CE$304)-1)/(--(SEARCH(CQ$2,N_Bedarf!$CE$2:$CE$304)&gt;0)),ROW()-2),1),"")</f>
        <v/>
      </c>
      <c r="CQ236" s="1620"/>
      <c r="CR236" s="1620" t="str">
        <f>IFERROR(INDEX(N_Bedarf!$CE$2:$CE$304,_xlfn.AGGREGATE(15,6,(ROW(N_Bedarf!$CE$2:$CE$304)-1)/(--(SEARCH(CS$2,N_Bedarf!$CE$2:$CE$304)&gt;0)),ROW()-2),1),"")</f>
        <v/>
      </c>
      <c r="CS236" s="1620"/>
      <c r="CT236" s="1620" t="str">
        <f>IFERROR(INDEX(N_Bedarf!$CE$2:$CE$304,_xlfn.AGGREGATE(15,6,(ROW(N_Bedarf!$CE$2:$CE$304)-1)/(--(SEARCH(CU$2,N_Bedarf!$CE$2:$CE$304)&gt;0)),ROW()-2),1),"")</f>
        <v/>
      </c>
      <c r="CU236" s="1620"/>
      <c r="CV236" s="1620" t="str">
        <f>IFERROR(INDEX(N_Bedarf!$CE$2:$CE$304,_xlfn.AGGREGATE(15,6,(ROW(N_Bedarf!$CE$2:$CE$304)-1)/(--(SEARCH(CW$2,N_Bedarf!$CE$2:$CE$304)&gt;0)),ROW()-2),1),"")</f>
        <v/>
      </c>
      <c r="CW236" s="1620"/>
      <c r="CX236" s="1620" t="str">
        <f>IFERROR(INDEX(N_Bedarf!$CE$2:$CE$304,_xlfn.AGGREGATE(15,6,(ROW(N_Bedarf!$CE$2:$CE$304)-1)/(--(SEARCH(CY$2,N_Bedarf!$CE$2:$CE$304)&gt;0)),ROW()-2),1),"")</f>
        <v/>
      </c>
      <c r="CY236" s="1620"/>
      <c r="CZ236" s="1620" t="str">
        <f>IFERROR(INDEX(N_Bedarf!$CE$2:$CE$304,_xlfn.AGGREGATE(15,6,(ROW(N_Bedarf!$CE$2:$CE$304)-1)/(--(SEARCH(DA$2,N_Bedarf!$CE$2:$CE$304)&gt;0)),ROW()-2),1),"")</f>
        <v/>
      </c>
      <c r="DA236" s="1620"/>
      <c r="DB236" s="1620" t="str">
        <f>IFERROR(INDEX(N_Bedarf!$CE$2:$CE$304,_xlfn.AGGREGATE(15,6,(ROW(N_Bedarf!$CE$2:$CE$304)-1)/(--(SEARCH(DC$2,N_Bedarf!$CE$2:$CE$304)&gt;0)),ROW()-2),1),"")</f>
        <v/>
      </c>
      <c r="DC236" s="1620"/>
      <c r="DD236" s="1620" t="str">
        <f>IFERROR(INDEX(N_Bedarf!$CE$2:$CE$304,_xlfn.AGGREGATE(15,6,(ROW(N_Bedarf!$CE$2:$CE$304)-1)/(--(SEARCH(DE$2,N_Bedarf!$CE$2:$CE$304)&gt;0)),ROW()-2),1),"")</f>
        <v/>
      </c>
      <c r="DE236" s="1620"/>
      <c r="ES236" s="768"/>
      <c r="ET236" s="768"/>
      <c r="EU236" s="768"/>
      <c r="EV236" s="768"/>
      <c r="EW236" s="768"/>
    </row>
    <row r="237" spans="3:153" s="394" customFormat="1" ht="21" customHeight="1">
      <c r="C237" s="1790" t="s">
        <v>104</v>
      </c>
      <c r="D237" s="1759" t="s">
        <v>714</v>
      </c>
      <c r="E237" s="1729">
        <v>120</v>
      </c>
      <c r="F237" s="1760">
        <v>100</v>
      </c>
      <c r="G237" s="1993" t="s">
        <v>714</v>
      </c>
      <c r="H237" s="1994">
        <v>120</v>
      </c>
      <c r="I237" s="1995">
        <v>100</v>
      </c>
      <c r="J237" s="1759" t="s">
        <v>714</v>
      </c>
      <c r="K237" s="1729">
        <v>120</v>
      </c>
      <c r="L237" s="1760">
        <v>100</v>
      </c>
      <c r="M237" s="1"/>
      <c r="N237" s="1"/>
      <c r="O237" s="1"/>
      <c r="P237" s="1"/>
      <c r="Q237" s="1"/>
      <c r="R237" s="1"/>
      <c r="S237" s="1759">
        <v>75</v>
      </c>
      <c r="T237" s="1729">
        <v>75</v>
      </c>
      <c r="U237" s="1760">
        <v>75</v>
      </c>
      <c r="V237" s="1759">
        <v>65</v>
      </c>
      <c r="W237" s="1729">
        <v>65</v>
      </c>
      <c r="X237" s="1760">
        <v>65</v>
      </c>
      <c r="Y237" s="2009">
        <v>50</v>
      </c>
      <c r="Z237" s="2010">
        <v>50</v>
      </c>
      <c r="AA237" s="2011">
        <v>50</v>
      </c>
      <c r="AB237" s="1871" t="s">
        <v>1388</v>
      </c>
      <c r="AC237" s="1737" t="s">
        <v>1389</v>
      </c>
      <c r="AD237" s="1762">
        <v>135</v>
      </c>
      <c r="AE237" s="1729">
        <v>135</v>
      </c>
      <c r="AF237" s="1760">
        <v>135</v>
      </c>
      <c r="AG237" s="1759">
        <v>115</v>
      </c>
      <c r="AH237" s="1729">
        <v>115</v>
      </c>
      <c r="AI237" s="1760">
        <v>115</v>
      </c>
      <c r="AJ237" s="2009">
        <v>90</v>
      </c>
      <c r="AK237" s="2010">
        <v>90</v>
      </c>
      <c r="AL237" s="2011">
        <v>90</v>
      </c>
      <c r="AM237" s="1871" t="s">
        <v>1390</v>
      </c>
      <c r="AN237" s="1763" t="s">
        <v>1389</v>
      </c>
      <c r="AR237" s="156"/>
      <c r="AS237" s="156"/>
      <c r="AT237" s="156"/>
      <c r="AU237" s="397"/>
      <c r="AV237" s="396"/>
      <c r="AW237" s="396"/>
      <c r="AX237" s="1669"/>
      <c r="AY237" s="3"/>
      <c r="AZ237" s="3"/>
      <c r="BA237" s="3"/>
      <c r="BB237" s="3"/>
      <c r="BC237" s="3"/>
      <c r="BD237" s="3"/>
      <c r="BE237" s="3"/>
      <c r="BF237" s="3"/>
      <c r="BG237" s="3"/>
      <c r="BH237" s="3"/>
      <c r="BI237" s="3"/>
      <c r="BJ237" s="3"/>
      <c r="BK237" s="3"/>
      <c r="BL237" s="3"/>
      <c r="BM237" s="3"/>
      <c r="BO237" s="3"/>
      <c r="BQ237" s="1669"/>
      <c r="BR237" s="397"/>
      <c r="BS237" s="397"/>
      <c r="BT237" s="397"/>
      <c r="BV237" s="1669"/>
      <c r="BW237" s="397"/>
      <c r="BX237" s="397"/>
      <c r="BY237" s="397"/>
      <c r="BZ237" s="1719"/>
      <c r="CE237" s="1619"/>
      <c r="CF237" s="1620" t="str">
        <f>IFERROR(INDEX(N_Bedarf!$CE$2:$CE$304,_xlfn.AGGREGATE(15,6,(ROW(N_Bedarf!$CE$2:$CE$304)-1)/(--(SEARCH(CG$2,N_Bedarf!$CE$2:$CE$304)&gt;0)),ROW()-2),1),"")</f>
        <v/>
      </c>
      <c r="CG237" s="1620"/>
      <c r="CH237" s="1620" t="str">
        <f>IFERROR(INDEX(N_Bedarf!$CE$2:$CE$304,_xlfn.AGGREGATE(15,6,(ROW(N_Bedarf!$CE$2:$CE$304)-1)/(--(SEARCH(CI$2,N_Bedarf!$CE$2:$CE$304)&gt;0)),ROW()-2),1),"")</f>
        <v/>
      </c>
      <c r="CI237" s="1620"/>
      <c r="CJ237" s="1620" t="str">
        <f>IFERROR(INDEX(N_Bedarf!$CE$2:$CE$304,_xlfn.AGGREGATE(15,6,(ROW(N_Bedarf!$CE$2:$CE$304)-1)/(--(SEARCH(CK$2,N_Bedarf!$CE$2:$CE$304)&gt;0)),ROW()-2),1),"")</f>
        <v/>
      </c>
      <c r="CK237" s="1620"/>
      <c r="CL237" s="1620" t="str">
        <f>IFERROR(INDEX(N_Bedarf!$CE$2:$CE$304,_xlfn.AGGREGATE(15,6,(ROW(N_Bedarf!$CE$2:$CE$304)-1)/(--(SEARCH(CM$2,N_Bedarf!$CE$2:$CE$304)&gt;0)),ROW()-2),1),"")</f>
        <v/>
      </c>
      <c r="CM237" s="1620"/>
      <c r="CN237" s="1620" t="str">
        <f>IFERROR(INDEX(N_Bedarf!$CE$2:$CE$304,_xlfn.AGGREGATE(15,6,(ROW(N_Bedarf!$CE$2:$CE$304)-1)/(--(SEARCH(CO$2,N_Bedarf!$CE$2:$CE$304)&gt;0)),ROW()-2),1),"")</f>
        <v/>
      </c>
      <c r="CO237" s="1620"/>
      <c r="CP237" s="1620" t="str">
        <f>IFERROR(INDEX(N_Bedarf!$CE$2:$CE$304,_xlfn.AGGREGATE(15,6,(ROW(N_Bedarf!$CE$2:$CE$304)-1)/(--(SEARCH(CQ$2,N_Bedarf!$CE$2:$CE$304)&gt;0)),ROW()-2),1),"")</f>
        <v/>
      </c>
      <c r="CQ237" s="1620"/>
      <c r="CR237" s="1620" t="str">
        <f>IFERROR(INDEX(N_Bedarf!$CE$2:$CE$304,_xlfn.AGGREGATE(15,6,(ROW(N_Bedarf!$CE$2:$CE$304)-1)/(--(SEARCH(CS$2,N_Bedarf!$CE$2:$CE$304)&gt;0)),ROW()-2),1),"")</f>
        <v/>
      </c>
      <c r="CS237" s="1620"/>
      <c r="CT237" s="1620" t="str">
        <f>IFERROR(INDEX(N_Bedarf!$CE$2:$CE$304,_xlfn.AGGREGATE(15,6,(ROW(N_Bedarf!$CE$2:$CE$304)-1)/(--(SEARCH(CU$2,N_Bedarf!$CE$2:$CE$304)&gt;0)),ROW()-2),1),"")</f>
        <v/>
      </c>
      <c r="CU237" s="1620"/>
      <c r="CV237" s="1620" t="str">
        <f>IFERROR(INDEX(N_Bedarf!$CE$2:$CE$304,_xlfn.AGGREGATE(15,6,(ROW(N_Bedarf!$CE$2:$CE$304)-1)/(--(SEARCH(CW$2,N_Bedarf!$CE$2:$CE$304)&gt;0)),ROW()-2),1),"")</f>
        <v/>
      </c>
      <c r="CW237" s="1620"/>
      <c r="CX237" s="1620" t="str">
        <f>IFERROR(INDEX(N_Bedarf!$CE$2:$CE$304,_xlfn.AGGREGATE(15,6,(ROW(N_Bedarf!$CE$2:$CE$304)-1)/(--(SEARCH(CY$2,N_Bedarf!$CE$2:$CE$304)&gt;0)),ROW()-2),1),"")</f>
        <v/>
      </c>
      <c r="CY237" s="1620"/>
      <c r="CZ237" s="1620" t="str">
        <f>IFERROR(INDEX(N_Bedarf!$CE$2:$CE$304,_xlfn.AGGREGATE(15,6,(ROW(N_Bedarf!$CE$2:$CE$304)-1)/(--(SEARCH(DA$2,N_Bedarf!$CE$2:$CE$304)&gt;0)),ROW()-2),1),"")</f>
        <v/>
      </c>
      <c r="DA237" s="1620"/>
      <c r="DB237" s="1620" t="str">
        <f>IFERROR(INDEX(N_Bedarf!$CE$2:$CE$304,_xlfn.AGGREGATE(15,6,(ROW(N_Bedarf!$CE$2:$CE$304)-1)/(--(SEARCH(DC$2,N_Bedarf!$CE$2:$CE$304)&gt;0)),ROW()-2),1),"")</f>
        <v/>
      </c>
      <c r="DC237" s="1620"/>
      <c r="DD237" s="1620" t="str">
        <f>IFERROR(INDEX(N_Bedarf!$CE$2:$CE$304,_xlfn.AGGREGATE(15,6,(ROW(N_Bedarf!$CE$2:$CE$304)-1)/(--(SEARCH(DE$2,N_Bedarf!$CE$2:$CE$304)&gt;0)),ROW()-2),1),"")</f>
        <v/>
      </c>
      <c r="DE237" s="1620"/>
      <c r="ES237" s="768"/>
      <c r="ET237" s="768"/>
      <c r="EU237" s="768"/>
      <c r="EV237" s="768"/>
      <c r="EW237" s="768"/>
    </row>
    <row r="238" spans="3:153" s="394" customFormat="1" ht="21" customHeight="1">
      <c r="C238" s="1790" t="s">
        <v>105</v>
      </c>
      <c r="D238" s="1759" t="s">
        <v>714</v>
      </c>
      <c r="E238" s="1729">
        <v>120</v>
      </c>
      <c r="F238" s="1760">
        <v>100</v>
      </c>
      <c r="G238" s="1993" t="s">
        <v>714</v>
      </c>
      <c r="H238" s="1994">
        <v>120</v>
      </c>
      <c r="I238" s="1995">
        <v>100</v>
      </c>
      <c r="J238" s="1759" t="s">
        <v>714</v>
      </c>
      <c r="K238" s="1729">
        <v>120</v>
      </c>
      <c r="L238" s="1760">
        <v>100</v>
      </c>
      <c r="M238" s="1"/>
      <c r="N238" s="1"/>
      <c r="O238" s="1"/>
      <c r="P238" s="1"/>
      <c r="Q238" s="1"/>
      <c r="R238" s="1"/>
      <c r="S238" s="1759">
        <v>85</v>
      </c>
      <c r="T238" s="1729">
        <v>85</v>
      </c>
      <c r="U238" s="1760">
        <v>85</v>
      </c>
      <c r="V238" s="1759">
        <v>70</v>
      </c>
      <c r="W238" s="1729">
        <v>70</v>
      </c>
      <c r="X238" s="1760">
        <v>70</v>
      </c>
      <c r="Y238" s="2009">
        <v>55</v>
      </c>
      <c r="Z238" s="2010">
        <v>55</v>
      </c>
      <c r="AA238" s="2011">
        <v>55</v>
      </c>
      <c r="AB238" s="1871" t="s">
        <v>1388</v>
      </c>
      <c r="AC238" s="1737" t="s">
        <v>1389</v>
      </c>
      <c r="AD238" s="1762">
        <v>225</v>
      </c>
      <c r="AE238" s="1729">
        <v>225</v>
      </c>
      <c r="AF238" s="1760">
        <v>225</v>
      </c>
      <c r="AG238" s="1759">
        <v>190</v>
      </c>
      <c r="AH238" s="1729">
        <v>190</v>
      </c>
      <c r="AI238" s="1760">
        <v>190</v>
      </c>
      <c r="AJ238" s="2009">
        <v>150</v>
      </c>
      <c r="AK238" s="2010">
        <v>150</v>
      </c>
      <c r="AL238" s="2011">
        <v>150</v>
      </c>
      <c r="AM238" s="1871" t="s">
        <v>1390</v>
      </c>
      <c r="AN238" s="1763" t="s">
        <v>1389</v>
      </c>
      <c r="AR238" s="156"/>
      <c r="AS238" s="156"/>
      <c r="AT238" s="156"/>
      <c r="AU238" s="397"/>
      <c r="AV238" s="396"/>
      <c r="AW238" s="396"/>
      <c r="AY238" s="3"/>
      <c r="AZ238" s="3"/>
      <c r="BA238" s="3"/>
      <c r="BB238" s="3"/>
      <c r="BC238" s="3"/>
      <c r="BD238" s="3"/>
      <c r="BE238" s="3"/>
      <c r="BF238" s="3"/>
      <c r="BG238" s="3"/>
      <c r="BH238" s="3"/>
      <c r="BI238" s="3"/>
      <c r="BJ238" s="3"/>
      <c r="BK238" s="3"/>
      <c r="BL238" s="3"/>
      <c r="BM238" s="3"/>
      <c r="BQ238" s="1669"/>
      <c r="BR238" s="397"/>
      <c r="BS238" s="397"/>
      <c r="BT238" s="397"/>
      <c r="BV238" s="1669"/>
      <c r="BW238" s="397"/>
      <c r="BX238" s="397"/>
      <c r="BY238" s="397"/>
      <c r="BZ238" s="1719"/>
      <c r="CE238" s="1619"/>
      <c r="CF238" s="1620" t="str">
        <f>IFERROR(INDEX(N_Bedarf!$CE$2:$CE$304,_xlfn.AGGREGATE(15,6,(ROW(N_Bedarf!$CE$2:$CE$304)-1)/(--(SEARCH(CG$2,N_Bedarf!$CE$2:$CE$304)&gt;0)),ROW()-2),1),"")</f>
        <v/>
      </c>
      <c r="CG238" s="1620"/>
      <c r="CH238" s="1620" t="str">
        <f>IFERROR(INDEX(N_Bedarf!$CE$2:$CE$304,_xlfn.AGGREGATE(15,6,(ROW(N_Bedarf!$CE$2:$CE$304)-1)/(--(SEARCH(CI$2,N_Bedarf!$CE$2:$CE$304)&gt;0)),ROW()-2),1),"")</f>
        <v/>
      </c>
      <c r="CI238" s="1620"/>
      <c r="CJ238" s="1620" t="str">
        <f>IFERROR(INDEX(N_Bedarf!$CE$2:$CE$304,_xlfn.AGGREGATE(15,6,(ROW(N_Bedarf!$CE$2:$CE$304)-1)/(--(SEARCH(CK$2,N_Bedarf!$CE$2:$CE$304)&gt;0)),ROW()-2),1),"")</f>
        <v/>
      </c>
      <c r="CK238" s="1620"/>
      <c r="CL238" s="1620" t="str">
        <f>IFERROR(INDEX(N_Bedarf!$CE$2:$CE$304,_xlfn.AGGREGATE(15,6,(ROW(N_Bedarf!$CE$2:$CE$304)-1)/(--(SEARCH(CM$2,N_Bedarf!$CE$2:$CE$304)&gt;0)),ROW()-2),1),"")</f>
        <v/>
      </c>
      <c r="CM238" s="1620"/>
      <c r="CN238" s="1620" t="str">
        <f>IFERROR(INDEX(N_Bedarf!$CE$2:$CE$304,_xlfn.AGGREGATE(15,6,(ROW(N_Bedarf!$CE$2:$CE$304)-1)/(--(SEARCH(CO$2,N_Bedarf!$CE$2:$CE$304)&gt;0)),ROW()-2),1),"")</f>
        <v/>
      </c>
      <c r="CO238" s="1620"/>
      <c r="CP238" s="1620" t="str">
        <f>IFERROR(INDEX(N_Bedarf!$CE$2:$CE$304,_xlfn.AGGREGATE(15,6,(ROW(N_Bedarf!$CE$2:$CE$304)-1)/(--(SEARCH(CQ$2,N_Bedarf!$CE$2:$CE$304)&gt;0)),ROW()-2),1),"")</f>
        <v/>
      </c>
      <c r="CQ238" s="1620"/>
      <c r="CR238" s="1620" t="str">
        <f>IFERROR(INDEX(N_Bedarf!$CE$2:$CE$304,_xlfn.AGGREGATE(15,6,(ROW(N_Bedarf!$CE$2:$CE$304)-1)/(--(SEARCH(CS$2,N_Bedarf!$CE$2:$CE$304)&gt;0)),ROW()-2),1),"")</f>
        <v/>
      </c>
      <c r="CS238" s="1620"/>
      <c r="CT238" s="1620" t="str">
        <f>IFERROR(INDEX(N_Bedarf!$CE$2:$CE$304,_xlfn.AGGREGATE(15,6,(ROW(N_Bedarf!$CE$2:$CE$304)-1)/(--(SEARCH(CU$2,N_Bedarf!$CE$2:$CE$304)&gt;0)),ROW()-2),1),"")</f>
        <v/>
      </c>
      <c r="CU238" s="1620"/>
      <c r="CV238" s="1620" t="str">
        <f>IFERROR(INDEX(N_Bedarf!$CE$2:$CE$304,_xlfn.AGGREGATE(15,6,(ROW(N_Bedarf!$CE$2:$CE$304)-1)/(--(SEARCH(CW$2,N_Bedarf!$CE$2:$CE$304)&gt;0)),ROW()-2),1),"")</f>
        <v/>
      </c>
      <c r="CW238" s="1620"/>
      <c r="CX238" s="1620" t="str">
        <f>IFERROR(INDEX(N_Bedarf!$CE$2:$CE$304,_xlfn.AGGREGATE(15,6,(ROW(N_Bedarf!$CE$2:$CE$304)-1)/(--(SEARCH(CY$2,N_Bedarf!$CE$2:$CE$304)&gt;0)),ROW()-2),1),"")</f>
        <v/>
      </c>
      <c r="CY238" s="1620"/>
      <c r="CZ238" s="1620" t="str">
        <f>IFERROR(INDEX(N_Bedarf!$CE$2:$CE$304,_xlfn.AGGREGATE(15,6,(ROW(N_Bedarf!$CE$2:$CE$304)-1)/(--(SEARCH(DA$2,N_Bedarf!$CE$2:$CE$304)&gt;0)),ROW()-2),1),"")</f>
        <v/>
      </c>
      <c r="DA238" s="1620"/>
      <c r="DB238" s="1620" t="str">
        <f>IFERROR(INDEX(N_Bedarf!$CE$2:$CE$304,_xlfn.AGGREGATE(15,6,(ROW(N_Bedarf!$CE$2:$CE$304)-1)/(--(SEARCH(DC$2,N_Bedarf!$CE$2:$CE$304)&gt;0)),ROW()-2),1),"")</f>
        <v/>
      </c>
      <c r="DC238" s="1620"/>
      <c r="DD238" s="1620" t="str">
        <f>IFERROR(INDEX(N_Bedarf!$CE$2:$CE$304,_xlfn.AGGREGATE(15,6,(ROW(N_Bedarf!$CE$2:$CE$304)-1)/(--(SEARCH(DE$2,N_Bedarf!$CE$2:$CE$304)&gt;0)),ROW()-2),1),"")</f>
        <v/>
      </c>
      <c r="DE238" s="1620"/>
      <c r="ES238" s="768"/>
      <c r="ET238" s="768"/>
      <c r="EU238" s="768"/>
      <c r="EV238" s="768"/>
      <c r="EW238" s="768"/>
    </row>
    <row r="239" spans="3:153" s="394" customFormat="1" ht="21" customHeight="1">
      <c r="C239" s="1790" t="s">
        <v>106</v>
      </c>
      <c r="D239" s="1759" t="s">
        <v>714</v>
      </c>
      <c r="E239" s="1729">
        <v>0</v>
      </c>
      <c r="F239" s="1760">
        <v>0</v>
      </c>
      <c r="G239" s="1993" t="s">
        <v>714</v>
      </c>
      <c r="H239" s="1994">
        <v>0</v>
      </c>
      <c r="I239" s="1995">
        <v>0</v>
      </c>
      <c r="J239" s="1759" t="s">
        <v>714</v>
      </c>
      <c r="K239" s="1729">
        <v>0</v>
      </c>
      <c r="L239" s="1760">
        <v>0</v>
      </c>
      <c r="M239" s="1"/>
      <c r="N239" s="1"/>
      <c r="O239" s="1"/>
      <c r="P239" s="1"/>
      <c r="Q239" s="1"/>
      <c r="R239" s="1"/>
      <c r="S239" s="1759">
        <v>75</v>
      </c>
      <c r="T239" s="1729">
        <v>75</v>
      </c>
      <c r="U239" s="1760">
        <v>75</v>
      </c>
      <c r="V239" s="1759">
        <v>65</v>
      </c>
      <c r="W239" s="1729">
        <v>65</v>
      </c>
      <c r="X239" s="1760">
        <v>65</v>
      </c>
      <c r="Y239" s="2009">
        <v>50</v>
      </c>
      <c r="Z239" s="2010">
        <v>50</v>
      </c>
      <c r="AA239" s="2011">
        <v>50</v>
      </c>
      <c r="AB239" s="1871" t="s">
        <v>1388</v>
      </c>
      <c r="AC239" s="1737" t="s">
        <v>1389</v>
      </c>
      <c r="AD239" s="1762">
        <v>300</v>
      </c>
      <c r="AE239" s="1729">
        <v>300</v>
      </c>
      <c r="AF239" s="1760">
        <v>300</v>
      </c>
      <c r="AG239" s="1759">
        <v>250</v>
      </c>
      <c r="AH239" s="1729">
        <v>250</v>
      </c>
      <c r="AI239" s="1760">
        <v>250</v>
      </c>
      <c r="AJ239" s="2009">
        <v>200</v>
      </c>
      <c r="AK239" s="2010">
        <v>200</v>
      </c>
      <c r="AL239" s="2011">
        <v>200</v>
      </c>
      <c r="AM239" s="1871" t="s">
        <v>1390</v>
      </c>
      <c r="AN239" s="1763" t="s">
        <v>1389</v>
      </c>
      <c r="AR239" s="156"/>
      <c r="AS239" s="156"/>
      <c r="AT239" s="156"/>
      <c r="AU239" s="397"/>
      <c r="AV239" s="396"/>
      <c r="AW239" s="396"/>
      <c r="AY239" s="3"/>
      <c r="AZ239" s="3"/>
      <c r="BA239" s="3"/>
      <c r="BB239" s="3"/>
      <c r="BC239" s="3"/>
      <c r="BD239" s="3"/>
      <c r="BE239" s="3"/>
      <c r="BF239" s="3"/>
      <c r="BG239" s="3"/>
      <c r="BH239" s="3"/>
      <c r="BI239" s="3"/>
      <c r="BJ239" s="3"/>
      <c r="BK239" s="3"/>
      <c r="BL239" s="3"/>
      <c r="BM239" s="3"/>
      <c r="BQ239" s="1669"/>
      <c r="BR239" s="397"/>
      <c r="BS239" s="397"/>
      <c r="BT239" s="397"/>
      <c r="BV239" s="1669"/>
      <c r="BW239" s="397"/>
      <c r="BX239" s="397"/>
      <c r="BY239" s="397"/>
      <c r="BZ239" s="1719"/>
      <c r="CE239" s="1619"/>
      <c r="CF239" s="1620" t="str">
        <f>IFERROR(INDEX(N_Bedarf!$CE$2:$CE$304,_xlfn.AGGREGATE(15,6,(ROW(N_Bedarf!$CE$2:$CE$304)-1)/(--(SEARCH(CG$2,N_Bedarf!$CE$2:$CE$304)&gt;0)),ROW()-2),1),"")</f>
        <v/>
      </c>
      <c r="CG239" s="1620"/>
      <c r="CH239" s="1620" t="str">
        <f>IFERROR(INDEX(N_Bedarf!$CE$2:$CE$304,_xlfn.AGGREGATE(15,6,(ROW(N_Bedarf!$CE$2:$CE$304)-1)/(--(SEARCH(CI$2,N_Bedarf!$CE$2:$CE$304)&gt;0)),ROW()-2),1),"")</f>
        <v/>
      </c>
      <c r="CI239" s="1620"/>
      <c r="CJ239" s="1620" t="str">
        <f>IFERROR(INDEX(N_Bedarf!$CE$2:$CE$304,_xlfn.AGGREGATE(15,6,(ROW(N_Bedarf!$CE$2:$CE$304)-1)/(--(SEARCH(CK$2,N_Bedarf!$CE$2:$CE$304)&gt;0)),ROW()-2),1),"")</f>
        <v/>
      </c>
      <c r="CK239" s="1620"/>
      <c r="CL239" s="1620" t="str">
        <f>IFERROR(INDEX(N_Bedarf!$CE$2:$CE$304,_xlfn.AGGREGATE(15,6,(ROW(N_Bedarf!$CE$2:$CE$304)-1)/(--(SEARCH(CM$2,N_Bedarf!$CE$2:$CE$304)&gt;0)),ROW()-2),1),"")</f>
        <v/>
      </c>
      <c r="CM239" s="1620"/>
      <c r="CN239" s="1620" t="str">
        <f>IFERROR(INDEX(N_Bedarf!$CE$2:$CE$304,_xlfn.AGGREGATE(15,6,(ROW(N_Bedarf!$CE$2:$CE$304)-1)/(--(SEARCH(CO$2,N_Bedarf!$CE$2:$CE$304)&gt;0)),ROW()-2),1),"")</f>
        <v/>
      </c>
      <c r="CO239" s="1620"/>
      <c r="CP239" s="1620" t="str">
        <f>IFERROR(INDEX(N_Bedarf!$CE$2:$CE$304,_xlfn.AGGREGATE(15,6,(ROW(N_Bedarf!$CE$2:$CE$304)-1)/(--(SEARCH(CQ$2,N_Bedarf!$CE$2:$CE$304)&gt;0)),ROW()-2),1),"")</f>
        <v/>
      </c>
      <c r="CQ239" s="1620"/>
      <c r="CR239" s="1620" t="str">
        <f>IFERROR(INDEX(N_Bedarf!$CE$2:$CE$304,_xlfn.AGGREGATE(15,6,(ROW(N_Bedarf!$CE$2:$CE$304)-1)/(--(SEARCH(CS$2,N_Bedarf!$CE$2:$CE$304)&gt;0)),ROW()-2),1),"")</f>
        <v/>
      </c>
      <c r="CS239" s="1620"/>
      <c r="CT239" s="1620" t="str">
        <f>IFERROR(INDEX(N_Bedarf!$CE$2:$CE$304,_xlfn.AGGREGATE(15,6,(ROW(N_Bedarf!$CE$2:$CE$304)-1)/(--(SEARCH(CU$2,N_Bedarf!$CE$2:$CE$304)&gt;0)),ROW()-2),1),"")</f>
        <v/>
      </c>
      <c r="CU239" s="1620"/>
      <c r="CV239" s="1620" t="str">
        <f>IFERROR(INDEX(N_Bedarf!$CE$2:$CE$304,_xlfn.AGGREGATE(15,6,(ROW(N_Bedarf!$CE$2:$CE$304)-1)/(--(SEARCH(CW$2,N_Bedarf!$CE$2:$CE$304)&gt;0)),ROW()-2),1),"")</f>
        <v/>
      </c>
      <c r="CW239" s="1620"/>
      <c r="CX239" s="1620" t="str">
        <f>IFERROR(INDEX(N_Bedarf!$CE$2:$CE$304,_xlfn.AGGREGATE(15,6,(ROW(N_Bedarf!$CE$2:$CE$304)-1)/(--(SEARCH(CY$2,N_Bedarf!$CE$2:$CE$304)&gt;0)),ROW()-2),1),"")</f>
        <v/>
      </c>
      <c r="CY239" s="1620"/>
      <c r="CZ239" s="1620" t="str">
        <f>IFERROR(INDEX(N_Bedarf!$CE$2:$CE$304,_xlfn.AGGREGATE(15,6,(ROW(N_Bedarf!$CE$2:$CE$304)-1)/(--(SEARCH(DA$2,N_Bedarf!$CE$2:$CE$304)&gt;0)),ROW()-2),1),"")</f>
        <v/>
      </c>
      <c r="DA239" s="1620"/>
      <c r="DB239" s="1620" t="str">
        <f>IFERROR(INDEX(N_Bedarf!$CE$2:$CE$304,_xlfn.AGGREGATE(15,6,(ROW(N_Bedarf!$CE$2:$CE$304)-1)/(--(SEARCH(DC$2,N_Bedarf!$CE$2:$CE$304)&gt;0)),ROW()-2),1),"")</f>
        <v/>
      </c>
      <c r="DC239" s="1620"/>
      <c r="DD239" s="1620" t="str">
        <f>IFERROR(INDEX(N_Bedarf!$CE$2:$CE$304,_xlfn.AGGREGATE(15,6,(ROW(N_Bedarf!$CE$2:$CE$304)-1)/(--(SEARCH(DE$2,N_Bedarf!$CE$2:$CE$304)&gt;0)),ROW()-2),1),"")</f>
        <v/>
      </c>
      <c r="DE239" s="1620"/>
      <c r="ES239" s="768"/>
      <c r="ET239" s="768"/>
      <c r="EU239" s="768"/>
      <c r="EV239" s="768"/>
      <c r="EW239" s="768"/>
    </row>
    <row r="240" spans="3:153" s="394" customFormat="1" ht="21" customHeight="1">
      <c r="C240" s="1790" t="s">
        <v>107</v>
      </c>
      <c r="D240" s="1759" t="s">
        <v>714</v>
      </c>
      <c r="E240" s="1729">
        <v>120</v>
      </c>
      <c r="F240" s="1760">
        <v>100</v>
      </c>
      <c r="G240" s="1993" t="s">
        <v>714</v>
      </c>
      <c r="H240" s="1994">
        <v>120</v>
      </c>
      <c r="I240" s="1995">
        <v>100</v>
      </c>
      <c r="J240" s="1759" t="s">
        <v>714</v>
      </c>
      <c r="K240" s="1729">
        <v>120</v>
      </c>
      <c r="L240" s="1760">
        <v>100</v>
      </c>
      <c r="M240" s="1"/>
      <c r="N240" s="1"/>
      <c r="O240" s="1"/>
      <c r="P240" s="1"/>
      <c r="Q240" s="1"/>
      <c r="R240" s="1"/>
      <c r="S240" s="1759">
        <v>90</v>
      </c>
      <c r="T240" s="1729">
        <v>90</v>
      </c>
      <c r="U240" s="1760">
        <v>90</v>
      </c>
      <c r="V240" s="1759">
        <v>75</v>
      </c>
      <c r="W240" s="1729">
        <v>75</v>
      </c>
      <c r="X240" s="1760">
        <v>75</v>
      </c>
      <c r="Y240" s="2009">
        <v>60</v>
      </c>
      <c r="Z240" s="2010">
        <v>60</v>
      </c>
      <c r="AA240" s="2011">
        <v>60</v>
      </c>
      <c r="AB240" s="1871" t="s">
        <v>1388</v>
      </c>
      <c r="AC240" s="1737" t="s">
        <v>1389</v>
      </c>
      <c r="AD240" s="1762">
        <v>270</v>
      </c>
      <c r="AE240" s="1729">
        <v>270</v>
      </c>
      <c r="AF240" s="1760">
        <v>270</v>
      </c>
      <c r="AG240" s="1759">
        <v>225</v>
      </c>
      <c r="AH240" s="1729">
        <v>225</v>
      </c>
      <c r="AI240" s="1760">
        <v>225</v>
      </c>
      <c r="AJ240" s="2009">
        <v>180</v>
      </c>
      <c r="AK240" s="2010">
        <v>180</v>
      </c>
      <c r="AL240" s="2011">
        <v>180</v>
      </c>
      <c r="AM240" s="1871" t="s">
        <v>1390</v>
      </c>
      <c r="AN240" s="1763" t="s">
        <v>1389</v>
      </c>
      <c r="AR240" s="156"/>
      <c r="AS240" s="156"/>
      <c r="AT240" s="156"/>
      <c r="AU240" s="397"/>
      <c r="AV240" s="396"/>
      <c r="AW240" s="396"/>
      <c r="AY240" s="3"/>
      <c r="AZ240" s="3"/>
      <c r="BA240" s="3"/>
      <c r="BB240" s="3"/>
      <c r="BC240" s="3"/>
      <c r="BD240" s="3"/>
      <c r="BE240" s="3"/>
      <c r="BF240" s="3"/>
      <c r="BG240" s="3"/>
      <c r="BH240" s="3"/>
      <c r="BI240" s="3"/>
      <c r="BJ240" s="3"/>
      <c r="BK240" s="3"/>
      <c r="BL240" s="3"/>
      <c r="BM240" s="3"/>
      <c r="BQ240" s="1669"/>
      <c r="BR240" s="397"/>
      <c r="BS240" s="397"/>
      <c r="BT240" s="397"/>
      <c r="BV240" s="1669"/>
      <c r="BW240" s="397"/>
      <c r="BX240" s="397"/>
      <c r="BY240" s="397"/>
      <c r="BZ240" s="1751"/>
      <c r="CE240" s="1619"/>
      <c r="CF240" s="1620" t="str">
        <f>IFERROR(INDEX(N_Bedarf!$CE$2:$CE$304,_xlfn.AGGREGATE(15,6,(ROW(N_Bedarf!$CE$2:$CE$304)-1)/(--(SEARCH(CG$2,N_Bedarf!$CE$2:$CE$304)&gt;0)),ROW()-2),1),"")</f>
        <v/>
      </c>
      <c r="CG240" s="1620"/>
      <c r="CH240" s="1620" t="str">
        <f>IFERROR(INDEX(N_Bedarf!$CE$2:$CE$304,_xlfn.AGGREGATE(15,6,(ROW(N_Bedarf!$CE$2:$CE$304)-1)/(--(SEARCH(CI$2,N_Bedarf!$CE$2:$CE$304)&gt;0)),ROW()-2),1),"")</f>
        <v/>
      </c>
      <c r="CI240" s="1620"/>
      <c r="CJ240" s="1620" t="str">
        <f>IFERROR(INDEX(N_Bedarf!$CE$2:$CE$304,_xlfn.AGGREGATE(15,6,(ROW(N_Bedarf!$CE$2:$CE$304)-1)/(--(SEARCH(CK$2,N_Bedarf!$CE$2:$CE$304)&gt;0)),ROW()-2),1),"")</f>
        <v/>
      </c>
      <c r="CK240" s="1620"/>
      <c r="CL240" s="1620" t="str">
        <f>IFERROR(INDEX(N_Bedarf!$CE$2:$CE$304,_xlfn.AGGREGATE(15,6,(ROW(N_Bedarf!$CE$2:$CE$304)-1)/(--(SEARCH(CM$2,N_Bedarf!$CE$2:$CE$304)&gt;0)),ROW()-2),1),"")</f>
        <v/>
      </c>
      <c r="CM240" s="1620"/>
      <c r="CN240" s="1620" t="str">
        <f>IFERROR(INDEX(N_Bedarf!$CE$2:$CE$304,_xlfn.AGGREGATE(15,6,(ROW(N_Bedarf!$CE$2:$CE$304)-1)/(--(SEARCH(CO$2,N_Bedarf!$CE$2:$CE$304)&gt;0)),ROW()-2),1),"")</f>
        <v/>
      </c>
      <c r="CO240" s="1620"/>
      <c r="CP240" s="1620" t="str">
        <f>IFERROR(INDEX(N_Bedarf!$CE$2:$CE$304,_xlfn.AGGREGATE(15,6,(ROW(N_Bedarf!$CE$2:$CE$304)-1)/(--(SEARCH(CQ$2,N_Bedarf!$CE$2:$CE$304)&gt;0)),ROW()-2),1),"")</f>
        <v/>
      </c>
      <c r="CQ240" s="1620"/>
      <c r="CR240" s="1620" t="str">
        <f>IFERROR(INDEX(N_Bedarf!$CE$2:$CE$304,_xlfn.AGGREGATE(15,6,(ROW(N_Bedarf!$CE$2:$CE$304)-1)/(--(SEARCH(CS$2,N_Bedarf!$CE$2:$CE$304)&gt;0)),ROW()-2),1),"")</f>
        <v/>
      </c>
      <c r="CS240" s="1620"/>
      <c r="CT240" s="1620" t="str">
        <f>IFERROR(INDEX(N_Bedarf!$CE$2:$CE$304,_xlfn.AGGREGATE(15,6,(ROW(N_Bedarf!$CE$2:$CE$304)-1)/(--(SEARCH(CU$2,N_Bedarf!$CE$2:$CE$304)&gt;0)),ROW()-2),1),"")</f>
        <v/>
      </c>
      <c r="CU240" s="1620"/>
      <c r="CV240" s="1620" t="str">
        <f>IFERROR(INDEX(N_Bedarf!$CE$2:$CE$304,_xlfn.AGGREGATE(15,6,(ROW(N_Bedarf!$CE$2:$CE$304)-1)/(--(SEARCH(CW$2,N_Bedarf!$CE$2:$CE$304)&gt;0)),ROW()-2),1),"")</f>
        <v/>
      </c>
      <c r="CW240" s="1620"/>
      <c r="CX240" s="1620" t="str">
        <f>IFERROR(INDEX(N_Bedarf!$CE$2:$CE$304,_xlfn.AGGREGATE(15,6,(ROW(N_Bedarf!$CE$2:$CE$304)-1)/(--(SEARCH(CY$2,N_Bedarf!$CE$2:$CE$304)&gt;0)),ROW()-2),1),"")</f>
        <v/>
      </c>
      <c r="CY240" s="1620"/>
      <c r="CZ240" s="1620" t="str">
        <f>IFERROR(INDEX(N_Bedarf!$CE$2:$CE$304,_xlfn.AGGREGATE(15,6,(ROW(N_Bedarf!$CE$2:$CE$304)-1)/(--(SEARCH(DA$2,N_Bedarf!$CE$2:$CE$304)&gt;0)),ROW()-2),1),"")</f>
        <v/>
      </c>
      <c r="DA240" s="1620"/>
      <c r="DB240" s="1620" t="str">
        <f>IFERROR(INDEX(N_Bedarf!$CE$2:$CE$304,_xlfn.AGGREGATE(15,6,(ROW(N_Bedarf!$CE$2:$CE$304)-1)/(--(SEARCH(DC$2,N_Bedarf!$CE$2:$CE$304)&gt;0)),ROW()-2),1),"")</f>
        <v/>
      </c>
      <c r="DC240" s="1620"/>
      <c r="DD240" s="1620" t="str">
        <f>IFERROR(INDEX(N_Bedarf!$CE$2:$CE$304,_xlfn.AGGREGATE(15,6,(ROW(N_Bedarf!$CE$2:$CE$304)-1)/(--(SEARCH(DE$2,N_Bedarf!$CE$2:$CE$304)&gt;0)),ROW()-2),1),"")</f>
        <v/>
      </c>
      <c r="DE240" s="1620"/>
      <c r="ES240" s="768"/>
      <c r="ET240" s="768"/>
      <c r="EU240" s="768"/>
      <c r="EV240" s="768"/>
      <c r="EW240" s="768"/>
    </row>
    <row r="241" spans="3:153" s="394" customFormat="1" ht="21" customHeight="1">
      <c r="C241" s="1790" t="s">
        <v>108</v>
      </c>
      <c r="D241" s="1759" t="s">
        <v>714</v>
      </c>
      <c r="E241" s="1729">
        <v>70</v>
      </c>
      <c r="F241" s="1760">
        <v>60</v>
      </c>
      <c r="G241" s="1993" t="s">
        <v>714</v>
      </c>
      <c r="H241" s="1994">
        <v>70</v>
      </c>
      <c r="I241" s="1995">
        <v>60</v>
      </c>
      <c r="J241" s="1759" t="s">
        <v>714</v>
      </c>
      <c r="K241" s="1729">
        <v>70</v>
      </c>
      <c r="L241" s="1760">
        <v>60</v>
      </c>
      <c r="M241" s="1"/>
      <c r="N241" s="1"/>
      <c r="O241" s="1"/>
      <c r="P241" s="1"/>
      <c r="Q241" s="1"/>
      <c r="R241" s="1"/>
      <c r="S241" s="1759">
        <v>45</v>
      </c>
      <c r="T241" s="1729">
        <v>45</v>
      </c>
      <c r="U241" s="1760">
        <v>45</v>
      </c>
      <c r="V241" s="1759">
        <v>40</v>
      </c>
      <c r="W241" s="1729">
        <v>40</v>
      </c>
      <c r="X241" s="1760">
        <v>40</v>
      </c>
      <c r="Y241" s="2009">
        <v>30</v>
      </c>
      <c r="Z241" s="2010">
        <v>30</v>
      </c>
      <c r="AA241" s="2011">
        <v>30</v>
      </c>
      <c r="AB241" s="1871" t="s">
        <v>1388</v>
      </c>
      <c r="AC241" s="1737" t="s">
        <v>1389</v>
      </c>
      <c r="AD241" s="1762">
        <v>150</v>
      </c>
      <c r="AE241" s="1729">
        <v>150</v>
      </c>
      <c r="AF241" s="1760">
        <v>150</v>
      </c>
      <c r="AG241" s="1759">
        <v>125</v>
      </c>
      <c r="AH241" s="1729">
        <v>125</v>
      </c>
      <c r="AI241" s="1760">
        <v>125</v>
      </c>
      <c r="AJ241" s="2009">
        <v>100</v>
      </c>
      <c r="AK241" s="2010">
        <v>100</v>
      </c>
      <c r="AL241" s="2011">
        <v>100</v>
      </c>
      <c r="AM241" s="1871" t="s">
        <v>1390</v>
      </c>
      <c r="AN241" s="1763" t="s">
        <v>1389</v>
      </c>
      <c r="AR241" s="156"/>
      <c r="AS241" s="156"/>
      <c r="AT241" s="156"/>
      <c r="AU241" s="397"/>
      <c r="AV241" s="396"/>
      <c r="AW241" s="396"/>
      <c r="AY241" s="3"/>
      <c r="AZ241" s="3"/>
      <c r="BA241" s="3"/>
      <c r="BB241" s="3"/>
      <c r="BC241" s="3"/>
      <c r="BD241" s="3"/>
      <c r="BE241" s="3"/>
      <c r="BF241" s="3"/>
      <c r="BG241" s="3"/>
      <c r="BH241" s="3"/>
      <c r="BI241" s="3"/>
      <c r="BJ241" s="3"/>
      <c r="BK241" s="3"/>
      <c r="BL241" s="3"/>
      <c r="BM241" s="3"/>
      <c r="BQ241" s="1669"/>
      <c r="BR241" s="397"/>
      <c r="BS241" s="397"/>
      <c r="BT241" s="397"/>
      <c r="BV241" s="1669"/>
      <c r="BW241" s="397"/>
      <c r="BX241" s="397"/>
      <c r="BY241" s="397"/>
      <c r="BZ241" s="1751"/>
      <c r="CE241" s="1619"/>
      <c r="CF241" s="1620" t="str">
        <f>IFERROR(INDEX(N_Bedarf!$CE$2:$CE$304,_xlfn.AGGREGATE(15,6,(ROW(N_Bedarf!$CE$2:$CE$304)-1)/(--(SEARCH(CG$2,N_Bedarf!$CE$2:$CE$304)&gt;0)),ROW()-2),1),"")</f>
        <v/>
      </c>
      <c r="CG241" s="1620"/>
      <c r="CH241" s="1620" t="str">
        <f>IFERROR(INDEX(N_Bedarf!$CE$2:$CE$304,_xlfn.AGGREGATE(15,6,(ROW(N_Bedarf!$CE$2:$CE$304)-1)/(--(SEARCH(CI$2,N_Bedarf!$CE$2:$CE$304)&gt;0)),ROW()-2),1),"")</f>
        <v/>
      </c>
      <c r="CI241" s="1620"/>
      <c r="CJ241" s="1620" t="str">
        <f>IFERROR(INDEX(N_Bedarf!$CE$2:$CE$304,_xlfn.AGGREGATE(15,6,(ROW(N_Bedarf!$CE$2:$CE$304)-1)/(--(SEARCH(CK$2,N_Bedarf!$CE$2:$CE$304)&gt;0)),ROW()-2),1),"")</f>
        <v/>
      </c>
      <c r="CK241" s="1620"/>
      <c r="CL241" s="1620" t="str">
        <f>IFERROR(INDEX(N_Bedarf!$CE$2:$CE$304,_xlfn.AGGREGATE(15,6,(ROW(N_Bedarf!$CE$2:$CE$304)-1)/(--(SEARCH(CM$2,N_Bedarf!$CE$2:$CE$304)&gt;0)),ROW()-2),1),"")</f>
        <v/>
      </c>
      <c r="CM241" s="1620"/>
      <c r="CN241" s="1620" t="str">
        <f>IFERROR(INDEX(N_Bedarf!$CE$2:$CE$304,_xlfn.AGGREGATE(15,6,(ROW(N_Bedarf!$CE$2:$CE$304)-1)/(--(SEARCH(CO$2,N_Bedarf!$CE$2:$CE$304)&gt;0)),ROW()-2),1),"")</f>
        <v/>
      </c>
      <c r="CO241" s="1620"/>
      <c r="CP241" s="1620" t="str">
        <f>IFERROR(INDEX(N_Bedarf!$CE$2:$CE$304,_xlfn.AGGREGATE(15,6,(ROW(N_Bedarf!$CE$2:$CE$304)-1)/(--(SEARCH(CQ$2,N_Bedarf!$CE$2:$CE$304)&gt;0)),ROW()-2),1),"")</f>
        <v/>
      </c>
      <c r="CQ241" s="1620"/>
      <c r="CR241" s="1620" t="str">
        <f>IFERROR(INDEX(N_Bedarf!$CE$2:$CE$304,_xlfn.AGGREGATE(15,6,(ROW(N_Bedarf!$CE$2:$CE$304)-1)/(--(SEARCH(CS$2,N_Bedarf!$CE$2:$CE$304)&gt;0)),ROW()-2),1),"")</f>
        <v/>
      </c>
      <c r="CS241" s="1620"/>
      <c r="CT241" s="1620" t="str">
        <f>IFERROR(INDEX(N_Bedarf!$CE$2:$CE$304,_xlfn.AGGREGATE(15,6,(ROW(N_Bedarf!$CE$2:$CE$304)-1)/(--(SEARCH(CU$2,N_Bedarf!$CE$2:$CE$304)&gt;0)),ROW()-2),1),"")</f>
        <v/>
      </c>
      <c r="CU241" s="1620"/>
      <c r="CV241" s="1620" t="str">
        <f>IFERROR(INDEX(N_Bedarf!$CE$2:$CE$304,_xlfn.AGGREGATE(15,6,(ROW(N_Bedarf!$CE$2:$CE$304)-1)/(--(SEARCH(CW$2,N_Bedarf!$CE$2:$CE$304)&gt;0)),ROW()-2),1),"")</f>
        <v/>
      </c>
      <c r="CW241" s="1620"/>
      <c r="CX241" s="1620" t="str">
        <f>IFERROR(INDEX(N_Bedarf!$CE$2:$CE$304,_xlfn.AGGREGATE(15,6,(ROW(N_Bedarf!$CE$2:$CE$304)-1)/(--(SEARCH(CY$2,N_Bedarf!$CE$2:$CE$304)&gt;0)),ROW()-2),1),"")</f>
        <v/>
      </c>
      <c r="CY241" s="1620"/>
      <c r="CZ241" s="1620" t="str">
        <f>IFERROR(INDEX(N_Bedarf!$CE$2:$CE$304,_xlfn.AGGREGATE(15,6,(ROW(N_Bedarf!$CE$2:$CE$304)-1)/(--(SEARCH(DA$2,N_Bedarf!$CE$2:$CE$304)&gt;0)),ROW()-2),1),"")</f>
        <v/>
      </c>
      <c r="DA241" s="1620"/>
      <c r="DB241" s="1620" t="str">
        <f>IFERROR(INDEX(N_Bedarf!$CE$2:$CE$304,_xlfn.AGGREGATE(15,6,(ROW(N_Bedarf!$CE$2:$CE$304)-1)/(--(SEARCH(DC$2,N_Bedarf!$CE$2:$CE$304)&gt;0)),ROW()-2),1),"")</f>
        <v/>
      </c>
      <c r="DC241" s="1620"/>
      <c r="DD241" s="1620" t="str">
        <f>IFERROR(INDEX(N_Bedarf!$CE$2:$CE$304,_xlfn.AGGREGATE(15,6,(ROW(N_Bedarf!$CE$2:$CE$304)-1)/(--(SEARCH(DE$2,N_Bedarf!$CE$2:$CE$304)&gt;0)),ROW()-2),1),"")</f>
        <v/>
      </c>
      <c r="DE241" s="1620"/>
      <c r="ES241" s="768"/>
      <c r="ET241" s="768"/>
      <c r="EU241" s="768"/>
      <c r="EV241" s="768"/>
      <c r="EW241" s="768"/>
    </row>
    <row r="242" spans="3:153" s="394" customFormat="1" ht="21" customHeight="1">
      <c r="C242" s="1790" t="s">
        <v>109</v>
      </c>
      <c r="D242" s="1759" t="s">
        <v>714</v>
      </c>
      <c r="E242" s="1729">
        <v>120</v>
      </c>
      <c r="F242" s="1760">
        <v>100</v>
      </c>
      <c r="G242" s="1993" t="s">
        <v>714</v>
      </c>
      <c r="H242" s="1994">
        <v>120</v>
      </c>
      <c r="I242" s="1995">
        <v>100</v>
      </c>
      <c r="J242" s="1759" t="s">
        <v>714</v>
      </c>
      <c r="K242" s="1729">
        <v>120</v>
      </c>
      <c r="L242" s="1760">
        <v>100</v>
      </c>
      <c r="M242" s="1"/>
      <c r="N242" s="1"/>
      <c r="O242" s="1"/>
      <c r="P242" s="1"/>
      <c r="Q242" s="1"/>
      <c r="R242" s="1"/>
      <c r="S242" s="1759">
        <v>90</v>
      </c>
      <c r="T242" s="1729">
        <v>90</v>
      </c>
      <c r="U242" s="1760">
        <v>90</v>
      </c>
      <c r="V242" s="1759">
        <v>75</v>
      </c>
      <c r="W242" s="1729">
        <v>75</v>
      </c>
      <c r="X242" s="1760">
        <v>75</v>
      </c>
      <c r="Y242" s="2009">
        <v>60</v>
      </c>
      <c r="Z242" s="2010">
        <v>60</v>
      </c>
      <c r="AA242" s="2011">
        <v>60</v>
      </c>
      <c r="AB242" s="1871" t="s">
        <v>1388</v>
      </c>
      <c r="AC242" s="1737" t="s">
        <v>1389</v>
      </c>
      <c r="AD242" s="1762">
        <v>210</v>
      </c>
      <c r="AE242" s="1729">
        <v>210</v>
      </c>
      <c r="AF242" s="1760">
        <v>210</v>
      </c>
      <c r="AG242" s="1759">
        <v>175</v>
      </c>
      <c r="AH242" s="1729">
        <v>175</v>
      </c>
      <c r="AI242" s="1760">
        <v>175</v>
      </c>
      <c r="AJ242" s="2009">
        <v>140</v>
      </c>
      <c r="AK242" s="2010">
        <v>140</v>
      </c>
      <c r="AL242" s="2011">
        <v>140</v>
      </c>
      <c r="AM242" s="1871" t="s">
        <v>1390</v>
      </c>
      <c r="AN242" s="1763" t="s">
        <v>1389</v>
      </c>
      <c r="AR242" s="156"/>
      <c r="AS242" s="156"/>
      <c r="AT242" s="156"/>
      <c r="AU242" s="397"/>
      <c r="AV242" s="396"/>
      <c r="AW242" s="396"/>
      <c r="AY242" s="3"/>
      <c r="AZ242" s="3"/>
      <c r="BA242" s="3"/>
      <c r="BB242" s="3"/>
      <c r="BC242" s="3"/>
      <c r="BD242" s="3"/>
      <c r="BE242" s="3"/>
      <c r="BF242" s="3"/>
      <c r="BG242" s="3"/>
      <c r="BH242" s="3"/>
      <c r="BI242" s="3"/>
      <c r="BJ242" s="3"/>
      <c r="BK242" s="3"/>
      <c r="BL242" s="3"/>
      <c r="BM242" s="3"/>
      <c r="BQ242" s="1669"/>
      <c r="BR242" s="397"/>
      <c r="BS242" s="397"/>
      <c r="BT242" s="397"/>
      <c r="BV242" s="1669"/>
      <c r="BW242" s="397"/>
      <c r="BX242" s="397"/>
      <c r="BY242" s="397"/>
      <c r="BZ242" s="1719"/>
      <c r="CE242" s="1619"/>
      <c r="CF242" s="1620" t="str">
        <f>IFERROR(INDEX(N_Bedarf!$CE$2:$CE$304,_xlfn.AGGREGATE(15,6,(ROW(N_Bedarf!$CE$2:$CE$304)-1)/(--(SEARCH(CG$2,N_Bedarf!$CE$2:$CE$304)&gt;0)),ROW()-2),1),"")</f>
        <v/>
      </c>
      <c r="CG242" s="1620"/>
      <c r="CH242" s="1620" t="str">
        <f>IFERROR(INDEX(N_Bedarf!$CE$2:$CE$304,_xlfn.AGGREGATE(15,6,(ROW(N_Bedarf!$CE$2:$CE$304)-1)/(--(SEARCH(CI$2,N_Bedarf!$CE$2:$CE$304)&gt;0)),ROW()-2),1),"")</f>
        <v/>
      </c>
      <c r="CI242" s="1620"/>
      <c r="CJ242" s="1620" t="str">
        <f>IFERROR(INDEX(N_Bedarf!$CE$2:$CE$304,_xlfn.AGGREGATE(15,6,(ROW(N_Bedarf!$CE$2:$CE$304)-1)/(--(SEARCH(CK$2,N_Bedarf!$CE$2:$CE$304)&gt;0)),ROW()-2),1),"")</f>
        <v/>
      </c>
      <c r="CK242" s="1620"/>
      <c r="CL242" s="1620" t="str">
        <f>IFERROR(INDEX(N_Bedarf!$CE$2:$CE$304,_xlfn.AGGREGATE(15,6,(ROW(N_Bedarf!$CE$2:$CE$304)-1)/(--(SEARCH(CM$2,N_Bedarf!$CE$2:$CE$304)&gt;0)),ROW()-2),1),"")</f>
        <v/>
      </c>
      <c r="CM242" s="1620"/>
      <c r="CN242" s="1620" t="str">
        <f>IFERROR(INDEX(N_Bedarf!$CE$2:$CE$304,_xlfn.AGGREGATE(15,6,(ROW(N_Bedarf!$CE$2:$CE$304)-1)/(--(SEARCH(CO$2,N_Bedarf!$CE$2:$CE$304)&gt;0)),ROW()-2),1),"")</f>
        <v/>
      </c>
      <c r="CO242" s="1620"/>
      <c r="CP242" s="1620" t="str">
        <f>IFERROR(INDEX(N_Bedarf!$CE$2:$CE$304,_xlfn.AGGREGATE(15,6,(ROW(N_Bedarf!$CE$2:$CE$304)-1)/(--(SEARCH(CQ$2,N_Bedarf!$CE$2:$CE$304)&gt;0)),ROW()-2),1),"")</f>
        <v/>
      </c>
      <c r="CQ242" s="1620"/>
      <c r="CR242" s="1620" t="str">
        <f>IFERROR(INDEX(N_Bedarf!$CE$2:$CE$304,_xlfn.AGGREGATE(15,6,(ROW(N_Bedarf!$CE$2:$CE$304)-1)/(--(SEARCH(CS$2,N_Bedarf!$CE$2:$CE$304)&gt;0)),ROW()-2),1),"")</f>
        <v/>
      </c>
      <c r="CS242" s="1620"/>
      <c r="CT242" s="1620" t="str">
        <f>IFERROR(INDEX(N_Bedarf!$CE$2:$CE$304,_xlfn.AGGREGATE(15,6,(ROW(N_Bedarf!$CE$2:$CE$304)-1)/(--(SEARCH(CU$2,N_Bedarf!$CE$2:$CE$304)&gt;0)),ROW()-2),1),"")</f>
        <v/>
      </c>
      <c r="CU242" s="1620"/>
      <c r="CV242" s="1620" t="str">
        <f>IFERROR(INDEX(N_Bedarf!$CE$2:$CE$304,_xlfn.AGGREGATE(15,6,(ROW(N_Bedarf!$CE$2:$CE$304)-1)/(--(SEARCH(CW$2,N_Bedarf!$CE$2:$CE$304)&gt;0)),ROW()-2),1),"")</f>
        <v/>
      </c>
      <c r="CW242" s="1620"/>
      <c r="CX242" s="1620" t="str">
        <f>IFERROR(INDEX(N_Bedarf!$CE$2:$CE$304,_xlfn.AGGREGATE(15,6,(ROW(N_Bedarf!$CE$2:$CE$304)-1)/(--(SEARCH(CY$2,N_Bedarf!$CE$2:$CE$304)&gt;0)),ROW()-2),1),"")</f>
        <v/>
      </c>
      <c r="CY242" s="1620"/>
      <c r="CZ242" s="1620" t="str">
        <f>IFERROR(INDEX(N_Bedarf!$CE$2:$CE$304,_xlfn.AGGREGATE(15,6,(ROW(N_Bedarf!$CE$2:$CE$304)-1)/(--(SEARCH(DA$2,N_Bedarf!$CE$2:$CE$304)&gt;0)),ROW()-2),1),"")</f>
        <v/>
      </c>
      <c r="DA242" s="1620"/>
      <c r="DB242" s="1620" t="str">
        <f>IFERROR(INDEX(N_Bedarf!$CE$2:$CE$304,_xlfn.AGGREGATE(15,6,(ROW(N_Bedarf!$CE$2:$CE$304)-1)/(--(SEARCH(DC$2,N_Bedarf!$CE$2:$CE$304)&gt;0)),ROW()-2),1),"")</f>
        <v/>
      </c>
      <c r="DC242" s="1620"/>
      <c r="DD242" s="1620" t="str">
        <f>IFERROR(INDEX(N_Bedarf!$CE$2:$CE$304,_xlfn.AGGREGATE(15,6,(ROW(N_Bedarf!$CE$2:$CE$304)-1)/(--(SEARCH(DE$2,N_Bedarf!$CE$2:$CE$304)&gt;0)),ROW()-2),1),"")</f>
        <v/>
      </c>
      <c r="DE242" s="1620"/>
      <c r="ES242" s="768"/>
      <c r="ET242" s="768"/>
      <c r="EU242" s="768"/>
      <c r="EV242" s="768"/>
      <c r="EW242" s="768"/>
    </row>
    <row r="243" spans="3:153" s="394" customFormat="1" ht="21" customHeight="1">
      <c r="C243" s="1790" t="s">
        <v>110</v>
      </c>
      <c r="D243" s="1759" t="s">
        <v>714</v>
      </c>
      <c r="E243" s="1729">
        <v>120</v>
      </c>
      <c r="F243" s="1760">
        <v>100</v>
      </c>
      <c r="G243" s="1993" t="s">
        <v>714</v>
      </c>
      <c r="H243" s="1994">
        <v>120</v>
      </c>
      <c r="I243" s="1995">
        <v>100</v>
      </c>
      <c r="J243" s="1759" t="s">
        <v>714</v>
      </c>
      <c r="K243" s="1729">
        <v>120</v>
      </c>
      <c r="L243" s="1760">
        <v>100</v>
      </c>
      <c r="M243" s="1"/>
      <c r="N243" s="1"/>
      <c r="O243" s="1"/>
      <c r="P243" s="1"/>
      <c r="Q243" s="1"/>
      <c r="R243" s="1"/>
      <c r="S243" s="1759">
        <v>75</v>
      </c>
      <c r="T243" s="1729">
        <v>75</v>
      </c>
      <c r="U243" s="1760">
        <v>75</v>
      </c>
      <c r="V243" s="1759">
        <v>65</v>
      </c>
      <c r="W243" s="1729">
        <v>65</v>
      </c>
      <c r="X243" s="1760">
        <v>65</v>
      </c>
      <c r="Y243" s="2009">
        <v>50</v>
      </c>
      <c r="Z243" s="2010">
        <v>50</v>
      </c>
      <c r="AA243" s="2011">
        <v>50</v>
      </c>
      <c r="AB243" s="1871" t="s">
        <v>1388</v>
      </c>
      <c r="AC243" s="1737" t="s">
        <v>1389</v>
      </c>
      <c r="AD243" s="1762">
        <v>150</v>
      </c>
      <c r="AE243" s="1729">
        <v>150</v>
      </c>
      <c r="AF243" s="1760">
        <v>150</v>
      </c>
      <c r="AG243" s="1759">
        <v>125</v>
      </c>
      <c r="AH243" s="1729">
        <v>125</v>
      </c>
      <c r="AI243" s="1760">
        <v>125</v>
      </c>
      <c r="AJ243" s="2009">
        <v>100</v>
      </c>
      <c r="AK243" s="2010">
        <v>100</v>
      </c>
      <c r="AL243" s="2011">
        <v>100</v>
      </c>
      <c r="AM243" s="1871" t="s">
        <v>1390</v>
      </c>
      <c r="AN243" s="1763" t="s">
        <v>1389</v>
      </c>
      <c r="AR243" s="156"/>
      <c r="AS243" s="156"/>
      <c r="AT243" s="156"/>
      <c r="AU243" s="397"/>
      <c r="AV243" s="396"/>
      <c r="AW243" s="396"/>
      <c r="AY243" s="3"/>
      <c r="AZ243" s="3"/>
      <c r="BA243" s="3"/>
      <c r="BB243" s="3"/>
      <c r="BC243" s="3"/>
      <c r="BD243" s="3"/>
      <c r="BE243" s="3"/>
      <c r="BF243" s="3"/>
      <c r="BG243" s="3"/>
      <c r="BH243" s="3"/>
      <c r="BI243" s="3"/>
      <c r="BJ243" s="3"/>
      <c r="BK243" s="3"/>
      <c r="BL243" s="3"/>
      <c r="BM243" s="3"/>
      <c r="BQ243" s="1669"/>
      <c r="BR243" s="397"/>
      <c r="BS243" s="397"/>
      <c r="BT243" s="397"/>
      <c r="BV243" s="1669"/>
      <c r="BW243" s="397"/>
      <c r="BX243" s="397"/>
      <c r="BY243" s="397"/>
      <c r="BZ243" s="1719"/>
      <c r="CE243" s="1619"/>
      <c r="CF243" s="1620" t="str">
        <f>IFERROR(INDEX(N_Bedarf!$CE$2:$CE$304,_xlfn.AGGREGATE(15,6,(ROW(N_Bedarf!$CE$2:$CE$304)-1)/(--(SEARCH(CG$2,N_Bedarf!$CE$2:$CE$304)&gt;0)),ROW()-2),1),"")</f>
        <v/>
      </c>
      <c r="CG243" s="1620"/>
      <c r="CH243" s="1620" t="str">
        <f>IFERROR(INDEX(N_Bedarf!$CE$2:$CE$304,_xlfn.AGGREGATE(15,6,(ROW(N_Bedarf!$CE$2:$CE$304)-1)/(--(SEARCH(CI$2,N_Bedarf!$CE$2:$CE$304)&gt;0)),ROW()-2),1),"")</f>
        <v/>
      </c>
      <c r="CI243" s="1620"/>
      <c r="CJ243" s="1620" t="str">
        <f>IFERROR(INDEX(N_Bedarf!$CE$2:$CE$304,_xlfn.AGGREGATE(15,6,(ROW(N_Bedarf!$CE$2:$CE$304)-1)/(--(SEARCH(CK$2,N_Bedarf!$CE$2:$CE$304)&gt;0)),ROW()-2),1),"")</f>
        <v/>
      </c>
      <c r="CK243" s="1620"/>
      <c r="CL243" s="1620" t="str">
        <f>IFERROR(INDEX(N_Bedarf!$CE$2:$CE$304,_xlfn.AGGREGATE(15,6,(ROW(N_Bedarf!$CE$2:$CE$304)-1)/(--(SEARCH(CM$2,N_Bedarf!$CE$2:$CE$304)&gt;0)),ROW()-2),1),"")</f>
        <v/>
      </c>
      <c r="CM243" s="1620"/>
      <c r="CN243" s="1620" t="str">
        <f>IFERROR(INDEX(N_Bedarf!$CE$2:$CE$304,_xlfn.AGGREGATE(15,6,(ROW(N_Bedarf!$CE$2:$CE$304)-1)/(--(SEARCH(CO$2,N_Bedarf!$CE$2:$CE$304)&gt;0)),ROW()-2),1),"")</f>
        <v/>
      </c>
      <c r="CO243" s="1620"/>
      <c r="CP243" s="1620" t="str">
        <f>IFERROR(INDEX(N_Bedarf!$CE$2:$CE$304,_xlfn.AGGREGATE(15,6,(ROW(N_Bedarf!$CE$2:$CE$304)-1)/(--(SEARCH(CQ$2,N_Bedarf!$CE$2:$CE$304)&gt;0)),ROW()-2),1),"")</f>
        <v/>
      </c>
      <c r="CQ243" s="1620"/>
      <c r="CR243" s="1620" t="str">
        <f>IFERROR(INDEX(N_Bedarf!$CE$2:$CE$304,_xlfn.AGGREGATE(15,6,(ROW(N_Bedarf!$CE$2:$CE$304)-1)/(--(SEARCH(CS$2,N_Bedarf!$CE$2:$CE$304)&gt;0)),ROW()-2),1),"")</f>
        <v/>
      </c>
      <c r="CS243" s="1620"/>
      <c r="CT243" s="1620" t="str">
        <f>IFERROR(INDEX(N_Bedarf!$CE$2:$CE$304,_xlfn.AGGREGATE(15,6,(ROW(N_Bedarf!$CE$2:$CE$304)-1)/(--(SEARCH(CU$2,N_Bedarf!$CE$2:$CE$304)&gt;0)),ROW()-2),1),"")</f>
        <v/>
      </c>
      <c r="CU243" s="1620"/>
      <c r="CV243" s="1620" t="str">
        <f>IFERROR(INDEX(N_Bedarf!$CE$2:$CE$304,_xlfn.AGGREGATE(15,6,(ROW(N_Bedarf!$CE$2:$CE$304)-1)/(--(SEARCH(CW$2,N_Bedarf!$CE$2:$CE$304)&gt;0)),ROW()-2),1),"")</f>
        <v/>
      </c>
      <c r="CW243" s="1620"/>
      <c r="CX243" s="1620" t="str">
        <f>IFERROR(INDEX(N_Bedarf!$CE$2:$CE$304,_xlfn.AGGREGATE(15,6,(ROW(N_Bedarf!$CE$2:$CE$304)-1)/(--(SEARCH(CY$2,N_Bedarf!$CE$2:$CE$304)&gt;0)),ROW()-2),1),"")</f>
        <v/>
      </c>
      <c r="CY243" s="1620"/>
      <c r="CZ243" s="1620" t="str">
        <f>IFERROR(INDEX(N_Bedarf!$CE$2:$CE$304,_xlfn.AGGREGATE(15,6,(ROW(N_Bedarf!$CE$2:$CE$304)-1)/(--(SEARCH(DA$2,N_Bedarf!$CE$2:$CE$304)&gt;0)),ROW()-2),1),"")</f>
        <v/>
      </c>
      <c r="DA243" s="1620"/>
      <c r="DB243" s="1620" t="str">
        <f>IFERROR(INDEX(N_Bedarf!$CE$2:$CE$304,_xlfn.AGGREGATE(15,6,(ROW(N_Bedarf!$CE$2:$CE$304)-1)/(--(SEARCH(DC$2,N_Bedarf!$CE$2:$CE$304)&gt;0)),ROW()-2),1),"")</f>
        <v/>
      </c>
      <c r="DC243" s="1620"/>
      <c r="DD243" s="1620" t="str">
        <f>IFERROR(INDEX(N_Bedarf!$CE$2:$CE$304,_xlfn.AGGREGATE(15,6,(ROW(N_Bedarf!$CE$2:$CE$304)-1)/(--(SEARCH(DE$2,N_Bedarf!$CE$2:$CE$304)&gt;0)),ROW()-2),1),"")</f>
        <v/>
      </c>
      <c r="DE243" s="1620"/>
      <c r="ES243" s="768"/>
      <c r="ET243" s="768"/>
      <c r="EU243" s="768"/>
      <c r="EV243" s="768"/>
      <c r="EW243" s="768"/>
    </row>
    <row r="244" spans="3:153" s="394" customFormat="1" ht="21" customHeight="1">
      <c r="C244" s="1790" t="s">
        <v>111</v>
      </c>
      <c r="D244" s="1759" t="s">
        <v>714</v>
      </c>
      <c r="E244" s="1729">
        <v>100</v>
      </c>
      <c r="F244" s="1760">
        <v>85</v>
      </c>
      <c r="G244" s="1993" t="s">
        <v>714</v>
      </c>
      <c r="H244" s="1994">
        <v>100</v>
      </c>
      <c r="I244" s="1995">
        <v>85</v>
      </c>
      <c r="J244" s="1759" t="s">
        <v>714</v>
      </c>
      <c r="K244" s="1729">
        <v>100</v>
      </c>
      <c r="L244" s="1760">
        <v>85</v>
      </c>
      <c r="M244" s="1"/>
      <c r="N244" s="1"/>
      <c r="O244" s="1"/>
      <c r="P244" s="1"/>
      <c r="Q244" s="1"/>
      <c r="R244" s="1"/>
      <c r="S244" s="1759">
        <v>90</v>
      </c>
      <c r="T244" s="1729">
        <v>90</v>
      </c>
      <c r="U244" s="1760">
        <v>90</v>
      </c>
      <c r="V244" s="1759">
        <v>75</v>
      </c>
      <c r="W244" s="1729">
        <v>75</v>
      </c>
      <c r="X244" s="1760">
        <v>75</v>
      </c>
      <c r="Y244" s="2009">
        <v>60</v>
      </c>
      <c r="Z244" s="2010">
        <v>60</v>
      </c>
      <c r="AA244" s="2011">
        <v>60</v>
      </c>
      <c r="AB244" s="1871" t="s">
        <v>1388</v>
      </c>
      <c r="AC244" s="1737" t="s">
        <v>1389</v>
      </c>
      <c r="AD244" s="1762">
        <v>180</v>
      </c>
      <c r="AE244" s="1729">
        <v>180</v>
      </c>
      <c r="AF244" s="1760">
        <v>180</v>
      </c>
      <c r="AG244" s="1759">
        <v>150</v>
      </c>
      <c r="AH244" s="1729">
        <v>150</v>
      </c>
      <c r="AI244" s="1760">
        <v>150</v>
      </c>
      <c r="AJ244" s="2009">
        <v>120</v>
      </c>
      <c r="AK244" s="2010">
        <v>120</v>
      </c>
      <c r="AL244" s="2011">
        <v>120</v>
      </c>
      <c r="AM244" s="1871" t="s">
        <v>1390</v>
      </c>
      <c r="AN244" s="1763" t="s">
        <v>1389</v>
      </c>
      <c r="AR244" s="156"/>
      <c r="AS244" s="156"/>
      <c r="AT244" s="156"/>
      <c r="AU244" s="397"/>
      <c r="AV244" s="396"/>
      <c r="AW244" s="396"/>
      <c r="AY244" s="3"/>
      <c r="AZ244" s="3"/>
      <c r="BA244" s="3"/>
      <c r="BB244" s="3"/>
      <c r="BC244" s="3"/>
      <c r="BD244" s="3"/>
      <c r="BE244" s="3"/>
      <c r="BF244" s="3"/>
      <c r="BG244" s="3"/>
      <c r="BH244" s="3"/>
      <c r="BI244" s="3"/>
      <c r="BJ244" s="3"/>
      <c r="BK244" s="3"/>
      <c r="BL244" s="3"/>
      <c r="BM244" s="3"/>
      <c r="BQ244" s="1669"/>
      <c r="BR244" s="397"/>
      <c r="BS244" s="397"/>
      <c r="BT244" s="397"/>
      <c r="BV244" s="1669"/>
      <c r="BW244" s="397"/>
      <c r="BX244" s="397"/>
      <c r="BY244" s="397"/>
      <c r="BZ244" s="1719"/>
      <c r="CE244" s="1619"/>
      <c r="CF244" s="1620" t="str">
        <f>IFERROR(INDEX(N_Bedarf!$CE$2:$CE$304,_xlfn.AGGREGATE(15,6,(ROW(N_Bedarf!$CE$2:$CE$304)-1)/(--(SEARCH(CG$2,N_Bedarf!$CE$2:$CE$304)&gt;0)),ROW()-2),1),"")</f>
        <v/>
      </c>
      <c r="CG244" s="1620"/>
      <c r="CH244" s="1620" t="str">
        <f>IFERROR(INDEX(N_Bedarf!$CE$2:$CE$304,_xlfn.AGGREGATE(15,6,(ROW(N_Bedarf!$CE$2:$CE$304)-1)/(--(SEARCH(CI$2,N_Bedarf!$CE$2:$CE$304)&gt;0)),ROW()-2),1),"")</f>
        <v/>
      </c>
      <c r="CI244" s="1620"/>
      <c r="CJ244" s="1620" t="str">
        <f>IFERROR(INDEX(N_Bedarf!$CE$2:$CE$304,_xlfn.AGGREGATE(15,6,(ROW(N_Bedarf!$CE$2:$CE$304)-1)/(--(SEARCH(CK$2,N_Bedarf!$CE$2:$CE$304)&gt;0)),ROW()-2),1),"")</f>
        <v/>
      </c>
      <c r="CK244" s="1620"/>
      <c r="CL244" s="1620" t="str">
        <f>IFERROR(INDEX(N_Bedarf!$CE$2:$CE$304,_xlfn.AGGREGATE(15,6,(ROW(N_Bedarf!$CE$2:$CE$304)-1)/(--(SEARCH(CM$2,N_Bedarf!$CE$2:$CE$304)&gt;0)),ROW()-2),1),"")</f>
        <v/>
      </c>
      <c r="CM244" s="1620"/>
      <c r="CN244" s="1620" t="str">
        <f>IFERROR(INDEX(N_Bedarf!$CE$2:$CE$304,_xlfn.AGGREGATE(15,6,(ROW(N_Bedarf!$CE$2:$CE$304)-1)/(--(SEARCH(CO$2,N_Bedarf!$CE$2:$CE$304)&gt;0)),ROW()-2),1),"")</f>
        <v/>
      </c>
      <c r="CO244" s="1620"/>
      <c r="CP244" s="1620" t="str">
        <f>IFERROR(INDEX(N_Bedarf!$CE$2:$CE$304,_xlfn.AGGREGATE(15,6,(ROW(N_Bedarf!$CE$2:$CE$304)-1)/(--(SEARCH(CQ$2,N_Bedarf!$CE$2:$CE$304)&gt;0)),ROW()-2),1),"")</f>
        <v/>
      </c>
      <c r="CQ244" s="1620"/>
      <c r="CR244" s="1620" t="str">
        <f>IFERROR(INDEX(N_Bedarf!$CE$2:$CE$304,_xlfn.AGGREGATE(15,6,(ROW(N_Bedarf!$CE$2:$CE$304)-1)/(--(SEARCH(CS$2,N_Bedarf!$CE$2:$CE$304)&gt;0)),ROW()-2),1),"")</f>
        <v/>
      </c>
      <c r="CS244" s="1620"/>
      <c r="CT244" s="1620" t="str">
        <f>IFERROR(INDEX(N_Bedarf!$CE$2:$CE$304,_xlfn.AGGREGATE(15,6,(ROW(N_Bedarf!$CE$2:$CE$304)-1)/(--(SEARCH(CU$2,N_Bedarf!$CE$2:$CE$304)&gt;0)),ROW()-2),1),"")</f>
        <v/>
      </c>
      <c r="CU244" s="1620"/>
      <c r="CV244" s="1620" t="str">
        <f>IFERROR(INDEX(N_Bedarf!$CE$2:$CE$304,_xlfn.AGGREGATE(15,6,(ROW(N_Bedarf!$CE$2:$CE$304)-1)/(--(SEARCH(CW$2,N_Bedarf!$CE$2:$CE$304)&gt;0)),ROW()-2),1),"")</f>
        <v/>
      </c>
      <c r="CW244" s="1620"/>
      <c r="CX244" s="1620" t="str">
        <f>IFERROR(INDEX(N_Bedarf!$CE$2:$CE$304,_xlfn.AGGREGATE(15,6,(ROW(N_Bedarf!$CE$2:$CE$304)-1)/(--(SEARCH(CY$2,N_Bedarf!$CE$2:$CE$304)&gt;0)),ROW()-2),1),"")</f>
        <v/>
      </c>
      <c r="CY244" s="1620"/>
      <c r="CZ244" s="1620" t="str">
        <f>IFERROR(INDEX(N_Bedarf!$CE$2:$CE$304,_xlfn.AGGREGATE(15,6,(ROW(N_Bedarf!$CE$2:$CE$304)-1)/(--(SEARCH(DA$2,N_Bedarf!$CE$2:$CE$304)&gt;0)),ROW()-2),1),"")</f>
        <v/>
      </c>
      <c r="DA244" s="1620"/>
      <c r="DB244" s="1620" t="str">
        <f>IFERROR(INDEX(N_Bedarf!$CE$2:$CE$304,_xlfn.AGGREGATE(15,6,(ROW(N_Bedarf!$CE$2:$CE$304)-1)/(--(SEARCH(DC$2,N_Bedarf!$CE$2:$CE$304)&gt;0)),ROW()-2),1),"")</f>
        <v/>
      </c>
      <c r="DC244" s="1620"/>
      <c r="DD244" s="1620" t="str">
        <f>IFERROR(INDEX(N_Bedarf!$CE$2:$CE$304,_xlfn.AGGREGATE(15,6,(ROW(N_Bedarf!$CE$2:$CE$304)-1)/(--(SEARCH(DE$2,N_Bedarf!$CE$2:$CE$304)&gt;0)),ROW()-2),1),"")</f>
        <v/>
      </c>
      <c r="DE244" s="1620"/>
      <c r="ES244" s="768"/>
      <c r="ET244" s="768"/>
      <c r="EU244" s="768"/>
      <c r="EV244" s="768"/>
      <c r="EW244" s="768"/>
    </row>
    <row r="245" spans="3:153" s="394" customFormat="1" ht="21" customHeight="1">
      <c r="C245" s="1790" t="s">
        <v>112</v>
      </c>
      <c r="D245" s="1759" t="s">
        <v>714</v>
      </c>
      <c r="E245" s="1729">
        <v>80</v>
      </c>
      <c r="F245" s="1760">
        <v>70</v>
      </c>
      <c r="G245" s="1993" t="s">
        <v>714</v>
      </c>
      <c r="H245" s="1994">
        <v>80</v>
      </c>
      <c r="I245" s="1995">
        <v>70</v>
      </c>
      <c r="J245" s="1759" t="s">
        <v>714</v>
      </c>
      <c r="K245" s="1729">
        <v>80</v>
      </c>
      <c r="L245" s="1760">
        <v>70</v>
      </c>
      <c r="M245" s="1"/>
      <c r="N245" s="1"/>
      <c r="O245" s="1"/>
      <c r="P245" s="1"/>
      <c r="Q245" s="1"/>
      <c r="R245" s="1"/>
      <c r="S245" s="1759">
        <v>75</v>
      </c>
      <c r="T245" s="1729">
        <v>75</v>
      </c>
      <c r="U245" s="1760">
        <v>75</v>
      </c>
      <c r="V245" s="1759">
        <v>65</v>
      </c>
      <c r="W245" s="1729">
        <v>65</v>
      </c>
      <c r="X245" s="1760">
        <v>65</v>
      </c>
      <c r="Y245" s="2009">
        <v>50</v>
      </c>
      <c r="Z245" s="2010">
        <v>50</v>
      </c>
      <c r="AA245" s="2011">
        <v>50</v>
      </c>
      <c r="AB245" s="1871" t="s">
        <v>1388</v>
      </c>
      <c r="AC245" s="1737" t="s">
        <v>1389</v>
      </c>
      <c r="AD245" s="1762">
        <v>180</v>
      </c>
      <c r="AE245" s="1729">
        <v>180</v>
      </c>
      <c r="AF245" s="1760">
        <v>180</v>
      </c>
      <c r="AG245" s="1759">
        <v>150</v>
      </c>
      <c r="AH245" s="1729">
        <v>150</v>
      </c>
      <c r="AI245" s="1760">
        <v>150</v>
      </c>
      <c r="AJ245" s="2009">
        <v>120</v>
      </c>
      <c r="AK245" s="2010">
        <v>120</v>
      </c>
      <c r="AL245" s="2011">
        <v>120</v>
      </c>
      <c r="AM245" s="1871" t="s">
        <v>1390</v>
      </c>
      <c r="AN245" s="1763" t="s">
        <v>1389</v>
      </c>
      <c r="AR245" s="156"/>
      <c r="AS245" s="156"/>
      <c r="AT245" s="156"/>
      <c r="AU245" s="397"/>
      <c r="AV245" s="396"/>
      <c r="AW245" s="396"/>
      <c r="BQ245" s="1669"/>
      <c r="BR245" s="1720"/>
      <c r="BS245" s="1720"/>
      <c r="BT245" s="1720"/>
      <c r="BV245" s="1669"/>
      <c r="BW245" s="1721"/>
      <c r="BX245" s="1720"/>
      <c r="BY245" s="1720"/>
      <c r="BZ245" s="1719"/>
      <c r="CE245" s="1619"/>
      <c r="CF245" s="1620" t="str">
        <f>IFERROR(INDEX(N_Bedarf!$CE$2:$CE$304,_xlfn.AGGREGATE(15,6,(ROW(N_Bedarf!$CE$2:$CE$304)-1)/(--(SEARCH(CG$2,N_Bedarf!$CE$2:$CE$304)&gt;0)),ROW()-2),1),"")</f>
        <v/>
      </c>
      <c r="CG245" s="1620"/>
      <c r="CH245" s="1620" t="str">
        <f>IFERROR(INDEX(N_Bedarf!$CE$2:$CE$304,_xlfn.AGGREGATE(15,6,(ROW(N_Bedarf!$CE$2:$CE$304)-1)/(--(SEARCH(CI$2,N_Bedarf!$CE$2:$CE$304)&gt;0)),ROW()-2),1),"")</f>
        <v/>
      </c>
      <c r="CI245" s="1620"/>
      <c r="CJ245" s="1620" t="str">
        <f>IFERROR(INDEX(N_Bedarf!$CE$2:$CE$304,_xlfn.AGGREGATE(15,6,(ROW(N_Bedarf!$CE$2:$CE$304)-1)/(--(SEARCH(CK$2,N_Bedarf!$CE$2:$CE$304)&gt;0)),ROW()-2),1),"")</f>
        <v/>
      </c>
      <c r="CK245" s="1620"/>
      <c r="CL245" s="1620" t="str">
        <f>IFERROR(INDEX(N_Bedarf!$CE$2:$CE$304,_xlfn.AGGREGATE(15,6,(ROW(N_Bedarf!$CE$2:$CE$304)-1)/(--(SEARCH(CM$2,N_Bedarf!$CE$2:$CE$304)&gt;0)),ROW()-2),1),"")</f>
        <v/>
      </c>
      <c r="CM245" s="1620"/>
      <c r="CN245" s="1620" t="str">
        <f>IFERROR(INDEX(N_Bedarf!$CE$2:$CE$304,_xlfn.AGGREGATE(15,6,(ROW(N_Bedarf!$CE$2:$CE$304)-1)/(--(SEARCH(CO$2,N_Bedarf!$CE$2:$CE$304)&gt;0)),ROW()-2),1),"")</f>
        <v/>
      </c>
      <c r="CO245" s="1620"/>
      <c r="CP245" s="1620" t="str">
        <f>IFERROR(INDEX(N_Bedarf!$CE$2:$CE$304,_xlfn.AGGREGATE(15,6,(ROW(N_Bedarf!$CE$2:$CE$304)-1)/(--(SEARCH(CQ$2,N_Bedarf!$CE$2:$CE$304)&gt;0)),ROW()-2),1),"")</f>
        <v/>
      </c>
      <c r="CQ245" s="1620"/>
      <c r="CR245" s="1620" t="str">
        <f>IFERROR(INDEX(N_Bedarf!$CE$2:$CE$304,_xlfn.AGGREGATE(15,6,(ROW(N_Bedarf!$CE$2:$CE$304)-1)/(--(SEARCH(CS$2,N_Bedarf!$CE$2:$CE$304)&gt;0)),ROW()-2),1),"")</f>
        <v/>
      </c>
      <c r="CS245" s="1620"/>
      <c r="CT245" s="1620" t="str">
        <f>IFERROR(INDEX(N_Bedarf!$CE$2:$CE$304,_xlfn.AGGREGATE(15,6,(ROW(N_Bedarf!$CE$2:$CE$304)-1)/(--(SEARCH(CU$2,N_Bedarf!$CE$2:$CE$304)&gt;0)),ROW()-2),1),"")</f>
        <v/>
      </c>
      <c r="CU245" s="1620"/>
      <c r="CV245" s="1620" t="str">
        <f>IFERROR(INDEX(N_Bedarf!$CE$2:$CE$304,_xlfn.AGGREGATE(15,6,(ROW(N_Bedarf!$CE$2:$CE$304)-1)/(--(SEARCH(CW$2,N_Bedarf!$CE$2:$CE$304)&gt;0)),ROW()-2),1),"")</f>
        <v/>
      </c>
      <c r="CW245" s="1620"/>
      <c r="CX245" s="1620" t="str">
        <f>IFERROR(INDEX(N_Bedarf!$CE$2:$CE$304,_xlfn.AGGREGATE(15,6,(ROW(N_Bedarf!$CE$2:$CE$304)-1)/(--(SEARCH(CY$2,N_Bedarf!$CE$2:$CE$304)&gt;0)),ROW()-2),1),"")</f>
        <v/>
      </c>
      <c r="CY245" s="1620"/>
      <c r="CZ245" s="1620" t="str">
        <f>IFERROR(INDEX(N_Bedarf!$CE$2:$CE$304,_xlfn.AGGREGATE(15,6,(ROW(N_Bedarf!$CE$2:$CE$304)-1)/(--(SEARCH(DA$2,N_Bedarf!$CE$2:$CE$304)&gt;0)),ROW()-2),1),"")</f>
        <v/>
      </c>
      <c r="DA245" s="1620"/>
      <c r="DB245" s="1620" t="str">
        <f>IFERROR(INDEX(N_Bedarf!$CE$2:$CE$304,_xlfn.AGGREGATE(15,6,(ROW(N_Bedarf!$CE$2:$CE$304)-1)/(--(SEARCH(DC$2,N_Bedarf!$CE$2:$CE$304)&gt;0)),ROW()-2),1),"")</f>
        <v/>
      </c>
      <c r="DC245" s="1620"/>
      <c r="DD245" s="1620" t="str">
        <f>IFERROR(INDEX(N_Bedarf!$CE$2:$CE$304,_xlfn.AGGREGATE(15,6,(ROW(N_Bedarf!$CE$2:$CE$304)-1)/(--(SEARCH(DE$2,N_Bedarf!$CE$2:$CE$304)&gt;0)),ROW()-2),1),"")</f>
        <v/>
      </c>
      <c r="DE245" s="1620"/>
      <c r="ES245" s="768"/>
      <c r="ET245" s="768"/>
      <c r="EU245" s="768"/>
      <c r="EV245" s="768"/>
      <c r="EW245" s="768"/>
    </row>
    <row r="246" spans="3:153" s="394" customFormat="1" ht="21" customHeight="1">
      <c r="C246" s="1790" t="s">
        <v>113</v>
      </c>
      <c r="D246" s="1759" t="s">
        <v>714</v>
      </c>
      <c r="E246" s="1729">
        <v>50</v>
      </c>
      <c r="F246" s="1760">
        <v>45</v>
      </c>
      <c r="G246" s="1993" t="s">
        <v>714</v>
      </c>
      <c r="H246" s="1994">
        <v>50</v>
      </c>
      <c r="I246" s="1995">
        <v>45</v>
      </c>
      <c r="J246" s="1759" t="s">
        <v>714</v>
      </c>
      <c r="K246" s="1729">
        <v>50</v>
      </c>
      <c r="L246" s="1760">
        <v>45</v>
      </c>
      <c r="M246" s="1"/>
      <c r="N246" s="1"/>
      <c r="O246" s="1"/>
      <c r="P246" s="1"/>
      <c r="Q246" s="1"/>
      <c r="R246" s="1"/>
      <c r="S246" s="1759">
        <v>90</v>
      </c>
      <c r="T246" s="1729">
        <v>90</v>
      </c>
      <c r="U246" s="1760">
        <v>90</v>
      </c>
      <c r="V246" s="1759">
        <v>75</v>
      </c>
      <c r="W246" s="1729">
        <v>75</v>
      </c>
      <c r="X246" s="1760">
        <v>75</v>
      </c>
      <c r="Y246" s="2009">
        <v>60</v>
      </c>
      <c r="Z246" s="2010">
        <v>60</v>
      </c>
      <c r="AA246" s="2011">
        <v>60</v>
      </c>
      <c r="AB246" s="1871" t="s">
        <v>1388</v>
      </c>
      <c r="AC246" s="1737" t="s">
        <v>1389</v>
      </c>
      <c r="AD246" s="1762">
        <v>120</v>
      </c>
      <c r="AE246" s="1729">
        <v>120</v>
      </c>
      <c r="AF246" s="1760">
        <v>120</v>
      </c>
      <c r="AG246" s="1759">
        <v>100</v>
      </c>
      <c r="AH246" s="1729">
        <v>100</v>
      </c>
      <c r="AI246" s="1760">
        <v>100</v>
      </c>
      <c r="AJ246" s="2009">
        <v>80</v>
      </c>
      <c r="AK246" s="2010">
        <v>80</v>
      </c>
      <c r="AL246" s="2011">
        <v>80</v>
      </c>
      <c r="AM246" s="1871" t="s">
        <v>1390</v>
      </c>
      <c r="AN246" s="1763" t="s">
        <v>1389</v>
      </c>
      <c r="AR246" s="156"/>
      <c r="AS246" s="156"/>
      <c r="AT246" s="156"/>
      <c r="AU246" s="397"/>
      <c r="AV246" s="396"/>
      <c r="AW246" s="396"/>
      <c r="BQ246" s="1669"/>
      <c r="BR246" s="1720"/>
      <c r="BS246" s="1720"/>
      <c r="BT246" s="1720"/>
      <c r="BV246" s="1669"/>
      <c r="BW246" s="1721"/>
      <c r="BX246" s="1720"/>
      <c r="BY246" s="1720"/>
      <c r="BZ246" s="1719"/>
      <c r="CE246" s="1619"/>
      <c r="CF246" s="1620" t="str">
        <f>IFERROR(INDEX(N_Bedarf!$CE$2:$CE$304,_xlfn.AGGREGATE(15,6,(ROW(N_Bedarf!$CE$2:$CE$304)-1)/(--(SEARCH(CG$2,N_Bedarf!$CE$2:$CE$304)&gt;0)),ROW()-2),1),"")</f>
        <v/>
      </c>
      <c r="CG246" s="1620"/>
      <c r="CH246" s="1620" t="str">
        <f>IFERROR(INDEX(N_Bedarf!$CE$2:$CE$304,_xlfn.AGGREGATE(15,6,(ROW(N_Bedarf!$CE$2:$CE$304)-1)/(--(SEARCH(CI$2,N_Bedarf!$CE$2:$CE$304)&gt;0)),ROW()-2),1),"")</f>
        <v/>
      </c>
      <c r="CI246" s="1620"/>
      <c r="CJ246" s="1620" t="str">
        <f>IFERROR(INDEX(N_Bedarf!$CE$2:$CE$304,_xlfn.AGGREGATE(15,6,(ROW(N_Bedarf!$CE$2:$CE$304)-1)/(--(SEARCH(CK$2,N_Bedarf!$CE$2:$CE$304)&gt;0)),ROW()-2),1),"")</f>
        <v/>
      </c>
      <c r="CK246" s="1620"/>
      <c r="CL246" s="1620" t="str">
        <f>IFERROR(INDEX(N_Bedarf!$CE$2:$CE$304,_xlfn.AGGREGATE(15,6,(ROW(N_Bedarf!$CE$2:$CE$304)-1)/(--(SEARCH(CM$2,N_Bedarf!$CE$2:$CE$304)&gt;0)),ROW()-2),1),"")</f>
        <v/>
      </c>
      <c r="CM246" s="1620"/>
      <c r="CN246" s="1620" t="str">
        <f>IFERROR(INDEX(N_Bedarf!$CE$2:$CE$304,_xlfn.AGGREGATE(15,6,(ROW(N_Bedarf!$CE$2:$CE$304)-1)/(--(SEARCH(CO$2,N_Bedarf!$CE$2:$CE$304)&gt;0)),ROW()-2),1),"")</f>
        <v/>
      </c>
      <c r="CO246" s="1620"/>
      <c r="CP246" s="1620" t="str">
        <f>IFERROR(INDEX(N_Bedarf!$CE$2:$CE$304,_xlfn.AGGREGATE(15,6,(ROW(N_Bedarf!$CE$2:$CE$304)-1)/(--(SEARCH(CQ$2,N_Bedarf!$CE$2:$CE$304)&gt;0)),ROW()-2),1),"")</f>
        <v/>
      </c>
      <c r="CQ246" s="1620"/>
      <c r="CR246" s="1620" t="str">
        <f>IFERROR(INDEX(N_Bedarf!$CE$2:$CE$304,_xlfn.AGGREGATE(15,6,(ROW(N_Bedarf!$CE$2:$CE$304)-1)/(--(SEARCH(CS$2,N_Bedarf!$CE$2:$CE$304)&gt;0)),ROW()-2),1),"")</f>
        <v/>
      </c>
      <c r="CS246" s="1620"/>
      <c r="CT246" s="1620" t="str">
        <f>IFERROR(INDEX(N_Bedarf!$CE$2:$CE$304,_xlfn.AGGREGATE(15,6,(ROW(N_Bedarf!$CE$2:$CE$304)-1)/(--(SEARCH(CU$2,N_Bedarf!$CE$2:$CE$304)&gt;0)),ROW()-2),1),"")</f>
        <v/>
      </c>
      <c r="CU246" s="1620"/>
      <c r="CV246" s="1620" t="str">
        <f>IFERROR(INDEX(N_Bedarf!$CE$2:$CE$304,_xlfn.AGGREGATE(15,6,(ROW(N_Bedarf!$CE$2:$CE$304)-1)/(--(SEARCH(CW$2,N_Bedarf!$CE$2:$CE$304)&gt;0)),ROW()-2),1),"")</f>
        <v/>
      </c>
      <c r="CW246" s="1620"/>
      <c r="CX246" s="1620" t="str">
        <f>IFERROR(INDEX(N_Bedarf!$CE$2:$CE$304,_xlfn.AGGREGATE(15,6,(ROW(N_Bedarf!$CE$2:$CE$304)-1)/(--(SEARCH(CY$2,N_Bedarf!$CE$2:$CE$304)&gt;0)),ROW()-2),1),"")</f>
        <v/>
      </c>
      <c r="CY246" s="1620"/>
      <c r="CZ246" s="1620" t="str">
        <f>IFERROR(INDEX(N_Bedarf!$CE$2:$CE$304,_xlfn.AGGREGATE(15,6,(ROW(N_Bedarf!$CE$2:$CE$304)-1)/(--(SEARCH(DA$2,N_Bedarf!$CE$2:$CE$304)&gt;0)),ROW()-2),1),"")</f>
        <v/>
      </c>
      <c r="DA246" s="1620"/>
      <c r="DB246" s="1620" t="str">
        <f>IFERROR(INDEX(N_Bedarf!$CE$2:$CE$304,_xlfn.AGGREGATE(15,6,(ROW(N_Bedarf!$CE$2:$CE$304)-1)/(--(SEARCH(DC$2,N_Bedarf!$CE$2:$CE$304)&gt;0)),ROW()-2),1),"")</f>
        <v/>
      </c>
      <c r="DC246" s="1620"/>
      <c r="DD246" s="1620" t="str">
        <f>IFERROR(INDEX(N_Bedarf!$CE$2:$CE$304,_xlfn.AGGREGATE(15,6,(ROW(N_Bedarf!$CE$2:$CE$304)-1)/(--(SEARCH(DE$2,N_Bedarf!$CE$2:$CE$304)&gt;0)),ROW()-2),1),"")</f>
        <v/>
      </c>
      <c r="DE246" s="1620"/>
      <c r="ES246" s="768"/>
      <c r="ET246" s="768"/>
      <c r="EU246" s="768"/>
      <c r="EV246" s="768"/>
      <c r="EW246" s="768"/>
    </row>
    <row r="247" spans="3:153" s="394" customFormat="1" ht="21" customHeight="1" thickBot="1">
      <c r="C247" s="1791" t="s">
        <v>114</v>
      </c>
      <c r="D247" s="1730" t="s">
        <v>714</v>
      </c>
      <c r="E247" s="1731">
        <v>200</v>
      </c>
      <c r="F247" s="1760">
        <v>170</v>
      </c>
      <c r="G247" s="1997" t="s">
        <v>714</v>
      </c>
      <c r="H247" s="1998">
        <v>200</v>
      </c>
      <c r="I247" s="1999">
        <v>170</v>
      </c>
      <c r="J247" s="1730" t="s">
        <v>714</v>
      </c>
      <c r="K247" s="1731">
        <v>200</v>
      </c>
      <c r="L247" s="1732">
        <v>170</v>
      </c>
      <c r="M247" s="1736"/>
      <c r="N247" s="1736"/>
      <c r="O247" s="1736"/>
      <c r="P247" s="1736"/>
      <c r="Q247" s="1736"/>
      <c r="R247" s="1736"/>
      <c r="S247" s="1730">
        <v>90</v>
      </c>
      <c r="T247" s="1731">
        <v>90</v>
      </c>
      <c r="U247" s="1732">
        <v>90</v>
      </c>
      <c r="V247" s="1730">
        <v>75</v>
      </c>
      <c r="W247" s="1731">
        <v>75</v>
      </c>
      <c r="X247" s="1732">
        <v>75</v>
      </c>
      <c r="Y247" s="2014">
        <v>60</v>
      </c>
      <c r="Z247" s="2015">
        <v>60</v>
      </c>
      <c r="AA247" s="2016">
        <v>60</v>
      </c>
      <c r="AB247" s="1774" t="s">
        <v>1388</v>
      </c>
      <c r="AC247" s="1792" t="s">
        <v>1389</v>
      </c>
      <c r="AD247" s="1762">
        <v>210</v>
      </c>
      <c r="AE247" s="1731">
        <v>210</v>
      </c>
      <c r="AF247" s="1760">
        <v>210</v>
      </c>
      <c r="AG247" s="1759">
        <v>175</v>
      </c>
      <c r="AH247" s="1731">
        <v>175</v>
      </c>
      <c r="AI247" s="1760">
        <v>175</v>
      </c>
      <c r="AJ247" s="2014">
        <v>140</v>
      </c>
      <c r="AK247" s="2015">
        <v>140</v>
      </c>
      <c r="AL247" s="2016">
        <v>140</v>
      </c>
      <c r="AM247" s="1774" t="s">
        <v>1390</v>
      </c>
      <c r="AN247" s="1775" t="s">
        <v>1389</v>
      </c>
      <c r="AR247" s="156"/>
      <c r="AS247" s="156"/>
      <c r="AT247" s="156"/>
      <c r="AU247" s="397"/>
      <c r="AV247" s="396"/>
      <c r="AW247" s="396"/>
      <c r="BZ247" s="1719"/>
      <c r="CE247" s="1619"/>
      <c r="CF247" s="1620" t="str">
        <f>IFERROR(INDEX(N_Bedarf!$CE$2:$CE$304,_xlfn.AGGREGATE(15,6,(ROW(N_Bedarf!$CE$2:$CE$304)-1)/(--(SEARCH(CG$2,N_Bedarf!$CE$2:$CE$304)&gt;0)),ROW()-2),1),"")</f>
        <v/>
      </c>
      <c r="CG247" s="1620"/>
      <c r="CH247" s="1620" t="str">
        <f>IFERROR(INDEX(N_Bedarf!$CE$2:$CE$304,_xlfn.AGGREGATE(15,6,(ROW(N_Bedarf!$CE$2:$CE$304)-1)/(--(SEARCH(CI$2,N_Bedarf!$CE$2:$CE$304)&gt;0)),ROW()-2),1),"")</f>
        <v/>
      </c>
      <c r="CI247" s="1620"/>
      <c r="CJ247" s="1620" t="str">
        <f>IFERROR(INDEX(N_Bedarf!$CE$2:$CE$304,_xlfn.AGGREGATE(15,6,(ROW(N_Bedarf!$CE$2:$CE$304)-1)/(--(SEARCH(CK$2,N_Bedarf!$CE$2:$CE$304)&gt;0)),ROW()-2),1),"")</f>
        <v/>
      </c>
      <c r="CK247" s="1620"/>
      <c r="CL247" s="1620" t="str">
        <f>IFERROR(INDEX(N_Bedarf!$CE$2:$CE$304,_xlfn.AGGREGATE(15,6,(ROW(N_Bedarf!$CE$2:$CE$304)-1)/(--(SEARCH(CM$2,N_Bedarf!$CE$2:$CE$304)&gt;0)),ROW()-2),1),"")</f>
        <v/>
      </c>
      <c r="CM247" s="1620"/>
      <c r="CN247" s="1620" t="str">
        <f>IFERROR(INDEX(N_Bedarf!$CE$2:$CE$304,_xlfn.AGGREGATE(15,6,(ROW(N_Bedarf!$CE$2:$CE$304)-1)/(--(SEARCH(CO$2,N_Bedarf!$CE$2:$CE$304)&gt;0)),ROW()-2),1),"")</f>
        <v/>
      </c>
      <c r="CO247" s="1620"/>
      <c r="CP247" s="1620" t="str">
        <f>IFERROR(INDEX(N_Bedarf!$CE$2:$CE$304,_xlfn.AGGREGATE(15,6,(ROW(N_Bedarf!$CE$2:$CE$304)-1)/(--(SEARCH(CQ$2,N_Bedarf!$CE$2:$CE$304)&gt;0)),ROW()-2),1),"")</f>
        <v/>
      </c>
      <c r="CQ247" s="1620"/>
      <c r="CR247" s="1620" t="str">
        <f>IFERROR(INDEX(N_Bedarf!$CE$2:$CE$304,_xlfn.AGGREGATE(15,6,(ROW(N_Bedarf!$CE$2:$CE$304)-1)/(--(SEARCH(CS$2,N_Bedarf!$CE$2:$CE$304)&gt;0)),ROW()-2),1),"")</f>
        <v/>
      </c>
      <c r="CS247" s="1620"/>
      <c r="CT247" s="1620" t="str">
        <f>IFERROR(INDEX(N_Bedarf!$CE$2:$CE$304,_xlfn.AGGREGATE(15,6,(ROW(N_Bedarf!$CE$2:$CE$304)-1)/(--(SEARCH(CU$2,N_Bedarf!$CE$2:$CE$304)&gt;0)),ROW()-2),1),"")</f>
        <v/>
      </c>
      <c r="CU247" s="1620"/>
      <c r="CV247" s="1620" t="str">
        <f>IFERROR(INDEX(N_Bedarf!$CE$2:$CE$304,_xlfn.AGGREGATE(15,6,(ROW(N_Bedarf!$CE$2:$CE$304)-1)/(--(SEARCH(CW$2,N_Bedarf!$CE$2:$CE$304)&gt;0)),ROW()-2),1),"")</f>
        <v/>
      </c>
      <c r="CW247" s="1620"/>
      <c r="CX247" s="1620" t="str">
        <f>IFERROR(INDEX(N_Bedarf!$CE$2:$CE$304,_xlfn.AGGREGATE(15,6,(ROW(N_Bedarf!$CE$2:$CE$304)-1)/(--(SEARCH(CY$2,N_Bedarf!$CE$2:$CE$304)&gt;0)),ROW()-2),1),"")</f>
        <v/>
      </c>
      <c r="CY247" s="1620"/>
      <c r="CZ247" s="1620" t="str">
        <f>IFERROR(INDEX(N_Bedarf!$CE$2:$CE$304,_xlfn.AGGREGATE(15,6,(ROW(N_Bedarf!$CE$2:$CE$304)-1)/(--(SEARCH(DA$2,N_Bedarf!$CE$2:$CE$304)&gt;0)),ROW()-2),1),"")</f>
        <v/>
      </c>
      <c r="DA247" s="1620"/>
      <c r="DB247" s="1620" t="str">
        <f>IFERROR(INDEX(N_Bedarf!$CE$2:$CE$304,_xlfn.AGGREGATE(15,6,(ROW(N_Bedarf!$CE$2:$CE$304)-1)/(--(SEARCH(DC$2,N_Bedarf!$CE$2:$CE$304)&gt;0)),ROW()-2),1),"")</f>
        <v/>
      </c>
      <c r="DC247" s="1620"/>
      <c r="DD247" s="1620" t="str">
        <f>IFERROR(INDEX(N_Bedarf!$CE$2:$CE$304,_xlfn.AGGREGATE(15,6,(ROW(N_Bedarf!$CE$2:$CE$304)-1)/(--(SEARCH(DE$2,N_Bedarf!$CE$2:$CE$304)&gt;0)),ROW()-2),1),"")</f>
        <v/>
      </c>
      <c r="DE247" s="1620"/>
      <c r="ES247" s="768"/>
      <c r="ET247" s="768"/>
      <c r="EU247" s="768"/>
      <c r="EV247" s="768"/>
      <c r="EW247" s="768"/>
    </row>
    <row r="248" spans="3:153" s="394" customFormat="1" ht="19.5" customHeight="1" thickBot="1">
      <c r="C248" s="2348" t="s">
        <v>1881</v>
      </c>
      <c r="D248" s="2358"/>
      <c r="E248" s="2358"/>
      <c r="F248" s="2358"/>
      <c r="G248" s="2358"/>
      <c r="H248" s="2358"/>
      <c r="I248" s="2358"/>
      <c r="J248" s="2358"/>
      <c r="K248" s="2358"/>
      <c r="L248" s="2358"/>
      <c r="M248" s="2358"/>
      <c r="N248" s="2358"/>
      <c r="O248" s="2358"/>
      <c r="P248" s="2358"/>
      <c r="Q248" s="2358"/>
      <c r="R248" s="2358"/>
      <c r="S248" s="2358"/>
      <c r="T248" s="2358"/>
      <c r="U248" s="2358"/>
      <c r="V248" s="2358"/>
      <c r="W248" s="2358"/>
      <c r="X248" s="2358"/>
      <c r="Y248" s="2358"/>
      <c r="Z248" s="2358"/>
      <c r="AA248" s="2358"/>
      <c r="AB248" s="2358"/>
      <c r="AC248" s="2358"/>
      <c r="AD248" s="2358"/>
      <c r="AE248" s="2358"/>
      <c r="AF248" s="2358"/>
      <c r="AG248" s="2358"/>
      <c r="AH248" s="2358"/>
      <c r="AI248" s="2358"/>
      <c r="AJ248" s="2358"/>
      <c r="AK248" s="2358"/>
      <c r="AL248" s="2358"/>
      <c r="AM248" s="2358"/>
      <c r="AN248" s="2359"/>
      <c r="AR248" s="156"/>
      <c r="AS248" s="156"/>
      <c r="AT248" s="156"/>
      <c r="AU248" s="397"/>
      <c r="AV248" s="396"/>
      <c r="AW248" s="396"/>
      <c r="BZ248" s="1719"/>
      <c r="CE248" s="1619"/>
      <c r="CF248" s="1620" t="str">
        <f>IFERROR(INDEX(N_Bedarf!$CE$2:$CE$304,_xlfn.AGGREGATE(15,6,(ROW(N_Bedarf!$CE$2:$CE$304)-1)/(--(SEARCH(CG$2,N_Bedarf!$CE$2:$CE$304)&gt;0)),ROW()-2),1),"")</f>
        <v/>
      </c>
      <c r="CG248" s="1620"/>
      <c r="CH248" s="1620" t="str">
        <f>IFERROR(INDEX(N_Bedarf!$CE$2:$CE$304,_xlfn.AGGREGATE(15,6,(ROW(N_Bedarf!$CE$2:$CE$304)-1)/(--(SEARCH(CI$2,N_Bedarf!$CE$2:$CE$304)&gt;0)),ROW()-2),1),"")</f>
        <v/>
      </c>
      <c r="CI248" s="1620"/>
      <c r="CJ248" s="1620" t="str">
        <f>IFERROR(INDEX(N_Bedarf!$CE$2:$CE$304,_xlfn.AGGREGATE(15,6,(ROW(N_Bedarf!$CE$2:$CE$304)-1)/(--(SEARCH(CK$2,N_Bedarf!$CE$2:$CE$304)&gt;0)),ROW()-2),1),"")</f>
        <v/>
      </c>
      <c r="CK248" s="1620"/>
      <c r="CL248" s="1620" t="str">
        <f>IFERROR(INDEX(N_Bedarf!$CE$2:$CE$304,_xlfn.AGGREGATE(15,6,(ROW(N_Bedarf!$CE$2:$CE$304)-1)/(--(SEARCH(CM$2,N_Bedarf!$CE$2:$CE$304)&gt;0)),ROW()-2),1),"")</f>
        <v/>
      </c>
      <c r="CM248" s="1620"/>
      <c r="CN248" s="1620" t="str">
        <f>IFERROR(INDEX(N_Bedarf!$CE$2:$CE$304,_xlfn.AGGREGATE(15,6,(ROW(N_Bedarf!$CE$2:$CE$304)-1)/(--(SEARCH(CO$2,N_Bedarf!$CE$2:$CE$304)&gt;0)),ROW()-2),1),"")</f>
        <v/>
      </c>
      <c r="CO248" s="1620"/>
      <c r="CP248" s="1620" t="str">
        <f>IFERROR(INDEX(N_Bedarf!$CE$2:$CE$304,_xlfn.AGGREGATE(15,6,(ROW(N_Bedarf!$CE$2:$CE$304)-1)/(--(SEARCH(CQ$2,N_Bedarf!$CE$2:$CE$304)&gt;0)),ROW()-2),1),"")</f>
        <v/>
      </c>
      <c r="CQ248" s="1620"/>
      <c r="CR248" s="1620" t="str">
        <f>IFERROR(INDEX(N_Bedarf!$CE$2:$CE$304,_xlfn.AGGREGATE(15,6,(ROW(N_Bedarf!$CE$2:$CE$304)-1)/(--(SEARCH(CS$2,N_Bedarf!$CE$2:$CE$304)&gt;0)),ROW()-2),1),"")</f>
        <v/>
      </c>
      <c r="CS248" s="1620"/>
      <c r="CT248" s="1620" t="str">
        <f>IFERROR(INDEX(N_Bedarf!$CE$2:$CE$304,_xlfn.AGGREGATE(15,6,(ROW(N_Bedarf!$CE$2:$CE$304)-1)/(--(SEARCH(CU$2,N_Bedarf!$CE$2:$CE$304)&gt;0)),ROW()-2),1),"")</f>
        <v/>
      </c>
      <c r="CU248" s="1620"/>
      <c r="CV248" s="1620" t="str">
        <f>IFERROR(INDEX(N_Bedarf!$CE$2:$CE$304,_xlfn.AGGREGATE(15,6,(ROW(N_Bedarf!$CE$2:$CE$304)-1)/(--(SEARCH(CW$2,N_Bedarf!$CE$2:$CE$304)&gt;0)),ROW()-2),1),"")</f>
        <v/>
      </c>
      <c r="CW248" s="1620"/>
      <c r="CX248" s="1620" t="str">
        <f>IFERROR(INDEX(N_Bedarf!$CE$2:$CE$304,_xlfn.AGGREGATE(15,6,(ROW(N_Bedarf!$CE$2:$CE$304)-1)/(--(SEARCH(CY$2,N_Bedarf!$CE$2:$CE$304)&gt;0)),ROW()-2),1),"")</f>
        <v/>
      </c>
      <c r="CY248" s="1620"/>
      <c r="CZ248" s="1620" t="str">
        <f>IFERROR(INDEX(N_Bedarf!$CE$2:$CE$304,_xlfn.AGGREGATE(15,6,(ROW(N_Bedarf!$CE$2:$CE$304)-1)/(--(SEARCH(DA$2,N_Bedarf!$CE$2:$CE$304)&gt;0)),ROW()-2),1),"")</f>
        <v/>
      </c>
      <c r="DA248" s="1620"/>
      <c r="DB248" s="1620" t="str">
        <f>IFERROR(INDEX(N_Bedarf!$CE$2:$CE$304,_xlfn.AGGREGATE(15,6,(ROW(N_Bedarf!$CE$2:$CE$304)-1)/(--(SEARCH(DC$2,N_Bedarf!$CE$2:$CE$304)&gt;0)),ROW()-2),1),"")</f>
        <v/>
      </c>
      <c r="DC248" s="1620"/>
      <c r="DD248" s="1620" t="str">
        <f>IFERROR(INDEX(N_Bedarf!$CE$2:$CE$304,_xlfn.AGGREGATE(15,6,(ROW(N_Bedarf!$CE$2:$CE$304)-1)/(--(SEARCH(DE$2,N_Bedarf!$CE$2:$CE$304)&gt;0)),ROW()-2),1),"")</f>
        <v/>
      </c>
      <c r="DE248" s="1620"/>
      <c r="ES248" s="768"/>
      <c r="ET248" s="768"/>
      <c r="EU248" s="768"/>
      <c r="EV248" s="768"/>
      <c r="EW248" s="768"/>
    </row>
    <row r="249" spans="3:153" s="394" customFormat="1" ht="21" customHeight="1">
      <c r="C249" s="1793" t="s">
        <v>2361</v>
      </c>
      <c r="D249" s="1794" t="s">
        <v>1418</v>
      </c>
      <c r="E249" s="1795">
        <v>20</v>
      </c>
      <c r="F249" s="1796" t="s">
        <v>1764</v>
      </c>
      <c r="G249" s="1987" t="s">
        <v>1580</v>
      </c>
      <c r="H249" s="1988">
        <v>30</v>
      </c>
      <c r="I249" s="1989"/>
      <c r="J249" s="1794" t="s">
        <v>714</v>
      </c>
      <c r="K249" s="1795"/>
      <c r="L249" s="1796"/>
      <c r="M249" s="1797"/>
      <c r="N249" s="1797"/>
      <c r="O249" s="1797"/>
      <c r="P249" s="1797"/>
      <c r="Q249" s="1797"/>
      <c r="R249" s="1797"/>
      <c r="S249" s="1794">
        <v>15</v>
      </c>
      <c r="T249" s="1795">
        <v>30</v>
      </c>
      <c r="U249" s="1796" t="s">
        <v>1764</v>
      </c>
      <c r="V249" s="1794">
        <v>15</v>
      </c>
      <c r="W249" s="1795">
        <v>25</v>
      </c>
      <c r="X249" s="1796" t="s">
        <v>1764</v>
      </c>
      <c r="Y249" s="2023">
        <v>10</v>
      </c>
      <c r="Z249" s="2007">
        <v>20</v>
      </c>
      <c r="AA249" s="2024">
        <v>0</v>
      </c>
      <c r="AB249" s="1798" t="s">
        <v>583</v>
      </c>
      <c r="AC249" s="1799" t="s">
        <v>583</v>
      </c>
      <c r="AD249" s="1800">
        <v>120</v>
      </c>
      <c r="AE249" s="1795">
        <v>180</v>
      </c>
      <c r="AF249" s="1796" t="s">
        <v>1764</v>
      </c>
      <c r="AG249" s="1794">
        <v>100</v>
      </c>
      <c r="AH249" s="1795">
        <v>150</v>
      </c>
      <c r="AI249" s="1796" t="s">
        <v>1764</v>
      </c>
      <c r="AJ249" s="2023">
        <v>80</v>
      </c>
      <c r="AK249" s="2007">
        <v>120</v>
      </c>
      <c r="AL249" s="2024">
        <v>0</v>
      </c>
      <c r="AM249" s="1798" t="s">
        <v>583</v>
      </c>
      <c r="AN249" s="1801" t="s">
        <v>583</v>
      </c>
      <c r="AR249" s="156"/>
      <c r="AS249" s="156"/>
      <c r="AT249" s="156"/>
      <c r="AU249" s="397"/>
      <c r="AV249" s="396"/>
      <c r="AW249" s="396"/>
      <c r="BZ249" s="1719"/>
      <c r="CE249" s="1619"/>
      <c r="CF249" s="1620" t="str">
        <f>IFERROR(INDEX(N_Bedarf!$CE$2:$CE$304,_xlfn.AGGREGATE(15,6,(ROW(N_Bedarf!$CE$2:$CE$304)-1)/(--(SEARCH(CG$2,N_Bedarf!$CE$2:$CE$304)&gt;0)),ROW()-2),1),"")</f>
        <v/>
      </c>
      <c r="CG249" s="1620"/>
      <c r="CH249" s="1620" t="str">
        <f>IFERROR(INDEX(N_Bedarf!$CE$2:$CE$304,_xlfn.AGGREGATE(15,6,(ROW(N_Bedarf!$CE$2:$CE$304)-1)/(--(SEARCH(CI$2,N_Bedarf!$CE$2:$CE$304)&gt;0)),ROW()-2),1),"")</f>
        <v/>
      </c>
      <c r="CI249" s="1620"/>
      <c r="CJ249" s="1620" t="str">
        <f>IFERROR(INDEX(N_Bedarf!$CE$2:$CE$304,_xlfn.AGGREGATE(15,6,(ROW(N_Bedarf!$CE$2:$CE$304)-1)/(--(SEARCH(CK$2,N_Bedarf!$CE$2:$CE$304)&gt;0)),ROW()-2),1),"")</f>
        <v/>
      </c>
      <c r="CK249" s="1620"/>
      <c r="CL249" s="1620" t="str">
        <f>IFERROR(INDEX(N_Bedarf!$CE$2:$CE$304,_xlfn.AGGREGATE(15,6,(ROW(N_Bedarf!$CE$2:$CE$304)-1)/(--(SEARCH(CM$2,N_Bedarf!$CE$2:$CE$304)&gt;0)),ROW()-2),1),"")</f>
        <v/>
      </c>
      <c r="CM249" s="1620"/>
      <c r="CN249" s="1620" t="str">
        <f>IFERROR(INDEX(N_Bedarf!$CE$2:$CE$304,_xlfn.AGGREGATE(15,6,(ROW(N_Bedarf!$CE$2:$CE$304)-1)/(--(SEARCH(CO$2,N_Bedarf!$CE$2:$CE$304)&gt;0)),ROW()-2),1),"")</f>
        <v/>
      </c>
      <c r="CO249" s="1620"/>
      <c r="CP249" s="1620" t="str">
        <f>IFERROR(INDEX(N_Bedarf!$CE$2:$CE$304,_xlfn.AGGREGATE(15,6,(ROW(N_Bedarf!$CE$2:$CE$304)-1)/(--(SEARCH(CQ$2,N_Bedarf!$CE$2:$CE$304)&gt;0)),ROW()-2),1),"")</f>
        <v/>
      </c>
      <c r="CQ249" s="1620"/>
      <c r="CR249" s="1620" t="str">
        <f>IFERROR(INDEX(N_Bedarf!$CE$2:$CE$304,_xlfn.AGGREGATE(15,6,(ROW(N_Bedarf!$CE$2:$CE$304)-1)/(--(SEARCH(CS$2,N_Bedarf!$CE$2:$CE$304)&gt;0)),ROW()-2),1),"")</f>
        <v/>
      </c>
      <c r="CS249" s="1620"/>
      <c r="CT249" s="1620" t="str">
        <f>IFERROR(INDEX(N_Bedarf!$CE$2:$CE$304,_xlfn.AGGREGATE(15,6,(ROW(N_Bedarf!$CE$2:$CE$304)-1)/(--(SEARCH(CU$2,N_Bedarf!$CE$2:$CE$304)&gt;0)),ROW()-2),1),"")</f>
        <v/>
      </c>
      <c r="CU249" s="1620"/>
      <c r="CV249" s="1620" t="str">
        <f>IFERROR(INDEX(N_Bedarf!$CE$2:$CE$304,_xlfn.AGGREGATE(15,6,(ROW(N_Bedarf!$CE$2:$CE$304)-1)/(--(SEARCH(CW$2,N_Bedarf!$CE$2:$CE$304)&gt;0)),ROW()-2),1),"")</f>
        <v/>
      </c>
      <c r="CW249" s="1620"/>
      <c r="CX249" s="1620" t="str">
        <f>IFERROR(INDEX(N_Bedarf!$CE$2:$CE$304,_xlfn.AGGREGATE(15,6,(ROW(N_Bedarf!$CE$2:$CE$304)-1)/(--(SEARCH(CY$2,N_Bedarf!$CE$2:$CE$304)&gt;0)),ROW()-2),1),"")</f>
        <v/>
      </c>
      <c r="CY249" s="1620"/>
      <c r="CZ249" s="1620" t="str">
        <f>IFERROR(INDEX(N_Bedarf!$CE$2:$CE$304,_xlfn.AGGREGATE(15,6,(ROW(N_Bedarf!$CE$2:$CE$304)-1)/(--(SEARCH(DA$2,N_Bedarf!$CE$2:$CE$304)&gt;0)),ROW()-2),1),"")</f>
        <v/>
      </c>
      <c r="DA249" s="1620"/>
      <c r="DB249" s="1620" t="str">
        <f>IFERROR(INDEX(N_Bedarf!$CE$2:$CE$304,_xlfn.AGGREGATE(15,6,(ROW(N_Bedarf!$CE$2:$CE$304)-1)/(--(SEARCH(DC$2,N_Bedarf!$CE$2:$CE$304)&gt;0)),ROW()-2),1),"")</f>
        <v/>
      </c>
      <c r="DC249" s="1620"/>
      <c r="DD249" s="1620" t="str">
        <f>IFERROR(INDEX(N_Bedarf!$CE$2:$CE$304,_xlfn.AGGREGATE(15,6,(ROW(N_Bedarf!$CE$2:$CE$304)-1)/(--(SEARCH(DE$2,N_Bedarf!$CE$2:$CE$304)&gt;0)),ROW()-2),1),"")</f>
        <v/>
      </c>
      <c r="DE249" s="1620"/>
      <c r="ES249" s="768"/>
      <c r="ET249" s="768"/>
      <c r="EU249" s="768"/>
      <c r="EV249" s="768"/>
      <c r="EW249" s="768"/>
    </row>
    <row r="250" spans="3:153" s="394" customFormat="1" ht="21" customHeight="1">
      <c r="C250" s="1802" t="s">
        <v>2382</v>
      </c>
      <c r="D250" s="1803" t="s">
        <v>1411</v>
      </c>
      <c r="E250" s="1804">
        <v>80</v>
      </c>
      <c r="F250" s="1805" t="s">
        <v>1764</v>
      </c>
      <c r="G250" s="1990" t="s">
        <v>2</v>
      </c>
      <c r="H250" s="1991">
        <v>130</v>
      </c>
      <c r="I250" s="1992"/>
      <c r="J250" s="1803" t="s">
        <v>1577</v>
      </c>
      <c r="K250" s="1804">
        <v>180</v>
      </c>
      <c r="L250" s="1805"/>
      <c r="M250" s="1806"/>
      <c r="N250" s="1807"/>
      <c r="O250" s="1807"/>
      <c r="P250" s="1807"/>
      <c r="Q250" s="1807"/>
      <c r="R250" s="1808"/>
      <c r="S250" s="1765" t="s">
        <v>1764</v>
      </c>
      <c r="T250" s="1766" t="s">
        <v>1764</v>
      </c>
      <c r="U250" s="1767" t="s">
        <v>1764</v>
      </c>
      <c r="V250" s="1765" t="s">
        <v>1764</v>
      </c>
      <c r="W250" s="1766" t="s">
        <v>1764</v>
      </c>
      <c r="X250" s="1767" t="s">
        <v>1764</v>
      </c>
      <c r="Y250" s="2012"/>
      <c r="Z250" s="2010"/>
      <c r="AA250" s="2013"/>
      <c r="AB250" s="1809"/>
      <c r="AC250" s="1810"/>
      <c r="AD250" s="1762" t="s">
        <v>1764</v>
      </c>
      <c r="AE250" s="1766" t="s">
        <v>1764</v>
      </c>
      <c r="AF250" s="1767" t="s">
        <v>1764</v>
      </c>
      <c r="AG250" s="1765" t="s">
        <v>1764</v>
      </c>
      <c r="AH250" s="1766" t="s">
        <v>1764</v>
      </c>
      <c r="AI250" s="1767" t="s">
        <v>1764</v>
      </c>
      <c r="AJ250" s="2012"/>
      <c r="AK250" s="2010"/>
      <c r="AL250" s="2013"/>
      <c r="AM250" s="1872"/>
      <c r="AN250" s="1811"/>
      <c r="AR250" s="156"/>
      <c r="AS250" s="156"/>
      <c r="AT250" s="156"/>
      <c r="AU250" s="397"/>
      <c r="AV250" s="396"/>
      <c r="AW250" s="396"/>
      <c r="BZ250" s="1751"/>
      <c r="CE250" s="1619"/>
      <c r="CF250" s="1620" t="str">
        <f>IFERROR(INDEX(N_Bedarf!$CE$2:$CE$304,_xlfn.AGGREGATE(15,6,(ROW(N_Bedarf!$CE$2:$CE$304)-1)/(--(SEARCH(CG$2,N_Bedarf!$CE$2:$CE$304)&gt;0)),ROW()-2),1),"")</f>
        <v/>
      </c>
      <c r="CG250" s="1620"/>
      <c r="CH250" s="1620" t="str">
        <f>IFERROR(INDEX(N_Bedarf!$CE$2:$CE$304,_xlfn.AGGREGATE(15,6,(ROW(N_Bedarf!$CE$2:$CE$304)-1)/(--(SEARCH(CI$2,N_Bedarf!$CE$2:$CE$304)&gt;0)),ROW()-2),1),"")</f>
        <v/>
      </c>
      <c r="CI250" s="1620"/>
      <c r="CJ250" s="1620" t="str">
        <f>IFERROR(INDEX(N_Bedarf!$CE$2:$CE$304,_xlfn.AGGREGATE(15,6,(ROW(N_Bedarf!$CE$2:$CE$304)-1)/(--(SEARCH(CK$2,N_Bedarf!$CE$2:$CE$304)&gt;0)),ROW()-2),1),"")</f>
        <v/>
      </c>
      <c r="CK250" s="1620"/>
      <c r="CL250" s="1620" t="str">
        <f>IFERROR(INDEX(N_Bedarf!$CE$2:$CE$304,_xlfn.AGGREGATE(15,6,(ROW(N_Bedarf!$CE$2:$CE$304)-1)/(--(SEARCH(CM$2,N_Bedarf!$CE$2:$CE$304)&gt;0)),ROW()-2),1),"")</f>
        <v/>
      </c>
      <c r="CM250" s="1620"/>
      <c r="CN250" s="1620" t="str">
        <f>IFERROR(INDEX(N_Bedarf!$CE$2:$CE$304,_xlfn.AGGREGATE(15,6,(ROW(N_Bedarf!$CE$2:$CE$304)-1)/(--(SEARCH(CO$2,N_Bedarf!$CE$2:$CE$304)&gt;0)),ROW()-2),1),"")</f>
        <v/>
      </c>
      <c r="CO250" s="1620"/>
      <c r="CP250" s="1620" t="str">
        <f>IFERROR(INDEX(N_Bedarf!$CE$2:$CE$304,_xlfn.AGGREGATE(15,6,(ROW(N_Bedarf!$CE$2:$CE$304)-1)/(--(SEARCH(CQ$2,N_Bedarf!$CE$2:$CE$304)&gt;0)),ROW()-2),1),"")</f>
        <v/>
      </c>
      <c r="CQ250" s="1620"/>
      <c r="CR250" s="1620" t="str">
        <f>IFERROR(INDEX(N_Bedarf!$CE$2:$CE$304,_xlfn.AGGREGATE(15,6,(ROW(N_Bedarf!$CE$2:$CE$304)-1)/(--(SEARCH(CS$2,N_Bedarf!$CE$2:$CE$304)&gt;0)),ROW()-2),1),"")</f>
        <v/>
      </c>
      <c r="CS250" s="1620"/>
      <c r="CT250" s="1620" t="str">
        <f>IFERROR(INDEX(N_Bedarf!$CE$2:$CE$304,_xlfn.AGGREGATE(15,6,(ROW(N_Bedarf!$CE$2:$CE$304)-1)/(--(SEARCH(CU$2,N_Bedarf!$CE$2:$CE$304)&gt;0)),ROW()-2),1),"")</f>
        <v/>
      </c>
      <c r="CU250" s="1620"/>
      <c r="CV250" s="1620" t="str">
        <f>IFERROR(INDEX(N_Bedarf!$CE$2:$CE$304,_xlfn.AGGREGATE(15,6,(ROW(N_Bedarf!$CE$2:$CE$304)-1)/(--(SEARCH(CW$2,N_Bedarf!$CE$2:$CE$304)&gt;0)),ROW()-2),1),"")</f>
        <v/>
      </c>
      <c r="CW250" s="1620"/>
      <c r="CX250" s="1620" t="str">
        <f>IFERROR(INDEX(N_Bedarf!$CE$2:$CE$304,_xlfn.AGGREGATE(15,6,(ROW(N_Bedarf!$CE$2:$CE$304)-1)/(--(SEARCH(CY$2,N_Bedarf!$CE$2:$CE$304)&gt;0)),ROW()-2),1),"")</f>
        <v/>
      </c>
      <c r="CY250" s="1620"/>
      <c r="CZ250" s="1620" t="str">
        <f>IFERROR(INDEX(N_Bedarf!$CE$2:$CE$304,_xlfn.AGGREGATE(15,6,(ROW(N_Bedarf!$CE$2:$CE$304)-1)/(--(SEARCH(DA$2,N_Bedarf!$CE$2:$CE$304)&gt;0)),ROW()-2),1),"")</f>
        <v/>
      </c>
      <c r="DA250" s="1620"/>
      <c r="DB250" s="1620" t="str">
        <f>IFERROR(INDEX(N_Bedarf!$CE$2:$CE$304,_xlfn.AGGREGATE(15,6,(ROW(N_Bedarf!$CE$2:$CE$304)-1)/(--(SEARCH(DC$2,N_Bedarf!$CE$2:$CE$304)&gt;0)),ROW()-2),1),"")</f>
        <v/>
      </c>
      <c r="DC250" s="1620"/>
      <c r="DD250" s="1620" t="str">
        <f>IFERROR(INDEX(N_Bedarf!$CE$2:$CE$304,_xlfn.AGGREGATE(15,6,(ROW(N_Bedarf!$CE$2:$CE$304)-1)/(--(SEARCH(DE$2,N_Bedarf!$CE$2:$CE$304)&gt;0)),ROW()-2),1),"")</f>
        <v/>
      </c>
      <c r="DE250" s="1620"/>
      <c r="ES250" s="768"/>
      <c r="ET250" s="768"/>
      <c r="EU250" s="768"/>
      <c r="EV250" s="768"/>
      <c r="EW250" s="768"/>
    </row>
    <row r="251" spans="3:153" s="394" customFormat="1" ht="21" customHeight="1">
      <c r="C251" s="1758" t="s">
        <v>2383</v>
      </c>
      <c r="D251" s="1759" t="s">
        <v>1411</v>
      </c>
      <c r="E251" s="1729">
        <v>80</v>
      </c>
      <c r="F251" s="1760" t="s">
        <v>1764</v>
      </c>
      <c r="G251" s="1993" t="s">
        <v>2</v>
      </c>
      <c r="H251" s="1994">
        <v>130</v>
      </c>
      <c r="I251" s="1995"/>
      <c r="J251" s="1759" t="s">
        <v>1577</v>
      </c>
      <c r="K251" s="1729">
        <v>180</v>
      </c>
      <c r="L251" s="1760"/>
      <c r="M251" s="1"/>
      <c r="N251" s="1"/>
      <c r="O251" s="1"/>
      <c r="P251" s="1"/>
      <c r="Q251" s="1"/>
      <c r="R251" s="1"/>
      <c r="S251" s="1759" t="s">
        <v>1764</v>
      </c>
      <c r="T251" s="1729" t="s">
        <v>1764</v>
      </c>
      <c r="U251" s="1760" t="s">
        <v>1764</v>
      </c>
      <c r="V251" s="1759" t="s">
        <v>1764</v>
      </c>
      <c r="W251" s="1729" t="s">
        <v>1764</v>
      </c>
      <c r="X251" s="1760" t="s">
        <v>1764</v>
      </c>
      <c r="Y251" s="2009"/>
      <c r="Z251" s="2010"/>
      <c r="AA251" s="2011"/>
      <c r="AB251" s="1812"/>
      <c r="AC251" s="1813"/>
      <c r="AD251" s="1762" t="s">
        <v>1764</v>
      </c>
      <c r="AE251" s="1729" t="s">
        <v>1764</v>
      </c>
      <c r="AF251" s="1760" t="s">
        <v>1764</v>
      </c>
      <c r="AG251" s="1759" t="s">
        <v>1764</v>
      </c>
      <c r="AH251" s="1729" t="s">
        <v>1764</v>
      </c>
      <c r="AI251" s="1760" t="s">
        <v>1764</v>
      </c>
      <c r="AJ251" s="2009"/>
      <c r="AK251" s="2010"/>
      <c r="AL251" s="2011"/>
      <c r="AM251" s="1871"/>
      <c r="AN251" s="1814"/>
      <c r="AR251" s="156"/>
      <c r="AS251" s="156"/>
      <c r="AT251" s="156"/>
      <c r="AU251" s="397"/>
      <c r="AV251" s="396"/>
      <c r="AW251" s="396"/>
      <c r="BZ251" s="1751"/>
      <c r="CE251" s="1619"/>
      <c r="CF251" s="1620" t="str">
        <f>IFERROR(INDEX(N_Bedarf!$CE$2:$CE$304,_xlfn.AGGREGATE(15,6,(ROW(N_Bedarf!$CE$2:$CE$304)-1)/(--(SEARCH(CG$2,N_Bedarf!$CE$2:$CE$304)&gt;0)),ROW()-2),1),"")</f>
        <v/>
      </c>
      <c r="CG251" s="1620"/>
      <c r="CH251" s="1620" t="str">
        <f>IFERROR(INDEX(N_Bedarf!$CE$2:$CE$304,_xlfn.AGGREGATE(15,6,(ROW(N_Bedarf!$CE$2:$CE$304)-1)/(--(SEARCH(CI$2,N_Bedarf!$CE$2:$CE$304)&gt;0)),ROW()-2),1),"")</f>
        <v/>
      </c>
      <c r="CI251" s="1620"/>
      <c r="CJ251" s="1620" t="str">
        <f>IFERROR(INDEX(N_Bedarf!$CE$2:$CE$304,_xlfn.AGGREGATE(15,6,(ROW(N_Bedarf!$CE$2:$CE$304)-1)/(--(SEARCH(CK$2,N_Bedarf!$CE$2:$CE$304)&gt;0)),ROW()-2),1),"")</f>
        <v/>
      </c>
      <c r="CK251" s="1620"/>
      <c r="CL251" s="1620" t="str">
        <f>IFERROR(INDEX(N_Bedarf!$CE$2:$CE$304,_xlfn.AGGREGATE(15,6,(ROW(N_Bedarf!$CE$2:$CE$304)-1)/(--(SEARCH(CM$2,N_Bedarf!$CE$2:$CE$304)&gt;0)),ROW()-2),1),"")</f>
        <v/>
      </c>
      <c r="CM251" s="1620"/>
      <c r="CN251" s="1620" t="str">
        <f>IFERROR(INDEX(N_Bedarf!$CE$2:$CE$304,_xlfn.AGGREGATE(15,6,(ROW(N_Bedarf!$CE$2:$CE$304)-1)/(--(SEARCH(CO$2,N_Bedarf!$CE$2:$CE$304)&gt;0)),ROW()-2),1),"")</f>
        <v/>
      </c>
      <c r="CO251" s="1620"/>
      <c r="CP251" s="1620" t="str">
        <f>IFERROR(INDEX(N_Bedarf!$CE$2:$CE$304,_xlfn.AGGREGATE(15,6,(ROW(N_Bedarf!$CE$2:$CE$304)-1)/(--(SEARCH(CQ$2,N_Bedarf!$CE$2:$CE$304)&gt;0)),ROW()-2),1),"")</f>
        <v/>
      </c>
      <c r="CQ251" s="1620"/>
      <c r="CR251" s="1620" t="str">
        <f>IFERROR(INDEX(N_Bedarf!$CE$2:$CE$304,_xlfn.AGGREGATE(15,6,(ROW(N_Bedarf!$CE$2:$CE$304)-1)/(--(SEARCH(CS$2,N_Bedarf!$CE$2:$CE$304)&gt;0)),ROW()-2),1),"")</f>
        <v/>
      </c>
      <c r="CS251" s="1620"/>
      <c r="CT251" s="1620" t="str">
        <f>IFERROR(INDEX(N_Bedarf!$CE$2:$CE$304,_xlfn.AGGREGATE(15,6,(ROW(N_Bedarf!$CE$2:$CE$304)-1)/(--(SEARCH(CU$2,N_Bedarf!$CE$2:$CE$304)&gt;0)),ROW()-2),1),"")</f>
        <v/>
      </c>
      <c r="CU251" s="1620"/>
      <c r="CV251" s="1620" t="str">
        <f>IFERROR(INDEX(N_Bedarf!$CE$2:$CE$304,_xlfn.AGGREGATE(15,6,(ROW(N_Bedarf!$CE$2:$CE$304)-1)/(--(SEARCH(CW$2,N_Bedarf!$CE$2:$CE$304)&gt;0)),ROW()-2),1),"")</f>
        <v/>
      </c>
      <c r="CW251" s="1620"/>
      <c r="CX251" s="1620" t="str">
        <f>IFERROR(INDEX(N_Bedarf!$CE$2:$CE$304,_xlfn.AGGREGATE(15,6,(ROW(N_Bedarf!$CE$2:$CE$304)-1)/(--(SEARCH(CY$2,N_Bedarf!$CE$2:$CE$304)&gt;0)),ROW()-2),1),"")</f>
        <v/>
      </c>
      <c r="CY251" s="1620"/>
      <c r="CZ251" s="1620" t="str">
        <f>IFERROR(INDEX(N_Bedarf!$CE$2:$CE$304,_xlfn.AGGREGATE(15,6,(ROW(N_Bedarf!$CE$2:$CE$304)-1)/(--(SEARCH(DA$2,N_Bedarf!$CE$2:$CE$304)&gt;0)),ROW()-2),1),"")</f>
        <v/>
      </c>
      <c r="DA251" s="1620"/>
      <c r="DB251" s="1620" t="str">
        <f>IFERROR(INDEX(N_Bedarf!$CE$2:$CE$304,_xlfn.AGGREGATE(15,6,(ROW(N_Bedarf!$CE$2:$CE$304)-1)/(--(SEARCH(DC$2,N_Bedarf!$CE$2:$CE$304)&gt;0)),ROW()-2),1),"")</f>
        <v/>
      </c>
      <c r="DC251" s="1620"/>
      <c r="DD251" s="1620" t="str">
        <f>IFERROR(INDEX(N_Bedarf!$CE$2:$CE$304,_xlfn.AGGREGATE(15,6,(ROW(N_Bedarf!$CE$2:$CE$304)-1)/(--(SEARCH(DE$2,N_Bedarf!$CE$2:$CE$304)&gt;0)),ROW()-2),1),"")</f>
        <v/>
      </c>
      <c r="DE251" s="1620"/>
      <c r="ES251" s="768"/>
      <c r="ET251" s="768"/>
      <c r="EU251" s="768"/>
      <c r="EV251" s="768"/>
      <c r="EW251" s="768"/>
    </row>
    <row r="252" spans="3:153" s="394" customFormat="1" ht="21" customHeight="1">
      <c r="C252" s="1758" t="s">
        <v>1882</v>
      </c>
      <c r="D252" s="1759" t="s">
        <v>1414</v>
      </c>
      <c r="E252" s="1729">
        <v>20</v>
      </c>
      <c r="F252" s="1760" t="s">
        <v>1764</v>
      </c>
      <c r="G252" s="1993" t="s">
        <v>1574</v>
      </c>
      <c r="H252" s="1994">
        <v>30</v>
      </c>
      <c r="I252" s="1995"/>
      <c r="J252" s="1759" t="s">
        <v>714</v>
      </c>
      <c r="K252" s="1729"/>
      <c r="L252" s="1760"/>
      <c r="M252" s="1"/>
      <c r="N252" s="1"/>
      <c r="O252" s="1"/>
      <c r="P252" s="1"/>
      <c r="Q252" s="1"/>
      <c r="R252" s="1"/>
      <c r="S252" s="1759">
        <v>25</v>
      </c>
      <c r="T252" s="1729">
        <v>45</v>
      </c>
      <c r="U252" s="1760" t="s">
        <v>1764</v>
      </c>
      <c r="V252" s="1759">
        <v>20</v>
      </c>
      <c r="W252" s="1729">
        <v>40</v>
      </c>
      <c r="X252" s="1760" t="s">
        <v>1764</v>
      </c>
      <c r="Y252" s="2009">
        <v>15</v>
      </c>
      <c r="Z252" s="2010">
        <v>30</v>
      </c>
      <c r="AA252" s="2011">
        <v>0</v>
      </c>
      <c r="AB252" s="1871" t="s">
        <v>714</v>
      </c>
      <c r="AC252" s="1737" t="s">
        <v>714</v>
      </c>
      <c r="AD252" s="1762">
        <v>30</v>
      </c>
      <c r="AE252" s="1729">
        <v>55</v>
      </c>
      <c r="AF252" s="1760" t="s">
        <v>1764</v>
      </c>
      <c r="AG252" s="1759">
        <v>25</v>
      </c>
      <c r="AH252" s="1729">
        <v>45</v>
      </c>
      <c r="AI252" s="1760" t="s">
        <v>1764</v>
      </c>
      <c r="AJ252" s="2009">
        <v>20</v>
      </c>
      <c r="AK252" s="2010">
        <v>35</v>
      </c>
      <c r="AL252" s="2011">
        <v>0</v>
      </c>
      <c r="AM252" s="1871" t="s">
        <v>583</v>
      </c>
      <c r="AN252" s="1763" t="s">
        <v>583</v>
      </c>
      <c r="AR252" s="156"/>
      <c r="AS252" s="156"/>
      <c r="AT252" s="156"/>
      <c r="AU252" s="397"/>
      <c r="AV252" s="396"/>
      <c r="AW252" s="396"/>
      <c r="BZ252" s="1719"/>
      <c r="CE252" s="1619"/>
      <c r="CF252" s="1620" t="str">
        <f>IFERROR(INDEX(N_Bedarf!$CE$2:$CE$304,_xlfn.AGGREGATE(15,6,(ROW(N_Bedarf!$CE$2:$CE$304)-1)/(--(SEARCH(CG$2,N_Bedarf!$CE$2:$CE$304)&gt;0)),ROW()-2),1),"")</f>
        <v/>
      </c>
      <c r="CG252" s="1620"/>
      <c r="CH252" s="1620" t="str">
        <f>IFERROR(INDEX(N_Bedarf!$CE$2:$CE$304,_xlfn.AGGREGATE(15,6,(ROW(N_Bedarf!$CE$2:$CE$304)-1)/(--(SEARCH(CI$2,N_Bedarf!$CE$2:$CE$304)&gt;0)),ROW()-2),1),"")</f>
        <v/>
      </c>
      <c r="CI252" s="1620"/>
      <c r="CJ252" s="1620" t="str">
        <f>IFERROR(INDEX(N_Bedarf!$CE$2:$CE$304,_xlfn.AGGREGATE(15,6,(ROW(N_Bedarf!$CE$2:$CE$304)-1)/(--(SEARCH(CK$2,N_Bedarf!$CE$2:$CE$304)&gt;0)),ROW()-2),1),"")</f>
        <v/>
      </c>
      <c r="CK252" s="1620"/>
      <c r="CL252" s="1620" t="str">
        <f>IFERROR(INDEX(N_Bedarf!$CE$2:$CE$304,_xlfn.AGGREGATE(15,6,(ROW(N_Bedarf!$CE$2:$CE$304)-1)/(--(SEARCH(CM$2,N_Bedarf!$CE$2:$CE$304)&gt;0)),ROW()-2),1),"")</f>
        <v/>
      </c>
      <c r="CM252" s="1620"/>
      <c r="CN252" s="1620" t="str">
        <f>IFERROR(INDEX(N_Bedarf!$CE$2:$CE$304,_xlfn.AGGREGATE(15,6,(ROW(N_Bedarf!$CE$2:$CE$304)-1)/(--(SEARCH(CO$2,N_Bedarf!$CE$2:$CE$304)&gt;0)),ROW()-2),1),"")</f>
        <v/>
      </c>
      <c r="CO252" s="1620"/>
      <c r="CP252" s="1620" t="str">
        <f>IFERROR(INDEX(N_Bedarf!$CE$2:$CE$304,_xlfn.AGGREGATE(15,6,(ROW(N_Bedarf!$CE$2:$CE$304)-1)/(--(SEARCH(CQ$2,N_Bedarf!$CE$2:$CE$304)&gt;0)),ROW()-2),1),"")</f>
        <v/>
      </c>
      <c r="CQ252" s="1620"/>
      <c r="CR252" s="1620" t="str">
        <f>IFERROR(INDEX(N_Bedarf!$CE$2:$CE$304,_xlfn.AGGREGATE(15,6,(ROW(N_Bedarf!$CE$2:$CE$304)-1)/(--(SEARCH(CS$2,N_Bedarf!$CE$2:$CE$304)&gt;0)),ROW()-2),1),"")</f>
        <v/>
      </c>
      <c r="CS252" s="1620"/>
      <c r="CT252" s="1620" t="str">
        <f>IFERROR(INDEX(N_Bedarf!$CE$2:$CE$304,_xlfn.AGGREGATE(15,6,(ROW(N_Bedarf!$CE$2:$CE$304)-1)/(--(SEARCH(CU$2,N_Bedarf!$CE$2:$CE$304)&gt;0)),ROW()-2),1),"")</f>
        <v/>
      </c>
      <c r="CU252" s="1620"/>
      <c r="CV252" s="1620" t="str">
        <f>IFERROR(INDEX(N_Bedarf!$CE$2:$CE$304,_xlfn.AGGREGATE(15,6,(ROW(N_Bedarf!$CE$2:$CE$304)-1)/(--(SEARCH(CW$2,N_Bedarf!$CE$2:$CE$304)&gt;0)),ROW()-2),1),"")</f>
        <v/>
      </c>
      <c r="CW252" s="1620"/>
      <c r="CX252" s="1620" t="str">
        <f>IFERROR(INDEX(N_Bedarf!$CE$2:$CE$304,_xlfn.AGGREGATE(15,6,(ROW(N_Bedarf!$CE$2:$CE$304)-1)/(--(SEARCH(CY$2,N_Bedarf!$CE$2:$CE$304)&gt;0)),ROW()-2),1),"")</f>
        <v/>
      </c>
      <c r="CY252" s="1620"/>
      <c r="CZ252" s="1620" t="str">
        <f>IFERROR(INDEX(N_Bedarf!$CE$2:$CE$304,_xlfn.AGGREGATE(15,6,(ROW(N_Bedarf!$CE$2:$CE$304)-1)/(--(SEARCH(DA$2,N_Bedarf!$CE$2:$CE$304)&gt;0)),ROW()-2),1),"")</f>
        <v/>
      </c>
      <c r="DA252" s="1620"/>
      <c r="DB252" s="1620" t="str">
        <f>IFERROR(INDEX(N_Bedarf!$CE$2:$CE$304,_xlfn.AGGREGATE(15,6,(ROW(N_Bedarf!$CE$2:$CE$304)-1)/(--(SEARCH(DC$2,N_Bedarf!$CE$2:$CE$304)&gt;0)),ROW()-2),1),"")</f>
        <v/>
      </c>
      <c r="DC252" s="1620"/>
      <c r="DD252" s="1620" t="str">
        <f>IFERROR(INDEX(N_Bedarf!$CE$2:$CE$304,_xlfn.AGGREGATE(15,6,(ROW(N_Bedarf!$CE$2:$CE$304)-1)/(--(SEARCH(DE$2,N_Bedarf!$CE$2:$CE$304)&gt;0)),ROW()-2),1),"")</f>
        <v/>
      </c>
      <c r="DE252" s="1620"/>
      <c r="ES252" s="768"/>
      <c r="ET252" s="768"/>
      <c r="EU252" s="768"/>
      <c r="EV252" s="768"/>
      <c r="EW252" s="768"/>
    </row>
    <row r="253" spans="3:153" s="394" customFormat="1" ht="21" customHeight="1">
      <c r="C253" s="1802" t="s">
        <v>2383</v>
      </c>
      <c r="D253" s="1803" t="s">
        <v>1411</v>
      </c>
      <c r="E253" s="1804">
        <v>80</v>
      </c>
      <c r="F253" s="1805" t="s">
        <v>1764</v>
      </c>
      <c r="G253" s="1990" t="s">
        <v>2</v>
      </c>
      <c r="H253" s="1991">
        <v>130</v>
      </c>
      <c r="I253" s="1992"/>
      <c r="J253" s="1803" t="s">
        <v>1577</v>
      </c>
      <c r="K253" s="1804">
        <v>180</v>
      </c>
      <c r="L253" s="1815"/>
      <c r="M253" s="2349"/>
      <c r="N253" s="2350"/>
      <c r="O253" s="2350"/>
      <c r="P253" s="2350"/>
      <c r="Q253" s="2350"/>
      <c r="R253" s="2350"/>
      <c r="S253" s="1765">
        <v>70</v>
      </c>
      <c r="T253" s="1766">
        <v>105</v>
      </c>
      <c r="U253" s="1767">
        <v>150</v>
      </c>
      <c r="V253" s="1765">
        <v>55</v>
      </c>
      <c r="W253" s="1766">
        <v>90</v>
      </c>
      <c r="X253" s="1767">
        <v>125</v>
      </c>
      <c r="Y253" s="2012">
        <v>45</v>
      </c>
      <c r="Z253" s="2010">
        <v>70</v>
      </c>
      <c r="AA253" s="2013">
        <v>100</v>
      </c>
      <c r="AB253" s="1872" t="s">
        <v>583</v>
      </c>
      <c r="AC253" s="1816" t="s">
        <v>583</v>
      </c>
      <c r="AD253" s="1762">
        <v>195</v>
      </c>
      <c r="AE253" s="1766">
        <v>285</v>
      </c>
      <c r="AF253" s="1767">
        <v>435</v>
      </c>
      <c r="AG253" s="1765">
        <v>165</v>
      </c>
      <c r="AH253" s="1766">
        <v>240</v>
      </c>
      <c r="AI253" s="1767">
        <v>365</v>
      </c>
      <c r="AJ253" s="2012">
        <v>130</v>
      </c>
      <c r="AK253" s="2010">
        <v>190</v>
      </c>
      <c r="AL253" s="2013">
        <v>290</v>
      </c>
      <c r="AM253" s="1872" t="s">
        <v>583</v>
      </c>
      <c r="AN253" s="1769" t="s">
        <v>583</v>
      </c>
      <c r="AR253" s="156"/>
      <c r="AS253" s="156"/>
      <c r="AT253" s="156"/>
      <c r="AU253" s="397"/>
      <c r="AV253" s="396"/>
      <c r="AW253" s="396"/>
      <c r="BZ253" s="1719"/>
      <c r="CE253" s="1619"/>
      <c r="CF253" s="1620" t="str">
        <f>IFERROR(INDEX(N_Bedarf!$CE$2:$CE$304,_xlfn.AGGREGATE(15,6,(ROW(N_Bedarf!$CE$2:$CE$304)-1)/(--(SEARCH(CG$2,N_Bedarf!$CE$2:$CE$304)&gt;0)),ROW()-2),1),"")</f>
        <v/>
      </c>
      <c r="CG253" s="1620"/>
      <c r="CH253" s="1620" t="str">
        <f>IFERROR(INDEX(N_Bedarf!$CE$2:$CE$304,_xlfn.AGGREGATE(15,6,(ROW(N_Bedarf!$CE$2:$CE$304)-1)/(--(SEARCH(CI$2,N_Bedarf!$CE$2:$CE$304)&gt;0)),ROW()-2),1),"")</f>
        <v/>
      </c>
      <c r="CI253" s="1620"/>
      <c r="CJ253" s="1620" t="str">
        <f>IFERROR(INDEX(N_Bedarf!$CE$2:$CE$304,_xlfn.AGGREGATE(15,6,(ROW(N_Bedarf!$CE$2:$CE$304)-1)/(--(SEARCH(CK$2,N_Bedarf!$CE$2:$CE$304)&gt;0)),ROW()-2),1),"")</f>
        <v/>
      </c>
      <c r="CK253" s="1620"/>
      <c r="CL253" s="1620" t="str">
        <f>IFERROR(INDEX(N_Bedarf!$CE$2:$CE$304,_xlfn.AGGREGATE(15,6,(ROW(N_Bedarf!$CE$2:$CE$304)-1)/(--(SEARCH(CM$2,N_Bedarf!$CE$2:$CE$304)&gt;0)),ROW()-2),1),"")</f>
        <v/>
      </c>
      <c r="CM253" s="1620"/>
      <c r="CN253" s="1620" t="str">
        <f>IFERROR(INDEX(N_Bedarf!$CE$2:$CE$304,_xlfn.AGGREGATE(15,6,(ROW(N_Bedarf!$CE$2:$CE$304)-1)/(--(SEARCH(CO$2,N_Bedarf!$CE$2:$CE$304)&gt;0)),ROW()-2),1),"")</f>
        <v/>
      </c>
      <c r="CO253" s="1620"/>
      <c r="CP253" s="1620" t="str">
        <f>IFERROR(INDEX(N_Bedarf!$CE$2:$CE$304,_xlfn.AGGREGATE(15,6,(ROW(N_Bedarf!$CE$2:$CE$304)-1)/(--(SEARCH(CQ$2,N_Bedarf!$CE$2:$CE$304)&gt;0)),ROW()-2),1),"")</f>
        <v/>
      </c>
      <c r="CQ253" s="1620"/>
      <c r="CR253" s="1620" t="str">
        <f>IFERROR(INDEX(N_Bedarf!$CE$2:$CE$304,_xlfn.AGGREGATE(15,6,(ROW(N_Bedarf!$CE$2:$CE$304)-1)/(--(SEARCH(CS$2,N_Bedarf!$CE$2:$CE$304)&gt;0)),ROW()-2),1),"")</f>
        <v/>
      </c>
      <c r="CS253" s="1620"/>
      <c r="CT253" s="1620" t="str">
        <f>IFERROR(INDEX(N_Bedarf!$CE$2:$CE$304,_xlfn.AGGREGATE(15,6,(ROW(N_Bedarf!$CE$2:$CE$304)-1)/(--(SEARCH(CU$2,N_Bedarf!$CE$2:$CE$304)&gt;0)),ROW()-2),1),"")</f>
        <v/>
      </c>
      <c r="CU253" s="1620"/>
      <c r="CV253" s="1620" t="str">
        <f>IFERROR(INDEX(N_Bedarf!$CE$2:$CE$304,_xlfn.AGGREGATE(15,6,(ROW(N_Bedarf!$CE$2:$CE$304)-1)/(--(SEARCH(CW$2,N_Bedarf!$CE$2:$CE$304)&gt;0)),ROW()-2),1),"")</f>
        <v/>
      </c>
      <c r="CW253" s="1620"/>
      <c r="CX253" s="1620" t="str">
        <f>IFERROR(INDEX(N_Bedarf!$CE$2:$CE$304,_xlfn.AGGREGATE(15,6,(ROW(N_Bedarf!$CE$2:$CE$304)-1)/(--(SEARCH(CY$2,N_Bedarf!$CE$2:$CE$304)&gt;0)),ROW()-2),1),"")</f>
        <v/>
      </c>
      <c r="CY253" s="1620"/>
      <c r="CZ253" s="1620" t="str">
        <f>IFERROR(INDEX(N_Bedarf!$CE$2:$CE$304,_xlfn.AGGREGATE(15,6,(ROW(N_Bedarf!$CE$2:$CE$304)-1)/(--(SEARCH(DA$2,N_Bedarf!$CE$2:$CE$304)&gt;0)),ROW()-2),1),"")</f>
        <v/>
      </c>
      <c r="DA253" s="1620"/>
      <c r="DB253" s="1620" t="str">
        <f>IFERROR(INDEX(N_Bedarf!$CE$2:$CE$304,_xlfn.AGGREGATE(15,6,(ROW(N_Bedarf!$CE$2:$CE$304)-1)/(--(SEARCH(DC$2,N_Bedarf!$CE$2:$CE$304)&gt;0)),ROW()-2),1),"")</f>
        <v/>
      </c>
      <c r="DC253" s="1620"/>
      <c r="DD253" s="1620" t="str">
        <f>IFERROR(INDEX(N_Bedarf!$CE$2:$CE$304,_xlfn.AGGREGATE(15,6,(ROW(N_Bedarf!$CE$2:$CE$304)-1)/(--(SEARCH(DE$2,N_Bedarf!$CE$2:$CE$304)&gt;0)),ROW()-2),1),"")</f>
        <v/>
      </c>
      <c r="DE253" s="1620"/>
      <c r="ES253" s="768"/>
      <c r="ET253" s="768"/>
      <c r="EU253" s="768"/>
      <c r="EV253" s="768"/>
      <c r="EW253" s="768"/>
    </row>
    <row r="254" spans="3:153" s="394" customFormat="1" ht="21" customHeight="1">
      <c r="C254" s="1758" t="s">
        <v>1299</v>
      </c>
      <c r="D254" s="1817" t="s">
        <v>714</v>
      </c>
      <c r="E254" s="1729">
        <v>0</v>
      </c>
      <c r="F254" s="1760" t="s">
        <v>1764</v>
      </c>
      <c r="G254" s="1996" t="s">
        <v>714</v>
      </c>
      <c r="H254" s="1994">
        <v>0</v>
      </c>
      <c r="I254" s="1995"/>
      <c r="J254" s="1817" t="s">
        <v>714</v>
      </c>
      <c r="K254" s="1729">
        <v>0</v>
      </c>
      <c r="L254" s="1760"/>
      <c r="M254" s="1"/>
      <c r="N254" s="1"/>
      <c r="O254" s="1"/>
      <c r="P254" s="1"/>
      <c r="Q254" s="1"/>
      <c r="R254" s="1"/>
      <c r="S254" s="1759" t="s">
        <v>1764</v>
      </c>
      <c r="T254" s="1729" t="s">
        <v>1764</v>
      </c>
      <c r="U254" s="1760" t="s">
        <v>1764</v>
      </c>
      <c r="V254" s="1759" t="s">
        <v>1764</v>
      </c>
      <c r="W254" s="1729" t="s">
        <v>1764</v>
      </c>
      <c r="X254" s="1760" t="s">
        <v>1764</v>
      </c>
      <c r="Y254" s="2009">
        <v>0</v>
      </c>
      <c r="Z254" s="2010">
        <v>0</v>
      </c>
      <c r="AA254" s="2011">
        <v>0</v>
      </c>
      <c r="AB254" s="1871" t="s">
        <v>714</v>
      </c>
      <c r="AC254" s="1737" t="s">
        <v>714</v>
      </c>
      <c r="AD254" s="1762" t="s">
        <v>1764</v>
      </c>
      <c r="AE254" s="1729" t="s">
        <v>1764</v>
      </c>
      <c r="AF254" s="1760" t="s">
        <v>1764</v>
      </c>
      <c r="AG254" s="1759" t="s">
        <v>1764</v>
      </c>
      <c r="AH254" s="1729" t="s">
        <v>1764</v>
      </c>
      <c r="AI254" s="1760" t="s">
        <v>1764</v>
      </c>
      <c r="AJ254" s="2009">
        <v>0</v>
      </c>
      <c r="AK254" s="2010">
        <v>0</v>
      </c>
      <c r="AL254" s="2011">
        <v>0</v>
      </c>
      <c r="AM254" s="1871" t="s">
        <v>714</v>
      </c>
      <c r="AN254" s="1763" t="s">
        <v>714</v>
      </c>
      <c r="AR254" s="156"/>
      <c r="AS254" s="156"/>
      <c r="AT254" s="156"/>
      <c r="AU254" s="397"/>
      <c r="AV254" s="396"/>
      <c r="AW254" s="396"/>
      <c r="BZ254" s="1719"/>
      <c r="CE254" s="1619"/>
      <c r="CF254" s="1620" t="str">
        <f>IFERROR(INDEX(N_Bedarf!$CE$2:$CE$304,_xlfn.AGGREGATE(15,6,(ROW(N_Bedarf!$CE$2:$CE$304)-1)/(--(SEARCH(CG$2,N_Bedarf!$CE$2:$CE$304)&gt;0)),ROW()-2),1),"")</f>
        <v/>
      </c>
      <c r="CG254" s="1620"/>
      <c r="CH254" s="1620" t="str">
        <f>IFERROR(INDEX(N_Bedarf!$CE$2:$CE$304,_xlfn.AGGREGATE(15,6,(ROW(N_Bedarf!$CE$2:$CE$304)-1)/(--(SEARCH(CI$2,N_Bedarf!$CE$2:$CE$304)&gt;0)),ROW()-2),1),"")</f>
        <v/>
      </c>
      <c r="CI254" s="1620"/>
      <c r="CJ254" s="1620" t="str">
        <f>IFERROR(INDEX(N_Bedarf!$CE$2:$CE$304,_xlfn.AGGREGATE(15,6,(ROW(N_Bedarf!$CE$2:$CE$304)-1)/(--(SEARCH(CK$2,N_Bedarf!$CE$2:$CE$304)&gt;0)),ROW()-2),1),"")</f>
        <v/>
      </c>
      <c r="CK254" s="1620"/>
      <c r="CL254" s="1620" t="str">
        <f>IFERROR(INDEX(N_Bedarf!$CE$2:$CE$304,_xlfn.AGGREGATE(15,6,(ROW(N_Bedarf!$CE$2:$CE$304)-1)/(--(SEARCH(CM$2,N_Bedarf!$CE$2:$CE$304)&gt;0)),ROW()-2),1),"")</f>
        <v/>
      </c>
      <c r="CM254" s="1620"/>
      <c r="CN254" s="1620" t="str">
        <f>IFERROR(INDEX(N_Bedarf!$CE$2:$CE$304,_xlfn.AGGREGATE(15,6,(ROW(N_Bedarf!$CE$2:$CE$304)-1)/(--(SEARCH(CO$2,N_Bedarf!$CE$2:$CE$304)&gt;0)),ROW()-2),1),"")</f>
        <v/>
      </c>
      <c r="CO254" s="1620"/>
      <c r="CP254" s="1620" t="str">
        <f>IFERROR(INDEX(N_Bedarf!$CE$2:$CE$304,_xlfn.AGGREGATE(15,6,(ROW(N_Bedarf!$CE$2:$CE$304)-1)/(--(SEARCH(CQ$2,N_Bedarf!$CE$2:$CE$304)&gt;0)),ROW()-2),1),"")</f>
        <v/>
      </c>
      <c r="CQ254" s="1620"/>
      <c r="CR254" s="1620" t="str">
        <f>IFERROR(INDEX(N_Bedarf!$CE$2:$CE$304,_xlfn.AGGREGATE(15,6,(ROW(N_Bedarf!$CE$2:$CE$304)-1)/(--(SEARCH(CS$2,N_Bedarf!$CE$2:$CE$304)&gt;0)),ROW()-2),1),"")</f>
        <v/>
      </c>
      <c r="CS254" s="1620"/>
      <c r="CT254" s="1620" t="str">
        <f>IFERROR(INDEX(N_Bedarf!$CE$2:$CE$304,_xlfn.AGGREGATE(15,6,(ROW(N_Bedarf!$CE$2:$CE$304)-1)/(--(SEARCH(CU$2,N_Bedarf!$CE$2:$CE$304)&gt;0)),ROW()-2),1),"")</f>
        <v/>
      </c>
      <c r="CU254" s="1620"/>
      <c r="CV254" s="1620" t="str">
        <f>IFERROR(INDEX(N_Bedarf!$CE$2:$CE$304,_xlfn.AGGREGATE(15,6,(ROW(N_Bedarf!$CE$2:$CE$304)-1)/(--(SEARCH(CW$2,N_Bedarf!$CE$2:$CE$304)&gt;0)),ROW()-2),1),"")</f>
        <v/>
      </c>
      <c r="CW254" s="1620"/>
      <c r="CX254" s="1620" t="str">
        <f>IFERROR(INDEX(N_Bedarf!$CE$2:$CE$304,_xlfn.AGGREGATE(15,6,(ROW(N_Bedarf!$CE$2:$CE$304)-1)/(--(SEARCH(CY$2,N_Bedarf!$CE$2:$CE$304)&gt;0)),ROW()-2),1),"")</f>
        <v/>
      </c>
      <c r="CY254" s="1620"/>
      <c r="CZ254" s="1620" t="str">
        <f>IFERROR(INDEX(N_Bedarf!$CE$2:$CE$304,_xlfn.AGGREGATE(15,6,(ROW(N_Bedarf!$CE$2:$CE$304)-1)/(--(SEARCH(DA$2,N_Bedarf!$CE$2:$CE$304)&gt;0)),ROW()-2),1),"")</f>
        <v/>
      </c>
      <c r="DA254" s="1620"/>
      <c r="DB254" s="1620" t="str">
        <f>IFERROR(INDEX(N_Bedarf!$CE$2:$CE$304,_xlfn.AGGREGATE(15,6,(ROW(N_Bedarf!$CE$2:$CE$304)-1)/(--(SEARCH(DC$2,N_Bedarf!$CE$2:$CE$304)&gt;0)),ROW()-2),1),"")</f>
        <v/>
      </c>
      <c r="DC254" s="1620"/>
      <c r="DD254" s="1620" t="str">
        <f>IFERROR(INDEX(N_Bedarf!$CE$2:$CE$304,_xlfn.AGGREGATE(15,6,(ROW(N_Bedarf!$CE$2:$CE$304)-1)/(--(SEARCH(DE$2,N_Bedarf!$CE$2:$CE$304)&gt;0)),ROW()-2),1),"")</f>
        <v/>
      </c>
      <c r="DE254" s="1620"/>
      <c r="ES254" s="768"/>
      <c r="ET254" s="768"/>
      <c r="EU254" s="768"/>
      <c r="EV254" s="768"/>
      <c r="EW254" s="768"/>
    </row>
    <row r="255" spans="3:153" s="394" customFormat="1" ht="21" customHeight="1">
      <c r="C255" s="1758" t="s">
        <v>2362</v>
      </c>
      <c r="D255" s="1759" t="s">
        <v>1418</v>
      </c>
      <c r="E255" s="1729">
        <v>20</v>
      </c>
      <c r="F255" s="1760" t="s">
        <v>1764</v>
      </c>
      <c r="G255" s="1993" t="s">
        <v>1580</v>
      </c>
      <c r="H255" s="1994">
        <v>30</v>
      </c>
      <c r="I255" s="1995"/>
      <c r="J255" s="1759" t="s">
        <v>714</v>
      </c>
      <c r="K255" s="1729"/>
      <c r="L255" s="1760"/>
      <c r="M255" s="1"/>
      <c r="N255" s="1"/>
      <c r="O255" s="1"/>
      <c r="P255" s="1"/>
      <c r="Q255" s="1"/>
      <c r="R255" s="1"/>
      <c r="S255" s="1759">
        <v>15</v>
      </c>
      <c r="T255" s="1729">
        <v>30</v>
      </c>
      <c r="U255" s="1760" t="s">
        <v>1764</v>
      </c>
      <c r="V255" s="1759">
        <v>15</v>
      </c>
      <c r="W255" s="1729">
        <v>25</v>
      </c>
      <c r="X255" s="1760" t="s">
        <v>1764</v>
      </c>
      <c r="Y255" s="2009">
        <v>10</v>
      </c>
      <c r="Z255" s="2010">
        <v>20</v>
      </c>
      <c r="AA255" s="2011"/>
      <c r="AB255" s="1871" t="s">
        <v>583</v>
      </c>
      <c r="AC255" s="1737" t="s">
        <v>583</v>
      </c>
      <c r="AD255" s="1762">
        <v>30</v>
      </c>
      <c r="AE255" s="1729">
        <v>60</v>
      </c>
      <c r="AF255" s="1760" t="s">
        <v>1764</v>
      </c>
      <c r="AG255" s="1759">
        <v>25</v>
      </c>
      <c r="AH255" s="1729">
        <v>50</v>
      </c>
      <c r="AI255" s="1760" t="s">
        <v>1764</v>
      </c>
      <c r="AJ255" s="2009">
        <v>20</v>
      </c>
      <c r="AK255" s="2010">
        <v>40</v>
      </c>
      <c r="AL255" s="2011">
        <v>0</v>
      </c>
      <c r="AM255" s="1871" t="s">
        <v>583</v>
      </c>
      <c r="AN255" s="1763" t="s">
        <v>583</v>
      </c>
      <c r="AR255" s="156"/>
      <c r="AS255" s="156"/>
      <c r="AT255" s="156"/>
      <c r="AU255" s="397"/>
      <c r="AV255" s="396"/>
      <c r="AW255" s="396"/>
      <c r="BZ255" s="1719"/>
      <c r="CE255" s="1619"/>
      <c r="CF255" s="1620" t="str">
        <f>IFERROR(INDEX(N_Bedarf!$CE$2:$CE$304,_xlfn.AGGREGATE(15,6,(ROW(N_Bedarf!$CE$2:$CE$304)-1)/(--(SEARCH(CG$2,N_Bedarf!$CE$2:$CE$304)&gt;0)),ROW()-2),1),"")</f>
        <v/>
      </c>
      <c r="CG255" s="1620"/>
      <c r="CH255" s="1620" t="str">
        <f>IFERROR(INDEX(N_Bedarf!$CE$2:$CE$304,_xlfn.AGGREGATE(15,6,(ROW(N_Bedarf!$CE$2:$CE$304)-1)/(--(SEARCH(CI$2,N_Bedarf!$CE$2:$CE$304)&gt;0)),ROW()-2),1),"")</f>
        <v/>
      </c>
      <c r="CI255" s="1620"/>
      <c r="CJ255" s="1620" t="str">
        <f>IFERROR(INDEX(N_Bedarf!$CE$2:$CE$304,_xlfn.AGGREGATE(15,6,(ROW(N_Bedarf!$CE$2:$CE$304)-1)/(--(SEARCH(CK$2,N_Bedarf!$CE$2:$CE$304)&gt;0)),ROW()-2),1),"")</f>
        <v/>
      </c>
      <c r="CK255" s="1620"/>
      <c r="CL255" s="1620" t="str">
        <f>IFERROR(INDEX(N_Bedarf!$CE$2:$CE$304,_xlfn.AGGREGATE(15,6,(ROW(N_Bedarf!$CE$2:$CE$304)-1)/(--(SEARCH(CM$2,N_Bedarf!$CE$2:$CE$304)&gt;0)),ROW()-2),1),"")</f>
        <v/>
      </c>
      <c r="CM255" s="1620"/>
      <c r="CN255" s="1620" t="str">
        <f>IFERROR(INDEX(N_Bedarf!$CE$2:$CE$304,_xlfn.AGGREGATE(15,6,(ROW(N_Bedarf!$CE$2:$CE$304)-1)/(--(SEARCH(CO$2,N_Bedarf!$CE$2:$CE$304)&gt;0)),ROW()-2),1),"")</f>
        <v/>
      </c>
      <c r="CO255" s="1620"/>
      <c r="CP255" s="1620" t="str">
        <f>IFERROR(INDEX(N_Bedarf!$CE$2:$CE$304,_xlfn.AGGREGATE(15,6,(ROW(N_Bedarf!$CE$2:$CE$304)-1)/(--(SEARCH(CQ$2,N_Bedarf!$CE$2:$CE$304)&gt;0)),ROW()-2),1),"")</f>
        <v/>
      </c>
      <c r="CQ255" s="1620"/>
      <c r="CR255" s="1620" t="str">
        <f>IFERROR(INDEX(N_Bedarf!$CE$2:$CE$304,_xlfn.AGGREGATE(15,6,(ROW(N_Bedarf!$CE$2:$CE$304)-1)/(--(SEARCH(CS$2,N_Bedarf!$CE$2:$CE$304)&gt;0)),ROW()-2),1),"")</f>
        <v/>
      </c>
      <c r="CS255" s="1620"/>
      <c r="CT255" s="1620" t="str">
        <f>IFERROR(INDEX(N_Bedarf!$CE$2:$CE$304,_xlfn.AGGREGATE(15,6,(ROW(N_Bedarf!$CE$2:$CE$304)-1)/(--(SEARCH(CU$2,N_Bedarf!$CE$2:$CE$304)&gt;0)),ROW()-2),1),"")</f>
        <v/>
      </c>
      <c r="CU255" s="1620"/>
      <c r="CV255" s="1620" t="str">
        <f>IFERROR(INDEX(N_Bedarf!$CE$2:$CE$304,_xlfn.AGGREGATE(15,6,(ROW(N_Bedarf!$CE$2:$CE$304)-1)/(--(SEARCH(CW$2,N_Bedarf!$CE$2:$CE$304)&gt;0)),ROW()-2),1),"")</f>
        <v/>
      </c>
      <c r="CW255" s="1620"/>
      <c r="CX255" s="1620" t="str">
        <f>IFERROR(INDEX(N_Bedarf!$CE$2:$CE$304,_xlfn.AGGREGATE(15,6,(ROW(N_Bedarf!$CE$2:$CE$304)-1)/(--(SEARCH(CY$2,N_Bedarf!$CE$2:$CE$304)&gt;0)),ROW()-2),1),"")</f>
        <v/>
      </c>
      <c r="CY255" s="1620"/>
      <c r="CZ255" s="1620" t="str">
        <f>IFERROR(INDEX(N_Bedarf!$CE$2:$CE$304,_xlfn.AGGREGATE(15,6,(ROW(N_Bedarf!$CE$2:$CE$304)-1)/(--(SEARCH(DA$2,N_Bedarf!$CE$2:$CE$304)&gt;0)),ROW()-2),1),"")</f>
        <v/>
      </c>
      <c r="DA255" s="1620"/>
      <c r="DB255" s="1620" t="str">
        <f>IFERROR(INDEX(N_Bedarf!$CE$2:$CE$304,_xlfn.AGGREGATE(15,6,(ROW(N_Bedarf!$CE$2:$CE$304)-1)/(--(SEARCH(DC$2,N_Bedarf!$CE$2:$CE$304)&gt;0)),ROW()-2),1),"")</f>
        <v/>
      </c>
      <c r="DC255" s="1620"/>
      <c r="DD255" s="1620" t="str">
        <f>IFERROR(INDEX(N_Bedarf!$CE$2:$CE$304,_xlfn.AGGREGATE(15,6,(ROW(N_Bedarf!$CE$2:$CE$304)-1)/(--(SEARCH(DE$2,N_Bedarf!$CE$2:$CE$304)&gt;0)),ROW()-2),1),"")</f>
        <v/>
      </c>
      <c r="DE255" s="1620"/>
      <c r="ES255" s="768"/>
      <c r="ET255" s="768"/>
      <c r="EU255" s="768"/>
      <c r="EV255" s="768"/>
      <c r="EW255" s="768"/>
    </row>
    <row r="256" spans="3:153" s="394" customFormat="1" ht="21" customHeight="1">
      <c r="C256" s="1758" t="s">
        <v>2384</v>
      </c>
      <c r="D256" s="1759" t="s">
        <v>1</v>
      </c>
      <c r="E256" s="1729">
        <v>60</v>
      </c>
      <c r="F256" s="1760" t="s">
        <v>1764</v>
      </c>
      <c r="G256" s="1993" t="s">
        <v>1575</v>
      </c>
      <c r="H256" s="1994">
        <v>90</v>
      </c>
      <c r="I256" s="1995"/>
      <c r="J256" s="1759" t="s">
        <v>714</v>
      </c>
      <c r="K256" s="1729"/>
      <c r="L256" s="1760"/>
      <c r="M256" s="1"/>
      <c r="N256" s="1"/>
      <c r="O256" s="1"/>
      <c r="P256" s="1"/>
      <c r="Q256" s="1"/>
      <c r="R256" s="1"/>
      <c r="S256" s="1759">
        <v>60</v>
      </c>
      <c r="T256" s="1729">
        <v>75</v>
      </c>
      <c r="U256" s="1760" t="s">
        <v>1764</v>
      </c>
      <c r="V256" s="1759">
        <v>50</v>
      </c>
      <c r="W256" s="1729">
        <v>65</v>
      </c>
      <c r="X256" s="1760" t="s">
        <v>1764</v>
      </c>
      <c r="Y256" s="2009">
        <v>40</v>
      </c>
      <c r="Z256" s="2010">
        <v>50</v>
      </c>
      <c r="AA256" s="2011"/>
      <c r="AB256" s="1871" t="s">
        <v>583</v>
      </c>
      <c r="AC256" s="1737" t="s">
        <v>583</v>
      </c>
      <c r="AD256" s="1762">
        <v>165</v>
      </c>
      <c r="AE256" s="1729">
        <v>210</v>
      </c>
      <c r="AF256" s="1760" t="s">
        <v>1764</v>
      </c>
      <c r="AG256" s="1759">
        <v>140</v>
      </c>
      <c r="AH256" s="1729">
        <v>175</v>
      </c>
      <c r="AI256" s="1760" t="s">
        <v>1764</v>
      </c>
      <c r="AJ256" s="2009">
        <v>110</v>
      </c>
      <c r="AK256" s="2010">
        <v>140</v>
      </c>
      <c r="AL256" s="2011">
        <v>0</v>
      </c>
      <c r="AM256" s="1871" t="s">
        <v>583</v>
      </c>
      <c r="AN256" s="1763" t="s">
        <v>583</v>
      </c>
      <c r="AR256" s="156"/>
      <c r="AS256" s="156"/>
      <c r="AT256" s="156"/>
      <c r="AU256" s="397"/>
      <c r="AV256" s="396"/>
      <c r="AW256" s="396"/>
      <c r="BZ256" s="1719"/>
      <c r="CE256" s="1619"/>
      <c r="CF256" s="1620" t="str">
        <f>IFERROR(INDEX(N_Bedarf!$CE$2:$CE$304,_xlfn.AGGREGATE(15,6,(ROW(N_Bedarf!$CE$2:$CE$304)-1)/(--(SEARCH(CG$2,N_Bedarf!$CE$2:$CE$304)&gt;0)),ROW()-2),1),"")</f>
        <v/>
      </c>
      <c r="CG256" s="1620"/>
      <c r="CH256" s="1620" t="str">
        <f>IFERROR(INDEX(N_Bedarf!$CE$2:$CE$304,_xlfn.AGGREGATE(15,6,(ROW(N_Bedarf!$CE$2:$CE$304)-1)/(--(SEARCH(CI$2,N_Bedarf!$CE$2:$CE$304)&gt;0)),ROW()-2),1),"")</f>
        <v/>
      </c>
      <c r="CI256" s="1620"/>
      <c r="CJ256" s="1620" t="str">
        <f>IFERROR(INDEX(N_Bedarf!$CE$2:$CE$304,_xlfn.AGGREGATE(15,6,(ROW(N_Bedarf!$CE$2:$CE$304)-1)/(--(SEARCH(CK$2,N_Bedarf!$CE$2:$CE$304)&gt;0)),ROW()-2),1),"")</f>
        <v/>
      </c>
      <c r="CK256" s="1620"/>
      <c r="CL256" s="1620" t="str">
        <f>IFERROR(INDEX(N_Bedarf!$CE$2:$CE$304,_xlfn.AGGREGATE(15,6,(ROW(N_Bedarf!$CE$2:$CE$304)-1)/(--(SEARCH(CM$2,N_Bedarf!$CE$2:$CE$304)&gt;0)),ROW()-2),1),"")</f>
        <v/>
      </c>
      <c r="CM256" s="1620"/>
      <c r="CN256" s="1620" t="str">
        <f>IFERROR(INDEX(N_Bedarf!$CE$2:$CE$304,_xlfn.AGGREGATE(15,6,(ROW(N_Bedarf!$CE$2:$CE$304)-1)/(--(SEARCH(CO$2,N_Bedarf!$CE$2:$CE$304)&gt;0)),ROW()-2),1),"")</f>
        <v/>
      </c>
      <c r="CO256" s="1620"/>
      <c r="CP256" s="1620" t="str">
        <f>IFERROR(INDEX(N_Bedarf!$CE$2:$CE$304,_xlfn.AGGREGATE(15,6,(ROW(N_Bedarf!$CE$2:$CE$304)-1)/(--(SEARCH(CQ$2,N_Bedarf!$CE$2:$CE$304)&gt;0)),ROW()-2),1),"")</f>
        <v/>
      </c>
      <c r="CQ256" s="1620"/>
      <c r="CR256" s="1620" t="str">
        <f>IFERROR(INDEX(N_Bedarf!$CE$2:$CE$304,_xlfn.AGGREGATE(15,6,(ROW(N_Bedarf!$CE$2:$CE$304)-1)/(--(SEARCH(CS$2,N_Bedarf!$CE$2:$CE$304)&gt;0)),ROW()-2),1),"")</f>
        <v/>
      </c>
      <c r="CS256" s="1620"/>
      <c r="CT256" s="1620" t="str">
        <f>IFERROR(INDEX(N_Bedarf!$CE$2:$CE$304,_xlfn.AGGREGATE(15,6,(ROW(N_Bedarf!$CE$2:$CE$304)-1)/(--(SEARCH(CU$2,N_Bedarf!$CE$2:$CE$304)&gt;0)),ROW()-2),1),"")</f>
        <v/>
      </c>
      <c r="CU256" s="1620"/>
      <c r="CV256" s="1620" t="str">
        <f>IFERROR(INDEX(N_Bedarf!$CE$2:$CE$304,_xlfn.AGGREGATE(15,6,(ROW(N_Bedarf!$CE$2:$CE$304)-1)/(--(SEARCH(CW$2,N_Bedarf!$CE$2:$CE$304)&gt;0)),ROW()-2),1),"")</f>
        <v/>
      </c>
      <c r="CW256" s="1620"/>
      <c r="CX256" s="1620" t="str">
        <f>IFERROR(INDEX(N_Bedarf!$CE$2:$CE$304,_xlfn.AGGREGATE(15,6,(ROW(N_Bedarf!$CE$2:$CE$304)-1)/(--(SEARCH(CY$2,N_Bedarf!$CE$2:$CE$304)&gt;0)),ROW()-2),1),"")</f>
        <v/>
      </c>
      <c r="CY256" s="1620"/>
      <c r="CZ256" s="1620" t="str">
        <f>IFERROR(INDEX(N_Bedarf!$CE$2:$CE$304,_xlfn.AGGREGATE(15,6,(ROW(N_Bedarf!$CE$2:$CE$304)-1)/(--(SEARCH(DA$2,N_Bedarf!$CE$2:$CE$304)&gt;0)),ROW()-2),1),"")</f>
        <v/>
      </c>
      <c r="DA256" s="1620"/>
      <c r="DB256" s="1620" t="str">
        <f>IFERROR(INDEX(N_Bedarf!$CE$2:$CE$304,_xlfn.AGGREGATE(15,6,(ROW(N_Bedarf!$CE$2:$CE$304)-1)/(--(SEARCH(DC$2,N_Bedarf!$CE$2:$CE$304)&gt;0)),ROW()-2),1),"")</f>
        <v/>
      </c>
      <c r="DC256" s="1620"/>
      <c r="DD256" s="1620" t="str">
        <f>IFERROR(INDEX(N_Bedarf!$CE$2:$CE$304,_xlfn.AGGREGATE(15,6,(ROW(N_Bedarf!$CE$2:$CE$304)-1)/(--(SEARCH(DE$2,N_Bedarf!$CE$2:$CE$304)&gt;0)),ROW()-2),1),"")</f>
        <v/>
      </c>
      <c r="DE256" s="1620"/>
      <c r="ES256" s="768"/>
      <c r="ET256" s="768"/>
      <c r="EU256" s="768"/>
      <c r="EV256" s="768"/>
      <c r="EW256" s="768"/>
    </row>
    <row r="257" spans="3:153" s="394" customFormat="1" ht="21" customHeight="1">
      <c r="C257" s="1758" t="s">
        <v>2385</v>
      </c>
      <c r="D257" s="1759" t="s">
        <v>714</v>
      </c>
      <c r="E257" s="1729"/>
      <c r="F257" s="1760" t="s">
        <v>1764</v>
      </c>
      <c r="G257" s="1993" t="s">
        <v>1405</v>
      </c>
      <c r="H257" s="1994">
        <v>110</v>
      </c>
      <c r="I257" s="1995"/>
      <c r="J257" s="1759" t="s">
        <v>1576</v>
      </c>
      <c r="K257" s="1729">
        <v>140</v>
      </c>
      <c r="L257" s="1760"/>
      <c r="M257" s="1"/>
      <c r="N257" s="1"/>
      <c r="O257" s="1"/>
      <c r="P257" s="1"/>
      <c r="Q257" s="1"/>
      <c r="R257" s="1"/>
      <c r="S257" s="1759">
        <v>70</v>
      </c>
      <c r="T257" s="1729">
        <v>90</v>
      </c>
      <c r="U257" s="1760">
        <v>120</v>
      </c>
      <c r="V257" s="1759">
        <v>55</v>
      </c>
      <c r="W257" s="1729">
        <v>75</v>
      </c>
      <c r="X257" s="1760">
        <v>100</v>
      </c>
      <c r="Y257" s="2009">
        <v>45</v>
      </c>
      <c r="Z257" s="2010">
        <v>60</v>
      </c>
      <c r="AA257" s="2011">
        <v>80</v>
      </c>
      <c r="AB257" s="1871" t="s">
        <v>583</v>
      </c>
      <c r="AC257" s="1737" t="s">
        <v>583</v>
      </c>
      <c r="AD257" s="1762">
        <v>220</v>
      </c>
      <c r="AE257" s="1729">
        <v>285</v>
      </c>
      <c r="AF257" s="1760">
        <v>340</v>
      </c>
      <c r="AG257" s="1759">
        <v>180</v>
      </c>
      <c r="AH257" s="1729">
        <v>240</v>
      </c>
      <c r="AI257" s="1760">
        <v>280</v>
      </c>
      <c r="AJ257" s="2009">
        <v>145</v>
      </c>
      <c r="AK257" s="2010">
        <v>190</v>
      </c>
      <c r="AL257" s="2011">
        <v>225</v>
      </c>
      <c r="AM257" s="1871" t="s">
        <v>583</v>
      </c>
      <c r="AN257" s="1763" t="s">
        <v>583</v>
      </c>
      <c r="AR257" s="156"/>
      <c r="AS257" s="156"/>
      <c r="AT257" s="156"/>
      <c r="AU257" s="397"/>
      <c r="AV257" s="396"/>
      <c r="AW257" s="396"/>
      <c r="BZ257" s="1719"/>
      <c r="CE257" s="1619"/>
      <c r="CF257" s="1620" t="str">
        <f>IFERROR(INDEX(N_Bedarf!$CE$2:$CE$304,_xlfn.AGGREGATE(15,6,(ROW(N_Bedarf!$CE$2:$CE$304)-1)/(--(SEARCH(CG$2,N_Bedarf!$CE$2:$CE$304)&gt;0)),ROW()-2),1),"")</f>
        <v/>
      </c>
      <c r="CG257" s="1620"/>
      <c r="CH257" s="1620" t="str">
        <f>IFERROR(INDEX(N_Bedarf!$CE$2:$CE$304,_xlfn.AGGREGATE(15,6,(ROW(N_Bedarf!$CE$2:$CE$304)-1)/(--(SEARCH(CI$2,N_Bedarf!$CE$2:$CE$304)&gt;0)),ROW()-2),1),"")</f>
        <v/>
      </c>
      <c r="CI257" s="1620"/>
      <c r="CJ257" s="1620" t="str">
        <f>IFERROR(INDEX(N_Bedarf!$CE$2:$CE$304,_xlfn.AGGREGATE(15,6,(ROW(N_Bedarf!$CE$2:$CE$304)-1)/(--(SEARCH(CK$2,N_Bedarf!$CE$2:$CE$304)&gt;0)),ROW()-2),1),"")</f>
        <v/>
      </c>
      <c r="CK257" s="1620"/>
      <c r="CL257" s="1620" t="str">
        <f>IFERROR(INDEX(N_Bedarf!$CE$2:$CE$304,_xlfn.AGGREGATE(15,6,(ROW(N_Bedarf!$CE$2:$CE$304)-1)/(--(SEARCH(CM$2,N_Bedarf!$CE$2:$CE$304)&gt;0)),ROW()-2),1),"")</f>
        <v/>
      </c>
      <c r="CM257" s="1620"/>
      <c r="CN257" s="1620" t="str">
        <f>IFERROR(INDEX(N_Bedarf!$CE$2:$CE$304,_xlfn.AGGREGATE(15,6,(ROW(N_Bedarf!$CE$2:$CE$304)-1)/(--(SEARCH(CO$2,N_Bedarf!$CE$2:$CE$304)&gt;0)),ROW()-2),1),"")</f>
        <v/>
      </c>
      <c r="CO257" s="1620"/>
      <c r="CP257" s="1620" t="str">
        <f>IFERROR(INDEX(N_Bedarf!$CE$2:$CE$304,_xlfn.AGGREGATE(15,6,(ROW(N_Bedarf!$CE$2:$CE$304)-1)/(--(SEARCH(CQ$2,N_Bedarf!$CE$2:$CE$304)&gt;0)),ROW()-2),1),"")</f>
        <v/>
      </c>
      <c r="CQ257" s="1620"/>
      <c r="CR257" s="1620" t="str">
        <f>IFERROR(INDEX(N_Bedarf!$CE$2:$CE$304,_xlfn.AGGREGATE(15,6,(ROW(N_Bedarf!$CE$2:$CE$304)-1)/(--(SEARCH(CS$2,N_Bedarf!$CE$2:$CE$304)&gt;0)),ROW()-2),1),"")</f>
        <v/>
      </c>
      <c r="CS257" s="1620"/>
      <c r="CT257" s="1620" t="str">
        <f>IFERROR(INDEX(N_Bedarf!$CE$2:$CE$304,_xlfn.AGGREGATE(15,6,(ROW(N_Bedarf!$CE$2:$CE$304)-1)/(--(SEARCH(CU$2,N_Bedarf!$CE$2:$CE$304)&gt;0)),ROW()-2),1),"")</f>
        <v/>
      </c>
      <c r="CU257" s="1620"/>
      <c r="CV257" s="1620" t="str">
        <f>IFERROR(INDEX(N_Bedarf!$CE$2:$CE$304,_xlfn.AGGREGATE(15,6,(ROW(N_Bedarf!$CE$2:$CE$304)-1)/(--(SEARCH(CW$2,N_Bedarf!$CE$2:$CE$304)&gt;0)),ROW()-2),1),"")</f>
        <v/>
      </c>
      <c r="CW257" s="1620"/>
      <c r="CX257" s="1620" t="str">
        <f>IFERROR(INDEX(N_Bedarf!$CE$2:$CE$304,_xlfn.AGGREGATE(15,6,(ROW(N_Bedarf!$CE$2:$CE$304)-1)/(--(SEARCH(CY$2,N_Bedarf!$CE$2:$CE$304)&gt;0)),ROW()-2),1),"")</f>
        <v/>
      </c>
      <c r="CY257" s="1620"/>
      <c r="CZ257" s="1620" t="str">
        <f>IFERROR(INDEX(N_Bedarf!$CE$2:$CE$304,_xlfn.AGGREGATE(15,6,(ROW(N_Bedarf!$CE$2:$CE$304)-1)/(--(SEARCH(DA$2,N_Bedarf!$CE$2:$CE$304)&gt;0)),ROW()-2),1),"")</f>
        <v/>
      </c>
      <c r="DA257" s="1620"/>
      <c r="DB257" s="1620" t="str">
        <f>IFERROR(INDEX(N_Bedarf!$CE$2:$CE$304,_xlfn.AGGREGATE(15,6,(ROW(N_Bedarf!$CE$2:$CE$304)-1)/(--(SEARCH(DC$2,N_Bedarf!$CE$2:$CE$304)&gt;0)),ROW()-2),1),"")</f>
        <v/>
      </c>
      <c r="DC257" s="1620"/>
      <c r="DD257" s="1620" t="str">
        <f>IFERROR(INDEX(N_Bedarf!$CE$2:$CE$304,_xlfn.AGGREGATE(15,6,(ROW(N_Bedarf!$CE$2:$CE$304)-1)/(--(SEARCH(DE$2,N_Bedarf!$CE$2:$CE$304)&gt;0)),ROW()-2),1),"")</f>
        <v/>
      </c>
      <c r="DE257" s="1620"/>
      <c r="ES257" s="768"/>
      <c r="ET257" s="768"/>
      <c r="EU257" s="768"/>
      <c r="EV257" s="768"/>
      <c r="EW257" s="768"/>
    </row>
    <row r="258" spans="3:153" s="394" customFormat="1" ht="21" customHeight="1">
      <c r="C258" s="1758" t="s">
        <v>2386</v>
      </c>
      <c r="D258" s="1759" t="s">
        <v>714</v>
      </c>
      <c r="E258" s="1729"/>
      <c r="F258" s="1760" t="s">
        <v>1764</v>
      </c>
      <c r="G258" s="1993" t="s">
        <v>1883</v>
      </c>
      <c r="H258" s="1994">
        <v>120</v>
      </c>
      <c r="I258" s="1995"/>
      <c r="J258" s="1759" t="s">
        <v>1884</v>
      </c>
      <c r="K258" s="1729">
        <v>170</v>
      </c>
      <c r="L258" s="1760"/>
      <c r="M258" s="1"/>
      <c r="N258" s="1"/>
      <c r="O258" s="1"/>
      <c r="P258" s="1"/>
      <c r="Q258" s="1"/>
      <c r="R258" s="1"/>
      <c r="S258" s="1759">
        <v>90</v>
      </c>
      <c r="T258" s="1729">
        <v>120</v>
      </c>
      <c r="U258" s="1760">
        <v>150</v>
      </c>
      <c r="V258" s="1759">
        <v>75</v>
      </c>
      <c r="W258" s="1729">
        <v>100</v>
      </c>
      <c r="X258" s="1760">
        <v>125</v>
      </c>
      <c r="Y258" s="2009">
        <v>60</v>
      </c>
      <c r="Z258" s="2010">
        <v>80</v>
      </c>
      <c r="AA258" s="2011">
        <v>100</v>
      </c>
      <c r="AB258" s="1871" t="s">
        <v>583</v>
      </c>
      <c r="AC258" s="1737" t="s">
        <v>583</v>
      </c>
      <c r="AD258" s="1762">
        <v>240</v>
      </c>
      <c r="AE258" s="1729">
        <v>325</v>
      </c>
      <c r="AF258" s="1760">
        <v>435</v>
      </c>
      <c r="AG258" s="1759">
        <v>200</v>
      </c>
      <c r="AH258" s="1729">
        <v>270</v>
      </c>
      <c r="AI258" s="1760">
        <v>365</v>
      </c>
      <c r="AJ258" s="2009">
        <v>160</v>
      </c>
      <c r="AK258" s="2010">
        <v>215</v>
      </c>
      <c r="AL258" s="2011">
        <v>290</v>
      </c>
      <c r="AM258" s="1871" t="s">
        <v>583</v>
      </c>
      <c r="AN258" s="1763" t="s">
        <v>583</v>
      </c>
      <c r="AR258" s="156"/>
      <c r="AS258" s="156"/>
      <c r="AT258" s="156"/>
      <c r="AU258" s="397"/>
      <c r="AV258" s="396"/>
      <c r="AW258" s="396"/>
      <c r="BZ258" s="1719"/>
      <c r="CE258" s="1619"/>
      <c r="CF258" s="1620" t="str">
        <f>IFERROR(INDEX(N_Bedarf!$CE$2:$CE$304,_xlfn.AGGREGATE(15,6,(ROW(N_Bedarf!$CE$2:$CE$304)-1)/(--(SEARCH(CG$2,N_Bedarf!$CE$2:$CE$304)&gt;0)),ROW()-2),1),"")</f>
        <v/>
      </c>
      <c r="CG258" s="1620"/>
      <c r="CH258" s="1620" t="str">
        <f>IFERROR(INDEX(N_Bedarf!$CE$2:$CE$304,_xlfn.AGGREGATE(15,6,(ROW(N_Bedarf!$CE$2:$CE$304)-1)/(--(SEARCH(CI$2,N_Bedarf!$CE$2:$CE$304)&gt;0)),ROW()-2),1),"")</f>
        <v/>
      </c>
      <c r="CI258" s="1620"/>
      <c r="CJ258" s="1620" t="str">
        <f>IFERROR(INDEX(N_Bedarf!$CE$2:$CE$304,_xlfn.AGGREGATE(15,6,(ROW(N_Bedarf!$CE$2:$CE$304)-1)/(--(SEARCH(CK$2,N_Bedarf!$CE$2:$CE$304)&gt;0)),ROW()-2),1),"")</f>
        <v/>
      </c>
      <c r="CK258" s="1620"/>
      <c r="CL258" s="1620" t="str">
        <f>IFERROR(INDEX(N_Bedarf!$CE$2:$CE$304,_xlfn.AGGREGATE(15,6,(ROW(N_Bedarf!$CE$2:$CE$304)-1)/(--(SEARCH(CM$2,N_Bedarf!$CE$2:$CE$304)&gt;0)),ROW()-2),1),"")</f>
        <v/>
      </c>
      <c r="CM258" s="1620"/>
      <c r="CN258" s="1620" t="str">
        <f>IFERROR(INDEX(N_Bedarf!$CE$2:$CE$304,_xlfn.AGGREGATE(15,6,(ROW(N_Bedarf!$CE$2:$CE$304)-1)/(--(SEARCH(CO$2,N_Bedarf!$CE$2:$CE$304)&gt;0)),ROW()-2),1),"")</f>
        <v/>
      </c>
      <c r="CO258" s="1620"/>
      <c r="CP258" s="1620" t="str">
        <f>IFERROR(INDEX(N_Bedarf!$CE$2:$CE$304,_xlfn.AGGREGATE(15,6,(ROW(N_Bedarf!$CE$2:$CE$304)-1)/(--(SEARCH(CQ$2,N_Bedarf!$CE$2:$CE$304)&gt;0)),ROW()-2),1),"")</f>
        <v/>
      </c>
      <c r="CQ258" s="1620"/>
      <c r="CR258" s="1620" t="str">
        <f>IFERROR(INDEX(N_Bedarf!$CE$2:$CE$304,_xlfn.AGGREGATE(15,6,(ROW(N_Bedarf!$CE$2:$CE$304)-1)/(--(SEARCH(CS$2,N_Bedarf!$CE$2:$CE$304)&gt;0)),ROW()-2),1),"")</f>
        <v/>
      </c>
      <c r="CS258" s="1620"/>
      <c r="CT258" s="1620" t="str">
        <f>IFERROR(INDEX(N_Bedarf!$CE$2:$CE$304,_xlfn.AGGREGATE(15,6,(ROW(N_Bedarf!$CE$2:$CE$304)-1)/(--(SEARCH(CU$2,N_Bedarf!$CE$2:$CE$304)&gt;0)),ROW()-2),1),"")</f>
        <v/>
      </c>
      <c r="CU258" s="1620"/>
      <c r="CV258" s="1620" t="str">
        <f>IFERROR(INDEX(N_Bedarf!$CE$2:$CE$304,_xlfn.AGGREGATE(15,6,(ROW(N_Bedarf!$CE$2:$CE$304)-1)/(--(SEARCH(CW$2,N_Bedarf!$CE$2:$CE$304)&gt;0)),ROW()-2),1),"")</f>
        <v/>
      </c>
      <c r="CW258" s="1620"/>
      <c r="CX258" s="1620" t="str">
        <f>IFERROR(INDEX(N_Bedarf!$CE$2:$CE$304,_xlfn.AGGREGATE(15,6,(ROW(N_Bedarf!$CE$2:$CE$304)-1)/(--(SEARCH(CY$2,N_Bedarf!$CE$2:$CE$304)&gt;0)),ROW()-2),1),"")</f>
        <v/>
      </c>
      <c r="CY258" s="1620"/>
      <c r="CZ258" s="1620" t="str">
        <f>IFERROR(INDEX(N_Bedarf!$CE$2:$CE$304,_xlfn.AGGREGATE(15,6,(ROW(N_Bedarf!$CE$2:$CE$304)-1)/(--(SEARCH(DA$2,N_Bedarf!$CE$2:$CE$304)&gt;0)),ROW()-2),1),"")</f>
        <v/>
      </c>
      <c r="DA258" s="1620"/>
      <c r="DB258" s="1620" t="str">
        <f>IFERROR(INDEX(N_Bedarf!$CE$2:$CE$304,_xlfn.AGGREGATE(15,6,(ROW(N_Bedarf!$CE$2:$CE$304)-1)/(--(SEARCH(DC$2,N_Bedarf!$CE$2:$CE$304)&gt;0)),ROW()-2),1),"")</f>
        <v/>
      </c>
      <c r="DC258" s="1620"/>
      <c r="DD258" s="1620" t="str">
        <f>IFERROR(INDEX(N_Bedarf!$CE$2:$CE$304,_xlfn.AGGREGATE(15,6,(ROW(N_Bedarf!$CE$2:$CE$304)-1)/(--(SEARCH(DE$2,N_Bedarf!$CE$2:$CE$304)&gt;0)),ROW()-2),1),"")</f>
        <v/>
      </c>
      <c r="DE258" s="1620"/>
      <c r="ES258" s="768"/>
      <c r="ET258" s="768"/>
      <c r="EU258" s="768"/>
      <c r="EV258" s="768"/>
      <c r="EW258" s="768"/>
    </row>
    <row r="259" spans="3:153" s="394" customFormat="1" ht="21" customHeight="1">
      <c r="C259" s="1758" t="s">
        <v>1885</v>
      </c>
      <c r="D259" s="1759" t="s">
        <v>1414</v>
      </c>
      <c r="E259" s="1729">
        <v>20</v>
      </c>
      <c r="F259" s="1760"/>
      <c r="G259" s="1993" t="s">
        <v>1574</v>
      </c>
      <c r="H259" s="1994">
        <v>30</v>
      </c>
      <c r="I259" s="1995"/>
      <c r="J259" s="1759" t="s">
        <v>714</v>
      </c>
      <c r="K259" s="1729"/>
      <c r="L259" s="1760"/>
      <c r="M259" s="1"/>
      <c r="N259" s="1"/>
      <c r="O259" s="1"/>
      <c r="P259" s="1"/>
      <c r="Q259" s="1"/>
      <c r="R259" s="1"/>
      <c r="S259" s="1759">
        <v>25</v>
      </c>
      <c r="T259" s="1729">
        <v>45</v>
      </c>
      <c r="U259" s="1760" t="s">
        <v>1764</v>
      </c>
      <c r="V259" s="1759">
        <v>20</v>
      </c>
      <c r="W259" s="1729">
        <v>40</v>
      </c>
      <c r="X259" s="1760" t="s">
        <v>1764</v>
      </c>
      <c r="Y259" s="2009">
        <v>15</v>
      </c>
      <c r="Z259" s="2010">
        <v>30</v>
      </c>
      <c r="AA259" s="2011"/>
      <c r="AB259" s="1871" t="s">
        <v>583</v>
      </c>
      <c r="AC259" s="1737" t="s">
        <v>583</v>
      </c>
      <c r="AD259" s="1762">
        <v>70</v>
      </c>
      <c r="AE259" s="1729">
        <v>120</v>
      </c>
      <c r="AF259" s="1760" t="s">
        <v>1764</v>
      </c>
      <c r="AG259" s="1759">
        <v>55</v>
      </c>
      <c r="AH259" s="1729">
        <v>100</v>
      </c>
      <c r="AI259" s="1760" t="s">
        <v>1764</v>
      </c>
      <c r="AJ259" s="2009">
        <v>45</v>
      </c>
      <c r="AK259" s="2010">
        <v>80</v>
      </c>
      <c r="AL259" s="2011"/>
      <c r="AM259" s="1871" t="s">
        <v>583</v>
      </c>
      <c r="AN259" s="1763" t="s">
        <v>583</v>
      </c>
      <c r="AR259" s="156"/>
      <c r="AS259" s="156"/>
      <c r="AT259" s="156"/>
      <c r="AU259" s="397"/>
      <c r="AV259" s="396"/>
      <c r="AW259" s="396"/>
      <c r="BZ259" s="1719"/>
      <c r="CE259" s="1619"/>
      <c r="CF259" s="1620" t="str">
        <f>IFERROR(INDEX(N_Bedarf!$CE$2:$CE$304,_xlfn.AGGREGATE(15,6,(ROW(N_Bedarf!$CE$2:$CE$304)-1)/(--(SEARCH(CG$2,N_Bedarf!$CE$2:$CE$304)&gt;0)),ROW()-2),1),"")</f>
        <v/>
      </c>
      <c r="CG259" s="1620"/>
      <c r="CH259" s="1620"/>
      <c r="CI259" s="1620"/>
      <c r="CJ259" s="1620"/>
      <c r="CK259" s="1620"/>
      <c r="CL259" s="1620"/>
      <c r="CM259" s="1620"/>
      <c r="CN259" s="1620"/>
      <c r="CO259" s="1620"/>
      <c r="CP259" s="1620"/>
      <c r="CQ259" s="1620"/>
      <c r="CR259" s="1620"/>
      <c r="CS259" s="1620"/>
      <c r="CT259" s="1620"/>
      <c r="CU259" s="1620"/>
      <c r="CV259" s="1620"/>
      <c r="CW259" s="1620"/>
      <c r="CX259" s="1620"/>
      <c r="CY259" s="1620"/>
      <c r="CZ259" s="1620"/>
      <c r="DA259" s="1620"/>
      <c r="DB259" s="1620"/>
      <c r="DC259" s="1620"/>
      <c r="DD259" s="1620" t="str">
        <f>IFERROR(INDEX(N_Bedarf!$CE$2:$CE$304,_xlfn.AGGREGATE(15,6,(ROW(N_Bedarf!$CE$2:$CE$304)-1)/(--(SEARCH(DE$2,N_Bedarf!$CE$2:$CE$304)&gt;0)),ROW()-2),1),"")</f>
        <v/>
      </c>
      <c r="DE259" s="1620" t="str">
        <f>IF(N_Bedarf!$C655="","",IF(COUNTIF(N_Bedarf!$CE$2:$CE$304,N_Bedarf!$C655),"",N_Bedarf!$C655))</f>
        <v/>
      </c>
      <c r="ES259" s="768"/>
      <c r="ET259" s="768"/>
      <c r="EU259" s="768"/>
      <c r="EV259" s="768"/>
      <c r="EW259" s="768"/>
    </row>
    <row r="260" spans="3:153" s="394" customFormat="1" ht="21" customHeight="1">
      <c r="C260" s="1758" t="s">
        <v>1886</v>
      </c>
      <c r="D260" s="1759" t="s">
        <v>585</v>
      </c>
      <c r="E260" s="1729">
        <v>60</v>
      </c>
      <c r="F260" s="1760"/>
      <c r="G260" s="1993" t="s">
        <v>1887</v>
      </c>
      <c r="H260" s="1994">
        <v>90</v>
      </c>
      <c r="I260" s="1995"/>
      <c r="J260" s="1759" t="s">
        <v>714</v>
      </c>
      <c r="K260" s="1729"/>
      <c r="L260" s="1760"/>
      <c r="M260" s="1"/>
      <c r="N260" s="1"/>
      <c r="O260" s="1"/>
      <c r="P260" s="1"/>
      <c r="Q260" s="1"/>
      <c r="R260" s="1"/>
      <c r="S260" s="1759">
        <v>45</v>
      </c>
      <c r="T260" s="1729">
        <v>70</v>
      </c>
      <c r="U260" s="1760" t="s">
        <v>1764</v>
      </c>
      <c r="V260" s="1759">
        <v>40</v>
      </c>
      <c r="W260" s="1729">
        <v>55</v>
      </c>
      <c r="X260" s="1760" t="s">
        <v>1764</v>
      </c>
      <c r="Y260" s="2009">
        <v>30</v>
      </c>
      <c r="Z260" s="2010">
        <v>45</v>
      </c>
      <c r="AA260" s="2011"/>
      <c r="AB260" s="1871" t="s">
        <v>583</v>
      </c>
      <c r="AC260" s="1737" t="s">
        <v>583</v>
      </c>
      <c r="AD260" s="1762">
        <v>120</v>
      </c>
      <c r="AE260" s="1729">
        <v>180</v>
      </c>
      <c r="AF260" s="1760" t="s">
        <v>1764</v>
      </c>
      <c r="AG260" s="1759">
        <v>100</v>
      </c>
      <c r="AH260" s="1729">
        <v>150</v>
      </c>
      <c r="AI260" s="1760" t="s">
        <v>1764</v>
      </c>
      <c r="AJ260" s="2009">
        <v>80</v>
      </c>
      <c r="AK260" s="2010">
        <v>120</v>
      </c>
      <c r="AL260" s="2011"/>
      <c r="AM260" s="1871" t="s">
        <v>583</v>
      </c>
      <c r="AN260" s="1763" t="s">
        <v>583</v>
      </c>
      <c r="AR260" s="156"/>
      <c r="AS260" s="156"/>
      <c r="AT260" s="156"/>
      <c r="AU260" s="397"/>
      <c r="AV260" s="396"/>
      <c r="AW260" s="396"/>
      <c r="BZ260" s="1719"/>
      <c r="CE260" s="1619"/>
      <c r="CF260" s="1620" t="str">
        <f>IFERROR(INDEX(N_Bedarf!$CE$2:$CE$304,_xlfn.AGGREGATE(15,6,(ROW(N_Bedarf!$CE$2:$CE$304)-1)/(--(SEARCH(CG$2,N_Bedarf!$CE$2:$CE$304)&gt;0)),ROW()-2),1),"")</f>
        <v/>
      </c>
      <c r="CG260" s="1620"/>
      <c r="CH260" s="1620"/>
      <c r="CI260" s="1620"/>
      <c r="CJ260" s="1620"/>
      <c r="CK260" s="1620"/>
      <c r="CL260" s="1620"/>
      <c r="CM260" s="1620"/>
      <c r="CN260" s="1620"/>
      <c r="CO260" s="1620"/>
      <c r="CP260" s="1620"/>
      <c r="CQ260" s="1620"/>
      <c r="CR260" s="1620"/>
      <c r="CS260" s="1620"/>
      <c r="CT260" s="1620"/>
      <c r="CU260" s="1620"/>
      <c r="CV260" s="1620"/>
      <c r="CW260" s="1620"/>
      <c r="CX260" s="1620"/>
      <c r="CY260" s="1620"/>
      <c r="CZ260" s="1620"/>
      <c r="DA260" s="1620"/>
      <c r="DB260" s="1620"/>
      <c r="DC260" s="1620"/>
      <c r="DD260" s="1620" t="str">
        <f>IFERROR(INDEX(N_Bedarf!$CE$2:$CE$304,_xlfn.AGGREGATE(15,6,(ROW(N_Bedarf!$CE$2:$CE$304)-1)/(--(SEARCH(DE$2,N_Bedarf!$CE$2:$CE$304)&gt;0)),ROW()-2),1),"")</f>
        <v/>
      </c>
      <c r="DE260" s="1620" t="str">
        <f>IF(N_Bedarf!$C656="","",IF(COUNTIF(N_Bedarf!$CE$2:$CE$304,N_Bedarf!$C656),"",N_Bedarf!$C656))</f>
        <v/>
      </c>
      <c r="ES260" s="768"/>
      <c r="ET260" s="768"/>
      <c r="EU260" s="768"/>
      <c r="EV260" s="768"/>
      <c r="EW260" s="768"/>
    </row>
    <row r="261" spans="3:153" s="394" customFormat="1" ht="21" customHeight="1">
      <c r="C261" s="1758" t="s">
        <v>1888</v>
      </c>
      <c r="D261" s="1759" t="s">
        <v>714</v>
      </c>
      <c r="E261" s="1729" t="s">
        <v>714</v>
      </c>
      <c r="F261" s="1760"/>
      <c r="G261" s="1993" t="s">
        <v>587</v>
      </c>
      <c r="H261" s="1994">
        <v>120</v>
      </c>
      <c r="I261" s="1995"/>
      <c r="J261" s="1759" t="s">
        <v>1576</v>
      </c>
      <c r="K261" s="1729">
        <v>150</v>
      </c>
      <c r="L261" s="1760"/>
      <c r="M261" s="1"/>
      <c r="N261" s="1"/>
      <c r="O261" s="1"/>
      <c r="P261" s="1"/>
      <c r="Q261" s="1"/>
      <c r="R261" s="1"/>
      <c r="S261" s="1759">
        <v>70</v>
      </c>
      <c r="T261" s="1729">
        <v>100</v>
      </c>
      <c r="U261" s="1760">
        <v>120</v>
      </c>
      <c r="V261" s="1759">
        <v>55</v>
      </c>
      <c r="W261" s="1729">
        <v>80</v>
      </c>
      <c r="X261" s="1760">
        <v>100</v>
      </c>
      <c r="Y261" s="2009">
        <v>45</v>
      </c>
      <c r="Z261" s="2010">
        <v>65</v>
      </c>
      <c r="AA261" s="2011">
        <v>80</v>
      </c>
      <c r="AB261" s="1871" t="s">
        <v>583</v>
      </c>
      <c r="AC261" s="1737" t="s">
        <v>583</v>
      </c>
      <c r="AD261" s="1762">
        <v>195</v>
      </c>
      <c r="AE261" s="1729">
        <v>255</v>
      </c>
      <c r="AF261" s="1760">
        <v>325</v>
      </c>
      <c r="AG261" s="1759">
        <v>165</v>
      </c>
      <c r="AH261" s="1729">
        <v>215</v>
      </c>
      <c r="AI261" s="1760">
        <v>270</v>
      </c>
      <c r="AJ261" s="2009">
        <v>130</v>
      </c>
      <c r="AK261" s="2010">
        <v>170</v>
      </c>
      <c r="AL261" s="2011">
        <v>215</v>
      </c>
      <c r="AM261" s="1871" t="s">
        <v>583</v>
      </c>
      <c r="AN261" s="1763" t="s">
        <v>583</v>
      </c>
      <c r="AR261" s="156"/>
      <c r="AS261" s="156"/>
      <c r="AT261" s="156"/>
      <c r="AU261" s="397"/>
      <c r="AV261" s="396"/>
      <c r="AW261" s="396"/>
      <c r="BZ261" s="1719"/>
      <c r="CE261" s="1619"/>
      <c r="CF261" s="1620" t="str">
        <f>IFERROR(INDEX(N_Bedarf!$CE$2:$CE$304,_xlfn.AGGREGATE(15,6,(ROW(N_Bedarf!$CE$2:$CE$304)-1)/(--(SEARCH(CG$2,N_Bedarf!$CE$2:$CE$304)&gt;0)),ROW()-2),1),"")</f>
        <v/>
      </c>
      <c r="CG261" s="1620"/>
      <c r="CH261" s="1620"/>
      <c r="CI261" s="1620"/>
      <c r="CJ261" s="1620"/>
      <c r="CK261" s="1620"/>
      <c r="CL261" s="1620"/>
      <c r="CM261" s="1620"/>
      <c r="CN261" s="1620"/>
      <c r="CO261" s="1620"/>
      <c r="CP261" s="1620"/>
      <c r="CQ261" s="1620"/>
      <c r="CR261" s="1620"/>
      <c r="CS261" s="1620"/>
      <c r="CT261" s="1620"/>
      <c r="CU261" s="1620"/>
      <c r="CV261" s="1620"/>
      <c r="CW261" s="1620"/>
      <c r="CX261" s="1620"/>
      <c r="CY261" s="1620"/>
      <c r="CZ261" s="1620"/>
      <c r="DA261" s="1620"/>
      <c r="DB261" s="1620"/>
      <c r="DC261" s="1620"/>
      <c r="DD261" s="1620" t="str">
        <f>IFERROR(INDEX(N_Bedarf!$CE$2:$CE$304,_xlfn.AGGREGATE(15,6,(ROW(N_Bedarf!$CE$2:$CE$304)-1)/(--(SEARCH(DE$2,N_Bedarf!$CE$2:$CE$304)&gt;0)),ROW()-2),1),"")</f>
        <v/>
      </c>
      <c r="DE261" s="1620" t="str">
        <f>IF(N_Bedarf!$C657="","",IF(COUNTIF(N_Bedarf!$CE$2:$CE$304,N_Bedarf!$C657),"",N_Bedarf!$C657))</f>
        <v/>
      </c>
      <c r="ES261" s="768"/>
      <c r="ET261" s="768"/>
      <c r="EU261" s="768"/>
      <c r="EV261" s="768"/>
      <c r="EW261" s="768"/>
    </row>
    <row r="262" spans="3:153" s="394" customFormat="1" ht="21" customHeight="1">
      <c r="C262" s="1758" t="s">
        <v>1889</v>
      </c>
      <c r="D262" s="1759" t="s">
        <v>586</v>
      </c>
      <c r="E262" s="1729">
        <v>80</v>
      </c>
      <c r="F262" s="1760"/>
      <c r="G262" s="1993" t="s">
        <v>587</v>
      </c>
      <c r="H262" s="1994">
        <v>100</v>
      </c>
      <c r="I262" s="1995"/>
      <c r="J262" s="1759" t="s">
        <v>1576</v>
      </c>
      <c r="K262" s="1729">
        <v>120</v>
      </c>
      <c r="L262" s="1760"/>
      <c r="M262" s="1"/>
      <c r="N262" s="1"/>
      <c r="O262" s="1"/>
      <c r="P262" s="1"/>
      <c r="Q262" s="1"/>
      <c r="R262" s="1"/>
      <c r="S262" s="1759">
        <v>70</v>
      </c>
      <c r="T262" s="1729">
        <v>100</v>
      </c>
      <c r="U262" s="1760">
        <v>120</v>
      </c>
      <c r="V262" s="1759">
        <v>55</v>
      </c>
      <c r="W262" s="1729">
        <v>80</v>
      </c>
      <c r="X262" s="1760">
        <v>100</v>
      </c>
      <c r="Y262" s="2009">
        <v>45</v>
      </c>
      <c r="Z262" s="2010">
        <v>65</v>
      </c>
      <c r="AA262" s="2011">
        <v>80</v>
      </c>
      <c r="AB262" s="1871" t="s">
        <v>583</v>
      </c>
      <c r="AC262" s="1737" t="s">
        <v>583</v>
      </c>
      <c r="AD262" s="1762">
        <v>195</v>
      </c>
      <c r="AE262" s="1729">
        <v>255</v>
      </c>
      <c r="AF262" s="1760">
        <v>325</v>
      </c>
      <c r="AG262" s="1759">
        <v>165</v>
      </c>
      <c r="AH262" s="1729">
        <v>215</v>
      </c>
      <c r="AI262" s="1760">
        <v>270</v>
      </c>
      <c r="AJ262" s="2009">
        <v>130</v>
      </c>
      <c r="AK262" s="2010">
        <v>170</v>
      </c>
      <c r="AL262" s="2011">
        <v>215</v>
      </c>
      <c r="AM262" s="1871" t="s">
        <v>583</v>
      </c>
      <c r="AN262" s="1763" t="s">
        <v>583</v>
      </c>
      <c r="AR262" s="156"/>
      <c r="AS262" s="156"/>
      <c r="AT262" s="156"/>
      <c r="AU262" s="397"/>
      <c r="AV262" s="396"/>
      <c r="AW262" s="396"/>
      <c r="BZ262" s="1719"/>
      <c r="CE262" s="1619"/>
      <c r="CF262" s="1620" t="str">
        <f>IFERROR(INDEX(N_Bedarf!$CE$2:$CE$304,_xlfn.AGGREGATE(15,6,(ROW(N_Bedarf!$CE$2:$CE$304)-1)/(--(SEARCH(CG$2,N_Bedarf!$CE$2:$CE$304)&gt;0)),ROW()-2),1),"")</f>
        <v/>
      </c>
      <c r="CG262" s="1620"/>
      <c r="CH262" s="1620"/>
      <c r="CI262" s="1620"/>
      <c r="CJ262" s="1620"/>
      <c r="CK262" s="1620"/>
      <c r="CL262" s="1620"/>
      <c r="CM262" s="1620"/>
      <c r="CN262" s="1620"/>
      <c r="CO262" s="1620"/>
      <c r="CP262" s="1620"/>
      <c r="CQ262" s="1620"/>
      <c r="CR262" s="1620"/>
      <c r="CS262" s="1620"/>
      <c r="CT262" s="1620"/>
      <c r="CU262" s="1620"/>
      <c r="CV262" s="1620"/>
      <c r="CW262" s="1620"/>
      <c r="CX262" s="1620"/>
      <c r="CY262" s="1620"/>
      <c r="CZ262" s="1620"/>
      <c r="DA262" s="1620"/>
      <c r="DB262" s="1620"/>
      <c r="DC262" s="1620"/>
      <c r="DD262" s="1620" t="str">
        <f>IFERROR(INDEX(N_Bedarf!$CE$2:$CE$304,_xlfn.AGGREGATE(15,6,(ROW(N_Bedarf!$CE$2:$CE$304)-1)/(--(SEARCH(DE$2,N_Bedarf!$CE$2:$CE$304)&gt;0)),ROW()-2),1),"")</f>
        <v/>
      </c>
      <c r="DE262" s="1620" t="str">
        <f>IF(N_Bedarf!$C658="","",IF(COUNTIF(N_Bedarf!$CE$2:$CE$304,N_Bedarf!$C658),"",N_Bedarf!$C658))</f>
        <v/>
      </c>
      <c r="ES262" s="768"/>
      <c r="ET262" s="768"/>
      <c r="EU262" s="768"/>
      <c r="EV262" s="768"/>
      <c r="EW262" s="768"/>
    </row>
    <row r="263" spans="3:153" s="394" customFormat="1" ht="21" customHeight="1">
      <c r="C263" s="1758" t="s">
        <v>1890</v>
      </c>
      <c r="D263" s="1759"/>
      <c r="E263" s="1729"/>
      <c r="F263" s="1760"/>
      <c r="G263" s="1993" t="s">
        <v>588</v>
      </c>
      <c r="H263" s="1994">
        <v>160</v>
      </c>
      <c r="I263" s="1995"/>
      <c r="J263" s="1759" t="s">
        <v>1577</v>
      </c>
      <c r="K263" s="1729">
        <v>200</v>
      </c>
      <c r="L263" s="1760"/>
      <c r="M263" s="1"/>
      <c r="N263" s="1"/>
      <c r="O263" s="1"/>
      <c r="P263" s="1"/>
      <c r="Q263" s="1"/>
      <c r="R263" s="1"/>
      <c r="S263" s="1759" t="s">
        <v>1764</v>
      </c>
      <c r="T263" s="1729">
        <v>120</v>
      </c>
      <c r="U263" s="1760">
        <v>135</v>
      </c>
      <c r="V263" s="1759" t="s">
        <v>1764</v>
      </c>
      <c r="W263" s="1729">
        <v>100</v>
      </c>
      <c r="X263" s="1760">
        <v>115</v>
      </c>
      <c r="Y263" s="2009"/>
      <c r="Z263" s="2010">
        <v>80</v>
      </c>
      <c r="AA263" s="2011">
        <v>90</v>
      </c>
      <c r="AB263" s="1871" t="s">
        <v>583</v>
      </c>
      <c r="AC263" s="1737" t="s">
        <v>583</v>
      </c>
      <c r="AD263" s="1762" t="s">
        <v>1764</v>
      </c>
      <c r="AE263" s="1729">
        <v>310</v>
      </c>
      <c r="AF263" s="1760">
        <v>390</v>
      </c>
      <c r="AG263" s="1759" t="s">
        <v>1764</v>
      </c>
      <c r="AH263" s="1729">
        <v>255</v>
      </c>
      <c r="AI263" s="1760">
        <v>325</v>
      </c>
      <c r="AJ263" s="2009"/>
      <c r="AK263" s="2010">
        <v>205</v>
      </c>
      <c r="AL263" s="2011">
        <v>260</v>
      </c>
      <c r="AM263" s="1871" t="s">
        <v>583</v>
      </c>
      <c r="AN263" s="1763" t="s">
        <v>583</v>
      </c>
      <c r="AR263" s="156"/>
      <c r="AS263" s="156"/>
      <c r="AT263" s="156"/>
      <c r="AU263" s="397"/>
      <c r="AV263" s="396"/>
      <c r="AW263" s="396"/>
      <c r="BZ263" s="1719"/>
      <c r="CE263" s="1619"/>
      <c r="CF263" s="1620" t="str">
        <f>IFERROR(INDEX(N_Bedarf!$CE$2:$CE$304,_xlfn.AGGREGATE(15,6,(ROW(N_Bedarf!$CE$2:$CE$304)-1)/(--(SEARCH(CG$2,N_Bedarf!$CE$2:$CE$304)&gt;0)),ROW()-2),1),"")</f>
        <v/>
      </c>
      <c r="CG263" s="1620"/>
      <c r="CH263" s="1620"/>
      <c r="CI263" s="1620"/>
      <c r="CJ263" s="1620"/>
      <c r="CK263" s="1620"/>
      <c r="CL263" s="1620"/>
      <c r="CM263" s="1620"/>
      <c r="CN263" s="1620"/>
      <c r="CO263" s="1620"/>
      <c r="CP263" s="1620"/>
      <c r="CQ263" s="1620"/>
      <c r="CR263" s="1620"/>
      <c r="CS263" s="1620"/>
      <c r="CT263" s="1620"/>
      <c r="CU263" s="1620"/>
      <c r="CV263" s="1620"/>
      <c r="CW263" s="1620"/>
      <c r="CX263" s="1620"/>
      <c r="CY263" s="1620"/>
      <c r="CZ263" s="1620"/>
      <c r="DA263" s="1620"/>
      <c r="DB263" s="1620"/>
      <c r="DC263" s="1620"/>
      <c r="DD263" s="1620" t="str">
        <f>IFERROR(INDEX(N_Bedarf!$CE$2:$CE$304,_xlfn.AGGREGATE(15,6,(ROW(N_Bedarf!$CE$2:$CE$304)-1)/(--(SEARCH(DE$2,N_Bedarf!$CE$2:$CE$304)&gt;0)),ROW()-2),1),"")</f>
        <v/>
      </c>
      <c r="DE263" s="1620" t="str">
        <f>IF(N_Bedarf!$C659="","",IF(COUNTIF(N_Bedarf!$CE$2:$CE$304,N_Bedarf!$C659),"",N_Bedarf!$C659))</f>
        <v/>
      </c>
      <c r="ES263" s="768"/>
      <c r="ET263" s="768"/>
      <c r="EU263" s="768"/>
      <c r="EV263" s="768"/>
      <c r="EW263" s="768"/>
    </row>
    <row r="264" spans="3:153" s="394" customFormat="1" ht="21" customHeight="1">
      <c r="C264" s="1758" t="s">
        <v>1891</v>
      </c>
      <c r="D264" s="1759"/>
      <c r="E264" s="1729"/>
      <c r="F264" s="1760"/>
      <c r="G264" s="1993" t="s">
        <v>588</v>
      </c>
      <c r="H264" s="1994">
        <v>120</v>
      </c>
      <c r="I264" s="1995"/>
      <c r="J264" s="1759" t="s">
        <v>1577</v>
      </c>
      <c r="K264" s="1729">
        <v>150</v>
      </c>
      <c r="L264" s="1760"/>
      <c r="M264" s="1"/>
      <c r="N264" s="1"/>
      <c r="O264" s="1"/>
      <c r="P264" s="1"/>
      <c r="Q264" s="1"/>
      <c r="R264" s="1"/>
      <c r="S264" s="1759" t="s">
        <v>1764</v>
      </c>
      <c r="T264" s="1729">
        <v>120</v>
      </c>
      <c r="U264" s="1760">
        <v>135</v>
      </c>
      <c r="V264" s="1759" t="s">
        <v>1764</v>
      </c>
      <c r="W264" s="1729">
        <v>100</v>
      </c>
      <c r="X264" s="1760">
        <v>115</v>
      </c>
      <c r="Y264" s="2009"/>
      <c r="Z264" s="2010">
        <v>80</v>
      </c>
      <c r="AA264" s="2011">
        <v>90</v>
      </c>
      <c r="AB264" s="1871" t="s">
        <v>583</v>
      </c>
      <c r="AC264" s="1737" t="s">
        <v>583</v>
      </c>
      <c r="AD264" s="1762" t="s">
        <v>1764</v>
      </c>
      <c r="AE264" s="1729">
        <v>310</v>
      </c>
      <c r="AF264" s="1760">
        <v>390</v>
      </c>
      <c r="AG264" s="1759" t="s">
        <v>1764</v>
      </c>
      <c r="AH264" s="1729">
        <v>255</v>
      </c>
      <c r="AI264" s="1760">
        <v>325</v>
      </c>
      <c r="AJ264" s="2009"/>
      <c r="AK264" s="2010">
        <v>205</v>
      </c>
      <c r="AL264" s="2011">
        <v>260</v>
      </c>
      <c r="AM264" s="1871" t="s">
        <v>583</v>
      </c>
      <c r="AN264" s="1763" t="s">
        <v>583</v>
      </c>
      <c r="AR264" s="156"/>
      <c r="AS264" s="156"/>
      <c r="AT264" s="156"/>
      <c r="AU264" s="397"/>
      <c r="AV264" s="396"/>
      <c r="AW264" s="396"/>
      <c r="BZ264" s="1719"/>
      <c r="CE264" s="1619"/>
      <c r="CF264" s="1620" t="str">
        <f>IFERROR(INDEX(N_Bedarf!$CE$2:$CE$304,_xlfn.AGGREGATE(15,6,(ROW(N_Bedarf!$CE$2:$CE$304)-1)/(--(SEARCH(CG$2,N_Bedarf!$CE$2:$CE$304)&gt;0)),ROW()-2),1),"")</f>
        <v/>
      </c>
      <c r="CG264" s="1620"/>
      <c r="CH264" s="1620"/>
      <c r="CI264" s="1620"/>
      <c r="CJ264" s="1620"/>
      <c r="CK264" s="1620"/>
      <c r="CL264" s="1620"/>
      <c r="CM264" s="1620"/>
      <c r="CN264" s="1620"/>
      <c r="CO264" s="1620"/>
      <c r="CP264" s="1620"/>
      <c r="CQ264" s="1620"/>
      <c r="CR264" s="1620"/>
      <c r="CS264" s="1620"/>
      <c r="CT264" s="1620"/>
      <c r="CU264" s="1620"/>
      <c r="CV264" s="1620"/>
      <c r="CW264" s="1620"/>
      <c r="CX264" s="1620"/>
      <c r="CY264" s="1620"/>
      <c r="CZ264" s="1620"/>
      <c r="DA264" s="1620"/>
      <c r="DB264" s="1620"/>
      <c r="DC264" s="1620"/>
      <c r="DD264" s="1620" t="str">
        <f>IFERROR(INDEX(N_Bedarf!$CE$2:$CE$304,_xlfn.AGGREGATE(15,6,(ROW(N_Bedarf!$CE$2:$CE$304)-1)/(--(SEARCH(DE$2,N_Bedarf!$CE$2:$CE$304)&gt;0)),ROW()-2),1),"")</f>
        <v/>
      </c>
      <c r="DE264" s="1620" t="str">
        <f>IF(N_Bedarf!$C660="","",IF(COUNTIF(N_Bedarf!$CE$2:$CE$304,N_Bedarf!$C660),"",N_Bedarf!$C660))</f>
        <v/>
      </c>
      <c r="ES264" s="768"/>
      <c r="ET264" s="768"/>
      <c r="EU264" s="768"/>
      <c r="EV264" s="768"/>
      <c r="EW264" s="768"/>
    </row>
    <row r="265" spans="3:153" s="394" customFormat="1" ht="21" customHeight="1">
      <c r="C265" s="1758" t="s">
        <v>1892</v>
      </c>
      <c r="D265" s="1759"/>
      <c r="E265" s="1729"/>
      <c r="F265" s="1760"/>
      <c r="G265" s="1993" t="s">
        <v>590</v>
      </c>
      <c r="H265" s="1994">
        <v>200</v>
      </c>
      <c r="I265" s="1995"/>
      <c r="J265" s="1759" t="s">
        <v>1893</v>
      </c>
      <c r="K265" s="1729">
        <v>240</v>
      </c>
      <c r="L265" s="1760"/>
      <c r="M265" s="1"/>
      <c r="N265" s="1"/>
      <c r="O265" s="1"/>
      <c r="P265" s="1"/>
      <c r="Q265" s="1"/>
      <c r="R265" s="1"/>
      <c r="S265" s="1759" t="s">
        <v>1764</v>
      </c>
      <c r="T265" s="1729">
        <v>130</v>
      </c>
      <c r="U265" s="1760">
        <v>160</v>
      </c>
      <c r="V265" s="1759" t="s">
        <v>1764</v>
      </c>
      <c r="W265" s="1729">
        <v>105</v>
      </c>
      <c r="X265" s="1760">
        <v>130</v>
      </c>
      <c r="Y265" s="2009"/>
      <c r="Z265" s="2010">
        <v>85</v>
      </c>
      <c r="AA265" s="2011">
        <v>105</v>
      </c>
      <c r="AB265" s="1871" t="s">
        <v>583</v>
      </c>
      <c r="AC265" s="1737" t="s">
        <v>583</v>
      </c>
      <c r="AD265" s="1762" t="s">
        <v>1764</v>
      </c>
      <c r="AE265" s="1729">
        <v>345</v>
      </c>
      <c r="AF265" s="1760">
        <v>450</v>
      </c>
      <c r="AG265" s="1759" t="s">
        <v>1764</v>
      </c>
      <c r="AH265" s="1729">
        <v>290</v>
      </c>
      <c r="AI265" s="1760">
        <v>375</v>
      </c>
      <c r="AJ265" s="2009"/>
      <c r="AK265" s="2010">
        <v>230</v>
      </c>
      <c r="AL265" s="2011">
        <v>300</v>
      </c>
      <c r="AM265" s="1871" t="s">
        <v>583</v>
      </c>
      <c r="AN265" s="1763" t="s">
        <v>583</v>
      </c>
      <c r="AR265" s="156"/>
      <c r="AS265" s="156"/>
      <c r="AT265" s="156"/>
      <c r="AU265" s="397"/>
      <c r="AV265" s="396"/>
      <c r="AW265" s="396"/>
      <c r="BZ265" s="1719"/>
      <c r="CE265" s="1619"/>
      <c r="CF265" s="1620" t="str">
        <f>IFERROR(INDEX(N_Bedarf!$CE$2:$CE$304,_xlfn.AGGREGATE(15,6,(ROW(N_Bedarf!$CE$2:$CE$304)-1)/(--(SEARCH(CG$2,N_Bedarf!$CE$2:$CE$304)&gt;0)),ROW()-2),1),"")</f>
        <v/>
      </c>
      <c r="CG265" s="1620"/>
      <c r="CH265" s="1620"/>
      <c r="CI265" s="1620"/>
      <c r="CJ265" s="1620"/>
      <c r="CK265" s="1620"/>
      <c r="CL265" s="1620"/>
      <c r="CM265" s="1620"/>
      <c r="CN265" s="1620"/>
      <c r="CO265" s="1620"/>
      <c r="CP265" s="1620"/>
      <c r="CQ265" s="1620"/>
      <c r="CR265" s="1620"/>
      <c r="CS265" s="1620"/>
      <c r="CT265" s="1620"/>
      <c r="CU265" s="1620"/>
      <c r="CV265" s="1620"/>
      <c r="CW265" s="1620"/>
      <c r="CX265" s="1620"/>
      <c r="CY265" s="1620"/>
      <c r="CZ265" s="1620"/>
      <c r="DA265" s="1620"/>
      <c r="DB265" s="1620"/>
      <c r="DC265" s="1620"/>
      <c r="DD265" s="1620" t="str">
        <f>IFERROR(INDEX(N_Bedarf!$CE$2:$CE$304,_xlfn.AGGREGATE(15,6,(ROW(N_Bedarf!$CE$2:$CE$304)-1)/(--(SEARCH(DE$2,N_Bedarf!$CE$2:$CE$304)&gt;0)),ROW()-2),1),"")</f>
        <v/>
      </c>
      <c r="DE265" s="1620" t="str">
        <f>IF(N_Bedarf!$C661="","",IF(COUNTIF(N_Bedarf!$CE$2:$CE$304,N_Bedarf!$C661),"",N_Bedarf!$C661))</f>
        <v/>
      </c>
      <c r="ES265" s="768"/>
      <c r="ET265" s="768"/>
      <c r="EU265" s="768"/>
      <c r="EV265" s="768"/>
      <c r="EW265" s="768"/>
    </row>
    <row r="266" spans="3:153" s="394" customFormat="1" ht="21" customHeight="1">
      <c r="C266" s="1758" t="s">
        <v>1894</v>
      </c>
      <c r="D266" s="1759"/>
      <c r="E266" s="1729"/>
      <c r="F266" s="1760"/>
      <c r="G266" s="1993" t="s">
        <v>590</v>
      </c>
      <c r="H266" s="1994">
        <v>200</v>
      </c>
      <c r="I266" s="1995"/>
      <c r="J266" s="1759" t="s">
        <v>1893</v>
      </c>
      <c r="K266" s="1729">
        <v>240</v>
      </c>
      <c r="L266" s="1760"/>
      <c r="M266" s="1"/>
      <c r="N266" s="1"/>
      <c r="O266" s="1"/>
      <c r="P266" s="1"/>
      <c r="Q266" s="1"/>
      <c r="R266" s="1"/>
      <c r="S266" s="1759" t="s">
        <v>1764</v>
      </c>
      <c r="T266" s="1729">
        <v>130</v>
      </c>
      <c r="U266" s="1760">
        <v>160</v>
      </c>
      <c r="V266" s="1759" t="s">
        <v>1764</v>
      </c>
      <c r="W266" s="1729">
        <v>105</v>
      </c>
      <c r="X266" s="1760">
        <v>130</v>
      </c>
      <c r="Y266" s="2009"/>
      <c r="Z266" s="2010">
        <v>85</v>
      </c>
      <c r="AA266" s="2011">
        <v>105</v>
      </c>
      <c r="AB266" s="1871" t="s">
        <v>583</v>
      </c>
      <c r="AC266" s="1737" t="s">
        <v>583</v>
      </c>
      <c r="AD266" s="1762" t="s">
        <v>1764</v>
      </c>
      <c r="AE266" s="1729">
        <v>345</v>
      </c>
      <c r="AF266" s="1760">
        <v>450</v>
      </c>
      <c r="AG266" s="1759" t="s">
        <v>1764</v>
      </c>
      <c r="AH266" s="1729">
        <v>290</v>
      </c>
      <c r="AI266" s="1760">
        <v>375</v>
      </c>
      <c r="AJ266" s="2009"/>
      <c r="AK266" s="2010">
        <v>230</v>
      </c>
      <c r="AL266" s="2011">
        <v>300</v>
      </c>
      <c r="AM266" s="1871" t="s">
        <v>583</v>
      </c>
      <c r="AN266" s="1763" t="s">
        <v>583</v>
      </c>
      <c r="AR266" s="156"/>
      <c r="AS266" s="156"/>
      <c r="AT266" s="156"/>
      <c r="AU266" s="397"/>
      <c r="AV266" s="396"/>
      <c r="AW266" s="396"/>
      <c r="BZ266" s="1719"/>
      <c r="CE266" s="1619"/>
      <c r="CF266" s="1620" t="str">
        <f>IFERROR(INDEX(N_Bedarf!$CE$2:$CE$304,_xlfn.AGGREGATE(15,6,(ROW(N_Bedarf!$CE$2:$CE$304)-1)/(--(SEARCH(CG$2,N_Bedarf!$CE$2:$CE$304)&gt;0)),ROW()-2),1),"")</f>
        <v/>
      </c>
      <c r="CG266" s="1620"/>
      <c r="CH266" s="1620"/>
      <c r="CI266" s="1620"/>
      <c r="CJ266" s="1620"/>
      <c r="CK266" s="1620"/>
      <c r="CL266" s="1620"/>
      <c r="CM266" s="1620"/>
      <c r="CN266" s="1620"/>
      <c r="CO266" s="1620"/>
      <c r="CP266" s="1620"/>
      <c r="CQ266" s="1620"/>
      <c r="CR266" s="1620"/>
      <c r="CS266" s="1620"/>
      <c r="CT266" s="1620"/>
      <c r="CU266" s="1620"/>
      <c r="CV266" s="1620"/>
      <c r="CW266" s="1620"/>
      <c r="CX266" s="1620"/>
      <c r="CY266" s="1620"/>
      <c r="CZ266" s="1620"/>
      <c r="DA266" s="1620"/>
      <c r="DB266" s="1620"/>
      <c r="DC266" s="1620"/>
      <c r="DD266" s="1620" t="str">
        <f>IFERROR(INDEX(N_Bedarf!$CE$2:$CE$304,_xlfn.AGGREGATE(15,6,(ROW(N_Bedarf!$CE$2:$CE$304)-1)/(--(SEARCH(DE$2,N_Bedarf!$CE$2:$CE$304)&gt;0)),ROW()-2),1),"")</f>
        <v/>
      </c>
      <c r="DE266" s="1620" t="str">
        <f>IF(N_Bedarf!$C662="","",IF(COUNTIF(N_Bedarf!$CE$2:$CE$304,N_Bedarf!$C662),"",N_Bedarf!$C662))</f>
        <v/>
      </c>
      <c r="ES266" s="768"/>
      <c r="ET266" s="768"/>
      <c r="EU266" s="768"/>
      <c r="EV266" s="768"/>
      <c r="EW266" s="768"/>
    </row>
    <row r="267" spans="3:153" s="394" customFormat="1" ht="21" customHeight="1">
      <c r="C267" s="1758" t="s">
        <v>1895</v>
      </c>
      <c r="D267" s="1759"/>
      <c r="E267" s="1729"/>
      <c r="F267" s="1760"/>
      <c r="G267" s="1993"/>
      <c r="H267" s="1994"/>
      <c r="I267" s="1995"/>
      <c r="J267" s="1759" t="s">
        <v>1579</v>
      </c>
      <c r="K267" s="1729">
        <v>270</v>
      </c>
      <c r="L267" s="1760"/>
      <c r="M267" s="1"/>
      <c r="N267" s="1"/>
      <c r="O267" s="1"/>
      <c r="P267" s="1"/>
      <c r="Q267" s="1"/>
      <c r="R267" s="1"/>
      <c r="S267" s="1759" t="s">
        <v>1764</v>
      </c>
      <c r="T267" s="1729" t="s">
        <v>1764</v>
      </c>
      <c r="U267" s="1760">
        <v>180</v>
      </c>
      <c r="V267" s="1759" t="s">
        <v>1764</v>
      </c>
      <c r="W267" s="1729" t="s">
        <v>1764</v>
      </c>
      <c r="X267" s="1760">
        <v>150</v>
      </c>
      <c r="Y267" s="2009"/>
      <c r="Z267" s="2010"/>
      <c r="AA267" s="2011">
        <v>120</v>
      </c>
      <c r="AB267" s="1871" t="s">
        <v>583</v>
      </c>
      <c r="AC267" s="1737" t="s">
        <v>583</v>
      </c>
      <c r="AD267" s="1762" t="s">
        <v>1764</v>
      </c>
      <c r="AE267" s="1729" t="s">
        <v>1764</v>
      </c>
      <c r="AF267" s="1760">
        <v>510</v>
      </c>
      <c r="AG267" s="1759" t="s">
        <v>1764</v>
      </c>
      <c r="AH267" s="1729" t="s">
        <v>1764</v>
      </c>
      <c r="AI267" s="1760">
        <v>425</v>
      </c>
      <c r="AJ267" s="2009"/>
      <c r="AK267" s="2010"/>
      <c r="AL267" s="2011">
        <v>340</v>
      </c>
      <c r="AM267" s="1871" t="s">
        <v>583</v>
      </c>
      <c r="AN267" s="1763" t="s">
        <v>583</v>
      </c>
      <c r="AR267" s="156"/>
      <c r="AS267" s="156"/>
      <c r="AT267" s="156"/>
      <c r="AU267" s="397"/>
      <c r="AV267" s="396"/>
      <c r="AW267" s="396"/>
      <c r="BZ267" s="1719"/>
      <c r="CE267" s="1619"/>
      <c r="CF267" s="1620" t="str">
        <f>IFERROR(INDEX(N_Bedarf!$CE$2:$CE$304,_xlfn.AGGREGATE(15,6,(ROW(N_Bedarf!$CE$2:$CE$304)-1)/(--(SEARCH(CG$2,N_Bedarf!$CE$2:$CE$304)&gt;0)),ROW()-2),1),"")</f>
        <v/>
      </c>
      <c r="CG267" s="1620"/>
      <c r="CH267" s="1620"/>
      <c r="CI267" s="1620"/>
      <c r="CJ267" s="1620"/>
      <c r="CK267" s="1620"/>
      <c r="CL267" s="1620"/>
      <c r="CM267" s="1620"/>
      <c r="CN267" s="1620"/>
      <c r="CO267" s="1620"/>
      <c r="CP267" s="1620"/>
      <c r="CQ267" s="1620"/>
      <c r="CR267" s="1620"/>
      <c r="CS267" s="1620"/>
      <c r="CT267" s="1620"/>
      <c r="CU267" s="1620"/>
      <c r="CV267" s="1620"/>
      <c r="CW267" s="1620"/>
      <c r="CX267" s="1620"/>
      <c r="CY267" s="1620"/>
      <c r="CZ267" s="1620"/>
      <c r="DA267" s="1620"/>
      <c r="DB267" s="1620"/>
      <c r="DC267" s="1620"/>
      <c r="DD267" s="1620" t="str">
        <f>IFERROR(INDEX(N_Bedarf!$CE$2:$CE$304,_xlfn.AGGREGATE(15,6,(ROW(N_Bedarf!$CE$2:$CE$304)-1)/(--(SEARCH(DE$2,N_Bedarf!$CE$2:$CE$304)&gt;0)),ROW()-2),1),"")</f>
        <v/>
      </c>
      <c r="DE267" s="1620" t="str">
        <f>IF(N_Bedarf!$C663="","",IF(COUNTIF(N_Bedarf!$CE$2:$CE$304,N_Bedarf!$C663),"",N_Bedarf!$C663))</f>
        <v/>
      </c>
      <c r="ES267" s="768"/>
      <c r="ET267" s="768"/>
      <c r="EU267" s="768"/>
      <c r="EV267" s="768"/>
      <c r="EW267" s="768"/>
    </row>
    <row r="268" spans="3:153" s="394" customFormat="1" ht="21" customHeight="1">
      <c r="C268" s="1758" t="s">
        <v>1896</v>
      </c>
      <c r="D268" s="1759"/>
      <c r="E268" s="1729"/>
      <c r="F268" s="1760"/>
      <c r="G268" s="1993"/>
      <c r="H268" s="1994"/>
      <c r="I268" s="1995"/>
      <c r="J268" s="1759" t="s">
        <v>1579</v>
      </c>
      <c r="K268" s="1729">
        <v>270</v>
      </c>
      <c r="L268" s="1760"/>
      <c r="M268" s="1"/>
      <c r="N268" s="1"/>
      <c r="O268" s="1"/>
      <c r="P268" s="1"/>
      <c r="Q268" s="1"/>
      <c r="R268" s="1"/>
      <c r="S268" s="1759" t="s">
        <v>1764</v>
      </c>
      <c r="T268" s="1729" t="s">
        <v>1764</v>
      </c>
      <c r="U268" s="1760">
        <v>180</v>
      </c>
      <c r="V268" s="1759" t="s">
        <v>1764</v>
      </c>
      <c r="W268" s="1729" t="s">
        <v>1764</v>
      </c>
      <c r="X268" s="1760">
        <v>150</v>
      </c>
      <c r="Y268" s="2009"/>
      <c r="Z268" s="2010"/>
      <c r="AA268" s="2011">
        <v>120</v>
      </c>
      <c r="AB268" s="1871" t="s">
        <v>583</v>
      </c>
      <c r="AC268" s="1737" t="s">
        <v>583</v>
      </c>
      <c r="AD268" s="1762" t="s">
        <v>1764</v>
      </c>
      <c r="AE268" s="1729" t="s">
        <v>1764</v>
      </c>
      <c r="AF268" s="1760">
        <v>510</v>
      </c>
      <c r="AG268" s="1759" t="s">
        <v>1764</v>
      </c>
      <c r="AH268" s="1729" t="s">
        <v>1764</v>
      </c>
      <c r="AI268" s="1760">
        <v>425</v>
      </c>
      <c r="AJ268" s="2009"/>
      <c r="AK268" s="2010"/>
      <c r="AL268" s="2011">
        <v>340</v>
      </c>
      <c r="AM268" s="1871" t="s">
        <v>583</v>
      </c>
      <c r="AN268" s="1763" t="s">
        <v>583</v>
      </c>
      <c r="AR268" s="156"/>
      <c r="AS268" s="156"/>
      <c r="AT268" s="156"/>
      <c r="AU268" s="397"/>
      <c r="AV268" s="396"/>
      <c r="AW268" s="396"/>
      <c r="BH268" s="3"/>
      <c r="BI268" s="3"/>
      <c r="BJ268" s="3"/>
      <c r="BK268" s="3"/>
      <c r="BL268" s="3"/>
      <c r="BM268" s="3"/>
      <c r="BQ268" s="1669"/>
      <c r="BR268" s="1720"/>
      <c r="BS268" s="1720"/>
      <c r="BT268" s="1720"/>
      <c r="BV268" s="1669"/>
      <c r="BW268" s="1721"/>
      <c r="BX268" s="1720"/>
      <c r="BY268" s="1720"/>
      <c r="BZ268" s="1719"/>
      <c r="CE268" s="1619"/>
      <c r="CF268" s="1620" t="str">
        <f>IFERROR(INDEX(N_Bedarf!$CE$2:$CE$304,_xlfn.AGGREGATE(15,6,(ROW(N_Bedarf!$CE$2:$CE$304)-1)/(--(SEARCH(CG$2,N_Bedarf!$CE$2:$CE$304)&gt;0)),ROW()-2),1),"")</f>
        <v/>
      </c>
      <c r="CG268" s="1620"/>
      <c r="CH268" s="1620"/>
      <c r="CI268" s="1620"/>
      <c r="CJ268" s="1620"/>
      <c r="CK268" s="1620"/>
      <c r="CL268" s="1620"/>
      <c r="CM268" s="1620"/>
      <c r="CN268" s="1620"/>
      <c r="CO268" s="1620"/>
      <c r="CP268" s="1620"/>
      <c r="CQ268" s="1620"/>
      <c r="CR268" s="1620"/>
      <c r="CS268" s="1620"/>
      <c r="CT268" s="1620"/>
      <c r="CU268" s="1620"/>
      <c r="CV268" s="1620"/>
      <c r="CW268" s="1620"/>
      <c r="CX268" s="1620"/>
      <c r="CY268" s="1620"/>
      <c r="CZ268" s="1620"/>
      <c r="DA268" s="1620"/>
      <c r="DB268" s="1620"/>
      <c r="DC268" s="1620"/>
      <c r="DD268" s="1620" t="str">
        <f>IFERROR(INDEX(N_Bedarf!$CE$2:$CE$304,_xlfn.AGGREGATE(15,6,(ROW(N_Bedarf!$CE$2:$CE$304)-1)/(--(SEARCH(DE$2,N_Bedarf!$CE$2:$CE$304)&gt;0)),ROW()-2),1),"")</f>
        <v/>
      </c>
      <c r="DE268" s="1620" t="str">
        <f>IF(N_Bedarf!$C664="","",IF(COUNTIF(N_Bedarf!$CE$2:$CE$304,N_Bedarf!$C664),"",N_Bedarf!$C664))</f>
        <v/>
      </c>
      <c r="ES268" s="768"/>
      <c r="ET268" s="768"/>
      <c r="EU268" s="768"/>
      <c r="EV268" s="768"/>
      <c r="EW268" s="768"/>
    </row>
    <row r="269" spans="3:153" s="394" customFormat="1" ht="21" customHeight="1">
      <c r="C269" s="1758" t="s">
        <v>1897</v>
      </c>
      <c r="D269" s="1759" t="s">
        <v>714</v>
      </c>
      <c r="E269" s="1729">
        <v>0</v>
      </c>
      <c r="F269" s="1760" t="s">
        <v>1764</v>
      </c>
      <c r="G269" s="1993" t="s">
        <v>714</v>
      </c>
      <c r="H269" s="1994">
        <v>0</v>
      </c>
      <c r="I269" s="1995"/>
      <c r="J269" s="1759" t="s">
        <v>714</v>
      </c>
      <c r="K269" s="1729">
        <v>0</v>
      </c>
      <c r="L269" s="1760"/>
      <c r="M269" s="1"/>
      <c r="N269" s="1"/>
      <c r="O269" s="1"/>
      <c r="P269" s="1"/>
      <c r="Q269" s="1"/>
      <c r="R269" s="1"/>
      <c r="S269" s="1759" t="s">
        <v>1764</v>
      </c>
      <c r="T269" s="1729" t="s">
        <v>1764</v>
      </c>
      <c r="U269" s="1760" t="s">
        <v>1764</v>
      </c>
      <c r="V269" s="1759" t="s">
        <v>1764</v>
      </c>
      <c r="W269" s="1729" t="s">
        <v>1764</v>
      </c>
      <c r="X269" s="1760" t="s">
        <v>1764</v>
      </c>
      <c r="Y269" s="2009">
        <v>0</v>
      </c>
      <c r="Z269" s="2010">
        <v>0</v>
      </c>
      <c r="AA269" s="2011">
        <v>0</v>
      </c>
      <c r="AB269" s="1871" t="s">
        <v>714</v>
      </c>
      <c r="AC269" s="1737" t="s">
        <v>714</v>
      </c>
      <c r="AD269" s="1762" t="s">
        <v>1764</v>
      </c>
      <c r="AE269" s="1729" t="s">
        <v>1764</v>
      </c>
      <c r="AF269" s="1760" t="s">
        <v>1764</v>
      </c>
      <c r="AG269" s="1759" t="s">
        <v>1764</v>
      </c>
      <c r="AH269" s="1729" t="s">
        <v>1764</v>
      </c>
      <c r="AI269" s="1760" t="s">
        <v>1764</v>
      </c>
      <c r="AJ269" s="2009">
        <v>0</v>
      </c>
      <c r="AK269" s="2010">
        <v>0</v>
      </c>
      <c r="AL269" s="2011">
        <v>0</v>
      </c>
      <c r="AM269" s="1871" t="s">
        <v>714</v>
      </c>
      <c r="AN269" s="1763" t="s">
        <v>714</v>
      </c>
      <c r="AR269" s="156"/>
      <c r="AS269" s="156"/>
      <c r="AT269" s="156"/>
      <c r="AU269" s="397"/>
      <c r="AV269" s="396"/>
      <c r="AW269" s="396"/>
      <c r="BH269" s="3"/>
      <c r="BI269" s="3"/>
      <c r="BJ269" s="3"/>
      <c r="BK269" s="3"/>
      <c r="BL269" s="3"/>
      <c r="BM269" s="3"/>
      <c r="BQ269" s="1669"/>
      <c r="BR269" s="1720"/>
      <c r="BS269" s="1720"/>
      <c r="BT269" s="1720"/>
      <c r="BV269" s="1669"/>
      <c r="BW269" s="1721"/>
      <c r="BX269" s="1720"/>
      <c r="BY269" s="1720"/>
      <c r="BZ269" s="1719"/>
      <c r="CE269" s="1619"/>
      <c r="CF269" s="1620" t="str">
        <f>IFERROR(INDEX(N_Bedarf!$CE$2:$CE$304,_xlfn.AGGREGATE(15,6,(ROW(N_Bedarf!$CE$2:$CE$304)-1)/(--(SEARCH(CG$2,N_Bedarf!$CE$2:$CE$304)&gt;0)),ROW()-2),1),"")</f>
        <v/>
      </c>
      <c r="CG269" s="1620"/>
      <c r="CH269" s="1620"/>
      <c r="CI269" s="1620"/>
      <c r="CJ269" s="1620"/>
      <c r="CK269" s="1620"/>
      <c r="CL269" s="1620"/>
      <c r="CM269" s="1620"/>
      <c r="CN269" s="1620"/>
      <c r="CO269" s="1620"/>
      <c r="CP269" s="1620"/>
      <c r="CQ269" s="1620"/>
      <c r="CR269" s="1620"/>
      <c r="CS269" s="1620"/>
      <c r="CT269" s="1620"/>
      <c r="CU269" s="1620"/>
      <c r="CV269" s="1620"/>
      <c r="CW269" s="1620"/>
      <c r="CX269" s="1620"/>
      <c r="CY269" s="1620"/>
      <c r="CZ269" s="1620"/>
      <c r="DA269" s="1620"/>
      <c r="DB269" s="1620"/>
      <c r="DC269" s="1620"/>
      <c r="DD269" s="1620" t="str">
        <f>IFERROR(INDEX(N_Bedarf!$CE$2:$CE$304,_xlfn.AGGREGATE(15,6,(ROW(N_Bedarf!$CE$2:$CE$304)-1)/(--(SEARCH(DE$2,N_Bedarf!$CE$2:$CE$304)&gt;0)),ROW()-2),1),"")</f>
        <v/>
      </c>
      <c r="DE269" s="1620" t="str">
        <f>IF(N_Bedarf!$C665="","",IF(COUNTIF(N_Bedarf!$CE$2:$CE$304,N_Bedarf!$C665),"",N_Bedarf!$C665))</f>
        <v/>
      </c>
      <c r="ES269" s="768"/>
      <c r="ET269" s="768"/>
      <c r="EU269" s="768"/>
      <c r="EV269" s="768"/>
      <c r="EW269" s="768"/>
    </row>
    <row r="270" spans="3:153" s="394" customFormat="1" ht="21" customHeight="1">
      <c r="C270" s="1758" t="s">
        <v>1898</v>
      </c>
      <c r="D270" s="1759" t="s">
        <v>714</v>
      </c>
      <c r="E270" s="1729">
        <v>0</v>
      </c>
      <c r="F270" s="1760" t="s">
        <v>1764</v>
      </c>
      <c r="G270" s="1993" t="s">
        <v>714</v>
      </c>
      <c r="H270" s="1994">
        <v>0</v>
      </c>
      <c r="I270" s="1995"/>
      <c r="J270" s="1759" t="s">
        <v>714</v>
      </c>
      <c r="K270" s="1729">
        <v>0</v>
      </c>
      <c r="L270" s="1760"/>
      <c r="M270" s="1"/>
      <c r="N270" s="1"/>
      <c r="O270" s="1"/>
      <c r="P270" s="1"/>
      <c r="Q270" s="1"/>
      <c r="R270" s="1"/>
      <c r="S270" s="1759" t="s">
        <v>1764</v>
      </c>
      <c r="T270" s="1729" t="s">
        <v>1764</v>
      </c>
      <c r="U270" s="1760" t="s">
        <v>1764</v>
      </c>
      <c r="V270" s="1759" t="s">
        <v>1764</v>
      </c>
      <c r="W270" s="1729" t="s">
        <v>1764</v>
      </c>
      <c r="X270" s="1760" t="s">
        <v>1764</v>
      </c>
      <c r="Y270" s="2009">
        <v>0</v>
      </c>
      <c r="Z270" s="2010">
        <v>0</v>
      </c>
      <c r="AA270" s="2011">
        <v>0</v>
      </c>
      <c r="AB270" s="1871" t="s">
        <v>714</v>
      </c>
      <c r="AC270" s="1737" t="s">
        <v>714</v>
      </c>
      <c r="AD270" s="1762" t="s">
        <v>1764</v>
      </c>
      <c r="AE270" s="1729" t="s">
        <v>1764</v>
      </c>
      <c r="AF270" s="1760" t="s">
        <v>1764</v>
      </c>
      <c r="AG270" s="1759" t="s">
        <v>1764</v>
      </c>
      <c r="AH270" s="1729" t="s">
        <v>1764</v>
      </c>
      <c r="AI270" s="1760" t="s">
        <v>1764</v>
      </c>
      <c r="AJ270" s="2009">
        <v>0</v>
      </c>
      <c r="AK270" s="2010">
        <v>0</v>
      </c>
      <c r="AL270" s="2011">
        <v>0</v>
      </c>
      <c r="AM270" s="1871" t="s">
        <v>714</v>
      </c>
      <c r="AN270" s="1763" t="s">
        <v>714</v>
      </c>
      <c r="AR270" s="156"/>
      <c r="AS270" s="156"/>
      <c r="AT270" s="156"/>
      <c r="AU270" s="397"/>
      <c r="AV270" s="396"/>
      <c r="AW270" s="396"/>
      <c r="AY270" s="3"/>
      <c r="AZ270" s="3"/>
      <c r="BA270" s="3"/>
      <c r="BB270" s="3"/>
      <c r="BC270" s="3"/>
      <c r="BD270" s="3"/>
      <c r="BE270" s="3"/>
      <c r="BF270" s="3"/>
      <c r="BG270" s="3"/>
      <c r="BH270" s="3"/>
      <c r="BI270" s="3"/>
      <c r="BJ270" s="3"/>
      <c r="BK270" s="3"/>
      <c r="BL270" s="3"/>
      <c r="BM270" s="3"/>
      <c r="BQ270" s="1669"/>
      <c r="BR270" s="1720"/>
      <c r="BS270" s="1720"/>
      <c r="BT270" s="1720"/>
      <c r="BV270" s="1669"/>
      <c r="BW270" s="1721"/>
      <c r="BX270" s="1720"/>
      <c r="BY270" s="1720"/>
      <c r="BZ270" s="1719"/>
      <c r="CE270" s="1619"/>
      <c r="CF270" s="1620" t="str">
        <f>IFERROR(INDEX(N_Bedarf!$CE$2:$CE$304,_xlfn.AGGREGATE(15,6,(ROW(N_Bedarf!$CE$2:$CE$304)-1)/(--(SEARCH(CG$2,N_Bedarf!$CE$2:$CE$304)&gt;0)),ROW()-2),1),"")</f>
        <v/>
      </c>
      <c r="CG270" s="1620"/>
      <c r="CH270" s="1620"/>
      <c r="CI270" s="1620"/>
      <c r="CJ270" s="1620"/>
      <c r="CK270" s="1620"/>
      <c r="CL270" s="1620"/>
      <c r="CM270" s="1620"/>
      <c r="CN270" s="1620"/>
      <c r="CO270" s="1620"/>
      <c r="CP270" s="1620"/>
      <c r="CQ270" s="1620"/>
      <c r="CR270" s="1620"/>
      <c r="CS270" s="1620"/>
      <c r="CT270" s="1620"/>
      <c r="CU270" s="1620"/>
      <c r="CV270" s="1620"/>
      <c r="CW270" s="1620"/>
      <c r="CX270" s="1620"/>
      <c r="CY270" s="1620"/>
      <c r="CZ270" s="1620"/>
      <c r="DA270" s="1620"/>
      <c r="DB270" s="1620"/>
      <c r="DC270" s="1620"/>
      <c r="DD270" s="1620" t="str">
        <f>IFERROR(INDEX(N_Bedarf!$CE$2:$CE$304,_xlfn.AGGREGATE(15,6,(ROW(N_Bedarf!$CE$2:$CE$304)-1)/(--(SEARCH(DE$2,N_Bedarf!$CE$2:$CE$304)&gt;0)),ROW()-2),1),"")</f>
        <v/>
      </c>
      <c r="DE270" s="1620" t="str">
        <f>IF(N_Bedarf!$C666="","",IF(COUNTIF(N_Bedarf!$CE$2:$CE$304,N_Bedarf!$C666),"",N_Bedarf!$C666))</f>
        <v/>
      </c>
      <c r="ES270" s="768"/>
      <c r="ET270" s="768"/>
      <c r="EU270" s="768"/>
      <c r="EV270" s="768"/>
      <c r="EW270" s="768"/>
    </row>
    <row r="271" spans="3:153" s="394" customFormat="1" ht="21" customHeight="1">
      <c r="C271" s="1758" t="s">
        <v>1298</v>
      </c>
      <c r="D271" s="1759" t="s">
        <v>1418</v>
      </c>
      <c r="E271" s="1729">
        <v>20</v>
      </c>
      <c r="F271" s="1760" t="s">
        <v>1764</v>
      </c>
      <c r="G271" s="1993" t="s">
        <v>1581</v>
      </c>
      <c r="H271" s="1994">
        <v>30</v>
      </c>
      <c r="I271" s="1995"/>
      <c r="J271" s="1759" t="s">
        <v>1581</v>
      </c>
      <c r="K271" s="1729">
        <v>30</v>
      </c>
      <c r="L271" s="1760"/>
      <c r="M271" s="1"/>
      <c r="N271" s="1"/>
      <c r="O271" s="1"/>
      <c r="P271" s="1"/>
      <c r="Q271" s="1"/>
      <c r="R271" s="1"/>
      <c r="S271" s="1759">
        <v>25</v>
      </c>
      <c r="T271" s="1729">
        <v>45</v>
      </c>
      <c r="U271" s="1760" t="s">
        <v>1764</v>
      </c>
      <c r="V271" s="1759">
        <v>20</v>
      </c>
      <c r="W271" s="1729">
        <v>40</v>
      </c>
      <c r="X271" s="1760" t="s">
        <v>1764</v>
      </c>
      <c r="Y271" s="2009">
        <v>15</v>
      </c>
      <c r="Z271" s="2010">
        <v>30</v>
      </c>
      <c r="AA271" s="2011">
        <v>0</v>
      </c>
      <c r="AB271" s="1871" t="s">
        <v>583</v>
      </c>
      <c r="AC271" s="1737" t="s">
        <v>583</v>
      </c>
      <c r="AD271" s="1762">
        <v>70</v>
      </c>
      <c r="AE271" s="1729">
        <v>120</v>
      </c>
      <c r="AF271" s="1760" t="s">
        <v>1764</v>
      </c>
      <c r="AG271" s="1759">
        <v>55</v>
      </c>
      <c r="AH271" s="1729">
        <v>100</v>
      </c>
      <c r="AI271" s="1760" t="s">
        <v>1764</v>
      </c>
      <c r="AJ271" s="2009">
        <v>45</v>
      </c>
      <c r="AK271" s="2010">
        <v>80</v>
      </c>
      <c r="AL271" s="2011">
        <v>0</v>
      </c>
      <c r="AM271" s="1871" t="s">
        <v>583</v>
      </c>
      <c r="AN271" s="1763" t="s">
        <v>583</v>
      </c>
      <c r="AR271" s="156"/>
      <c r="AS271" s="156"/>
      <c r="AT271" s="156"/>
      <c r="AU271" s="397"/>
      <c r="AV271" s="396"/>
      <c r="AW271" s="396"/>
      <c r="AY271" s="3"/>
      <c r="AZ271" s="3"/>
      <c r="BA271" s="3"/>
      <c r="BB271" s="3"/>
      <c r="BC271" s="3"/>
      <c r="BD271" s="3"/>
      <c r="BE271" s="3"/>
      <c r="BF271" s="3"/>
      <c r="BG271" s="3"/>
      <c r="BH271" s="3"/>
      <c r="BI271" s="3"/>
      <c r="BJ271" s="3"/>
      <c r="BK271" s="3"/>
      <c r="BL271" s="3"/>
      <c r="BM271" s="3"/>
      <c r="BQ271" s="1669"/>
      <c r="BR271" s="1720"/>
      <c r="BS271" s="1720"/>
      <c r="BT271" s="1720"/>
      <c r="BV271" s="1669"/>
      <c r="BW271" s="1721"/>
      <c r="BX271" s="1720"/>
      <c r="BY271" s="1720"/>
      <c r="BZ271" s="1719"/>
      <c r="CE271" s="1619"/>
      <c r="CF271" s="1620" t="str">
        <f>IFERROR(INDEX(N_Bedarf!$CE$2:$CE$304,_xlfn.AGGREGATE(15,6,(ROW(N_Bedarf!$CE$2:$CE$304)-1)/(--(SEARCH(CG$2,N_Bedarf!$CE$2:$CE$304)&gt;0)),ROW()-2),1),"")</f>
        <v/>
      </c>
      <c r="CG271" s="1620"/>
      <c r="CH271" s="1620"/>
      <c r="CI271" s="1620"/>
      <c r="CJ271" s="1620"/>
      <c r="CK271" s="1620"/>
      <c r="CL271" s="1620"/>
      <c r="CM271" s="1620"/>
      <c r="CN271" s="1620"/>
      <c r="CO271" s="1620"/>
      <c r="CP271" s="1620"/>
      <c r="CQ271" s="1620"/>
      <c r="CR271" s="1620"/>
      <c r="CS271" s="1620"/>
      <c r="CT271" s="1620"/>
      <c r="CU271" s="1620"/>
      <c r="CV271" s="1620"/>
      <c r="CW271" s="1620"/>
      <c r="CX271" s="1620"/>
      <c r="CY271" s="1620"/>
      <c r="CZ271" s="1620"/>
      <c r="DA271" s="1620"/>
      <c r="DB271" s="1620"/>
      <c r="DC271" s="1620"/>
      <c r="DD271" s="1620" t="str">
        <f>IFERROR(INDEX(N_Bedarf!$CE$2:$CE$304,_xlfn.AGGREGATE(15,6,(ROW(N_Bedarf!$CE$2:$CE$304)-1)/(--(SEARCH(DE$2,N_Bedarf!$CE$2:$CE$304)&gt;0)),ROW()-2),1),"")</f>
        <v/>
      </c>
      <c r="DE271" s="1620" t="str">
        <f>IF(N_Bedarf!$C667="","",IF(COUNTIF(N_Bedarf!$CE$2:$CE$304,N_Bedarf!$C667),"",N_Bedarf!$C667))</f>
        <v/>
      </c>
      <c r="ES271" s="768"/>
      <c r="ET271" s="768"/>
      <c r="EU271" s="768"/>
      <c r="EV271" s="768"/>
      <c r="EW271" s="768"/>
    </row>
    <row r="272" spans="3:153" s="394" customFormat="1" ht="21" customHeight="1">
      <c r="C272" s="1758" t="s">
        <v>1899</v>
      </c>
      <c r="D272" s="1759"/>
      <c r="E272" s="1729"/>
      <c r="F272" s="1760" t="s">
        <v>1764</v>
      </c>
      <c r="G272" s="1993" t="s">
        <v>1574</v>
      </c>
      <c r="H272" s="1994">
        <v>200</v>
      </c>
      <c r="I272" s="1995"/>
      <c r="J272" s="1759" t="s">
        <v>714</v>
      </c>
      <c r="K272" s="1729"/>
      <c r="L272" s="1760"/>
      <c r="M272" s="1"/>
      <c r="N272" s="1"/>
      <c r="O272" s="1"/>
      <c r="P272" s="1"/>
      <c r="Q272" s="1"/>
      <c r="R272" s="1"/>
      <c r="S272" s="1759">
        <v>25</v>
      </c>
      <c r="T272" s="1729">
        <v>45</v>
      </c>
      <c r="U272" s="1760" t="s">
        <v>1764</v>
      </c>
      <c r="V272" s="1759">
        <v>20</v>
      </c>
      <c r="W272" s="1729">
        <v>40</v>
      </c>
      <c r="X272" s="1760" t="s">
        <v>1764</v>
      </c>
      <c r="Y272" s="2009">
        <v>15</v>
      </c>
      <c r="Z272" s="2010">
        <v>30</v>
      </c>
      <c r="AA272" s="2011">
        <v>0</v>
      </c>
      <c r="AB272" s="1871" t="s">
        <v>583</v>
      </c>
      <c r="AC272" s="1737" t="s">
        <v>583</v>
      </c>
      <c r="AD272" s="1762">
        <v>70</v>
      </c>
      <c r="AE272" s="1729">
        <v>120</v>
      </c>
      <c r="AF272" s="1760" t="s">
        <v>1764</v>
      </c>
      <c r="AG272" s="1759">
        <v>55</v>
      </c>
      <c r="AH272" s="1729">
        <v>100</v>
      </c>
      <c r="AI272" s="1760" t="s">
        <v>1764</v>
      </c>
      <c r="AJ272" s="2009">
        <v>45</v>
      </c>
      <c r="AK272" s="2010">
        <v>80</v>
      </c>
      <c r="AL272" s="2011">
        <v>0</v>
      </c>
      <c r="AM272" s="1871" t="s">
        <v>583</v>
      </c>
      <c r="AN272" s="1763" t="s">
        <v>583</v>
      </c>
      <c r="AR272" s="156"/>
      <c r="AS272" s="156"/>
      <c r="AT272" s="156"/>
      <c r="AU272" s="397"/>
      <c r="AV272" s="396"/>
      <c r="AW272" s="396"/>
      <c r="AY272" s="3"/>
      <c r="AZ272" s="3"/>
      <c r="BA272" s="3"/>
      <c r="BB272" s="3"/>
      <c r="BC272" s="3"/>
      <c r="BD272" s="3"/>
      <c r="BE272" s="3"/>
      <c r="BF272" s="3"/>
      <c r="BG272" s="3"/>
      <c r="BH272" s="3"/>
      <c r="BI272" s="3"/>
      <c r="BJ272" s="3"/>
      <c r="BK272" s="3"/>
      <c r="BL272" s="3"/>
      <c r="BM272" s="3"/>
      <c r="BQ272" s="1669"/>
      <c r="BR272" s="1720"/>
      <c r="BS272" s="1720"/>
      <c r="BT272" s="1720"/>
      <c r="BV272" s="1669"/>
      <c r="BW272" s="1721"/>
      <c r="BX272" s="1720"/>
      <c r="BY272" s="1720"/>
      <c r="BZ272" s="1719"/>
      <c r="CE272" s="1619"/>
      <c r="CF272" s="1620" t="str">
        <f>IFERROR(INDEX(N_Bedarf!$CE$2:$CE$304,_xlfn.AGGREGATE(15,6,(ROW(N_Bedarf!$CE$2:$CE$304)-1)/(--(SEARCH(CG$2,N_Bedarf!$CE$2:$CE$304)&gt;0)),ROW()-2),1),"")</f>
        <v/>
      </c>
      <c r="CG272" s="1620"/>
      <c r="CH272" s="1620"/>
      <c r="CI272" s="1620"/>
      <c r="CJ272" s="1620"/>
      <c r="CK272" s="1620"/>
      <c r="CL272" s="1620"/>
      <c r="CM272" s="1620"/>
      <c r="CN272" s="1620"/>
      <c r="CO272" s="1620"/>
      <c r="CP272" s="1620"/>
      <c r="CQ272" s="1620"/>
      <c r="CR272" s="1620"/>
      <c r="CS272" s="1620"/>
      <c r="CT272" s="1620"/>
      <c r="CU272" s="1620"/>
      <c r="CV272" s="1620"/>
      <c r="CW272" s="1620"/>
      <c r="CX272" s="1620"/>
      <c r="CY272" s="1620"/>
      <c r="CZ272" s="1620"/>
      <c r="DA272" s="1620"/>
      <c r="DB272" s="1620"/>
      <c r="DC272" s="1620"/>
      <c r="DD272" s="1620" t="str">
        <f>IFERROR(INDEX(N_Bedarf!$CE$2:$CE$304,_xlfn.AGGREGATE(15,6,(ROW(N_Bedarf!$CE$2:$CE$304)-1)/(--(SEARCH(DE$2,N_Bedarf!$CE$2:$CE$304)&gt;0)),ROW()-2),1),"")</f>
        <v/>
      </c>
      <c r="DE272" s="1620" t="str">
        <f>IF(N_Bedarf!$C668="","",IF(COUNTIF(N_Bedarf!$CE$2:$CE$304,N_Bedarf!$C668),"",N_Bedarf!$C668))</f>
        <v/>
      </c>
      <c r="ES272" s="768"/>
      <c r="ET272" s="768"/>
      <c r="EU272" s="768"/>
      <c r="EV272" s="768"/>
      <c r="EW272" s="768"/>
    </row>
    <row r="273" spans="3:153" s="394" customFormat="1" ht="21" customHeight="1">
      <c r="C273" s="1758" t="s">
        <v>1900</v>
      </c>
      <c r="D273" s="1759"/>
      <c r="E273" s="1729"/>
      <c r="F273" s="1760" t="s">
        <v>1764</v>
      </c>
      <c r="G273" s="1993" t="s">
        <v>1887</v>
      </c>
      <c r="H273" s="1994">
        <v>200</v>
      </c>
      <c r="I273" s="1995"/>
      <c r="J273" s="1759" t="s">
        <v>714</v>
      </c>
      <c r="K273" s="1729"/>
      <c r="L273" s="1760"/>
      <c r="M273" s="1"/>
      <c r="N273" s="1"/>
      <c r="O273" s="1"/>
      <c r="P273" s="1"/>
      <c r="Q273" s="1"/>
      <c r="R273" s="1"/>
      <c r="S273" s="1759">
        <v>45</v>
      </c>
      <c r="T273" s="1729">
        <v>70</v>
      </c>
      <c r="U273" s="1760" t="s">
        <v>1764</v>
      </c>
      <c r="V273" s="1759">
        <v>40</v>
      </c>
      <c r="W273" s="1729">
        <v>55</v>
      </c>
      <c r="X273" s="1760" t="s">
        <v>1764</v>
      </c>
      <c r="Y273" s="2009">
        <v>30</v>
      </c>
      <c r="Z273" s="2010">
        <v>45</v>
      </c>
      <c r="AA273" s="2011">
        <v>0</v>
      </c>
      <c r="AB273" s="1871" t="s">
        <v>583</v>
      </c>
      <c r="AC273" s="1737" t="s">
        <v>583</v>
      </c>
      <c r="AD273" s="1762">
        <v>120</v>
      </c>
      <c r="AE273" s="1729">
        <v>180</v>
      </c>
      <c r="AF273" s="1760" t="s">
        <v>1764</v>
      </c>
      <c r="AG273" s="1759">
        <v>100</v>
      </c>
      <c r="AH273" s="1729">
        <v>150</v>
      </c>
      <c r="AI273" s="1760" t="s">
        <v>1764</v>
      </c>
      <c r="AJ273" s="2009">
        <v>80</v>
      </c>
      <c r="AK273" s="2010">
        <v>120</v>
      </c>
      <c r="AL273" s="2011">
        <v>0</v>
      </c>
      <c r="AM273" s="1871" t="s">
        <v>583</v>
      </c>
      <c r="AN273" s="1763" t="s">
        <v>583</v>
      </c>
      <c r="AR273" s="156"/>
      <c r="AS273" s="156"/>
      <c r="AT273" s="156"/>
      <c r="AU273" s="397"/>
      <c r="AV273" s="396"/>
      <c r="AW273" s="396"/>
      <c r="AY273" s="3"/>
      <c r="AZ273" s="3"/>
      <c r="BA273" s="3"/>
      <c r="BB273" s="3"/>
      <c r="BC273" s="3"/>
      <c r="BD273" s="3"/>
      <c r="BE273" s="3"/>
      <c r="BF273" s="3"/>
      <c r="BG273" s="3"/>
      <c r="BH273" s="3"/>
      <c r="BI273" s="3"/>
      <c r="BJ273" s="3"/>
      <c r="BK273" s="3"/>
      <c r="BL273" s="3"/>
      <c r="BM273" s="3"/>
      <c r="BQ273" s="1669"/>
      <c r="BR273" s="1720"/>
      <c r="BS273" s="1720"/>
      <c r="BT273" s="1720"/>
      <c r="BV273" s="1669"/>
      <c r="BW273" s="1721"/>
      <c r="BX273" s="1720"/>
      <c r="BY273" s="1720"/>
      <c r="BZ273" s="1719"/>
      <c r="CE273" s="1619"/>
      <c r="CF273" s="1620" t="str">
        <f>IFERROR(INDEX(N_Bedarf!$CE$2:$CE$304,_xlfn.AGGREGATE(15,6,(ROW(N_Bedarf!$CE$2:$CE$304)-1)/(--(SEARCH(CG$2,N_Bedarf!$CE$2:$CE$304)&gt;0)),ROW()-2),1),"")</f>
        <v/>
      </c>
      <c r="CG273" s="1620"/>
      <c r="CH273" s="1620"/>
      <c r="CI273" s="1620"/>
      <c r="CJ273" s="1620"/>
      <c r="CK273" s="1620"/>
      <c r="CL273" s="1620"/>
      <c r="CM273" s="1620"/>
      <c r="CN273" s="1620"/>
      <c r="CO273" s="1620"/>
      <c r="CP273" s="1620"/>
      <c r="CQ273" s="1620"/>
      <c r="CR273" s="1620"/>
      <c r="CS273" s="1620"/>
      <c r="CT273" s="1620"/>
      <c r="CU273" s="1620"/>
      <c r="CV273" s="1620"/>
      <c r="CW273" s="1620"/>
      <c r="CX273" s="1620"/>
      <c r="CY273" s="1620"/>
      <c r="CZ273" s="1620"/>
      <c r="DA273" s="1620"/>
      <c r="DB273" s="1620"/>
      <c r="DC273" s="1620"/>
      <c r="DD273" s="1620" t="str">
        <f>IFERROR(INDEX(N_Bedarf!$CE$2:$CE$304,_xlfn.AGGREGATE(15,6,(ROW(N_Bedarf!$CE$2:$CE$304)-1)/(--(SEARCH(DE$2,N_Bedarf!$CE$2:$CE$304)&gt;0)),ROW()-2),1),"")</f>
        <v/>
      </c>
      <c r="DE273" s="1620"/>
      <c r="ES273" s="768"/>
      <c r="ET273" s="768"/>
      <c r="EU273" s="768"/>
      <c r="EV273" s="768"/>
      <c r="EW273" s="768"/>
    </row>
    <row r="274" spans="3:153" s="394" customFormat="1" ht="21" customHeight="1">
      <c r="C274" s="1758" t="s">
        <v>1901</v>
      </c>
      <c r="D274" s="1759"/>
      <c r="E274" s="1729"/>
      <c r="F274" s="1760" t="s">
        <v>1764</v>
      </c>
      <c r="G274" s="1993" t="s">
        <v>1877</v>
      </c>
      <c r="H274" s="1994">
        <v>200</v>
      </c>
      <c r="I274" s="1995"/>
      <c r="J274" s="1759" t="s">
        <v>1902</v>
      </c>
      <c r="K274" s="1729">
        <v>210</v>
      </c>
      <c r="L274" s="1760"/>
      <c r="M274" s="1"/>
      <c r="N274" s="1"/>
      <c r="O274" s="1"/>
      <c r="P274" s="1"/>
      <c r="Q274" s="1"/>
      <c r="R274" s="1"/>
      <c r="S274" s="1759">
        <v>70</v>
      </c>
      <c r="T274" s="1729">
        <v>100</v>
      </c>
      <c r="U274" s="1760">
        <v>120</v>
      </c>
      <c r="V274" s="1759">
        <v>55</v>
      </c>
      <c r="W274" s="1729">
        <v>80</v>
      </c>
      <c r="X274" s="1760">
        <v>100</v>
      </c>
      <c r="Y274" s="2009">
        <v>45</v>
      </c>
      <c r="Z274" s="2010">
        <v>65</v>
      </c>
      <c r="AA274" s="2011">
        <v>80</v>
      </c>
      <c r="AB274" s="1871" t="s">
        <v>583</v>
      </c>
      <c r="AC274" s="1737" t="s">
        <v>583</v>
      </c>
      <c r="AD274" s="1762">
        <v>195</v>
      </c>
      <c r="AE274" s="1729">
        <v>255</v>
      </c>
      <c r="AF274" s="1760">
        <v>325</v>
      </c>
      <c r="AG274" s="1759">
        <v>165</v>
      </c>
      <c r="AH274" s="1729">
        <v>215</v>
      </c>
      <c r="AI274" s="1760">
        <v>270</v>
      </c>
      <c r="AJ274" s="2009">
        <v>130</v>
      </c>
      <c r="AK274" s="2010">
        <v>170</v>
      </c>
      <c r="AL274" s="2011">
        <v>215</v>
      </c>
      <c r="AM274" s="1871" t="s">
        <v>583</v>
      </c>
      <c r="AN274" s="1763" t="s">
        <v>583</v>
      </c>
      <c r="AR274" s="156"/>
      <c r="AS274" s="156"/>
      <c r="AT274" s="156"/>
      <c r="AU274" s="397"/>
      <c r="AV274" s="396"/>
      <c r="AW274" s="396"/>
      <c r="AY274" s="3"/>
      <c r="AZ274" s="3"/>
      <c r="BA274" s="3"/>
      <c r="BB274" s="3"/>
      <c r="BC274" s="3"/>
      <c r="BD274" s="3"/>
      <c r="BE274" s="3"/>
      <c r="BF274" s="3"/>
      <c r="BG274" s="3"/>
      <c r="BH274" s="3"/>
      <c r="BI274" s="3"/>
      <c r="BJ274" s="3"/>
      <c r="BK274" s="3"/>
      <c r="BL274" s="3"/>
      <c r="BM274" s="3"/>
      <c r="BQ274" s="1669"/>
      <c r="BR274" s="1720"/>
      <c r="BS274" s="1720"/>
      <c r="BT274" s="1720"/>
      <c r="BV274" s="1669"/>
      <c r="BW274" s="1721"/>
      <c r="BX274" s="1720"/>
      <c r="BY274" s="1720"/>
      <c r="BZ274" s="1719"/>
      <c r="CE274" s="1619"/>
      <c r="CF274" s="1620" t="str">
        <f>IFERROR(INDEX(N_Bedarf!$CE$2:$CE$304,_xlfn.AGGREGATE(15,6,(ROW(N_Bedarf!$CE$2:$CE$304)-1)/(--(SEARCH(CG$2,N_Bedarf!$CE$2:$CE$304)&gt;0)),ROW()-2),1),"")</f>
        <v/>
      </c>
      <c r="CG274" s="1620"/>
      <c r="CH274" s="1620"/>
      <c r="CI274" s="1620"/>
      <c r="CJ274" s="1620"/>
      <c r="CK274" s="1620"/>
      <c r="CL274" s="1620"/>
      <c r="CM274" s="1620"/>
      <c r="CN274" s="1620"/>
      <c r="CO274" s="1620"/>
      <c r="CP274" s="1620"/>
      <c r="CQ274" s="1620"/>
      <c r="CR274" s="1620"/>
      <c r="CS274" s="1620"/>
      <c r="CT274" s="1620"/>
      <c r="CU274" s="1620"/>
      <c r="CV274" s="1620"/>
      <c r="CW274" s="1620"/>
      <c r="CX274" s="1620"/>
      <c r="CY274" s="1620"/>
      <c r="CZ274" s="1620"/>
      <c r="DA274" s="1620"/>
      <c r="DB274" s="1620"/>
      <c r="DC274" s="1620"/>
      <c r="DD274" s="1620" t="str">
        <f>IFERROR(INDEX(N_Bedarf!$CE$2:$CE$304,_xlfn.AGGREGATE(15,6,(ROW(N_Bedarf!$CE$2:$CE$304)-1)/(--(SEARCH(DE$2,N_Bedarf!$CE$2:$CE$304)&gt;0)),ROW()-2),1),"")</f>
        <v/>
      </c>
      <c r="DE274" s="1620"/>
      <c r="ES274" s="768"/>
      <c r="ET274" s="768"/>
      <c r="EU274" s="768"/>
      <c r="EV274" s="768"/>
      <c r="EW274" s="768"/>
    </row>
    <row r="275" spans="3:153" s="394" customFormat="1" ht="21" customHeight="1">
      <c r="C275" s="1758" t="s">
        <v>1903</v>
      </c>
      <c r="D275" s="1759"/>
      <c r="E275" s="1729"/>
      <c r="F275" s="1760" t="s">
        <v>1764</v>
      </c>
      <c r="G275" s="1993" t="s">
        <v>1877</v>
      </c>
      <c r="H275" s="1994">
        <v>200</v>
      </c>
      <c r="I275" s="1995"/>
      <c r="J275" s="1759" t="s">
        <v>1902</v>
      </c>
      <c r="K275" s="1729">
        <v>210</v>
      </c>
      <c r="L275" s="1760"/>
      <c r="M275" s="1"/>
      <c r="N275" s="1"/>
      <c r="O275" s="1"/>
      <c r="P275" s="1"/>
      <c r="Q275" s="1"/>
      <c r="R275" s="1"/>
      <c r="S275" s="1759" t="s">
        <v>1764</v>
      </c>
      <c r="T275" s="1729">
        <v>120</v>
      </c>
      <c r="U275" s="1760">
        <v>135</v>
      </c>
      <c r="V275" s="1759" t="s">
        <v>1764</v>
      </c>
      <c r="W275" s="1729">
        <v>100</v>
      </c>
      <c r="X275" s="1760">
        <v>115</v>
      </c>
      <c r="Y275" s="2009"/>
      <c r="Z275" s="2010">
        <v>80</v>
      </c>
      <c r="AA275" s="2011">
        <v>90</v>
      </c>
      <c r="AB275" s="1871" t="s">
        <v>583</v>
      </c>
      <c r="AC275" s="1737" t="s">
        <v>583</v>
      </c>
      <c r="AD275" s="1762" t="s">
        <v>1764</v>
      </c>
      <c r="AE275" s="1729">
        <v>310</v>
      </c>
      <c r="AF275" s="1760">
        <v>390</v>
      </c>
      <c r="AG275" s="1759" t="s">
        <v>1764</v>
      </c>
      <c r="AH275" s="1729">
        <v>255</v>
      </c>
      <c r="AI275" s="1760">
        <v>325</v>
      </c>
      <c r="AJ275" s="2009"/>
      <c r="AK275" s="2010">
        <v>205</v>
      </c>
      <c r="AL275" s="2011">
        <v>260</v>
      </c>
      <c r="AM275" s="1871" t="s">
        <v>583</v>
      </c>
      <c r="AN275" s="1763" t="s">
        <v>583</v>
      </c>
      <c r="AR275" s="156"/>
      <c r="AS275" s="156"/>
      <c r="AT275" s="156"/>
      <c r="AU275" s="397"/>
      <c r="AV275" s="396"/>
      <c r="AW275" s="396"/>
      <c r="AY275" s="3"/>
      <c r="AZ275" s="3"/>
      <c r="BA275" s="3"/>
      <c r="BB275" s="3"/>
      <c r="BC275" s="3"/>
      <c r="BD275" s="3"/>
      <c r="BE275" s="3"/>
      <c r="BF275" s="3"/>
      <c r="BG275" s="3"/>
      <c r="BH275" s="3"/>
      <c r="BI275" s="3"/>
      <c r="BJ275" s="3"/>
      <c r="BK275" s="3"/>
      <c r="BL275" s="3"/>
      <c r="BM275" s="3"/>
      <c r="BQ275" s="1669"/>
      <c r="BR275" s="1720"/>
      <c r="BS275" s="1720"/>
      <c r="BT275" s="1720"/>
      <c r="BV275" s="1669"/>
      <c r="BW275" s="1721"/>
      <c r="BX275" s="1720"/>
      <c r="BY275" s="1720"/>
      <c r="BZ275" s="1719"/>
      <c r="CE275" s="1619"/>
      <c r="CF275" s="1620" t="str">
        <f>IFERROR(INDEX(N_Bedarf!$CE$2:$CE$304,_xlfn.AGGREGATE(15,6,(ROW(N_Bedarf!$CE$2:$CE$304)-1)/(--(SEARCH(CG$2,N_Bedarf!$CE$2:$CE$304)&gt;0)),ROW()-2),1),"")</f>
        <v/>
      </c>
      <c r="CG275" s="1620"/>
      <c r="CH275" s="1620"/>
      <c r="CI275" s="1620"/>
      <c r="CJ275" s="1620"/>
      <c r="CK275" s="1620"/>
      <c r="CL275" s="1620"/>
      <c r="CM275" s="1620"/>
      <c r="CN275" s="1620"/>
      <c r="CO275" s="1620"/>
      <c r="CP275" s="1620"/>
      <c r="CQ275" s="1620"/>
      <c r="CR275" s="1620"/>
      <c r="CS275" s="1620"/>
      <c r="CT275" s="1620"/>
      <c r="CU275" s="1620"/>
      <c r="CV275" s="1620"/>
      <c r="CW275" s="1620"/>
      <c r="CX275" s="1620"/>
      <c r="CY275" s="1620"/>
      <c r="CZ275" s="1620"/>
      <c r="DA275" s="1620"/>
      <c r="DB275" s="1620"/>
      <c r="DC275" s="1620"/>
      <c r="DD275" s="1620" t="str">
        <f>IFERROR(INDEX(N_Bedarf!$CE$2:$CE$304,_xlfn.AGGREGATE(15,6,(ROW(N_Bedarf!$CE$2:$CE$304)-1)/(--(SEARCH(DE$2,N_Bedarf!$CE$2:$CE$304)&gt;0)),ROW()-2),1),"")</f>
        <v/>
      </c>
      <c r="DE275" s="1620"/>
      <c r="ES275" s="768"/>
      <c r="ET275" s="768"/>
      <c r="EU275" s="768"/>
      <c r="EV275" s="768"/>
      <c r="EW275" s="768"/>
    </row>
    <row r="276" spans="3:153" s="394" customFormat="1" ht="21" customHeight="1">
      <c r="C276" s="1758" t="s">
        <v>1904</v>
      </c>
      <c r="D276" s="1759"/>
      <c r="E276" s="1729"/>
      <c r="F276" s="1760" t="s">
        <v>1764</v>
      </c>
      <c r="G276" s="1993" t="s">
        <v>1877</v>
      </c>
      <c r="H276" s="1994">
        <v>200</v>
      </c>
      <c r="I276" s="1995"/>
      <c r="J276" s="1759" t="s">
        <v>1902</v>
      </c>
      <c r="K276" s="1729">
        <v>280</v>
      </c>
      <c r="L276" s="1760"/>
      <c r="M276" s="1"/>
      <c r="N276" s="1"/>
      <c r="O276" s="1"/>
      <c r="P276" s="1"/>
      <c r="Q276" s="1"/>
      <c r="R276" s="1"/>
      <c r="S276" s="1759" t="s">
        <v>1764</v>
      </c>
      <c r="T276" s="1729">
        <v>130</v>
      </c>
      <c r="U276" s="1760">
        <v>190</v>
      </c>
      <c r="V276" s="1759" t="s">
        <v>1764</v>
      </c>
      <c r="W276" s="1729">
        <v>105</v>
      </c>
      <c r="X276" s="1760">
        <v>155</v>
      </c>
      <c r="Y276" s="2009"/>
      <c r="Z276" s="2010">
        <v>85</v>
      </c>
      <c r="AA276" s="2011">
        <v>125</v>
      </c>
      <c r="AB276" s="1871" t="s">
        <v>583</v>
      </c>
      <c r="AC276" s="1737" t="s">
        <v>583</v>
      </c>
      <c r="AD276" s="1762" t="s">
        <v>1764</v>
      </c>
      <c r="AE276" s="1729">
        <v>345</v>
      </c>
      <c r="AF276" s="1760">
        <v>550</v>
      </c>
      <c r="AG276" s="1759" t="s">
        <v>1764</v>
      </c>
      <c r="AH276" s="1729">
        <v>290</v>
      </c>
      <c r="AI276" s="1760">
        <v>455</v>
      </c>
      <c r="AJ276" s="2009"/>
      <c r="AK276" s="2010">
        <v>230</v>
      </c>
      <c r="AL276" s="2011">
        <v>365</v>
      </c>
      <c r="AM276" s="1871" t="s">
        <v>583</v>
      </c>
      <c r="AN276" s="1763" t="s">
        <v>583</v>
      </c>
      <c r="AR276" s="156"/>
      <c r="AS276" s="156"/>
      <c r="AT276" s="156"/>
      <c r="AU276" s="397"/>
      <c r="AV276" s="396"/>
      <c r="AW276" s="396"/>
      <c r="AY276" s="3"/>
      <c r="AZ276" s="3"/>
      <c r="BA276" s="3"/>
      <c r="BB276" s="3"/>
      <c r="BC276" s="3"/>
      <c r="BD276" s="3"/>
      <c r="BE276" s="3"/>
      <c r="BF276" s="3"/>
      <c r="BG276" s="3"/>
      <c r="BH276" s="3"/>
      <c r="BI276" s="3"/>
      <c r="BJ276" s="3"/>
      <c r="BK276" s="3"/>
      <c r="BL276" s="3"/>
      <c r="BM276" s="3"/>
      <c r="BQ276" s="1669"/>
      <c r="BR276" s="1720"/>
      <c r="BS276" s="1720"/>
      <c r="BT276" s="1720"/>
      <c r="BV276" s="1669"/>
      <c r="BW276" s="1721"/>
      <c r="BX276" s="1720"/>
      <c r="BY276" s="1720"/>
      <c r="BZ276" s="1719"/>
      <c r="CE276" s="1619"/>
      <c r="CF276" s="1620" t="str">
        <f>IFERROR(INDEX(N_Bedarf!$CE$2:$CE$304,_xlfn.AGGREGATE(15,6,(ROW(N_Bedarf!$CE$2:$CE$304)-1)/(--(SEARCH(CG$2,N_Bedarf!$CE$2:$CE$304)&gt;0)),ROW()-2),1),"")</f>
        <v/>
      </c>
      <c r="CG276" s="1620"/>
      <c r="CH276" s="1620"/>
      <c r="CI276" s="1620"/>
      <c r="CJ276" s="1620"/>
      <c r="CK276" s="1620"/>
      <c r="CL276" s="1620"/>
      <c r="CM276" s="1620"/>
      <c r="CN276" s="1620"/>
      <c r="CO276" s="1620"/>
      <c r="CP276" s="1620"/>
      <c r="CQ276" s="1620"/>
      <c r="CR276" s="1620"/>
      <c r="CS276" s="1620"/>
      <c r="CT276" s="1620"/>
      <c r="CU276" s="1620"/>
      <c r="CV276" s="1620"/>
      <c r="CW276" s="1620"/>
      <c r="CX276" s="1620"/>
      <c r="CY276" s="1620"/>
      <c r="CZ276" s="1620"/>
      <c r="DA276" s="1620"/>
      <c r="DB276" s="1620"/>
      <c r="DC276" s="1620"/>
      <c r="DD276" s="1620" t="str">
        <f>IFERROR(INDEX(N_Bedarf!$CE$2:$CE$304,_xlfn.AGGREGATE(15,6,(ROW(N_Bedarf!$CE$2:$CE$304)-1)/(--(SEARCH(DE$2,N_Bedarf!$CE$2:$CE$304)&gt;0)),ROW()-2),1),"")</f>
        <v/>
      </c>
      <c r="DE276" s="1620"/>
      <c r="ES276" s="768"/>
      <c r="ET276" s="768"/>
      <c r="EU276" s="768"/>
      <c r="EV276" s="768"/>
      <c r="EW276" s="768"/>
    </row>
    <row r="277" spans="3:153" s="394" customFormat="1" ht="21" customHeight="1">
      <c r="C277" s="1758" t="s">
        <v>1905</v>
      </c>
      <c r="D277" s="1759"/>
      <c r="E277" s="1729"/>
      <c r="F277" s="1760"/>
      <c r="G277" s="1993"/>
      <c r="H277" s="1994"/>
      <c r="I277" s="1995"/>
      <c r="J277" s="1759" t="s">
        <v>1902</v>
      </c>
      <c r="K277" s="1729">
        <v>280</v>
      </c>
      <c r="L277" s="1760"/>
      <c r="M277" s="1"/>
      <c r="N277" s="1"/>
      <c r="O277" s="1"/>
      <c r="P277" s="1"/>
      <c r="Q277" s="1"/>
      <c r="R277" s="1"/>
      <c r="S277" s="1759" t="s">
        <v>1764</v>
      </c>
      <c r="T277" s="1729" t="s">
        <v>1764</v>
      </c>
      <c r="U277" s="1760">
        <v>205</v>
      </c>
      <c r="V277" s="1759" t="s">
        <v>1764</v>
      </c>
      <c r="W277" s="1729" t="s">
        <v>1764</v>
      </c>
      <c r="X277" s="1760">
        <v>170</v>
      </c>
      <c r="Y277" s="2009"/>
      <c r="Z277" s="2010"/>
      <c r="AA277" s="2011">
        <v>135</v>
      </c>
      <c r="AB277" s="1871" t="s">
        <v>583</v>
      </c>
      <c r="AC277" s="1737" t="s">
        <v>583</v>
      </c>
      <c r="AD277" s="1762" t="s">
        <v>1764</v>
      </c>
      <c r="AE277" s="1729" t="s">
        <v>1764</v>
      </c>
      <c r="AF277" s="1760">
        <v>585</v>
      </c>
      <c r="AG277" s="1759" t="s">
        <v>1764</v>
      </c>
      <c r="AH277" s="1729" t="s">
        <v>1764</v>
      </c>
      <c r="AI277" s="1760">
        <v>490</v>
      </c>
      <c r="AJ277" s="2009"/>
      <c r="AK277" s="2010"/>
      <c r="AL277" s="2011">
        <v>390</v>
      </c>
      <c r="AM277" s="1871" t="s">
        <v>583</v>
      </c>
      <c r="AN277" s="1763" t="s">
        <v>583</v>
      </c>
      <c r="AR277" s="156"/>
      <c r="AS277" s="156"/>
      <c r="AT277" s="156"/>
      <c r="AU277" s="397"/>
      <c r="AV277" s="396"/>
      <c r="AW277" s="396"/>
      <c r="AY277" s="3"/>
      <c r="AZ277" s="3"/>
      <c r="BA277" s="3"/>
      <c r="BB277" s="3"/>
      <c r="BC277" s="3"/>
      <c r="BD277" s="3"/>
      <c r="BE277" s="3"/>
      <c r="BF277" s="3"/>
      <c r="BG277" s="3"/>
      <c r="BH277" s="3"/>
      <c r="BI277" s="3"/>
      <c r="BJ277" s="3"/>
      <c r="BK277" s="3"/>
      <c r="BL277" s="3"/>
      <c r="BM277" s="3"/>
      <c r="BQ277" s="1669"/>
      <c r="BR277" s="1720"/>
      <c r="BS277" s="1720"/>
      <c r="BT277" s="1720"/>
      <c r="BV277" s="1669"/>
      <c r="BW277" s="1721"/>
      <c r="BX277" s="1720"/>
      <c r="BY277" s="1720"/>
      <c r="BZ277" s="1719"/>
      <c r="CE277" s="1619"/>
      <c r="CF277" s="1620" t="str">
        <f>IFERROR(INDEX(N_Bedarf!$CE$2:$CE$304,_xlfn.AGGREGATE(15,6,(ROW(N_Bedarf!$CE$2:$CE$304)-1)/(--(SEARCH(CG$2,N_Bedarf!$CE$2:$CE$304)&gt;0)),ROW()-2),1),"")</f>
        <v/>
      </c>
      <c r="CG277" s="1620"/>
      <c r="CH277" s="1620"/>
      <c r="CI277" s="1620"/>
      <c r="CJ277" s="1620"/>
      <c r="CK277" s="1620"/>
      <c r="CL277" s="1620"/>
      <c r="CM277" s="1620"/>
      <c r="CN277" s="1620"/>
      <c r="CO277" s="1620"/>
      <c r="CP277" s="1620"/>
      <c r="CQ277" s="1620"/>
      <c r="CR277" s="1620"/>
      <c r="CS277" s="1620"/>
      <c r="CT277" s="1620"/>
      <c r="CU277" s="1620"/>
      <c r="CV277" s="1620"/>
      <c r="CW277" s="1620"/>
      <c r="CX277" s="1620"/>
      <c r="CY277" s="1620"/>
      <c r="CZ277" s="1620"/>
      <c r="DA277" s="1620"/>
      <c r="DB277" s="1620"/>
      <c r="DC277" s="1620"/>
      <c r="DD277" s="1620" t="str">
        <f>IFERROR(INDEX(N_Bedarf!$CE$2:$CE$304,_xlfn.AGGREGATE(15,6,(ROW(N_Bedarf!$CE$2:$CE$304)-1)/(--(SEARCH(DE$2,N_Bedarf!$CE$2:$CE$304)&gt;0)),ROW()-2),1),"")</f>
        <v/>
      </c>
      <c r="DE277" s="1620"/>
      <c r="ES277" s="768"/>
      <c r="ET277" s="768"/>
      <c r="EU277" s="768"/>
      <c r="EV277" s="768"/>
      <c r="EW277" s="768"/>
    </row>
    <row r="278" spans="3:153" s="394" customFormat="1" ht="21" customHeight="1">
      <c r="C278" s="1758" t="s">
        <v>1906</v>
      </c>
      <c r="D278" s="1759"/>
      <c r="E278" s="1729"/>
      <c r="F278" s="1760" t="s">
        <v>1764</v>
      </c>
      <c r="G278" s="1993" t="s">
        <v>1574</v>
      </c>
      <c r="H278" s="1994">
        <v>200</v>
      </c>
      <c r="I278" s="1995"/>
      <c r="J278" s="1759"/>
      <c r="K278" s="1729"/>
      <c r="L278" s="1760"/>
      <c r="M278" s="1"/>
      <c r="N278" s="1"/>
      <c r="O278" s="1"/>
      <c r="P278" s="1"/>
      <c r="Q278" s="1"/>
      <c r="R278" s="1"/>
      <c r="S278" s="1759">
        <v>25</v>
      </c>
      <c r="T278" s="1729">
        <v>45</v>
      </c>
      <c r="U278" s="1760" t="s">
        <v>1764</v>
      </c>
      <c r="V278" s="1759">
        <v>20</v>
      </c>
      <c r="W278" s="1729">
        <v>40</v>
      </c>
      <c r="X278" s="1760" t="s">
        <v>1764</v>
      </c>
      <c r="Y278" s="2009">
        <v>15</v>
      </c>
      <c r="Z278" s="2010">
        <v>30</v>
      </c>
      <c r="AA278" s="2011">
        <v>0</v>
      </c>
      <c r="AB278" s="1871" t="s">
        <v>583</v>
      </c>
      <c r="AC278" s="1737" t="s">
        <v>583</v>
      </c>
      <c r="AD278" s="1762">
        <v>70</v>
      </c>
      <c r="AE278" s="1729">
        <v>120</v>
      </c>
      <c r="AF278" s="1760" t="s">
        <v>1764</v>
      </c>
      <c r="AG278" s="1759">
        <v>55</v>
      </c>
      <c r="AH278" s="1729">
        <v>100</v>
      </c>
      <c r="AI278" s="1760" t="s">
        <v>1764</v>
      </c>
      <c r="AJ278" s="2009">
        <v>45</v>
      </c>
      <c r="AK278" s="2010">
        <v>80</v>
      </c>
      <c r="AL278" s="2011">
        <v>0</v>
      </c>
      <c r="AM278" s="1871" t="s">
        <v>583</v>
      </c>
      <c r="AN278" s="1763" t="s">
        <v>583</v>
      </c>
      <c r="AR278" s="156"/>
      <c r="AS278" s="156"/>
      <c r="AT278" s="156"/>
      <c r="AU278" s="397"/>
      <c r="AV278" s="396"/>
      <c r="AW278" s="396"/>
      <c r="AY278" s="3"/>
      <c r="AZ278" s="3"/>
      <c r="BA278" s="3"/>
      <c r="BB278" s="3"/>
      <c r="BC278" s="3"/>
      <c r="BD278" s="3"/>
      <c r="BE278" s="3"/>
      <c r="BF278" s="3"/>
      <c r="BG278" s="3"/>
      <c r="BH278" s="3"/>
      <c r="BI278" s="3"/>
      <c r="BJ278" s="3"/>
      <c r="BK278" s="3"/>
      <c r="BL278" s="3"/>
      <c r="BM278" s="3"/>
      <c r="BQ278" s="1669"/>
      <c r="BR278" s="1720"/>
      <c r="BS278" s="1720"/>
      <c r="BT278" s="1720"/>
      <c r="BV278" s="1669"/>
      <c r="BW278" s="1721"/>
      <c r="BX278" s="1720"/>
      <c r="BY278" s="1720"/>
      <c r="BZ278" s="1719"/>
      <c r="CE278" s="1619"/>
      <c r="CF278" s="1620" t="str">
        <f>IFERROR(INDEX(N_Bedarf!$CE$2:$CE$304,_xlfn.AGGREGATE(15,6,(ROW(N_Bedarf!$CE$2:$CE$304)-1)/(--(SEARCH(CG$2,N_Bedarf!$CE$2:$CE$304)&gt;0)),ROW()-2),1),"")</f>
        <v/>
      </c>
      <c r="CG278" s="1620"/>
      <c r="CH278" s="1620"/>
      <c r="CI278" s="1620"/>
      <c r="CJ278" s="1620"/>
      <c r="CK278" s="1620"/>
      <c r="CL278" s="1620"/>
      <c r="CM278" s="1620"/>
      <c r="CN278" s="1620"/>
      <c r="CO278" s="1620"/>
      <c r="CP278" s="1620"/>
      <c r="CQ278" s="1620"/>
      <c r="CR278" s="1620"/>
      <c r="CS278" s="1620"/>
      <c r="CT278" s="1620"/>
      <c r="CU278" s="1620"/>
      <c r="CV278" s="1620"/>
      <c r="CW278" s="1620"/>
      <c r="CX278" s="1620"/>
      <c r="CY278" s="1620"/>
      <c r="CZ278" s="1620"/>
      <c r="DA278" s="1620"/>
      <c r="DB278" s="1620"/>
      <c r="DC278" s="1620"/>
      <c r="DD278" s="1620" t="str">
        <f>IFERROR(INDEX(N_Bedarf!$CE$2:$CE$304,_xlfn.AGGREGATE(15,6,(ROW(N_Bedarf!$CE$2:$CE$304)-1)/(--(SEARCH(DE$2,N_Bedarf!$CE$2:$CE$304)&gt;0)),ROW()-2),1),"")</f>
        <v/>
      </c>
      <c r="DE278" s="1620"/>
      <c r="ES278" s="768"/>
      <c r="ET278" s="768"/>
      <c r="EU278" s="768"/>
      <c r="EV278" s="768"/>
      <c r="EW278" s="768"/>
    </row>
    <row r="279" spans="3:153" s="394" customFormat="1" ht="21" customHeight="1">
      <c r="C279" s="1758" t="s">
        <v>1907</v>
      </c>
      <c r="D279" s="1759"/>
      <c r="E279" s="1729"/>
      <c r="F279" s="1760" t="s">
        <v>1764</v>
      </c>
      <c r="G279" s="1993" t="s">
        <v>1887</v>
      </c>
      <c r="H279" s="1994">
        <v>200</v>
      </c>
      <c r="I279" s="1995"/>
      <c r="J279" s="1759"/>
      <c r="K279" s="1729"/>
      <c r="L279" s="1760"/>
      <c r="M279" s="1"/>
      <c r="N279" s="1"/>
      <c r="O279" s="1"/>
      <c r="P279" s="1"/>
      <c r="Q279" s="1"/>
      <c r="R279" s="1"/>
      <c r="S279" s="1759">
        <v>45</v>
      </c>
      <c r="T279" s="1729">
        <v>70</v>
      </c>
      <c r="U279" s="1760" t="s">
        <v>1764</v>
      </c>
      <c r="V279" s="1759">
        <v>40</v>
      </c>
      <c r="W279" s="1729">
        <v>55</v>
      </c>
      <c r="X279" s="1760" t="s">
        <v>1764</v>
      </c>
      <c r="Y279" s="2009">
        <v>30</v>
      </c>
      <c r="Z279" s="2010">
        <v>45</v>
      </c>
      <c r="AA279" s="2011">
        <v>0</v>
      </c>
      <c r="AB279" s="1871" t="s">
        <v>583</v>
      </c>
      <c r="AC279" s="1737" t="s">
        <v>583</v>
      </c>
      <c r="AD279" s="1762">
        <v>120</v>
      </c>
      <c r="AE279" s="1729">
        <v>180</v>
      </c>
      <c r="AF279" s="1760" t="s">
        <v>1764</v>
      </c>
      <c r="AG279" s="1759">
        <v>100</v>
      </c>
      <c r="AH279" s="1729">
        <v>150</v>
      </c>
      <c r="AI279" s="1760" t="s">
        <v>1764</v>
      </c>
      <c r="AJ279" s="2009">
        <v>80</v>
      </c>
      <c r="AK279" s="2010">
        <v>120</v>
      </c>
      <c r="AL279" s="2011">
        <v>0</v>
      </c>
      <c r="AM279" s="1871" t="s">
        <v>583</v>
      </c>
      <c r="AN279" s="1763" t="s">
        <v>583</v>
      </c>
      <c r="AR279" s="156"/>
      <c r="AS279" s="156"/>
      <c r="AT279" s="156"/>
      <c r="AU279" s="397"/>
      <c r="AV279" s="396"/>
      <c r="AW279" s="396"/>
      <c r="AY279" s="3"/>
      <c r="AZ279" s="3"/>
      <c r="BA279" s="3"/>
      <c r="BB279" s="3"/>
      <c r="BC279" s="3"/>
      <c r="BD279" s="3"/>
      <c r="BE279" s="3"/>
      <c r="BF279" s="3"/>
      <c r="BG279" s="3"/>
      <c r="BH279" s="3"/>
      <c r="BI279" s="3"/>
      <c r="BJ279" s="3"/>
      <c r="BK279" s="3"/>
      <c r="BL279" s="3"/>
      <c r="BM279" s="3"/>
      <c r="BQ279" s="1669"/>
      <c r="BR279" s="1720"/>
      <c r="BS279" s="1720"/>
      <c r="BT279" s="1720"/>
      <c r="BV279" s="1669"/>
      <c r="BW279" s="1721"/>
      <c r="BX279" s="1720"/>
      <c r="BY279" s="1720"/>
      <c r="BZ279" s="1719"/>
      <c r="CE279" s="1619"/>
      <c r="CF279" s="1620" t="str">
        <f>IFERROR(INDEX(N_Bedarf!$CE$2:$CE$304,_xlfn.AGGREGATE(15,6,(ROW(N_Bedarf!$CE$2:$CE$304)-1)/(--(SEARCH(CG$2,N_Bedarf!$CE$2:$CE$304)&gt;0)),ROW()-2),1),"")</f>
        <v/>
      </c>
      <c r="CG279" s="1620"/>
      <c r="CH279" s="1620"/>
      <c r="CI279" s="1620"/>
      <c r="CJ279" s="1620"/>
      <c r="CK279" s="1620"/>
      <c r="CL279" s="1620"/>
      <c r="CM279" s="1620"/>
      <c r="CN279" s="1620"/>
      <c r="CO279" s="1620"/>
      <c r="CP279" s="1620"/>
      <c r="CQ279" s="1620"/>
      <c r="CR279" s="1620"/>
      <c r="CS279" s="1620"/>
      <c r="CT279" s="1620"/>
      <c r="CU279" s="1620"/>
      <c r="CV279" s="1620"/>
      <c r="CW279" s="1620"/>
      <c r="CX279" s="1620"/>
      <c r="CY279" s="1620"/>
      <c r="CZ279" s="1620"/>
      <c r="DA279" s="1620"/>
      <c r="DB279" s="1620"/>
      <c r="DC279" s="1620"/>
      <c r="DD279" s="1620" t="str">
        <f>IFERROR(INDEX(N_Bedarf!$CE$2:$CE$304,_xlfn.AGGREGATE(15,6,(ROW(N_Bedarf!$CE$2:$CE$304)-1)/(--(SEARCH(DE$2,N_Bedarf!$CE$2:$CE$304)&gt;0)),ROW()-2),1),"")</f>
        <v/>
      </c>
      <c r="DE279" s="1620"/>
      <c r="ES279" s="768"/>
      <c r="ET279" s="768"/>
      <c r="EU279" s="768"/>
      <c r="EV279" s="768"/>
      <c r="EW279" s="768"/>
    </row>
    <row r="280" spans="3:153" s="394" customFormat="1" ht="21" customHeight="1">
      <c r="C280" s="1758" t="s">
        <v>1908</v>
      </c>
      <c r="D280" s="1759"/>
      <c r="E280" s="1729"/>
      <c r="F280" s="1760" t="s">
        <v>1764</v>
      </c>
      <c r="G280" s="1993" t="s">
        <v>1877</v>
      </c>
      <c r="H280" s="1994">
        <v>200</v>
      </c>
      <c r="I280" s="1995"/>
      <c r="J280" s="1759" t="s">
        <v>1571</v>
      </c>
      <c r="K280" s="1729">
        <v>210</v>
      </c>
      <c r="L280" s="1760"/>
      <c r="M280" s="1"/>
      <c r="N280" s="1"/>
      <c r="O280" s="1"/>
      <c r="P280" s="1"/>
      <c r="Q280" s="1"/>
      <c r="R280" s="1"/>
      <c r="S280" s="1759">
        <v>70</v>
      </c>
      <c r="T280" s="1729">
        <v>100</v>
      </c>
      <c r="U280" s="1760">
        <v>120</v>
      </c>
      <c r="V280" s="1759">
        <v>55</v>
      </c>
      <c r="W280" s="1729">
        <v>80</v>
      </c>
      <c r="X280" s="1760">
        <v>100</v>
      </c>
      <c r="Y280" s="2009">
        <v>45</v>
      </c>
      <c r="Z280" s="2010">
        <v>65</v>
      </c>
      <c r="AA280" s="2011">
        <v>80</v>
      </c>
      <c r="AB280" s="1871" t="s">
        <v>583</v>
      </c>
      <c r="AC280" s="1737" t="s">
        <v>583</v>
      </c>
      <c r="AD280" s="1762">
        <v>195</v>
      </c>
      <c r="AE280" s="1729">
        <v>255</v>
      </c>
      <c r="AF280" s="1760">
        <v>325</v>
      </c>
      <c r="AG280" s="1759">
        <v>165</v>
      </c>
      <c r="AH280" s="1729">
        <v>215</v>
      </c>
      <c r="AI280" s="1760">
        <v>270</v>
      </c>
      <c r="AJ280" s="2009">
        <v>130</v>
      </c>
      <c r="AK280" s="2010">
        <v>170</v>
      </c>
      <c r="AL280" s="2011">
        <v>215</v>
      </c>
      <c r="AM280" s="1871" t="s">
        <v>583</v>
      </c>
      <c r="AN280" s="1763" t="s">
        <v>583</v>
      </c>
      <c r="AR280" s="156"/>
      <c r="AS280" s="156"/>
      <c r="AT280" s="156"/>
      <c r="AU280" s="397"/>
      <c r="AV280" s="396"/>
      <c r="AW280" s="396"/>
      <c r="AY280" s="3"/>
      <c r="AZ280" s="3"/>
      <c r="BA280" s="3"/>
      <c r="BB280" s="3"/>
      <c r="BC280" s="3"/>
      <c r="BD280" s="3"/>
      <c r="BE280" s="3"/>
      <c r="BF280" s="3"/>
      <c r="BG280" s="3"/>
      <c r="BH280" s="3"/>
      <c r="BI280" s="3"/>
      <c r="BJ280" s="3"/>
      <c r="BK280" s="3"/>
      <c r="BL280" s="3"/>
      <c r="BM280" s="3"/>
      <c r="BQ280" s="1669"/>
      <c r="BR280" s="1720"/>
      <c r="BS280" s="1720"/>
      <c r="BT280" s="1720"/>
      <c r="BV280" s="1669"/>
      <c r="BW280" s="1721"/>
      <c r="BX280" s="1720"/>
      <c r="BY280" s="1720"/>
      <c r="BZ280" s="1719"/>
      <c r="CE280" s="1619"/>
      <c r="CF280" s="1620" t="str">
        <f>IFERROR(INDEX(N_Bedarf!$CE$2:$CE$304,_xlfn.AGGREGATE(15,6,(ROW(N_Bedarf!$CE$2:$CE$304)-1)/(--(SEARCH(CG$2,N_Bedarf!$CE$2:$CE$304)&gt;0)),ROW()-2),1),"")</f>
        <v/>
      </c>
      <c r="CG280" s="1620"/>
      <c r="CH280" s="1620"/>
      <c r="CI280" s="1620"/>
      <c r="CJ280" s="1620"/>
      <c r="CK280" s="1620"/>
      <c r="CL280" s="1620"/>
      <c r="CM280" s="1620"/>
      <c r="CN280" s="1620"/>
      <c r="CO280" s="1620"/>
      <c r="CP280" s="1620"/>
      <c r="CQ280" s="1620"/>
      <c r="CR280" s="1620"/>
      <c r="CS280" s="1620"/>
      <c r="CT280" s="1620"/>
      <c r="CU280" s="1620"/>
      <c r="CV280" s="1620"/>
      <c r="CW280" s="1620"/>
      <c r="CX280" s="1620"/>
      <c r="CY280" s="1620"/>
      <c r="CZ280" s="1620"/>
      <c r="DA280" s="1620"/>
      <c r="DB280" s="1620"/>
      <c r="DC280" s="1620"/>
      <c r="DD280" s="1620" t="str">
        <f>IFERROR(INDEX(N_Bedarf!$CE$2:$CE$304,_xlfn.AGGREGATE(15,6,(ROW(N_Bedarf!$CE$2:$CE$304)-1)/(--(SEARCH(DE$2,N_Bedarf!$CE$2:$CE$304)&gt;0)),ROW()-2),1),"")</f>
        <v/>
      </c>
      <c r="DE280" s="1620"/>
      <c r="ES280" s="768"/>
      <c r="ET280" s="768"/>
      <c r="EU280" s="768"/>
      <c r="EV280" s="768"/>
      <c r="EW280" s="768"/>
    </row>
    <row r="281" spans="3:153" s="394" customFormat="1" ht="21" customHeight="1">
      <c r="C281" s="1758" t="s">
        <v>1909</v>
      </c>
      <c r="D281" s="1759"/>
      <c r="E281" s="1729"/>
      <c r="F281" s="1760" t="s">
        <v>1764</v>
      </c>
      <c r="G281" s="1993" t="s">
        <v>1877</v>
      </c>
      <c r="H281" s="1994">
        <v>200</v>
      </c>
      <c r="I281" s="1995"/>
      <c r="J281" s="1759" t="s">
        <v>1571</v>
      </c>
      <c r="K281" s="1729">
        <v>210</v>
      </c>
      <c r="L281" s="1760"/>
      <c r="M281" s="1"/>
      <c r="N281" s="1"/>
      <c r="O281" s="1"/>
      <c r="P281" s="1"/>
      <c r="Q281" s="1"/>
      <c r="R281" s="1"/>
      <c r="S281" s="1759" t="s">
        <v>1764</v>
      </c>
      <c r="T281" s="1729">
        <v>120</v>
      </c>
      <c r="U281" s="1760">
        <v>135</v>
      </c>
      <c r="V281" s="1759" t="s">
        <v>1764</v>
      </c>
      <c r="W281" s="1729">
        <v>100</v>
      </c>
      <c r="X281" s="1760">
        <v>115</v>
      </c>
      <c r="Y281" s="2009"/>
      <c r="Z281" s="2010">
        <v>80</v>
      </c>
      <c r="AA281" s="2011">
        <v>90</v>
      </c>
      <c r="AB281" s="1871" t="s">
        <v>583</v>
      </c>
      <c r="AC281" s="1737" t="s">
        <v>583</v>
      </c>
      <c r="AD281" s="1762" t="s">
        <v>1764</v>
      </c>
      <c r="AE281" s="1729">
        <v>310</v>
      </c>
      <c r="AF281" s="1760">
        <v>390</v>
      </c>
      <c r="AG281" s="1759" t="s">
        <v>1764</v>
      </c>
      <c r="AH281" s="1729">
        <v>255</v>
      </c>
      <c r="AI281" s="1760">
        <v>325</v>
      </c>
      <c r="AJ281" s="2009"/>
      <c r="AK281" s="2010">
        <v>205</v>
      </c>
      <c r="AL281" s="2011">
        <v>260</v>
      </c>
      <c r="AM281" s="1871" t="s">
        <v>583</v>
      </c>
      <c r="AN281" s="1763" t="s">
        <v>583</v>
      </c>
      <c r="AR281" s="156"/>
      <c r="AS281" s="156"/>
      <c r="AT281" s="156"/>
      <c r="AU281" s="397"/>
      <c r="AV281" s="396"/>
      <c r="AW281" s="396"/>
      <c r="AY281" s="3"/>
      <c r="AZ281" s="3"/>
      <c r="BA281" s="3"/>
      <c r="BB281" s="3"/>
      <c r="BC281" s="3"/>
      <c r="BD281" s="3"/>
      <c r="BE281" s="3"/>
      <c r="BF281" s="3"/>
      <c r="BG281" s="3"/>
      <c r="BH281" s="3"/>
      <c r="BI281" s="3"/>
      <c r="BJ281" s="3"/>
      <c r="BK281" s="3"/>
      <c r="BL281" s="3"/>
      <c r="BM281" s="3"/>
      <c r="BQ281" s="1669"/>
      <c r="BR281" s="1720"/>
      <c r="BS281" s="1720"/>
      <c r="BT281" s="1720"/>
      <c r="BV281" s="1669"/>
      <c r="BW281" s="1721"/>
      <c r="BX281" s="1720"/>
      <c r="BY281" s="1720"/>
      <c r="BZ281" s="1719"/>
      <c r="CE281" s="1619"/>
      <c r="CF281" s="1620" t="str">
        <f>IFERROR(INDEX(N_Bedarf!$CE$2:$CE$304,_xlfn.AGGREGATE(15,6,(ROW(N_Bedarf!$CE$2:$CE$304)-1)/(--(SEARCH(CG$2,N_Bedarf!$CE$2:$CE$304)&gt;0)),ROW()-2),1),"")</f>
        <v/>
      </c>
      <c r="CG281" s="1620"/>
      <c r="CH281" s="1620"/>
      <c r="CI281" s="1620"/>
      <c r="CJ281" s="1620"/>
      <c r="CK281" s="1620"/>
      <c r="CL281" s="1620"/>
      <c r="CM281" s="1620"/>
      <c r="CN281" s="1620"/>
      <c r="CO281" s="1620"/>
      <c r="CP281" s="1620"/>
      <c r="CQ281" s="1620"/>
      <c r="CR281" s="1620"/>
      <c r="CS281" s="1620"/>
      <c r="CT281" s="1620"/>
      <c r="CU281" s="1620"/>
      <c r="CV281" s="1620"/>
      <c r="CW281" s="1620"/>
      <c r="CX281" s="1620"/>
      <c r="CY281" s="1620"/>
      <c r="CZ281" s="1620"/>
      <c r="DA281" s="1620"/>
      <c r="DB281" s="1620"/>
      <c r="DC281" s="1620"/>
      <c r="DD281" s="1620" t="str">
        <f>IFERROR(INDEX(N_Bedarf!$CE$2:$CE$304,_xlfn.AGGREGATE(15,6,(ROW(N_Bedarf!$CE$2:$CE$304)-1)/(--(SEARCH(DE$2,N_Bedarf!$CE$2:$CE$304)&gt;0)),ROW()-2),1),"")</f>
        <v/>
      </c>
      <c r="DE281" s="1620"/>
      <c r="ES281" s="768"/>
      <c r="ET281" s="768"/>
      <c r="EU281" s="768"/>
      <c r="EV281" s="768"/>
      <c r="EW281" s="768"/>
    </row>
    <row r="282" spans="3:153" s="394" customFormat="1" ht="21" customHeight="1">
      <c r="C282" s="1758" t="s">
        <v>1910</v>
      </c>
      <c r="D282" s="1759"/>
      <c r="E282" s="1729"/>
      <c r="F282" s="1760" t="s">
        <v>1764</v>
      </c>
      <c r="G282" s="1993" t="s">
        <v>1877</v>
      </c>
      <c r="H282" s="1994">
        <v>200</v>
      </c>
      <c r="I282" s="1995"/>
      <c r="J282" s="1759" t="s">
        <v>1571</v>
      </c>
      <c r="K282" s="1729">
        <v>280</v>
      </c>
      <c r="L282" s="1760"/>
      <c r="M282" s="1"/>
      <c r="N282" s="1"/>
      <c r="O282" s="1"/>
      <c r="P282" s="1"/>
      <c r="Q282" s="1"/>
      <c r="R282" s="1"/>
      <c r="S282" s="1759" t="s">
        <v>1764</v>
      </c>
      <c r="T282" s="1729">
        <v>130</v>
      </c>
      <c r="U282" s="1760">
        <v>190</v>
      </c>
      <c r="V282" s="1759" t="s">
        <v>1764</v>
      </c>
      <c r="W282" s="1729">
        <v>105</v>
      </c>
      <c r="X282" s="1760">
        <v>155</v>
      </c>
      <c r="Y282" s="2009"/>
      <c r="Z282" s="2010">
        <v>85</v>
      </c>
      <c r="AA282" s="2011">
        <v>125</v>
      </c>
      <c r="AB282" s="1871" t="s">
        <v>583</v>
      </c>
      <c r="AC282" s="1737" t="s">
        <v>583</v>
      </c>
      <c r="AD282" s="1762" t="s">
        <v>1764</v>
      </c>
      <c r="AE282" s="1729">
        <v>345</v>
      </c>
      <c r="AF282" s="1760">
        <v>550</v>
      </c>
      <c r="AG282" s="1759" t="s">
        <v>1764</v>
      </c>
      <c r="AH282" s="1729">
        <v>290</v>
      </c>
      <c r="AI282" s="1760">
        <v>455</v>
      </c>
      <c r="AJ282" s="2009"/>
      <c r="AK282" s="2010">
        <v>230</v>
      </c>
      <c r="AL282" s="2011">
        <v>365</v>
      </c>
      <c r="AM282" s="1871" t="s">
        <v>583</v>
      </c>
      <c r="AN282" s="1763" t="s">
        <v>583</v>
      </c>
      <c r="AR282" s="156"/>
      <c r="AS282" s="156"/>
      <c r="AT282" s="156"/>
      <c r="AU282" s="397"/>
      <c r="AV282" s="396"/>
      <c r="AW282" s="396"/>
      <c r="AY282" s="3"/>
      <c r="AZ282" s="3"/>
      <c r="BA282" s="3"/>
      <c r="BB282" s="3"/>
      <c r="BC282" s="3"/>
      <c r="BD282" s="3"/>
      <c r="BE282" s="3"/>
      <c r="BF282" s="3"/>
      <c r="BG282" s="3"/>
      <c r="BH282" s="3"/>
      <c r="BI282" s="3"/>
      <c r="BJ282" s="3"/>
      <c r="BK282" s="3"/>
      <c r="BL282" s="3"/>
      <c r="BM282" s="3"/>
      <c r="BQ282" s="1669"/>
      <c r="BR282" s="1720"/>
      <c r="BS282" s="1720"/>
      <c r="BT282" s="1720"/>
      <c r="BV282" s="1669"/>
      <c r="BW282" s="1721"/>
      <c r="BX282" s="1720"/>
      <c r="BY282" s="1720"/>
      <c r="BZ282" s="1719"/>
      <c r="CE282" s="1619"/>
      <c r="CF282" s="1620" t="str">
        <f>IFERROR(INDEX(N_Bedarf!$CE$2:$CE$304,_xlfn.AGGREGATE(15,6,(ROW(N_Bedarf!$CE$2:$CE$304)-1)/(--(SEARCH(CG$2,N_Bedarf!$CE$2:$CE$304)&gt;0)),ROW()-2),1),"")</f>
        <v/>
      </c>
      <c r="CG282" s="1620"/>
      <c r="CH282" s="1620"/>
      <c r="CI282" s="1620"/>
      <c r="CJ282" s="1620"/>
      <c r="CK282" s="1620"/>
      <c r="CL282" s="1620"/>
      <c r="CM282" s="1620"/>
      <c r="CN282" s="1620"/>
      <c r="CO282" s="1620"/>
      <c r="CP282" s="1620"/>
      <c r="CQ282" s="1620"/>
      <c r="CR282" s="1620"/>
      <c r="CS282" s="1620"/>
      <c r="CT282" s="1620"/>
      <c r="CU282" s="1620"/>
      <c r="CV282" s="1620"/>
      <c r="CW282" s="1620"/>
      <c r="CX282" s="1620"/>
      <c r="CY282" s="1620"/>
      <c r="CZ282" s="1620"/>
      <c r="DA282" s="1620"/>
      <c r="DB282" s="1620"/>
      <c r="DC282" s="1620"/>
      <c r="DD282" s="1620" t="str">
        <f>IFERROR(INDEX(N_Bedarf!$CE$2:$CE$304,_xlfn.AGGREGATE(15,6,(ROW(N_Bedarf!$CE$2:$CE$304)-1)/(--(SEARCH(DE$2,N_Bedarf!$CE$2:$CE$304)&gt;0)),ROW()-2),1),"")</f>
        <v/>
      </c>
      <c r="DE282" s="1620"/>
      <c r="ES282" s="768"/>
      <c r="ET282" s="768"/>
      <c r="EU282" s="768"/>
      <c r="EV282" s="768"/>
      <c r="EW282" s="768"/>
    </row>
    <row r="283" spans="3:153" s="394" customFormat="1" ht="21" customHeight="1">
      <c r="C283" s="1758" t="s">
        <v>1911</v>
      </c>
      <c r="D283" s="1759"/>
      <c r="E283" s="1729"/>
      <c r="F283" s="1760" t="s">
        <v>1764</v>
      </c>
      <c r="G283" s="1993"/>
      <c r="H283" s="1994"/>
      <c r="I283" s="1995"/>
      <c r="J283" s="1759" t="s">
        <v>1902</v>
      </c>
      <c r="K283" s="1729">
        <v>280</v>
      </c>
      <c r="L283" s="1760"/>
      <c r="M283" s="1"/>
      <c r="N283" s="1"/>
      <c r="O283" s="1"/>
      <c r="P283" s="1"/>
      <c r="Q283" s="1"/>
      <c r="R283" s="1"/>
      <c r="S283" s="1759" t="s">
        <v>1764</v>
      </c>
      <c r="T283" s="1729" t="s">
        <v>1764</v>
      </c>
      <c r="U283" s="1760">
        <v>205</v>
      </c>
      <c r="V283" s="1759" t="s">
        <v>1764</v>
      </c>
      <c r="W283" s="1729" t="s">
        <v>1764</v>
      </c>
      <c r="X283" s="1760">
        <v>170</v>
      </c>
      <c r="Y283" s="2009"/>
      <c r="Z283" s="2010"/>
      <c r="AA283" s="2011">
        <v>135</v>
      </c>
      <c r="AB283" s="1871" t="s">
        <v>583</v>
      </c>
      <c r="AC283" s="1737" t="s">
        <v>583</v>
      </c>
      <c r="AD283" s="1762" t="s">
        <v>1764</v>
      </c>
      <c r="AE283" s="1729" t="s">
        <v>1764</v>
      </c>
      <c r="AF283" s="1760">
        <v>585</v>
      </c>
      <c r="AG283" s="1759" t="s">
        <v>1764</v>
      </c>
      <c r="AH283" s="1729" t="s">
        <v>1764</v>
      </c>
      <c r="AI283" s="1760">
        <v>490</v>
      </c>
      <c r="AJ283" s="2009"/>
      <c r="AK283" s="2010"/>
      <c r="AL283" s="2011">
        <v>390</v>
      </c>
      <c r="AM283" s="1871" t="s">
        <v>583</v>
      </c>
      <c r="AN283" s="1763" t="s">
        <v>583</v>
      </c>
      <c r="AR283" s="156"/>
      <c r="AS283" s="156"/>
      <c r="AT283" s="156"/>
      <c r="AU283" s="397"/>
      <c r="AV283" s="396"/>
      <c r="AW283" s="396"/>
      <c r="AY283" s="3"/>
      <c r="AZ283" s="3"/>
      <c r="BA283" s="3"/>
      <c r="BB283" s="3"/>
      <c r="BC283" s="3"/>
      <c r="BD283" s="3"/>
      <c r="BE283" s="3"/>
      <c r="BF283" s="3"/>
      <c r="BG283" s="3"/>
      <c r="BH283" s="3"/>
      <c r="BI283" s="3"/>
      <c r="BJ283" s="3"/>
      <c r="BK283" s="3"/>
      <c r="BL283" s="3"/>
      <c r="BM283" s="3"/>
      <c r="BQ283" s="1669"/>
      <c r="BR283" s="1720"/>
      <c r="BS283" s="1720"/>
      <c r="BT283" s="1720"/>
      <c r="BV283" s="1669"/>
      <c r="BW283" s="1721"/>
      <c r="BX283" s="1720"/>
      <c r="BY283" s="1720"/>
      <c r="BZ283" s="1719"/>
      <c r="CE283" s="1619"/>
      <c r="CF283" s="1620" t="str">
        <f>IFERROR(INDEX(N_Bedarf!$CE$2:$CE$304,_xlfn.AGGREGATE(15,6,(ROW(N_Bedarf!$CE$2:$CE$304)-1)/(--(SEARCH(CG$2,N_Bedarf!$CE$2:$CE$304)&gt;0)),ROW()-2),1),"")</f>
        <v/>
      </c>
      <c r="CG283" s="1620"/>
      <c r="CH283" s="1620"/>
      <c r="CI283" s="1620"/>
      <c r="CJ283" s="1620"/>
      <c r="CK283" s="1620"/>
      <c r="CL283" s="1620"/>
      <c r="CM283" s="1620"/>
      <c r="CN283" s="1620"/>
      <c r="CO283" s="1620"/>
      <c r="CP283" s="1620"/>
      <c r="CQ283" s="1620"/>
      <c r="CR283" s="1620"/>
      <c r="CS283" s="1620"/>
      <c r="CT283" s="1620"/>
      <c r="CU283" s="1620"/>
      <c r="CV283" s="1620"/>
      <c r="CW283" s="1620"/>
      <c r="CX283" s="1620"/>
      <c r="CY283" s="1620"/>
      <c r="CZ283" s="1620"/>
      <c r="DA283" s="1620"/>
      <c r="DB283" s="1620"/>
      <c r="DC283" s="1620"/>
      <c r="DD283" s="1620" t="str">
        <f>IFERROR(INDEX(N_Bedarf!$CE$2:$CE$304,_xlfn.AGGREGATE(15,6,(ROW(N_Bedarf!$CE$2:$CE$304)-1)/(--(SEARCH(DE$2,N_Bedarf!$CE$2:$CE$304)&gt;0)),ROW()-2),1),"")</f>
        <v/>
      </c>
      <c r="DE283" s="1620"/>
      <c r="ES283" s="768"/>
      <c r="ET283" s="768"/>
      <c r="EU283" s="768"/>
      <c r="EV283" s="768"/>
      <c r="EW283" s="768"/>
    </row>
    <row r="284" spans="3:153" s="394" customFormat="1" ht="21" customHeight="1">
      <c r="C284" s="1758" t="s">
        <v>1912</v>
      </c>
      <c r="D284" s="1759" t="s">
        <v>1414</v>
      </c>
      <c r="E284" s="1729">
        <v>40</v>
      </c>
      <c r="F284" s="1760" t="s">
        <v>1764</v>
      </c>
      <c r="G284" s="1993" t="s">
        <v>1574</v>
      </c>
      <c r="H284" s="1994">
        <v>40</v>
      </c>
      <c r="I284" s="1995"/>
      <c r="J284" s="1759" t="s">
        <v>714</v>
      </c>
      <c r="K284" s="1729"/>
      <c r="L284" s="1760"/>
      <c r="M284" s="1"/>
      <c r="N284" s="1"/>
      <c r="O284" s="1"/>
      <c r="P284" s="1"/>
      <c r="Q284" s="1"/>
      <c r="R284" s="1"/>
      <c r="S284" s="1759">
        <v>25</v>
      </c>
      <c r="T284" s="1729">
        <v>45</v>
      </c>
      <c r="U284" s="1760" t="s">
        <v>1764</v>
      </c>
      <c r="V284" s="1759">
        <v>20</v>
      </c>
      <c r="W284" s="1729">
        <v>40</v>
      </c>
      <c r="X284" s="1760" t="s">
        <v>1764</v>
      </c>
      <c r="Y284" s="2009">
        <v>15</v>
      </c>
      <c r="Z284" s="2010">
        <v>30</v>
      </c>
      <c r="AA284" s="2011">
        <v>0</v>
      </c>
      <c r="AB284" s="1871" t="s">
        <v>583</v>
      </c>
      <c r="AC284" s="1737" t="s">
        <v>583</v>
      </c>
      <c r="AD284" s="1762">
        <v>70</v>
      </c>
      <c r="AE284" s="1729">
        <v>120</v>
      </c>
      <c r="AF284" s="1760" t="s">
        <v>1764</v>
      </c>
      <c r="AG284" s="1759">
        <v>55</v>
      </c>
      <c r="AH284" s="1729">
        <v>100</v>
      </c>
      <c r="AI284" s="1760" t="s">
        <v>1764</v>
      </c>
      <c r="AJ284" s="2009">
        <v>45</v>
      </c>
      <c r="AK284" s="2010">
        <v>80</v>
      </c>
      <c r="AL284" s="2011"/>
      <c r="AM284" s="1871" t="s">
        <v>583</v>
      </c>
      <c r="AN284" s="1763" t="s">
        <v>583</v>
      </c>
      <c r="AR284" s="156"/>
      <c r="AS284" s="156"/>
      <c r="AT284" s="156"/>
      <c r="AU284" s="397"/>
      <c r="AV284" s="396"/>
      <c r="AW284" s="396"/>
      <c r="AY284" s="3"/>
      <c r="AZ284" s="3"/>
      <c r="BA284" s="3"/>
      <c r="BB284" s="3"/>
      <c r="BC284" s="3"/>
      <c r="BD284" s="3"/>
      <c r="BE284" s="3"/>
      <c r="BF284" s="3"/>
      <c r="BG284" s="3"/>
      <c r="BH284" s="3"/>
      <c r="BI284" s="3"/>
      <c r="BJ284" s="3"/>
      <c r="BK284" s="3"/>
      <c r="BL284" s="3"/>
      <c r="BM284" s="3"/>
      <c r="BQ284" s="1669"/>
      <c r="BR284" s="1720"/>
      <c r="BS284" s="1720"/>
      <c r="BT284" s="1720"/>
      <c r="BV284" s="1669"/>
      <c r="BW284" s="1721"/>
      <c r="BX284" s="1720"/>
      <c r="BY284" s="1720"/>
      <c r="BZ284" s="1719"/>
      <c r="CE284" s="1619"/>
      <c r="CF284" s="1620" t="str">
        <f>IFERROR(INDEX(N_Bedarf!$CE$2:$CE$304,_xlfn.AGGREGATE(15,6,(ROW(N_Bedarf!$CE$2:$CE$304)-1)/(--(SEARCH(CG$2,N_Bedarf!$CE$2:$CE$304)&gt;0)),ROW()-2),1),"")</f>
        <v/>
      </c>
      <c r="CG284" s="1620"/>
      <c r="CH284" s="1620"/>
      <c r="CI284" s="1620"/>
      <c r="CJ284" s="1620"/>
      <c r="CK284" s="1620"/>
      <c r="CL284" s="1620"/>
      <c r="CM284" s="1620"/>
      <c r="CN284" s="1620"/>
      <c r="CO284" s="1620"/>
      <c r="CP284" s="1620"/>
      <c r="CQ284" s="1620"/>
      <c r="CR284" s="1620"/>
      <c r="CS284" s="1620"/>
      <c r="CT284" s="1620"/>
      <c r="CU284" s="1620"/>
      <c r="CV284" s="1620"/>
      <c r="CW284" s="1620"/>
      <c r="CX284" s="1620"/>
      <c r="CY284" s="1620"/>
      <c r="CZ284" s="1620"/>
      <c r="DA284" s="1620"/>
      <c r="DB284" s="1620"/>
      <c r="DC284" s="1620"/>
      <c r="DD284" s="1620" t="str">
        <f>IFERROR(INDEX(N_Bedarf!$CE$2:$CE$304,_xlfn.AGGREGATE(15,6,(ROW(N_Bedarf!$CE$2:$CE$304)-1)/(--(SEARCH(DE$2,N_Bedarf!$CE$2:$CE$304)&gt;0)),ROW()-2),1),"")</f>
        <v/>
      </c>
      <c r="DE284" s="1620"/>
      <c r="ES284" s="768"/>
      <c r="ET284" s="768"/>
      <c r="EU284" s="768"/>
      <c r="EV284" s="768"/>
      <c r="EW284" s="768"/>
    </row>
    <row r="285" spans="3:153" s="394" customFormat="1" ht="21" customHeight="1">
      <c r="C285" s="1758" t="s">
        <v>1913</v>
      </c>
      <c r="D285" s="1759" t="s">
        <v>585</v>
      </c>
      <c r="E285" s="1729">
        <v>40</v>
      </c>
      <c r="F285" s="1760" t="s">
        <v>1764</v>
      </c>
      <c r="G285" s="1993" t="s">
        <v>1887</v>
      </c>
      <c r="H285" s="1994">
        <v>40</v>
      </c>
      <c r="I285" s="1995"/>
      <c r="J285" s="1759" t="s">
        <v>714</v>
      </c>
      <c r="K285" s="1729"/>
      <c r="L285" s="1760"/>
      <c r="M285" s="1"/>
      <c r="N285" s="1"/>
      <c r="O285" s="1"/>
      <c r="P285" s="1"/>
      <c r="Q285" s="1"/>
      <c r="R285" s="1"/>
      <c r="S285" s="1759">
        <v>45</v>
      </c>
      <c r="T285" s="1729">
        <v>70</v>
      </c>
      <c r="U285" s="1760" t="s">
        <v>1764</v>
      </c>
      <c r="V285" s="1759">
        <v>40</v>
      </c>
      <c r="W285" s="1729">
        <v>55</v>
      </c>
      <c r="X285" s="1760" t="s">
        <v>1764</v>
      </c>
      <c r="Y285" s="2009">
        <v>30</v>
      </c>
      <c r="Z285" s="2010">
        <v>45</v>
      </c>
      <c r="AA285" s="2011">
        <v>0</v>
      </c>
      <c r="AB285" s="1871" t="s">
        <v>583</v>
      </c>
      <c r="AC285" s="1737" t="s">
        <v>583</v>
      </c>
      <c r="AD285" s="1762">
        <v>120</v>
      </c>
      <c r="AE285" s="1729">
        <v>180</v>
      </c>
      <c r="AF285" s="1760" t="s">
        <v>1764</v>
      </c>
      <c r="AG285" s="1759">
        <v>100</v>
      </c>
      <c r="AH285" s="1729">
        <v>150</v>
      </c>
      <c r="AI285" s="1760" t="s">
        <v>1764</v>
      </c>
      <c r="AJ285" s="2009">
        <v>80</v>
      </c>
      <c r="AK285" s="2010">
        <v>120</v>
      </c>
      <c r="AL285" s="2011"/>
      <c r="AM285" s="1871" t="s">
        <v>583</v>
      </c>
      <c r="AN285" s="1763" t="s">
        <v>583</v>
      </c>
      <c r="AR285" s="156"/>
      <c r="AS285" s="156"/>
      <c r="AT285" s="156"/>
      <c r="AU285" s="397"/>
      <c r="AV285" s="396"/>
      <c r="AW285" s="396"/>
      <c r="AY285" s="3"/>
      <c r="AZ285" s="3"/>
      <c r="BA285" s="3"/>
      <c r="BB285" s="3"/>
      <c r="BC285" s="3"/>
      <c r="BD285" s="3"/>
      <c r="BE285" s="3"/>
      <c r="BF285" s="3"/>
      <c r="BG285" s="3"/>
      <c r="BH285" s="3"/>
      <c r="BI285" s="3"/>
      <c r="BJ285" s="3"/>
      <c r="BK285" s="3"/>
      <c r="BL285" s="3"/>
      <c r="BM285" s="3"/>
      <c r="BQ285" s="1669"/>
      <c r="BR285" s="1720"/>
      <c r="BS285" s="1720"/>
      <c r="BT285" s="1720"/>
      <c r="BV285" s="1669"/>
      <c r="BW285" s="1721"/>
      <c r="BX285" s="1720"/>
      <c r="BY285" s="1720"/>
      <c r="BZ285" s="1719"/>
      <c r="CE285" s="1619"/>
      <c r="CF285" s="1620" t="str">
        <f>IFERROR(INDEX(N_Bedarf!$CE$2:$CE$304,_xlfn.AGGREGATE(15,6,(ROW(N_Bedarf!$CE$2:$CE$304)-1)/(--(SEARCH(CG$2,N_Bedarf!$CE$2:$CE$304)&gt;0)),ROW()-2),1),"")</f>
        <v/>
      </c>
      <c r="CG285" s="1620"/>
      <c r="CH285" s="1620"/>
      <c r="CI285" s="1620"/>
      <c r="CJ285" s="1620"/>
      <c r="CK285" s="1620"/>
      <c r="CL285" s="1620"/>
      <c r="CM285" s="1620"/>
      <c r="CN285" s="1620"/>
      <c r="CO285" s="1620"/>
      <c r="CP285" s="1620"/>
      <c r="CQ285" s="1620"/>
      <c r="CR285" s="1620"/>
      <c r="CS285" s="1620"/>
      <c r="CT285" s="1620"/>
      <c r="CU285" s="1620"/>
      <c r="CV285" s="1620"/>
      <c r="CW285" s="1620"/>
      <c r="CX285" s="1620"/>
      <c r="CY285" s="1620"/>
      <c r="CZ285" s="1620"/>
      <c r="DA285" s="1620"/>
      <c r="DB285" s="1620"/>
      <c r="DC285" s="1620"/>
      <c r="DD285" s="1620" t="str">
        <f>IFERROR(INDEX(N_Bedarf!$CE$2:$CE$304,_xlfn.AGGREGATE(15,6,(ROW(N_Bedarf!$CE$2:$CE$304)-1)/(--(SEARCH(DE$2,N_Bedarf!$CE$2:$CE$304)&gt;0)),ROW()-2),1),"")</f>
        <v/>
      </c>
      <c r="DE285" s="1620"/>
      <c r="ES285" s="768"/>
      <c r="ET285" s="768"/>
      <c r="EU285" s="768"/>
      <c r="EV285" s="768"/>
      <c r="EW285" s="768"/>
    </row>
    <row r="286" spans="3:153" s="394" customFormat="1" ht="21" customHeight="1">
      <c r="C286" s="1758" t="s">
        <v>1914</v>
      </c>
      <c r="D286" s="1759" t="s">
        <v>586</v>
      </c>
      <c r="E286" s="1729">
        <v>40</v>
      </c>
      <c r="F286" s="1760" t="s">
        <v>1764</v>
      </c>
      <c r="G286" s="1993" t="s">
        <v>587</v>
      </c>
      <c r="H286" s="1994">
        <v>40</v>
      </c>
      <c r="I286" s="1995"/>
      <c r="J286" s="1759" t="s">
        <v>1576</v>
      </c>
      <c r="K286" s="1729">
        <v>40</v>
      </c>
      <c r="L286" s="1760"/>
      <c r="M286" s="1"/>
      <c r="N286" s="1"/>
      <c r="O286" s="1"/>
      <c r="P286" s="1"/>
      <c r="Q286" s="1"/>
      <c r="R286" s="1"/>
      <c r="S286" s="1759">
        <v>70</v>
      </c>
      <c r="T286" s="1729">
        <v>100</v>
      </c>
      <c r="U286" s="1760">
        <v>120</v>
      </c>
      <c r="V286" s="1759">
        <v>55</v>
      </c>
      <c r="W286" s="1729">
        <v>80</v>
      </c>
      <c r="X286" s="1760">
        <v>100</v>
      </c>
      <c r="Y286" s="2009">
        <v>45</v>
      </c>
      <c r="Z286" s="2010">
        <v>65</v>
      </c>
      <c r="AA286" s="2011">
        <v>80</v>
      </c>
      <c r="AB286" s="1871" t="s">
        <v>583</v>
      </c>
      <c r="AC286" s="1737" t="s">
        <v>583</v>
      </c>
      <c r="AD286" s="1762">
        <v>195</v>
      </c>
      <c r="AE286" s="1729">
        <v>255</v>
      </c>
      <c r="AF286" s="1760">
        <v>325</v>
      </c>
      <c r="AG286" s="1759">
        <v>165</v>
      </c>
      <c r="AH286" s="1729">
        <v>215</v>
      </c>
      <c r="AI286" s="1760">
        <v>270</v>
      </c>
      <c r="AJ286" s="2009">
        <v>130</v>
      </c>
      <c r="AK286" s="2010">
        <v>170</v>
      </c>
      <c r="AL286" s="2011">
        <v>215</v>
      </c>
      <c r="AM286" s="1871" t="s">
        <v>583</v>
      </c>
      <c r="AN286" s="1763" t="s">
        <v>583</v>
      </c>
      <c r="AR286" s="156"/>
      <c r="AS286" s="156"/>
      <c r="AT286" s="156"/>
      <c r="AU286" s="397"/>
      <c r="AV286" s="396"/>
      <c r="AW286" s="396"/>
      <c r="AY286" s="3"/>
      <c r="AZ286" s="3"/>
      <c r="BA286" s="3"/>
      <c r="BB286" s="3"/>
      <c r="BC286" s="3"/>
      <c r="BD286" s="3"/>
      <c r="BE286" s="3"/>
      <c r="BF286" s="3"/>
      <c r="BG286" s="3"/>
      <c r="BH286" s="3"/>
      <c r="BI286" s="3"/>
      <c r="BJ286" s="3"/>
      <c r="BK286" s="3"/>
      <c r="BL286" s="3"/>
      <c r="BM286" s="3"/>
      <c r="BQ286" s="1669"/>
      <c r="BR286" s="1720"/>
      <c r="BS286" s="1720"/>
      <c r="BT286" s="1720"/>
      <c r="BV286" s="1669"/>
      <c r="BW286" s="1721"/>
      <c r="BX286" s="1720"/>
      <c r="BY286" s="1720"/>
      <c r="BZ286" s="1719"/>
      <c r="CE286" s="1619"/>
      <c r="CF286" s="1620" t="str">
        <f>IFERROR(INDEX(N_Bedarf!$CE$2:$CE$304,_xlfn.AGGREGATE(15,6,(ROW(N_Bedarf!$CE$2:$CE$304)-1)/(--(SEARCH(CG$2,N_Bedarf!$CE$2:$CE$304)&gt;0)),ROW()-2),1),"")</f>
        <v/>
      </c>
      <c r="CG286" s="1620"/>
      <c r="CH286" s="1620"/>
      <c r="CI286" s="1620"/>
      <c r="CJ286" s="1620"/>
      <c r="CK286" s="1620"/>
      <c r="CL286" s="1620"/>
      <c r="CM286" s="1620"/>
      <c r="CN286" s="1620"/>
      <c r="CO286" s="1620"/>
      <c r="CP286" s="1620"/>
      <c r="CQ286" s="1620"/>
      <c r="CR286" s="1620"/>
      <c r="CS286" s="1620"/>
      <c r="CT286" s="1620"/>
      <c r="CU286" s="1620"/>
      <c r="CV286" s="1620"/>
      <c r="CW286" s="1620"/>
      <c r="CX286" s="1620"/>
      <c r="CY286" s="1620"/>
      <c r="CZ286" s="1620"/>
      <c r="DA286" s="1620"/>
      <c r="DB286" s="1620"/>
      <c r="DC286" s="1620"/>
      <c r="DD286" s="1620" t="str">
        <f>IFERROR(INDEX(N_Bedarf!$CE$2:$CE$304,_xlfn.AGGREGATE(15,6,(ROW(N_Bedarf!$CE$2:$CE$304)-1)/(--(SEARCH(DE$2,N_Bedarf!$CE$2:$CE$304)&gt;0)),ROW()-2),1),"")</f>
        <v/>
      </c>
      <c r="DE286" s="1620"/>
      <c r="ES286" s="768"/>
      <c r="ET286" s="768"/>
      <c r="EU286" s="768"/>
      <c r="EV286" s="768"/>
      <c r="EW286" s="768"/>
    </row>
    <row r="287" spans="3:153" s="394" customFormat="1" ht="21" customHeight="1">
      <c r="C287" s="1758" t="s">
        <v>1915</v>
      </c>
      <c r="D287" s="1759" t="s">
        <v>714</v>
      </c>
      <c r="E287" s="1729"/>
      <c r="F287" s="1760" t="s">
        <v>1764</v>
      </c>
      <c r="G287" s="1993" t="s">
        <v>588</v>
      </c>
      <c r="H287" s="1994">
        <v>40</v>
      </c>
      <c r="I287" s="1995"/>
      <c r="J287" s="1759" t="s">
        <v>1577</v>
      </c>
      <c r="K287" s="1729">
        <v>40</v>
      </c>
      <c r="L287" s="1760"/>
      <c r="M287" s="1"/>
      <c r="N287" s="1"/>
      <c r="O287" s="1"/>
      <c r="P287" s="1"/>
      <c r="Q287" s="1"/>
      <c r="R287" s="1"/>
      <c r="S287" s="1759" t="s">
        <v>1764</v>
      </c>
      <c r="T287" s="1729">
        <v>120</v>
      </c>
      <c r="U287" s="1760">
        <v>135</v>
      </c>
      <c r="V287" s="1759" t="s">
        <v>1764</v>
      </c>
      <c r="W287" s="1729">
        <v>100</v>
      </c>
      <c r="X287" s="1760">
        <v>115</v>
      </c>
      <c r="Y287" s="2009"/>
      <c r="Z287" s="2010">
        <v>80</v>
      </c>
      <c r="AA287" s="2011">
        <v>90</v>
      </c>
      <c r="AB287" s="1871" t="s">
        <v>583</v>
      </c>
      <c r="AC287" s="1737" t="s">
        <v>583</v>
      </c>
      <c r="AD287" s="1762" t="s">
        <v>1764</v>
      </c>
      <c r="AE287" s="1729">
        <v>310</v>
      </c>
      <c r="AF287" s="1760">
        <v>390</v>
      </c>
      <c r="AG287" s="1759" t="s">
        <v>1764</v>
      </c>
      <c r="AH287" s="1729">
        <v>255</v>
      </c>
      <c r="AI287" s="1760">
        <v>325</v>
      </c>
      <c r="AJ287" s="2009"/>
      <c r="AK287" s="2010">
        <v>205</v>
      </c>
      <c r="AL287" s="2011">
        <v>260</v>
      </c>
      <c r="AM287" s="1871" t="s">
        <v>583</v>
      </c>
      <c r="AN287" s="1763" t="s">
        <v>583</v>
      </c>
      <c r="AR287" s="156"/>
      <c r="AS287" s="156"/>
      <c r="AT287" s="156"/>
      <c r="AU287" s="397"/>
      <c r="AV287" s="396"/>
      <c r="AW287" s="396"/>
      <c r="AY287" s="3"/>
      <c r="AZ287" s="3"/>
      <c r="BA287" s="3"/>
      <c r="BB287" s="3"/>
      <c r="BC287" s="3"/>
      <c r="BD287" s="3"/>
      <c r="BE287" s="3"/>
      <c r="BF287" s="3"/>
      <c r="BG287" s="3"/>
      <c r="BH287" s="3"/>
      <c r="BI287" s="3"/>
      <c r="BJ287" s="3"/>
      <c r="BK287" s="3"/>
      <c r="BL287" s="3"/>
      <c r="BM287" s="3"/>
      <c r="BQ287" s="1669"/>
      <c r="BR287" s="1720"/>
      <c r="BS287" s="1720"/>
      <c r="BT287" s="1720"/>
      <c r="BV287" s="1669"/>
      <c r="BW287" s="1721"/>
      <c r="BX287" s="1720"/>
      <c r="BY287" s="1720"/>
      <c r="BZ287" s="1719"/>
      <c r="CE287" s="1619"/>
      <c r="CF287" s="1620" t="str">
        <f>IFERROR(INDEX(N_Bedarf!$CE$2:$CE$304,_xlfn.AGGREGATE(15,6,(ROW(N_Bedarf!$CE$2:$CE$304)-1)/(--(SEARCH(CG$2,N_Bedarf!$CE$2:$CE$304)&gt;0)),ROW()-2),1),"")</f>
        <v/>
      </c>
      <c r="CG287" s="1620"/>
      <c r="CH287" s="1620"/>
      <c r="CI287" s="1620"/>
      <c r="CJ287" s="1620"/>
      <c r="CK287" s="1620"/>
      <c r="CL287" s="1620"/>
      <c r="CM287" s="1620"/>
      <c r="CN287" s="1620"/>
      <c r="CO287" s="1620"/>
      <c r="CP287" s="1620"/>
      <c r="CQ287" s="1620"/>
      <c r="CR287" s="1620"/>
      <c r="CS287" s="1620"/>
      <c r="CT287" s="1620"/>
      <c r="CU287" s="1620"/>
      <c r="CV287" s="1620"/>
      <c r="CW287" s="1620"/>
      <c r="CX287" s="1620"/>
      <c r="CY287" s="1620"/>
      <c r="CZ287" s="1620"/>
      <c r="DA287" s="1620"/>
      <c r="DB287" s="1620"/>
      <c r="DC287" s="1620"/>
      <c r="DD287" s="1620" t="str">
        <f>IFERROR(INDEX(N_Bedarf!$CE$2:$CE$304,_xlfn.AGGREGATE(15,6,(ROW(N_Bedarf!$CE$2:$CE$304)-1)/(--(SEARCH(DE$2,N_Bedarf!$CE$2:$CE$304)&gt;0)),ROW()-2),1),"")</f>
        <v/>
      </c>
      <c r="DE287" s="1620"/>
      <c r="ES287" s="768"/>
      <c r="ET287" s="768"/>
      <c r="EU287" s="768"/>
      <c r="EV287" s="768"/>
      <c r="EW287" s="768"/>
    </row>
    <row r="288" spans="3:153" s="394" customFormat="1" ht="21" customHeight="1">
      <c r="C288" s="1758" t="s">
        <v>1916</v>
      </c>
      <c r="D288" s="1759" t="s">
        <v>714</v>
      </c>
      <c r="E288" s="1729"/>
      <c r="F288" s="1760" t="s">
        <v>1764</v>
      </c>
      <c r="G288" s="1993" t="s">
        <v>590</v>
      </c>
      <c r="H288" s="1994">
        <v>40</v>
      </c>
      <c r="I288" s="1995"/>
      <c r="J288" s="1759" t="s">
        <v>1578</v>
      </c>
      <c r="K288" s="1729">
        <v>40</v>
      </c>
      <c r="L288" s="1760"/>
      <c r="M288" s="1"/>
      <c r="N288" s="1"/>
      <c r="O288" s="1"/>
      <c r="P288" s="1"/>
      <c r="Q288" s="1"/>
      <c r="R288" s="1"/>
      <c r="S288" s="1759" t="s">
        <v>1764</v>
      </c>
      <c r="T288" s="1729">
        <v>130</v>
      </c>
      <c r="U288" s="1760">
        <v>160</v>
      </c>
      <c r="V288" s="1759" t="s">
        <v>1764</v>
      </c>
      <c r="W288" s="1729">
        <v>105</v>
      </c>
      <c r="X288" s="1760">
        <v>130</v>
      </c>
      <c r="Y288" s="2009"/>
      <c r="Z288" s="2010">
        <v>85</v>
      </c>
      <c r="AA288" s="2011">
        <v>105</v>
      </c>
      <c r="AB288" s="1871" t="s">
        <v>583</v>
      </c>
      <c r="AC288" s="1737" t="s">
        <v>583</v>
      </c>
      <c r="AD288" s="1762" t="s">
        <v>1764</v>
      </c>
      <c r="AE288" s="1729">
        <v>345</v>
      </c>
      <c r="AF288" s="1760">
        <v>450</v>
      </c>
      <c r="AG288" s="1759" t="s">
        <v>1764</v>
      </c>
      <c r="AH288" s="1729">
        <v>290</v>
      </c>
      <c r="AI288" s="1760">
        <v>375</v>
      </c>
      <c r="AJ288" s="2009"/>
      <c r="AK288" s="2010">
        <v>230</v>
      </c>
      <c r="AL288" s="2011">
        <v>300</v>
      </c>
      <c r="AM288" s="1871" t="s">
        <v>583</v>
      </c>
      <c r="AN288" s="1763" t="s">
        <v>583</v>
      </c>
      <c r="AR288" s="156"/>
      <c r="AS288" s="156"/>
      <c r="AT288" s="156"/>
      <c r="AU288" s="397"/>
      <c r="AV288" s="396"/>
      <c r="AW288" s="396"/>
      <c r="AY288" s="3"/>
      <c r="AZ288" s="3"/>
      <c r="BA288" s="3"/>
      <c r="BB288" s="3"/>
      <c r="BC288" s="3"/>
      <c r="BD288" s="3"/>
      <c r="BE288" s="3"/>
      <c r="BF288" s="3"/>
      <c r="BG288" s="3"/>
      <c r="BH288" s="3"/>
      <c r="BI288" s="3"/>
      <c r="BJ288" s="3"/>
      <c r="BK288" s="3"/>
      <c r="BL288" s="3"/>
      <c r="BM288" s="3"/>
      <c r="BQ288" s="1669"/>
      <c r="BR288" s="1720"/>
      <c r="BS288" s="1720"/>
      <c r="BT288" s="1720"/>
      <c r="BV288" s="1669"/>
      <c r="BW288" s="1721"/>
      <c r="BX288" s="1720"/>
      <c r="BY288" s="1720"/>
      <c r="BZ288" s="1719"/>
      <c r="CE288" s="1619"/>
      <c r="CF288" s="1620" t="str">
        <f>IFERROR(INDEX(N_Bedarf!$CE$2:$CE$304,_xlfn.AGGREGATE(15,6,(ROW(N_Bedarf!$CE$2:$CE$304)-1)/(--(SEARCH(CG$2,N_Bedarf!$CE$2:$CE$304)&gt;0)),ROW()-2),1),"")</f>
        <v/>
      </c>
      <c r="CG288" s="1620"/>
      <c r="CH288" s="1620"/>
      <c r="CI288" s="1620"/>
      <c r="CJ288" s="1620"/>
      <c r="CK288" s="1620"/>
      <c r="CL288" s="1620"/>
      <c r="CM288" s="1620"/>
      <c r="CN288" s="1620"/>
      <c r="CO288" s="1620"/>
      <c r="CP288" s="1620"/>
      <c r="CQ288" s="1620"/>
      <c r="CR288" s="1620"/>
      <c r="CS288" s="1620"/>
      <c r="CT288" s="1620"/>
      <c r="CU288" s="1620"/>
      <c r="CV288" s="1620"/>
      <c r="CW288" s="1620"/>
      <c r="CX288" s="1620"/>
      <c r="CY288" s="1620"/>
      <c r="CZ288" s="1620"/>
      <c r="DA288" s="1620"/>
      <c r="DB288" s="1620"/>
      <c r="DC288" s="1620"/>
      <c r="DD288" s="1620" t="str">
        <f>IFERROR(INDEX(N_Bedarf!$CE$2:$CE$304,_xlfn.AGGREGATE(15,6,(ROW(N_Bedarf!$CE$2:$CE$304)-1)/(--(SEARCH(DE$2,N_Bedarf!$CE$2:$CE$304)&gt;0)),ROW()-2),1),"")</f>
        <v/>
      </c>
      <c r="DE288" s="1620"/>
      <c r="ES288" s="768"/>
      <c r="ET288" s="768"/>
      <c r="EU288" s="768"/>
      <c r="EV288" s="768"/>
      <c r="EW288" s="768"/>
    </row>
    <row r="289" spans="1:153" s="394" customFormat="1" ht="21" customHeight="1">
      <c r="C289" s="1758" t="s">
        <v>1917</v>
      </c>
      <c r="D289" s="1759"/>
      <c r="E289" s="1729"/>
      <c r="F289" s="1760" t="s">
        <v>1764</v>
      </c>
      <c r="G289" s="1993"/>
      <c r="H289" s="1994"/>
      <c r="I289" s="1995"/>
      <c r="J289" s="1759" t="s">
        <v>1902</v>
      </c>
      <c r="K289" s="1729">
        <v>40</v>
      </c>
      <c r="L289" s="1760"/>
      <c r="M289" s="1"/>
      <c r="N289" s="1"/>
      <c r="O289" s="1"/>
      <c r="P289" s="1"/>
      <c r="Q289" s="1"/>
      <c r="R289" s="1"/>
      <c r="S289" s="1759" t="s">
        <v>1764</v>
      </c>
      <c r="T289" s="1729" t="s">
        <v>1764</v>
      </c>
      <c r="U289" s="1760">
        <v>180</v>
      </c>
      <c r="V289" s="1759" t="s">
        <v>1764</v>
      </c>
      <c r="W289" s="1729" t="s">
        <v>1764</v>
      </c>
      <c r="X289" s="1760">
        <v>150</v>
      </c>
      <c r="Y289" s="2009"/>
      <c r="Z289" s="2010"/>
      <c r="AA289" s="2011">
        <v>120</v>
      </c>
      <c r="AB289" s="1871" t="s">
        <v>583</v>
      </c>
      <c r="AC289" s="1737" t="s">
        <v>583</v>
      </c>
      <c r="AD289" s="1762" t="s">
        <v>1764</v>
      </c>
      <c r="AE289" s="1729" t="s">
        <v>1764</v>
      </c>
      <c r="AF289" s="1760">
        <v>510</v>
      </c>
      <c r="AG289" s="1759" t="s">
        <v>1764</v>
      </c>
      <c r="AH289" s="1729" t="s">
        <v>1764</v>
      </c>
      <c r="AI289" s="1760">
        <v>425</v>
      </c>
      <c r="AJ289" s="2009"/>
      <c r="AK289" s="2010"/>
      <c r="AL289" s="2011">
        <v>340</v>
      </c>
      <c r="AM289" s="1871" t="s">
        <v>583</v>
      </c>
      <c r="AN289" s="1763" t="s">
        <v>583</v>
      </c>
      <c r="AR289" s="156"/>
      <c r="AS289" s="156"/>
      <c r="AT289" s="156"/>
      <c r="AU289" s="397"/>
      <c r="AV289" s="396"/>
      <c r="AW289" s="396"/>
      <c r="AY289" s="3"/>
      <c r="AZ289" s="3"/>
      <c r="BA289" s="3"/>
      <c r="BB289" s="3"/>
      <c r="BC289" s="3"/>
      <c r="BD289" s="3"/>
      <c r="BE289" s="3"/>
      <c r="BF289" s="3"/>
      <c r="BG289" s="3"/>
      <c r="BH289" s="3"/>
      <c r="BI289" s="3"/>
      <c r="BJ289" s="3"/>
      <c r="BK289" s="3"/>
      <c r="BL289" s="3"/>
      <c r="BM289" s="3"/>
      <c r="BQ289" s="1669"/>
      <c r="BR289" s="1720"/>
      <c r="BS289" s="1720"/>
      <c r="BT289" s="1720"/>
      <c r="BV289" s="1669"/>
      <c r="BW289" s="1721"/>
      <c r="BX289" s="1720"/>
      <c r="BY289" s="1720"/>
      <c r="BZ289" s="1719"/>
      <c r="CE289" s="1619"/>
      <c r="CF289" s="1620" t="str">
        <f>IFERROR(INDEX(N_Bedarf!$CE$2:$CE$304,_xlfn.AGGREGATE(15,6,(ROW(N_Bedarf!$CE$2:$CE$304)-1)/(--(SEARCH(CG$2,N_Bedarf!$CE$2:$CE$304)&gt;0)),ROW()-2),1),"")</f>
        <v/>
      </c>
      <c r="CG289" s="1620"/>
      <c r="CH289" s="1620"/>
      <c r="CI289" s="1620"/>
      <c r="CJ289" s="1620"/>
      <c r="CK289" s="1620"/>
      <c r="CL289" s="1620"/>
      <c r="CM289" s="1620"/>
      <c r="CN289" s="1620"/>
      <c r="CO289" s="1620"/>
      <c r="CP289" s="1620"/>
      <c r="CQ289" s="1620"/>
      <c r="CR289" s="1620"/>
      <c r="CS289" s="1620"/>
      <c r="CT289" s="1620"/>
      <c r="CU289" s="1620"/>
      <c r="CV289" s="1620"/>
      <c r="CW289" s="1620"/>
      <c r="CX289" s="1620"/>
      <c r="CY289" s="1620"/>
      <c r="CZ289" s="1620"/>
      <c r="DA289" s="1620"/>
      <c r="DB289" s="1620"/>
      <c r="DC289" s="1620"/>
      <c r="DD289" s="1620" t="str">
        <f>IFERROR(INDEX(N_Bedarf!$CE$2:$CE$304,_xlfn.AGGREGATE(15,6,(ROW(N_Bedarf!$CE$2:$CE$304)-1)/(--(SEARCH(DE$2,N_Bedarf!$CE$2:$CE$304)&gt;0)),ROW()-2),1),"")</f>
        <v/>
      </c>
      <c r="DE289" s="1620"/>
      <c r="ES289" s="768"/>
      <c r="ET289" s="768"/>
      <c r="EU289" s="768"/>
      <c r="EV289" s="768"/>
      <c r="EW289" s="768"/>
    </row>
    <row r="290" spans="1:153" s="394" customFormat="1" ht="21" customHeight="1">
      <c r="C290" s="1758" t="s">
        <v>1918</v>
      </c>
      <c r="D290" s="1759" t="s">
        <v>1414</v>
      </c>
      <c r="E290" s="1729">
        <v>15</v>
      </c>
      <c r="F290" s="1760" t="s">
        <v>1764</v>
      </c>
      <c r="G290" s="1993" t="s">
        <v>1574</v>
      </c>
      <c r="H290" s="1994">
        <v>25</v>
      </c>
      <c r="I290" s="1995"/>
      <c r="J290" s="1759" t="s">
        <v>714</v>
      </c>
      <c r="K290" s="1729"/>
      <c r="L290" s="1760"/>
      <c r="M290" s="1"/>
      <c r="N290" s="1"/>
      <c r="O290" s="1"/>
      <c r="P290" s="1"/>
      <c r="Q290" s="1"/>
      <c r="R290" s="1"/>
      <c r="S290" s="1759">
        <v>25</v>
      </c>
      <c r="T290" s="1729">
        <v>45</v>
      </c>
      <c r="U290" s="1760" t="s">
        <v>1764</v>
      </c>
      <c r="V290" s="1759">
        <v>20</v>
      </c>
      <c r="W290" s="1729">
        <v>40</v>
      </c>
      <c r="X290" s="1760" t="s">
        <v>1764</v>
      </c>
      <c r="Y290" s="2009">
        <v>15</v>
      </c>
      <c r="Z290" s="2010">
        <v>30</v>
      </c>
      <c r="AA290" s="2011">
        <v>0</v>
      </c>
      <c r="AB290" s="1871" t="s">
        <v>583</v>
      </c>
      <c r="AC290" s="1737" t="s">
        <v>583</v>
      </c>
      <c r="AD290" s="1762">
        <v>70</v>
      </c>
      <c r="AE290" s="1729">
        <v>120</v>
      </c>
      <c r="AF290" s="1760" t="s">
        <v>1764</v>
      </c>
      <c r="AG290" s="1759">
        <v>55</v>
      </c>
      <c r="AH290" s="1729">
        <v>100</v>
      </c>
      <c r="AI290" s="1760" t="s">
        <v>1764</v>
      </c>
      <c r="AJ290" s="2009">
        <v>45</v>
      </c>
      <c r="AK290" s="2010">
        <v>80</v>
      </c>
      <c r="AL290" s="2011">
        <v>0</v>
      </c>
      <c r="AM290" s="1871" t="s">
        <v>583</v>
      </c>
      <c r="AN290" s="1763" t="s">
        <v>583</v>
      </c>
      <c r="AR290" s="156"/>
      <c r="AS290" s="156"/>
      <c r="AT290" s="156"/>
      <c r="AU290" s="397"/>
      <c r="AV290" s="396"/>
      <c r="AW290" s="396"/>
      <c r="AY290" s="3"/>
      <c r="AZ290" s="3"/>
      <c r="BA290" s="3"/>
      <c r="BB290" s="3"/>
      <c r="BC290" s="3"/>
      <c r="BD290" s="3"/>
      <c r="BE290" s="3"/>
      <c r="BF290" s="3"/>
      <c r="BG290" s="3"/>
      <c r="BH290" s="3"/>
      <c r="BI290" s="3"/>
      <c r="BJ290" s="3"/>
      <c r="BK290" s="3"/>
      <c r="BL290" s="3"/>
      <c r="BM290" s="3"/>
      <c r="BQ290" s="1669"/>
      <c r="BR290" s="1720"/>
      <c r="BS290" s="1720"/>
      <c r="BT290" s="1720"/>
      <c r="BV290" s="1669"/>
      <c r="BW290" s="1721"/>
      <c r="BX290" s="1720"/>
      <c r="BY290" s="1720"/>
      <c r="BZ290" s="1719"/>
      <c r="CE290" s="1619"/>
      <c r="CF290" s="1620" t="str">
        <f>IFERROR(INDEX(N_Bedarf!$CE$2:$CE$304,_xlfn.AGGREGATE(15,6,(ROW(N_Bedarf!$CE$2:$CE$304)-1)/(--(SEARCH(CG$2,N_Bedarf!$CE$2:$CE$304)&gt;0)),ROW()-2),1),"")</f>
        <v/>
      </c>
      <c r="CG290" s="1620"/>
      <c r="CH290" s="1620"/>
      <c r="CI290" s="1620"/>
      <c r="CJ290" s="1620"/>
      <c r="CK290" s="1620"/>
      <c r="CL290" s="1620"/>
      <c r="CM290" s="1620"/>
      <c r="CN290" s="1620"/>
      <c r="CO290" s="1620"/>
      <c r="CP290" s="1620"/>
      <c r="CQ290" s="1620"/>
      <c r="CR290" s="1620"/>
      <c r="CS290" s="1620"/>
      <c r="CT290" s="1620"/>
      <c r="CU290" s="1620"/>
      <c r="CV290" s="1620"/>
      <c r="CW290" s="1620"/>
      <c r="CX290" s="1620"/>
      <c r="CY290" s="1620"/>
      <c r="CZ290" s="1620"/>
      <c r="DA290" s="1620"/>
      <c r="DB290" s="1620"/>
      <c r="DC290" s="1620"/>
      <c r="DD290" s="1620" t="str">
        <f>IFERROR(INDEX(N_Bedarf!$CE$2:$CE$304,_xlfn.AGGREGATE(15,6,(ROW(N_Bedarf!$CE$2:$CE$304)-1)/(--(SEARCH(DE$2,N_Bedarf!$CE$2:$CE$304)&gt;0)),ROW()-2),1),"")</f>
        <v/>
      </c>
      <c r="DE290" s="1620"/>
      <c r="ES290" s="768"/>
      <c r="ET290" s="768"/>
      <c r="EU290" s="768"/>
      <c r="EV290" s="768"/>
      <c r="EW290" s="768"/>
    </row>
    <row r="291" spans="1:153" s="394" customFormat="1" ht="21" customHeight="1">
      <c r="C291" s="1758" t="s">
        <v>1919</v>
      </c>
      <c r="D291" s="1759" t="s">
        <v>585</v>
      </c>
      <c r="E291" s="1729">
        <v>45</v>
      </c>
      <c r="F291" s="1760" t="s">
        <v>1764</v>
      </c>
      <c r="G291" s="1993" t="s">
        <v>1887</v>
      </c>
      <c r="H291" s="1994">
        <v>70</v>
      </c>
      <c r="I291" s="1995"/>
      <c r="J291" s="1759" t="s">
        <v>714</v>
      </c>
      <c r="K291" s="1729"/>
      <c r="L291" s="1760"/>
      <c r="M291" s="1"/>
      <c r="N291" s="1"/>
      <c r="O291" s="1"/>
      <c r="P291" s="1"/>
      <c r="Q291" s="1"/>
      <c r="R291" s="1"/>
      <c r="S291" s="1759">
        <v>45</v>
      </c>
      <c r="T291" s="1729">
        <v>70</v>
      </c>
      <c r="U291" s="1760" t="s">
        <v>1764</v>
      </c>
      <c r="V291" s="1759">
        <v>40</v>
      </c>
      <c r="W291" s="1729">
        <v>55</v>
      </c>
      <c r="X291" s="1760" t="s">
        <v>1764</v>
      </c>
      <c r="Y291" s="2009">
        <v>30</v>
      </c>
      <c r="Z291" s="2010">
        <v>45</v>
      </c>
      <c r="AA291" s="2011">
        <v>0</v>
      </c>
      <c r="AB291" s="1871" t="s">
        <v>583</v>
      </c>
      <c r="AC291" s="1737" t="s">
        <v>583</v>
      </c>
      <c r="AD291" s="1762">
        <v>120</v>
      </c>
      <c r="AE291" s="1729">
        <v>180</v>
      </c>
      <c r="AF291" s="1760" t="s">
        <v>1764</v>
      </c>
      <c r="AG291" s="1759">
        <v>100</v>
      </c>
      <c r="AH291" s="1729">
        <v>150</v>
      </c>
      <c r="AI291" s="1760" t="s">
        <v>1764</v>
      </c>
      <c r="AJ291" s="2009">
        <v>80</v>
      </c>
      <c r="AK291" s="2010">
        <v>120</v>
      </c>
      <c r="AL291" s="2011">
        <v>0</v>
      </c>
      <c r="AM291" s="1871" t="s">
        <v>583</v>
      </c>
      <c r="AN291" s="1763" t="s">
        <v>583</v>
      </c>
      <c r="AR291" s="156"/>
      <c r="AS291" s="156"/>
      <c r="AT291" s="156"/>
      <c r="AU291" s="397"/>
      <c r="AV291" s="396"/>
      <c r="AW291" s="396"/>
      <c r="AY291" s="3"/>
      <c r="AZ291" s="3"/>
      <c r="BA291" s="3"/>
      <c r="BB291" s="3"/>
      <c r="BC291" s="3"/>
      <c r="BD291" s="3"/>
      <c r="BE291" s="3"/>
      <c r="BF291" s="3"/>
      <c r="BG291" s="3"/>
      <c r="BH291" s="3"/>
      <c r="BI291" s="3"/>
      <c r="BJ291" s="3"/>
      <c r="BK291" s="3"/>
      <c r="BL291" s="3"/>
      <c r="BM291" s="3"/>
      <c r="BQ291" s="1669"/>
      <c r="BR291" s="1720"/>
      <c r="BS291" s="1720"/>
      <c r="BT291" s="1720"/>
      <c r="BV291" s="1669"/>
      <c r="BW291" s="1721"/>
      <c r="BX291" s="1720"/>
      <c r="BY291" s="1720"/>
      <c r="BZ291" s="1719"/>
      <c r="CE291" s="1619"/>
      <c r="CF291" s="1620" t="str">
        <f>IFERROR(INDEX(N_Bedarf!$CE$2:$CE$304,_xlfn.AGGREGATE(15,6,(ROW(N_Bedarf!$CE$2:$CE$304)-1)/(--(SEARCH(CG$2,N_Bedarf!$CE$2:$CE$304)&gt;0)),ROW()-2),1),"")</f>
        <v/>
      </c>
      <c r="CG291" s="1620"/>
      <c r="CH291" s="1620"/>
      <c r="CI291" s="1620"/>
      <c r="CJ291" s="1620"/>
      <c r="CK291" s="1620"/>
      <c r="CL291" s="1620"/>
      <c r="CM291" s="1620"/>
      <c r="CN291" s="1620"/>
      <c r="CO291" s="1620"/>
      <c r="CP291" s="1620"/>
      <c r="CQ291" s="1620"/>
      <c r="CR291" s="1620"/>
      <c r="CS291" s="1620"/>
      <c r="CT291" s="1620"/>
      <c r="CU291" s="1620"/>
      <c r="CV291" s="1620"/>
      <c r="CW291" s="1620"/>
      <c r="CX291" s="1620"/>
      <c r="CY291" s="1620"/>
      <c r="CZ291" s="1620"/>
      <c r="DA291" s="1620"/>
      <c r="DB291" s="1620"/>
      <c r="DC291" s="1620"/>
      <c r="DD291" s="1620" t="str">
        <f>IFERROR(INDEX(N_Bedarf!$CE$2:$CE$304,_xlfn.AGGREGATE(15,6,(ROW(N_Bedarf!$CE$2:$CE$304)-1)/(--(SEARCH(DE$2,N_Bedarf!$CE$2:$CE$304)&gt;0)),ROW()-2),1),"")</f>
        <v/>
      </c>
      <c r="DE291" s="1620"/>
      <c r="ES291" s="768"/>
      <c r="ET291" s="768"/>
      <c r="EU291" s="768"/>
      <c r="EV291" s="768"/>
      <c r="EW291" s="768"/>
    </row>
    <row r="292" spans="1:153" s="394" customFormat="1" ht="21" customHeight="1">
      <c r="C292" s="1758" t="s">
        <v>1920</v>
      </c>
      <c r="D292" s="1759" t="s">
        <v>586</v>
      </c>
      <c r="E292" s="1729">
        <v>80</v>
      </c>
      <c r="F292" s="1760" t="s">
        <v>1764</v>
      </c>
      <c r="G292" s="1993" t="s">
        <v>587</v>
      </c>
      <c r="H292" s="1994">
        <v>90</v>
      </c>
      <c r="I292" s="1995"/>
      <c r="J292" s="1759" t="s">
        <v>1404</v>
      </c>
      <c r="K292" s="1729">
        <v>115</v>
      </c>
      <c r="L292" s="1760"/>
      <c r="M292" s="1"/>
      <c r="N292" s="1"/>
      <c r="O292" s="1"/>
      <c r="P292" s="1"/>
      <c r="Q292" s="1"/>
      <c r="R292" s="1"/>
      <c r="S292" s="1759">
        <v>70</v>
      </c>
      <c r="T292" s="1729">
        <v>100</v>
      </c>
      <c r="U292" s="1760">
        <v>120</v>
      </c>
      <c r="V292" s="1759">
        <v>55</v>
      </c>
      <c r="W292" s="1729">
        <v>80</v>
      </c>
      <c r="X292" s="1760">
        <v>100</v>
      </c>
      <c r="Y292" s="2009">
        <v>45</v>
      </c>
      <c r="Z292" s="2010">
        <v>65</v>
      </c>
      <c r="AA292" s="2011">
        <v>80</v>
      </c>
      <c r="AB292" s="1871" t="s">
        <v>583</v>
      </c>
      <c r="AC292" s="1737" t="s">
        <v>583</v>
      </c>
      <c r="AD292" s="1762">
        <v>195</v>
      </c>
      <c r="AE292" s="1729">
        <v>255</v>
      </c>
      <c r="AF292" s="1760">
        <v>325</v>
      </c>
      <c r="AG292" s="1759">
        <v>165</v>
      </c>
      <c r="AH292" s="1729">
        <v>215</v>
      </c>
      <c r="AI292" s="1760">
        <v>270</v>
      </c>
      <c r="AJ292" s="2009">
        <v>130</v>
      </c>
      <c r="AK292" s="2010">
        <v>170</v>
      </c>
      <c r="AL292" s="2011">
        <v>215</v>
      </c>
      <c r="AM292" s="1871" t="s">
        <v>583</v>
      </c>
      <c r="AN292" s="1763" t="s">
        <v>583</v>
      </c>
      <c r="AR292" s="156"/>
      <c r="AS292" s="156"/>
      <c r="AT292" s="156"/>
      <c r="AU292" s="397"/>
      <c r="AV292" s="396"/>
      <c r="AW292" s="396"/>
      <c r="AY292" s="3"/>
      <c r="AZ292" s="3"/>
      <c r="BA292" s="3"/>
      <c r="BB292" s="3"/>
      <c r="BC292" s="3"/>
      <c r="BD292" s="3"/>
      <c r="BE292" s="3"/>
      <c r="BF292" s="3"/>
      <c r="BG292" s="3"/>
      <c r="BH292" s="3"/>
      <c r="BI292" s="3"/>
      <c r="BJ292" s="3"/>
      <c r="BK292" s="3"/>
      <c r="BL292" s="3"/>
      <c r="BM292" s="3"/>
      <c r="BQ292" s="1669"/>
      <c r="BR292" s="1720"/>
      <c r="BS292" s="1720"/>
      <c r="BT292" s="1720"/>
      <c r="BV292" s="1669"/>
      <c r="BW292" s="1721"/>
      <c r="BX292" s="1720"/>
      <c r="BY292" s="1720"/>
      <c r="BZ292" s="1719"/>
      <c r="CE292" s="1619"/>
      <c r="CF292" s="1620" t="str">
        <f>IFERROR(INDEX(N_Bedarf!$CE$2:$CE$304,_xlfn.AGGREGATE(15,6,(ROW(N_Bedarf!$CE$2:$CE$304)-1)/(--(SEARCH(CG$2,N_Bedarf!$CE$2:$CE$304)&gt;0)),ROW()-2),1),"")</f>
        <v/>
      </c>
      <c r="CG292" s="1620"/>
      <c r="CH292" s="1620"/>
      <c r="CI292" s="1620"/>
      <c r="CJ292" s="1620"/>
      <c r="CK292" s="1620"/>
      <c r="CL292" s="1620"/>
      <c r="CM292" s="1620"/>
      <c r="CN292" s="1620"/>
      <c r="CO292" s="1620"/>
      <c r="CP292" s="1620"/>
      <c r="CQ292" s="1620"/>
      <c r="CR292" s="1620"/>
      <c r="CS292" s="1620"/>
      <c r="CT292" s="1620"/>
      <c r="CU292" s="1620"/>
      <c r="CV292" s="1620"/>
      <c r="CW292" s="1620"/>
      <c r="CX292" s="1620"/>
      <c r="CY292" s="1620"/>
      <c r="CZ292" s="1620"/>
      <c r="DA292" s="1620"/>
      <c r="DB292" s="1620"/>
      <c r="DC292" s="1620"/>
      <c r="DD292" s="1620" t="str">
        <f>IFERROR(INDEX(N_Bedarf!$CE$2:$CE$304,_xlfn.AGGREGATE(15,6,(ROW(N_Bedarf!$CE$2:$CE$304)-1)/(--(SEARCH(DE$2,N_Bedarf!$CE$2:$CE$304)&gt;0)),ROW()-2),1),"")</f>
        <v/>
      </c>
      <c r="DE292" s="1620"/>
      <c r="ES292" s="768"/>
      <c r="ET292" s="768"/>
      <c r="EU292" s="768"/>
      <c r="EV292" s="768"/>
      <c r="EW292" s="768"/>
    </row>
    <row r="293" spans="1:153" s="394" customFormat="1" ht="21" customHeight="1">
      <c r="C293" s="1758" t="s">
        <v>1921</v>
      </c>
      <c r="D293" s="1759"/>
      <c r="E293" s="1729"/>
      <c r="F293" s="1760" t="s">
        <v>1764</v>
      </c>
      <c r="G293" s="1993" t="s">
        <v>588</v>
      </c>
      <c r="H293" s="1994">
        <v>120</v>
      </c>
      <c r="I293" s="1995"/>
      <c r="J293" s="1759" t="s">
        <v>589</v>
      </c>
      <c r="K293" s="1729">
        <v>150</v>
      </c>
      <c r="L293" s="1760"/>
      <c r="M293" s="1"/>
      <c r="N293" s="1"/>
      <c r="O293" s="1"/>
      <c r="P293" s="1"/>
      <c r="Q293" s="1"/>
      <c r="R293" s="1"/>
      <c r="S293" s="1759" t="s">
        <v>1764</v>
      </c>
      <c r="T293" s="1729">
        <v>120</v>
      </c>
      <c r="U293" s="1760">
        <v>135</v>
      </c>
      <c r="V293" s="1759" t="s">
        <v>1764</v>
      </c>
      <c r="W293" s="1729">
        <v>100</v>
      </c>
      <c r="X293" s="1760">
        <v>115</v>
      </c>
      <c r="Y293" s="2009"/>
      <c r="Z293" s="2010">
        <v>80</v>
      </c>
      <c r="AA293" s="2011">
        <v>90</v>
      </c>
      <c r="AB293" s="1871" t="s">
        <v>583</v>
      </c>
      <c r="AC293" s="1737" t="s">
        <v>583</v>
      </c>
      <c r="AD293" s="1762" t="s">
        <v>1764</v>
      </c>
      <c r="AE293" s="1729">
        <v>310</v>
      </c>
      <c r="AF293" s="1760">
        <v>390</v>
      </c>
      <c r="AG293" s="1759" t="s">
        <v>1764</v>
      </c>
      <c r="AH293" s="1729">
        <v>255</v>
      </c>
      <c r="AI293" s="1760">
        <v>325</v>
      </c>
      <c r="AJ293" s="2009">
        <v>0</v>
      </c>
      <c r="AK293" s="2010">
        <v>205</v>
      </c>
      <c r="AL293" s="2011">
        <v>260</v>
      </c>
      <c r="AM293" s="1871" t="s">
        <v>583</v>
      </c>
      <c r="AN293" s="1763" t="s">
        <v>583</v>
      </c>
      <c r="AR293" s="156"/>
      <c r="AS293" s="156"/>
      <c r="AT293" s="156"/>
      <c r="AU293" s="397"/>
      <c r="AV293" s="396"/>
      <c r="AW293" s="396"/>
      <c r="AY293" s="3"/>
      <c r="AZ293" s="3"/>
      <c r="BA293" s="3"/>
      <c r="BB293" s="3"/>
      <c r="BC293" s="3"/>
      <c r="BD293" s="3"/>
      <c r="BE293" s="3"/>
      <c r="BF293" s="3"/>
      <c r="BG293" s="3"/>
      <c r="BH293" s="3"/>
      <c r="BI293" s="3"/>
      <c r="BJ293" s="3"/>
      <c r="BK293" s="3"/>
      <c r="BL293" s="3"/>
      <c r="BM293" s="3"/>
      <c r="BQ293" s="1669"/>
      <c r="BR293" s="1720"/>
      <c r="BS293" s="1720"/>
      <c r="BT293" s="1720"/>
      <c r="BV293" s="1669"/>
      <c r="BW293" s="1721"/>
      <c r="BX293" s="1720"/>
      <c r="BY293" s="1720"/>
      <c r="BZ293" s="1719"/>
      <c r="CE293" s="1619"/>
      <c r="CF293" s="1620" t="str">
        <f>IFERROR(INDEX(N_Bedarf!$CE$2:$CE$304,_xlfn.AGGREGATE(15,6,(ROW(N_Bedarf!$CE$2:$CE$304)-1)/(--(SEARCH(CG$2,N_Bedarf!$CE$2:$CE$304)&gt;0)),ROW()-2),1),"")</f>
        <v/>
      </c>
      <c r="CG293" s="1620"/>
      <c r="CH293" s="1620"/>
      <c r="CI293" s="1620"/>
      <c r="CJ293" s="1620"/>
      <c r="CK293" s="1620"/>
      <c r="CL293" s="1620"/>
      <c r="CM293" s="1620"/>
      <c r="CN293" s="1620"/>
      <c r="CO293" s="1620"/>
      <c r="CP293" s="1620"/>
      <c r="CQ293" s="1620"/>
      <c r="CR293" s="1620"/>
      <c r="CS293" s="1620"/>
      <c r="CT293" s="1620"/>
      <c r="CU293" s="1620"/>
      <c r="CV293" s="1620"/>
      <c r="CW293" s="1620"/>
      <c r="CX293" s="1620"/>
      <c r="CY293" s="1620"/>
      <c r="CZ293" s="1620"/>
      <c r="DA293" s="1620"/>
      <c r="DB293" s="1620"/>
      <c r="DC293" s="1620"/>
      <c r="DD293" s="1620" t="str">
        <f>IFERROR(INDEX(N_Bedarf!$CE$2:$CE$304,_xlfn.AGGREGATE(15,6,(ROW(N_Bedarf!$CE$2:$CE$304)-1)/(--(SEARCH(DE$2,N_Bedarf!$CE$2:$CE$304)&gt;0)),ROW()-2),1),"")</f>
        <v/>
      </c>
      <c r="DE293" s="1620"/>
      <c r="ES293" s="768"/>
      <c r="ET293" s="768"/>
      <c r="EU293" s="768"/>
      <c r="EV293" s="768"/>
      <c r="EW293" s="768"/>
    </row>
    <row r="294" spans="1:153" s="394" customFormat="1" ht="21" customHeight="1">
      <c r="C294" s="1758" t="s">
        <v>1922</v>
      </c>
      <c r="D294" s="1759"/>
      <c r="E294" s="1729"/>
      <c r="F294" s="1760" t="s">
        <v>1764</v>
      </c>
      <c r="G294" s="1993" t="s">
        <v>590</v>
      </c>
      <c r="H294" s="1994">
        <v>150</v>
      </c>
      <c r="I294" s="1995"/>
      <c r="J294" s="1759" t="s">
        <v>591</v>
      </c>
      <c r="K294" s="1729">
        <v>190</v>
      </c>
      <c r="L294" s="1760"/>
      <c r="M294" s="1"/>
      <c r="N294" s="1"/>
      <c r="O294" s="1"/>
      <c r="P294" s="1"/>
      <c r="Q294" s="1"/>
      <c r="R294" s="1"/>
      <c r="S294" s="1759" t="s">
        <v>1764</v>
      </c>
      <c r="T294" s="1729">
        <v>130</v>
      </c>
      <c r="U294" s="1760">
        <v>160</v>
      </c>
      <c r="V294" s="1759" t="s">
        <v>1764</v>
      </c>
      <c r="W294" s="1729">
        <v>105</v>
      </c>
      <c r="X294" s="1760">
        <v>130</v>
      </c>
      <c r="Y294" s="2009"/>
      <c r="Z294" s="2010">
        <v>85</v>
      </c>
      <c r="AA294" s="2011">
        <v>105</v>
      </c>
      <c r="AB294" s="1871" t="s">
        <v>583</v>
      </c>
      <c r="AC294" s="1737" t="s">
        <v>583</v>
      </c>
      <c r="AD294" s="1762" t="s">
        <v>1764</v>
      </c>
      <c r="AE294" s="1729">
        <v>345</v>
      </c>
      <c r="AF294" s="1760">
        <v>450</v>
      </c>
      <c r="AG294" s="1759" t="s">
        <v>1764</v>
      </c>
      <c r="AH294" s="1729">
        <v>290</v>
      </c>
      <c r="AI294" s="1760">
        <v>375</v>
      </c>
      <c r="AJ294" s="2009">
        <v>0</v>
      </c>
      <c r="AK294" s="2010">
        <v>230</v>
      </c>
      <c r="AL294" s="2011">
        <v>300</v>
      </c>
      <c r="AM294" s="1871" t="s">
        <v>583</v>
      </c>
      <c r="AN294" s="1763" t="s">
        <v>583</v>
      </c>
      <c r="AR294" s="156"/>
      <c r="AS294" s="156"/>
      <c r="AT294" s="156"/>
      <c r="AU294" s="397"/>
      <c r="AV294" s="396"/>
      <c r="AW294" s="396"/>
      <c r="AY294" s="3"/>
      <c r="AZ294" s="3"/>
      <c r="BA294" s="3"/>
      <c r="BB294" s="3"/>
      <c r="BC294" s="3"/>
      <c r="BD294" s="3"/>
      <c r="BE294" s="3"/>
      <c r="BF294" s="3"/>
      <c r="BG294" s="3"/>
      <c r="BH294" s="3"/>
      <c r="BI294" s="3"/>
      <c r="BJ294" s="3"/>
      <c r="BK294" s="3"/>
      <c r="BL294" s="3"/>
      <c r="BM294" s="3"/>
      <c r="BQ294" s="1669"/>
      <c r="BR294" s="1720"/>
      <c r="BS294" s="1720"/>
      <c r="BT294" s="1720"/>
      <c r="BV294" s="1669"/>
      <c r="BW294" s="1721"/>
      <c r="BX294" s="1720"/>
      <c r="BY294" s="1720"/>
      <c r="BZ294" s="1719"/>
      <c r="CE294" s="1619"/>
      <c r="CF294" s="1620" t="str">
        <f>IFERROR(INDEX(N_Bedarf!$CE$2:$CE$304,_xlfn.AGGREGATE(15,6,(ROW(N_Bedarf!$CE$2:$CE$304)-1)/(--(SEARCH(CG$2,N_Bedarf!$CE$2:$CE$304)&gt;0)),ROW()-2),1),"")</f>
        <v/>
      </c>
      <c r="CG294" s="1620"/>
      <c r="CH294" s="1620"/>
      <c r="CI294" s="1620"/>
      <c r="CJ294" s="1620"/>
      <c r="CK294" s="1620"/>
      <c r="CL294" s="1620"/>
      <c r="CM294" s="1620"/>
      <c r="CN294" s="1620"/>
      <c r="CO294" s="1620"/>
      <c r="CP294" s="1620"/>
      <c r="CQ294" s="1620"/>
      <c r="CR294" s="1620"/>
      <c r="CS294" s="1620"/>
      <c r="CT294" s="1620"/>
      <c r="CU294" s="1620"/>
      <c r="CV294" s="1620"/>
      <c r="CW294" s="1620"/>
      <c r="CX294" s="1620"/>
      <c r="CY294" s="1620"/>
      <c r="CZ294" s="1620"/>
      <c r="DA294" s="1620"/>
      <c r="DB294" s="1620"/>
      <c r="DC294" s="1620"/>
      <c r="DD294" s="1620" t="str">
        <f>IFERROR(INDEX(N_Bedarf!$CE$2:$CE$304,_xlfn.AGGREGATE(15,6,(ROW(N_Bedarf!$CE$2:$CE$304)-1)/(--(SEARCH(DE$2,N_Bedarf!$CE$2:$CE$304)&gt;0)),ROW()-2),1),"")</f>
        <v/>
      </c>
      <c r="DE294" s="1620"/>
      <c r="ES294" s="768"/>
      <c r="ET294" s="768"/>
      <c r="EU294" s="768"/>
      <c r="EV294" s="768"/>
      <c r="EW294" s="768"/>
    </row>
    <row r="295" spans="1:153" s="394" customFormat="1" ht="21" customHeight="1">
      <c r="C295" s="1758" t="s">
        <v>1923</v>
      </c>
      <c r="D295" s="1759"/>
      <c r="E295" s="1729"/>
      <c r="F295" s="1760" t="s">
        <v>1764</v>
      </c>
      <c r="G295" s="1993"/>
      <c r="H295" s="1994"/>
      <c r="I295" s="1995"/>
      <c r="J295" s="1759" t="s">
        <v>592</v>
      </c>
      <c r="K295" s="1729">
        <v>210</v>
      </c>
      <c r="L295" s="1760"/>
      <c r="M295" s="1"/>
      <c r="N295" s="1"/>
      <c r="O295" s="1"/>
      <c r="P295" s="1"/>
      <c r="Q295" s="1"/>
      <c r="R295" s="1"/>
      <c r="S295" s="1759" t="s">
        <v>1764</v>
      </c>
      <c r="T295" s="1729" t="s">
        <v>1764</v>
      </c>
      <c r="U295" s="1760">
        <v>180</v>
      </c>
      <c r="V295" s="1759" t="s">
        <v>1764</v>
      </c>
      <c r="W295" s="1729" t="s">
        <v>1764</v>
      </c>
      <c r="X295" s="1760">
        <v>150</v>
      </c>
      <c r="Y295" s="2009"/>
      <c r="Z295" s="2010"/>
      <c r="AA295" s="2011">
        <v>120</v>
      </c>
      <c r="AB295" s="1871" t="s">
        <v>583</v>
      </c>
      <c r="AC295" s="1737" t="s">
        <v>583</v>
      </c>
      <c r="AD295" s="1762" t="s">
        <v>1764</v>
      </c>
      <c r="AE295" s="1729" t="s">
        <v>1764</v>
      </c>
      <c r="AF295" s="1760">
        <v>510</v>
      </c>
      <c r="AG295" s="1759" t="s">
        <v>1764</v>
      </c>
      <c r="AH295" s="1729" t="s">
        <v>1764</v>
      </c>
      <c r="AI295" s="1760">
        <v>425</v>
      </c>
      <c r="AJ295" s="2009"/>
      <c r="AK295" s="2010"/>
      <c r="AL295" s="2011">
        <v>340</v>
      </c>
      <c r="AM295" s="1871" t="s">
        <v>583</v>
      </c>
      <c r="AN295" s="1763" t="s">
        <v>583</v>
      </c>
      <c r="AR295" s="156"/>
      <c r="AS295" s="156"/>
      <c r="AT295" s="156"/>
      <c r="AU295" s="397"/>
      <c r="AV295" s="396"/>
      <c r="AW295" s="396"/>
      <c r="AY295" s="3"/>
      <c r="AZ295" s="3"/>
      <c r="BA295" s="3"/>
      <c r="BB295" s="3"/>
      <c r="BC295" s="3"/>
      <c r="BD295" s="3"/>
      <c r="BE295" s="3"/>
      <c r="BF295" s="3"/>
      <c r="BG295" s="3"/>
      <c r="BH295" s="3"/>
      <c r="BI295" s="3"/>
      <c r="BJ295" s="3"/>
      <c r="BK295" s="3"/>
      <c r="BL295" s="3"/>
      <c r="BM295" s="3"/>
      <c r="BQ295" s="1669"/>
      <c r="BR295" s="1720"/>
      <c r="BS295" s="1720"/>
      <c r="BT295" s="1720"/>
      <c r="BV295" s="1669"/>
      <c r="BW295" s="1721"/>
      <c r="BX295" s="1720"/>
      <c r="BY295" s="1720"/>
      <c r="BZ295" s="1719"/>
      <c r="CE295" s="1619"/>
      <c r="CF295" s="1620" t="str">
        <f>IFERROR(INDEX(N_Bedarf!$CE$2:$CE$304,_xlfn.AGGREGATE(15,6,(ROW(N_Bedarf!$CE$2:$CE$304)-1)/(--(SEARCH(CG$2,N_Bedarf!$CE$2:$CE$304)&gt;0)),ROW()-2),1),"")</f>
        <v/>
      </c>
      <c r="CG295" s="1620"/>
      <c r="CH295" s="1620"/>
      <c r="CI295" s="1620"/>
      <c r="CJ295" s="1620"/>
      <c r="CK295" s="1620"/>
      <c r="CL295" s="1620"/>
      <c r="CM295" s="1620"/>
      <c r="CN295" s="1620"/>
      <c r="CO295" s="1620"/>
      <c r="CP295" s="1620"/>
      <c r="CQ295" s="1620"/>
      <c r="CR295" s="1620"/>
      <c r="CS295" s="1620"/>
      <c r="CT295" s="1620"/>
      <c r="CU295" s="1620"/>
      <c r="CV295" s="1620"/>
      <c r="CW295" s="1620"/>
      <c r="CX295" s="1620"/>
      <c r="CY295" s="1620"/>
      <c r="CZ295" s="1620"/>
      <c r="DA295" s="1620"/>
      <c r="DB295" s="1620"/>
      <c r="DC295" s="1620"/>
      <c r="DD295" s="1620" t="str">
        <f>IFERROR(INDEX(N_Bedarf!$CE$2:$CE$304,_xlfn.AGGREGATE(15,6,(ROW(N_Bedarf!$CE$2:$CE$304)-1)/(--(SEARCH(DE$2,N_Bedarf!$CE$2:$CE$304)&gt;0)),ROW()-2),1),"")</f>
        <v/>
      </c>
      <c r="DE295" s="1620"/>
      <c r="ES295" s="768"/>
      <c r="ET295" s="768"/>
      <c r="EU295" s="768"/>
      <c r="EV295" s="768"/>
      <c r="EW295" s="768"/>
    </row>
    <row r="296" spans="1:153" s="394" customFormat="1" ht="21" customHeight="1">
      <c r="C296" s="1758" t="s">
        <v>1924</v>
      </c>
      <c r="D296" s="1759" t="s">
        <v>1414</v>
      </c>
      <c r="E296" s="1729">
        <v>40</v>
      </c>
      <c r="F296" s="1760" t="s">
        <v>1764</v>
      </c>
      <c r="G296" s="1993" t="s">
        <v>1574</v>
      </c>
      <c r="H296" s="1994">
        <v>40</v>
      </c>
      <c r="I296" s="1995"/>
      <c r="J296" s="1759"/>
      <c r="K296" s="1729"/>
      <c r="L296" s="1760"/>
      <c r="M296" s="1"/>
      <c r="N296" s="1"/>
      <c r="O296" s="1"/>
      <c r="P296" s="1"/>
      <c r="Q296" s="1"/>
      <c r="R296" s="1"/>
      <c r="S296" s="1759">
        <v>25</v>
      </c>
      <c r="T296" s="1729">
        <v>45</v>
      </c>
      <c r="U296" s="1760" t="s">
        <v>1764</v>
      </c>
      <c r="V296" s="1759">
        <v>20</v>
      </c>
      <c r="W296" s="1729">
        <v>40</v>
      </c>
      <c r="X296" s="1760" t="s">
        <v>1764</v>
      </c>
      <c r="Y296" s="2009">
        <v>15</v>
      </c>
      <c r="Z296" s="2010">
        <v>30</v>
      </c>
      <c r="AA296" s="2011">
        <v>0</v>
      </c>
      <c r="AB296" s="1871" t="s">
        <v>583</v>
      </c>
      <c r="AC296" s="1737" t="s">
        <v>583</v>
      </c>
      <c r="AD296" s="1762">
        <v>70</v>
      </c>
      <c r="AE296" s="1729">
        <v>120</v>
      </c>
      <c r="AF296" s="1760" t="s">
        <v>1764</v>
      </c>
      <c r="AG296" s="1759">
        <v>55</v>
      </c>
      <c r="AH296" s="1729">
        <v>100</v>
      </c>
      <c r="AI296" s="1760" t="s">
        <v>1764</v>
      </c>
      <c r="AJ296" s="2009">
        <v>45</v>
      </c>
      <c r="AK296" s="2010">
        <v>80</v>
      </c>
      <c r="AL296" s="2011"/>
      <c r="AM296" s="1871" t="s">
        <v>583</v>
      </c>
      <c r="AN296" s="1763" t="s">
        <v>583</v>
      </c>
      <c r="AR296" s="156"/>
      <c r="AS296" s="156"/>
      <c r="AT296" s="156"/>
      <c r="AU296" s="397"/>
      <c r="AV296" s="396"/>
      <c r="AW296" s="396"/>
      <c r="AY296" s="3"/>
      <c r="AZ296" s="3"/>
      <c r="BA296" s="3"/>
      <c r="BB296" s="3"/>
      <c r="BC296" s="3"/>
      <c r="BD296" s="3"/>
      <c r="BE296" s="3"/>
      <c r="BF296" s="3"/>
      <c r="BG296" s="3"/>
      <c r="BH296" s="3"/>
      <c r="BI296" s="3"/>
      <c r="BJ296" s="3"/>
      <c r="BK296" s="3"/>
      <c r="BL296" s="3"/>
      <c r="BM296" s="3"/>
      <c r="BQ296" s="1669"/>
      <c r="BR296" s="1720"/>
      <c r="BS296" s="1720"/>
      <c r="BT296" s="1720"/>
      <c r="BV296" s="1669"/>
      <c r="BW296" s="1721"/>
      <c r="BX296" s="1720"/>
      <c r="BY296" s="1720"/>
      <c r="BZ296" s="1719"/>
      <c r="CE296" s="1619"/>
      <c r="CF296" s="1620" t="str">
        <f>IFERROR(INDEX(N_Bedarf!$CE$2:$CE$304,_xlfn.AGGREGATE(15,6,(ROW(N_Bedarf!$CE$2:$CE$304)-1)/(--(SEARCH(CG$2,N_Bedarf!$CE$2:$CE$304)&gt;0)),ROW()-2),1),"")</f>
        <v/>
      </c>
      <c r="CG296" s="1620"/>
      <c r="CH296" s="1620"/>
      <c r="CI296" s="1620"/>
      <c r="CJ296" s="1620"/>
      <c r="CK296" s="1620"/>
      <c r="CL296" s="1620"/>
      <c r="CM296" s="1620"/>
      <c r="CN296" s="1620"/>
      <c r="CO296" s="1620"/>
      <c r="CP296" s="1620"/>
      <c r="CQ296" s="1620"/>
      <c r="CR296" s="1620"/>
      <c r="CS296" s="1620"/>
      <c r="CT296" s="1620"/>
      <c r="CU296" s="1620"/>
      <c r="CV296" s="1620"/>
      <c r="CW296" s="1620"/>
      <c r="CX296" s="1620"/>
      <c r="CY296" s="1620"/>
      <c r="CZ296" s="1620"/>
      <c r="DA296" s="1620"/>
      <c r="DB296" s="1620"/>
      <c r="DC296" s="1620"/>
      <c r="DD296" s="1620" t="str">
        <f>IFERROR(INDEX(N_Bedarf!$CE$2:$CE$304,_xlfn.AGGREGATE(15,6,(ROW(N_Bedarf!$CE$2:$CE$304)-1)/(--(SEARCH(DE$2,N_Bedarf!$CE$2:$CE$304)&gt;0)),ROW()-2),1),"")</f>
        <v/>
      </c>
      <c r="DE296" s="1620"/>
      <c r="ES296" s="768"/>
      <c r="ET296" s="768"/>
      <c r="EU296" s="768"/>
      <c r="EV296" s="768"/>
      <c r="EW296" s="768"/>
    </row>
    <row r="297" spans="1:153" s="394" customFormat="1" ht="21" customHeight="1">
      <c r="C297" s="1758" t="s">
        <v>1925</v>
      </c>
      <c r="D297" s="1759" t="s">
        <v>585</v>
      </c>
      <c r="E297" s="1729">
        <v>40</v>
      </c>
      <c r="F297" s="1760" t="s">
        <v>1764</v>
      </c>
      <c r="G297" s="1993" t="s">
        <v>1887</v>
      </c>
      <c r="H297" s="1994">
        <v>40</v>
      </c>
      <c r="I297" s="1995"/>
      <c r="J297" s="1759"/>
      <c r="K297" s="1729"/>
      <c r="L297" s="1760"/>
      <c r="M297" s="1"/>
      <c r="N297" s="1"/>
      <c r="O297" s="1"/>
      <c r="P297" s="1"/>
      <c r="Q297" s="1"/>
      <c r="R297" s="1"/>
      <c r="S297" s="1759">
        <v>45</v>
      </c>
      <c r="T297" s="1729">
        <v>70</v>
      </c>
      <c r="U297" s="1760" t="s">
        <v>1764</v>
      </c>
      <c r="V297" s="1759">
        <v>40</v>
      </c>
      <c r="W297" s="1729">
        <v>55</v>
      </c>
      <c r="X297" s="1760" t="s">
        <v>1764</v>
      </c>
      <c r="Y297" s="2009">
        <v>30</v>
      </c>
      <c r="Z297" s="2010">
        <v>45</v>
      </c>
      <c r="AA297" s="2011">
        <v>0</v>
      </c>
      <c r="AB297" s="1871" t="s">
        <v>583</v>
      </c>
      <c r="AC297" s="1737" t="s">
        <v>583</v>
      </c>
      <c r="AD297" s="1762">
        <v>120</v>
      </c>
      <c r="AE297" s="1729">
        <v>180</v>
      </c>
      <c r="AF297" s="1760" t="s">
        <v>1764</v>
      </c>
      <c r="AG297" s="1759">
        <v>100</v>
      </c>
      <c r="AH297" s="1729">
        <v>150</v>
      </c>
      <c r="AI297" s="1760" t="s">
        <v>1764</v>
      </c>
      <c r="AJ297" s="2009">
        <v>80</v>
      </c>
      <c r="AK297" s="2010">
        <v>120</v>
      </c>
      <c r="AL297" s="2011"/>
      <c r="AM297" s="1871" t="s">
        <v>583</v>
      </c>
      <c r="AN297" s="1763" t="s">
        <v>583</v>
      </c>
      <c r="AO297" s="156"/>
      <c r="AR297" s="156"/>
      <c r="AS297" s="156"/>
      <c r="AT297" s="156"/>
      <c r="AU297" s="397"/>
      <c r="AV297" s="396"/>
      <c r="AW297" s="396"/>
      <c r="AY297" s="3"/>
      <c r="AZ297" s="3"/>
      <c r="BA297" s="3"/>
      <c r="BB297" s="3"/>
      <c r="BC297" s="3"/>
      <c r="BD297" s="3"/>
      <c r="BE297" s="3"/>
      <c r="BF297" s="3"/>
      <c r="BG297" s="3"/>
      <c r="BH297" s="3"/>
      <c r="BI297" s="3"/>
      <c r="BJ297" s="3"/>
      <c r="BK297" s="3"/>
      <c r="BL297" s="3"/>
      <c r="BM297" s="3"/>
      <c r="BQ297" s="1669"/>
      <c r="BR297" s="1720"/>
      <c r="BS297" s="1720"/>
      <c r="BT297" s="1720"/>
      <c r="BV297" s="1669"/>
      <c r="BW297" s="1721"/>
      <c r="BX297" s="1720"/>
      <c r="BY297" s="1720"/>
      <c r="BZ297" s="1719"/>
      <c r="CE297" s="1619"/>
      <c r="CF297" s="1620" t="str">
        <f>IFERROR(INDEX(N_Bedarf!$CE$2:$CE$304,_xlfn.AGGREGATE(15,6,(ROW(N_Bedarf!$CE$2:$CE$304)-1)/(--(SEARCH(CG$2,N_Bedarf!$CE$2:$CE$304)&gt;0)),ROW()-2),1),"")</f>
        <v/>
      </c>
      <c r="CG297" s="1620"/>
      <c r="CH297" s="1620"/>
      <c r="CI297" s="1620"/>
      <c r="CJ297" s="1620"/>
      <c r="CK297" s="1620"/>
      <c r="CL297" s="1620"/>
      <c r="CM297" s="1620"/>
      <c r="CN297" s="1620"/>
      <c r="CO297" s="1620"/>
      <c r="CP297" s="1620"/>
      <c r="CQ297" s="1620"/>
      <c r="CR297" s="1620"/>
      <c r="CS297" s="1620"/>
      <c r="CT297" s="1620"/>
      <c r="CU297" s="1620"/>
      <c r="CV297" s="1620"/>
      <c r="CW297" s="1620"/>
      <c r="CX297" s="1620"/>
      <c r="CY297" s="1620"/>
      <c r="CZ297" s="1620"/>
      <c r="DA297" s="1620"/>
      <c r="DB297" s="1620"/>
      <c r="DC297" s="1620"/>
      <c r="DD297" s="1620" t="str">
        <f>IFERROR(INDEX(N_Bedarf!$CE$2:$CE$304,_xlfn.AGGREGATE(15,6,(ROW(N_Bedarf!$CE$2:$CE$304)-1)/(--(SEARCH(DE$2,N_Bedarf!$CE$2:$CE$304)&gt;0)),ROW()-2),1),"")</f>
        <v/>
      </c>
      <c r="DE297" s="1620"/>
      <c r="ES297" s="768"/>
      <c r="ET297" s="768"/>
      <c r="EU297" s="768"/>
      <c r="EV297" s="768"/>
      <c r="EW297" s="768"/>
    </row>
    <row r="298" spans="1:153" ht="23.25" customHeight="1">
      <c r="A298" s="156"/>
      <c r="B298" s="156"/>
      <c r="C298" s="1758" t="s">
        <v>1926</v>
      </c>
      <c r="D298" s="1759" t="s">
        <v>586</v>
      </c>
      <c r="E298" s="1729">
        <v>40</v>
      </c>
      <c r="F298" s="1760" t="s">
        <v>1764</v>
      </c>
      <c r="G298" s="1993" t="s">
        <v>587</v>
      </c>
      <c r="H298" s="1994">
        <v>40</v>
      </c>
      <c r="I298" s="1995"/>
      <c r="J298" s="1759" t="s">
        <v>1404</v>
      </c>
      <c r="K298" s="1729">
        <v>40</v>
      </c>
      <c r="L298" s="1760"/>
      <c r="M298" s="1"/>
      <c r="N298" s="1"/>
      <c r="O298" s="1"/>
      <c r="P298" s="1"/>
      <c r="Q298" s="1"/>
      <c r="R298" s="1"/>
      <c r="S298" s="1759">
        <v>70</v>
      </c>
      <c r="T298" s="1729">
        <v>100</v>
      </c>
      <c r="U298" s="1760">
        <v>120</v>
      </c>
      <c r="V298" s="1759">
        <v>55</v>
      </c>
      <c r="W298" s="1729">
        <v>80</v>
      </c>
      <c r="X298" s="1760">
        <v>100</v>
      </c>
      <c r="Y298" s="2009">
        <v>45</v>
      </c>
      <c r="Z298" s="2010">
        <v>65</v>
      </c>
      <c r="AA298" s="2011">
        <v>80</v>
      </c>
      <c r="AB298" s="1871" t="s">
        <v>583</v>
      </c>
      <c r="AC298" s="1737" t="s">
        <v>583</v>
      </c>
      <c r="AD298" s="1762">
        <v>195</v>
      </c>
      <c r="AE298" s="1729">
        <v>255</v>
      </c>
      <c r="AF298" s="1760">
        <v>325</v>
      </c>
      <c r="AG298" s="1759">
        <v>165</v>
      </c>
      <c r="AH298" s="1729">
        <v>215</v>
      </c>
      <c r="AI298" s="1760">
        <v>270</v>
      </c>
      <c r="AJ298" s="2009">
        <v>130</v>
      </c>
      <c r="AK298" s="2010">
        <v>170</v>
      </c>
      <c r="AL298" s="2011">
        <v>215</v>
      </c>
      <c r="AM298" s="1871" t="s">
        <v>583</v>
      </c>
      <c r="AN298" s="1763" t="s">
        <v>583</v>
      </c>
      <c r="AO298" s="156"/>
      <c r="AP298" s="156"/>
      <c r="AU298" s="265"/>
      <c r="AV298" s="393"/>
      <c r="AW298" s="393"/>
      <c r="AY298" s="3"/>
      <c r="AZ298" s="3"/>
      <c r="BA298" s="3"/>
      <c r="BB298" s="3"/>
      <c r="BC298" s="3"/>
      <c r="BD298" s="3"/>
      <c r="BE298" s="3"/>
      <c r="BF298" s="3"/>
      <c r="BG298" s="3"/>
      <c r="BH298" s="3"/>
      <c r="BI298" s="3"/>
      <c r="BJ298" s="3"/>
      <c r="BK298" s="3"/>
      <c r="BL298" s="3"/>
      <c r="BM298" s="3"/>
      <c r="BQ298" s="1669"/>
      <c r="BR298" s="1720"/>
      <c r="BS298" s="1720"/>
      <c r="BT298" s="1720"/>
      <c r="BV298" s="1669"/>
      <c r="BW298" s="1721"/>
      <c r="BX298" s="1720"/>
      <c r="BY298" s="1720"/>
      <c r="BZ298" s="1719"/>
      <c r="CE298" s="1619"/>
      <c r="CF298" s="1620" t="str">
        <f>IFERROR(INDEX(N_Bedarf!$CE$2:$CE$304,_xlfn.AGGREGATE(15,6,(ROW(N_Bedarf!$CE$2:$CE$304)-1)/(--(SEARCH(CG$2,N_Bedarf!$CE$2:$CE$304)&gt;0)),ROW()-2),1),"")</f>
        <v/>
      </c>
      <c r="CG298" s="1620"/>
      <c r="CH298" s="1620"/>
      <c r="CI298" s="1620"/>
      <c r="CJ298" s="1620"/>
      <c r="CK298" s="1620"/>
      <c r="CL298" s="1620"/>
      <c r="CM298" s="1620"/>
      <c r="CN298" s="1620"/>
      <c r="CO298" s="1620"/>
      <c r="CP298" s="1620"/>
      <c r="CQ298" s="1620"/>
      <c r="CR298" s="1620"/>
      <c r="CS298" s="1620"/>
      <c r="CT298" s="1620"/>
      <c r="CU298" s="1620"/>
      <c r="CV298" s="1620"/>
      <c r="CW298" s="1620"/>
      <c r="CX298" s="1620"/>
      <c r="CY298" s="1620"/>
      <c r="CZ298" s="1620"/>
      <c r="DA298" s="1620"/>
      <c r="DB298" s="1620"/>
      <c r="DC298" s="1620"/>
      <c r="DD298" s="1620" t="str">
        <f>IFERROR(INDEX(N_Bedarf!$CE$2:$CE$304,_xlfn.AGGREGATE(15,6,(ROW(N_Bedarf!$CE$2:$CE$304)-1)/(--(SEARCH(DE$2,N_Bedarf!$CE$2:$CE$304)&gt;0)),ROW()-2),1),"")</f>
        <v/>
      </c>
      <c r="DE298" s="1620"/>
      <c r="DF298" s="394"/>
      <c r="DG298" s="394"/>
      <c r="DH298" s="394"/>
      <c r="DI298" s="394"/>
      <c r="DJ298" s="394"/>
      <c r="DK298" s="394"/>
      <c r="DL298" s="394"/>
      <c r="DM298" s="394"/>
      <c r="DN298" s="394"/>
      <c r="DO298" s="394"/>
      <c r="DP298" s="394"/>
      <c r="DQ298" s="394"/>
      <c r="DR298" s="394"/>
      <c r="DS298" s="394"/>
      <c r="DT298" s="394"/>
      <c r="DU298" s="394"/>
      <c r="DV298" s="394"/>
      <c r="DW298" s="394"/>
      <c r="DX298" s="394"/>
      <c r="DY298" s="394"/>
      <c r="DZ298" s="394"/>
      <c r="EA298" s="394"/>
      <c r="EB298" s="394"/>
      <c r="EC298" s="394"/>
    </row>
    <row r="299" spans="1:153" ht="22.5" customHeight="1">
      <c r="A299" s="156"/>
      <c r="B299" s="156"/>
      <c r="C299" s="1758" t="s">
        <v>1927</v>
      </c>
      <c r="D299" s="1759" t="s">
        <v>714</v>
      </c>
      <c r="E299" s="1729"/>
      <c r="F299" s="1760" t="s">
        <v>1764</v>
      </c>
      <c r="G299" s="1993" t="s">
        <v>588</v>
      </c>
      <c r="H299" s="1994">
        <v>40</v>
      </c>
      <c r="I299" s="1995"/>
      <c r="J299" s="1759" t="s">
        <v>1577</v>
      </c>
      <c r="K299" s="1729">
        <v>40</v>
      </c>
      <c r="L299" s="1760"/>
      <c r="M299" s="1"/>
      <c r="N299" s="1"/>
      <c r="O299" s="1"/>
      <c r="P299" s="1"/>
      <c r="Q299" s="1"/>
      <c r="R299" s="1"/>
      <c r="S299" s="1759" t="s">
        <v>1764</v>
      </c>
      <c r="T299" s="1729">
        <v>120</v>
      </c>
      <c r="U299" s="1760">
        <v>135</v>
      </c>
      <c r="V299" s="1759" t="s">
        <v>1764</v>
      </c>
      <c r="W299" s="1729">
        <v>100</v>
      </c>
      <c r="X299" s="1760">
        <v>115</v>
      </c>
      <c r="Y299" s="2009"/>
      <c r="Z299" s="2010">
        <v>80</v>
      </c>
      <c r="AA299" s="2011">
        <v>90</v>
      </c>
      <c r="AB299" s="1871" t="s">
        <v>583</v>
      </c>
      <c r="AC299" s="1737" t="s">
        <v>583</v>
      </c>
      <c r="AD299" s="1762" t="s">
        <v>1764</v>
      </c>
      <c r="AE299" s="1729">
        <v>310</v>
      </c>
      <c r="AF299" s="1760">
        <v>390</v>
      </c>
      <c r="AG299" s="1759" t="s">
        <v>1764</v>
      </c>
      <c r="AH299" s="1729">
        <v>255</v>
      </c>
      <c r="AI299" s="1760">
        <v>325</v>
      </c>
      <c r="AJ299" s="2009"/>
      <c r="AK299" s="2010">
        <v>205</v>
      </c>
      <c r="AL299" s="2011">
        <v>260</v>
      </c>
      <c r="AM299" s="1871" t="s">
        <v>583</v>
      </c>
      <c r="AN299" s="1763" t="s">
        <v>583</v>
      </c>
      <c r="AO299" s="156"/>
      <c r="AP299" s="156"/>
      <c r="AU299" s="265"/>
      <c r="AV299" s="393"/>
      <c r="AW299" s="393"/>
      <c r="AY299" s="3"/>
      <c r="AZ299" s="3"/>
      <c r="BA299" s="3"/>
      <c r="BB299" s="3"/>
      <c r="BC299" s="3"/>
      <c r="BD299" s="3"/>
      <c r="BE299" s="3"/>
      <c r="BF299" s="3"/>
      <c r="BG299" s="3"/>
      <c r="BH299" s="3"/>
      <c r="BI299" s="3"/>
      <c r="BJ299" s="3"/>
      <c r="BK299" s="3"/>
      <c r="BL299" s="3"/>
      <c r="BM299" s="3"/>
      <c r="BQ299" s="1669"/>
      <c r="BR299" s="1720"/>
      <c r="BS299" s="1720"/>
      <c r="BT299" s="1720"/>
      <c r="BV299" s="1669"/>
      <c r="BW299" s="1721"/>
      <c r="BX299" s="1720"/>
      <c r="BY299" s="1720"/>
      <c r="BZ299" s="1719"/>
      <c r="CE299" s="1619"/>
      <c r="CF299" s="1620" t="str">
        <f>IFERROR(INDEX(N_Bedarf!$CE$2:$CE$304,_xlfn.AGGREGATE(15,6,(ROW(N_Bedarf!$CE$2:$CE$304)-1)/(--(SEARCH(CG$2,N_Bedarf!$CE$2:$CE$304)&gt;0)),ROW()-2),1),"")</f>
        <v/>
      </c>
      <c r="CG299" s="1620"/>
      <c r="CH299" s="1620"/>
      <c r="CI299" s="1620"/>
      <c r="CJ299" s="1620"/>
      <c r="CK299" s="1620"/>
      <c r="CL299" s="1620"/>
      <c r="CM299" s="1620"/>
      <c r="CN299" s="1620"/>
      <c r="CO299" s="1620"/>
      <c r="CP299" s="1620"/>
      <c r="CQ299" s="1620"/>
      <c r="CR299" s="1620"/>
      <c r="CS299" s="1620"/>
      <c r="CT299" s="1620"/>
      <c r="CU299" s="1620"/>
      <c r="CV299" s="1620"/>
      <c r="CW299" s="1620"/>
      <c r="CX299" s="1620"/>
      <c r="CY299" s="1620"/>
      <c r="CZ299" s="1620"/>
      <c r="DA299" s="1620"/>
      <c r="DB299" s="1620"/>
      <c r="DC299" s="1620"/>
      <c r="DD299" s="1620" t="str">
        <f>IFERROR(INDEX(N_Bedarf!$CE$2:$CE$304,_xlfn.AGGREGATE(15,6,(ROW(N_Bedarf!$CE$2:$CE$304)-1)/(--(SEARCH(DE$2,N_Bedarf!$CE$2:$CE$304)&gt;0)),ROW()-2),1),"")</f>
        <v/>
      </c>
      <c r="DE299" s="1620"/>
    </row>
    <row r="300" spans="1:153" ht="22.5" customHeight="1">
      <c r="A300" s="156"/>
      <c r="B300" s="156"/>
      <c r="C300" s="1758" t="s">
        <v>1928</v>
      </c>
      <c r="D300" s="1759" t="s">
        <v>714</v>
      </c>
      <c r="E300" s="1729"/>
      <c r="F300" s="1760" t="s">
        <v>1764</v>
      </c>
      <c r="G300" s="1993" t="s">
        <v>590</v>
      </c>
      <c r="H300" s="1994">
        <v>40</v>
      </c>
      <c r="I300" s="1995"/>
      <c r="J300" s="1759" t="s">
        <v>1578</v>
      </c>
      <c r="K300" s="1729">
        <v>40</v>
      </c>
      <c r="L300" s="1760"/>
      <c r="M300" s="1"/>
      <c r="N300" s="1"/>
      <c r="O300" s="1"/>
      <c r="P300" s="1"/>
      <c r="Q300" s="1"/>
      <c r="R300" s="1"/>
      <c r="S300" s="1759" t="s">
        <v>1764</v>
      </c>
      <c r="T300" s="1729">
        <v>130</v>
      </c>
      <c r="U300" s="1760">
        <v>160</v>
      </c>
      <c r="V300" s="1759" t="s">
        <v>1764</v>
      </c>
      <c r="W300" s="1729">
        <v>105</v>
      </c>
      <c r="X300" s="1760">
        <v>130</v>
      </c>
      <c r="Y300" s="2009"/>
      <c r="Z300" s="2010">
        <v>85</v>
      </c>
      <c r="AA300" s="2011">
        <v>105</v>
      </c>
      <c r="AB300" s="1871" t="s">
        <v>583</v>
      </c>
      <c r="AC300" s="1737" t="s">
        <v>583</v>
      </c>
      <c r="AD300" s="1762" t="s">
        <v>1764</v>
      </c>
      <c r="AE300" s="1729">
        <v>345</v>
      </c>
      <c r="AF300" s="1760">
        <v>450</v>
      </c>
      <c r="AG300" s="1759" t="s">
        <v>1764</v>
      </c>
      <c r="AH300" s="1729">
        <v>290</v>
      </c>
      <c r="AI300" s="1760">
        <v>375</v>
      </c>
      <c r="AJ300" s="2009"/>
      <c r="AK300" s="2010">
        <v>230</v>
      </c>
      <c r="AL300" s="2011">
        <v>300</v>
      </c>
      <c r="AM300" s="1871" t="s">
        <v>583</v>
      </c>
      <c r="AN300" s="1763" t="s">
        <v>583</v>
      </c>
      <c r="AO300" s="156"/>
      <c r="AP300" s="156"/>
      <c r="AU300" s="265"/>
      <c r="AV300" s="393"/>
      <c r="AW300" s="393"/>
      <c r="AY300" s="3"/>
      <c r="AZ300" s="3"/>
      <c r="BA300" s="3"/>
      <c r="BB300" s="3"/>
      <c r="BC300" s="3"/>
      <c r="BD300" s="3"/>
      <c r="BE300" s="3"/>
      <c r="BF300" s="3"/>
      <c r="BG300" s="3"/>
      <c r="BH300" s="3"/>
      <c r="BI300" s="3"/>
      <c r="BJ300" s="3"/>
      <c r="BK300" s="3"/>
      <c r="BL300" s="3"/>
      <c r="BM300" s="3"/>
      <c r="BQ300" s="1669"/>
      <c r="BR300" s="1720"/>
      <c r="BS300" s="1720"/>
      <c r="BT300" s="1720"/>
      <c r="BV300" s="1669"/>
      <c r="BW300" s="1721"/>
      <c r="BX300" s="1720"/>
      <c r="BY300" s="1720"/>
      <c r="BZ300" s="1719"/>
      <c r="CE300" s="1619"/>
      <c r="CF300" s="1620" t="str">
        <f>IFERROR(INDEX(N_Bedarf!$CE$2:$CE$304,_xlfn.AGGREGATE(15,6,(ROW(N_Bedarf!$CE$2:$CE$304)-1)/(--(SEARCH(CG$2,N_Bedarf!$CE$2:$CE$304)&gt;0)),ROW()-2),1),"")</f>
        <v/>
      </c>
      <c r="CG300" s="1620"/>
      <c r="CH300" s="1620"/>
      <c r="CI300" s="1620"/>
      <c r="CJ300" s="1620"/>
      <c r="CK300" s="1620"/>
      <c r="CL300" s="1620"/>
      <c r="CM300" s="1620"/>
      <c r="CN300" s="1620"/>
      <c r="CO300" s="1620"/>
      <c r="CP300" s="1620"/>
      <c r="CQ300" s="1620"/>
      <c r="CR300" s="1620"/>
      <c r="CS300" s="1620"/>
      <c r="CT300" s="1620"/>
      <c r="CU300" s="1620"/>
      <c r="CV300" s="1620"/>
      <c r="CW300" s="1620"/>
      <c r="CX300" s="1620"/>
      <c r="CY300" s="1620"/>
      <c r="CZ300" s="1620"/>
      <c r="DA300" s="1620"/>
      <c r="DB300" s="1620"/>
      <c r="DC300" s="1620"/>
      <c r="DD300" s="1620" t="str">
        <f>IFERROR(INDEX(N_Bedarf!$CE$2:$CE$304,_xlfn.AGGREGATE(15,6,(ROW(N_Bedarf!$CE$2:$CE$304)-1)/(--(SEARCH(DE$2,N_Bedarf!$CE$2:$CE$304)&gt;0)),ROW()-2),1),"")</f>
        <v/>
      </c>
      <c r="DE300" s="1620"/>
    </row>
    <row r="301" spans="1:153" ht="22.5" customHeight="1">
      <c r="A301" s="156"/>
      <c r="B301" s="156"/>
      <c r="C301" s="1758" t="s">
        <v>1929</v>
      </c>
      <c r="D301" s="1759" t="s">
        <v>714</v>
      </c>
      <c r="E301" s="1729"/>
      <c r="F301" s="1760" t="s">
        <v>1764</v>
      </c>
      <c r="G301" s="1993" t="s">
        <v>714</v>
      </c>
      <c r="H301" s="1994"/>
      <c r="I301" s="1995"/>
      <c r="J301" s="1759" t="s">
        <v>1579</v>
      </c>
      <c r="K301" s="1729">
        <v>40</v>
      </c>
      <c r="L301" s="1760"/>
      <c r="M301" s="1"/>
      <c r="N301" s="1"/>
      <c r="O301" s="1"/>
      <c r="P301" s="1"/>
      <c r="Q301" s="1"/>
      <c r="R301" s="1"/>
      <c r="S301" s="1759" t="s">
        <v>1764</v>
      </c>
      <c r="T301" s="1729" t="s">
        <v>1764</v>
      </c>
      <c r="U301" s="1760">
        <v>180</v>
      </c>
      <c r="V301" s="1759" t="s">
        <v>1764</v>
      </c>
      <c r="W301" s="1729" t="s">
        <v>1764</v>
      </c>
      <c r="X301" s="1760">
        <v>150</v>
      </c>
      <c r="Y301" s="2009"/>
      <c r="Z301" s="2010"/>
      <c r="AA301" s="2011">
        <v>120</v>
      </c>
      <c r="AB301" s="1871" t="s">
        <v>583</v>
      </c>
      <c r="AC301" s="1737" t="s">
        <v>583</v>
      </c>
      <c r="AD301" s="1762" t="s">
        <v>1764</v>
      </c>
      <c r="AE301" s="1729" t="s">
        <v>1764</v>
      </c>
      <c r="AF301" s="1760">
        <v>510</v>
      </c>
      <c r="AG301" s="1759" t="s">
        <v>1764</v>
      </c>
      <c r="AH301" s="1729" t="s">
        <v>1764</v>
      </c>
      <c r="AI301" s="1760">
        <v>425</v>
      </c>
      <c r="AJ301" s="2009"/>
      <c r="AK301" s="2010"/>
      <c r="AL301" s="2011">
        <v>340</v>
      </c>
      <c r="AM301" s="1871" t="s">
        <v>583</v>
      </c>
      <c r="AN301" s="1763" t="s">
        <v>583</v>
      </c>
      <c r="AO301" s="156"/>
      <c r="AP301" s="156"/>
      <c r="AU301" s="265"/>
      <c r="AV301" s="393"/>
      <c r="AW301" s="393"/>
      <c r="AY301" s="3"/>
      <c r="AZ301" s="3"/>
      <c r="BA301" s="3"/>
      <c r="BB301" s="3"/>
      <c r="BC301" s="3"/>
      <c r="BD301" s="3"/>
      <c r="BE301" s="3"/>
      <c r="BF301" s="3"/>
      <c r="BG301" s="3"/>
      <c r="BH301" s="3"/>
      <c r="BI301" s="3"/>
      <c r="BJ301" s="3"/>
      <c r="BK301" s="3"/>
      <c r="BL301" s="3"/>
      <c r="BM301" s="3"/>
      <c r="BQ301" s="1669"/>
      <c r="BR301" s="1720"/>
      <c r="BS301" s="1720"/>
      <c r="BT301" s="1720"/>
      <c r="BV301" s="1669"/>
      <c r="BW301" s="1721"/>
      <c r="BX301" s="1720"/>
      <c r="BY301" s="1720"/>
      <c r="BZ301" s="1719"/>
      <c r="CE301" s="1619"/>
      <c r="CF301" s="1620" t="str">
        <f>IFERROR(INDEX(N_Bedarf!$CE$2:$CE$304,_xlfn.AGGREGATE(15,6,(ROW(N_Bedarf!$CE$2:$CE$304)-1)/(--(SEARCH(CG$2,N_Bedarf!$CE$2:$CE$304)&gt;0)),ROW()-2),1),"")</f>
        <v/>
      </c>
      <c r="CG301" s="1620"/>
      <c r="CH301" s="1620"/>
      <c r="CI301" s="1620"/>
      <c r="CJ301" s="1620"/>
      <c r="CK301" s="1620"/>
      <c r="CL301" s="1620"/>
      <c r="CM301" s="1620"/>
      <c r="CN301" s="1620"/>
      <c r="CO301" s="1620"/>
      <c r="CP301" s="1620"/>
      <c r="CQ301" s="1620"/>
      <c r="CR301" s="1620"/>
      <c r="CS301" s="1620"/>
      <c r="CT301" s="1620"/>
      <c r="CU301" s="1620"/>
      <c r="CV301" s="1620"/>
      <c r="CW301" s="1620"/>
      <c r="CX301" s="1620"/>
      <c r="CY301" s="1620"/>
      <c r="CZ301" s="1620"/>
      <c r="DA301" s="1620"/>
      <c r="DB301" s="1620"/>
      <c r="DC301" s="1620"/>
      <c r="DD301" s="1620" t="str">
        <f>IFERROR(INDEX(N_Bedarf!$CE$2:$CE$304,_xlfn.AGGREGATE(15,6,(ROW(N_Bedarf!$CE$2:$CE$304)-1)/(--(SEARCH(DE$2,N_Bedarf!$CE$2:$CE$304)&gt;0)),ROW()-2),1),"")</f>
        <v/>
      </c>
      <c r="DE301" s="1620"/>
    </row>
    <row r="302" spans="1:153" ht="22.5" customHeight="1">
      <c r="A302" s="156"/>
      <c r="B302" s="156"/>
      <c r="C302" s="1758" t="s">
        <v>1930</v>
      </c>
      <c r="D302" s="1759" t="s">
        <v>593</v>
      </c>
      <c r="E302" s="1729">
        <v>80</v>
      </c>
      <c r="F302" s="1760" t="s">
        <v>1764</v>
      </c>
      <c r="G302" s="1993" t="s">
        <v>594</v>
      </c>
      <c r="H302" s="1994">
        <v>100</v>
      </c>
      <c r="I302" s="1995"/>
      <c r="J302" s="1759" t="s">
        <v>595</v>
      </c>
      <c r="K302" s="1729">
        <v>150</v>
      </c>
      <c r="L302" s="1760"/>
      <c r="M302" s="1"/>
      <c r="N302" s="1"/>
      <c r="O302" s="1"/>
      <c r="P302" s="1"/>
      <c r="Q302" s="1"/>
      <c r="R302" s="1"/>
      <c r="S302" s="1759">
        <v>60</v>
      </c>
      <c r="T302" s="1729">
        <v>90</v>
      </c>
      <c r="U302" s="1760">
        <v>90</v>
      </c>
      <c r="V302" s="1759">
        <v>50</v>
      </c>
      <c r="W302" s="1729">
        <v>75</v>
      </c>
      <c r="X302" s="1760">
        <v>75</v>
      </c>
      <c r="Y302" s="2009">
        <v>40</v>
      </c>
      <c r="Z302" s="2010">
        <v>60</v>
      </c>
      <c r="AA302" s="2011">
        <v>60</v>
      </c>
      <c r="AB302" s="1871" t="s">
        <v>583</v>
      </c>
      <c r="AC302" s="1737" t="s">
        <v>583</v>
      </c>
      <c r="AD302" s="1762">
        <v>105</v>
      </c>
      <c r="AE302" s="1729">
        <v>180</v>
      </c>
      <c r="AF302" s="1760">
        <v>180</v>
      </c>
      <c r="AG302" s="1759">
        <v>90</v>
      </c>
      <c r="AH302" s="1729">
        <v>150</v>
      </c>
      <c r="AI302" s="1760">
        <v>150</v>
      </c>
      <c r="AJ302" s="2009">
        <v>70</v>
      </c>
      <c r="AK302" s="2010">
        <v>120</v>
      </c>
      <c r="AL302" s="2011">
        <v>120</v>
      </c>
      <c r="AM302" s="1871" t="s">
        <v>583</v>
      </c>
      <c r="AN302" s="1763" t="s">
        <v>583</v>
      </c>
      <c r="AO302" s="156"/>
      <c r="AP302" s="156"/>
      <c r="AU302" s="265"/>
      <c r="AV302" s="393"/>
      <c r="AW302" s="393"/>
      <c r="AX302" s="1669"/>
      <c r="AY302" s="3"/>
      <c r="AZ302" s="3"/>
      <c r="BA302" s="3"/>
      <c r="BB302" s="3"/>
      <c r="BC302" s="3"/>
      <c r="BD302" s="3"/>
      <c r="BE302" s="3"/>
      <c r="BF302" s="3"/>
      <c r="BG302" s="3"/>
      <c r="BH302" s="3"/>
      <c r="BI302" s="3"/>
      <c r="BJ302" s="3"/>
      <c r="BK302" s="3"/>
      <c r="BL302" s="3"/>
      <c r="BM302" s="3"/>
      <c r="BQ302" s="1669"/>
      <c r="BR302" s="1720"/>
      <c r="BS302" s="1720"/>
      <c r="BT302" s="1720"/>
      <c r="BV302" s="1669"/>
      <c r="BW302" s="1721"/>
      <c r="BX302" s="1720"/>
      <c r="BY302" s="1720"/>
      <c r="BZ302" s="1719"/>
      <c r="CE302" s="1619">
        <f>0</f>
        <v>0</v>
      </c>
      <c r="CF302" s="1620" t="str">
        <f>IFERROR(INDEX(N_Bedarf!$CE$2:$CE$304,_xlfn.AGGREGATE(15,6,(ROW(N_Bedarf!$CE$2:$CE$304)-1)/(--(SEARCH(CG$2,N_Bedarf!$CE$2:$CE$304)&gt;0)),ROW()-2),1),"")</f>
        <v/>
      </c>
      <c r="CG302" s="1620"/>
      <c r="CH302" s="1620"/>
      <c r="CI302" s="1620"/>
      <c r="CJ302" s="1620"/>
      <c r="CK302" s="1620"/>
      <c r="CL302" s="1620"/>
      <c r="CM302" s="1620"/>
      <c r="CN302" s="1620"/>
      <c r="CO302" s="1620"/>
      <c r="CP302" s="1620"/>
      <c r="CQ302" s="1620"/>
      <c r="CR302" s="1620"/>
      <c r="CS302" s="1620"/>
      <c r="CT302" s="1620"/>
      <c r="CU302" s="1620"/>
      <c r="CV302" s="1620"/>
      <c r="CW302" s="1620"/>
      <c r="CX302" s="1620"/>
      <c r="CY302" s="1620"/>
      <c r="CZ302" s="1620"/>
      <c r="DA302" s="1620"/>
      <c r="DB302" s="1620"/>
      <c r="DC302" s="1620"/>
      <c r="DD302" s="1620" t="str">
        <f>IFERROR(INDEX(N_Bedarf!$CE$2:$CE$304,_xlfn.AGGREGATE(15,6,(ROW(N_Bedarf!$CE$2:$CE$304)-1)/(--(SEARCH(DE$2,N_Bedarf!$CE$2:$CE$304)&gt;0)),ROW()-2),1),"")</f>
        <v/>
      </c>
      <c r="DE302" s="1620"/>
    </row>
    <row r="303" spans="1:153" ht="22.5" customHeight="1">
      <c r="A303" s="156"/>
      <c r="B303" s="156"/>
      <c r="C303" s="1758" t="s">
        <v>1931</v>
      </c>
      <c r="D303" s="1759" t="s">
        <v>597</v>
      </c>
      <c r="E303" s="1729">
        <v>90</v>
      </c>
      <c r="F303" s="1760" t="s">
        <v>1764</v>
      </c>
      <c r="G303" s="1993" t="s">
        <v>598</v>
      </c>
      <c r="H303" s="1994">
        <v>110</v>
      </c>
      <c r="I303" s="1995"/>
      <c r="J303" s="1759" t="s">
        <v>599</v>
      </c>
      <c r="K303" s="1729">
        <v>170</v>
      </c>
      <c r="L303" s="1760"/>
      <c r="M303" s="1"/>
      <c r="N303" s="1"/>
      <c r="O303" s="1"/>
      <c r="P303" s="1"/>
      <c r="Q303" s="1"/>
      <c r="R303" s="1"/>
      <c r="S303" s="1759">
        <v>90</v>
      </c>
      <c r="T303" s="1729">
        <v>120</v>
      </c>
      <c r="U303" s="1760">
        <v>150</v>
      </c>
      <c r="V303" s="1759">
        <v>75</v>
      </c>
      <c r="W303" s="1729">
        <v>100</v>
      </c>
      <c r="X303" s="1760">
        <v>125</v>
      </c>
      <c r="Y303" s="2009">
        <v>60</v>
      </c>
      <c r="Z303" s="2010">
        <v>80</v>
      </c>
      <c r="AA303" s="2011">
        <v>100</v>
      </c>
      <c r="AB303" s="1871" t="s">
        <v>583</v>
      </c>
      <c r="AC303" s="1737" t="s">
        <v>583</v>
      </c>
      <c r="AD303" s="1762">
        <v>120</v>
      </c>
      <c r="AE303" s="1729">
        <v>240</v>
      </c>
      <c r="AF303" s="1760">
        <v>330</v>
      </c>
      <c r="AG303" s="1759">
        <v>100</v>
      </c>
      <c r="AH303" s="1729">
        <v>200</v>
      </c>
      <c r="AI303" s="1760">
        <v>275</v>
      </c>
      <c r="AJ303" s="2009">
        <v>80</v>
      </c>
      <c r="AK303" s="2010">
        <v>160</v>
      </c>
      <c r="AL303" s="2011">
        <v>220</v>
      </c>
      <c r="AM303" s="1871" t="s">
        <v>583</v>
      </c>
      <c r="AN303" s="1763" t="s">
        <v>583</v>
      </c>
      <c r="AO303" s="156"/>
      <c r="AP303" s="156"/>
      <c r="AU303" s="265"/>
      <c r="AV303" s="393"/>
      <c r="AW303" s="393"/>
      <c r="AX303" s="1669"/>
      <c r="AY303" s="3"/>
      <c r="AZ303" s="3"/>
      <c r="BA303" s="3"/>
      <c r="BB303" s="3"/>
      <c r="BC303" s="3"/>
      <c r="BD303" s="3"/>
      <c r="BE303" s="3"/>
      <c r="BF303" s="3"/>
      <c r="BG303" s="3"/>
      <c r="BH303" s="3"/>
      <c r="BI303" s="3"/>
      <c r="BJ303" s="3"/>
      <c r="BK303" s="3"/>
      <c r="BL303" s="3"/>
      <c r="BM303" s="3"/>
      <c r="BQ303" s="1669"/>
      <c r="BR303" s="1720"/>
      <c r="BS303" s="1720"/>
      <c r="BT303" s="1720"/>
      <c r="BV303" s="1669"/>
      <c r="BW303" s="1721"/>
      <c r="BX303" s="1720"/>
      <c r="BY303" s="1720"/>
      <c r="BZ303" s="1719"/>
      <c r="CE303" s="1619"/>
      <c r="CF303" s="1620" t="str">
        <f>IFERROR(INDEX(N_Bedarf!$CE$2:$CE$304,_xlfn.AGGREGATE(15,6,(ROW(N_Bedarf!$CE$2:$CE$304)-1)/(--(SEARCH(CG$2,N_Bedarf!$CE$2:$CE$304)&gt;0)),ROW()-2),1),"")</f>
        <v/>
      </c>
      <c r="CG303" s="1620"/>
      <c r="CH303" s="1620"/>
      <c r="CI303" s="1620"/>
      <c r="CJ303" s="1620"/>
      <c r="CK303" s="1620"/>
      <c r="CL303" s="1620"/>
      <c r="CM303" s="1620"/>
      <c r="CN303" s="1620"/>
      <c r="CO303" s="1620"/>
      <c r="CP303" s="1620"/>
      <c r="CQ303" s="1620"/>
      <c r="CR303" s="1620"/>
      <c r="CS303" s="1620"/>
      <c r="CT303" s="1620"/>
      <c r="CU303" s="1620"/>
      <c r="CV303" s="1620"/>
      <c r="CW303" s="1620"/>
      <c r="CX303" s="1620"/>
      <c r="CY303" s="1620"/>
      <c r="CZ303" s="1620"/>
      <c r="DA303" s="1620"/>
      <c r="DB303" s="1620"/>
      <c r="DC303" s="1620"/>
      <c r="DD303" s="1620" t="str">
        <f>IFERROR(INDEX(N_Bedarf!$CE$2:$CE$304,_xlfn.AGGREGATE(15,6,(ROW(N_Bedarf!$CE$2:$CE$304)-1)/(--(SEARCH(DE$2,N_Bedarf!$CE$2:$CE$304)&gt;0)),ROW()-2),1),"")</f>
        <v/>
      </c>
      <c r="DE303" s="1620"/>
    </row>
    <row r="304" spans="1:153" ht="22.5" customHeight="1">
      <c r="A304" s="156"/>
      <c r="B304" s="156"/>
      <c r="C304" s="1758" t="s">
        <v>1932</v>
      </c>
      <c r="D304" s="1759" t="s">
        <v>600</v>
      </c>
      <c r="E304" s="1729">
        <v>20</v>
      </c>
      <c r="F304" s="1760" t="s">
        <v>1764</v>
      </c>
      <c r="G304" s="1993" t="s">
        <v>601</v>
      </c>
      <c r="H304" s="1994">
        <v>20</v>
      </c>
      <c r="I304" s="1995"/>
      <c r="J304" s="1759" t="s">
        <v>602</v>
      </c>
      <c r="K304" s="1729">
        <v>20</v>
      </c>
      <c r="L304" s="1760"/>
      <c r="M304" s="1"/>
      <c r="N304" s="1"/>
      <c r="O304" s="1"/>
      <c r="P304" s="1"/>
      <c r="Q304" s="1"/>
      <c r="R304" s="1"/>
      <c r="S304" s="1759">
        <v>120</v>
      </c>
      <c r="T304" s="1729">
        <v>150</v>
      </c>
      <c r="U304" s="1760">
        <v>180</v>
      </c>
      <c r="V304" s="1759">
        <v>100</v>
      </c>
      <c r="W304" s="1729">
        <v>125</v>
      </c>
      <c r="X304" s="1760">
        <v>150</v>
      </c>
      <c r="Y304" s="2009">
        <v>80</v>
      </c>
      <c r="Z304" s="2010">
        <v>100</v>
      </c>
      <c r="AA304" s="2011">
        <v>120</v>
      </c>
      <c r="AB304" s="1871" t="s">
        <v>583</v>
      </c>
      <c r="AC304" s="1737" t="s">
        <v>583</v>
      </c>
      <c r="AD304" s="1762">
        <v>240</v>
      </c>
      <c r="AE304" s="1729">
        <v>300</v>
      </c>
      <c r="AF304" s="1760">
        <v>360</v>
      </c>
      <c r="AG304" s="1759">
        <v>200</v>
      </c>
      <c r="AH304" s="1729">
        <v>250</v>
      </c>
      <c r="AI304" s="1760">
        <v>300</v>
      </c>
      <c r="AJ304" s="2009">
        <v>160</v>
      </c>
      <c r="AK304" s="2010">
        <v>200</v>
      </c>
      <c r="AL304" s="2011">
        <v>240</v>
      </c>
      <c r="AM304" s="1871" t="s">
        <v>583</v>
      </c>
      <c r="AN304" s="1763" t="s">
        <v>583</v>
      </c>
      <c r="AO304" s="156"/>
      <c r="AP304" s="156"/>
      <c r="AU304" s="265"/>
      <c r="AV304" s="393"/>
      <c r="AW304" s="393"/>
      <c r="AX304" s="265"/>
      <c r="AY304" s="393"/>
      <c r="AZ304" s="3"/>
      <c r="BA304" s="393"/>
      <c r="BB304" s="265"/>
      <c r="BC304" s="265"/>
      <c r="BD304" s="265"/>
      <c r="BF304" s="3"/>
      <c r="BI304" s="3"/>
      <c r="BL304" s="3"/>
      <c r="CA304" s="394"/>
      <c r="CE304" s="1619"/>
      <c r="CF304" s="1620" t="str">
        <f>IFERROR(INDEX(N_Bedarf!$CE$2:$CE$304,_xlfn.AGGREGATE(15,6,(ROW(N_Bedarf!$CE$2:$CE$304)-1)/(--(SEARCH(CG$2,N_Bedarf!$CE$2:$CE$304)&gt;0)),ROW()-2),1),"")</f>
        <v/>
      </c>
      <c r="CG304" s="1620"/>
      <c r="CH304" s="1620"/>
      <c r="CI304" s="1620"/>
      <c r="CJ304" s="1620"/>
      <c r="CK304" s="1620"/>
      <c r="CL304" s="1620"/>
      <c r="CM304" s="1620"/>
      <c r="CN304" s="1620"/>
      <c r="CO304" s="1620"/>
      <c r="CP304" s="1620"/>
      <c r="CQ304" s="1620"/>
      <c r="CR304" s="1620"/>
      <c r="CS304" s="1620"/>
      <c r="CT304" s="1620"/>
      <c r="CU304" s="1620"/>
      <c r="CV304" s="1620"/>
      <c r="CW304" s="1620"/>
      <c r="CX304" s="1620"/>
      <c r="CY304" s="1620"/>
      <c r="CZ304" s="1620"/>
      <c r="DA304" s="1620"/>
      <c r="DB304" s="1620"/>
      <c r="DC304" s="1620"/>
      <c r="DD304" s="1620" t="str">
        <f>IFERROR(INDEX(N_Bedarf!$CE$2:$CE$304,_xlfn.AGGREGATE(15,6,(ROW(N_Bedarf!$CE$2:$CE$304)-1)/(--(SEARCH(DE$2,N_Bedarf!$CE$2:$CE$304)&gt;0)),ROW()-2),1),"")</f>
        <v/>
      </c>
      <c r="DE304" s="1620"/>
    </row>
    <row r="305" spans="1:79" ht="22.5" customHeight="1">
      <c r="A305" s="156"/>
      <c r="B305" s="156"/>
      <c r="C305" s="1758" t="s">
        <v>1933</v>
      </c>
      <c r="D305" s="1759" t="s">
        <v>1414</v>
      </c>
      <c r="E305" s="1729">
        <v>100</v>
      </c>
      <c r="F305" s="1760" t="s">
        <v>1764</v>
      </c>
      <c r="G305" s="1993" t="s">
        <v>1574</v>
      </c>
      <c r="H305" s="1994">
        <v>180</v>
      </c>
      <c r="I305" s="1995"/>
      <c r="J305" s="1759" t="s">
        <v>714</v>
      </c>
      <c r="K305" s="1729"/>
      <c r="L305" s="1760"/>
      <c r="M305" s="1"/>
      <c r="N305" s="1"/>
      <c r="O305" s="1"/>
      <c r="P305" s="1"/>
      <c r="Q305" s="1"/>
      <c r="R305" s="1"/>
      <c r="S305" s="1759">
        <v>25</v>
      </c>
      <c r="T305" s="1729">
        <v>45</v>
      </c>
      <c r="U305" s="1760" t="s">
        <v>1764</v>
      </c>
      <c r="V305" s="1759">
        <v>20</v>
      </c>
      <c r="W305" s="1729">
        <v>40</v>
      </c>
      <c r="X305" s="1760" t="s">
        <v>1764</v>
      </c>
      <c r="Y305" s="2009">
        <v>15</v>
      </c>
      <c r="Z305" s="2010">
        <v>30</v>
      </c>
      <c r="AA305" s="2011">
        <v>0</v>
      </c>
      <c r="AB305" s="1871" t="s">
        <v>583</v>
      </c>
      <c r="AC305" s="1737" t="s">
        <v>583</v>
      </c>
      <c r="AD305" s="1762">
        <v>70</v>
      </c>
      <c r="AE305" s="1729">
        <v>120</v>
      </c>
      <c r="AF305" s="1760" t="s">
        <v>1764</v>
      </c>
      <c r="AG305" s="1759">
        <v>55</v>
      </c>
      <c r="AH305" s="1729">
        <v>100</v>
      </c>
      <c r="AI305" s="1760" t="s">
        <v>1764</v>
      </c>
      <c r="AJ305" s="2009">
        <v>45</v>
      </c>
      <c r="AK305" s="2010">
        <v>80</v>
      </c>
      <c r="AL305" s="2011"/>
      <c r="AM305" s="1871" t="s">
        <v>583</v>
      </c>
      <c r="AN305" s="1763" t="s">
        <v>583</v>
      </c>
      <c r="AO305" s="156"/>
      <c r="AP305" s="156"/>
      <c r="AU305" s="265"/>
      <c r="AV305" s="393"/>
      <c r="AW305" s="393"/>
      <c r="AX305" s="265"/>
      <c r="AY305" s="393"/>
      <c r="AZ305" s="3"/>
      <c r="BA305" s="393"/>
      <c r="BB305" s="265"/>
      <c r="BC305" s="265"/>
      <c r="BD305" s="265"/>
      <c r="BF305" s="3"/>
      <c r="BI305" s="3"/>
      <c r="BL305" s="3"/>
      <c r="CA305" s="394"/>
    </row>
    <row r="306" spans="1:79" ht="22.5" customHeight="1">
      <c r="A306" s="156"/>
      <c r="B306" s="156"/>
      <c r="C306" s="1758" t="s">
        <v>1934</v>
      </c>
      <c r="D306" s="1759" t="s">
        <v>1414</v>
      </c>
      <c r="E306" s="1729">
        <v>40</v>
      </c>
      <c r="F306" s="1760" t="s">
        <v>1764</v>
      </c>
      <c r="G306" s="1993" t="s">
        <v>1574</v>
      </c>
      <c r="H306" s="1994">
        <v>40</v>
      </c>
      <c r="I306" s="1995"/>
      <c r="J306" s="1759" t="s">
        <v>714</v>
      </c>
      <c r="K306" s="1729"/>
      <c r="L306" s="1760"/>
      <c r="M306" s="1"/>
      <c r="N306" s="1"/>
      <c r="O306" s="1"/>
      <c r="P306" s="1"/>
      <c r="Q306" s="1"/>
      <c r="R306" s="1"/>
      <c r="S306" s="1759">
        <v>25</v>
      </c>
      <c r="T306" s="1729">
        <v>45</v>
      </c>
      <c r="U306" s="1760" t="s">
        <v>1764</v>
      </c>
      <c r="V306" s="1759">
        <v>20</v>
      </c>
      <c r="W306" s="1729">
        <v>40</v>
      </c>
      <c r="X306" s="1760" t="s">
        <v>1764</v>
      </c>
      <c r="Y306" s="2009">
        <v>15</v>
      </c>
      <c r="Z306" s="2010">
        <v>30</v>
      </c>
      <c r="AA306" s="2011">
        <v>0</v>
      </c>
      <c r="AB306" s="1871" t="s">
        <v>583</v>
      </c>
      <c r="AC306" s="1737" t="s">
        <v>583</v>
      </c>
      <c r="AD306" s="1762">
        <v>70</v>
      </c>
      <c r="AE306" s="1729">
        <v>120</v>
      </c>
      <c r="AF306" s="1760" t="s">
        <v>1764</v>
      </c>
      <c r="AG306" s="1759">
        <v>55</v>
      </c>
      <c r="AH306" s="1729">
        <v>100</v>
      </c>
      <c r="AI306" s="1760" t="s">
        <v>1764</v>
      </c>
      <c r="AJ306" s="2009">
        <v>45</v>
      </c>
      <c r="AK306" s="2010">
        <v>80</v>
      </c>
      <c r="AL306" s="2011"/>
      <c r="AM306" s="1871" t="s">
        <v>583</v>
      </c>
      <c r="AN306" s="1763" t="s">
        <v>583</v>
      </c>
      <c r="AO306" s="156"/>
      <c r="AP306" s="156"/>
      <c r="AU306" s="265"/>
      <c r="AV306" s="393"/>
      <c r="AW306" s="393"/>
      <c r="AX306" s="265"/>
      <c r="AY306" s="393"/>
      <c r="AZ306" s="3"/>
      <c r="BA306" s="393"/>
      <c r="BB306" s="265"/>
      <c r="BC306" s="265"/>
      <c r="BD306" s="265"/>
      <c r="BF306" s="3"/>
      <c r="BI306" s="3"/>
      <c r="BL306" s="3"/>
      <c r="CA306" s="394"/>
    </row>
    <row r="307" spans="1:79" ht="22.5" customHeight="1">
      <c r="A307" s="156"/>
      <c r="B307" s="156"/>
      <c r="C307" s="1758" t="s">
        <v>1935</v>
      </c>
      <c r="D307" s="1759" t="s">
        <v>585</v>
      </c>
      <c r="E307" s="1729">
        <v>100</v>
      </c>
      <c r="F307" s="1760" t="s">
        <v>1764</v>
      </c>
      <c r="G307" s="1993" t="s">
        <v>1887</v>
      </c>
      <c r="H307" s="1994">
        <v>180</v>
      </c>
      <c r="I307" s="1995"/>
      <c r="J307" s="1759" t="s">
        <v>714</v>
      </c>
      <c r="K307" s="1729"/>
      <c r="L307" s="1760"/>
      <c r="M307" s="1"/>
      <c r="N307" s="1"/>
      <c r="O307" s="1"/>
      <c r="P307" s="1"/>
      <c r="Q307" s="1"/>
      <c r="R307" s="1"/>
      <c r="S307" s="1759">
        <v>45</v>
      </c>
      <c r="T307" s="1729">
        <v>70</v>
      </c>
      <c r="U307" s="1760" t="s">
        <v>1764</v>
      </c>
      <c r="V307" s="1759">
        <v>40</v>
      </c>
      <c r="W307" s="1729">
        <v>55</v>
      </c>
      <c r="X307" s="1760" t="s">
        <v>1764</v>
      </c>
      <c r="Y307" s="2009">
        <v>30</v>
      </c>
      <c r="Z307" s="2010">
        <v>45</v>
      </c>
      <c r="AA307" s="2011">
        <v>0</v>
      </c>
      <c r="AB307" s="1871" t="s">
        <v>583</v>
      </c>
      <c r="AC307" s="1737" t="s">
        <v>583</v>
      </c>
      <c r="AD307" s="1762">
        <v>120</v>
      </c>
      <c r="AE307" s="1729">
        <v>180</v>
      </c>
      <c r="AF307" s="1760" t="s">
        <v>1764</v>
      </c>
      <c r="AG307" s="1759">
        <v>100</v>
      </c>
      <c r="AH307" s="1729">
        <v>150</v>
      </c>
      <c r="AI307" s="1760" t="s">
        <v>1764</v>
      </c>
      <c r="AJ307" s="2009">
        <v>80</v>
      </c>
      <c r="AK307" s="2010">
        <v>120</v>
      </c>
      <c r="AL307" s="2011"/>
      <c r="AM307" s="1871" t="s">
        <v>583</v>
      </c>
      <c r="AN307" s="1763" t="s">
        <v>583</v>
      </c>
      <c r="AO307" s="156"/>
      <c r="AP307" s="156"/>
      <c r="AU307" s="265"/>
      <c r="AV307" s="393"/>
      <c r="AW307" s="393"/>
      <c r="AX307" s="265"/>
      <c r="AY307" s="393"/>
      <c r="AZ307" s="3"/>
      <c r="BA307" s="393"/>
      <c r="BB307" s="265"/>
      <c r="BC307" s="265"/>
      <c r="BD307" s="265"/>
      <c r="BF307" s="3"/>
      <c r="BI307" s="3"/>
      <c r="BL307" s="3"/>
      <c r="CA307" s="394"/>
    </row>
    <row r="308" spans="1:79" ht="22.5" customHeight="1">
      <c r="A308" s="156"/>
      <c r="B308" s="156"/>
      <c r="C308" s="1758" t="s">
        <v>1936</v>
      </c>
      <c r="D308" s="1759" t="s">
        <v>585</v>
      </c>
      <c r="E308" s="1729">
        <v>40</v>
      </c>
      <c r="F308" s="1760" t="s">
        <v>1764</v>
      </c>
      <c r="G308" s="1993" t="s">
        <v>1887</v>
      </c>
      <c r="H308" s="1994">
        <v>40</v>
      </c>
      <c r="I308" s="1995"/>
      <c r="J308" s="1759" t="s">
        <v>714</v>
      </c>
      <c r="K308" s="1729"/>
      <c r="L308" s="1760"/>
      <c r="M308" s="1"/>
      <c r="N308" s="1"/>
      <c r="O308" s="1"/>
      <c r="P308" s="1"/>
      <c r="Q308" s="1"/>
      <c r="R308" s="1"/>
      <c r="S308" s="1759">
        <v>45</v>
      </c>
      <c r="T308" s="1729">
        <v>70</v>
      </c>
      <c r="U308" s="1760" t="s">
        <v>1764</v>
      </c>
      <c r="V308" s="1759">
        <v>40</v>
      </c>
      <c r="W308" s="1729">
        <v>55</v>
      </c>
      <c r="X308" s="1760" t="s">
        <v>1764</v>
      </c>
      <c r="Y308" s="2009">
        <v>30</v>
      </c>
      <c r="Z308" s="2010">
        <v>45</v>
      </c>
      <c r="AA308" s="2011">
        <v>0</v>
      </c>
      <c r="AB308" s="1871" t="s">
        <v>583</v>
      </c>
      <c r="AC308" s="1737" t="s">
        <v>583</v>
      </c>
      <c r="AD308" s="1762">
        <v>120</v>
      </c>
      <c r="AE308" s="1729">
        <v>180</v>
      </c>
      <c r="AF308" s="1760" t="s">
        <v>1764</v>
      </c>
      <c r="AG308" s="1759">
        <v>100</v>
      </c>
      <c r="AH308" s="1729">
        <v>150</v>
      </c>
      <c r="AI308" s="1760" t="s">
        <v>1764</v>
      </c>
      <c r="AJ308" s="2009">
        <v>80</v>
      </c>
      <c r="AK308" s="2010">
        <v>120</v>
      </c>
      <c r="AL308" s="2011"/>
      <c r="AM308" s="1871" t="s">
        <v>583</v>
      </c>
      <c r="AN308" s="1763" t="s">
        <v>583</v>
      </c>
      <c r="AO308" s="156"/>
      <c r="AP308" s="156"/>
      <c r="AU308" s="265"/>
      <c r="AV308" s="393"/>
      <c r="AX308" s="509"/>
      <c r="AY308" s="265"/>
      <c r="AZ308" s="3"/>
      <c r="BA308" s="265"/>
      <c r="BB308" s="1713"/>
      <c r="BC308" s="1713"/>
      <c r="BD308" s="1713"/>
      <c r="BE308" s="1713"/>
      <c r="BF308" s="3"/>
      <c r="BG308" s="1713"/>
      <c r="BH308" s="3"/>
      <c r="BI308" s="3"/>
      <c r="BJ308" s="3"/>
      <c r="BK308" s="3"/>
      <c r="BL308" s="3"/>
      <c r="BM308" s="3"/>
      <c r="BN308" s="397"/>
      <c r="BO308" s="424"/>
      <c r="BP308"/>
      <c r="BQ308" s="509"/>
      <c r="BR308" s="1714"/>
      <c r="BS308" s="1714"/>
      <c r="BT308" s="1714"/>
      <c r="BU308"/>
      <c r="BV308" s="509"/>
      <c r="BW308" s="1714"/>
      <c r="BX308" s="1714"/>
      <c r="BY308" s="1714"/>
      <c r="CA308" s="394"/>
    </row>
    <row r="309" spans="1:79" ht="22.5" customHeight="1">
      <c r="A309" s="156"/>
      <c r="B309" s="156"/>
      <c r="C309" s="1758" t="s">
        <v>1937</v>
      </c>
      <c r="D309" s="1759" t="s">
        <v>586</v>
      </c>
      <c r="E309" s="1729">
        <v>100</v>
      </c>
      <c r="F309" s="1760" t="s">
        <v>1764</v>
      </c>
      <c r="G309" s="1993" t="s">
        <v>587</v>
      </c>
      <c r="H309" s="1994">
        <v>180</v>
      </c>
      <c r="I309" s="1995"/>
      <c r="J309" s="1759" t="s">
        <v>1404</v>
      </c>
      <c r="K309" s="1729">
        <v>210</v>
      </c>
      <c r="L309" s="1760"/>
      <c r="M309" s="1"/>
      <c r="N309" s="1"/>
      <c r="O309" s="1"/>
      <c r="P309" s="1"/>
      <c r="Q309" s="1"/>
      <c r="R309" s="1"/>
      <c r="S309" s="1759">
        <v>70</v>
      </c>
      <c r="T309" s="1729">
        <v>100</v>
      </c>
      <c r="U309" s="1760">
        <v>120</v>
      </c>
      <c r="V309" s="1759">
        <v>55</v>
      </c>
      <c r="W309" s="1729">
        <v>80</v>
      </c>
      <c r="X309" s="1760">
        <v>100</v>
      </c>
      <c r="Y309" s="2009">
        <v>45</v>
      </c>
      <c r="Z309" s="2010">
        <v>65</v>
      </c>
      <c r="AA309" s="2011">
        <v>80</v>
      </c>
      <c r="AB309" s="1871" t="s">
        <v>583</v>
      </c>
      <c r="AC309" s="1737" t="s">
        <v>583</v>
      </c>
      <c r="AD309" s="1762">
        <v>195</v>
      </c>
      <c r="AE309" s="1729">
        <v>255</v>
      </c>
      <c r="AF309" s="1760">
        <v>325</v>
      </c>
      <c r="AG309" s="1759">
        <v>165</v>
      </c>
      <c r="AH309" s="1729">
        <v>215</v>
      </c>
      <c r="AI309" s="1760">
        <v>270</v>
      </c>
      <c r="AJ309" s="2009">
        <v>130</v>
      </c>
      <c r="AK309" s="2010">
        <v>170</v>
      </c>
      <c r="AL309" s="2011">
        <v>215</v>
      </c>
      <c r="AM309" s="1871" t="s">
        <v>583</v>
      </c>
      <c r="AN309" s="1763" t="s">
        <v>583</v>
      </c>
      <c r="AO309" s="156"/>
      <c r="AP309" s="156"/>
      <c r="AU309" s="265"/>
      <c r="AV309" s="393"/>
      <c r="AW309" s="3"/>
      <c r="AX309" s="1602"/>
      <c r="AY309" s="428"/>
      <c r="AZ309" s="3"/>
      <c r="BA309" s="428"/>
      <c r="BB309" s="1715"/>
      <c r="BC309" s="1715"/>
      <c r="BD309" s="1715"/>
      <c r="BE309" s="1715"/>
      <c r="BF309" s="3"/>
      <c r="BG309" s="1715"/>
      <c r="BH309" s="428"/>
      <c r="BI309" s="3"/>
      <c r="BJ309" s="428"/>
      <c r="BK309" s="428"/>
      <c r="BL309" s="3"/>
      <c r="BM309" s="428"/>
      <c r="BN309" s="397"/>
      <c r="BO309" s="424"/>
      <c r="BP309"/>
      <c r="BQ309" s="1602"/>
      <c r="BR309" s="397"/>
      <c r="BS309" s="397"/>
      <c r="BT309" s="397"/>
      <c r="BU309"/>
      <c r="BV309" s="1602"/>
      <c r="BW309" s="1716"/>
      <c r="BX309" s="397"/>
      <c r="BY309" s="397"/>
      <c r="CA309" s="394"/>
    </row>
    <row r="310" spans="1:79" ht="22.5" customHeight="1">
      <c r="A310" s="156"/>
      <c r="B310" s="156"/>
      <c r="C310" s="1758" t="s">
        <v>1938</v>
      </c>
      <c r="D310" s="1759" t="s">
        <v>586</v>
      </c>
      <c r="E310" s="1729">
        <v>40</v>
      </c>
      <c r="F310" s="1760" t="s">
        <v>1764</v>
      </c>
      <c r="G310" s="1993" t="s">
        <v>587</v>
      </c>
      <c r="H310" s="1994">
        <v>40</v>
      </c>
      <c r="I310" s="1995"/>
      <c r="J310" s="1759" t="s">
        <v>1404</v>
      </c>
      <c r="K310" s="1729">
        <v>40</v>
      </c>
      <c r="L310" s="1760"/>
      <c r="M310" s="1"/>
      <c r="N310" s="1"/>
      <c r="O310" s="1"/>
      <c r="P310" s="1"/>
      <c r="Q310" s="1"/>
      <c r="R310" s="1"/>
      <c r="S310" s="1759">
        <v>70</v>
      </c>
      <c r="T310" s="1729">
        <v>100</v>
      </c>
      <c r="U310" s="1760">
        <v>120</v>
      </c>
      <c r="V310" s="1759">
        <v>55</v>
      </c>
      <c r="W310" s="1729">
        <v>80</v>
      </c>
      <c r="X310" s="1760">
        <v>100</v>
      </c>
      <c r="Y310" s="2009">
        <v>45</v>
      </c>
      <c r="Z310" s="2010">
        <v>65</v>
      </c>
      <c r="AA310" s="2011">
        <v>80</v>
      </c>
      <c r="AB310" s="1871" t="s">
        <v>583</v>
      </c>
      <c r="AC310" s="1737" t="s">
        <v>583</v>
      </c>
      <c r="AD310" s="1762">
        <v>195</v>
      </c>
      <c r="AE310" s="1729">
        <v>255</v>
      </c>
      <c r="AF310" s="1760">
        <v>325</v>
      </c>
      <c r="AG310" s="1759">
        <v>165</v>
      </c>
      <c r="AH310" s="1729">
        <v>215</v>
      </c>
      <c r="AI310" s="1760">
        <v>270</v>
      </c>
      <c r="AJ310" s="2009">
        <v>130</v>
      </c>
      <c r="AK310" s="2010">
        <v>170</v>
      </c>
      <c r="AL310" s="2011">
        <v>215</v>
      </c>
      <c r="AM310" s="1871" t="s">
        <v>583</v>
      </c>
      <c r="AN310" s="1763" t="s">
        <v>583</v>
      </c>
      <c r="AO310" s="156"/>
      <c r="AP310" s="156"/>
      <c r="AU310" s="265"/>
      <c r="AV310" s="393"/>
      <c r="AW310" s="3"/>
      <c r="AX310" s="1602"/>
      <c r="AY310" s="428"/>
      <c r="AZ310" s="3"/>
      <c r="BA310" s="428"/>
      <c r="BB310" s="1715"/>
      <c r="BC310" s="1715"/>
      <c r="BD310" s="1715"/>
      <c r="BE310" s="1715"/>
      <c r="BF310" s="3"/>
      <c r="BG310" s="1715"/>
      <c r="BH310" s="428"/>
      <c r="BI310" s="3"/>
      <c r="BJ310" s="428"/>
      <c r="BK310" s="428"/>
      <c r="BL310" s="3"/>
      <c r="BM310" s="428"/>
      <c r="BN310" s="397"/>
      <c r="BO310" s="424"/>
      <c r="BP310"/>
      <c r="BQ310" s="1602"/>
      <c r="BR310" s="397"/>
      <c r="BS310" s="397"/>
      <c r="BT310" s="397"/>
      <c r="BU310"/>
      <c r="BV310" s="1602"/>
      <c r="BW310" s="1716"/>
      <c r="BX310" s="397"/>
      <c r="BY310" s="397"/>
      <c r="CA310" s="394"/>
    </row>
    <row r="311" spans="1:79" ht="22.5" customHeight="1">
      <c r="A311" s="156"/>
      <c r="B311" s="156"/>
      <c r="C311" s="1758" t="s">
        <v>1939</v>
      </c>
      <c r="D311" s="1759" t="s">
        <v>714</v>
      </c>
      <c r="E311" s="1729"/>
      <c r="F311" s="1760" t="s">
        <v>1764</v>
      </c>
      <c r="G311" s="1993" t="s">
        <v>588</v>
      </c>
      <c r="H311" s="1994">
        <v>180</v>
      </c>
      <c r="I311" s="1995"/>
      <c r="J311" s="1759" t="s">
        <v>1577</v>
      </c>
      <c r="K311" s="1729">
        <v>210</v>
      </c>
      <c r="L311" s="1760"/>
      <c r="M311" s="1"/>
      <c r="N311" s="1"/>
      <c r="O311" s="1"/>
      <c r="P311" s="1"/>
      <c r="Q311" s="1"/>
      <c r="R311" s="1"/>
      <c r="S311" s="1759" t="s">
        <v>1764</v>
      </c>
      <c r="T311" s="1729">
        <v>120</v>
      </c>
      <c r="U311" s="1760">
        <v>135</v>
      </c>
      <c r="V311" s="1759" t="s">
        <v>1764</v>
      </c>
      <c r="W311" s="1729">
        <v>100</v>
      </c>
      <c r="X311" s="1760">
        <v>115</v>
      </c>
      <c r="Y311" s="2009"/>
      <c r="Z311" s="2010">
        <v>80</v>
      </c>
      <c r="AA311" s="2011">
        <v>90</v>
      </c>
      <c r="AB311" s="1871" t="s">
        <v>583</v>
      </c>
      <c r="AC311" s="1737" t="s">
        <v>583</v>
      </c>
      <c r="AD311" s="1762" t="s">
        <v>1764</v>
      </c>
      <c r="AE311" s="1729">
        <v>310</v>
      </c>
      <c r="AF311" s="1760">
        <v>390</v>
      </c>
      <c r="AG311" s="1759" t="s">
        <v>1764</v>
      </c>
      <c r="AH311" s="1729">
        <v>255</v>
      </c>
      <c r="AI311" s="1760">
        <v>325</v>
      </c>
      <c r="AJ311" s="2009"/>
      <c r="AK311" s="2010">
        <v>205</v>
      </c>
      <c r="AL311" s="2011">
        <v>260</v>
      </c>
      <c r="AM311" s="1871" t="s">
        <v>583</v>
      </c>
      <c r="AN311" s="1763" t="s">
        <v>583</v>
      </c>
      <c r="AO311" s="156"/>
      <c r="AP311" s="156"/>
      <c r="AU311" s="265"/>
      <c r="AV311" s="393"/>
      <c r="AW311" s="3"/>
      <c r="AX311" s="1602"/>
      <c r="AY311" s="428"/>
      <c r="AZ311" s="3"/>
      <c r="BA311" s="428"/>
      <c r="BB311" s="1715"/>
      <c r="BC311" s="1715"/>
      <c r="BD311" s="1715"/>
      <c r="BE311" s="1715"/>
      <c r="BF311" s="3"/>
      <c r="BG311" s="1715"/>
      <c r="BH311" s="428"/>
      <c r="BI311" s="3"/>
      <c r="BJ311" s="428"/>
      <c r="BK311" s="428"/>
      <c r="BL311" s="3"/>
      <c r="BM311" s="428"/>
      <c r="BN311" s="397"/>
      <c r="BO311" s="424"/>
      <c r="BP311"/>
      <c r="BQ311" s="1602"/>
      <c r="BR311" s="397"/>
      <c r="BS311" s="397"/>
      <c r="BT311" s="397"/>
      <c r="BU311"/>
      <c r="BV311" s="1602"/>
      <c r="BW311" s="397"/>
      <c r="BX311" s="397"/>
      <c r="BY311" s="397"/>
      <c r="CA311" s="394"/>
    </row>
    <row r="312" spans="1:79" ht="22.5" customHeight="1">
      <c r="A312" s="156"/>
      <c r="B312" s="156"/>
      <c r="C312" s="1758" t="s">
        <v>1940</v>
      </c>
      <c r="D312" s="1759" t="s">
        <v>714</v>
      </c>
      <c r="E312" s="1729"/>
      <c r="F312" s="1760" t="s">
        <v>1764</v>
      </c>
      <c r="G312" s="1993" t="s">
        <v>588</v>
      </c>
      <c r="H312" s="1994">
        <v>40</v>
      </c>
      <c r="I312" s="1995"/>
      <c r="J312" s="1759" t="s">
        <v>1577</v>
      </c>
      <c r="K312" s="1729">
        <v>40</v>
      </c>
      <c r="L312" s="1760"/>
      <c r="M312" s="1"/>
      <c r="N312" s="1"/>
      <c r="O312" s="1"/>
      <c r="P312" s="1"/>
      <c r="Q312" s="1"/>
      <c r="R312" s="1"/>
      <c r="S312" s="1759" t="s">
        <v>1764</v>
      </c>
      <c r="T312" s="1729">
        <v>120</v>
      </c>
      <c r="U312" s="1760">
        <v>135</v>
      </c>
      <c r="V312" s="1759" t="s">
        <v>1764</v>
      </c>
      <c r="W312" s="1729">
        <v>100</v>
      </c>
      <c r="X312" s="1760">
        <v>115</v>
      </c>
      <c r="Y312" s="2009"/>
      <c r="Z312" s="2010">
        <v>80</v>
      </c>
      <c r="AA312" s="2011">
        <v>90</v>
      </c>
      <c r="AB312" s="1871" t="s">
        <v>583</v>
      </c>
      <c r="AC312" s="1737" t="s">
        <v>583</v>
      </c>
      <c r="AD312" s="1762" t="s">
        <v>1764</v>
      </c>
      <c r="AE312" s="1729">
        <v>310</v>
      </c>
      <c r="AF312" s="1760">
        <v>390</v>
      </c>
      <c r="AG312" s="1759" t="s">
        <v>1764</v>
      </c>
      <c r="AH312" s="1729">
        <v>255</v>
      </c>
      <c r="AI312" s="1760">
        <v>325</v>
      </c>
      <c r="AJ312" s="2009"/>
      <c r="AK312" s="2010">
        <v>205</v>
      </c>
      <c r="AL312" s="2011">
        <v>260</v>
      </c>
      <c r="AM312" s="1871" t="s">
        <v>583</v>
      </c>
      <c r="AN312" s="1763" t="s">
        <v>583</v>
      </c>
      <c r="AO312" s="156"/>
      <c r="AP312" s="156"/>
      <c r="AU312" s="265"/>
      <c r="AV312" s="393"/>
      <c r="AW312" s="3"/>
      <c r="AX312" s="1602"/>
      <c r="AY312" s="428"/>
      <c r="AZ312" s="3"/>
      <c r="BA312" s="428"/>
      <c r="BB312" s="1715"/>
      <c r="BC312" s="1715"/>
      <c r="BD312" s="1715"/>
      <c r="BE312" s="1715"/>
      <c r="BF312" s="3"/>
      <c r="BG312" s="1715"/>
      <c r="BH312" s="428"/>
      <c r="BI312" s="3"/>
      <c r="BJ312" s="428"/>
      <c r="BK312" s="428"/>
      <c r="BL312" s="3"/>
      <c r="BM312" s="428"/>
      <c r="BN312" s="397"/>
      <c r="BO312" s="424"/>
      <c r="BP312"/>
      <c r="BQ312" s="1602"/>
      <c r="BR312" s="397"/>
      <c r="BS312" s="397"/>
      <c r="BT312" s="397"/>
      <c r="BU312"/>
      <c r="BV312" s="1602"/>
      <c r="BW312" s="397"/>
      <c r="BX312" s="397"/>
      <c r="BY312" s="1717"/>
      <c r="CA312" s="394"/>
    </row>
    <row r="313" spans="1:79" ht="22.5" customHeight="1">
      <c r="A313" s="156"/>
      <c r="B313" s="156"/>
      <c r="C313" s="1758" t="s">
        <v>1941</v>
      </c>
      <c r="D313" s="1759" t="s">
        <v>714</v>
      </c>
      <c r="E313" s="1729"/>
      <c r="F313" s="1760" t="s">
        <v>1764</v>
      </c>
      <c r="G313" s="1993" t="s">
        <v>590</v>
      </c>
      <c r="H313" s="1994">
        <v>180</v>
      </c>
      <c r="I313" s="1995"/>
      <c r="J313" s="1759" t="s">
        <v>1578</v>
      </c>
      <c r="K313" s="1729">
        <v>280</v>
      </c>
      <c r="L313" s="1760"/>
      <c r="M313" s="1"/>
      <c r="N313" s="1"/>
      <c r="O313" s="1"/>
      <c r="P313" s="1"/>
      <c r="Q313" s="1"/>
      <c r="R313" s="1"/>
      <c r="S313" s="1759" t="s">
        <v>1764</v>
      </c>
      <c r="T313" s="1729">
        <v>130</v>
      </c>
      <c r="U313" s="1760">
        <v>160</v>
      </c>
      <c r="V313" s="1759" t="s">
        <v>1764</v>
      </c>
      <c r="W313" s="1729">
        <v>105</v>
      </c>
      <c r="X313" s="1760">
        <v>130</v>
      </c>
      <c r="Y313" s="2009"/>
      <c r="Z313" s="2010">
        <v>85</v>
      </c>
      <c r="AA313" s="2011">
        <v>105</v>
      </c>
      <c r="AB313" s="1871" t="s">
        <v>583</v>
      </c>
      <c r="AC313" s="1737" t="s">
        <v>583</v>
      </c>
      <c r="AD313" s="1762" t="s">
        <v>1764</v>
      </c>
      <c r="AE313" s="1729">
        <v>345</v>
      </c>
      <c r="AF313" s="1760">
        <v>450</v>
      </c>
      <c r="AG313" s="1759" t="s">
        <v>1764</v>
      </c>
      <c r="AH313" s="1729">
        <v>290</v>
      </c>
      <c r="AI313" s="1760">
        <v>375</v>
      </c>
      <c r="AJ313" s="2009"/>
      <c r="AK313" s="2010">
        <v>230</v>
      </c>
      <c r="AL313" s="2011">
        <v>300</v>
      </c>
      <c r="AM313" s="1871" t="s">
        <v>583</v>
      </c>
      <c r="AN313" s="1763" t="s">
        <v>583</v>
      </c>
      <c r="AO313" s="156"/>
      <c r="AP313" s="156"/>
      <c r="AU313" s="265"/>
      <c r="AV313" s="393"/>
      <c r="AW313" s="3"/>
      <c r="AX313" s="1602"/>
      <c r="AY313" s="428"/>
      <c r="AZ313" s="3"/>
      <c r="BA313" s="428"/>
      <c r="BB313" s="1715"/>
      <c r="BC313" s="1715"/>
      <c r="BD313" s="1715"/>
      <c r="BE313" s="1715"/>
      <c r="BF313" s="3"/>
      <c r="BG313" s="1715"/>
      <c r="BH313" s="428"/>
      <c r="BI313" s="3"/>
      <c r="BJ313" s="428"/>
      <c r="BK313" s="428"/>
      <c r="BL313" s="3"/>
      <c r="BM313" s="428"/>
      <c r="BN313" s="397"/>
      <c r="BO313" s="424"/>
      <c r="BP313"/>
      <c r="BQ313" s="1602"/>
      <c r="BR313" s="397"/>
      <c r="BS313" s="397"/>
      <c r="BT313" s="397"/>
      <c r="BU313"/>
      <c r="BV313" s="1602"/>
      <c r="BW313" s="397"/>
      <c r="BX313" s="397"/>
      <c r="BY313" s="1717"/>
      <c r="CA313" s="394"/>
    </row>
    <row r="314" spans="1:79" ht="22.5" customHeight="1">
      <c r="A314" s="156"/>
      <c r="B314" s="156"/>
      <c r="C314" s="1758" t="s">
        <v>1942</v>
      </c>
      <c r="D314" s="1759" t="s">
        <v>714</v>
      </c>
      <c r="E314" s="1729"/>
      <c r="F314" s="1760" t="s">
        <v>1764</v>
      </c>
      <c r="G314" s="1993" t="s">
        <v>590</v>
      </c>
      <c r="H314" s="1994">
        <v>40</v>
      </c>
      <c r="I314" s="1995"/>
      <c r="J314" s="1759" t="s">
        <v>1578</v>
      </c>
      <c r="K314" s="1729">
        <v>40</v>
      </c>
      <c r="L314" s="1760"/>
      <c r="M314" s="1"/>
      <c r="N314" s="1"/>
      <c r="O314" s="1"/>
      <c r="P314" s="1"/>
      <c r="Q314" s="1"/>
      <c r="R314" s="1"/>
      <c r="S314" s="1759" t="s">
        <v>1764</v>
      </c>
      <c r="T314" s="1729">
        <v>130</v>
      </c>
      <c r="U314" s="1760">
        <v>160</v>
      </c>
      <c r="V314" s="1759" t="s">
        <v>1764</v>
      </c>
      <c r="W314" s="1729">
        <v>105</v>
      </c>
      <c r="X314" s="1760">
        <v>130</v>
      </c>
      <c r="Y314" s="2009"/>
      <c r="Z314" s="2010">
        <v>85</v>
      </c>
      <c r="AA314" s="2011">
        <v>105</v>
      </c>
      <c r="AB314" s="1871" t="s">
        <v>583</v>
      </c>
      <c r="AC314" s="1737" t="s">
        <v>583</v>
      </c>
      <c r="AD314" s="1762" t="s">
        <v>1764</v>
      </c>
      <c r="AE314" s="1729">
        <v>345</v>
      </c>
      <c r="AF314" s="1760">
        <v>450</v>
      </c>
      <c r="AG314" s="1759" t="s">
        <v>1764</v>
      </c>
      <c r="AH314" s="1729">
        <v>290</v>
      </c>
      <c r="AI314" s="1760">
        <v>375</v>
      </c>
      <c r="AJ314" s="2009"/>
      <c r="AK314" s="2010">
        <v>230</v>
      </c>
      <c r="AL314" s="2011">
        <v>300</v>
      </c>
      <c r="AM314" s="1871" t="s">
        <v>583</v>
      </c>
      <c r="AN314" s="1763" t="s">
        <v>583</v>
      </c>
      <c r="AO314" s="156"/>
      <c r="AP314" s="156"/>
      <c r="AU314" s="265"/>
      <c r="AV314" s="393"/>
      <c r="AW314" s="3"/>
      <c r="AX314" s="1602"/>
      <c r="AY314" s="428"/>
      <c r="AZ314" s="3"/>
      <c r="BA314" s="428"/>
      <c r="BB314" s="1715"/>
      <c r="BC314" s="1715"/>
      <c r="BD314" s="1715"/>
      <c r="BE314" s="1715"/>
      <c r="BF314" s="3"/>
      <c r="BG314" s="1715"/>
      <c r="BH314" s="428"/>
      <c r="BI314" s="3"/>
      <c r="BJ314" s="428"/>
      <c r="BK314" s="428"/>
      <c r="BL314" s="3"/>
      <c r="BM314" s="428"/>
      <c r="BN314" s="397"/>
      <c r="BO314" s="424"/>
      <c r="BP314"/>
      <c r="BQ314" s="1602"/>
      <c r="BR314" s="397"/>
      <c r="BS314" s="397"/>
      <c r="BT314" s="397"/>
      <c r="BU314"/>
      <c r="BV314" s="1602"/>
      <c r="BW314" s="1717"/>
      <c r="BX314" s="1717"/>
      <c r="BY314" s="1717"/>
      <c r="CA314" s="394"/>
    </row>
    <row r="315" spans="1:79" ht="22.5" customHeight="1">
      <c r="A315" s="156"/>
      <c r="B315" s="156"/>
      <c r="C315" s="1758" t="s">
        <v>1943</v>
      </c>
      <c r="D315" s="1759" t="s">
        <v>714</v>
      </c>
      <c r="E315" s="1729"/>
      <c r="F315" s="1760" t="s">
        <v>1764</v>
      </c>
      <c r="G315" s="1993" t="s">
        <v>714</v>
      </c>
      <c r="H315" s="1994"/>
      <c r="I315" s="1995"/>
      <c r="J315" s="1759" t="s">
        <v>1579</v>
      </c>
      <c r="K315" s="1729">
        <v>280</v>
      </c>
      <c r="L315" s="1760"/>
      <c r="M315" s="1"/>
      <c r="N315" s="1"/>
      <c r="O315" s="1"/>
      <c r="P315" s="1"/>
      <c r="Q315" s="1"/>
      <c r="R315" s="1"/>
      <c r="S315" s="1759" t="s">
        <v>1764</v>
      </c>
      <c r="T315" s="1729" t="s">
        <v>1764</v>
      </c>
      <c r="U315" s="1760">
        <v>180</v>
      </c>
      <c r="V315" s="1759" t="s">
        <v>1764</v>
      </c>
      <c r="W315" s="1729" t="s">
        <v>1764</v>
      </c>
      <c r="X315" s="1760">
        <v>150</v>
      </c>
      <c r="Y315" s="2009"/>
      <c r="Z315" s="2010"/>
      <c r="AA315" s="2011">
        <v>120</v>
      </c>
      <c r="AB315" s="1871" t="s">
        <v>583</v>
      </c>
      <c r="AC315" s="1737" t="s">
        <v>583</v>
      </c>
      <c r="AD315" s="1762" t="s">
        <v>1764</v>
      </c>
      <c r="AE315" s="1729" t="s">
        <v>1764</v>
      </c>
      <c r="AF315" s="1760">
        <v>510</v>
      </c>
      <c r="AG315" s="1759" t="s">
        <v>1764</v>
      </c>
      <c r="AH315" s="1729" t="s">
        <v>1764</v>
      </c>
      <c r="AI315" s="1760">
        <v>425</v>
      </c>
      <c r="AJ315" s="2009"/>
      <c r="AK315" s="2010"/>
      <c r="AL315" s="2011">
        <v>340</v>
      </c>
      <c r="AM315" s="1871" t="s">
        <v>583</v>
      </c>
      <c r="AN315" s="1763" t="s">
        <v>583</v>
      </c>
      <c r="AO315" s="156"/>
      <c r="AP315" s="156"/>
      <c r="AW315" s="3"/>
      <c r="AX315" s="1602"/>
      <c r="AY315" s="428"/>
      <c r="AZ315" s="3"/>
      <c r="BA315" s="428"/>
      <c r="BB315" s="1715"/>
      <c r="BC315" s="1715"/>
      <c r="BD315" s="1715"/>
      <c r="BE315" s="1715"/>
      <c r="BF315" s="3"/>
      <c r="BG315" s="1715"/>
      <c r="BH315" s="428"/>
      <c r="BI315" s="3"/>
      <c r="BJ315" s="428"/>
      <c r="BK315" s="428"/>
      <c r="BL315" s="3"/>
      <c r="BM315" s="428"/>
      <c r="BN315" s="397"/>
      <c r="BO315" s="424"/>
      <c r="BP315"/>
      <c r="BQ315" s="1602"/>
      <c r="BR315" s="397"/>
      <c r="BS315" s="397"/>
      <c r="BT315" s="397"/>
      <c r="BU315"/>
      <c r="BV315" s="1602"/>
      <c r="BW315" s="1716"/>
      <c r="BX315" s="397"/>
      <c r="BY315" s="397"/>
      <c r="CA315" s="394"/>
    </row>
    <row r="316" spans="1:79" ht="22.5" customHeight="1">
      <c r="A316" s="156"/>
      <c r="B316" s="156"/>
      <c r="C316" s="1758" t="s">
        <v>1944</v>
      </c>
      <c r="D316" s="1759" t="s">
        <v>714</v>
      </c>
      <c r="E316" s="1729"/>
      <c r="F316" s="1760" t="s">
        <v>1764</v>
      </c>
      <c r="G316" s="1993" t="s">
        <v>714</v>
      </c>
      <c r="H316" s="1994"/>
      <c r="I316" s="1995"/>
      <c r="J316" s="1759" t="s">
        <v>1579</v>
      </c>
      <c r="K316" s="1729">
        <v>210</v>
      </c>
      <c r="L316" s="1760"/>
      <c r="M316" s="1"/>
      <c r="N316" s="1"/>
      <c r="O316" s="1"/>
      <c r="P316" s="1"/>
      <c r="Q316" s="1"/>
      <c r="R316" s="1"/>
      <c r="S316" s="1759" t="s">
        <v>1764</v>
      </c>
      <c r="T316" s="1729" t="s">
        <v>1764</v>
      </c>
      <c r="U316" s="1760">
        <v>180</v>
      </c>
      <c r="V316" s="1759" t="s">
        <v>1764</v>
      </c>
      <c r="W316" s="1729" t="s">
        <v>1764</v>
      </c>
      <c r="X316" s="1760">
        <v>150</v>
      </c>
      <c r="Y316" s="2009"/>
      <c r="Z316" s="2010"/>
      <c r="AA316" s="2011">
        <v>120</v>
      </c>
      <c r="AB316" s="1871" t="s">
        <v>583</v>
      </c>
      <c r="AC316" s="1737" t="s">
        <v>583</v>
      </c>
      <c r="AD316" s="1762" t="s">
        <v>1764</v>
      </c>
      <c r="AE316" s="1729" t="s">
        <v>1764</v>
      </c>
      <c r="AF316" s="1760">
        <v>510</v>
      </c>
      <c r="AG316" s="1759" t="s">
        <v>1764</v>
      </c>
      <c r="AH316" s="1729" t="s">
        <v>1764</v>
      </c>
      <c r="AI316" s="1760">
        <v>425</v>
      </c>
      <c r="AJ316" s="2009"/>
      <c r="AK316" s="2010"/>
      <c r="AL316" s="2011">
        <v>340</v>
      </c>
      <c r="AM316" s="1871" t="s">
        <v>583</v>
      </c>
      <c r="AN316" s="1763" t="s">
        <v>583</v>
      </c>
      <c r="AO316" s="156"/>
      <c r="AP316" s="156"/>
      <c r="AW316" s="3"/>
      <c r="AX316" s="1602"/>
      <c r="AY316" s="428"/>
      <c r="AZ316" s="3"/>
      <c r="BA316" s="428"/>
      <c r="BB316" s="1715"/>
      <c r="BC316" s="1715"/>
      <c r="BD316" s="1715"/>
      <c r="BE316" s="1715"/>
      <c r="BF316" s="3"/>
      <c r="BG316" s="1715"/>
      <c r="BH316" s="428"/>
      <c r="BI316" s="3"/>
      <c r="BJ316" s="428"/>
      <c r="BK316" s="428"/>
      <c r="BL316" s="3"/>
      <c r="BM316" s="428"/>
      <c r="BN316" s="397"/>
      <c r="BO316" s="424"/>
      <c r="BP316"/>
      <c r="BQ316" s="1602"/>
      <c r="BR316" s="397"/>
      <c r="BS316" s="397"/>
      <c r="BT316" s="397"/>
      <c r="BU316"/>
      <c r="BV316" s="1602"/>
      <c r="BW316" s="1716"/>
      <c r="BX316" s="397"/>
      <c r="BY316" s="397"/>
      <c r="CA316" s="394"/>
    </row>
    <row r="317" spans="1:79" ht="22.5" customHeight="1">
      <c r="A317" s="156"/>
      <c r="B317" s="156"/>
      <c r="C317" s="1758" t="s">
        <v>1945</v>
      </c>
      <c r="D317" s="1759" t="s">
        <v>1414</v>
      </c>
      <c r="E317" s="1729">
        <v>20</v>
      </c>
      <c r="F317" s="1760"/>
      <c r="G317" s="1993" t="s">
        <v>1574</v>
      </c>
      <c r="H317" s="1994">
        <v>30</v>
      </c>
      <c r="I317" s="1995"/>
      <c r="J317" s="1759" t="s">
        <v>714</v>
      </c>
      <c r="K317" s="1729"/>
      <c r="L317" s="1760"/>
      <c r="M317" s="1"/>
      <c r="N317" s="1"/>
      <c r="O317" s="1"/>
      <c r="P317" s="1"/>
      <c r="Q317" s="1"/>
      <c r="R317" s="1"/>
      <c r="S317" s="1759">
        <v>25</v>
      </c>
      <c r="T317" s="1729">
        <v>45</v>
      </c>
      <c r="U317" s="1760" t="s">
        <v>1764</v>
      </c>
      <c r="V317" s="1759">
        <v>20</v>
      </c>
      <c r="W317" s="1729">
        <v>40</v>
      </c>
      <c r="X317" s="1760" t="s">
        <v>1764</v>
      </c>
      <c r="Y317" s="2009">
        <v>15</v>
      </c>
      <c r="Z317" s="2010">
        <v>30</v>
      </c>
      <c r="AA317" s="2011"/>
      <c r="AB317" s="1871" t="s">
        <v>583</v>
      </c>
      <c r="AC317" s="1737" t="s">
        <v>583</v>
      </c>
      <c r="AD317" s="1762">
        <v>70</v>
      </c>
      <c r="AE317" s="1729">
        <v>120</v>
      </c>
      <c r="AF317" s="1760" t="s">
        <v>1764</v>
      </c>
      <c r="AG317" s="1759">
        <v>55</v>
      </c>
      <c r="AH317" s="1729">
        <v>100</v>
      </c>
      <c r="AI317" s="1760" t="s">
        <v>1764</v>
      </c>
      <c r="AJ317" s="2009">
        <v>45</v>
      </c>
      <c r="AK317" s="2010">
        <v>80</v>
      </c>
      <c r="AL317" s="2011"/>
      <c r="AM317" s="1871" t="s">
        <v>583</v>
      </c>
      <c r="AN317" s="1763" t="s">
        <v>583</v>
      </c>
      <c r="AO317" s="156"/>
      <c r="AP317" s="156"/>
      <c r="AW317" s="3"/>
      <c r="AX317" s="1602"/>
      <c r="AY317" s="428"/>
      <c r="AZ317" s="3"/>
      <c r="BA317" s="428"/>
      <c r="BB317" s="1715"/>
      <c r="BC317" s="1715"/>
      <c r="BD317" s="1715"/>
      <c r="BE317" s="1715"/>
      <c r="BF317" s="3"/>
      <c r="BG317" s="1715"/>
      <c r="BH317" s="428"/>
      <c r="BI317" s="3"/>
      <c r="BJ317" s="428"/>
      <c r="BK317" s="428"/>
      <c r="BL317" s="3"/>
      <c r="BM317" s="428"/>
      <c r="BN317" s="397"/>
      <c r="BO317" s="424"/>
      <c r="BP317"/>
      <c r="BQ317" s="1602"/>
      <c r="BR317" s="397"/>
      <c r="BS317" s="397"/>
      <c r="BT317" s="397"/>
      <c r="BU317"/>
      <c r="BV317" s="1602"/>
      <c r="BW317" s="397"/>
      <c r="BX317" s="397"/>
      <c r="BY317" s="397"/>
      <c r="CA317" s="394"/>
    </row>
    <row r="318" spans="1:79" ht="22.5" customHeight="1">
      <c r="A318" s="156"/>
      <c r="B318" s="156"/>
      <c r="C318" s="1758" t="s">
        <v>1946</v>
      </c>
      <c r="D318" s="1759" t="s">
        <v>585</v>
      </c>
      <c r="E318" s="1729">
        <v>60</v>
      </c>
      <c r="F318" s="1760"/>
      <c r="G318" s="1993" t="s">
        <v>1887</v>
      </c>
      <c r="H318" s="1994">
        <v>90</v>
      </c>
      <c r="I318" s="1995"/>
      <c r="J318" s="1759" t="s">
        <v>714</v>
      </c>
      <c r="K318" s="1729"/>
      <c r="L318" s="1760"/>
      <c r="M318" s="1"/>
      <c r="N318" s="1"/>
      <c r="O318" s="1"/>
      <c r="P318" s="1"/>
      <c r="Q318" s="1"/>
      <c r="R318" s="1"/>
      <c r="S318" s="1759">
        <v>45</v>
      </c>
      <c r="T318" s="1729">
        <v>70</v>
      </c>
      <c r="U318" s="1760" t="s">
        <v>1764</v>
      </c>
      <c r="V318" s="1759">
        <v>40</v>
      </c>
      <c r="W318" s="1729">
        <v>55</v>
      </c>
      <c r="X318" s="1760" t="s">
        <v>1764</v>
      </c>
      <c r="Y318" s="2009">
        <v>30</v>
      </c>
      <c r="Z318" s="2010">
        <v>45</v>
      </c>
      <c r="AA318" s="2011"/>
      <c r="AB318" s="1871" t="s">
        <v>583</v>
      </c>
      <c r="AC318" s="1737" t="s">
        <v>583</v>
      </c>
      <c r="AD318" s="1762">
        <v>120</v>
      </c>
      <c r="AE318" s="1729">
        <v>180</v>
      </c>
      <c r="AF318" s="1760" t="s">
        <v>1764</v>
      </c>
      <c r="AG318" s="1759">
        <v>100</v>
      </c>
      <c r="AH318" s="1729">
        <v>150</v>
      </c>
      <c r="AI318" s="1760" t="s">
        <v>1764</v>
      </c>
      <c r="AJ318" s="2009">
        <v>80</v>
      </c>
      <c r="AK318" s="2010">
        <v>120</v>
      </c>
      <c r="AL318" s="2011"/>
      <c r="AM318" s="1871" t="s">
        <v>583</v>
      </c>
      <c r="AN318" s="1763" t="s">
        <v>583</v>
      </c>
      <c r="AO318" s="156"/>
      <c r="AP318" s="156"/>
      <c r="AX318" s="1602"/>
      <c r="AY318" s="428"/>
      <c r="AZ318" s="3"/>
      <c r="BA318" s="428"/>
      <c r="BB318" s="1715"/>
      <c r="BC318" s="1715"/>
      <c r="BD318" s="1715"/>
      <c r="BE318" s="1715"/>
      <c r="BF318" s="3"/>
      <c r="BG318" s="1715"/>
      <c r="BH318" s="428"/>
      <c r="BI318" s="3"/>
      <c r="BJ318" s="428"/>
      <c r="BK318" s="428"/>
      <c r="BL318" s="3"/>
      <c r="BM318" s="428"/>
      <c r="BN318" s="397"/>
      <c r="BO318" s="424"/>
      <c r="BP318"/>
      <c r="BQ318" s="1602"/>
      <c r="BR318" s="397"/>
      <c r="BS318" s="397"/>
      <c r="BT318" s="397"/>
      <c r="BU318"/>
      <c r="BV318" s="1602"/>
      <c r="BW318" s="397"/>
      <c r="BX318" s="397"/>
      <c r="BY318" s="1717"/>
      <c r="CA318" s="394"/>
    </row>
    <row r="319" spans="1:79" ht="22.5" customHeight="1">
      <c r="A319" s="156"/>
      <c r="B319" s="156"/>
      <c r="C319" s="1758" t="s">
        <v>1947</v>
      </c>
      <c r="D319" s="1759" t="s">
        <v>714</v>
      </c>
      <c r="E319" s="1729" t="s">
        <v>714</v>
      </c>
      <c r="F319" s="1760"/>
      <c r="G319" s="1993" t="s">
        <v>587</v>
      </c>
      <c r="H319" s="1994">
        <v>120</v>
      </c>
      <c r="I319" s="1995"/>
      <c r="J319" s="1759" t="s">
        <v>1576</v>
      </c>
      <c r="K319" s="1729">
        <v>150</v>
      </c>
      <c r="L319" s="1760"/>
      <c r="M319" s="1"/>
      <c r="N319" s="1"/>
      <c r="O319" s="1"/>
      <c r="P319" s="1"/>
      <c r="Q319" s="1"/>
      <c r="R319" s="1"/>
      <c r="S319" s="1759">
        <v>70</v>
      </c>
      <c r="T319" s="1729">
        <v>100</v>
      </c>
      <c r="U319" s="1760">
        <v>120</v>
      </c>
      <c r="V319" s="1759">
        <v>55</v>
      </c>
      <c r="W319" s="1729">
        <v>80</v>
      </c>
      <c r="X319" s="1760">
        <v>100</v>
      </c>
      <c r="Y319" s="2009">
        <v>45</v>
      </c>
      <c r="Z319" s="2010">
        <v>65</v>
      </c>
      <c r="AA319" s="2011">
        <v>80</v>
      </c>
      <c r="AB319" s="1871" t="s">
        <v>583</v>
      </c>
      <c r="AC319" s="1737" t="s">
        <v>583</v>
      </c>
      <c r="AD319" s="1762">
        <v>195</v>
      </c>
      <c r="AE319" s="1729">
        <v>255</v>
      </c>
      <c r="AF319" s="1760">
        <v>325</v>
      </c>
      <c r="AG319" s="1759">
        <v>165</v>
      </c>
      <c r="AH319" s="1729">
        <v>215</v>
      </c>
      <c r="AI319" s="1760">
        <v>270</v>
      </c>
      <c r="AJ319" s="2009">
        <v>130</v>
      </c>
      <c r="AK319" s="2010">
        <v>170</v>
      </c>
      <c r="AL319" s="2011">
        <v>215</v>
      </c>
      <c r="AM319" s="1871" t="s">
        <v>583</v>
      </c>
      <c r="AN319" s="1763" t="s">
        <v>583</v>
      </c>
      <c r="AO319" s="156"/>
      <c r="AP319" s="156"/>
      <c r="AX319" s="1602"/>
      <c r="AY319" s="428"/>
      <c r="AZ319" s="3"/>
      <c r="BA319" s="428"/>
      <c r="BB319" s="1715"/>
      <c r="BC319" s="1715"/>
      <c r="BD319" s="1715"/>
      <c r="BE319" s="1715"/>
      <c r="BF319" s="3"/>
      <c r="BG319" s="1715"/>
      <c r="BH319" s="428"/>
      <c r="BI319" s="3"/>
      <c r="BJ319" s="428"/>
      <c r="BK319" s="428"/>
      <c r="BL319" s="3"/>
      <c r="BM319" s="428"/>
      <c r="BN319" s="397"/>
      <c r="BO319" s="424"/>
      <c r="BP319"/>
      <c r="BQ319" s="1602"/>
      <c r="BR319" s="397"/>
      <c r="BS319" s="397"/>
      <c r="BT319" s="397"/>
      <c r="BU319"/>
      <c r="BV319" s="1602"/>
      <c r="BW319" s="397"/>
      <c r="BX319" s="397"/>
      <c r="BY319" s="1717"/>
      <c r="CA319" s="394"/>
    </row>
    <row r="320" spans="1:79" ht="22.5" customHeight="1">
      <c r="A320" s="156"/>
      <c r="B320" s="156"/>
      <c r="C320" s="1758" t="s">
        <v>1948</v>
      </c>
      <c r="D320" s="1759" t="s">
        <v>586</v>
      </c>
      <c r="E320" s="1729">
        <v>80</v>
      </c>
      <c r="F320" s="1760"/>
      <c r="G320" s="1993" t="s">
        <v>587</v>
      </c>
      <c r="H320" s="1994">
        <v>100</v>
      </c>
      <c r="I320" s="1995"/>
      <c r="J320" s="1759" t="s">
        <v>1576</v>
      </c>
      <c r="K320" s="1729">
        <v>120</v>
      </c>
      <c r="L320" s="1760"/>
      <c r="M320" s="1"/>
      <c r="N320" s="1"/>
      <c r="O320" s="1"/>
      <c r="P320" s="1"/>
      <c r="Q320" s="1"/>
      <c r="R320" s="1"/>
      <c r="S320" s="1759">
        <v>70</v>
      </c>
      <c r="T320" s="1729">
        <v>100</v>
      </c>
      <c r="U320" s="1760">
        <v>120</v>
      </c>
      <c r="V320" s="1759">
        <v>55</v>
      </c>
      <c r="W320" s="1729">
        <v>80</v>
      </c>
      <c r="X320" s="1760">
        <v>100</v>
      </c>
      <c r="Y320" s="2009">
        <v>45</v>
      </c>
      <c r="Z320" s="2010">
        <v>65</v>
      </c>
      <c r="AA320" s="2011">
        <v>80</v>
      </c>
      <c r="AB320" s="1871" t="s">
        <v>583</v>
      </c>
      <c r="AC320" s="1737" t="s">
        <v>583</v>
      </c>
      <c r="AD320" s="1762">
        <v>195</v>
      </c>
      <c r="AE320" s="1729">
        <v>255</v>
      </c>
      <c r="AF320" s="1760">
        <v>325</v>
      </c>
      <c r="AG320" s="1759">
        <v>165</v>
      </c>
      <c r="AH320" s="1729">
        <v>215</v>
      </c>
      <c r="AI320" s="1760">
        <v>270</v>
      </c>
      <c r="AJ320" s="2009">
        <v>130</v>
      </c>
      <c r="AK320" s="2010">
        <v>170</v>
      </c>
      <c r="AL320" s="2011">
        <v>215</v>
      </c>
      <c r="AM320" s="1871" t="s">
        <v>583</v>
      </c>
      <c r="AN320" s="1763" t="s">
        <v>583</v>
      </c>
      <c r="AO320" s="156"/>
      <c r="AP320" s="156"/>
      <c r="AX320" s="1602"/>
      <c r="AY320" s="428"/>
      <c r="AZ320" s="3"/>
      <c r="BA320" s="428"/>
      <c r="BB320" s="1715"/>
      <c r="BC320" s="1715"/>
      <c r="BD320" s="1715"/>
      <c r="BE320" s="1715"/>
      <c r="BF320" s="3"/>
      <c r="BG320" s="1715"/>
      <c r="BH320" s="428"/>
      <c r="BI320" s="3"/>
      <c r="BJ320" s="428"/>
      <c r="BK320" s="428"/>
      <c r="BL320" s="3"/>
      <c r="BM320" s="428"/>
      <c r="BN320" s="397"/>
      <c r="BO320" s="424"/>
      <c r="BP320"/>
      <c r="BQ320" s="1602"/>
      <c r="BR320" s="397"/>
      <c r="BS320" s="397"/>
      <c r="BT320" s="397"/>
      <c r="BU320"/>
      <c r="BV320" s="1602"/>
      <c r="BW320" s="1717"/>
      <c r="BX320" s="1717"/>
      <c r="BY320" s="1717"/>
      <c r="CA320" s="394"/>
    </row>
    <row r="321" spans="1:79" ht="22.5" customHeight="1">
      <c r="A321" s="156"/>
      <c r="B321" s="156"/>
      <c r="C321" s="1758" t="s">
        <v>1949</v>
      </c>
      <c r="D321" s="1759" t="s">
        <v>714</v>
      </c>
      <c r="E321" s="1729" t="s">
        <v>714</v>
      </c>
      <c r="F321" s="1760"/>
      <c r="G321" s="1993" t="s">
        <v>588</v>
      </c>
      <c r="H321" s="1994">
        <v>160</v>
      </c>
      <c r="I321" s="1995"/>
      <c r="J321" s="1759" t="s">
        <v>1577</v>
      </c>
      <c r="K321" s="1729">
        <v>200</v>
      </c>
      <c r="L321" s="1760"/>
      <c r="M321" s="1"/>
      <c r="N321" s="1"/>
      <c r="O321" s="1"/>
      <c r="P321" s="1"/>
      <c r="Q321" s="1"/>
      <c r="R321" s="1"/>
      <c r="S321" s="1759" t="s">
        <v>1764</v>
      </c>
      <c r="T321" s="1729">
        <v>120</v>
      </c>
      <c r="U321" s="1760">
        <v>135</v>
      </c>
      <c r="V321" s="1759" t="s">
        <v>1764</v>
      </c>
      <c r="W321" s="1729">
        <v>100</v>
      </c>
      <c r="X321" s="1760">
        <v>115</v>
      </c>
      <c r="Y321" s="2009"/>
      <c r="Z321" s="2010">
        <v>80</v>
      </c>
      <c r="AA321" s="2011">
        <v>90</v>
      </c>
      <c r="AB321" s="1871" t="s">
        <v>583</v>
      </c>
      <c r="AC321" s="1737" t="s">
        <v>583</v>
      </c>
      <c r="AD321" s="1762" t="s">
        <v>1764</v>
      </c>
      <c r="AE321" s="1729">
        <v>310</v>
      </c>
      <c r="AF321" s="1760">
        <v>390</v>
      </c>
      <c r="AG321" s="1759" t="s">
        <v>1764</v>
      </c>
      <c r="AH321" s="1729">
        <v>255</v>
      </c>
      <c r="AI321" s="1760">
        <v>325</v>
      </c>
      <c r="AJ321" s="2009"/>
      <c r="AK321" s="2010">
        <v>205</v>
      </c>
      <c r="AL321" s="2011">
        <v>260</v>
      </c>
      <c r="AM321" s="1871" t="s">
        <v>583</v>
      </c>
      <c r="AN321" s="1763" t="s">
        <v>583</v>
      </c>
      <c r="AO321" s="156"/>
      <c r="AP321" s="156"/>
      <c r="AX321" s="1602"/>
      <c r="AY321" s="428"/>
      <c r="AZ321" s="3"/>
      <c r="BA321" s="428"/>
      <c r="BB321" s="1715"/>
      <c r="BC321" s="1715"/>
      <c r="BD321" s="1715"/>
      <c r="BE321" s="1715"/>
      <c r="BF321" s="3"/>
      <c r="BG321" s="1715"/>
      <c r="BH321" s="428"/>
      <c r="BI321" s="3"/>
      <c r="BJ321" s="428"/>
      <c r="BK321" s="428"/>
      <c r="BL321" s="3"/>
      <c r="BM321" s="428"/>
      <c r="BQ321" s="1602"/>
      <c r="BR321" s="397"/>
      <c r="BS321" s="397"/>
      <c r="BT321" s="397"/>
      <c r="BU321"/>
      <c r="BV321" s="1602"/>
      <c r="BW321" s="1716"/>
      <c r="BX321" s="397"/>
      <c r="BY321" s="397"/>
      <c r="CA321" s="394"/>
    </row>
    <row r="322" spans="1:79" ht="22.5" customHeight="1">
      <c r="A322" s="156"/>
      <c r="B322" s="156"/>
      <c r="C322" s="1758" t="s">
        <v>1950</v>
      </c>
      <c r="D322" s="1759" t="s">
        <v>714</v>
      </c>
      <c r="E322" s="1729" t="s">
        <v>714</v>
      </c>
      <c r="F322" s="1760"/>
      <c r="G322" s="1993" t="s">
        <v>588</v>
      </c>
      <c r="H322" s="1994">
        <v>120</v>
      </c>
      <c r="I322" s="1995"/>
      <c r="J322" s="1759" t="s">
        <v>1577</v>
      </c>
      <c r="K322" s="1729">
        <v>150</v>
      </c>
      <c r="L322" s="1760"/>
      <c r="M322" s="1"/>
      <c r="N322" s="1"/>
      <c r="O322" s="1"/>
      <c r="P322" s="1"/>
      <c r="Q322" s="1"/>
      <c r="R322" s="1"/>
      <c r="S322" s="1759" t="s">
        <v>1764</v>
      </c>
      <c r="T322" s="1729">
        <v>120</v>
      </c>
      <c r="U322" s="1760">
        <v>135</v>
      </c>
      <c r="V322" s="1759" t="s">
        <v>1764</v>
      </c>
      <c r="W322" s="1729">
        <v>100</v>
      </c>
      <c r="X322" s="1760">
        <v>115</v>
      </c>
      <c r="Y322" s="2009"/>
      <c r="Z322" s="2010">
        <v>80</v>
      </c>
      <c r="AA322" s="2011">
        <v>90</v>
      </c>
      <c r="AB322" s="1871" t="s">
        <v>583</v>
      </c>
      <c r="AC322" s="1737" t="s">
        <v>583</v>
      </c>
      <c r="AD322" s="1762" t="s">
        <v>1764</v>
      </c>
      <c r="AE322" s="1729">
        <v>310</v>
      </c>
      <c r="AF322" s="1760">
        <v>390</v>
      </c>
      <c r="AG322" s="1759" t="s">
        <v>1764</v>
      </c>
      <c r="AH322" s="1729">
        <v>255</v>
      </c>
      <c r="AI322" s="1760">
        <v>325</v>
      </c>
      <c r="AJ322" s="2009"/>
      <c r="AK322" s="2010">
        <v>205</v>
      </c>
      <c r="AL322" s="2011">
        <v>260</v>
      </c>
      <c r="AM322" s="1871" t="s">
        <v>583</v>
      </c>
      <c r="AN322" s="1763" t="s">
        <v>583</v>
      </c>
      <c r="AO322" s="156"/>
      <c r="AP322" s="156"/>
      <c r="AX322" s="1602"/>
      <c r="AY322" s="428"/>
      <c r="AZ322" s="3"/>
      <c r="BA322" s="428"/>
      <c r="BB322" s="1715"/>
      <c r="BC322" s="1715"/>
      <c r="BD322" s="1715"/>
      <c r="BE322" s="1715"/>
      <c r="BF322" s="3"/>
      <c r="BG322" s="1715"/>
      <c r="BH322" s="428"/>
      <c r="BI322" s="3"/>
      <c r="BJ322" s="428"/>
      <c r="BK322" s="428"/>
      <c r="BL322" s="3"/>
      <c r="BM322" s="428"/>
      <c r="BQ322" s="1602"/>
      <c r="BR322" s="397"/>
      <c r="BS322" s="397"/>
      <c r="BT322" s="397"/>
      <c r="BU322"/>
      <c r="BV322" s="1602"/>
      <c r="BW322" s="1716"/>
      <c r="BX322" s="397"/>
      <c r="BY322" s="397"/>
      <c r="CA322" s="394"/>
    </row>
    <row r="323" spans="1:79" ht="22.5" customHeight="1">
      <c r="A323" s="156"/>
      <c r="B323" s="156"/>
      <c r="C323" s="1758" t="s">
        <v>1951</v>
      </c>
      <c r="D323" s="1759" t="s">
        <v>714</v>
      </c>
      <c r="E323" s="1729" t="s">
        <v>714</v>
      </c>
      <c r="F323" s="1760"/>
      <c r="G323" s="1993" t="s">
        <v>590</v>
      </c>
      <c r="H323" s="1994">
        <v>200</v>
      </c>
      <c r="I323" s="1995"/>
      <c r="J323" s="1759" t="s">
        <v>1893</v>
      </c>
      <c r="K323" s="1729">
        <v>240</v>
      </c>
      <c r="L323" s="1760"/>
      <c r="M323" s="1"/>
      <c r="N323" s="1"/>
      <c r="O323" s="1"/>
      <c r="P323" s="1"/>
      <c r="Q323" s="1"/>
      <c r="R323" s="1"/>
      <c r="S323" s="1759" t="s">
        <v>1764</v>
      </c>
      <c r="T323" s="1729">
        <v>130</v>
      </c>
      <c r="U323" s="1760">
        <v>160</v>
      </c>
      <c r="V323" s="1759" t="s">
        <v>1764</v>
      </c>
      <c r="W323" s="1729">
        <v>105</v>
      </c>
      <c r="X323" s="1760">
        <v>130</v>
      </c>
      <c r="Y323" s="2009"/>
      <c r="Z323" s="2010">
        <v>85</v>
      </c>
      <c r="AA323" s="2011">
        <v>105</v>
      </c>
      <c r="AB323" s="1871" t="s">
        <v>583</v>
      </c>
      <c r="AC323" s="1737" t="s">
        <v>583</v>
      </c>
      <c r="AD323" s="1762" t="s">
        <v>1764</v>
      </c>
      <c r="AE323" s="1729">
        <v>345</v>
      </c>
      <c r="AF323" s="1760">
        <v>450</v>
      </c>
      <c r="AG323" s="1759" t="s">
        <v>1764</v>
      </c>
      <c r="AH323" s="1729">
        <v>290</v>
      </c>
      <c r="AI323" s="1760">
        <v>375</v>
      </c>
      <c r="AJ323" s="2009"/>
      <c r="AK323" s="2010">
        <v>230</v>
      </c>
      <c r="AL323" s="2011">
        <v>300</v>
      </c>
      <c r="AM323" s="1871" t="s">
        <v>583</v>
      </c>
      <c r="AN323" s="1763" t="s">
        <v>583</v>
      </c>
      <c r="AO323" s="156"/>
      <c r="AP323" s="156"/>
      <c r="AX323" s="1602"/>
      <c r="AY323" s="428"/>
      <c r="AZ323" s="3"/>
      <c r="BA323" s="428"/>
      <c r="BB323" s="1715"/>
      <c r="BC323" s="1715"/>
      <c r="BD323" s="1715"/>
      <c r="BE323" s="1715"/>
      <c r="BF323" s="3"/>
      <c r="BG323" s="1715"/>
      <c r="BH323" s="428"/>
      <c r="BI323" s="3"/>
      <c r="BJ323" s="428"/>
      <c r="BK323" s="428"/>
      <c r="BL323" s="3"/>
      <c r="BM323" s="428"/>
      <c r="BQ323" s="1602"/>
      <c r="BR323" s="397"/>
      <c r="BS323" s="397"/>
      <c r="BT323" s="397"/>
      <c r="BU323"/>
      <c r="BV323" s="1602"/>
      <c r="BW323" s="1716"/>
      <c r="BX323" s="397"/>
      <c r="BY323" s="1717"/>
      <c r="CA323" s="394"/>
    </row>
    <row r="324" spans="1:79" ht="22.5" customHeight="1">
      <c r="A324" s="156"/>
      <c r="B324" s="156"/>
      <c r="C324" s="1758" t="s">
        <v>1952</v>
      </c>
      <c r="D324" s="1759" t="s">
        <v>714</v>
      </c>
      <c r="E324" s="1729" t="s">
        <v>714</v>
      </c>
      <c r="F324" s="1760"/>
      <c r="G324" s="1993" t="s">
        <v>590</v>
      </c>
      <c r="H324" s="1994">
        <v>200</v>
      </c>
      <c r="I324" s="1995"/>
      <c r="J324" s="1759" t="s">
        <v>1893</v>
      </c>
      <c r="K324" s="1729">
        <v>240</v>
      </c>
      <c r="L324" s="1760"/>
      <c r="M324" s="1"/>
      <c r="N324" s="1"/>
      <c r="O324" s="1"/>
      <c r="P324" s="1"/>
      <c r="Q324" s="1"/>
      <c r="R324" s="1"/>
      <c r="S324" s="1759" t="s">
        <v>1764</v>
      </c>
      <c r="T324" s="1729">
        <v>130</v>
      </c>
      <c r="U324" s="1760">
        <v>160</v>
      </c>
      <c r="V324" s="1759" t="s">
        <v>1764</v>
      </c>
      <c r="W324" s="1729">
        <v>105</v>
      </c>
      <c r="X324" s="1760">
        <v>130</v>
      </c>
      <c r="Y324" s="2009"/>
      <c r="Z324" s="2010">
        <v>85</v>
      </c>
      <c r="AA324" s="2011">
        <v>105</v>
      </c>
      <c r="AB324" s="1871" t="s">
        <v>583</v>
      </c>
      <c r="AC324" s="1737" t="s">
        <v>583</v>
      </c>
      <c r="AD324" s="1762" t="s">
        <v>1764</v>
      </c>
      <c r="AE324" s="1729">
        <v>345</v>
      </c>
      <c r="AF324" s="1760">
        <v>450</v>
      </c>
      <c r="AG324" s="1759" t="s">
        <v>1764</v>
      </c>
      <c r="AH324" s="1729">
        <v>290</v>
      </c>
      <c r="AI324" s="1760">
        <v>375</v>
      </c>
      <c r="AJ324" s="2009"/>
      <c r="AK324" s="2010">
        <v>230</v>
      </c>
      <c r="AL324" s="2011">
        <v>300</v>
      </c>
      <c r="AM324" s="1871" t="s">
        <v>583</v>
      </c>
      <c r="AN324" s="1763" t="s">
        <v>583</v>
      </c>
      <c r="AO324" s="156"/>
      <c r="AP324" s="156"/>
      <c r="AX324" s="1602"/>
      <c r="AY324" s="428"/>
      <c r="AZ324" s="3"/>
      <c r="BA324" s="428"/>
      <c r="BB324" s="1715"/>
      <c r="BC324" s="1715"/>
      <c r="BD324" s="1715"/>
      <c r="BE324" s="1715"/>
      <c r="BF324" s="3"/>
      <c r="BG324" s="1715"/>
      <c r="BH324" s="428"/>
      <c r="BI324" s="3"/>
      <c r="BJ324" s="428"/>
      <c r="BK324" s="428"/>
      <c r="BL324" s="3"/>
      <c r="BM324" s="428"/>
      <c r="BQ324" s="1602"/>
      <c r="BR324" s="397"/>
      <c r="BS324" s="397"/>
      <c r="BT324" s="397"/>
      <c r="BU324"/>
      <c r="BV324" s="1602"/>
      <c r="BW324" s="1716"/>
      <c r="BX324" s="397"/>
      <c r="BY324" s="397"/>
      <c r="CA324" s="394"/>
    </row>
    <row r="325" spans="1:79" ht="22.5" customHeight="1">
      <c r="A325" s="156"/>
      <c r="B325" s="156"/>
      <c r="C325" s="1758" t="s">
        <v>1953</v>
      </c>
      <c r="D325" s="1759" t="s">
        <v>714</v>
      </c>
      <c r="E325" s="1729" t="s">
        <v>714</v>
      </c>
      <c r="F325" s="1760"/>
      <c r="G325" s="1993" t="s">
        <v>714</v>
      </c>
      <c r="H325" s="1994" t="s">
        <v>714</v>
      </c>
      <c r="I325" s="1995"/>
      <c r="J325" s="1759" t="s">
        <v>1579</v>
      </c>
      <c r="K325" s="1729">
        <v>270</v>
      </c>
      <c r="L325" s="1760"/>
      <c r="M325" s="1"/>
      <c r="N325" s="1"/>
      <c r="O325" s="1"/>
      <c r="P325" s="1"/>
      <c r="Q325" s="1"/>
      <c r="R325" s="1"/>
      <c r="S325" s="1759" t="s">
        <v>1764</v>
      </c>
      <c r="T325" s="1729" t="s">
        <v>1764</v>
      </c>
      <c r="U325" s="1760">
        <v>180</v>
      </c>
      <c r="V325" s="1759" t="s">
        <v>1764</v>
      </c>
      <c r="W325" s="1729" t="s">
        <v>1764</v>
      </c>
      <c r="X325" s="1760">
        <v>150</v>
      </c>
      <c r="Y325" s="2009"/>
      <c r="Z325" s="2010"/>
      <c r="AA325" s="2011">
        <v>120</v>
      </c>
      <c r="AB325" s="1871" t="s">
        <v>583</v>
      </c>
      <c r="AC325" s="1737" t="s">
        <v>583</v>
      </c>
      <c r="AD325" s="1762" t="s">
        <v>1764</v>
      </c>
      <c r="AE325" s="1729" t="s">
        <v>1764</v>
      </c>
      <c r="AF325" s="1760">
        <v>510</v>
      </c>
      <c r="AG325" s="1759" t="s">
        <v>1764</v>
      </c>
      <c r="AH325" s="1729" t="s">
        <v>1764</v>
      </c>
      <c r="AI325" s="1760">
        <v>425</v>
      </c>
      <c r="AJ325" s="2009"/>
      <c r="AK325" s="2010"/>
      <c r="AL325" s="2011">
        <v>340</v>
      </c>
      <c r="AM325" s="1871" t="s">
        <v>583</v>
      </c>
      <c r="AN325" s="1763" t="s">
        <v>583</v>
      </c>
      <c r="AO325" s="156"/>
      <c r="AP325" s="156"/>
      <c r="AX325" s="1602"/>
      <c r="AY325" s="428"/>
      <c r="AZ325" s="3"/>
      <c r="BA325" s="428"/>
      <c r="BB325" s="1715"/>
      <c r="BC325" s="1715"/>
      <c r="BD325" s="1715"/>
      <c r="BE325" s="1715"/>
      <c r="BF325" s="3"/>
      <c r="BG325" s="1715"/>
      <c r="BH325" s="428"/>
      <c r="BI325" s="3"/>
      <c r="BJ325" s="428"/>
      <c r="BK325" s="428"/>
      <c r="BL325" s="3"/>
      <c r="BM325" s="428"/>
      <c r="BQ325" s="1602"/>
      <c r="BR325" s="397"/>
      <c r="BS325" s="397"/>
      <c r="BT325" s="397"/>
      <c r="BU325"/>
      <c r="BV325" s="1602"/>
      <c r="BW325" s="1716"/>
      <c r="BX325" s="397"/>
      <c r="BY325" s="397"/>
      <c r="CA325" s="394"/>
    </row>
    <row r="326" spans="1:79" ht="22.5" customHeight="1" thickBot="1">
      <c r="A326" s="156"/>
      <c r="B326" s="156"/>
      <c r="C326" s="1771" t="s">
        <v>1954</v>
      </c>
      <c r="D326" s="1730" t="s">
        <v>714</v>
      </c>
      <c r="E326" s="1731" t="s">
        <v>714</v>
      </c>
      <c r="F326" s="1732"/>
      <c r="G326" s="1997" t="s">
        <v>714</v>
      </c>
      <c r="H326" s="1998" t="s">
        <v>714</v>
      </c>
      <c r="I326" s="1999"/>
      <c r="J326" s="1730" t="s">
        <v>1579</v>
      </c>
      <c r="K326" s="1731">
        <v>270</v>
      </c>
      <c r="L326" s="1732"/>
      <c r="M326" s="1736"/>
      <c r="N326" s="1736"/>
      <c r="O326" s="1736"/>
      <c r="P326" s="1736"/>
      <c r="Q326" s="1736"/>
      <c r="R326" s="1736"/>
      <c r="S326" s="1730" t="s">
        <v>1764</v>
      </c>
      <c r="T326" s="1731" t="s">
        <v>1764</v>
      </c>
      <c r="U326" s="1732">
        <v>180</v>
      </c>
      <c r="V326" s="1730" t="s">
        <v>1764</v>
      </c>
      <c r="W326" s="1731" t="s">
        <v>1764</v>
      </c>
      <c r="X326" s="1732">
        <v>150</v>
      </c>
      <c r="Y326" s="2014"/>
      <c r="Z326" s="2015"/>
      <c r="AA326" s="2016">
        <v>120</v>
      </c>
      <c r="AB326" s="1774" t="s">
        <v>583</v>
      </c>
      <c r="AC326" s="1792" t="s">
        <v>583</v>
      </c>
      <c r="AD326" s="1773" t="s">
        <v>1764</v>
      </c>
      <c r="AE326" s="1731" t="s">
        <v>1764</v>
      </c>
      <c r="AF326" s="1732">
        <v>510</v>
      </c>
      <c r="AG326" s="1730" t="s">
        <v>1764</v>
      </c>
      <c r="AH326" s="1731" t="s">
        <v>1764</v>
      </c>
      <c r="AI326" s="1732">
        <v>425</v>
      </c>
      <c r="AJ326" s="2014"/>
      <c r="AK326" s="2015"/>
      <c r="AL326" s="2016">
        <v>340</v>
      </c>
      <c r="AM326" s="1774" t="s">
        <v>583</v>
      </c>
      <c r="AN326" s="1775" t="s">
        <v>583</v>
      </c>
      <c r="AO326" s="156"/>
      <c r="AP326" s="156"/>
      <c r="AX326" s="1602"/>
      <c r="AY326" s="397"/>
      <c r="AZ326" s="3"/>
      <c r="BA326" s="397"/>
      <c r="BB326" s="1715"/>
      <c r="BC326" s="1715"/>
      <c r="BD326" s="1715"/>
      <c r="BE326" s="1715"/>
      <c r="BF326" s="3"/>
      <c r="BG326" s="1715"/>
      <c r="BH326" s="397"/>
      <c r="BI326" s="3"/>
      <c r="BJ326" s="397"/>
      <c r="BK326" s="397"/>
      <c r="BL326" s="3"/>
      <c r="BM326" s="397"/>
      <c r="BQ326" s="1602"/>
      <c r="BR326" s="397"/>
      <c r="BS326" s="397"/>
      <c r="BT326" s="397"/>
      <c r="BU326"/>
      <c r="BV326" s="1602"/>
      <c r="BW326" s="1716"/>
      <c r="BX326" s="397"/>
      <c r="BY326" s="397"/>
      <c r="CA326" s="394"/>
    </row>
    <row r="327" spans="1:79" ht="28.5" customHeight="1" thickBot="1">
      <c r="A327" s="156"/>
      <c r="B327" s="156"/>
      <c r="C327" s="2343" t="s">
        <v>41</v>
      </c>
      <c r="D327" s="2358"/>
      <c r="E327" s="2358"/>
      <c r="F327" s="2358"/>
      <c r="G327" s="2358"/>
      <c r="H327" s="2358"/>
      <c r="I327" s="2358"/>
      <c r="J327" s="2358"/>
      <c r="K327" s="2358"/>
      <c r="L327" s="2358"/>
      <c r="M327" s="2358"/>
      <c r="N327" s="2358"/>
      <c r="O327" s="2358"/>
      <c r="P327" s="2358"/>
      <c r="Q327" s="2358"/>
      <c r="R327" s="2358"/>
      <c r="S327" s="2358"/>
      <c r="T327" s="2358"/>
      <c r="U327" s="2358"/>
      <c r="V327" s="2358"/>
      <c r="W327" s="2358"/>
      <c r="X327" s="2358"/>
      <c r="Y327" s="2358"/>
      <c r="Z327" s="2358"/>
      <c r="AA327" s="2358"/>
      <c r="AB327" s="2358"/>
      <c r="AC327" s="2358"/>
      <c r="AD327" s="2358"/>
      <c r="AE327" s="2358"/>
      <c r="AF327" s="2358"/>
      <c r="AG327" s="2358"/>
      <c r="AH327" s="2358"/>
      <c r="AI327" s="2358"/>
      <c r="AJ327" s="2358"/>
      <c r="AK327" s="2358"/>
      <c r="AL327" s="2358"/>
      <c r="AM327" s="2358"/>
      <c r="AN327" s="2359"/>
      <c r="AO327" s="156"/>
      <c r="AP327" s="156"/>
      <c r="AZ327" s="3"/>
      <c r="BF327" s="3"/>
      <c r="BI327" s="3"/>
      <c r="BL327" s="3"/>
      <c r="CA327" s="394"/>
    </row>
    <row r="328" spans="1:79" ht="23.25" customHeight="1">
      <c r="A328" s="156"/>
      <c r="B328" s="156"/>
      <c r="C328" s="1754" t="s">
        <v>42</v>
      </c>
      <c r="D328" s="1726" t="s">
        <v>714</v>
      </c>
      <c r="E328" s="1727"/>
      <c r="F328" s="1728" t="s">
        <v>1764</v>
      </c>
      <c r="G328" s="1987" t="s">
        <v>1955</v>
      </c>
      <c r="H328" s="1988">
        <v>90</v>
      </c>
      <c r="I328" s="1989"/>
      <c r="J328" s="1726" t="s">
        <v>1956</v>
      </c>
      <c r="K328" s="1727">
        <v>120</v>
      </c>
      <c r="L328" s="1728"/>
      <c r="M328" s="1690"/>
      <c r="N328" s="1690"/>
      <c r="O328" s="1690"/>
      <c r="P328" s="1690"/>
      <c r="Q328" s="1690"/>
      <c r="R328" s="1690"/>
      <c r="S328" s="1755"/>
      <c r="T328" s="1727">
        <v>70</v>
      </c>
      <c r="U328" s="1818">
        <v>70</v>
      </c>
      <c r="V328" s="1726"/>
      <c r="W328" s="1727">
        <v>55</v>
      </c>
      <c r="X328" s="1728">
        <v>55</v>
      </c>
      <c r="Y328" s="2006"/>
      <c r="Z328" s="2007">
        <v>35</v>
      </c>
      <c r="AA328" s="2008">
        <v>45</v>
      </c>
      <c r="AB328" s="1756">
        <v>20</v>
      </c>
      <c r="AC328" s="1789" t="s">
        <v>714</v>
      </c>
      <c r="AD328" s="1755"/>
      <c r="AE328" s="1727">
        <v>140</v>
      </c>
      <c r="AF328" s="1728">
        <v>140</v>
      </c>
      <c r="AG328" s="1726"/>
      <c r="AH328" s="1727">
        <v>105</v>
      </c>
      <c r="AI328" s="1728">
        <v>105</v>
      </c>
      <c r="AJ328" s="2006"/>
      <c r="AK328" s="2007">
        <v>70</v>
      </c>
      <c r="AL328" s="2008">
        <v>85</v>
      </c>
      <c r="AM328" s="1756">
        <v>35</v>
      </c>
      <c r="AN328" s="1757" t="s">
        <v>714</v>
      </c>
      <c r="AO328" s="156"/>
      <c r="AP328" s="156"/>
      <c r="AZ328" s="3"/>
      <c r="BF328" s="3"/>
      <c r="BI328" s="3"/>
      <c r="BL328" s="3"/>
      <c r="CA328" s="394"/>
    </row>
    <row r="329" spans="1:79" ht="27.2" customHeight="1">
      <c r="A329" s="156"/>
      <c r="B329" s="156"/>
      <c r="C329" s="1758" t="s">
        <v>1957</v>
      </c>
      <c r="D329" s="1759" t="s">
        <v>714</v>
      </c>
      <c r="E329" s="1729"/>
      <c r="F329" s="1760" t="s">
        <v>1764</v>
      </c>
      <c r="G329" s="1993" t="s">
        <v>118</v>
      </c>
      <c r="H329" s="1994">
        <v>60</v>
      </c>
      <c r="I329" s="1995"/>
      <c r="J329" s="1759" t="s">
        <v>119</v>
      </c>
      <c r="K329" s="1729">
        <v>60</v>
      </c>
      <c r="L329" s="1760"/>
      <c r="M329" s="1"/>
      <c r="N329" s="1"/>
      <c r="O329" s="1"/>
      <c r="P329" s="1"/>
      <c r="Q329" s="1"/>
      <c r="R329" s="1"/>
      <c r="S329" s="1762"/>
      <c r="T329" s="1729">
        <v>80</v>
      </c>
      <c r="U329" s="1761">
        <v>80</v>
      </c>
      <c r="V329" s="1759"/>
      <c r="W329" s="1729">
        <v>60</v>
      </c>
      <c r="X329" s="1760">
        <v>60</v>
      </c>
      <c r="Y329" s="2009"/>
      <c r="Z329" s="2010">
        <v>40</v>
      </c>
      <c r="AA329" s="2011">
        <v>45</v>
      </c>
      <c r="AB329" s="1871">
        <v>20</v>
      </c>
      <c r="AC329" s="1737" t="s">
        <v>714</v>
      </c>
      <c r="AD329" s="1762"/>
      <c r="AE329" s="1729">
        <v>160</v>
      </c>
      <c r="AF329" s="1760">
        <v>160</v>
      </c>
      <c r="AG329" s="1759"/>
      <c r="AH329" s="1729">
        <v>120</v>
      </c>
      <c r="AI329" s="1760">
        <v>120</v>
      </c>
      <c r="AJ329" s="2009"/>
      <c r="AK329" s="2010">
        <v>80</v>
      </c>
      <c r="AL329" s="2011">
        <v>100</v>
      </c>
      <c r="AM329" s="1871">
        <v>40</v>
      </c>
      <c r="AN329" s="1763" t="s">
        <v>714</v>
      </c>
      <c r="AO329" s="156"/>
      <c r="AP329" s="156"/>
      <c r="AZ329" s="3"/>
      <c r="BF329" s="3"/>
      <c r="BI329" s="3"/>
      <c r="BL329" s="3"/>
      <c r="CA329" s="394"/>
    </row>
    <row r="330" spans="1:79" ht="21.75" customHeight="1">
      <c r="A330" s="156"/>
      <c r="B330" s="156"/>
      <c r="C330" s="1758" t="s">
        <v>43</v>
      </c>
      <c r="D330" s="2340" t="s">
        <v>596</v>
      </c>
      <c r="E330" s="2341"/>
      <c r="F330" s="2341"/>
      <c r="G330" s="2341"/>
      <c r="H330" s="2341"/>
      <c r="I330" s="2341"/>
      <c r="J330" s="2341"/>
      <c r="K330" s="2341"/>
      <c r="L330" s="2351"/>
      <c r="M330" s="1"/>
      <c r="N330" s="1"/>
      <c r="O330" s="1"/>
      <c r="P330" s="1"/>
      <c r="Q330" s="1"/>
      <c r="R330" s="1"/>
      <c r="S330" s="1762"/>
      <c r="T330" s="1729"/>
      <c r="U330" s="1761"/>
      <c r="V330" s="1759"/>
      <c r="W330" s="1729"/>
      <c r="X330" s="1760"/>
      <c r="Y330" s="2009"/>
      <c r="Z330" s="2010"/>
      <c r="AA330" s="2011"/>
      <c r="AB330" s="1871" t="s">
        <v>1388</v>
      </c>
      <c r="AC330" s="1737" t="s">
        <v>1389</v>
      </c>
      <c r="AD330" s="1762"/>
      <c r="AE330" s="1729"/>
      <c r="AF330" s="1760"/>
      <c r="AG330" s="1759"/>
      <c r="AH330" s="1729"/>
      <c r="AI330" s="1760"/>
      <c r="AJ330" s="2009"/>
      <c r="AK330" s="2010"/>
      <c r="AL330" s="2011"/>
      <c r="AM330" s="1871" t="s">
        <v>1388</v>
      </c>
      <c r="AN330" s="1763" t="s">
        <v>1389</v>
      </c>
      <c r="AO330" s="156"/>
      <c r="AP330" s="156"/>
      <c r="AZ330" s="3"/>
      <c r="BF330" s="3"/>
      <c r="BI330" s="3"/>
      <c r="BL330" s="3"/>
      <c r="CA330" s="394"/>
    </row>
    <row r="331" spans="1:79" ht="21.75" customHeight="1">
      <c r="A331" s="156"/>
      <c r="B331" s="156"/>
      <c r="C331" s="1758" t="s">
        <v>44</v>
      </c>
      <c r="D331" s="2340" t="s">
        <v>596</v>
      </c>
      <c r="E331" s="2341"/>
      <c r="F331" s="2341"/>
      <c r="G331" s="2341"/>
      <c r="H331" s="2341"/>
      <c r="I331" s="2341"/>
      <c r="J331" s="2341"/>
      <c r="K331" s="2341"/>
      <c r="L331" s="2351"/>
      <c r="M331" s="1"/>
      <c r="N331" s="1"/>
      <c r="O331" s="1"/>
      <c r="P331" s="1"/>
      <c r="Q331" s="1"/>
      <c r="R331" s="1"/>
      <c r="S331" s="1762"/>
      <c r="T331" s="1729"/>
      <c r="U331" s="1761"/>
      <c r="V331" s="1759"/>
      <c r="W331" s="1729"/>
      <c r="X331" s="1760"/>
      <c r="Y331" s="2009"/>
      <c r="Z331" s="2010"/>
      <c r="AA331" s="2011"/>
      <c r="AB331" s="1871" t="s">
        <v>1388</v>
      </c>
      <c r="AC331" s="1737" t="s">
        <v>1389</v>
      </c>
      <c r="AD331" s="1762"/>
      <c r="AE331" s="1729"/>
      <c r="AF331" s="1760"/>
      <c r="AG331" s="1759"/>
      <c r="AH331" s="1729"/>
      <c r="AI331" s="1760"/>
      <c r="AJ331" s="2009"/>
      <c r="AK331" s="2010"/>
      <c r="AL331" s="2011"/>
      <c r="AM331" s="1871" t="s">
        <v>1388</v>
      </c>
      <c r="AN331" s="1763" t="s">
        <v>1389</v>
      </c>
      <c r="AO331" s="156"/>
      <c r="AP331" s="156"/>
      <c r="AZ331" s="3"/>
      <c r="BF331" s="3"/>
      <c r="BI331" s="3"/>
      <c r="BL331" s="3"/>
      <c r="CA331" s="394"/>
    </row>
    <row r="332" spans="1:79" ht="21.75" customHeight="1">
      <c r="A332" s="156"/>
      <c r="B332" s="156"/>
      <c r="C332" s="1758" t="s">
        <v>45</v>
      </c>
      <c r="D332" s="1759" t="s">
        <v>714</v>
      </c>
      <c r="E332" s="1729"/>
      <c r="F332" s="1760" t="s">
        <v>1764</v>
      </c>
      <c r="G332" s="1993" t="s">
        <v>1958</v>
      </c>
      <c r="H332" s="1994">
        <v>90</v>
      </c>
      <c r="I332" s="1995"/>
      <c r="J332" s="1759" t="s">
        <v>1404</v>
      </c>
      <c r="K332" s="1729">
        <v>120</v>
      </c>
      <c r="L332" s="1760"/>
      <c r="M332" s="1"/>
      <c r="N332" s="1"/>
      <c r="O332" s="1"/>
      <c r="P332" s="1"/>
      <c r="Q332" s="1"/>
      <c r="R332" s="1"/>
      <c r="S332" s="1762"/>
      <c r="T332" s="1729">
        <v>50</v>
      </c>
      <c r="U332" s="1761">
        <v>50</v>
      </c>
      <c r="V332" s="1759"/>
      <c r="W332" s="1729">
        <v>40</v>
      </c>
      <c r="X332" s="1760">
        <v>40</v>
      </c>
      <c r="Y332" s="2009"/>
      <c r="Z332" s="2010">
        <v>25</v>
      </c>
      <c r="AA332" s="2011">
        <v>35</v>
      </c>
      <c r="AB332" s="1871">
        <v>15</v>
      </c>
      <c r="AC332" s="1737" t="s">
        <v>714</v>
      </c>
      <c r="AD332" s="1762"/>
      <c r="AE332" s="1729">
        <v>130</v>
      </c>
      <c r="AF332" s="1760">
        <v>130</v>
      </c>
      <c r="AG332" s="1759"/>
      <c r="AH332" s="1729">
        <v>100</v>
      </c>
      <c r="AI332" s="1760">
        <v>100</v>
      </c>
      <c r="AJ332" s="2009"/>
      <c r="AK332" s="2010">
        <v>65</v>
      </c>
      <c r="AL332" s="2011">
        <v>75</v>
      </c>
      <c r="AM332" s="1871">
        <v>35</v>
      </c>
      <c r="AN332" s="1763" t="s">
        <v>714</v>
      </c>
      <c r="AO332" s="156"/>
      <c r="AP332" s="156"/>
      <c r="AZ332" s="3"/>
      <c r="BF332" s="3"/>
      <c r="BI332" s="3"/>
      <c r="BL332" s="3"/>
      <c r="CA332" s="394"/>
    </row>
    <row r="333" spans="1:79" ht="21.75" customHeight="1">
      <c r="A333" s="156"/>
      <c r="B333" s="156"/>
      <c r="C333" s="1758" t="s">
        <v>46</v>
      </c>
      <c r="D333" s="1759" t="s">
        <v>714</v>
      </c>
      <c r="E333" s="1729"/>
      <c r="F333" s="1760" t="s">
        <v>1764</v>
      </c>
      <c r="G333" s="1993" t="s">
        <v>1406</v>
      </c>
      <c r="H333" s="1994">
        <v>90</v>
      </c>
      <c r="I333" s="1995"/>
      <c r="J333" s="1759" t="s">
        <v>1583</v>
      </c>
      <c r="K333" s="1729">
        <v>110</v>
      </c>
      <c r="L333" s="1760"/>
      <c r="M333" s="1"/>
      <c r="N333" s="1"/>
      <c r="O333" s="1"/>
      <c r="P333" s="1"/>
      <c r="Q333" s="1"/>
      <c r="R333" s="1"/>
      <c r="S333" s="1762"/>
      <c r="T333" s="1729">
        <v>80</v>
      </c>
      <c r="U333" s="1761">
        <v>80</v>
      </c>
      <c r="V333" s="1759"/>
      <c r="W333" s="1729">
        <v>60</v>
      </c>
      <c r="X333" s="1760">
        <v>60</v>
      </c>
      <c r="Y333" s="2009"/>
      <c r="Z333" s="2010">
        <v>40</v>
      </c>
      <c r="AA333" s="2011">
        <v>60</v>
      </c>
      <c r="AB333" s="1871">
        <v>20</v>
      </c>
      <c r="AC333" s="1737" t="s">
        <v>714</v>
      </c>
      <c r="AD333" s="1762"/>
      <c r="AE333" s="1729">
        <v>180</v>
      </c>
      <c r="AF333" s="1760">
        <v>180</v>
      </c>
      <c r="AG333" s="1759"/>
      <c r="AH333" s="1729">
        <v>135</v>
      </c>
      <c r="AI333" s="1760">
        <v>135</v>
      </c>
      <c r="AJ333" s="2009"/>
      <c r="AK333" s="2010">
        <v>90</v>
      </c>
      <c r="AL333" s="2011">
        <v>120</v>
      </c>
      <c r="AM333" s="1871">
        <v>45</v>
      </c>
      <c r="AN333" s="1763" t="s">
        <v>714</v>
      </c>
      <c r="AO333" s="156"/>
      <c r="AP333" s="156"/>
      <c r="AZ333" s="3"/>
      <c r="BF333" s="3"/>
      <c r="BI333" s="3"/>
      <c r="BL333" s="3"/>
      <c r="CA333" s="394"/>
    </row>
    <row r="334" spans="1:79" ht="21.75" customHeight="1">
      <c r="A334" s="156"/>
      <c r="B334" s="156"/>
      <c r="C334" s="1758" t="s">
        <v>47</v>
      </c>
      <c r="D334" s="1759" t="s">
        <v>714</v>
      </c>
      <c r="E334" s="1729"/>
      <c r="F334" s="1760" t="s">
        <v>1764</v>
      </c>
      <c r="G334" s="1993" t="s">
        <v>1406</v>
      </c>
      <c r="H334" s="1994">
        <v>150</v>
      </c>
      <c r="I334" s="1995"/>
      <c r="J334" s="1759" t="s">
        <v>1583</v>
      </c>
      <c r="K334" s="1729">
        <v>175</v>
      </c>
      <c r="L334" s="1760"/>
      <c r="M334" s="1"/>
      <c r="N334" s="1"/>
      <c r="O334" s="1"/>
      <c r="P334" s="1"/>
      <c r="Q334" s="1"/>
      <c r="R334" s="1"/>
      <c r="S334" s="1762"/>
      <c r="T334" s="1729">
        <v>80</v>
      </c>
      <c r="U334" s="1761">
        <v>80</v>
      </c>
      <c r="V334" s="1759"/>
      <c r="W334" s="1729">
        <v>60</v>
      </c>
      <c r="X334" s="1760">
        <v>60</v>
      </c>
      <c r="Y334" s="2009"/>
      <c r="Z334" s="2010">
        <v>40</v>
      </c>
      <c r="AA334" s="2011">
        <v>50</v>
      </c>
      <c r="AB334" s="1871">
        <v>20</v>
      </c>
      <c r="AC334" s="1737" t="s">
        <v>714</v>
      </c>
      <c r="AD334" s="1762"/>
      <c r="AE334" s="1729">
        <v>180</v>
      </c>
      <c r="AF334" s="1760">
        <v>180</v>
      </c>
      <c r="AG334" s="1759"/>
      <c r="AH334" s="1729">
        <v>135</v>
      </c>
      <c r="AI334" s="1760">
        <v>135</v>
      </c>
      <c r="AJ334" s="2009"/>
      <c r="AK334" s="2010">
        <v>90</v>
      </c>
      <c r="AL334" s="2011">
        <v>110</v>
      </c>
      <c r="AM334" s="1871">
        <v>45</v>
      </c>
      <c r="AN334" s="1763" t="s">
        <v>714</v>
      </c>
      <c r="AO334" s="156"/>
      <c r="AP334" s="156"/>
      <c r="AZ334" s="3"/>
      <c r="BF334" s="3"/>
      <c r="BI334" s="3"/>
      <c r="BL334" s="3"/>
      <c r="CA334" s="394"/>
    </row>
    <row r="335" spans="1:79" ht="21.75" customHeight="1">
      <c r="A335" s="156"/>
      <c r="B335" s="156"/>
      <c r="C335" s="1758" t="s">
        <v>48</v>
      </c>
      <c r="D335" s="1759" t="s">
        <v>714</v>
      </c>
      <c r="E335" s="1729"/>
      <c r="F335" s="1760" t="s">
        <v>1764</v>
      </c>
      <c r="G335" s="1993" t="s">
        <v>49</v>
      </c>
      <c r="H335" s="1994">
        <v>150</v>
      </c>
      <c r="I335" s="1995"/>
      <c r="J335" s="1759" t="s">
        <v>50</v>
      </c>
      <c r="K335" s="1729">
        <v>175</v>
      </c>
      <c r="L335" s="1760"/>
      <c r="M335" s="1"/>
      <c r="N335" s="1"/>
      <c r="O335" s="1"/>
      <c r="P335" s="1"/>
      <c r="Q335" s="1"/>
      <c r="R335" s="1"/>
      <c r="S335" s="1762"/>
      <c r="T335" s="1729">
        <v>90</v>
      </c>
      <c r="U335" s="1761">
        <v>90</v>
      </c>
      <c r="V335" s="1759"/>
      <c r="W335" s="1729">
        <v>70</v>
      </c>
      <c r="X335" s="1760">
        <v>70</v>
      </c>
      <c r="Y335" s="2009"/>
      <c r="Z335" s="2010">
        <v>45</v>
      </c>
      <c r="AA335" s="2011">
        <v>55</v>
      </c>
      <c r="AB335" s="1871">
        <v>25</v>
      </c>
      <c r="AC335" s="1737" t="s">
        <v>714</v>
      </c>
      <c r="AD335" s="1762"/>
      <c r="AE335" s="1729">
        <v>320</v>
      </c>
      <c r="AF335" s="1760">
        <v>320</v>
      </c>
      <c r="AG335" s="1759"/>
      <c r="AH335" s="1729">
        <v>240</v>
      </c>
      <c r="AI335" s="1760">
        <v>240</v>
      </c>
      <c r="AJ335" s="2009"/>
      <c r="AK335" s="2010">
        <v>160</v>
      </c>
      <c r="AL335" s="2011">
        <v>200</v>
      </c>
      <c r="AM335" s="1871">
        <v>80</v>
      </c>
      <c r="AN335" s="1763" t="s">
        <v>714</v>
      </c>
      <c r="AO335" s="156"/>
      <c r="AP335" s="156"/>
      <c r="AZ335" s="3"/>
      <c r="BF335" s="3"/>
      <c r="BI335" s="3"/>
      <c r="BL335" s="3"/>
      <c r="CA335" s="394"/>
    </row>
    <row r="336" spans="1:79" ht="21.75" customHeight="1">
      <c r="A336" s="156"/>
      <c r="B336" s="156"/>
      <c r="C336" s="1758" t="s">
        <v>51</v>
      </c>
      <c r="D336" s="1759" t="s">
        <v>714</v>
      </c>
      <c r="E336" s="1729"/>
      <c r="F336" s="1760" t="s">
        <v>1764</v>
      </c>
      <c r="G336" s="1993" t="s">
        <v>1879</v>
      </c>
      <c r="H336" s="1994">
        <v>70</v>
      </c>
      <c r="I336" s="1995"/>
      <c r="J336" s="1759" t="s">
        <v>1571</v>
      </c>
      <c r="K336" s="1729">
        <v>110</v>
      </c>
      <c r="L336" s="1760"/>
      <c r="M336" s="1"/>
      <c r="N336" s="1"/>
      <c r="O336" s="1"/>
      <c r="P336" s="1"/>
      <c r="Q336" s="1"/>
      <c r="R336" s="1"/>
      <c r="S336" s="1762"/>
      <c r="T336" s="1729">
        <v>50</v>
      </c>
      <c r="U336" s="1761">
        <v>50</v>
      </c>
      <c r="V336" s="1759"/>
      <c r="W336" s="1729">
        <v>40</v>
      </c>
      <c r="X336" s="1760">
        <v>40</v>
      </c>
      <c r="Y336" s="2009"/>
      <c r="Z336" s="2010">
        <v>25</v>
      </c>
      <c r="AA336" s="2011">
        <v>30</v>
      </c>
      <c r="AB336" s="1871">
        <v>15</v>
      </c>
      <c r="AC336" s="1737" t="s">
        <v>714</v>
      </c>
      <c r="AD336" s="1762"/>
      <c r="AE336" s="1729">
        <v>150</v>
      </c>
      <c r="AF336" s="1760">
        <v>150</v>
      </c>
      <c r="AG336" s="1759"/>
      <c r="AH336" s="1729">
        <v>115</v>
      </c>
      <c r="AI336" s="1760">
        <v>115</v>
      </c>
      <c r="AJ336" s="2009"/>
      <c r="AK336" s="2010">
        <v>75</v>
      </c>
      <c r="AL336" s="2011">
        <v>100</v>
      </c>
      <c r="AM336" s="1871">
        <v>40</v>
      </c>
      <c r="AN336" s="1763" t="s">
        <v>714</v>
      </c>
      <c r="AO336" s="156"/>
      <c r="AP336" s="156"/>
      <c r="AZ336" s="3"/>
      <c r="BF336" s="3"/>
      <c r="BI336" s="3"/>
      <c r="BL336" s="3"/>
      <c r="CA336" s="394"/>
    </row>
    <row r="337" spans="1:79" ht="21.75" customHeight="1">
      <c r="A337" s="156"/>
      <c r="B337" s="156"/>
      <c r="C337" s="1758" t="s">
        <v>52</v>
      </c>
      <c r="D337" s="1759" t="s">
        <v>714</v>
      </c>
      <c r="E337" s="1729"/>
      <c r="F337" s="1760" t="s">
        <v>1764</v>
      </c>
      <c r="G337" s="1993" t="s">
        <v>1959</v>
      </c>
      <c r="H337" s="1994">
        <v>70</v>
      </c>
      <c r="I337" s="1995"/>
      <c r="J337" s="1759" t="s">
        <v>1768</v>
      </c>
      <c r="K337" s="1729">
        <v>110</v>
      </c>
      <c r="L337" s="1760"/>
      <c r="M337" s="1"/>
      <c r="N337" s="1"/>
      <c r="O337" s="1"/>
      <c r="P337" s="1"/>
      <c r="Q337" s="1"/>
      <c r="R337" s="1"/>
      <c r="S337" s="1762"/>
      <c r="T337" s="1729">
        <v>50</v>
      </c>
      <c r="U337" s="1761">
        <v>50</v>
      </c>
      <c r="V337" s="1759"/>
      <c r="W337" s="1729">
        <v>40</v>
      </c>
      <c r="X337" s="1760">
        <v>40</v>
      </c>
      <c r="Y337" s="2009"/>
      <c r="Z337" s="2010">
        <v>25</v>
      </c>
      <c r="AA337" s="2011">
        <v>30</v>
      </c>
      <c r="AB337" s="1871">
        <v>15</v>
      </c>
      <c r="AC337" s="1737" t="s">
        <v>714</v>
      </c>
      <c r="AD337" s="1762"/>
      <c r="AE337" s="1729">
        <v>150</v>
      </c>
      <c r="AF337" s="1760">
        <v>150</v>
      </c>
      <c r="AG337" s="1759"/>
      <c r="AH337" s="1729">
        <v>115</v>
      </c>
      <c r="AI337" s="1760">
        <v>115</v>
      </c>
      <c r="AJ337" s="2009"/>
      <c r="AK337" s="2010">
        <v>75</v>
      </c>
      <c r="AL337" s="2011">
        <v>100</v>
      </c>
      <c r="AM337" s="1871">
        <v>40</v>
      </c>
      <c r="AN337" s="1763" t="s">
        <v>714</v>
      </c>
      <c r="AO337" s="156"/>
      <c r="AP337" s="156"/>
      <c r="AZ337" s="3"/>
      <c r="BF337" s="3"/>
      <c r="BI337" s="3"/>
      <c r="BL337" s="3"/>
      <c r="CA337" s="394"/>
    </row>
    <row r="338" spans="1:79" ht="21.75" customHeight="1">
      <c r="A338" s="156"/>
      <c r="B338" s="156"/>
      <c r="C338" s="1758" t="s">
        <v>1960</v>
      </c>
      <c r="D338" s="1759" t="s">
        <v>714</v>
      </c>
      <c r="E338" s="1729"/>
      <c r="F338" s="1760" t="s">
        <v>1764</v>
      </c>
      <c r="G338" s="1993" t="s">
        <v>1757</v>
      </c>
      <c r="H338" s="1994">
        <v>70</v>
      </c>
      <c r="I338" s="1995"/>
      <c r="J338" s="1759" t="s">
        <v>1769</v>
      </c>
      <c r="K338" s="1729">
        <v>110</v>
      </c>
      <c r="L338" s="1760"/>
      <c r="M338" s="1"/>
      <c r="N338" s="1"/>
      <c r="O338" s="1"/>
      <c r="P338" s="1"/>
      <c r="Q338" s="1"/>
      <c r="R338" s="1"/>
      <c r="S338" s="1762"/>
      <c r="T338" s="1729">
        <v>50</v>
      </c>
      <c r="U338" s="1761">
        <v>50</v>
      </c>
      <c r="V338" s="1759"/>
      <c r="W338" s="1729">
        <v>40</v>
      </c>
      <c r="X338" s="1760">
        <v>40</v>
      </c>
      <c r="Y338" s="2009"/>
      <c r="Z338" s="2010">
        <v>25</v>
      </c>
      <c r="AA338" s="2011">
        <v>30</v>
      </c>
      <c r="AB338" s="1871">
        <v>15</v>
      </c>
      <c r="AC338" s="1737" t="s">
        <v>714</v>
      </c>
      <c r="AD338" s="1762"/>
      <c r="AE338" s="1729">
        <v>150</v>
      </c>
      <c r="AF338" s="1760">
        <v>150</v>
      </c>
      <c r="AG338" s="1759"/>
      <c r="AH338" s="1729">
        <v>115</v>
      </c>
      <c r="AI338" s="1760">
        <v>115</v>
      </c>
      <c r="AJ338" s="2009"/>
      <c r="AK338" s="2010">
        <v>75</v>
      </c>
      <c r="AL338" s="2011">
        <v>100</v>
      </c>
      <c r="AM338" s="1871">
        <v>40</v>
      </c>
      <c r="AN338" s="1763" t="s">
        <v>714</v>
      </c>
      <c r="AO338" s="156"/>
      <c r="AP338" s="156"/>
      <c r="AZ338" s="3"/>
      <c r="BF338" s="3"/>
      <c r="BI338" s="3"/>
      <c r="BL338" s="3"/>
      <c r="CA338" s="394"/>
    </row>
    <row r="339" spans="1:79" ht="21.75" customHeight="1">
      <c r="A339" s="156"/>
      <c r="B339" s="156"/>
      <c r="C339" s="1758" t="s">
        <v>53</v>
      </c>
      <c r="D339" s="1759" t="s">
        <v>714</v>
      </c>
      <c r="E339" s="1729"/>
      <c r="F339" s="1760" t="s">
        <v>1764</v>
      </c>
      <c r="G339" s="1993" t="s">
        <v>1961</v>
      </c>
      <c r="H339" s="1994">
        <v>70</v>
      </c>
      <c r="I339" s="1995"/>
      <c r="J339" s="1759" t="s">
        <v>1878</v>
      </c>
      <c r="K339" s="1729">
        <v>100</v>
      </c>
      <c r="L339" s="1760"/>
      <c r="M339" s="1"/>
      <c r="N339" s="1"/>
      <c r="O339" s="1"/>
      <c r="P339" s="1"/>
      <c r="Q339" s="1"/>
      <c r="R339" s="1"/>
      <c r="S339" s="1762"/>
      <c r="T339" s="1729">
        <v>70</v>
      </c>
      <c r="U339" s="1761">
        <v>70</v>
      </c>
      <c r="V339" s="1759"/>
      <c r="W339" s="1729">
        <v>55</v>
      </c>
      <c r="X339" s="1760">
        <v>55</v>
      </c>
      <c r="Y339" s="2009"/>
      <c r="Z339" s="2010">
        <v>35</v>
      </c>
      <c r="AA339" s="2011">
        <v>35</v>
      </c>
      <c r="AB339" s="1871">
        <v>20</v>
      </c>
      <c r="AC339" s="1737" t="s">
        <v>714</v>
      </c>
      <c r="AD339" s="1762"/>
      <c r="AE339" s="1729">
        <v>240</v>
      </c>
      <c r="AF339" s="1760">
        <v>240</v>
      </c>
      <c r="AG339" s="1759"/>
      <c r="AH339" s="1729">
        <v>180</v>
      </c>
      <c r="AI339" s="1760">
        <v>180</v>
      </c>
      <c r="AJ339" s="2009"/>
      <c r="AK339" s="2010">
        <v>120</v>
      </c>
      <c r="AL339" s="2011">
        <v>120</v>
      </c>
      <c r="AM339" s="1871">
        <v>60</v>
      </c>
      <c r="AN339" s="1763" t="s">
        <v>714</v>
      </c>
      <c r="AO339" s="156"/>
      <c r="AP339" s="156"/>
      <c r="AZ339" s="3"/>
      <c r="BF339" s="3"/>
      <c r="BI339" s="3"/>
      <c r="BL339" s="3"/>
      <c r="CA339" s="394"/>
    </row>
    <row r="340" spans="1:79" ht="21.75" customHeight="1">
      <c r="A340" s="156"/>
      <c r="B340" s="156"/>
      <c r="C340" s="1758" t="s">
        <v>1962</v>
      </c>
      <c r="D340" s="1759" t="s">
        <v>714</v>
      </c>
      <c r="E340" s="1729"/>
      <c r="F340" s="1760" t="s">
        <v>1764</v>
      </c>
      <c r="G340" s="1993" t="s">
        <v>1757</v>
      </c>
      <c r="H340" s="1994">
        <v>70</v>
      </c>
      <c r="I340" s="1995"/>
      <c r="J340" s="1759" t="s">
        <v>1769</v>
      </c>
      <c r="K340" s="1729">
        <v>110</v>
      </c>
      <c r="L340" s="1760"/>
      <c r="M340" s="1"/>
      <c r="N340" s="1"/>
      <c r="O340" s="1"/>
      <c r="P340" s="1"/>
      <c r="Q340" s="1"/>
      <c r="R340" s="1"/>
      <c r="S340" s="1762"/>
      <c r="T340" s="1729">
        <v>50</v>
      </c>
      <c r="U340" s="1761">
        <v>50</v>
      </c>
      <c r="V340" s="1759"/>
      <c r="W340" s="1729">
        <v>40</v>
      </c>
      <c r="X340" s="1760">
        <v>40</v>
      </c>
      <c r="Y340" s="2009"/>
      <c r="Z340" s="2010">
        <v>25</v>
      </c>
      <c r="AA340" s="2011">
        <v>30</v>
      </c>
      <c r="AB340" s="1871">
        <v>15</v>
      </c>
      <c r="AC340" s="1737" t="s">
        <v>714</v>
      </c>
      <c r="AD340" s="1762"/>
      <c r="AE340" s="1729">
        <v>150</v>
      </c>
      <c r="AF340" s="1760">
        <v>150</v>
      </c>
      <c r="AG340" s="1759"/>
      <c r="AH340" s="1729">
        <v>115</v>
      </c>
      <c r="AI340" s="1760">
        <v>115</v>
      </c>
      <c r="AJ340" s="2009"/>
      <c r="AK340" s="2010">
        <v>75</v>
      </c>
      <c r="AL340" s="2011">
        <v>100</v>
      </c>
      <c r="AM340" s="1871">
        <v>40</v>
      </c>
      <c r="AN340" s="1763" t="s">
        <v>714</v>
      </c>
      <c r="AO340" s="156"/>
      <c r="AP340" s="156"/>
      <c r="AZ340" s="3"/>
      <c r="BF340" s="3"/>
      <c r="BI340" s="3"/>
      <c r="BL340" s="3"/>
      <c r="CA340" s="394"/>
    </row>
    <row r="341" spans="1:79" ht="21.75" customHeight="1">
      <c r="A341" s="156"/>
      <c r="B341" s="156"/>
      <c r="C341" s="1758" t="s">
        <v>1963</v>
      </c>
      <c r="D341" s="1759" t="s">
        <v>714</v>
      </c>
      <c r="E341" s="1729"/>
      <c r="F341" s="1760" t="s">
        <v>1764</v>
      </c>
      <c r="G341" s="1993" t="s">
        <v>1757</v>
      </c>
      <c r="H341" s="1994">
        <v>70</v>
      </c>
      <c r="I341" s="1995"/>
      <c r="J341" s="1759" t="s">
        <v>1769</v>
      </c>
      <c r="K341" s="1729">
        <v>110</v>
      </c>
      <c r="L341" s="1760"/>
      <c r="M341" s="1"/>
      <c r="N341" s="1"/>
      <c r="O341" s="1"/>
      <c r="P341" s="1"/>
      <c r="Q341" s="1"/>
      <c r="R341" s="1"/>
      <c r="S341" s="1762"/>
      <c r="T341" s="1729">
        <v>50</v>
      </c>
      <c r="U341" s="1761">
        <v>50</v>
      </c>
      <c r="V341" s="1759"/>
      <c r="W341" s="1729">
        <v>40</v>
      </c>
      <c r="X341" s="1760">
        <v>40</v>
      </c>
      <c r="Y341" s="2009"/>
      <c r="Z341" s="2010">
        <v>25</v>
      </c>
      <c r="AA341" s="2011">
        <v>30</v>
      </c>
      <c r="AB341" s="1871">
        <v>15</v>
      </c>
      <c r="AC341" s="1737" t="s">
        <v>714</v>
      </c>
      <c r="AD341" s="1762"/>
      <c r="AE341" s="1729">
        <v>150</v>
      </c>
      <c r="AF341" s="1760">
        <v>150</v>
      </c>
      <c r="AG341" s="1759"/>
      <c r="AH341" s="1729">
        <v>115</v>
      </c>
      <c r="AI341" s="1760">
        <v>115</v>
      </c>
      <c r="AJ341" s="2009"/>
      <c r="AK341" s="2010">
        <v>75</v>
      </c>
      <c r="AL341" s="2011">
        <v>100</v>
      </c>
      <c r="AM341" s="1871">
        <v>40</v>
      </c>
      <c r="AN341" s="1763" t="s">
        <v>714</v>
      </c>
      <c r="AO341" s="156"/>
      <c r="AP341" s="156"/>
      <c r="AZ341" s="3"/>
      <c r="BF341" s="3"/>
      <c r="BI341" s="3"/>
      <c r="BL341" s="3"/>
    </row>
    <row r="342" spans="1:79" ht="20.25" customHeight="1">
      <c r="A342" s="156"/>
      <c r="B342" s="156"/>
      <c r="C342" s="1758" t="s">
        <v>54</v>
      </c>
      <c r="D342" s="1759" t="s">
        <v>714</v>
      </c>
      <c r="E342" s="1729"/>
      <c r="F342" s="1760" t="s">
        <v>1764</v>
      </c>
      <c r="G342" s="1993" t="s">
        <v>1958</v>
      </c>
      <c r="H342" s="1994">
        <v>90</v>
      </c>
      <c r="I342" s="1995"/>
      <c r="J342" s="1759" t="s">
        <v>1404</v>
      </c>
      <c r="K342" s="1729">
        <v>120</v>
      </c>
      <c r="L342" s="1760"/>
      <c r="M342" s="1"/>
      <c r="N342" s="1"/>
      <c r="O342" s="1"/>
      <c r="P342" s="1"/>
      <c r="Q342" s="1"/>
      <c r="R342" s="1"/>
      <c r="S342" s="1762"/>
      <c r="T342" s="1729">
        <v>50</v>
      </c>
      <c r="U342" s="1761">
        <v>50</v>
      </c>
      <c r="V342" s="1759"/>
      <c r="W342" s="1729">
        <v>40</v>
      </c>
      <c r="X342" s="1760">
        <v>40</v>
      </c>
      <c r="Y342" s="2009"/>
      <c r="Z342" s="2010">
        <v>25</v>
      </c>
      <c r="AA342" s="2011">
        <v>35</v>
      </c>
      <c r="AB342" s="1871">
        <v>15</v>
      </c>
      <c r="AC342" s="1737" t="s">
        <v>714</v>
      </c>
      <c r="AD342" s="1762"/>
      <c r="AE342" s="1729">
        <v>130</v>
      </c>
      <c r="AF342" s="1760">
        <v>130</v>
      </c>
      <c r="AG342" s="1759"/>
      <c r="AH342" s="1729">
        <v>100</v>
      </c>
      <c r="AI342" s="1760">
        <v>100</v>
      </c>
      <c r="AJ342" s="2009"/>
      <c r="AK342" s="2010">
        <v>65</v>
      </c>
      <c r="AL342" s="2011">
        <v>75</v>
      </c>
      <c r="AM342" s="1871">
        <v>35</v>
      </c>
      <c r="AN342" s="1763" t="s">
        <v>714</v>
      </c>
      <c r="AO342" s="156"/>
      <c r="AP342" s="156"/>
      <c r="AZ342" s="3"/>
      <c r="BF342" s="3"/>
      <c r="BI342" s="3"/>
      <c r="BL342" s="3"/>
    </row>
    <row r="343" spans="1:79" ht="21.75" customHeight="1">
      <c r="A343" s="156"/>
      <c r="B343" s="156"/>
      <c r="C343" s="1758" t="s">
        <v>1964</v>
      </c>
      <c r="D343" s="1759" t="s">
        <v>714</v>
      </c>
      <c r="E343" s="1729"/>
      <c r="F343" s="1760" t="s">
        <v>1764</v>
      </c>
      <c r="G343" s="1993" t="s">
        <v>1961</v>
      </c>
      <c r="H343" s="1994">
        <v>70</v>
      </c>
      <c r="I343" s="1995"/>
      <c r="J343" s="1759" t="s">
        <v>1878</v>
      </c>
      <c r="K343" s="1729">
        <v>100</v>
      </c>
      <c r="L343" s="1760"/>
      <c r="M343" s="1"/>
      <c r="N343" s="1"/>
      <c r="O343" s="1"/>
      <c r="P343" s="1"/>
      <c r="Q343" s="1"/>
      <c r="R343" s="1"/>
      <c r="S343" s="1762"/>
      <c r="T343" s="1729">
        <v>50</v>
      </c>
      <c r="U343" s="1761">
        <v>50</v>
      </c>
      <c r="V343" s="1759"/>
      <c r="W343" s="1729">
        <v>40</v>
      </c>
      <c r="X343" s="1760">
        <v>40</v>
      </c>
      <c r="Y343" s="2009"/>
      <c r="Z343" s="2010">
        <v>25</v>
      </c>
      <c r="AA343" s="2011">
        <v>35</v>
      </c>
      <c r="AB343" s="1871">
        <v>15</v>
      </c>
      <c r="AC343" s="1737" t="s">
        <v>714</v>
      </c>
      <c r="AD343" s="1762"/>
      <c r="AE343" s="1729">
        <v>180</v>
      </c>
      <c r="AF343" s="1760">
        <v>180</v>
      </c>
      <c r="AG343" s="1759"/>
      <c r="AH343" s="1729">
        <v>135</v>
      </c>
      <c r="AI343" s="1760">
        <v>135</v>
      </c>
      <c r="AJ343" s="2009"/>
      <c r="AK343" s="2010">
        <v>90</v>
      </c>
      <c r="AL343" s="2011">
        <v>120</v>
      </c>
      <c r="AM343" s="1871">
        <v>45</v>
      </c>
      <c r="AN343" s="1763" t="s">
        <v>714</v>
      </c>
      <c r="AO343" s="156"/>
      <c r="AP343" s="156"/>
      <c r="AZ343" s="3"/>
      <c r="BF343" s="3"/>
      <c r="BI343" s="3"/>
      <c r="BL343" s="3"/>
    </row>
    <row r="344" spans="1:79" ht="21.75" customHeight="1">
      <c r="A344" s="156"/>
      <c r="B344" s="156"/>
      <c r="C344" s="1758" t="s">
        <v>55</v>
      </c>
      <c r="D344" s="1759" t="s">
        <v>714</v>
      </c>
      <c r="E344" s="1729"/>
      <c r="F344" s="1760" t="s">
        <v>1764</v>
      </c>
      <c r="G344" s="1993" t="s">
        <v>1879</v>
      </c>
      <c r="H344" s="1994">
        <v>90</v>
      </c>
      <c r="I344" s="1995"/>
      <c r="J344" s="1759" t="s">
        <v>1571</v>
      </c>
      <c r="K344" s="1729">
        <v>120</v>
      </c>
      <c r="L344" s="1760"/>
      <c r="M344" s="1"/>
      <c r="N344" s="1"/>
      <c r="O344" s="1"/>
      <c r="P344" s="1"/>
      <c r="Q344" s="1"/>
      <c r="R344" s="1"/>
      <c r="S344" s="1762"/>
      <c r="T344" s="1729">
        <v>110</v>
      </c>
      <c r="U344" s="1761">
        <v>110</v>
      </c>
      <c r="V344" s="1759"/>
      <c r="W344" s="1729">
        <v>85</v>
      </c>
      <c r="X344" s="1760">
        <v>85</v>
      </c>
      <c r="Y344" s="2009"/>
      <c r="Z344" s="2010">
        <v>55</v>
      </c>
      <c r="AA344" s="2011">
        <v>70</v>
      </c>
      <c r="AB344" s="1871">
        <v>30</v>
      </c>
      <c r="AC344" s="1737" t="s">
        <v>714</v>
      </c>
      <c r="AD344" s="1762"/>
      <c r="AE344" s="1729">
        <v>260</v>
      </c>
      <c r="AF344" s="1760">
        <v>260</v>
      </c>
      <c r="AG344" s="1759"/>
      <c r="AH344" s="1729">
        <v>195</v>
      </c>
      <c r="AI344" s="1760">
        <v>195</v>
      </c>
      <c r="AJ344" s="2009"/>
      <c r="AK344" s="2010">
        <v>130</v>
      </c>
      <c r="AL344" s="2011">
        <v>170</v>
      </c>
      <c r="AM344" s="1871">
        <v>65</v>
      </c>
      <c r="AN344" s="1763" t="s">
        <v>714</v>
      </c>
      <c r="AO344" s="156"/>
      <c r="AP344" s="156"/>
      <c r="AZ344" s="3"/>
      <c r="BF344" s="3"/>
      <c r="BI344" s="3"/>
      <c r="BL344" s="3"/>
    </row>
    <row r="345" spans="1:79" ht="21.75" customHeight="1">
      <c r="A345" s="156"/>
      <c r="B345" s="156"/>
      <c r="C345" s="1758" t="s">
        <v>2373</v>
      </c>
      <c r="D345" s="1759" t="s">
        <v>714</v>
      </c>
      <c r="E345" s="1729"/>
      <c r="F345" s="1760" t="s">
        <v>1764</v>
      </c>
      <c r="G345" s="1993" t="s">
        <v>1965</v>
      </c>
      <c r="H345" s="1994">
        <v>50</v>
      </c>
      <c r="I345" s="1995"/>
      <c r="J345" s="1759" t="s">
        <v>584</v>
      </c>
      <c r="K345" s="1729">
        <v>70</v>
      </c>
      <c r="L345" s="1760"/>
      <c r="M345" s="1"/>
      <c r="N345" s="1"/>
      <c r="O345" s="1"/>
      <c r="P345" s="1"/>
      <c r="Q345" s="1"/>
      <c r="R345" s="1"/>
      <c r="S345" s="1762"/>
      <c r="T345" s="1729">
        <v>60</v>
      </c>
      <c r="U345" s="1761">
        <v>60</v>
      </c>
      <c r="V345" s="1759"/>
      <c r="W345" s="1729">
        <v>45</v>
      </c>
      <c r="X345" s="1760">
        <v>45</v>
      </c>
      <c r="Y345" s="2009"/>
      <c r="Z345" s="2010">
        <v>30</v>
      </c>
      <c r="AA345" s="2011">
        <v>35</v>
      </c>
      <c r="AB345" s="1871">
        <v>15</v>
      </c>
      <c r="AC345" s="1737" t="s">
        <v>714</v>
      </c>
      <c r="AD345" s="1762"/>
      <c r="AE345" s="1729">
        <v>180</v>
      </c>
      <c r="AF345" s="1760">
        <v>180</v>
      </c>
      <c r="AG345" s="1759"/>
      <c r="AH345" s="1729">
        <v>135</v>
      </c>
      <c r="AI345" s="1760">
        <v>135</v>
      </c>
      <c r="AJ345" s="2009"/>
      <c r="AK345" s="2010">
        <v>90</v>
      </c>
      <c r="AL345" s="2011">
        <v>95</v>
      </c>
      <c r="AM345" s="1871">
        <v>45</v>
      </c>
      <c r="AN345" s="1763" t="s">
        <v>714</v>
      </c>
      <c r="AO345" s="156"/>
      <c r="AP345" s="156"/>
      <c r="AZ345" s="3"/>
      <c r="BF345" s="3"/>
      <c r="BI345" s="3"/>
      <c r="BL345" s="3"/>
    </row>
    <row r="346" spans="1:79" ht="21.75" customHeight="1">
      <c r="A346" s="156"/>
      <c r="B346" s="156"/>
      <c r="C346" s="1758" t="s">
        <v>56</v>
      </c>
      <c r="D346" s="1759" t="s">
        <v>714</v>
      </c>
      <c r="E346" s="1729"/>
      <c r="F346" s="1760" t="s">
        <v>1764</v>
      </c>
      <c r="G346" s="1993" t="s">
        <v>587</v>
      </c>
      <c r="H346" s="1994">
        <v>90</v>
      </c>
      <c r="I346" s="1995"/>
      <c r="J346" s="1759" t="s">
        <v>1404</v>
      </c>
      <c r="K346" s="1729">
        <v>120</v>
      </c>
      <c r="L346" s="1760"/>
      <c r="M346" s="1"/>
      <c r="N346" s="1"/>
      <c r="O346" s="1"/>
      <c r="P346" s="1"/>
      <c r="Q346" s="1"/>
      <c r="R346" s="1"/>
      <c r="S346" s="1762"/>
      <c r="T346" s="1729">
        <v>110</v>
      </c>
      <c r="U346" s="1761">
        <v>110</v>
      </c>
      <c r="V346" s="1759"/>
      <c r="W346" s="1729">
        <v>85</v>
      </c>
      <c r="X346" s="1760">
        <v>85</v>
      </c>
      <c r="Y346" s="2009"/>
      <c r="Z346" s="2010">
        <v>55</v>
      </c>
      <c r="AA346" s="2011">
        <v>70</v>
      </c>
      <c r="AB346" s="1871">
        <v>30</v>
      </c>
      <c r="AC346" s="1737" t="s">
        <v>714</v>
      </c>
      <c r="AD346" s="1762"/>
      <c r="AE346" s="1729">
        <v>260</v>
      </c>
      <c r="AF346" s="1760">
        <v>260</v>
      </c>
      <c r="AG346" s="1759"/>
      <c r="AH346" s="1729">
        <v>195</v>
      </c>
      <c r="AI346" s="1760">
        <v>195</v>
      </c>
      <c r="AJ346" s="2009"/>
      <c r="AK346" s="2010">
        <v>130</v>
      </c>
      <c r="AL346" s="2011">
        <v>170</v>
      </c>
      <c r="AM346" s="1871">
        <v>65</v>
      </c>
      <c r="AN346" s="1763" t="s">
        <v>714</v>
      </c>
      <c r="AO346" s="156"/>
      <c r="AP346" s="156"/>
      <c r="AZ346" s="3"/>
      <c r="BF346" s="3"/>
      <c r="BI346" s="3"/>
      <c r="BL346" s="3"/>
    </row>
    <row r="347" spans="1:79" ht="21.75" customHeight="1">
      <c r="A347" s="156"/>
      <c r="B347" s="156"/>
      <c r="C347" s="1758" t="s">
        <v>1966</v>
      </c>
      <c r="D347" s="1759" t="s">
        <v>714</v>
      </c>
      <c r="E347" s="1729"/>
      <c r="F347" s="1760" t="s">
        <v>1764</v>
      </c>
      <c r="G347" s="1993" t="s">
        <v>714</v>
      </c>
      <c r="H347" s="1994">
        <v>0</v>
      </c>
      <c r="I347" s="1995"/>
      <c r="J347" s="1759" t="s">
        <v>714</v>
      </c>
      <c r="K347" s="1729"/>
      <c r="L347" s="1760"/>
      <c r="M347" s="1"/>
      <c r="N347" s="1"/>
      <c r="O347" s="1"/>
      <c r="P347" s="1"/>
      <c r="Q347" s="1"/>
      <c r="R347" s="1"/>
      <c r="S347" s="1762"/>
      <c r="T347" s="1729">
        <v>0</v>
      </c>
      <c r="U347" s="1761">
        <v>0</v>
      </c>
      <c r="V347" s="1759"/>
      <c r="W347" s="1729">
        <v>0</v>
      </c>
      <c r="X347" s="1760">
        <v>0</v>
      </c>
      <c r="Y347" s="2009"/>
      <c r="Z347" s="2010">
        <v>0</v>
      </c>
      <c r="AA347" s="2011">
        <v>0</v>
      </c>
      <c r="AB347" s="1871">
        <v>0</v>
      </c>
      <c r="AC347" s="1737" t="s">
        <v>714</v>
      </c>
      <c r="AD347" s="1762"/>
      <c r="AE347" s="1729"/>
      <c r="AF347" s="1760"/>
      <c r="AG347" s="1759"/>
      <c r="AH347" s="1729"/>
      <c r="AI347" s="1760"/>
      <c r="AJ347" s="2009"/>
      <c r="AK347" s="2010"/>
      <c r="AL347" s="2011"/>
      <c r="AM347" s="1871"/>
      <c r="AN347" s="1763" t="s">
        <v>1764</v>
      </c>
      <c r="AO347" s="156"/>
      <c r="AP347" s="156"/>
      <c r="AZ347" s="3"/>
      <c r="BF347" s="3"/>
      <c r="BI347" s="3"/>
      <c r="BL347" s="3"/>
    </row>
    <row r="348" spans="1:79" ht="21.75" customHeight="1">
      <c r="A348" s="156"/>
      <c r="B348" s="156"/>
      <c r="C348" s="1758" t="s">
        <v>57</v>
      </c>
      <c r="D348" s="1759" t="s">
        <v>714</v>
      </c>
      <c r="E348" s="1729"/>
      <c r="F348" s="1760" t="s">
        <v>1764</v>
      </c>
      <c r="G348" s="1993" t="s">
        <v>1880</v>
      </c>
      <c r="H348" s="1994">
        <v>60</v>
      </c>
      <c r="I348" s="1995"/>
      <c r="J348" s="1759" t="s">
        <v>1583</v>
      </c>
      <c r="K348" s="1729">
        <v>90</v>
      </c>
      <c r="L348" s="1760"/>
      <c r="M348" s="1"/>
      <c r="N348" s="1"/>
      <c r="O348" s="1"/>
      <c r="P348" s="1"/>
      <c r="Q348" s="1"/>
      <c r="R348" s="1"/>
      <c r="S348" s="1762"/>
      <c r="T348" s="1729">
        <v>70</v>
      </c>
      <c r="U348" s="1761">
        <v>70</v>
      </c>
      <c r="V348" s="1759"/>
      <c r="W348" s="1729">
        <v>55</v>
      </c>
      <c r="X348" s="1760">
        <v>55</v>
      </c>
      <c r="Y348" s="2009"/>
      <c r="Z348" s="2010">
        <v>35</v>
      </c>
      <c r="AA348" s="2011">
        <v>45</v>
      </c>
      <c r="AB348" s="1871">
        <v>20</v>
      </c>
      <c r="AC348" s="1737" t="s">
        <v>714</v>
      </c>
      <c r="AD348" s="1762"/>
      <c r="AE348" s="1729">
        <v>170</v>
      </c>
      <c r="AF348" s="1760">
        <v>170</v>
      </c>
      <c r="AG348" s="1759"/>
      <c r="AH348" s="1729">
        <v>130</v>
      </c>
      <c r="AI348" s="1760">
        <v>130</v>
      </c>
      <c r="AJ348" s="2009"/>
      <c r="AK348" s="2010">
        <v>85</v>
      </c>
      <c r="AL348" s="2011">
        <v>115</v>
      </c>
      <c r="AM348" s="1871">
        <v>45</v>
      </c>
      <c r="AN348" s="1763" t="s">
        <v>714</v>
      </c>
      <c r="AO348" s="156"/>
      <c r="AP348" s="156"/>
      <c r="AZ348" s="3"/>
      <c r="BF348" s="3"/>
      <c r="BI348" s="3"/>
      <c r="BL348" s="3"/>
    </row>
    <row r="349" spans="1:79" ht="21.75" customHeight="1">
      <c r="A349" s="156"/>
      <c r="B349" s="156"/>
      <c r="C349" s="1758" t="s">
        <v>1967</v>
      </c>
      <c r="D349" s="1759" t="s">
        <v>714</v>
      </c>
      <c r="E349" s="1729"/>
      <c r="F349" s="1760" t="s">
        <v>1764</v>
      </c>
      <c r="G349" s="1993" t="s">
        <v>1961</v>
      </c>
      <c r="H349" s="1994">
        <v>70</v>
      </c>
      <c r="I349" s="1995"/>
      <c r="J349" s="1759" t="s">
        <v>1878</v>
      </c>
      <c r="K349" s="1729">
        <v>100</v>
      </c>
      <c r="L349" s="1760"/>
      <c r="M349" s="1"/>
      <c r="N349" s="1"/>
      <c r="O349" s="1"/>
      <c r="P349" s="1"/>
      <c r="Q349" s="1"/>
      <c r="R349" s="1"/>
      <c r="S349" s="1762"/>
      <c r="T349" s="1729">
        <v>50</v>
      </c>
      <c r="U349" s="1761">
        <v>50</v>
      </c>
      <c r="V349" s="1759"/>
      <c r="W349" s="1729">
        <v>40</v>
      </c>
      <c r="X349" s="1760">
        <v>40</v>
      </c>
      <c r="Y349" s="2009"/>
      <c r="Z349" s="2010">
        <v>25</v>
      </c>
      <c r="AA349" s="2011">
        <v>35</v>
      </c>
      <c r="AB349" s="1871">
        <v>15</v>
      </c>
      <c r="AC349" s="1737" t="s">
        <v>714</v>
      </c>
      <c r="AD349" s="1762"/>
      <c r="AE349" s="1729">
        <v>180</v>
      </c>
      <c r="AF349" s="1760">
        <v>180</v>
      </c>
      <c r="AG349" s="1759"/>
      <c r="AH349" s="1729">
        <v>135</v>
      </c>
      <c r="AI349" s="1760">
        <v>135</v>
      </c>
      <c r="AJ349" s="2009"/>
      <c r="AK349" s="2010">
        <v>90</v>
      </c>
      <c r="AL349" s="2011">
        <v>120</v>
      </c>
      <c r="AM349" s="1871">
        <v>45</v>
      </c>
      <c r="AN349" s="1763" t="s">
        <v>714</v>
      </c>
      <c r="AO349" s="156"/>
      <c r="AP349" s="156"/>
      <c r="AZ349" s="3"/>
      <c r="BF349" s="3"/>
      <c r="BI349" s="3"/>
      <c r="BL349" s="3"/>
    </row>
    <row r="350" spans="1:79" ht="21.75" customHeight="1">
      <c r="A350" s="156"/>
      <c r="B350" s="156"/>
      <c r="C350" s="1758" t="s">
        <v>1968</v>
      </c>
      <c r="D350" s="1759" t="s">
        <v>714</v>
      </c>
      <c r="E350" s="1729"/>
      <c r="F350" s="1760" t="s">
        <v>1764</v>
      </c>
      <c r="G350" s="1993" t="s">
        <v>1961</v>
      </c>
      <c r="H350" s="1994">
        <v>70</v>
      </c>
      <c r="I350" s="1995"/>
      <c r="J350" s="1759" t="s">
        <v>1878</v>
      </c>
      <c r="K350" s="1729">
        <v>100</v>
      </c>
      <c r="L350" s="1760"/>
      <c r="M350" s="1"/>
      <c r="N350" s="1"/>
      <c r="O350" s="1"/>
      <c r="P350" s="1"/>
      <c r="Q350" s="1"/>
      <c r="R350" s="1"/>
      <c r="S350" s="1762"/>
      <c r="T350" s="1729">
        <v>50</v>
      </c>
      <c r="U350" s="1761">
        <v>50</v>
      </c>
      <c r="V350" s="1759"/>
      <c r="W350" s="1729">
        <v>40</v>
      </c>
      <c r="X350" s="1760">
        <v>40</v>
      </c>
      <c r="Y350" s="2009"/>
      <c r="Z350" s="2010">
        <v>25</v>
      </c>
      <c r="AA350" s="2011">
        <v>35</v>
      </c>
      <c r="AB350" s="1871">
        <v>15</v>
      </c>
      <c r="AC350" s="1737" t="s">
        <v>714</v>
      </c>
      <c r="AD350" s="1762"/>
      <c r="AE350" s="1729">
        <v>180</v>
      </c>
      <c r="AF350" s="1760">
        <v>180</v>
      </c>
      <c r="AG350" s="1759"/>
      <c r="AH350" s="1729">
        <v>135</v>
      </c>
      <c r="AI350" s="1760">
        <v>135</v>
      </c>
      <c r="AJ350" s="2009"/>
      <c r="AK350" s="2010">
        <v>90</v>
      </c>
      <c r="AL350" s="2011">
        <v>120</v>
      </c>
      <c r="AM350" s="1871">
        <v>45</v>
      </c>
      <c r="AN350" s="1763" t="s">
        <v>714</v>
      </c>
      <c r="AO350" s="156"/>
      <c r="AP350" s="156"/>
      <c r="AZ350" s="3"/>
      <c r="BF350" s="3"/>
      <c r="BI350" s="3"/>
      <c r="BL350" s="3"/>
    </row>
    <row r="351" spans="1:79" ht="21.75" customHeight="1">
      <c r="A351" s="156"/>
      <c r="B351" s="156"/>
      <c r="C351" s="1758" t="s">
        <v>1969</v>
      </c>
      <c r="D351" s="1759" t="s">
        <v>714</v>
      </c>
      <c r="E351" s="1729"/>
      <c r="F351" s="1760" t="s">
        <v>1764</v>
      </c>
      <c r="G351" s="1993" t="s">
        <v>1879</v>
      </c>
      <c r="H351" s="1994">
        <v>70</v>
      </c>
      <c r="I351" s="1995"/>
      <c r="J351" s="1759" t="s">
        <v>1571</v>
      </c>
      <c r="K351" s="1729">
        <v>110</v>
      </c>
      <c r="L351" s="1760"/>
      <c r="M351" s="1"/>
      <c r="N351" s="1"/>
      <c r="O351" s="1"/>
      <c r="P351" s="1"/>
      <c r="Q351" s="1"/>
      <c r="R351" s="1"/>
      <c r="S351" s="1762"/>
      <c r="T351" s="1729">
        <v>50</v>
      </c>
      <c r="U351" s="1761">
        <v>50</v>
      </c>
      <c r="V351" s="1759"/>
      <c r="W351" s="1729">
        <v>40</v>
      </c>
      <c r="X351" s="1760">
        <v>40</v>
      </c>
      <c r="Y351" s="2009"/>
      <c r="Z351" s="2010">
        <v>25</v>
      </c>
      <c r="AA351" s="2011">
        <v>30</v>
      </c>
      <c r="AB351" s="1871">
        <v>15</v>
      </c>
      <c r="AC351" s="1737" t="s">
        <v>714</v>
      </c>
      <c r="AD351" s="1762"/>
      <c r="AE351" s="1729">
        <v>150</v>
      </c>
      <c r="AF351" s="1760">
        <v>150</v>
      </c>
      <c r="AG351" s="1759"/>
      <c r="AH351" s="1729">
        <v>115</v>
      </c>
      <c r="AI351" s="1760">
        <v>115</v>
      </c>
      <c r="AJ351" s="2009"/>
      <c r="AK351" s="2010">
        <v>75</v>
      </c>
      <c r="AL351" s="2011">
        <v>100</v>
      </c>
      <c r="AM351" s="1871">
        <v>40</v>
      </c>
      <c r="AN351" s="1763" t="s">
        <v>714</v>
      </c>
      <c r="AO351" s="156"/>
      <c r="AP351" s="156"/>
      <c r="AZ351" s="3"/>
      <c r="BF351" s="3"/>
      <c r="BI351" s="3"/>
      <c r="BL351" s="3"/>
    </row>
    <row r="352" spans="1:79" ht="21.75" customHeight="1">
      <c r="A352" s="156"/>
      <c r="B352" s="156"/>
      <c r="C352" s="1819" t="s">
        <v>1970</v>
      </c>
      <c r="D352" s="1820" t="s">
        <v>714</v>
      </c>
      <c r="E352" s="1821"/>
      <c r="F352" s="1822" t="s">
        <v>1764</v>
      </c>
      <c r="G352" s="2000" t="s">
        <v>1965</v>
      </c>
      <c r="H352" s="2001">
        <v>50</v>
      </c>
      <c r="I352" s="2002"/>
      <c r="J352" s="1820" t="s">
        <v>584</v>
      </c>
      <c r="K352" s="1821">
        <v>70</v>
      </c>
      <c r="L352" s="1822"/>
      <c r="M352" s="1"/>
      <c r="N352" s="1"/>
      <c r="O352" s="1"/>
      <c r="P352" s="1"/>
      <c r="Q352" s="1"/>
      <c r="R352" s="1"/>
      <c r="S352" s="1762"/>
      <c r="T352" s="1729">
        <v>60</v>
      </c>
      <c r="U352" s="1761">
        <v>60</v>
      </c>
      <c r="V352" s="1759"/>
      <c r="W352" s="1729">
        <v>45</v>
      </c>
      <c r="X352" s="1760">
        <v>45</v>
      </c>
      <c r="Y352" s="2025"/>
      <c r="Z352" s="2026">
        <v>30</v>
      </c>
      <c r="AA352" s="2027">
        <v>35</v>
      </c>
      <c r="AB352" s="1823">
        <v>15</v>
      </c>
      <c r="AC352" s="1873" t="s">
        <v>714</v>
      </c>
      <c r="AD352" s="1762"/>
      <c r="AE352" s="1729">
        <v>180</v>
      </c>
      <c r="AF352" s="1760">
        <v>180</v>
      </c>
      <c r="AG352" s="1759"/>
      <c r="AH352" s="1729">
        <v>135</v>
      </c>
      <c r="AI352" s="1760">
        <v>135</v>
      </c>
      <c r="AJ352" s="2009"/>
      <c r="AK352" s="2010">
        <v>90</v>
      </c>
      <c r="AL352" s="2011">
        <v>95</v>
      </c>
      <c r="AM352" s="1823">
        <v>45</v>
      </c>
      <c r="AN352" s="1824" t="s">
        <v>714</v>
      </c>
      <c r="AO352" s="156"/>
      <c r="AP352" s="156"/>
      <c r="AZ352" s="3"/>
      <c r="BF352" s="3"/>
      <c r="BI352" s="3"/>
      <c r="BL352" s="3"/>
    </row>
    <row r="353" spans="1:64" ht="21.75" customHeight="1" thickBot="1">
      <c r="A353" s="156"/>
      <c r="B353" s="156"/>
      <c r="C353" s="1771" t="s">
        <v>1971</v>
      </c>
      <c r="D353" s="1730" t="s">
        <v>714</v>
      </c>
      <c r="E353" s="1731"/>
      <c r="F353" s="1732" t="s">
        <v>1764</v>
      </c>
      <c r="G353" s="1997" t="s">
        <v>1757</v>
      </c>
      <c r="H353" s="1998">
        <v>70</v>
      </c>
      <c r="I353" s="1999"/>
      <c r="J353" s="1730" t="s">
        <v>1769</v>
      </c>
      <c r="K353" s="1731">
        <v>110</v>
      </c>
      <c r="L353" s="1732"/>
      <c r="M353" s="1736"/>
      <c r="N353" s="1736"/>
      <c r="O353" s="1736"/>
      <c r="P353" s="1736"/>
      <c r="Q353" s="1736"/>
      <c r="R353" s="1736"/>
      <c r="S353" s="1773"/>
      <c r="T353" s="1731">
        <v>50</v>
      </c>
      <c r="U353" s="1772">
        <v>50</v>
      </c>
      <c r="V353" s="1730"/>
      <c r="W353" s="1731">
        <v>40</v>
      </c>
      <c r="X353" s="1732">
        <v>40</v>
      </c>
      <c r="Y353" s="2014"/>
      <c r="Z353" s="2015">
        <v>25</v>
      </c>
      <c r="AA353" s="2016">
        <v>30</v>
      </c>
      <c r="AB353" s="1774">
        <v>15</v>
      </c>
      <c r="AC353" s="1792" t="s">
        <v>714</v>
      </c>
      <c r="AD353" s="1773"/>
      <c r="AE353" s="1731">
        <v>200</v>
      </c>
      <c r="AF353" s="1732">
        <v>200</v>
      </c>
      <c r="AG353" s="1730"/>
      <c r="AH353" s="1731">
        <v>150</v>
      </c>
      <c r="AI353" s="1732">
        <v>150</v>
      </c>
      <c r="AJ353" s="2014"/>
      <c r="AK353" s="2015">
        <v>100</v>
      </c>
      <c r="AL353" s="2016">
        <v>100</v>
      </c>
      <c r="AM353" s="1774">
        <v>50</v>
      </c>
      <c r="AN353" s="1775" t="s">
        <v>714</v>
      </c>
      <c r="AO353" s="156"/>
      <c r="AP353" s="156"/>
      <c r="AZ353" s="3"/>
      <c r="BF353" s="3"/>
      <c r="BI353" s="3"/>
      <c r="BL353" s="3"/>
    </row>
    <row r="354" spans="1:64" ht="21.75" customHeight="1" thickBot="1">
      <c r="A354" s="156"/>
      <c r="B354" s="156"/>
      <c r="C354" s="2343" t="s">
        <v>115</v>
      </c>
      <c r="D354" s="2358"/>
      <c r="E354" s="2358"/>
      <c r="F354" s="2358"/>
      <c r="G354" s="2358"/>
      <c r="H354" s="2358"/>
      <c r="I354" s="2358"/>
      <c r="J354" s="2358"/>
      <c r="K354" s="2358"/>
      <c r="L354" s="2358"/>
      <c r="M354" s="2358"/>
      <c r="N354" s="2358"/>
      <c r="O354" s="2358"/>
      <c r="P354" s="2358"/>
      <c r="Q354" s="2358"/>
      <c r="R354" s="2358"/>
      <c r="S354" s="2358"/>
      <c r="T354" s="2358"/>
      <c r="U354" s="2358"/>
      <c r="V354" s="2358"/>
      <c r="W354" s="2358"/>
      <c r="X354" s="2358"/>
      <c r="Y354" s="2358"/>
      <c r="Z354" s="2358"/>
      <c r="AA354" s="2358"/>
      <c r="AB354" s="2358"/>
      <c r="AC354" s="2358"/>
      <c r="AD354" s="2358"/>
      <c r="AE354" s="2358"/>
      <c r="AF354" s="2358"/>
      <c r="AG354" s="2358"/>
      <c r="AH354" s="2358"/>
      <c r="AI354" s="2358"/>
      <c r="AJ354" s="2358"/>
      <c r="AK354" s="2358"/>
      <c r="AL354" s="2358"/>
      <c r="AM354" s="2358"/>
      <c r="AN354" s="2359"/>
      <c r="AO354" s="156"/>
      <c r="AP354" s="156"/>
      <c r="AZ354" s="3"/>
      <c r="BF354" s="3"/>
      <c r="BI354" s="3"/>
      <c r="BL354" s="3"/>
    </row>
    <row r="355" spans="1:64" ht="21.75" customHeight="1">
      <c r="A355" s="156"/>
      <c r="B355" s="156"/>
      <c r="C355" s="1754" t="s">
        <v>1972</v>
      </c>
      <c r="D355" s="1726" t="s">
        <v>714</v>
      </c>
      <c r="E355" s="1727">
        <v>5</v>
      </c>
      <c r="F355" s="1728" t="s">
        <v>1764</v>
      </c>
      <c r="G355" s="1987" t="s">
        <v>714</v>
      </c>
      <c r="H355" s="1988">
        <v>5</v>
      </c>
      <c r="I355" s="1989"/>
      <c r="J355" s="1726" t="s">
        <v>714</v>
      </c>
      <c r="K355" s="1727">
        <v>5</v>
      </c>
      <c r="L355" s="1728"/>
      <c r="M355" s="1690"/>
      <c r="N355" s="1690"/>
      <c r="O355" s="1690"/>
      <c r="P355" s="1690"/>
      <c r="Q355" s="1690"/>
      <c r="R355" s="1690"/>
      <c r="S355" s="1755">
        <v>10</v>
      </c>
      <c r="T355" s="1727">
        <v>10</v>
      </c>
      <c r="U355" s="1728">
        <v>10</v>
      </c>
      <c r="V355" s="1726">
        <v>5</v>
      </c>
      <c r="W355" s="1727">
        <v>5</v>
      </c>
      <c r="X355" s="1728">
        <v>5</v>
      </c>
      <c r="Y355" s="2006">
        <v>5</v>
      </c>
      <c r="Z355" s="2007">
        <v>5</v>
      </c>
      <c r="AA355" s="2008">
        <v>5</v>
      </c>
      <c r="AB355" s="1756">
        <v>5</v>
      </c>
      <c r="AC355" s="1789" t="s">
        <v>714</v>
      </c>
      <c r="AD355" s="1755">
        <v>10</v>
      </c>
      <c r="AE355" s="1727">
        <v>10</v>
      </c>
      <c r="AF355" s="1728">
        <v>10</v>
      </c>
      <c r="AG355" s="1726">
        <v>5</v>
      </c>
      <c r="AH355" s="1727">
        <v>5</v>
      </c>
      <c r="AI355" s="1728">
        <v>5</v>
      </c>
      <c r="AJ355" s="2006">
        <v>5</v>
      </c>
      <c r="AK355" s="2007">
        <v>5</v>
      </c>
      <c r="AL355" s="2008">
        <v>5</v>
      </c>
      <c r="AM355" s="1756">
        <v>5</v>
      </c>
      <c r="AN355" s="1757" t="s">
        <v>714</v>
      </c>
      <c r="AO355" s="156"/>
      <c r="AP355" s="156"/>
      <c r="AZ355" s="3"/>
      <c r="BF355" s="3"/>
      <c r="BI355" s="3"/>
      <c r="BL355" s="3"/>
    </row>
    <row r="356" spans="1:64" ht="21.75" customHeight="1">
      <c r="A356" s="156"/>
      <c r="B356" s="156"/>
      <c r="C356" s="1758" t="s">
        <v>1973</v>
      </c>
      <c r="D356" s="1759" t="s">
        <v>714</v>
      </c>
      <c r="E356" s="1729">
        <v>10</v>
      </c>
      <c r="F356" s="1760" t="s">
        <v>1764</v>
      </c>
      <c r="G356" s="1993" t="s">
        <v>714</v>
      </c>
      <c r="H356" s="1994">
        <v>10</v>
      </c>
      <c r="I356" s="1995"/>
      <c r="J356" s="1759" t="s">
        <v>714</v>
      </c>
      <c r="K356" s="1729">
        <v>10</v>
      </c>
      <c r="L356" s="1760"/>
      <c r="M356" s="1"/>
      <c r="N356" s="1"/>
      <c r="O356" s="1"/>
      <c r="P356" s="1"/>
      <c r="Q356" s="1"/>
      <c r="R356" s="1"/>
      <c r="S356" s="1762">
        <v>10</v>
      </c>
      <c r="T356" s="1729">
        <v>10</v>
      </c>
      <c r="U356" s="1760">
        <v>10</v>
      </c>
      <c r="V356" s="1759">
        <v>5</v>
      </c>
      <c r="W356" s="1729">
        <v>5</v>
      </c>
      <c r="X356" s="1760">
        <v>5</v>
      </c>
      <c r="Y356" s="2009">
        <v>5</v>
      </c>
      <c r="Z356" s="2010">
        <v>5</v>
      </c>
      <c r="AA356" s="2011">
        <v>5</v>
      </c>
      <c r="AB356" s="1871">
        <v>5</v>
      </c>
      <c r="AC356" s="1737" t="s">
        <v>714</v>
      </c>
      <c r="AD356" s="1762">
        <v>15</v>
      </c>
      <c r="AE356" s="1729">
        <v>15</v>
      </c>
      <c r="AF356" s="1760">
        <v>15</v>
      </c>
      <c r="AG356" s="1759">
        <v>15</v>
      </c>
      <c r="AH356" s="1729">
        <v>15</v>
      </c>
      <c r="AI356" s="1760">
        <v>15</v>
      </c>
      <c r="AJ356" s="2009">
        <v>10</v>
      </c>
      <c r="AK356" s="2010">
        <v>10</v>
      </c>
      <c r="AL356" s="2011">
        <v>10</v>
      </c>
      <c r="AM356" s="1871">
        <v>5</v>
      </c>
      <c r="AN356" s="1763" t="s">
        <v>714</v>
      </c>
      <c r="AO356" s="156"/>
      <c r="AP356" s="156"/>
      <c r="AZ356" s="3"/>
      <c r="BF356" s="3"/>
      <c r="BI356" s="3"/>
      <c r="BL356" s="3"/>
    </row>
    <row r="357" spans="1:64" ht="21.75" customHeight="1">
      <c r="A357" s="156"/>
      <c r="B357" s="156"/>
      <c r="C357" s="1758" t="s">
        <v>1974</v>
      </c>
      <c r="D357" s="1759" t="s">
        <v>714</v>
      </c>
      <c r="E357" s="1729">
        <v>20</v>
      </c>
      <c r="F357" s="1760" t="s">
        <v>1764</v>
      </c>
      <c r="G357" s="1993" t="s">
        <v>714</v>
      </c>
      <c r="H357" s="1994">
        <v>20</v>
      </c>
      <c r="I357" s="1995"/>
      <c r="J357" s="1759" t="s">
        <v>714</v>
      </c>
      <c r="K357" s="1729">
        <v>20</v>
      </c>
      <c r="L357" s="1760"/>
      <c r="M357" s="1"/>
      <c r="N357" s="1"/>
      <c r="O357" s="1"/>
      <c r="P357" s="1"/>
      <c r="Q357" s="1"/>
      <c r="R357" s="1"/>
      <c r="S357" s="1762">
        <v>15</v>
      </c>
      <c r="T357" s="1729">
        <v>15</v>
      </c>
      <c r="U357" s="1760">
        <v>15</v>
      </c>
      <c r="V357" s="1759">
        <v>15</v>
      </c>
      <c r="W357" s="1729">
        <v>15</v>
      </c>
      <c r="X357" s="1760">
        <v>15</v>
      </c>
      <c r="Y357" s="2009">
        <v>10</v>
      </c>
      <c r="Z357" s="2010">
        <v>10</v>
      </c>
      <c r="AA357" s="2011">
        <v>10</v>
      </c>
      <c r="AB357" s="1871">
        <v>5</v>
      </c>
      <c r="AC357" s="1737" t="s">
        <v>714</v>
      </c>
      <c r="AD357" s="1762">
        <v>25</v>
      </c>
      <c r="AE357" s="1729">
        <v>25</v>
      </c>
      <c r="AF357" s="1760">
        <v>25</v>
      </c>
      <c r="AG357" s="1759">
        <v>20</v>
      </c>
      <c r="AH357" s="1729">
        <v>20</v>
      </c>
      <c r="AI357" s="1760">
        <v>20</v>
      </c>
      <c r="AJ357" s="2009">
        <v>15</v>
      </c>
      <c r="AK357" s="2010">
        <v>15</v>
      </c>
      <c r="AL357" s="2011">
        <v>15</v>
      </c>
      <c r="AM357" s="1871">
        <v>10</v>
      </c>
      <c r="AN357" s="1763" t="s">
        <v>714</v>
      </c>
      <c r="AO357" s="156"/>
      <c r="AP357" s="156"/>
      <c r="AZ357" s="3"/>
      <c r="BF357" s="3"/>
      <c r="BI357" s="3"/>
      <c r="BL357" s="3"/>
    </row>
    <row r="358" spans="1:64" ht="29.25" customHeight="1">
      <c r="A358" s="156"/>
      <c r="B358" s="156"/>
      <c r="C358" s="1758" t="s">
        <v>1975</v>
      </c>
      <c r="D358" s="1759" t="s">
        <v>714</v>
      </c>
      <c r="E358" s="1729">
        <v>30</v>
      </c>
      <c r="F358" s="1760" t="s">
        <v>1764</v>
      </c>
      <c r="G358" s="1993" t="s">
        <v>714</v>
      </c>
      <c r="H358" s="1994">
        <v>30</v>
      </c>
      <c r="I358" s="1995"/>
      <c r="J358" s="1759" t="s">
        <v>714</v>
      </c>
      <c r="K358" s="1729">
        <v>30</v>
      </c>
      <c r="L358" s="1760"/>
      <c r="M358" s="1"/>
      <c r="N358" s="1"/>
      <c r="O358" s="1"/>
      <c r="P358" s="1"/>
      <c r="Q358" s="1"/>
      <c r="R358" s="1"/>
      <c r="S358" s="1762">
        <v>15</v>
      </c>
      <c r="T358" s="1729">
        <v>15</v>
      </c>
      <c r="U358" s="1760">
        <v>15</v>
      </c>
      <c r="V358" s="1759">
        <v>15</v>
      </c>
      <c r="W358" s="1729">
        <v>15</v>
      </c>
      <c r="X358" s="1760">
        <v>15</v>
      </c>
      <c r="Y358" s="2009">
        <v>10</v>
      </c>
      <c r="Z358" s="2010">
        <v>10</v>
      </c>
      <c r="AA358" s="2011">
        <v>10</v>
      </c>
      <c r="AB358" s="1871">
        <v>5</v>
      </c>
      <c r="AC358" s="1737" t="s">
        <v>714</v>
      </c>
      <c r="AD358" s="1762">
        <v>30</v>
      </c>
      <c r="AE358" s="1729">
        <v>30</v>
      </c>
      <c r="AF358" s="1760">
        <v>30</v>
      </c>
      <c r="AG358" s="1759">
        <v>25</v>
      </c>
      <c r="AH358" s="1729">
        <v>25</v>
      </c>
      <c r="AI358" s="1760">
        <v>25</v>
      </c>
      <c r="AJ358" s="2009">
        <v>20</v>
      </c>
      <c r="AK358" s="2010">
        <v>20</v>
      </c>
      <c r="AL358" s="2011">
        <v>20</v>
      </c>
      <c r="AM358" s="1871">
        <v>10</v>
      </c>
      <c r="AN358" s="1763" t="s">
        <v>714</v>
      </c>
      <c r="AO358" s="156"/>
      <c r="AP358" s="156"/>
      <c r="AZ358" s="3"/>
      <c r="BF358" s="3"/>
      <c r="BI358" s="3"/>
      <c r="BL358" s="3"/>
    </row>
    <row r="359" spans="1:64" ht="21.75" customHeight="1">
      <c r="A359" s="156"/>
      <c r="B359" s="156"/>
      <c r="C359" s="1758" t="s">
        <v>1976</v>
      </c>
      <c r="D359" s="1759" t="s">
        <v>714</v>
      </c>
      <c r="E359" s="1729">
        <v>50</v>
      </c>
      <c r="F359" s="1760" t="s">
        <v>1764</v>
      </c>
      <c r="G359" s="1993" t="s">
        <v>714</v>
      </c>
      <c r="H359" s="1994">
        <v>50</v>
      </c>
      <c r="I359" s="1995"/>
      <c r="J359" s="1759" t="s">
        <v>714</v>
      </c>
      <c r="K359" s="1729">
        <v>50</v>
      </c>
      <c r="L359" s="1760"/>
      <c r="M359" s="1"/>
      <c r="N359" s="1"/>
      <c r="O359" s="1"/>
      <c r="P359" s="1"/>
      <c r="Q359" s="1"/>
      <c r="R359" s="1"/>
      <c r="S359" s="1762">
        <v>30</v>
      </c>
      <c r="T359" s="1729">
        <v>30</v>
      </c>
      <c r="U359" s="1760">
        <v>30</v>
      </c>
      <c r="V359" s="1759">
        <v>25</v>
      </c>
      <c r="W359" s="1729">
        <v>25</v>
      </c>
      <c r="X359" s="1760">
        <v>25</v>
      </c>
      <c r="Y359" s="2009">
        <v>20</v>
      </c>
      <c r="Z359" s="2010">
        <v>20</v>
      </c>
      <c r="AA359" s="2011">
        <v>20</v>
      </c>
      <c r="AB359" s="1871">
        <v>10</v>
      </c>
      <c r="AC359" s="1737" t="s">
        <v>714</v>
      </c>
      <c r="AD359" s="1762">
        <v>45</v>
      </c>
      <c r="AE359" s="1729">
        <v>45</v>
      </c>
      <c r="AF359" s="1760">
        <v>45</v>
      </c>
      <c r="AG359" s="1759">
        <v>40</v>
      </c>
      <c r="AH359" s="1729">
        <v>40</v>
      </c>
      <c r="AI359" s="1760">
        <v>40</v>
      </c>
      <c r="AJ359" s="2009">
        <v>30</v>
      </c>
      <c r="AK359" s="2010">
        <v>30</v>
      </c>
      <c r="AL359" s="2011">
        <v>30</v>
      </c>
      <c r="AM359" s="1871">
        <v>15</v>
      </c>
      <c r="AN359" s="1763" t="s">
        <v>714</v>
      </c>
      <c r="AO359" s="156"/>
      <c r="AP359" s="156"/>
      <c r="AZ359" s="3"/>
      <c r="BF359" s="3"/>
      <c r="BI359" s="3"/>
      <c r="BL359" s="3"/>
    </row>
    <row r="360" spans="1:64" ht="21.75" customHeight="1">
      <c r="A360" s="156"/>
      <c r="B360" s="156"/>
      <c r="C360" s="1758" t="s">
        <v>1977</v>
      </c>
      <c r="D360" s="1759" t="s">
        <v>714</v>
      </c>
      <c r="E360" s="1729">
        <v>70</v>
      </c>
      <c r="F360" s="1760" t="s">
        <v>1764</v>
      </c>
      <c r="G360" s="1993" t="s">
        <v>714</v>
      </c>
      <c r="H360" s="1994">
        <v>70</v>
      </c>
      <c r="I360" s="1995"/>
      <c r="J360" s="1759" t="s">
        <v>714</v>
      </c>
      <c r="K360" s="1729">
        <v>70</v>
      </c>
      <c r="L360" s="1760"/>
      <c r="M360" s="1"/>
      <c r="N360" s="1"/>
      <c r="O360" s="1"/>
      <c r="P360" s="1"/>
      <c r="Q360" s="1"/>
      <c r="R360" s="1"/>
      <c r="S360" s="1762">
        <v>30</v>
      </c>
      <c r="T360" s="1729">
        <v>30</v>
      </c>
      <c r="U360" s="1760">
        <v>30</v>
      </c>
      <c r="V360" s="1759">
        <v>25</v>
      </c>
      <c r="W360" s="1729">
        <v>25</v>
      </c>
      <c r="X360" s="1760">
        <v>25</v>
      </c>
      <c r="Y360" s="2009">
        <v>20</v>
      </c>
      <c r="Z360" s="2010">
        <v>20</v>
      </c>
      <c r="AA360" s="2011">
        <v>20</v>
      </c>
      <c r="AB360" s="1871">
        <v>10</v>
      </c>
      <c r="AC360" s="1737" t="s">
        <v>714</v>
      </c>
      <c r="AD360" s="1762">
        <v>60</v>
      </c>
      <c r="AE360" s="1729">
        <v>60</v>
      </c>
      <c r="AF360" s="1760">
        <v>60</v>
      </c>
      <c r="AG360" s="1759">
        <v>50</v>
      </c>
      <c r="AH360" s="1729">
        <v>50</v>
      </c>
      <c r="AI360" s="1760">
        <v>50</v>
      </c>
      <c r="AJ360" s="2009">
        <v>40</v>
      </c>
      <c r="AK360" s="2010">
        <v>40</v>
      </c>
      <c r="AL360" s="2011">
        <v>40</v>
      </c>
      <c r="AM360" s="1871">
        <v>20</v>
      </c>
      <c r="AN360" s="1763" t="s">
        <v>714</v>
      </c>
      <c r="AO360" s="156"/>
      <c r="AP360" s="156"/>
      <c r="AZ360" s="3"/>
      <c r="BF360" s="3"/>
      <c r="BI360" s="3"/>
      <c r="BL360" s="3"/>
    </row>
    <row r="361" spans="1:64" ht="21.75" customHeight="1">
      <c r="A361" s="156"/>
      <c r="B361" s="156"/>
      <c r="C361" s="1758" t="s">
        <v>1978</v>
      </c>
      <c r="D361" s="1759" t="s">
        <v>714</v>
      </c>
      <c r="E361" s="1729">
        <v>80</v>
      </c>
      <c r="F361" s="1760" t="s">
        <v>1764</v>
      </c>
      <c r="G361" s="1993" t="s">
        <v>714</v>
      </c>
      <c r="H361" s="1994">
        <v>80</v>
      </c>
      <c r="I361" s="1995"/>
      <c r="J361" s="1759" t="s">
        <v>714</v>
      </c>
      <c r="K361" s="1729">
        <v>80</v>
      </c>
      <c r="L361" s="1760"/>
      <c r="M361" s="1"/>
      <c r="N361" s="1"/>
      <c r="O361" s="1"/>
      <c r="P361" s="1"/>
      <c r="Q361" s="1"/>
      <c r="R361" s="1"/>
      <c r="S361" s="1762">
        <v>45</v>
      </c>
      <c r="T361" s="1729">
        <v>45</v>
      </c>
      <c r="U361" s="1760">
        <v>45</v>
      </c>
      <c r="V361" s="1759">
        <v>40</v>
      </c>
      <c r="W361" s="1729">
        <v>40</v>
      </c>
      <c r="X361" s="1760">
        <v>40</v>
      </c>
      <c r="Y361" s="2009">
        <v>30</v>
      </c>
      <c r="Z361" s="2010">
        <v>30</v>
      </c>
      <c r="AA361" s="2011">
        <v>30</v>
      </c>
      <c r="AB361" s="1871">
        <v>15</v>
      </c>
      <c r="AC361" s="1737" t="s">
        <v>714</v>
      </c>
      <c r="AD361" s="1762">
        <v>75</v>
      </c>
      <c r="AE361" s="1729">
        <v>75</v>
      </c>
      <c r="AF361" s="1760">
        <v>75</v>
      </c>
      <c r="AG361" s="1759">
        <v>65</v>
      </c>
      <c r="AH361" s="1729">
        <v>65</v>
      </c>
      <c r="AI361" s="1760">
        <v>65</v>
      </c>
      <c r="AJ361" s="2009">
        <v>50</v>
      </c>
      <c r="AK361" s="2010">
        <v>50</v>
      </c>
      <c r="AL361" s="2011">
        <v>50</v>
      </c>
      <c r="AM361" s="1871">
        <v>25</v>
      </c>
      <c r="AN361" s="1763" t="s">
        <v>714</v>
      </c>
      <c r="AO361" s="156"/>
      <c r="AP361" s="156"/>
      <c r="AZ361" s="3"/>
      <c r="BF361" s="3"/>
      <c r="BI361" s="3"/>
      <c r="BL361" s="3"/>
    </row>
    <row r="362" spans="1:64" ht="21.75" customHeight="1">
      <c r="A362" s="156"/>
      <c r="B362" s="156"/>
      <c r="C362" s="1758" t="s">
        <v>1979</v>
      </c>
      <c r="D362" s="1759" t="s">
        <v>714</v>
      </c>
      <c r="E362" s="1729">
        <v>100</v>
      </c>
      <c r="F362" s="1760" t="s">
        <v>1764</v>
      </c>
      <c r="G362" s="1993" t="s">
        <v>714</v>
      </c>
      <c r="H362" s="1994">
        <v>100</v>
      </c>
      <c r="I362" s="1995"/>
      <c r="J362" s="1759" t="s">
        <v>714</v>
      </c>
      <c r="K362" s="1729">
        <v>100</v>
      </c>
      <c r="L362" s="1760"/>
      <c r="M362" s="1"/>
      <c r="N362" s="1"/>
      <c r="O362" s="1"/>
      <c r="P362" s="1"/>
      <c r="Q362" s="1"/>
      <c r="R362" s="1"/>
      <c r="S362" s="1762">
        <v>45</v>
      </c>
      <c r="T362" s="1729">
        <v>45</v>
      </c>
      <c r="U362" s="1760">
        <v>45</v>
      </c>
      <c r="V362" s="1759">
        <v>40</v>
      </c>
      <c r="W362" s="1729">
        <v>40</v>
      </c>
      <c r="X362" s="1760">
        <v>40</v>
      </c>
      <c r="Y362" s="2009">
        <v>30</v>
      </c>
      <c r="Z362" s="2010">
        <v>30</v>
      </c>
      <c r="AA362" s="2011">
        <v>30</v>
      </c>
      <c r="AB362" s="1871">
        <v>15</v>
      </c>
      <c r="AC362" s="1737" t="s">
        <v>714</v>
      </c>
      <c r="AD362" s="1762">
        <v>90</v>
      </c>
      <c r="AE362" s="1729">
        <v>90</v>
      </c>
      <c r="AF362" s="1760">
        <v>90</v>
      </c>
      <c r="AG362" s="1759">
        <v>75</v>
      </c>
      <c r="AH362" s="1729">
        <v>75</v>
      </c>
      <c r="AI362" s="1760">
        <v>75</v>
      </c>
      <c r="AJ362" s="2009">
        <v>60</v>
      </c>
      <c r="AK362" s="2010">
        <v>60</v>
      </c>
      <c r="AL362" s="2011">
        <v>60</v>
      </c>
      <c r="AM362" s="1871">
        <v>30</v>
      </c>
      <c r="AN362" s="1763" t="s">
        <v>714</v>
      </c>
      <c r="AO362" s="156"/>
      <c r="AP362" s="156"/>
      <c r="AZ362" s="3"/>
      <c r="BF362" s="3"/>
      <c r="BI362" s="3"/>
      <c r="BL362" s="3"/>
    </row>
    <row r="363" spans="1:64" ht="21.75" customHeight="1">
      <c r="A363" s="156"/>
      <c r="B363" s="156"/>
      <c r="C363" s="1758" t="s">
        <v>1980</v>
      </c>
      <c r="D363" s="1759" t="s">
        <v>714</v>
      </c>
      <c r="E363" s="1729">
        <v>140</v>
      </c>
      <c r="F363" s="1760" t="s">
        <v>1764</v>
      </c>
      <c r="G363" s="1993" t="s">
        <v>714</v>
      </c>
      <c r="H363" s="1994">
        <v>140</v>
      </c>
      <c r="I363" s="1995"/>
      <c r="J363" s="1759" t="s">
        <v>714</v>
      </c>
      <c r="K363" s="1729">
        <v>140</v>
      </c>
      <c r="L363" s="1760"/>
      <c r="M363" s="1"/>
      <c r="N363" s="1"/>
      <c r="O363" s="1"/>
      <c r="P363" s="1"/>
      <c r="Q363" s="1"/>
      <c r="R363" s="1"/>
      <c r="S363" s="1762">
        <v>75</v>
      </c>
      <c r="T363" s="1729">
        <v>75</v>
      </c>
      <c r="U363" s="1760">
        <v>75</v>
      </c>
      <c r="V363" s="1759">
        <v>65</v>
      </c>
      <c r="W363" s="1729">
        <v>65</v>
      </c>
      <c r="X363" s="1760">
        <v>65</v>
      </c>
      <c r="Y363" s="2009">
        <v>50</v>
      </c>
      <c r="Z363" s="2010">
        <v>50</v>
      </c>
      <c r="AA363" s="2011">
        <v>50</v>
      </c>
      <c r="AB363" s="1871">
        <v>25</v>
      </c>
      <c r="AC363" s="1737" t="s">
        <v>714</v>
      </c>
      <c r="AD363" s="1762">
        <v>135</v>
      </c>
      <c r="AE363" s="1729">
        <v>135</v>
      </c>
      <c r="AF363" s="1760">
        <v>135</v>
      </c>
      <c r="AG363" s="1759">
        <v>115</v>
      </c>
      <c r="AH363" s="1729">
        <v>115</v>
      </c>
      <c r="AI363" s="1760">
        <v>115</v>
      </c>
      <c r="AJ363" s="2009">
        <v>90</v>
      </c>
      <c r="AK363" s="2010">
        <v>90</v>
      </c>
      <c r="AL363" s="2011">
        <v>90</v>
      </c>
      <c r="AM363" s="1871">
        <v>45</v>
      </c>
      <c r="AN363" s="1763" t="s">
        <v>714</v>
      </c>
      <c r="AO363" s="156"/>
      <c r="AP363" s="156"/>
      <c r="AZ363" s="3"/>
      <c r="BF363" s="3"/>
      <c r="BI363" s="3"/>
      <c r="BL363" s="3"/>
    </row>
    <row r="364" spans="1:64" ht="21.75" customHeight="1">
      <c r="A364" s="156"/>
      <c r="B364" s="156"/>
      <c r="C364" s="1758" t="s">
        <v>1981</v>
      </c>
      <c r="D364" s="1759" t="s">
        <v>714</v>
      </c>
      <c r="E364" s="1729">
        <v>150</v>
      </c>
      <c r="F364" s="1760" t="s">
        <v>1764</v>
      </c>
      <c r="G364" s="1993" t="s">
        <v>714</v>
      </c>
      <c r="H364" s="1994">
        <v>150</v>
      </c>
      <c r="I364" s="1995"/>
      <c r="J364" s="1759" t="s">
        <v>714</v>
      </c>
      <c r="K364" s="1729">
        <v>150</v>
      </c>
      <c r="L364" s="1760"/>
      <c r="M364" s="1"/>
      <c r="N364" s="1"/>
      <c r="O364" s="1"/>
      <c r="P364" s="1"/>
      <c r="Q364" s="1"/>
      <c r="R364" s="1"/>
      <c r="S364" s="1762">
        <v>75</v>
      </c>
      <c r="T364" s="1729">
        <v>75</v>
      </c>
      <c r="U364" s="1760">
        <v>75</v>
      </c>
      <c r="V364" s="1759">
        <v>65</v>
      </c>
      <c r="W364" s="1729">
        <v>65</v>
      </c>
      <c r="X364" s="1760">
        <v>65</v>
      </c>
      <c r="Y364" s="2009">
        <v>50</v>
      </c>
      <c r="Z364" s="2010">
        <v>50</v>
      </c>
      <c r="AA364" s="2011">
        <v>50</v>
      </c>
      <c r="AB364" s="1871">
        <v>25</v>
      </c>
      <c r="AC364" s="1737" t="s">
        <v>714</v>
      </c>
      <c r="AD364" s="1762">
        <v>150</v>
      </c>
      <c r="AE364" s="1729">
        <v>150</v>
      </c>
      <c r="AF364" s="1760">
        <v>150</v>
      </c>
      <c r="AG364" s="1759">
        <v>125</v>
      </c>
      <c r="AH364" s="1729">
        <v>125</v>
      </c>
      <c r="AI364" s="1760">
        <v>125</v>
      </c>
      <c r="AJ364" s="2009">
        <v>100</v>
      </c>
      <c r="AK364" s="2010">
        <v>100</v>
      </c>
      <c r="AL364" s="2011">
        <v>100</v>
      </c>
      <c r="AM364" s="1871">
        <v>50</v>
      </c>
      <c r="AN364" s="1763" t="s">
        <v>714</v>
      </c>
      <c r="AO364" s="156"/>
      <c r="AP364" s="156"/>
      <c r="AZ364" s="3"/>
      <c r="BF364" s="3"/>
      <c r="BI364" s="3"/>
      <c r="BL364" s="3"/>
    </row>
    <row r="365" spans="1:64" ht="21.75" customHeight="1">
      <c r="A365" s="156"/>
      <c r="B365" s="156"/>
      <c r="C365" s="1758" t="s">
        <v>1982</v>
      </c>
      <c r="D365" s="1759" t="s">
        <v>714</v>
      </c>
      <c r="E365" s="1729">
        <v>175</v>
      </c>
      <c r="F365" s="1760" t="s">
        <v>1764</v>
      </c>
      <c r="G365" s="1993" t="s">
        <v>714</v>
      </c>
      <c r="H365" s="1994">
        <v>175</v>
      </c>
      <c r="I365" s="1995"/>
      <c r="J365" s="1759" t="s">
        <v>714</v>
      </c>
      <c r="K365" s="1729">
        <v>175</v>
      </c>
      <c r="L365" s="1760"/>
      <c r="M365" s="1"/>
      <c r="N365" s="1"/>
      <c r="O365" s="1"/>
      <c r="P365" s="1"/>
      <c r="Q365" s="1"/>
      <c r="R365" s="1"/>
      <c r="S365" s="1762">
        <v>90</v>
      </c>
      <c r="T365" s="1729">
        <v>90</v>
      </c>
      <c r="U365" s="1760">
        <v>90</v>
      </c>
      <c r="V365" s="1759">
        <v>75</v>
      </c>
      <c r="W365" s="1729">
        <v>75</v>
      </c>
      <c r="X365" s="1760">
        <v>75</v>
      </c>
      <c r="Y365" s="2009">
        <v>60</v>
      </c>
      <c r="Z365" s="2010">
        <v>60</v>
      </c>
      <c r="AA365" s="2011">
        <v>60</v>
      </c>
      <c r="AB365" s="1871">
        <v>30</v>
      </c>
      <c r="AC365" s="1737" t="s">
        <v>714</v>
      </c>
      <c r="AD365" s="1762">
        <v>180</v>
      </c>
      <c r="AE365" s="1729">
        <v>180</v>
      </c>
      <c r="AF365" s="1760">
        <v>180</v>
      </c>
      <c r="AG365" s="1759">
        <v>150</v>
      </c>
      <c r="AH365" s="1729">
        <v>150</v>
      </c>
      <c r="AI365" s="1760">
        <v>150</v>
      </c>
      <c r="AJ365" s="2009">
        <v>120</v>
      </c>
      <c r="AK365" s="2010">
        <v>120</v>
      </c>
      <c r="AL365" s="2011">
        <v>120</v>
      </c>
      <c r="AM365" s="1871">
        <v>60</v>
      </c>
      <c r="AN365" s="1763" t="s">
        <v>714</v>
      </c>
      <c r="AO365" s="156"/>
      <c r="AP365" s="156"/>
      <c r="AZ365" s="3"/>
      <c r="BF365" s="3"/>
      <c r="BI365" s="3"/>
      <c r="BL365" s="3"/>
    </row>
    <row r="366" spans="1:64" ht="21.75" customHeight="1">
      <c r="A366" s="156"/>
      <c r="B366" s="156"/>
      <c r="C366" s="1758" t="s">
        <v>1983</v>
      </c>
      <c r="D366" s="1759" t="s">
        <v>714</v>
      </c>
      <c r="E366" s="1729">
        <v>25</v>
      </c>
      <c r="F366" s="1760" t="s">
        <v>1764</v>
      </c>
      <c r="G366" s="1993" t="s">
        <v>714</v>
      </c>
      <c r="H366" s="1994">
        <v>25</v>
      </c>
      <c r="I366" s="1995"/>
      <c r="J366" s="1759" t="s">
        <v>714</v>
      </c>
      <c r="K366" s="1729">
        <v>25</v>
      </c>
      <c r="L366" s="1760"/>
      <c r="M366" s="1"/>
      <c r="N366" s="1"/>
      <c r="O366" s="1"/>
      <c r="P366" s="1"/>
      <c r="Q366" s="1"/>
      <c r="R366" s="1"/>
      <c r="S366" s="1762">
        <v>15</v>
      </c>
      <c r="T366" s="1729">
        <v>15</v>
      </c>
      <c r="U366" s="1760">
        <v>15</v>
      </c>
      <c r="V366" s="1759">
        <v>15</v>
      </c>
      <c r="W366" s="1729">
        <v>15</v>
      </c>
      <c r="X366" s="1760">
        <v>15</v>
      </c>
      <c r="Y366" s="2009">
        <v>10</v>
      </c>
      <c r="Z366" s="2010">
        <v>10</v>
      </c>
      <c r="AA366" s="2011">
        <v>10</v>
      </c>
      <c r="AB366" s="1871">
        <v>5</v>
      </c>
      <c r="AC366" s="1737" t="s">
        <v>714</v>
      </c>
      <c r="AD366" s="1762">
        <v>25</v>
      </c>
      <c r="AE366" s="1729">
        <v>25</v>
      </c>
      <c r="AF366" s="1760">
        <v>25</v>
      </c>
      <c r="AG366" s="1759">
        <v>20</v>
      </c>
      <c r="AH366" s="1729">
        <v>20</v>
      </c>
      <c r="AI366" s="1760">
        <v>20</v>
      </c>
      <c r="AJ366" s="2009">
        <v>15</v>
      </c>
      <c r="AK366" s="2010">
        <v>15</v>
      </c>
      <c r="AL366" s="2011">
        <v>15</v>
      </c>
      <c r="AM366" s="1871">
        <v>10</v>
      </c>
      <c r="AN366" s="1763" t="s">
        <v>714</v>
      </c>
      <c r="AO366" s="156"/>
      <c r="AP366" s="156"/>
      <c r="AZ366" s="3"/>
      <c r="BF366" s="3"/>
      <c r="BI366" s="3"/>
      <c r="BL366" s="3"/>
    </row>
    <row r="367" spans="1:64" ht="21.75" customHeight="1">
      <c r="A367" s="156"/>
      <c r="B367" s="156"/>
      <c r="C367" s="1758" t="s">
        <v>1984</v>
      </c>
      <c r="D367" s="1759" t="s">
        <v>714</v>
      </c>
      <c r="E367" s="1729">
        <v>40</v>
      </c>
      <c r="F367" s="1760" t="s">
        <v>1764</v>
      </c>
      <c r="G367" s="1993" t="s">
        <v>714</v>
      </c>
      <c r="H367" s="1994">
        <v>40</v>
      </c>
      <c r="I367" s="1995"/>
      <c r="J367" s="1759" t="s">
        <v>714</v>
      </c>
      <c r="K367" s="1729">
        <v>40</v>
      </c>
      <c r="L367" s="1760"/>
      <c r="M367" s="1"/>
      <c r="N367" s="1"/>
      <c r="O367" s="1"/>
      <c r="P367" s="1"/>
      <c r="Q367" s="1"/>
      <c r="R367" s="1"/>
      <c r="S367" s="1762">
        <v>25</v>
      </c>
      <c r="T367" s="1729">
        <v>25</v>
      </c>
      <c r="U367" s="1760">
        <v>25</v>
      </c>
      <c r="V367" s="1759">
        <v>20</v>
      </c>
      <c r="W367" s="1729">
        <v>20</v>
      </c>
      <c r="X367" s="1760">
        <v>20</v>
      </c>
      <c r="Y367" s="2009">
        <v>15</v>
      </c>
      <c r="Z367" s="2010">
        <v>15</v>
      </c>
      <c r="AA367" s="2011">
        <v>15</v>
      </c>
      <c r="AB367" s="1871">
        <v>10</v>
      </c>
      <c r="AC367" s="1737" t="s">
        <v>714</v>
      </c>
      <c r="AD367" s="1762">
        <v>40</v>
      </c>
      <c r="AE367" s="1729">
        <v>40</v>
      </c>
      <c r="AF367" s="1760">
        <v>40</v>
      </c>
      <c r="AG367" s="1759">
        <v>30</v>
      </c>
      <c r="AH367" s="1729">
        <v>30</v>
      </c>
      <c r="AI367" s="1760">
        <v>30</v>
      </c>
      <c r="AJ367" s="2009">
        <v>25</v>
      </c>
      <c r="AK367" s="2010">
        <v>25</v>
      </c>
      <c r="AL367" s="2011">
        <v>25</v>
      </c>
      <c r="AM367" s="1871">
        <v>10</v>
      </c>
      <c r="AN367" s="1763" t="s">
        <v>714</v>
      </c>
      <c r="AO367" s="156"/>
      <c r="AP367" s="156"/>
      <c r="AZ367" s="3"/>
      <c r="BF367" s="3"/>
      <c r="BI367" s="3"/>
      <c r="BL367" s="3"/>
    </row>
    <row r="368" spans="1:64" ht="21.75" customHeight="1">
      <c r="A368" s="156"/>
      <c r="B368" s="156"/>
      <c r="C368" s="1758" t="s">
        <v>1985</v>
      </c>
      <c r="D368" s="1759" t="s">
        <v>714</v>
      </c>
      <c r="E368" s="1729">
        <v>55</v>
      </c>
      <c r="F368" s="1760" t="s">
        <v>1764</v>
      </c>
      <c r="G368" s="1993" t="s">
        <v>714</v>
      </c>
      <c r="H368" s="1994">
        <v>55</v>
      </c>
      <c r="I368" s="1995"/>
      <c r="J368" s="1759" t="s">
        <v>714</v>
      </c>
      <c r="K368" s="1729">
        <v>55</v>
      </c>
      <c r="L368" s="1760"/>
      <c r="M368" s="1"/>
      <c r="N368" s="1"/>
      <c r="O368" s="1"/>
      <c r="P368" s="1"/>
      <c r="Q368" s="1"/>
      <c r="R368" s="1"/>
      <c r="S368" s="1762">
        <v>25</v>
      </c>
      <c r="T368" s="1729">
        <v>25</v>
      </c>
      <c r="U368" s="1760">
        <v>25</v>
      </c>
      <c r="V368" s="1759">
        <v>20</v>
      </c>
      <c r="W368" s="1729">
        <v>20</v>
      </c>
      <c r="X368" s="1760">
        <v>20</v>
      </c>
      <c r="Y368" s="2009">
        <v>15</v>
      </c>
      <c r="Z368" s="2010">
        <v>15</v>
      </c>
      <c r="AA368" s="2011">
        <v>15</v>
      </c>
      <c r="AB368" s="1871">
        <v>10</v>
      </c>
      <c r="AC368" s="1737" t="s">
        <v>714</v>
      </c>
      <c r="AD368" s="1762">
        <v>45</v>
      </c>
      <c r="AE368" s="1729">
        <v>45</v>
      </c>
      <c r="AF368" s="1760">
        <v>45</v>
      </c>
      <c r="AG368" s="1759">
        <v>40</v>
      </c>
      <c r="AH368" s="1729">
        <v>40</v>
      </c>
      <c r="AI368" s="1760">
        <v>40</v>
      </c>
      <c r="AJ368" s="2009">
        <v>30</v>
      </c>
      <c r="AK368" s="2010">
        <v>30</v>
      </c>
      <c r="AL368" s="2011">
        <v>30</v>
      </c>
      <c r="AM368" s="1871">
        <v>15</v>
      </c>
      <c r="AN368" s="1763" t="s">
        <v>714</v>
      </c>
      <c r="AO368" s="156"/>
      <c r="AP368" s="156"/>
      <c r="AZ368" s="3"/>
      <c r="BF368" s="3"/>
      <c r="BI368" s="3"/>
      <c r="BL368" s="3"/>
    </row>
    <row r="369" spans="1:64" ht="21.75" customHeight="1">
      <c r="A369" s="156"/>
      <c r="B369" s="156"/>
      <c r="C369" s="1758" t="s">
        <v>1986</v>
      </c>
      <c r="D369" s="1759" t="s">
        <v>714</v>
      </c>
      <c r="E369" s="1729">
        <v>65</v>
      </c>
      <c r="F369" s="1760" t="s">
        <v>1764</v>
      </c>
      <c r="G369" s="1993" t="s">
        <v>714</v>
      </c>
      <c r="H369" s="1994">
        <v>65</v>
      </c>
      <c r="I369" s="1995"/>
      <c r="J369" s="1759" t="s">
        <v>714</v>
      </c>
      <c r="K369" s="1729">
        <v>65</v>
      </c>
      <c r="L369" s="1760"/>
      <c r="M369" s="1"/>
      <c r="N369" s="1"/>
      <c r="O369" s="1"/>
      <c r="P369" s="1"/>
      <c r="Q369" s="1"/>
      <c r="R369" s="1"/>
      <c r="S369" s="1762">
        <v>40</v>
      </c>
      <c r="T369" s="1729">
        <v>40</v>
      </c>
      <c r="U369" s="1760">
        <v>40</v>
      </c>
      <c r="V369" s="1759">
        <v>30</v>
      </c>
      <c r="W369" s="1729">
        <v>30</v>
      </c>
      <c r="X369" s="1760">
        <v>30</v>
      </c>
      <c r="Y369" s="2009">
        <v>25</v>
      </c>
      <c r="Z369" s="2010">
        <v>25</v>
      </c>
      <c r="AA369" s="2011">
        <v>25</v>
      </c>
      <c r="AB369" s="1871">
        <v>10</v>
      </c>
      <c r="AC369" s="1737" t="s">
        <v>714</v>
      </c>
      <c r="AD369" s="1762">
        <v>60</v>
      </c>
      <c r="AE369" s="1729">
        <v>60</v>
      </c>
      <c r="AF369" s="1760">
        <v>60</v>
      </c>
      <c r="AG369" s="1759">
        <v>50</v>
      </c>
      <c r="AH369" s="1729">
        <v>50</v>
      </c>
      <c r="AI369" s="1760">
        <v>50</v>
      </c>
      <c r="AJ369" s="2009">
        <v>40</v>
      </c>
      <c r="AK369" s="2010">
        <v>40</v>
      </c>
      <c r="AL369" s="2011">
        <v>40</v>
      </c>
      <c r="AM369" s="1871">
        <v>20</v>
      </c>
      <c r="AN369" s="1763" t="s">
        <v>714</v>
      </c>
      <c r="AO369" s="156"/>
      <c r="AP369" s="156"/>
      <c r="AZ369" s="3"/>
      <c r="BF369" s="3"/>
      <c r="BI369" s="3"/>
      <c r="BL369" s="3"/>
    </row>
    <row r="370" spans="1:64" ht="21.75" customHeight="1">
      <c r="A370" s="156"/>
      <c r="B370" s="156"/>
      <c r="C370" s="1758" t="s">
        <v>1987</v>
      </c>
      <c r="D370" s="1759" t="s">
        <v>714</v>
      </c>
      <c r="E370" s="1729">
        <v>80</v>
      </c>
      <c r="F370" s="1760" t="s">
        <v>1764</v>
      </c>
      <c r="G370" s="1993" t="s">
        <v>714</v>
      </c>
      <c r="H370" s="1994">
        <v>80</v>
      </c>
      <c r="I370" s="1995"/>
      <c r="J370" s="1759" t="s">
        <v>714</v>
      </c>
      <c r="K370" s="1729">
        <v>80</v>
      </c>
      <c r="L370" s="1760"/>
      <c r="M370" s="1"/>
      <c r="N370" s="1"/>
      <c r="O370" s="1"/>
      <c r="P370" s="1"/>
      <c r="Q370" s="1"/>
      <c r="R370" s="1"/>
      <c r="S370" s="1762">
        <v>40</v>
      </c>
      <c r="T370" s="1729">
        <v>40</v>
      </c>
      <c r="U370" s="1760">
        <v>40</v>
      </c>
      <c r="V370" s="1759">
        <v>30</v>
      </c>
      <c r="W370" s="1729">
        <v>30</v>
      </c>
      <c r="X370" s="1760">
        <v>30</v>
      </c>
      <c r="Y370" s="2009">
        <v>25</v>
      </c>
      <c r="Z370" s="2010">
        <v>25</v>
      </c>
      <c r="AA370" s="2011">
        <v>25</v>
      </c>
      <c r="AB370" s="1871">
        <v>10</v>
      </c>
      <c r="AC370" s="1737" t="s">
        <v>714</v>
      </c>
      <c r="AD370" s="1762">
        <v>75</v>
      </c>
      <c r="AE370" s="1729">
        <v>75</v>
      </c>
      <c r="AF370" s="1760">
        <v>75</v>
      </c>
      <c r="AG370" s="1759">
        <v>65</v>
      </c>
      <c r="AH370" s="1729">
        <v>65</v>
      </c>
      <c r="AI370" s="1760">
        <v>65</v>
      </c>
      <c r="AJ370" s="2009">
        <v>50</v>
      </c>
      <c r="AK370" s="2010">
        <v>50</v>
      </c>
      <c r="AL370" s="2011">
        <v>50</v>
      </c>
      <c r="AM370" s="1871">
        <v>25</v>
      </c>
      <c r="AN370" s="1763" t="s">
        <v>714</v>
      </c>
      <c r="AO370" s="156"/>
      <c r="AP370" s="156"/>
      <c r="AZ370" s="3"/>
      <c r="BF370" s="3"/>
      <c r="BI370" s="3"/>
      <c r="BL370" s="3"/>
    </row>
    <row r="371" spans="1:64" ht="21.75" customHeight="1">
      <c r="A371" s="156"/>
      <c r="B371" s="156"/>
      <c r="C371" s="1758" t="s">
        <v>1988</v>
      </c>
      <c r="D371" s="1759" t="s">
        <v>714</v>
      </c>
      <c r="E371" s="1729">
        <v>110</v>
      </c>
      <c r="F371" s="1760" t="s">
        <v>1764</v>
      </c>
      <c r="G371" s="1993" t="s">
        <v>714</v>
      </c>
      <c r="H371" s="1994">
        <v>110</v>
      </c>
      <c r="I371" s="1995"/>
      <c r="J371" s="1759" t="s">
        <v>714</v>
      </c>
      <c r="K371" s="1729">
        <v>110</v>
      </c>
      <c r="L371" s="1760"/>
      <c r="M371" s="1"/>
      <c r="N371" s="1"/>
      <c r="O371" s="1"/>
      <c r="P371" s="1"/>
      <c r="Q371" s="1"/>
      <c r="R371" s="1"/>
      <c r="S371" s="1762">
        <v>60</v>
      </c>
      <c r="T371" s="1729">
        <v>60</v>
      </c>
      <c r="U371" s="1760">
        <v>60</v>
      </c>
      <c r="V371" s="1759">
        <v>50</v>
      </c>
      <c r="W371" s="1729">
        <v>50</v>
      </c>
      <c r="X371" s="1760">
        <v>50</v>
      </c>
      <c r="Y371" s="2009">
        <v>40</v>
      </c>
      <c r="Z371" s="2010">
        <v>40</v>
      </c>
      <c r="AA371" s="2011">
        <v>40</v>
      </c>
      <c r="AB371" s="1871">
        <v>20</v>
      </c>
      <c r="AC371" s="1737" t="s">
        <v>714</v>
      </c>
      <c r="AD371" s="1762">
        <v>105</v>
      </c>
      <c r="AE371" s="1729">
        <v>105</v>
      </c>
      <c r="AF371" s="1760">
        <v>105</v>
      </c>
      <c r="AG371" s="1759">
        <v>90</v>
      </c>
      <c r="AH371" s="1729">
        <v>90</v>
      </c>
      <c r="AI371" s="1760">
        <v>90</v>
      </c>
      <c r="AJ371" s="2009">
        <v>70</v>
      </c>
      <c r="AK371" s="2010">
        <v>70</v>
      </c>
      <c r="AL371" s="2011">
        <v>70</v>
      </c>
      <c r="AM371" s="1871">
        <v>35</v>
      </c>
      <c r="AN371" s="1763" t="s">
        <v>714</v>
      </c>
      <c r="AO371" s="156"/>
      <c r="AP371" s="156"/>
      <c r="AZ371" s="3"/>
      <c r="BF371" s="3"/>
      <c r="BI371" s="3"/>
      <c r="BL371" s="3"/>
    </row>
    <row r="372" spans="1:64" ht="29.25" customHeight="1">
      <c r="A372" s="156"/>
      <c r="B372" s="156"/>
      <c r="C372" s="1758" t="s">
        <v>1989</v>
      </c>
      <c r="D372" s="1759" t="s">
        <v>714</v>
      </c>
      <c r="E372" s="1729">
        <v>120</v>
      </c>
      <c r="F372" s="1760" t="s">
        <v>1764</v>
      </c>
      <c r="G372" s="1993" t="s">
        <v>714</v>
      </c>
      <c r="H372" s="1994">
        <v>120</v>
      </c>
      <c r="I372" s="1995"/>
      <c r="J372" s="1759" t="s">
        <v>714</v>
      </c>
      <c r="K372" s="1729">
        <v>120</v>
      </c>
      <c r="L372" s="1760"/>
      <c r="M372" s="1"/>
      <c r="N372" s="1"/>
      <c r="O372" s="1"/>
      <c r="P372" s="1"/>
      <c r="Q372" s="1"/>
      <c r="R372" s="1"/>
      <c r="S372" s="1762">
        <v>60</v>
      </c>
      <c r="T372" s="1729">
        <v>60</v>
      </c>
      <c r="U372" s="1760">
        <v>60</v>
      </c>
      <c r="V372" s="1759">
        <v>50</v>
      </c>
      <c r="W372" s="1729">
        <v>50</v>
      </c>
      <c r="X372" s="1760">
        <v>50</v>
      </c>
      <c r="Y372" s="2009">
        <v>40</v>
      </c>
      <c r="Z372" s="2010">
        <v>40</v>
      </c>
      <c r="AA372" s="2011">
        <v>40</v>
      </c>
      <c r="AB372" s="1871">
        <v>20</v>
      </c>
      <c r="AC372" s="1737" t="s">
        <v>714</v>
      </c>
      <c r="AD372" s="1762">
        <v>120</v>
      </c>
      <c r="AE372" s="1729">
        <v>120</v>
      </c>
      <c r="AF372" s="1760">
        <v>120</v>
      </c>
      <c r="AG372" s="1759">
        <v>100</v>
      </c>
      <c r="AH372" s="1729">
        <v>100</v>
      </c>
      <c r="AI372" s="1760">
        <v>100</v>
      </c>
      <c r="AJ372" s="2009">
        <v>80</v>
      </c>
      <c r="AK372" s="2010">
        <v>80</v>
      </c>
      <c r="AL372" s="2011">
        <v>80</v>
      </c>
      <c r="AM372" s="1871">
        <v>40</v>
      </c>
      <c r="AN372" s="1763" t="s">
        <v>714</v>
      </c>
      <c r="AO372" s="156"/>
      <c r="AP372" s="156"/>
      <c r="AZ372" s="3"/>
      <c r="BF372" s="3"/>
      <c r="BI372" s="3"/>
      <c r="BL372" s="3"/>
    </row>
    <row r="373" spans="1:64" ht="21.75" customHeight="1" thickBot="1">
      <c r="A373" s="156"/>
      <c r="B373" s="156"/>
      <c r="C373" s="1825" t="s">
        <v>1990</v>
      </c>
      <c r="D373" s="1785" t="s">
        <v>714</v>
      </c>
      <c r="E373" s="1783">
        <v>140</v>
      </c>
      <c r="F373" s="1784" t="s">
        <v>1764</v>
      </c>
      <c r="G373" s="2003" t="s">
        <v>714</v>
      </c>
      <c r="H373" s="2004">
        <v>140</v>
      </c>
      <c r="I373" s="2005"/>
      <c r="J373" s="1785" t="s">
        <v>714</v>
      </c>
      <c r="K373" s="1783">
        <v>140</v>
      </c>
      <c r="L373" s="1784"/>
      <c r="M373" s="1826"/>
      <c r="N373" s="1826"/>
      <c r="O373" s="1826"/>
      <c r="P373" s="1826"/>
      <c r="Q373" s="1826"/>
      <c r="R373" s="1826"/>
      <c r="S373" s="1782">
        <v>75</v>
      </c>
      <c r="T373" s="1783">
        <v>75</v>
      </c>
      <c r="U373" s="1784">
        <v>75</v>
      </c>
      <c r="V373" s="1785">
        <v>65</v>
      </c>
      <c r="W373" s="1783">
        <v>65</v>
      </c>
      <c r="X373" s="1784">
        <v>65</v>
      </c>
      <c r="Y373" s="2020">
        <v>50</v>
      </c>
      <c r="Z373" s="2021">
        <v>50</v>
      </c>
      <c r="AA373" s="2022">
        <v>50</v>
      </c>
      <c r="AB373" s="1786">
        <v>25</v>
      </c>
      <c r="AC373" s="1827" t="s">
        <v>714</v>
      </c>
      <c r="AD373" s="1782">
        <v>145</v>
      </c>
      <c r="AE373" s="1783">
        <v>145</v>
      </c>
      <c r="AF373" s="1784">
        <v>145</v>
      </c>
      <c r="AG373" s="1785">
        <v>120</v>
      </c>
      <c r="AH373" s="1783">
        <v>120</v>
      </c>
      <c r="AI373" s="1784">
        <v>120</v>
      </c>
      <c r="AJ373" s="2020">
        <v>95</v>
      </c>
      <c r="AK373" s="2021">
        <v>95</v>
      </c>
      <c r="AL373" s="2022">
        <v>95</v>
      </c>
      <c r="AM373" s="1786">
        <v>50</v>
      </c>
      <c r="AN373" s="1787" t="s">
        <v>714</v>
      </c>
      <c r="AO373" s="156"/>
      <c r="AP373" s="156"/>
      <c r="AZ373" s="3"/>
      <c r="BF373" s="3"/>
      <c r="BI373" s="3"/>
      <c r="BL373" s="3"/>
    </row>
    <row r="374" spans="1:64" ht="21.75" customHeight="1" thickTop="1">
      <c r="A374" s="156"/>
      <c r="B374" s="156"/>
      <c r="C374" t="s">
        <v>2363</v>
      </c>
      <c r="AO374" s="156"/>
      <c r="AP374" s="156"/>
      <c r="AZ374" s="3"/>
      <c r="BF374" s="3"/>
      <c r="BI374" s="3"/>
      <c r="BL374" s="3"/>
    </row>
    <row r="375" spans="1:64" ht="21.75" customHeight="1">
      <c r="A375" s="156"/>
      <c r="B375" s="156"/>
      <c r="C375" t="s">
        <v>2364</v>
      </c>
      <c r="AO375" s="156"/>
      <c r="AP375" s="156"/>
      <c r="AZ375" s="3"/>
      <c r="BF375" s="3"/>
      <c r="BI375" s="3"/>
      <c r="BL375" s="3"/>
    </row>
    <row r="376" spans="1:64" ht="21.75" customHeight="1">
      <c r="A376" s="156"/>
      <c r="B376" s="156"/>
      <c r="C376" s="2" t="s">
        <v>2365</v>
      </c>
      <c r="D376" s="2"/>
      <c r="E376" s="2"/>
      <c r="F376" s="2"/>
      <c r="G376" s="2"/>
      <c r="H376" s="2"/>
      <c r="I376" s="2"/>
      <c r="J376" s="2"/>
      <c r="K376" s="2"/>
      <c r="AO376" s="156"/>
      <c r="AP376" s="156"/>
      <c r="AZ376" s="3"/>
      <c r="BF376" s="3"/>
      <c r="BI376" s="3"/>
      <c r="BL376" s="3"/>
    </row>
    <row r="377" spans="1:64" ht="21.75" customHeight="1">
      <c r="A377" s="156"/>
      <c r="B377" s="156"/>
      <c r="C377" s="2" t="s">
        <v>116</v>
      </c>
      <c r="D377" s="2"/>
      <c r="E377" s="2"/>
      <c r="F377" s="2"/>
      <c r="G377" s="2"/>
      <c r="H377" s="2"/>
      <c r="I377" s="2"/>
      <c r="J377" s="2"/>
      <c r="K377" s="2"/>
      <c r="AO377" s="156"/>
      <c r="AP377" s="156"/>
      <c r="AZ377" s="3"/>
      <c r="BF377" s="3"/>
      <c r="BI377" s="3"/>
      <c r="BL377" s="3"/>
    </row>
    <row r="378" spans="1:64" ht="21.75" customHeight="1">
      <c r="A378" s="156"/>
      <c r="B378" s="156"/>
      <c r="C378" s="2" t="s">
        <v>117</v>
      </c>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O378" s="156"/>
      <c r="AP378" s="156"/>
      <c r="AZ378" s="3"/>
      <c r="BF378" s="3"/>
      <c r="BI378" s="3"/>
      <c r="BL378" s="3"/>
    </row>
    <row r="379" spans="1:64" ht="21.75" customHeight="1">
      <c r="A379" s="156"/>
      <c r="B379" s="156"/>
      <c r="C379" s="2" t="s">
        <v>1991</v>
      </c>
      <c r="D379" s="2"/>
      <c r="E379" s="2"/>
      <c r="F379" s="2"/>
      <c r="G379" s="2"/>
      <c r="H379" s="2"/>
      <c r="I379" s="2"/>
      <c r="J379" s="2"/>
      <c r="K379" s="2"/>
      <c r="L379" s="2"/>
      <c r="M379" s="2"/>
      <c r="N379" s="2"/>
      <c r="O379" s="2"/>
      <c r="P379" s="2"/>
      <c r="Q379" s="2"/>
      <c r="AO379" s="156"/>
      <c r="AP379" s="156"/>
      <c r="AZ379" s="3"/>
      <c r="BF379" s="3"/>
      <c r="BI379" s="3"/>
      <c r="BL379" s="3"/>
    </row>
    <row r="380" spans="1:64" ht="21.75" customHeight="1">
      <c r="A380" s="156"/>
      <c r="B380" s="156"/>
      <c r="C380" s="2"/>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56"/>
      <c r="AO380" s="156"/>
      <c r="AP380" s="156"/>
      <c r="AZ380" s="3"/>
      <c r="BF380" s="3"/>
      <c r="BI380" s="3"/>
      <c r="BL380" s="3"/>
    </row>
    <row r="381" spans="1:64" ht="21.75" customHeight="1">
      <c r="A381" s="156"/>
      <c r="B381" s="156"/>
      <c r="C381" s="2"/>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56"/>
      <c r="AO381" s="156"/>
      <c r="AP381" s="156"/>
      <c r="AZ381" s="3"/>
      <c r="BF381" s="3"/>
      <c r="BI381" s="3"/>
      <c r="BL381" s="3"/>
    </row>
    <row r="382" spans="1:64" ht="21.75" customHeight="1">
      <c r="A382" s="156"/>
      <c r="B382" s="156"/>
      <c r="C382" s="2"/>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56"/>
      <c r="AO382" s="156"/>
      <c r="AP382" s="156"/>
      <c r="AZ382" s="3"/>
      <c r="BF382" s="3"/>
      <c r="BI382" s="3"/>
      <c r="BL382" s="3"/>
    </row>
    <row r="383" spans="1:64" ht="21.75" customHeight="1">
      <c r="A383" s="156"/>
      <c r="B383" s="156"/>
      <c r="C383" s="2"/>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56"/>
      <c r="AO383" s="156"/>
      <c r="AP383" s="156"/>
      <c r="AZ383" s="3"/>
      <c r="BF383" s="3"/>
      <c r="BI383" s="3"/>
      <c r="BL383" s="3"/>
    </row>
    <row r="384" spans="1:64" ht="21.75" customHeight="1">
      <c r="A384" s="156"/>
      <c r="B384" s="156"/>
      <c r="C384" s="2"/>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56"/>
      <c r="AO384" s="156"/>
      <c r="AP384" s="156"/>
      <c r="AZ384" s="3"/>
      <c r="BF384" s="3"/>
      <c r="BI384" s="3"/>
      <c r="BL384" s="3"/>
    </row>
    <row r="385" spans="1:77" ht="21.75" customHeight="1">
      <c r="A385" s="156"/>
      <c r="B385" s="156"/>
      <c r="C385" s="2"/>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56"/>
      <c r="AO385" s="156"/>
      <c r="AP385" s="156"/>
      <c r="AZ385" s="3"/>
      <c r="BF385" s="3"/>
      <c r="BI385" s="3"/>
      <c r="BL385" s="3"/>
    </row>
    <row r="386" spans="1:77" ht="21.75" customHeight="1">
      <c r="A386" s="156"/>
      <c r="B386" s="156"/>
      <c r="C386" s="2"/>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56"/>
      <c r="AO386" s="156"/>
      <c r="AP386" s="156"/>
      <c r="AZ386" s="3"/>
      <c r="BF386" s="3"/>
      <c r="BI386" s="3"/>
      <c r="BL386" s="3"/>
    </row>
    <row r="387" spans="1:77" ht="21.75" customHeight="1">
      <c r="A387" s="156"/>
      <c r="B387" s="156"/>
      <c r="C387" s="2"/>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56"/>
      <c r="AO387" s="156"/>
      <c r="AP387" s="156"/>
      <c r="AZ387" s="3"/>
      <c r="BF387" s="3"/>
      <c r="BI387" s="3"/>
      <c r="BL387" s="3"/>
    </row>
    <row r="388" spans="1:77" ht="21.75" customHeight="1">
      <c r="A388" s="156"/>
      <c r="B388" s="156"/>
      <c r="C388" s="2"/>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56"/>
      <c r="AO388" s="156"/>
      <c r="AP388" s="156"/>
      <c r="AZ388" s="3"/>
      <c r="BF388" s="3"/>
      <c r="BI388" s="3"/>
      <c r="BL388" s="3"/>
      <c r="BT388" s="390"/>
      <c r="BU388" s="1718"/>
      <c r="BV388" s="1718"/>
      <c r="BW388" s="1718"/>
      <c r="BX388" s="1718"/>
      <c r="BY388" s="1718"/>
    </row>
    <row r="389" spans="1:77" ht="21.75" customHeight="1">
      <c r="A389" s="156"/>
      <c r="B389" s="156"/>
      <c r="C389" s="1837"/>
      <c r="D389" s="1837"/>
      <c r="E389" s="1837"/>
      <c r="F389" s="1837"/>
      <c r="G389" s="1837"/>
      <c r="H389" s="1837"/>
      <c r="I389" s="1837"/>
      <c r="J389" s="1837"/>
      <c r="K389" s="1837"/>
      <c r="L389" s="1837"/>
      <c r="M389" s="1837"/>
      <c r="N389" s="1837"/>
      <c r="O389" s="1837"/>
      <c r="P389" s="1837"/>
      <c r="Q389" s="1837"/>
      <c r="R389" s="1837"/>
      <c r="S389" s="1837"/>
      <c r="T389" s="1837"/>
      <c r="U389" s="1837"/>
      <c r="V389" s="1837"/>
      <c r="W389" s="1837"/>
      <c r="X389" s="1837"/>
      <c r="Y389" s="1837"/>
      <c r="Z389" s="1837"/>
      <c r="AA389" s="1837"/>
      <c r="AB389" s="1837"/>
      <c r="AC389" s="1837"/>
      <c r="AD389" s="1837"/>
      <c r="AE389" s="1837"/>
      <c r="AF389" s="1837"/>
      <c r="AG389" s="1837"/>
      <c r="AH389" s="1837"/>
      <c r="AI389" s="1837"/>
      <c r="AJ389" s="1837"/>
      <c r="AK389" s="1837"/>
      <c r="AL389" s="1837"/>
      <c r="AM389" s="1837"/>
      <c r="AN389" s="156"/>
      <c r="AO389" s="156"/>
      <c r="AP389" s="156"/>
      <c r="AZ389" s="3"/>
      <c r="BF389" s="3"/>
      <c r="BI389" s="3"/>
      <c r="BL389" s="3"/>
      <c r="BT389" s="390"/>
      <c r="BU389" s="1718"/>
      <c r="BV389" s="1718"/>
      <c r="BW389" s="1718"/>
      <c r="BX389" s="1718"/>
      <c r="BY389" s="1718"/>
    </row>
    <row r="390" spans="1:77" ht="21.75" customHeight="1">
      <c r="A390" s="156"/>
      <c r="B390" s="156"/>
      <c r="C390" s="2"/>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56"/>
      <c r="AO390" s="156"/>
      <c r="AP390" s="156"/>
      <c r="AZ390" s="3"/>
      <c r="BF390" s="3"/>
      <c r="BI390" s="3"/>
      <c r="BL390" s="3"/>
      <c r="BT390" s="390"/>
      <c r="BU390" s="1718"/>
      <c r="BV390" s="1718"/>
      <c r="BW390" s="1718"/>
      <c r="BX390" s="1718"/>
      <c r="BY390" s="1718"/>
    </row>
    <row r="391" spans="1:77" ht="21.75" customHeight="1">
      <c r="A391" s="156"/>
      <c r="B391" s="156"/>
      <c r="C391" s="2"/>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56"/>
      <c r="AO391" s="156"/>
      <c r="AP391" s="156"/>
      <c r="AZ391" s="3"/>
      <c r="BF391" s="3"/>
      <c r="BI391" s="3"/>
      <c r="BL391" s="3"/>
      <c r="BT391" s="390"/>
      <c r="BU391" s="1718"/>
      <c r="BV391" s="1718"/>
      <c r="BW391" s="1718"/>
      <c r="BX391" s="1718"/>
      <c r="BY391" s="1718"/>
    </row>
    <row r="392" spans="1:77" ht="21.75" customHeight="1">
      <c r="A392" s="156"/>
      <c r="B392" s="156"/>
      <c r="C392" s="2"/>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56"/>
      <c r="AO392" s="156"/>
      <c r="AP392" s="156"/>
      <c r="AZ392" s="3"/>
      <c r="BF392" s="3"/>
      <c r="BI392" s="3"/>
      <c r="BL392" s="3"/>
      <c r="BT392" s="391"/>
      <c r="BU392" s="121"/>
      <c r="BV392" s="121"/>
      <c r="BW392" s="121"/>
      <c r="BX392" s="121"/>
      <c r="BY392" s="121"/>
    </row>
    <row r="393" spans="1:77" ht="21.75" customHeight="1">
      <c r="A393" s="156"/>
      <c r="B393" s="156"/>
      <c r="C393" s="2"/>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56"/>
      <c r="AO393" s="156"/>
      <c r="AP393" s="156"/>
      <c r="AZ393" s="3"/>
      <c r="BF393" s="3"/>
      <c r="BI393" s="3"/>
      <c r="BL393" s="3"/>
      <c r="BT393" s="390"/>
      <c r="BU393" s="121"/>
      <c r="BV393" s="121"/>
      <c r="BW393" s="121"/>
      <c r="BX393" s="121"/>
      <c r="BY393" s="121"/>
    </row>
    <row r="394" spans="1:77" ht="21.75" customHeight="1">
      <c r="A394" s="156"/>
      <c r="B394" s="156"/>
      <c r="C394" s="2"/>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56"/>
      <c r="AO394" s="156"/>
      <c r="AP394" s="156"/>
      <c r="AZ394" s="3"/>
      <c r="BF394" s="3"/>
      <c r="BI394" s="3"/>
      <c r="BL394" s="3"/>
      <c r="BT394" s="392"/>
      <c r="BU394" s="1718"/>
      <c r="BV394" s="1718"/>
      <c r="BW394" s="1718"/>
      <c r="BX394" s="1718"/>
      <c r="BY394" s="1718"/>
    </row>
    <row r="395" spans="1:77" ht="21.75" customHeight="1">
      <c r="A395" s="156"/>
      <c r="B395" s="156"/>
      <c r="C395" s="2"/>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56"/>
      <c r="AO395" s="156"/>
      <c r="AP395" s="156"/>
      <c r="AZ395" s="3"/>
      <c r="BF395" s="3"/>
      <c r="BI395" s="3"/>
      <c r="BL395" s="3"/>
      <c r="BT395" s="392"/>
      <c r="BU395" s="395"/>
      <c r="BV395" s="395"/>
      <c r="BW395" s="395"/>
      <c r="BX395" s="395"/>
      <c r="BY395" s="395"/>
    </row>
    <row r="396" spans="1:77" ht="21.75" customHeight="1">
      <c r="A396" s="156"/>
      <c r="B396" s="156"/>
      <c r="C396" s="2"/>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56"/>
      <c r="AO396" s="156"/>
      <c r="AP396" s="156"/>
      <c r="AZ396" s="3"/>
      <c r="BF396" s="3"/>
      <c r="BI396" s="3"/>
      <c r="BL396" s="3"/>
      <c r="BT396" s="392"/>
      <c r="BU396" s="395"/>
      <c r="BV396" s="395"/>
      <c r="BW396" s="395"/>
      <c r="BX396" s="395"/>
      <c r="BY396" s="395"/>
    </row>
    <row r="397" spans="1:77" ht="21.75" customHeight="1">
      <c r="A397" s="156"/>
      <c r="B397" s="156"/>
      <c r="C397" s="2"/>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56"/>
      <c r="AO397" s="156"/>
      <c r="AP397" s="156"/>
      <c r="AZ397" s="3"/>
      <c r="BF397" s="3"/>
      <c r="BI397" s="3"/>
      <c r="BL397" s="3"/>
    </row>
    <row r="398" spans="1:77" ht="21.75" customHeight="1">
      <c r="A398" s="156"/>
      <c r="B398" s="156"/>
      <c r="C398" s="2"/>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56"/>
      <c r="AO398" s="156"/>
      <c r="AP398" s="156"/>
      <c r="AZ398" s="3"/>
      <c r="BF398" s="3"/>
      <c r="BI398" s="3"/>
      <c r="BL398" s="3"/>
    </row>
    <row r="399" spans="1:77" ht="21.75" customHeight="1">
      <c r="A399" s="156"/>
      <c r="B399" s="156"/>
      <c r="C399" s="2"/>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56"/>
      <c r="AO399" s="156"/>
      <c r="AP399" s="156"/>
      <c r="AZ399" s="3"/>
      <c r="BF399" s="3"/>
      <c r="BI399" s="3"/>
      <c r="BL399" s="3"/>
    </row>
    <row r="400" spans="1:77" ht="21.75" customHeight="1">
      <c r="A400" s="156"/>
      <c r="B400" s="156"/>
      <c r="C400" s="2"/>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56"/>
      <c r="AO400" s="156"/>
      <c r="AP400" s="156"/>
      <c r="AZ400" s="3"/>
      <c r="BF400" s="3"/>
      <c r="BI400" s="3"/>
      <c r="BL400" s="3"/>
    </row>
    <row r="401" spans="1:64" ht="21.75" customHeight="1">
      <c r="A401" s="156"/>
      <c r="B401" s="156"/>
      <c r="C401" s="2"/>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56"/>
      <c r="AO401" s="156"/>
      <c r="AP401" s="156"/>
      <c r="AZ401" s="3"/>
      <c r="BF401" s="3"/>
      <c r="BI401" s="3"/>
      <c r="BL401" s="3"/>
    </row>
    <row r="402" spans="1:64" ht="21.75" customHeight="1">
      <c r="A402" s="156"/>
      <c r="B402" s="156"/>
      <c r="C402" s="2"/>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56"/>
      <c r="AO402" s="156"/>
      <c r="AP402" s="156"/>
      <c r="AZ402" s="3"/>
      <c r="BF402" s="3"/>
      <c r="BI402" s="3"/>
      <c r="BL402" s="3"/>
    </row>
    <row r="403" spans="1:64" ht="21.75" customHeight="1">
      <c r="A403" s="156"/>
      <c r="B403" s="156"/>
      <c r="C403" s="2"/>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56"/>
      <c r="AO403" s="156"/>
      <c r="AP403" s="156"/>
      <c r="AZ403" s="3"/>
      <c r="BF403" s="3"/>
      <c r="BI403" s="3"/>
      <c r="BL403" s="3"/>
    </row>
    <row r="404" spans="1:64" ht="21.75" customHeight="1">
      <c r="A404" s="156"/>
      <c r="B404" s="156"/>
      <c r="C404" s="2"/>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56"/>
      <c r="AO404" s="156"/>
      <c r="AP404" s="156"/>
      <c r="AZ404" s="3"/>
      <c r="BF404" s="3"/>
      <c r="BI404" s="3"/>
      <c r="BL404" s="3"/>
    </row>
    <row r="405" spans="1:64" ht="21.75" customHeight="1">
      <c r="A405" s="156"/>
      <c r="B405" s="156"/>
      <c r="C405" s="2"/>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56"/>
      <c r="AO405" s="156"/>
      <c r="AP405" s="156"/>
      <c r="AZ405" s="3"/>
      <c r="BF405" s="3"/>
      <c r="BI405" s="3"/>
      <c r="BL405" s="3"/>
    </row>
    <row r="406" spans="1:64" ht="21.75" customHeight="1">
      <c r="A406" s="156"/>
      <c r="B406" s="156"/>
      <c r="C406" s="2"/>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56"/>
      <c r="AO406" s="156"/>
      <c r="AP406" s="156"/>
      <c r="AZ406" s="3"/>
      <c r="BF406" s="3"/>
      <c r="BI406" s="3"/>
      <c r="BL406" s="3"/>
    </row>
    <row r="407" spans="1:64" ht="21.75" customHeight="1">
      <c r="A407" s="156"/>
      <c r="B407" s="156"/>
      <c r="C407" s="2"/>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56"/>
      <c r="AO407" s="156"/>
      <c r="AP407" s="156"/>
      <c r="AZ407" s="3"/>
      <c r="BF407" s="3"/>
      <c r="BI407" s="3"/>
      <c r="BL407" s="3"/>
    </row>
    <row r="408" spans="1:64" ht="21.75" customHeight="1">
      <c r="A408" s="156"/>
      <c r="B408" s="156"/>
      <c r="C408" s="2"/>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56"/>
      <c r="AO408" s="156"/>
      <c r="AP408" s="156"/>
      <c r="AZ408" s="3"/>
      <c r="BF408" s="3"/>
      <c r="BI408" s="3"/>
      <c r="BL408" s="3"/>
    </row>
    <row r="409" spans="1:64" ht="21.75" customHeight="1">
      <c r="A409" s="156"/>
      <c r="B409" s="156"/>
      <c r="AP409" s="156"/>
      <c r="AZ409" s="3"/>
      <c r="BF409" s="3"/>
      <c r="BI409" s="3"/>
      <c r="BL409" s="3"/>
    </row>
    <row r="410" spans="1:64" ht="21.75" customHeight="1">
      <c r="A410" s="156"/>
      <c r="B410" s="156"/>
      <c r="AQ410"/>
      <c r="AZ410" s="3"/>
      <c r="BF410" s="3"/>
      <c r="BI410" s="3"/>
      <c r="BL410" s="3"/>
    </row>
    <row r="411" spans="1:64" ht="21.75" customHeight="1">
      <c r="A411" s="156"/>
      <c r="B411" s="156"/>
      <c r="C411" s="2"/>
      <c r="D411" s="2"/>
      <c r="E411" s="2"/>
      <c r="F411" s="2"/>
      <c r="G411" s="2"/>
      <c r="H411" s="2"/>
      <c r="I411" s="2"/>
      <c r="J411" s="2"/>
      <c r="K411" s="2"/>
      <c r="AQ411"/>
      <c r="AZ411" s="3"/>
      <c r="BF411" s="3"/>
      <c r="BI411" s="3"/>
      <c r="BL411" s="3"/>
    </row>
    <row r="412" spans="1:64" ht="21.75" customHeight="1">
      <c r="A412" s="156"/>
      <c r="B412" s="156"/>
      <c r="C412" s="2"/>
      <c r="D412" s="2"/>
      <c r="E412" s="2"/>
      <c r="F412" s="2"/>
      <c r="G412" s="2"/>
      <c r="H412" s="2"/>
      <c r="I412" s="2"/>
      <c r="J412" s="2"/>
      <c r="K412" s="2"/>
      <c r="AQ412"/>
      <c r="AZ412" s="3"/>
      <c r="BF412" s="3"/>
      <c r="BI412" s="3"/>
      <c r="BL412" s="3"/>
    </row>
    <row r="413" spans="1:64" ht="21.75" customHeight="1">
      <c r="A413" s="156"/>
      <c r="B413" s="156"/>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Q413"/>
      <c r="AZ413" s="3"/>
      <c r="BF413" s="3"/>
      <c r="BI413" s="3"/>
      <c r="BL413" s="3"/>
    </row>
    <row r="414" spans="1:64" ht="21.75" customHeight="1">
      <c r="A414" s="156"/>
      <c r="B414" s="156"/>
      <c r="C414" s="2"/>
      <c r="D414" s="2"/>
      <c r="E414" s="2"/>
      <c r="F414" s="2"/>
      <c r="G414" s="2"/>
      <c r="H414" s="2"/>
      <c r="I414" s="2"/>
      <c r="J414" s="2"/>
      <c r="K414" s="2"/>
      <c r="L414" s="2"/>
      <c r="M414" s="2"/>
      <c r="N414" s="2"/>
      <c r="O414" s="2"/>
      <c r="P414" s="2"/>
      <c r="Q414" s="2"/>
      <c r="AQ414"/>
      <c r="AZ414" s="3"/>
      <c r="BF414" s="3"/>
      <c r="BI414" s="3"/>
      <c r="BL414" s="3"/>
    </row>
    <row r="415" spans="1:64" ht="21.75" customHeight="1">
      <c r="A415" s="156"/>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c r="AA415" s="156"/>
      <c r="AB415" s="156"/>
      <c r="AC415" s="156"/>
      <c r="AD415" s="156"/>
      <c r="AE415" s="156"/>
      <c r="AF415" s="156"/>
      <c r="AG415" s="156"/>
      <c r="AH415" s="156"/>
      <c r="AI415" s="156"/>
      <c r="AJ415" s="156"/>
      <c r="AK415" s="156"/>
      <c r="AL415" s="156"/>
      <c r="AM415" s="156"/>
      <c r="AN415" s="156"/>
      <c r="AO415" s="156"/>
      <c r="AQ415"/>
      <c r="AZ415" s="3"/>
      <c r="BF415" s="3"/>
      <c r="BI415" s="3"/>
      <c r="BL415" s="3"/>
    </row>
    <row r="416" spans="1:64" ht="21.75" customHeight="1">
      <c r="A416" s="768"/>
      <c r="B416" s="768"/>
      <c r="C416" s="1891"/>
      <c r="D416" s="1891"/>
      <c r="E416" s="1890"/>
      <c r="F416" s="1890"/>
      <c r="G416" s="1890"/>
      <c r="H416" s="1890"/>
      <c r="I416" s="1890"/>
      <c r="J416" s="1890"/>
      <c r="K416" s="1890"/>
      <c r="L416" s="1890"/>
      <c r="M416" s="1890"/>
      <c r="N416" s="1890"/>
      <c r="O416" s="401"/>
      <c r="P416" s="401"/>
      <c r="Q416" s="1892"/>
      <c r="R416" s="1892"/>
      <c r="S416" s="1892"/>
      <c r="T416" s="1892"/>
      <c r="U416" s="1892"/>
      <c r="V416" s="1892"/>
      <c r="W416" s="1892"/>
      <c r="X416" s="1892"/>
      <c r="Y416" s="1892"/>
      <c r="Z416" s="1892"/>
      <c r="AA416" s="1892"/>
      <c r="AB416" s="1892"/>
      <c r="AC416" s="1892"/>
      <c r="AD416" s="1892"/>
      <c r="AE416" s="1892"/>
      <c r="AF416" s="1892"/>
      <c r="AG416" s="1892"/>
      <c r="AH416" s="1892"/>
      <c r="AI416" s="1892"/>
      <c r="AJ416" s="1892"/>
      <c r="AK416" s="1892"/>
      <c r="AL416" s="1892"/>
      <c r="AM416" s="1892"/>
      <c r="AN416" s="1892"/>
      <c r="AO416" s="1892"/>
      <c r="AP416" s="429"/>
      <c r="AZ416" s="3"/>
      <c r="BF416" s="3"/>
      <c r="BI416" s="3"/>
      <c r="BL416" s="3"/>
    </row>
    <row r="417" spans="3:64" ht="21.75" customHeight="1">
      <c r="C417" s="1891"/>
      <c r="D417" s="1891"/>
      <c r="E417" s="1890"/>
      <c r="F417" s="1890"/>
      <c r="G417" s="1890"/>
      <c r="H417" s="1890"/>
      <c r="I417" s="1890"/>
      <c r="J417" s="1890"/>
      <c r="K417" s="1890"/>
      <c r="L417" s="1890"/>
      <c r="M417" s="1890"/>
      <c r="N417" s="1890"/>
      <c r="O417" s="401"/>
      <c r="P417" s="401"/>
      <c r="Q417" s="1870"/>
      <c r="R417" s="1870"/>
      <c r="S417" s="2519"/>
      <c r="T417" s="2519"/>
      <c r="U417" s="2519"/>
      <c r="V417" s="1870"/>
      <c r="W417" s="1870"/>
      <c r="X417" s="1870"/>
      <c r="Y417" s="1870"/>
      <c r="Z417" s="401"/>
      <c r="AA417" s="401"/>
      <c r="AB417" s="401"/>
      <c r="AC417" s="401"/>
      <c r="AD417" s="401"/>
      <c r="AE417" s="401"/>
      <c r="AF417" s="401"/>
      <c r="AG417" s="401"/>
      <c r="AH417" s="401"/>
      <c r="AI417" s="401"/>
      <c r="AJ417" s="401"/>
      <c r="AK417" s="401"/>
      <c r="AL417" s="401"/>
      <c r="AM417" s="401"/>
      <c r="AN417" s="1870"/>
      <c r="AO417" s="1870"/>
      <c r="AP417" s="429"/>
      <c r="AZ417" s="3"/>
      <c r="BF417" s="3"/>
      <c r="BI417" s="3"/>
      <c r="BL417" s="3"/>
    </row>
    <row r="418" spans="3:64" ht="21.75" customHeight="1">
      <c r="C418" s="1874"/>
      <c r="D418" s="1875"/>
      <c r="E418" s="1870"/>
      <c r="F418" s="1870"/>
      <c r="G418" s="1870"/>
      <c r="H418" s="1870"/>
      <c r="I418" s="1870"/>
      <c r="J418" s="1870"/>
      <c r="K418" s="1870"/>
      <c r="L418" s="1870"/>
      <c r="M418" s="1870"/>
      <c r="N418" s="1870"/>
      <c r="O418" s="428"/>
      <c r="P418" s="428"/>
      <c r="Q418" s="1876"/>
      <c r="R418" s="1876"/>
      <c r="S418" s="428"/>
      <c r="T418" s="428"/>
      <c r="U418" s="428"/>
      <c r="V418" s="1870"/>
      <c r="W418" s="1870"/>
      <c r="X418" s="428"/>
      <c r="Y418" s="428"/>
      <c r="Z418" s="428"/>
      <c r="AA418" s="428"/>
      <c r="AB418" s="428"/>
      <c r="AC418" s="428"/>
      <c r="AD418" s="428"/>
      <c r="AE418" s="428"/>
      <c r="AF418" s="428"/>
      <c r="AG418" s="428"/>
      <c r="AH418" s="428"/>
      <c r="AI418" s="428"/>
      <c r="AJ418" s="428"/>
      <c r="AK418" s="428"/>
      <c r="AL418" s="428"/>
      <c r="AM418" s="428"/>
      <c r="AN418" s="1870"/>
      <c r="AO418" s="1870"/>
      <c r="AP418" s="429"/>
      <c r="AZ418" s="3"/>
      <c r="BF418" s="3"/>
      <c r="BI418" s="3"/>
      <c r="BL418" s="3"/>
    </row>
    <row r="419" spans="3:64" ht="21.75" customHeight="1">
      <c r="C419" s="1874"/>
      <c r="D419" s="1875"/>
      <c r="E419" s="1877"/>
      <c r="F419" s="1878"/>
      <c r="G419" s="1879"/>
      <c r="H419" s="1852"/>
      <c r="I419" s="1878"/>
      <c r="J419" s="1878"/>
      <c r="K419" s="1878"/>
      <c r="L419" s="1878"/>
      <c r="M419" s="1878"/>
      <c r="N419" s="1878"/>
      <c r="O419" s="1880"/>
      <c r="P419" s="1880"/>
      <c r="Q419" s="1870"/>
      <c r="R419" s="1870"/>
      <c r="S419" s="1870"/>
      <c r="T419" s="1870"/>
      <c r="U419" s="1870"/>
      <c r="V419" s="1870"/>
      <c r="W419" s="1870"/>
      <c r="X419" s="1870"/>
      <c r="Y419" s="1870"/>
      <c r="Z419" s="1870"/>
      <c r="AA419" s="1870"/>
      <c r="AB419" s="1870"/>
      <c r="AC419" s="1870"/>
      <c r="AD419" s="1870"/>
      <c r="AE419" s="1870"/>
      <c r="AF419" s="1870"/>
      <c r="AG419" s="1870"/>
      <c r="AH419" s="1870"/>
      <c r="AI419" s="1870"/>
      <c r="AJ419" s="1870"/>
      <c r="AK419" s="1870"/>
      <c r="AL419" s="1870"/>
      <c r="AM419" s="1870"/>
      <c r="AN419" s="1870"/>
      <c r="AO419" s="1870"/>
      <c r="AP419" s="429"/>
      <c r="AZ419" s="3"/>
      <c r="BF419" s="3"/>
      <c r="BI419" s="3"/>
      <c r="BL419" s="3"/>
    </row>
    <row r="420" spans="3:64" ht="21.75" customHeight="1">
      <c r="C420" s="2516"/>
      <c r="D420" s="2516"/>
      <c r="E420" s="1842"/>
      <c r="F420" s="1843"/>
      <c r="G420" s="1879"/>
      <c r="H420" s="1852"/>
      <c r="I420" s="1842"/>
      <c r="J420" s="1843"/>
      <c r="K420" s="1842"/>
      <c r="L420" s="1843"/>
      <c r="M420" s="1842"/>
      <c r="N420" s="1843"/>
      <c r="O420" s="1843"/>
      <c r="P420" s="1843"/>
      <c r="Q420" s="1845"/>
      <c r="R420" s="1845"/>
      <c r="S420" s="1843"/>
      <c r="T420" s="1852"/>
      <c r="U420" s="1843"/>
      <c r="V420" s="1846"/>
      <c r="W420" s="1846"/>
      <c r="X420" s="1845"/>
      <c r="Y420" s="1845"/>
      <c r="Z420" s="1843"/>
      <c r="AA420" s="1843"/>
      <c r="AB420" s="1843"/>
      <c r="AC420" s="1843"/>
      <c r="AD420" s="1843"/>
      <c r="AE420" s="1843"/>
      <c r="AF420" s="1843"/>
      <c r="AG420" s="1843"/>
      <c r="AH420" s="1843"/>
      <c r="AI420" s="1843"/>
      <c r="AJ420" s="1843"/>
      <c r="AK420" s="1843"/>
      <c r="AL420" s="1852"/>
      <c r="AM420" s="1843"/>
      <c r="AN420" s="1846"/>
      <c r="AO420" s="1846"/>
      <c r="AP420" s="429"/>
      <c r="AZ420" s="3"/>
      <c r="BF420" s="3"/>
      <c r="BI420" s="3"/>
      <c r="BL420" s="3"/>
    </row>
    <row r="421" spans="3:64" ht="21.75" customHeight="1">
      <c r="C421" s="2516"/>
      <c r="D421" s="2516"/>
      <c r="E421" s="1842"/>
      <c r="F421" s="1843"/>
      <c r="G421" s="1879"/>
      <c r="H421" s="1852"/>
      <c r="I421" s="1842"/>
      <c r="J421" s="1843"/>
      <c r="K421" s="1842"/>
      <c r="L421" s="1843"/>
      <c r="M421" s="1842"/>
      <c r="N421" s="1843"/>
      <c r="O421" s="1843"/>
      <c r="P421" s="1843"/>
      <c r="Q421" s="1845"/>
      <c r="R421" s="1845"/>
      <c r="S421" s="1843"/>
      <c r="T421" s="1852"/>
      <c r="U421" s="1843"/>
      <c r="V421" s="1846"/>
      <c r="W421" s="1846"/>
      <c r="X421" s="1845"/>
      <c r="Y421" s="1845"/>
      <c r="Z421" s="1843"/>
      <c r="AA421" s="1843"/>
      <c r="AB421" s="1843"/>
      <c r="AC421" s="1843"/>
      <c r="AD421" s="1843"/>
      <c r="AE421" s="1843"/>
      <c r="AF421" s="1843"/>
      <c r="AG421" s="1843"/>
      <c r="AH421" s="1843"/>
      <c r="AI421" s="1843"/>
      <c r="AJ421" s="1843"/>
      <c r="AK421" s="1843"/>
      <c r="AL421" s="1852"/>
      <c r="AM421" s="1843"/>
      <c r="AN421" s="1846"/>
      <c r="AO421" s="1846"/>
      <c r="AP421" s="429"/>
      <c r="AZ421" s="3"/>
      <c r="BF421" s="3"/>
      <c r="BI421" s="3"/>
      <c r="BL421" s="3"/>
    </row>
    <row r="422" spans="3:64" ht="21.75" customHeight="1">
      <c r="C422" s="2516"/>
      <c r="D422" s="2516"/>
      <c r="E422" s="1842"/>
      <c r="F422" s="1843"/>
      <c r="G422" s="1879"/>
      <c r="H422" s="1852"/>
      <c r="I422" s="1842"/>
      <c r="J422" s="1843"/>
      <c r="K422" s="1842"/>
      <c r="L422" s="1843"/>
      <c r="M422" s="1842"/>
      <c r="N422" s="1843"/>
      <c r="O422" s="1843"/>
      <c r="P422" s="1843"/>
      <c r="Q422" s="1845"/>
      <c r="R422" s="1845"/>
      <c r="S422" s="1843"/>
      <c r="T422" s="1852"/>
      <c r="U422" s="1843"/>
      <c r="V422" s="1846"/>
      <c r="W422" s="1846"/>
      <c r="X422" s="1845"/>
      <c r="Y422" s="1845"/>
      <c r="Z422" s="1843"/>
      <c r="AA422" s="1843"/>
      <c r="AB422" s="1843"/>
      <c r="AC422" s="1843"/>
      <c r="AD422" s="1843"/>
      <c r="AE422" s="1843"/>
      <c r="AF422" s="1843"/>
      <c r="AG422" s="1843"/>
      <c r="AH422" s="1843"/>
      <c r="AI422" s="1843"/>
      <c r="AJ422" s="1843"/>
      <c r="AK422" s="1843"/>
      <c r="AL422" s="1852"/>
      <c r="AM422" s="1843"/>
      <c r="AN422" s="1846"/>
      <c r="AO422" s="1846"/>
      <c r="AP422" s="429"/>
      <c r="AZ422" s="3"/>
      <c r="BF422" s="3"/>
      <c r="BI422" s="3"/>
      <c r="BL422" s="3"/>
    </row>
    <row r="423" spans="3:64" ht="21.75" customHeight="1">
      <c r="C423" s="2516"/>
      <c r="D423" s="2516"/>
      <c r="E423" s="1842"/>
      <c r="F423" s="1843"/>
      <c r="G423" s="1879"/>
      <c r="H423" s="1852"/>
      <c r="I423" s="1842"/>
      <c r="J423" s="1843"/>
      <c r="K423" s="1842"/>
      <c r="L423" s="1843"/>
      <c r="M423" s="1842"/>
      <c r="N423" s="1843"/>
      <c r="O423" s="1843"/>
      <c r="P423" s="1843"/>
      <c r="Q423" s="1845"/>
      <c r="R423" s="1845"/>
      <c r="S423" s="1843"/>
      <c r="T423" s="1852"/>
      <c r="U423" s="1843"/>
      <c r="V423" s="1846"/>
      <c r="W423" s="1846"/>
      <c r="X423" s="1845"/>
      <c r="Y423" s="1845"/>
      <c r="Z423" s="1843"/>
      <c r="AA423" s="1843"/>
      <c r="AB423" s="1843"/>
      <c r="AC423" s="1843"/>
      <c r="AD423" s="1843"/>
      <c r="AE423" s="1843"/>
      <c r="AF423" s="1843"/>
      <c r="AG423" s="1843"/>
      <c r="AH423" s="1843"/>
      <c r="AI423" s="1843"/>
      <c r="AJ423" s="1843"/>
      <c r="AK423" s="1843"/>
      <c r="AL423" s="1852"/>
      <c r="AM423" s="1843"/>
      <c r="AN423" s="1846"/>
      <c r="AO423" s="1846"/>
      <c r="AP423" s="429"/>
      <c r="AZ423" s="3"/>
      <c r="BF423" s="3"/>
      <c r="BI423" s="3"/>
      <c r="BL423" s="3"/>
    </row>
    <row r="424" spans="3:64" ht="21.75" customHeight="1">
      <c r="C424" s="2516"/>
      <c r="D424" s="2516"/>
      <c r="E424" s="1842"/>
      <c r="F424" s="1843"/>
      <c r="G424" s="1879"/>
      <c r="H424" s="1852"/>
      <c r="I424" s="1842"/>
      <c r="J424" s="1843"/>
      <c r="K424" s="1842"/>
      <c r="L424" s="1843"/>
      <c r="M424" s="1842"/>
      <c r="N424" s="1843"/>
      <c r="O424" s="1843"/>
      <c r="P424" s="1843"/>
      <c r="Q424" s="1845"/>
      <c r="R424" s="1845"/>
      <c r="S424" s="1843"/>
      <c r="T424" s="1852"/>
      <c r="U424" s="1843"/>
      <c r="V424" s="1846"/>
      <c r="W424" s="1846"/>
      <c r="X424" s="1845"/>
      <c r="Y424" s="1845"/>
      <c r="Z424" s="1843"/>
      <c r="AA424" s="1843"/>
      <c r="AB424" s="1843"/>
      <c r="AC424" s="1843"/>
      <c r="AD424" s="1843"/>
      <c r="AE424" s="1843"/>
      <c r="AF424" s="1843"/>
      <c r="AG424" s="1843"/>
      <c r="AH424" s="1843"/>
      <c r="AI424" s="1843"/>
      <c r="AJ424" s="1843"/>
      <c r="AK424" s="1843"/>
      <c r="AL424" s="1852"/>
      <c r="AM424" s="1843"/>
      <c r="AN424" s="1846"/>
      <c r="AO424" s="1846"/>
      <c r="AP424" s="429"/>
      <c r="AZ424" s="3"/>
      <c r="BF424" s="3"/>
      <c r="BI424" s="3"/>
      <c r="BL424" s="3"/>
    </row>
    <row r="425" spans="3:64" ht="21.75" customHeight="1">
      <c r="C425" s="2516"/>
      <c r="D425" s="2516"/>
      <c r="E425" s="1842"/>
      <c r="F425" s="1843"/>
      <c r="G425" s="1879"/>
      <c r="H425" s="1852"/>
      <c r="I425" s="1842"/>
      <c r="J425" s="1843"/>
      <c r="K425" s="1842"/>
      <c r="L425" s="1843"/>
      <c r="M425" s="1842"/>
      <c r="N425" s="1843"/>
      <c r="O425" s="1843"/>
      <c r="P425" s="1843"/>
      <c r="Q425" s="1845"/>
      <c r="R425" s="1845"/>
      <c r="S425" s="1843"/>
      <c r="T425" s="1852"/>
      <c r="U425" s="1843"/>
      <c r="V425" s="1846"/>
      <c r="W425" s="1846"/>
      <c r="X425" s="1845"/>
      <c r="Y425" s="1845"/>
      <c r="Z425" s="1843"/>
      <c r="AA425" s="1843"/>
      <c r="AB425" s="1843"/>
      <c r="AC425" s="1843"/>
      <c r="AD425" s="1843"/>
      <c r="AE425" s="1843"/>
      <c r="AF425" s="1843"/>
      <c r="AG425" s="1843"/>
      <c r="AH425" s="1843"/>
      <c r="AI425" s="1843"/>
      <c r="AJ425" s="1843"/>
      <c r="AK425" s="1843"/>
      <c r="AL425" s="1852"/>
      <c r="AM425" s="1843"/>
      <c r="AN425" s="1846"/>
      <c r="AO425" s="1846"/>
      <c r="AP425" s="429"/>
      <c r="AZ425" s="3"/>
      <c r="BF425" s="3"/>
      <c r="BI425" s="3"/>
      <c r="BL425" s="3"/>
    </row>
    <row r="426" spans="3:64" ht="21.75" customHeight="1">
      <c r="C426" s="2516"/>
      <c r="D426" s="2516"/>
      <c r="E426" s="1842"/>
      <c r="F426" s="1843"/>
      <c r="G426" s="1879"/>
      <c r="H426" s="1852"/>
      <c r="I426" s="1842"/>
      <c r="J426" s="1843"/>
      <c r="K426" s="1842"/>
      <c r="L426" s="1843"/>
      <c r="M426" s="1842"/>
      <c r="N426" s="1843"/>
      <c r="O426" s="1843"/>
      <c r="P426" s="1843"/>
      <c r="Q426" s="1845"/>
      <c r="R426" s="1845"/>
      <c r="S426" s="1843"/>
      <c r="T426" s="1852"/>
      <c r="U426" s="1843"/>
      <c r="V426" s="1846"/>
      <c r="W426" s="1846"/>
      <c r="X426" s="1845"/>
      <c r="Y426" s="1845"/>
      <c r="Z426" s="1843"/>
      <c r="AA426" s="1843"/>
      <c r="AB426" s="1843"/>
      <c r="AC426" s="1843"/>
      <c r="AD426" s="1843"/>
      <c r="AE426" s="1843"/>
      <c r="AF426" s="1843"/>
      <c r="AG426" s="1843"/>
      <c r="AH426" s="1843"/>
      <c r="AI426" s="1843"/>
      <c r="AJ426" s="1843"/>
      <c r="AK426" s="1843"/>
      <c r="AL426" s="1852"/>
      <c r="AM426" s="1843"/>
      <c r="AN426" s="1846"/>
      <c r="AO426" s="1846"/>
      <c r="AP426" s="429"/>
      <c r="AZ426" s="3"/>
      <c r="BF426" s="3"/>
      <c r="BI426" s="3"/>
      <c r="BL426" s="3"/>
    </row>
    <row r="427" spans="3:64" ht="21.75" customHeight="1">
      <c r="C427" s="2516"/>
      <c r="D427" s="2516"/>
      <c r="E427" s="1842"/>
      <c r="F427" s="1843"/>
      <c r="G427" s="1879"/>
      <c r="H427" s="1852"/>
      <c r="I427" s="1842"/>
      <c r="J427" s="1843"/>
      <c r="K427" s="1842"/>
      <c r="L427" s="1843"/>
      <c r="M427" s="1842"/>
      <c r="N427" s="1843"/>
      <c r="O427" s="1843"/>
      <c r="P427" s="1843"/>
      <c r="Q427" s="1845"/>
      <c r="R427" s="1845"/>
      <c r="S427" s="1843"/>
      <c r="T427" s="1852"/>
      <c r="U427" s="1843"/>
      <c r="V427" s="1846"/>
      <c r="W427" s="1846"/>
      <c r="X427" s="1845"/>
      <c r="Y427" s="1845"/>
      <c r="Z427" s="1843"/>
      <c r="AA427" s="1843"/>
      <c r="AB427" s="1843"/>
      <c r="AC427" s="1843"/>
      <c r="AD427" s="1843"/>
      <c r="AE427" s="1843"/>
      <c r="AF427" s="1843"/>
      <c r="AG427" s="1843"/>
      <c r="AH427" s="1843"/>
      <c r="AI427" s="1843"/>
      <c r="AJ427" s="1843"/>
      <c r="AK427" s="1843"/>
      <c r="AL427" s="1852"/>
      <c r="AM427" s="1843"/>
      <c r="AN427" s="1846"/>
      <c r="AO427" s="1846"/>
      <c r="AP427" s="429"/>
      <c r="AZ427" s="3"/>
      <c r="BF427" s="3"/>
      <c r="BI427" s="3"/>
      <c r="BL427" s="3"/>
    </row>
    <row r="428" spans="3:64" ht="21" customHeight="1">
      <c r="C428" s="2516"/>
      <c r="D428" s="2516"/>
      <c r="E428" s="1842"/>
      <c r="F428" s="1843"/>
      <c r="G428" s="1879"/>
      <c r="H428" s="1852"/>
      <c r="I428" s="1842"/>
      <c r="J428" s="1843"/>
      <c r="K428" s="1842"/>
      <c r="L428" s="1843"/>
      <c r="M428" s="1842"/>
      <c r="N428" s="1843"/>
      <c r="O428" s="1843"/>
      <c r="P428" s="1843"/>
      <c r="Q428" s="1845"/>
      <c r="R428" s="1845"/>
      <c r="S428" s="1843"/>
      <c r="T428" s="1852"/>
      <c r="U428" s="1843"/>
      <c r="V428" s="1846"/>
      <c r="W428" s="1846"/>
      <c r="X428" s="1845"/>
      <c r="Y428" s="1845"/>
      <c r="Z428" s="1843"/>
      <c r="AA428" s="1843"/>
      <c r="AB428" s="1843"/>
      <c r="AC428" s="1843"/>
      <c r="AD428" s="1843"/>
      <c r="AE428" s="1843"/>
      <c r="AF428" s="1843"/>
      <c r="AG428" s="1843"/>
      <c r="AH428" s="1843"/>
      <c r="AI428" s="1843"/>
      <c r="AJ428" s="1843"/>
      <c r="AK428" s="1843"/>
      <c r="AL428" s="1852"/>
      <c r="AM428" s="1843"/>
      <c r="AN428" s="1846"/>
      <c r="AO428" s="1846"/>
      <c r="AP428" s="429"/>
      <c r="AZ428" s="3"/>
      <c r="BF428" s="3"/>
      <c r="BI428" s="3"/>
      <c r="BL428" s="3"/>
    </row>
    <row r="429" spans="3:64" ht="21" customHeight="1">
      <c r="C429" s="2516"/>
      <c r="D429" s="2516"/>
      <c r="E429" s="1842"/>
      <c r="F429" s="1843"/>
      <c r="G429" s="1879"/>
      <c r="H429" s="1852"/>
      <c r="I429" s="1842"/>
      <c r="J429" s="1843"/>
      <c r="K429" s="1842"/>
      <c r="L429" s="1843"/>
      <c r="M429" s="1842"/>
      <c r="N429" s="1843"/>
      <c r="O429" s="1843"/>
      <c r="P429" s="1843"/>
      <c r="Q429" s="1845"/>
      <c r="R429" s="1845"/>
      <c r="S429" s="1843"/>
      <c r="T429" s="1852"/>
      <c r="U429" s="1843"/>
      <c r="V429" s="1846"/>
      <c r="W429" s="1846"/>
      <c r="X429" s="1845"/>
      <c r="Y429" s="1845"/>
      <c r="Z429" s="1843"/>
      <c r="AA429" s="1843"/>
      <c r="AB429" s="1843"/>
      <c r="AC429" s="1843"/>
      <c r="AD429" s="1843"/>
      <c r="AE429" s="1843"/>
      <c r="AF429" s="1843"/>
      <c r="AG429" s="1843"/>
      <c r="AH429" s="1843"/>
      <c r="AI429" s="1843"/>
      <c r="AJ429" s="1843"/>
      <c r="AK429" s="1843"/>
      <c r="AL429" s="1852"/>
      <c r="AM429" s="1843"/>
      <c r="AN429" s="1846"/>
      <c r="AO429" s="1846"/>
      <c r="AP429" s="429"/>
      <c r="AZ429" s="3"/>
      <c r="BF429" s="3"/>
      <c r="BI429" s="3"/>
      <c r="BL429" s="3"/>
    </row>
    <row r="430" spans="3:64" ht="21" customHeight="1">
      <c r="C430" s="2516"/>
      <c r="D430" s="2516"/>
      <c r="E430" s="1842"/>
      <c r="F430" s="1843"/>
      <c r="G430" s="1879"/>
      <c r="H430" s="1852"/>
      <c r="I430" s="1842"/>
      <c r="J430" s="1843"/>
      <c r="K430" s="1842"/>
      <c r="L430" s="1843"/>
      <c r="M430" s="1842"/>
      <c r="N430" s="1843"/>
      <c r="O430" s="1843"/>
      <c r="P430" s="1843"/>
      <c r="Q430" s="1845"/>
      <c r="R430" s="1845"/>
      <c r="S430" s="1843"/>
      <c r="T430" s="1852"/>
      <c r="U430" s="1843"/>
      <c r="V430" s="1846"/>
      <c r="W430" s="1846"/>
      <c r="X430" s="1845"/>
      <c r="Y430" s="1845"/>
      <c r="Z430" s="1843"/>
      <c r="AA430" s="1843"/>
      <c r="AB430" s="1843"/>
      <c r="AC430" s="1843"/>
      <c r="AD430" s="1843"/>
      <c r="AE430" s="1843"/>
      <c r="AF430" s="1843"/>
      <c r="AG430" s="1843"/>
      <c r="AH430" s="1843"/>
      <c r="AI430" s="1843"/>
      <c r="AJ430" s="1843"/>
      <c r="AK430" s="1843"/>
      <c r="AL430" s="1852"/>
      <c r="AM430" s="1843"/>
      <c r="AN430" s="1846"/>
      <c r="AO430" s="1846"/>
      <c r="AP430" s="429"/>
      <c r="AZ430" s="3"/>
      <c r="BF430" s="3"/>
      <c r="BI430" s="3"/>
      <c r="BL430" s="3"/>
    </row>
    <row r="431" spans="3:64" ht="21" customHeight="1">
      <c r="C431" s="2516"/>
      <c r="D431" s="2516"/>
      <c r="E431" s="1842"/>
      <c r="F431" s="1843"/>
      <c r="G431" s="1879"/>
      <c r="H431" s="1852"/>
      <c r="I431" s="1842"/>
      <c r="J431" s="1843"/>
      <c r="K431" s="1842"/>
      <c r="L431" s="1843"/>
      <c r="M431" s="1842"/>
      <c r="N431" s="1843"/>
      <c r="O431" s="1843"/>
      <c r="P431" s="1843"/>
      <c r="Q431" s="1845"/>
      <c r="R431" s="1845"/>
      <c r="S431" s="1843"/>
      <c r="T431" s="1852"/>
      <c r="U431" s="1843"/>
      <c r="V431" s="1846"/>
      <c r="W431" s="1846"/>
      <c r="X431" s="1845"/>
      <c r="Y431" s="1845"/>
      <c r="Z431" s="1843"/>
      <c r="AA431" s="1843"/>
      <c r="AB431" s="1843"/>
      <c r="AC431" s="1843"/>
      <c r="AD431" s="1843"/>
      <c r="AE431" s="1843"/>
      <c r="AF431" s="1843"/>
      <c r="AG431" s="1843"/>
      <c r="AH431" s="1843"/>
      <c r="AI431" s="1843"/>
      <c r="AJ431" s="1843"/>
      <c r="AK431" s="1843"/>
      <c r="AL431" s="1852"/>
      <c r="AM431" s="1843"/>
      <c r="AN431" s="1846"/>
      <c r="AO431" s="1846"/>
      <c r="AP431" s="429"/>
      <c r="AZ431" s="3"/>
      <c r="BF431" s="3"/>
      <c r="BI431" s="3"/>
      <c r="BL431" s="3"/>
    </row>
    <row r="432" spans="3:64" ht="21" customHeight="1">
      <c r="C432" s="2516"/>
      <c r="D432" s="2516"/>
      <c r="E432" s="1842"/>
      <c r="F432" s="1843"/>
      <c r="G432" s="1879"/>
      <c r="H432" s="1852"/>
      <c r="I432" s="1842"/>
      <c r="J432" s="1843"/>
      <c r="K432" s="1842"/>
      <c r="L432" s="1843"/>
      <c r="M432" s="1842"/>
      <c r="N432" s="1843"/>
      <c r="O432" s="1843"/>
      <c r="P432" s="1843"/>
      <c r="Q432" s="1845"/>
      <c r="R432" s="1845"/>
      <c r="S432" s="1843"/>
      <c r="T432" s="1852"/>
      <c r="U432" s="1843"/>
      <c r="V432" s="1846"/>
      <c r="W432" s="1846"/>
      <c r="X432" s="1845"/>
      <c r="Y432" s="1845"/>
      <c r="Z432" s="1843"/>
      <c r="AA432" s="1843"/>
      <c r="AB432" s="1843"/>
      <c r="AC432" s="1843"/>
      <c r="AD432" s="1843"/>
      <c r="AE432" s="1843"/>
      <c r="AF432" s="1843"/>
      <c r="AG432" s="1843"/>
      <c r="AH432" s="1843"/>
      <c r="AI432" s="1843"/>
      <c r="AJ432" s="1843"/>
      <c r="AK432" s="1843"/>
      <c r="AL432" s="1852"/>
      <c r="AM432" s="1843"/>
      <c r="AN432" s="1846"/>
      <c r="AO432" s="1846"/>
      <c r="AP432" s="429"/>
      <c r="AZ432" s="3"/>
      <c r="BF432" s="3"/>
      <c r="BI432" s="3"/>
      <c r="BL432" s="3"/>
    </row>
    <row r="433" spans="3:64" ht="30" customHeight="1">
      <c r="C433" s="2516"/>
      <c r="D433" s="2516"/>
      <c r="E433" s="1842"/>
      <c r="F433" s="1843"/>
      <c r="G433" s="1879"/>
      <c r="H433" s="1852"/>
      <c r="I433" s="1842"/>
      <c r="J433" s="1843"/>
      <c r="K433" s="1842"/>
      <c r="L433" s="1843"/>
      <c r="M433" s="1842"/>
      <c r="N433" s="1843"/>
      <c r="O433" s="1843"/>
      <c r="P433" s="1843"/>
      <c r="Q433" s="1845"/>
      <c r="R433" s="1845"/>
      <c r="S433" s="1843"/>
      <c r="T433" s="1852"/>
      <c r="U433" s="1843"/>
      <c r="V433" s="1846"/>
      <c r="W433" s="1846"/>
      <c r="X433" s="1845"/>
      <c r="Y433" s="1845"/>
      <c r="Z433" s="1843"/>
      <c r="AA433" s="1843"/>
      <c r="AB433" s="1843"/>
      <c r="AC433" s="1843"/>
      <c r="AD433" s="1843"/>
      <c r="AE433" s="1843"/>
      <c r="AF433" s="1843"/>
      <c r="AG433" s="1843"/>
      <c r="AH433" s="1843"/>
      <c r="AI433" s="1843"/>
      <c r="AJ433" s="1843"/>
      <c r="AK433" s="1843"/>
      <c r="AL433" s="1852"/>
      <c r="AM433" s="1843"/>
      <c r="AN433" s="1846"/>
      <c r="AO433" s="1846"/>
      <c r="AP433" s="429"/>
      <c r="AZ433" s="3"/>
      <c r="BF433" s="3"/>
      <c r="BI433" s="3"/>
      <c r="BL433" s="3"/>
    </row>
    <row r="434" spans="3:64" ht="21" customHeight="1">
      <c r="C434" s="2516"/>
      <c r="D434" s="2516"/>
      <c r="E434" s="1842"/>
      <c r="F434" s="1843"/>
      <c r="G434" s="1879"/>
      <c r="H434" s="1852"/>
      <c r="I434" s="1842"/>
      <c r="J434" s="1843"/>
      <c r="K434" s="1842"/>
      <c r="L434" s="1843"/>
      <c r="M434" s="1842"/>
      <c r="N434" s="1843"/>
      <c r="O434" s="1843"/>
      <c r="P434" s="1843"/>
      <c r="Q434" s="1845"/>
      <c r="R434" s="1845"/>
      <c r="S434" s="1843"/>
      <c r="T434" s="1852"/>
      <c r="U434" s="1843"/>
      <c r="V434" s="1846"/>
      <c r="W434" s="1846"/>
      <c r="X434" s="1845"/>
      <c r="Y434" s="1845"/>
      <c r="Z434" s="1843"/>
      <c r="AA434" s="1843"/>
      <c r="AB434" s="1843"/>
      <c r="AC434" s="1843"/>
      <c r="AD434" s="1843"/>
      <c r="AE434" s="1843"/>
      <c r="AF434" s="1843"/>
      <c r="AG434" s="1843"/>
      <c r="AH434" s="1843"/>
      <c r="AI434" s="1843"/>
      <c r="AJ434" s="1843"/>
      <c r="AK434" s="1843"/>
      <c r="AL434" s="1852"/>
      <c r="AM434" s="1843"/>
      <c r="AN434" s="1846"/>
      <c r="AO434" s="1846"/>
      <c r="AP434" s="429"/>
      <c r="AZ434" s="3"/>
      <c r="BF434" s="3"/>
      <c r="BI434" s="3"/>
      <c r="BL434" s="3"/>
    </row>
    <row r="435" spans="3:64" ht="21" customHeight="1">
      <c r="C435" s="2516"/>
      <c r="D435" s="2516"/>
      <c r="E435" s="1842"/>
      <c r="F435" s="1843"/>
      <c r="G435" s="1879"/>
      <c r="H435" s="1852"/>
      <c r="I435" s="1842"/>
      <c r="J435" s="1843"/>
      <c r="K435" s="1842"/>
      <c r="L435" s="1843"/>
      <c r="M435" s="1842"/>
      <c r="N435" s="1843"/>
      <c r="O435" s="1881"/>
      <c r="P435" s="1843"/>
      <c r="Q435" s="1845"/>
      <c r="R435" s="1845"/>
      <c r="S435" s="1843"/>
      <c r="T435" s="1852"/>
      <c r="U435" s="1843"/>
      <c r="V435" s="1846"/>
      <c r="W435" s="1846"/>
      <c r="X435" s="1845"/>
      <c r="Y435" s="1845"/>
      <c r="Z435" s="1843"/>
      <c r="AA435" s="1843"/>
      <c r="AB435" s="1843"/>
      <c r="AC435" s="1843"/>
      <c r="AD435" s="1843"/>
      <c r="AE435" s="1843"/>
      <c r="AF435" s="1843"/>
      <c r="AG435" s="1843"/>
      <c r="AH435" s="1843"/>
      <c r="AI435" s="1843"/>
      <c r="AJ435" s="1843"/>
      <c r="AK435" s="1843"/>
      <c r="AL435" s="1852"/>
      <c r="AM435" s="1843"/>
      <c r="AN435" s="1846"/>
      <c r="AO435" s="1846"/>
      <c r="AP435" s="429"/>
      <c r="AZ435" s="3"/>
      <c r="BF435" s="3"/>
      <c r="BI435" s="3"/>
      <c r="BL435" s="3"/>
    </row>
    <row r="436" spans="3:64" ht="21" customHeight="1">
      <c r="C436" s="2516"/>
      <c r="D436" s="2516"/>
      <c r="E436" s="1842"/>
      <c r="F436" s="1843"/>
      <c r="G436" s="1879"/>
      <c r="H436" s="1852"/>
      <c r="I436" s="1842"/>
      <c r="J436" s="1843"/>
      <c r="K436" s="1842"/>
      <c r="L436" s="1843"/>
      <c r="M436" s="1842"/>
      <c r="N436" s="1843"/>
      <c r="O436" s="1881"/>
      <c r="P436" s="1843"/>
      <c r="Q436" s="1845"/>
      <c r="R436" s="1845"/>
      <c r="S436" s="1843"/>
      <c r="T436" s="1852"/>
      <c r="U436" s="1843"/>
      <c r="V436" s="1846"/>
      <c r="W436" s="1846"/>
      <c r="X436" s="1845"/>
      <c r="Y436" s="1845"/>
      <c r="Z436" s="1843"/>
      <c r="AA436" s="1843"/>
      <c r="AB436" s="1843"/>
      <c r="AC436" s="1843"/>
      <c r="AD436" s="1843"/>
      <c r="AE436" s="1843"/>
      <c r="AF436" s="1843"/>
      <c r="AG436" s="1843"/>
      <c r="AH436" s="1843"/>
      <c r="AI436" s="1843"/>
      <c r="AJ436" s="1843"/>
      <c r="AK436" s="1843"/>
      <c r="AL436" s="1852"/>
      <c r="AM436" s="1843"/>
      <c r="AN436" s="1846"/>
      <c r="AO436" s="1846"/>
      <c r="AP436" s="429"/>
      <c r="AZ436" s="3"/>
      <c r="BF436" s="3"/>
      <c r="BI436" s="3"/>
      <c r="BL436" s="3"/>
    </row>
    <row r="437" spans="3:64" ht="15.75">
      <c r="C437" s="2516"/>
      <c r="D437" s="2516"/>
      <c r="E437" s="1842"/>
      <c r="F437" s="1843"/>
      <c r="G437" s="1879"/>
      <c r="H437" s="1852"/>
      <c r="I437" s="1842"/>
      <c r="J437" s="1843"/>
      <c r="K437" s="1842"/>
      <c r="L437" s="1843"/>
      <c r="M437" s="1842"/>
      <c r="N437" s="1843"/>
      <c r="O437" s="1881"/>
      <c r="P437" s="1843"/>
      <c r="Q437" s="1845"/>
      <c r="R437" s="1845"/>
      <c r="S437" s="1843"/>
      <c r="T437" s="1852"/>
      <c r="U437" s="1843"/>
      <c r="V437" s="1846"/>
      <c r="W437" s="1846"/>
      <c r="X437" s="1845"/>
      <c r="Y437" s="1845"/>
      <c r="Z437" s="1843"/>
      <c r="AA437" s="1843"/>
      <c r="AB437" s="1843"/>
      <c r="AC437" s="1843"/>
      <c r="AD437" s="1843"/>
      <c r="AE437" s="1843"/>
      <c r="AF437" s="1843"/>
      <c r="AG437" s="1843"/>
      <c r="AH437" s="1843"/>
      <c r="AI437" s="1843"/>
      <c r="AJ437" s="1843"/>
      <c r="AK437" s="1843"/>
      <c r="AL437" s="1852"/>
      <c r="AM437" s="1843"/>
      <c r="AN437" s="1846"/>
      <c r="AO437" s="1846"/>
      <c r="AP437" s="429"/>
      <c r="AZ437" s="3"/>
      <c r="BF437" s="3"/>
      <c r="BI437" s="3"/>
      <c r="BL437" s="3"/>
    </row>
    <row r="438" spans="3:64" ht="15.75">
      <c r="C438" s="2516"/>
      <c r="D438" s="2516"/>
      <c r="E438" s="1842"/>
      <c r="F438" s="1843"/>
      <c r="G438" s="1879"/>
      <c r="H438" s="1852"/>
      <c r="I438" s="1842"/>
      <c r="J438" s="1843"/>
      <c r="K438" s="1842"/>
      <c r="L438" s="1843"/>
      <c r="M438" s="1842"/>
      <c r="N438" s="1843"/>
      <c r="O438" s="1843"/>
      <c r="P438" s="1843"/>
      <c r="Q438" s="1845"/>
      <c r="R438" s="1845"/>
      <c r="S438" s="1843"/>
      <c r="T438" s="1852"/>
      <c r="U438" s="1843"/>
      <c r="V438" s="1846"/>
      <c r="W438" s="1846"/>
      <c r="X438" s="1845"/>
      <c r="Y438" s="1845"/>
      <c r="Z438" s="1843"/>
      <c r="AA438" s="1843"/>
      <c r="AB438" s="1843"/>
      <c r="AC438" s="1843"/>
      <c r="AD438" s="1843"/>
      <c r="AE438" s="1843"/>
      <c r="AF438" s="1843"/>
      <c r="AG438" s="1843"/>
      <c r="AH438" s="1843"/>
      <c r="AI438" s="1843"/>
      <c r="AJ438" s="1843"/>
      <c r="AK438" s="1843"/>
      <c r="AL438" s="1852"/>
      <c r="AM438" s="1843"/>
      <c r="AN438" s="1846"/>
      <c r="AO438" s="1846"/>
      <c r="AP438" s="429"/>
      <c r="AZ438" s="3"/>
      <c r="BF438" s="3"/>
      <c r="BI438" s="3"/>
      <c r="BL438" s="3"/>
    </row>
    <row r="439" spans="3:64" ht="15.75">
      <c r="C439" s="2516"/>
      <c r="D439" s="2516"/>
      <c r="E439" s="1842"/>
      <c r="F439" s="1843"/>
      <c r="G439" s="1879"/>
      <c r="H439" s="1852"/>
      <c r="I439" s="1842"/>
      <c r="J439" s="1843"/>
      <c r="K439" s="1842"/>
      <c r="L439" s="1843"/>
      <c r="M439" s="1842"/>
      <c r="N439" s="1843"/>
      <c r="O439" s="1843"/>
      <c r="P439" s="1843"/>
      <c r="Q439" s="1845"/>
      <c r="R439" s="1845"/>
      <c r="S439" s="1843"/>
      <c r="T439" s="1852"/>
      <c r="U439" s="1843"/>
      <c r="V439" s="1846"/>
      <c r="W439" s="1846"/>
      <c r="X439" s="1845"/>
      <c r="Y439" s="1845"/>
      <c r="Z439" s="1843"/>
      <c r="AA439" s="1843"/>
      <c r="AB439" s="1843"/>
      <c r="AC439" s="1843"/>
      <c r="AD439" s="1843"/>
      <c r="AE439" s="1843"/>
      <c r="AF439" s="1843"/>
      <c r="AG439" s="1843"/>
      <c r="AH439" s="1843"/>
      <c r="AI439" s="1843"/>
      <c r="AJ439" s="1843"/>
      <c r="AK439" s="1843"/>
      <c r="AL439" s="1852"/>
      <c r="AM439" s="1843"/>
      <c r="AN439" s="1846"/>
      <c r="AO439" s="1846"/>
      <c r="AP439" s="429"/>
      <c r="AZ439" s="3"/>
      <c r="BF439" s="3"/>
      <c r="BI439" s="3"/>
      <c r="BL439" s="3"/>
    </row>
    <row r="440" spans="3:64" ht="15.75">
      <c r="C440" s="2516"/>
      <c r="D440" s="2516"/>
      <c r="E440" s="1842"/>
      <c r="F440" s="1843"/>
      <c r="G440" s="1879"/>
      <c r="H440" s="1852"/>
      <c r="I440" s="1842"/>
      <c r="J440" s="1843"/>
      <c r="K440" s="1842"/>
      <c r="L440" s="1843"/>
      <c r="M440" s="1842"/>
      <c r="N440" s="1843"/>
      <c r="O440" s="1843"/>
      <c r="P440" s="1843"/>
      <c r="Q440" s="1845"/>
      <c r="R440" s="1845"/>
      <c r="S440" s="1843"/>
      <c r="T440" s="1852"/>
      <c r="U440" s="1843"/>
      <c r="V440" s="1846"/>
      <c r="W440" s="1846"/>
      <c r="X440" s="1845"/>
      <c r="Y440" s="1845"/>
      <c r="Z440" s="1843"/>
      <c r="AA440" s="1843"/>
      <c r="AB440" s="1843"/>
      <c r="AC440" s="1843"/>
      <c r="AD440" s="1843"/>
      <c r="AE440" s="1843"/>
      <c r="AF440" s="1843"/>
      <c r="AG440" s="1843"/>
      <c r="AH440" s="1843"/>
      <c r="AI440" s="1843"/>
      <c r="AJ440" s="1843"/>
      <c r="AK440" s="1843"/>
      <c r="AL440" s="1852"/>
      <c r="AM440" s="1843"/>
      <c r="AN440" s="1846"/>
      <c r="AO440" s="1846"/>
      <c r="AP440" s="429"/>
      <c r="AZ440" s="3"/>
      <c r="BF440" s="3"/>
      <c r="BI440" s="3"/>
      <c r="BL440" s="3"/>
    </row>
    <row r="441" spans="3:64" ht="15.75">
      <c r="C441" s="2516"/>
      <c r="D441" s="2516"/>
      <c r="E441" s="1842"/>
      <c r="F441" s="1843"/>
      <c r="G441" s="1879"/>
      <c r="H441" s="1852"/>
      <c r="I441" s="1842"/>
      <c r="J441" s="1843"/>
      <c r="K441" s="1842"/>
      <c r="L441" s="1843"/>
      <c r="M441" s="1842"/>
      <c r="N441" s="1843"/>
      <c r="O441" s="1843"/>
      <c r="P441" s="1843"/>
      <c r="Q441" s="1845"/>
      <c r="R441" s="1845"/>
      <c r="S441" s="1843"/>
      <c r="T441" s="1852"/>
      <c r="U441" s="1843"/>
      <c r="V441" s="1846"/>
      <c r="W441" s="1846"/>
      <c r="X441" s="1845"/>
      <c r="Y441" s="1845"/>
      <c r="Z441" s="1843"/>
      <c r="AA441" s="1843"/>
      <c r="AB441" s="1843"/>
      <c r="AC441" s="1843"/>
      <c r="AD441" s="1843"/>
      <c r="AE441" s="1843"/>
      <c r="AF441" s="1843"/>
      <c r="AG441" s="1843"/>
      <c r="AH441" s="1843"/>
      <c r="AI441" s="1843"/>
      <c r="AJ441" s="1843"/>
      <c r="AK441" s="1843"/>
      <c r="AL441" s="1852"/>
      <c r="AM441" s="1843"/>
      <c r="AN441" s="1846"/>
      <c r="AO441" s="1846"/>
      <c r="AP441" s="429"/>
      <c r="AZ441" s="3"/>
      <c r="BF441" s="3"/>
      <c r="BI441" s="3"/>
      <c r="BL441" s="3"/>
    </row>
    <row r="442" spans="3:64" ht="15.75">
      <c r="C442" s="2516"/>
      <c r="D442" s="2516"/>
      <c r="E442" s="1842"/>
      <c r="F442" s="1843"/>
      <c r="G442" s="1879"/>
      <c r="H442" s="1852"/>
      <c r="I442" s="1842"/>
      <c r="J442" s="1843"/>
      <c r="K442" s="1842"/>
      <c r="L442" s="1843"/>
      <c r="M442" s="1842"/>
      <c r="N442" s="1843"/>
      <c r="O442" s="1843"/>
      <c r="P442" s="1843"/>
      <c r="Q442" s="1845"/>
      <c r="R442" s="1845"/>
      <c r="S442" s="1843"/>
      <c r="T442" s="1852"/>
      <c r="U442" s="1843"/>
      <c r="V442" s="1846"/>
      <c r="W442" s="1846"/>
      <c r="X442" s="1845"/>
      <c r="Y442" s="1845"/>
      <c r="Z442" s="1843"/>
      <c r="AA442" s="1843"/>
      <c r="AB442" s="1843"/>
      <c r="AC442" s="1843"/>
      <c r="AD442" s="1843"/>
      <c r="AE442" s="1843"/>
      <c r="AF442" s="1843"/>
      <c r="AG442" s="1843"/>
      <c r="AH442" s="1843"/>
      <c r="AI442" s="1843"/>
      <c r="AJ442" s="1843"/>
      <c r="AK442" s="1843"/>
      <c r="AL442" s="1852"/>
      <c r="AM442" s="1843"/>
      <c r="AN442" s="1846"/>
      <c r="AO442" s="1846"/>
      <c r="AP442" s="429"/>
      <c r="AZ442" s="3"/>
      <c r="BF442" s="3"/>
      <c r="BI442" s="3"/>
      <c r="BL442" s="3"/>
    </row>
    <row r="443" spans="3:64" ht="15.75">
      <c r="C443" s="2516"/>
      <c r="D443" s="2516"/>
      <c r="E443" s="1842"/>
      <c r="F443" s="1843"/>
      <c r="G443" s="1879"/>
      <c r="H443" s="1852"/>
      <c r="I443" s="1842"/>
      <c r="J443" s="1843"/>
      <c r="K443" s="1842"/>
      <c r="L443" s="1843"/>
      <c r="M443" s="1842"/>
      <c r="N443" s="1843"/>
      <c r="O443" s="1843"/>
      <c r="P443" s="1843"/>
      <c r="Q443" s="1845"/>
      <c r="R443" s="1845"/>
      <c r="S443" s="1843"/>
      <c r="T443" s="1852"/>
      <c r="U443" s="1843"/>
      <c r="V443" s="1846"/>
      <c r="W443" s="1846"/>
      <c r="X443" s="1845"/>
      <c r="Y443" s="1845"/>
      <c r="Z443" s="1843"/>
      <c r="AA443" s="1843"/>
      <c r="AB443" s="1843"/>
      <c r="AC443" s="1843"/>
      <c r="AD443" s="1843"/>
      <c r="AE443" s="1843"/>
      <c r="AF443" s="1843"/>
      <c r="AG443" s="1843"/>
      <c r="AH443" s="1843"/>
      <c r="AI443" s="1843"/>
      <c r="AJ443" s="1843"/>
      <c r="AK443" s="1843"/>
      <c r="AL443" s="1852"/>
      <c r="AM443" s="1843"/>
      <c r="AN443" s="1846"/>
      <c r="AO443" s="1846"/>
      <c r="AP443" s="429"/>
      <c r="AZ443" s="3"/>
      <c r="BF443" s="3"/>
      <c r="BI443" s="3"/>
      <c r="BL443" s="3"/>
    </row>
    <row r="444" spans="3:64" ht="15.75">
      <c r="C444" s="2516"/>
      <c r="D444" s="2516"/>
      <c r="E444" s="1842"/>
      <c r="F444" s="1843"/>
      <c r="G444" s="1879"/>
      <c r="H444" s="1852"/>
      <c r="I444" s="1842"/>
      <c r="J444" s="1843"/>
      <c r="K444" s="1842"/>
      <c r="L444" s="1843"/>
      <c r="M444" s="1842"/>
      <c r="N444" s="1843"/>
      <c r="O444" s="1843"/>
      <c r="P444" s="1843"/>
      <c r="Q444" s="1845"/>
      <c r="R444" s="1845"/>
      <c r="S444" s="1843"/>
      <c r="T444" s="1852"/>
      <c r="U444" s="1843"/>
      <c r="V444" s="1846"/>
      <c r="W444" s="1846"/>
      <c r="X444" s="1845"/>
      <c r="Y444" s="1845"/>
      <c r="Z444" s="1843"/>
      <c r="AA444" s="1843"/>
      <c r="AB444" s="1843"/>
      <c r="AC444" s="1843"/>
      <c r="AD444" s="1843"/>
      <c r="AE444" s="1843"/>
      <c r="AF444" s="1843"/>
      <c r="AG444" s="1843"/>
      <c r="AH444" s="1843"/>
      <c r="AI444" s="1843"/>
      <c r="AJ444" s="1843"/>
      <c r="AK444" s="1843"/>
      <c r="AL444" s="1852"/>
      <c r="AM444" s="1843"/>
      <c r="AN444" s="1846"/>
      <c r="AO444" s="1846"/>
      <c r="AP444" s="429"/>
      <c r="AZ444" s="3"/>
      <c r="BF444" s="3"/>
      <c r="BI444" s="3"/>
      <c r="BL444" s="3"/>
    </row>
    <row r="445" spans="3:64" ht="15.75">
      <c r="C445" s="2516"/>
      <c r="D445" s="2516"/>
      <c r="E445" s="1842"/>
      <c r="F445" s="1843"/>
      <c r="G445" s="1879"/>
      <c r="H445" s="1852"/>
      <c r="I445" s="1842"/>
      <c r="J445" s="1843"/>
      <c r="K445" s="1842"/>
      <c r="L445" s="1843"/>
      <c r="M445" s="1842"/>
      <c r="N445" s="1843"/>
      <c r="O445" s="1843"/>
      <c r="P445" s="1843"/>
      <c r="Q445" s="1845"/>
      <c r="R445" s="1845"/>
      <c r="S445" s="1843"/>
      <c r="T445" s="1852"/>
      <c r="U445" s="1843"/>
      <c r="V445" s="1846"/>
      <c r="W445" s="1846"/>
      <c r="X445" s="1845"/>
      <c r="Y445" s="1845"/>
      <c r="Z445" s="1843"/>
      <c r="AA445" s="1843"/>
      <c r="AB445" s="1843"/>
      <c r="AC445" s="1843"/>
      <c r="AD445" s="1843"/>
      <c r="AE445" s="1843"/>
      <c r="AF445" s="1843"/>
      <c r="AG445" s="1843"/>
      <c r="AH445" s="1843"/>
      <c r="AI445" s="1843"/>
      <c r="AJ445" s="1843"/>
      <c r="AK445" s="1843"/>
      <c r="AL445" s="1852"/>
      <c r="AM445" s="1843"/>
      <c r="AN445" s="1846"/>
      <c r="AO445" s="1846"/>
      <c r="AP445" s="429"/>
      <c r="AZ445" s="3"/>
      <c r="BF445" s="3"/>
      <c r="BI445" s="3"/>
      <c r="BL445" s="3"/>
    </row>
    <row r="446" spans="3:64" ht="15.75">
      <c r="C446" s="2516"/>
      <c r="D446" s="2516"/>
      <c r="E446" s="1842"/>
      <c r="F446" s="1843"/>
      <c r="G446" s="1879"/>
      <c r="H446" s="1852"/>
      <c r="I446" s="1842"/>
      <c r="J446" s="1843"/>
      <c r="K446" s="1842"/>
      <c r="L446" s="1843"/>
      <c r="M446" s="1842"/>
      <c r="N446" s="1843"/>
      <c r="O446" s="1843"/>
      <c r="P446" s="1843"/>
      <c r="Q446" s="1845"/>
      <c r="R446" s="1845"/>
      <c r="S446" s="1843"/>
      <c r="T446" s="1852"/>
      <c r="U446" s="1843"/>
      <c r="V446" s="1846"/>
      <c r="W446" s="1846"/>
      <c r="X446" s="1845"/>
      <c r="Y446" s="1845"/>
      <c r="Z446" s="1843"/>
      <c r="AA446" s="1843"/>
      <c r="AB446" s="1843"/>
      <c r="AC446" s="1843"/>
      <c r="AD446" s="1843"/>
      <c r="AE446" s="1843"/>
      <c r="AF446" s="1843"/>
      <c r="AG446" s="1843"/>
      <c r="AH446" s="1843"/>
      <c r="AI446" s="1843"/>
      <c r="AJ446" s="1843"/>
      <c r="AK446" s="1843"/>
      <c r="AL446" s="1852"/>
      <c r="AM446" s="1843"/>
      <c r="AN446" s="1846"/>
      <c r="AO446" s="1846"/>
      <c r="AP446" s="429"/>
      <c r="AZ446" s="3"/>
      <c r="BF446" s="3"/>
      <c r="BI446" s="3"/>
      <c r="BL446" s="3"/>
    </row>
    <row r="447" spans="3:64">
      <c r="C447" s="431"/>
      <c r="D447" s="431"/>
      <c r="E447" s="431"/>
      <c r="F447" s="431"/>
      <c r="G447" s="431"/>
      <c r="H447" s="431"/>
      <c r="I447" s="431"/>
      <c r="J447" s="431"/>
      <c r="K447" s="431"/>
      <c r="L447" s="431"/>
      <c r="M447" s="431"/>
      <c r="N447" s="431"/>
      <c r="O447" s="431"/>
      <c r="P447" s="431"/>
      <c r="Q447" s="431"/>
      <c r="R447" s="431"/>
      <c r="S447" s="431"/>
      <c r="T447" s="431"/>
      <c r="U447" s="431"/>
      <c r="V447" s="431"/>
      <c r="W447" s="431"/>
      <c r="X447" s="431"/>
      <c r="Y447" s="431"/>
      <c r="Z447" s="431"/>
      <c r="AA447" s="431"/>
      <c r="AB447" s="431"/>
      <c r="AC447" s="431"/>
      <c r="AD447" s="431"/>
      <c r="AE447" s="431"/>
      <c r="AF447" s="431"/>
      <c r="AG447" s="431"/>
      <c r="AH447" s="431"/>
      <c r="AI447" s="431"/>
      <c r="AJ447" s="431"/>
      <c r="AK447" s="431"/>
      <c r="AL447" s="431"/>
      <c r="AM447" s="431"/>
      <c r="AN447" s="431"/>
      <c r="AO447" s="431"/>
      <c r="AP447" s="429"/>
      <c r="AZ447" s="3"/>
      <c r="BF447" s="3"/>
      <c r="BI447" s="3"/>
      <c r="BL447" s="3"/>
    </row>
    <row r="448" spans="3:64" ht="18">
      <c r="C448" s="1882"/>
      <c r="D448" s="1875"/>
      <c r="E448" s="2517"/>
      <c r="F448" s="2517"/>
      <c r="G448" s="2517"/>
      <c r="H448" s="2517"/>
      <c r="I448" s="2517"/>
      <c r="J448" s="2517"/>
      <c r="K448" s="2521"/>
      <c r="L448" s="2521"/>
      <c r="M448" s="2517"/>
      <c r="N448" s="2517"/>
      <c r="O448" s="2517"/>
      <c r="P448" s="2517"/>
      <c r="Q448" s="2517"/>
      <c r="R448" s="2517"/>
      <c r="S448" s="2517"/>
      <c r="T448" s="2517"/>
      <c r="U448" s="2517"/>
      <c r="V448" s="2517"/>
      <c r="W448" s="2517"/>
      <c r="X448" s="2517"/>
      <c r="Y448" s="2517"/>
      <c r="Z448" s="2517"/>
      <c r="AA448" s="428"/>
      <c r="AB448" s="428"/>
      <c r="AC448" s="428"/>
      <c r="AD448" s="428"/>
      <c r="AE448" s="428"/>
      <c r="AF448" s="428"/>
      <c r="AG448" s="428"/>
      <c r="AH448" s="428"/>
      <c r="AI448" s="428"/>
      <c r="AJ448" s="428"/>
      <c r="AK448" s="428"/>
      <c r="AP448" s="429"/>
      <c r="AZ448" s="3"/>
      <c r="BF448" s="3"/>
      <c r="BI448" s="3"/>
      <c r="BL448" s="3"/>
    </row>
    <row r="449" spans="3:64" ht="15.75">
      <c r="C449" s="1874"/>
      <c r="D449" s="1875"/>
      <c r="E449" s="2517"/>
      <c r="F449" s="2517"/>
      <c r="G449" s="2517"/>
      <c r="H449" s="2517"/>
      <c r="I449" s="2517"/>
      <c r="J449" s="2517"/>
      <c r="K449" s="2521"/>
      <c r="L449" s="2521"/>
      <c r="M449" s="1870"/>
      <c r="N449" s="1870"/>
      <c r="O449" s="2518"/>
      <c r="P449" s="2518"/>
      <c r="Q449" s="2518"/>
      <c r="R449" s="1870"/>
      <c r="S449" s="1870"/>
      <c r="T449" s="1870"/>
      <c r="U449" s="1870"/>
      <c r="V449" s="2518"/>
      <c r="W449" s="2518"/>
      <c r="X449" s="2518"/>
      <c r="Y449" s="1870"/>
      <c r="Z449" s="1870"/>
      <c r="AA449" s="1870"/>
      <c r="AB449" s="1870"/>
      <c r="AC449" s="1870"/>
      <c r="AD449" s="1870"/>
      <c r="AE449" s="1870"/>
      <c r="AF449" s="1870"/>
      <c r="AG449" s="1870"/>
      <c r="AH449" s="1870"/>
      <c r="AI449" s="1870"/>
      <c r="AJ449" s="1870"/>
      <c r="AK449" s="1870"/>
      <c r="AP449" s="429"/>
      <c r="AZ449" s="3"/>
      <c r="BF449" s="3"/>
      <c r="BI449" s="3"/>
      <c r="BL449" s="3"/>
    </row>
    <row r="450" spans="3:64" ht="15.75">
      <c r="C450" s="1874"/>
      <c r="D450" s="1875"/>
      <c r="E450" s="2517"/>
      <c r="F450" s="2517"/>
      <c r="G450" s="428"/>
      <c r="H450" s="428"/>
      <c r="I450" s="428"/>
      <c r="J450" s="428"/>
      <c r="K450" s="429"/>
      <c r="L450" s="429"/>
      <c r="M450" s="1829"/>
      <c r="N450" s="1829"/>
      <c r="O450" s="428"/>
      <c r="P450" s="1870"/>
      <c r="Q450" s="1870"/>
      <c r="R450" s="1883"/>
      <c r="S450" s="1883"/>
      <c r="T450" s="1829"/>
      <c r="U450" s="1829"/>
      <c r="V450" s="428"/>
      <c r="W450" s="1870"/>
      <c r="X450" s="1870"/>
      <c r="Y450" s="1883"/>
      <c r="Z450" s="1883"/>
      <c r="AA450" s="1883"/>
      <c r="AB450" s="1883"/>
      <c r="AC450" s="1883"/>
      <c r="AD450" s="1883"/>
      <c r="AE450" s="1883"/>
      <c r="AF450" s="1883"/>
      <c r="AG450" s="1883"/>
      <c r="AH450" s="1883"/>
      <c r="AI450" s="1883"/>
      <c r="AJ450" s="1883"/>
      <c r="AK450" s="1883"/>
      <c r="AP450" s="429"/>
      <c r="AZ450" s="3"/>
      <c r="BF450" s="3"/>
      <c r="BI450" s="3"/>
      <c r="BL450" s="3"/>
    </row>
    <row r="451" spans="3:64" ht="15.75">
      <c r="C451" s="1874"/>
      <c r="D451" s="1875"/>
      <c r="E451" s="1877"/>
      <c r="F451" s="1878"/>
      <c r="G451" s="1878"/>
      <c r="H451" s="1878"/>
      <c r="I451" s="1878"/>
      <c r="J451" s="1878"/>
      <c r="K451" s="1878"/>
      <c r="L451" s="1878"/>
      <c r="M451" s="2520"/>
      <c r="N451" s="2520"/>
      <c r="O451" s="2520"/>
      <c r="P451" s="2520"/>
      <c r="Q451" s="2520"/>
      <c r="R451" s="2520"/>
      <c r="S451" s="2520"/>
      <c r="T451" s="2520"/>
      <c r="U451" s="2520"/>
      <c r="V451" s="2520"/>
      <c r="W451" s="2520"/>
      <c r="X451" s="2520"/>
      <c r="Y451" s="2520"/>
      <c r="Z451" s="2520"/>
      <c r="AA451" s="429"/>
      <c r="AB451" s="429"/>
      <c r="AC451" s="429"/>
      <c r="AD451" s="429"/>
      <c r="AE451" s="429"/>
      <c r="AF451" s="429"/>
      <c r="AG451" s="429"/>
      <c r="AH451" s="429"/>
      <c r="AI451" s="429"/>
      <c r="AJ451" s="429"/>
      <c r="AK451" s="429"/>
      <c r="AP451" s="429"/>
      <c r="AZ451" s="3"/>
      <c r="BF451" s="3"/>
      <c r="BI451" s="3"/>
      <c r="BL451" s="3"/>
    </row>
    <row r="452" spans="3:64" ht="15.75">
      <c r="C452" s="1849"/>
      <c r="D452" s="1850"/>
      <c r="E452" s="1851"/>
      <c r="F452" s="1852"/>
      <c r="G452" s="1853"/>
      <c r="H452" s="1852"/>
      <c r="I452" s="1853"/>
      <c r="J452" s="1852"/>
      <c r="K452" s="1843"/>
      <c r="L452" s="1843"/>
      <c r="M452" s="1854"/>
      <c r="N452" s="1854"/>
      <c r="O452" s="1852"/>
      <c r="P452" s="1852"/>
      <c r="Q452" s="1852"/>
      <c r="R452" s="1746"/>
      <c r="S452" s="1746"/>
      <c r="T452" s="1854"/>
      <c r="U452" s="1854"/>
      <c r="V452" s="1852"/>
      <c r="W452" s="1852"/>
      <c r="X452" s="1852"/>
      <c r="Y452" s="1746"/>
      <c r="Z452" s="1746"/>
      <c r="AA452" s="1746"/>
      <c r="AB452" s="1746"/>
      <c r="AC452" s="1746"/>
      <c r="AD452" s="1746"/>
      <c r="AE452" s="1746"/>
      <c r="AF452" s="1746"/>
      <c r="AG452" s="1746"/>
      <c r="AH452" s="1746"/>
      <c r="AI452" s="1746"/>
      <c r="AJ452" s="1746"/>
      <c r="AK452" s="1746"/>
      <c r="AP452" s="429"/>
      <c r="AZ452" s="3"/>
      <c r="BF452" s="3"/>
      <c r="BI452" s="3"/>
      <c r="BL452" s="3"/>
    </row>
    <row r="453" spans="3:64" ht="15.75">
      <c r="C453" s="1849"/>
      <c r="D453" s="1850"/>
      <c r="E453" s="1851"/>
      <c r="F453" s="1852"/>
      <c r="G453" s="1853"/>
      <c r="H453" s="1852"/>
      <c r="I453" s="1853"/>
      <c r="J453" s="1852"/>
      <c r="K453" s="1843"/>
      <c r="L453" s="1843"/>
      <c r="M453" s="1854"/>
      <c r="N453" s="1854"/>
      <c r="O453" s="1852"/>
      <c r="P453" s="1852"/>
      <c r="Q453" s="1852"/>
      <c r="R453" s="1746"/>
      <c r="S453" s="1746"/>
      <c r="T453" s="1854"/>
      <c r="U453" s="1854"/>
      <c r="V453" s="1852"/>
      <c r="W453" s="1852"/>
      <c r="X453" s="1852"/>
      <c r="Y453" s="1746"/>
      <c r="Z453" s="1746"/>
      <c r="AA453" s="1746"/>
      <c r="AB453" s="1746"/>
      <c r="AC453" s="1746"/>
      <c r="AD453" s="1746"/>
      <c r="AE453" s="1746"/>
      <c r="AF453" s="1746"/>
      <c r="AG453" s="1746"/>
      <c r="AH453" s="1746"/>
      <c r="AI453" s="1746"/>
      <c r="AJ453" s="1746"/>
      <c r="AK453" s="1746"/>
      <c r="AP453" s="429"/>
      <c r="AZ453" s="3"/>
      <c r="BF453" s="3"/>
      <c r="BI453" s="3"/>
      <c r="BL453" s="3"/>
    </row>
    <row r="454" spans="3:64" ht="15.75">
      <c r="C454" s="2588"/>
      <c r="D454" s="1669"/>
      <c r="E454" s="1851"/>
      <c r="F454" s="1852"/>
      <c r="G454" s="1853"/>
      <c r="H454" s="1852"/>
      <c r="I454" s="1853"/>
      <c r="J454" s="1852"/>
      <c r="K454" s="1843"/>
      <c r="L454" s="1843"/>
      <c r="M454" s="1854"/>
      <c r="N454" s="1854"/>
      <c r="O454" s="1852"/>
      <c r="P454" s="1852"/>
      <c r="Q454" s="1852"/>
      <c r="R454" s="1746"/>
      <c r="S454" s="1746"/>
      <c r="T454" s="1854"/>
      <c r="U454" s="1851"/>
      <c r="V454" s="1855"/>
      <c r="W454" s="1852"/>
      <c r="X454" s="1856"/>
      <c r="Y454" s="1746"/>
      <c r="Z454" s="1746"/>
      <c r="AA454" s="1746"/>
      <c r="AB454" s="1746"/>
      <c r="AC454" s="1746"/>
      <c r="AD454" s="1746"/>
      <c r="AE454" s="1746"/>
      <c r="AF454" s="1746"/>
      <c r="AG454" s="1746"/>
      <c r="AH454" s="1746"/>
      <c r="AI454" s="1746"/>
      <c r="AJ454" s="1746"/>
      <c r="AK454" s="1746"/>
      <c r="AP454" s="429"/>
      <c r="AZ454" s="3"/>
      <c r="BF454" s="3"/>
      <c r="BI454" s="3"/>
      <c r="BL454" s="3"/>
    </row>
    <row r="455" spans="3:64" ht="15.75">
      <c r="C455" s="2588"/>
      <c r="D455" s="1669"/>
      <c r="E455" s="1851"/>
      <c r="F455" s="1852"/>
      <c r="G455" s="1853"/>
      <c r="H455" s="1852"/>
      <c r="I455" s="1853"/>
      <c r="J455" s="1852"/>
      <c r="K455" s="1843"/>
      <c r="L455" s="1843"/>
      <c r="M455" s="1854"/>
      <c r="N455" s="1854"/>
      <c r="O455" s="1852"/>
      <c r="P455" s="1852"/>
      <c r="Q455" s="1852"/>
      <c r="R455" s="1746"/>
      <c r="S455" s="1746"/>
      <c r="T455" s="1854"/>
      <c r="U455" s="1851"/>
      <c r="V455" s="1855"/>
      <c r="W455" s="1852"/>
      <c r="X455" s="1856"/>
      <c r="Y455" s="1746"/>
      <c r="Z455" s="1746"/>
      <c r="AA455" s="1746"/>
      <c r="AB455" s="1746"/>
      <c r="AC455" s="1746"/>
      <c r="AD455" s="1746"/>
      <c r="AE455" s="1746"/>
      <c r="AF455" s="1746"/>
      <c r="AG455" s="1746"/>
      <c r="AH455" s="1746"/>
      <c r="AI455" s="1746"/>
      <c r="AJ455" s="1746"/>
      <c r="AK455" s="1746"/>
      <c r="AP455" s="429"/>
      <c r="AZ455" s="3"/>
      <c r="BF455" s="3"/>
      <c r="BI455" s="3"/>
      <c r="BL455" s="3"/>
    </row>
    <row r="456" spans="3:64" ht="15.75">
      <c r="C456" s="2588"/>
      <c r="D456" s="1669"/>
      <c r="E456" s="1851"/>
      <c r="F456" s="1852"/>
      <c r="G456" s="1853"/>
      <c r="H456" s="1852"/>
      <c r="I456" s="1853"/>
      <c r="J456" s="1852"/>
      <c r="K456" s="1843"/>
      <c r="L456" s="1843"/>
      <c r="M456" s="1854"/>
      <c r="N456" s="1854"/>
      <c r="O456" s="1852"/>
      <c r="P456" s="1852"/>
      <c r="Q456" s="1852"/>
      <c r="R456" s="1746"/>
      <c r="S456" s="1746"/>
      <c r="T456" s="1854"/>
      <c r="U456" s="1851"/>
      <c r="V456" s="1855"/>
      <c r="W456" s="1852"/>
      <c r="X456" s="1856"/>
      <c r="Y456" s="1746"/>
      <c r="Z456" s="1746"/>
      <c r="AA456" s="1746"/>
      <c r="AB456" s="1746"/>
      <c r="AC456" s="1746"/>
      <c r="AD456" s="1746"/>
      <c r="AE456" s="1746"/>
      <c r="AF456" s="1746"/>
      <c r="AG456" s="1746"/>
      <c r="AH456" s="1746"/>
      <c r="AI456" s="1746"/>
      <c r="AJ456" s="1746"/>
      <c r="AK456" s="1746"/>
      <c r="AP456" s="429"/>
      <c r="AZ456" s="3"/>
      <c r="BF456" s="3"/>
      <c r="BI456" s="3"/>
      <c r="BL456" s="3"/>
    </row>
    <row r="457" spans="3:64" ht="15.75">
      <c r="C457" s="2588"/>
      <c r="D457" s="1669"/>
      <c r="E457" s="1851"/>
      <c r="F457" s="1852"/>
      <c r="G457" s="1853"/>
      <c r="H457" s="1852"/>
      <c r="I457" s="1853"/>
      <c r="J457" s="1852"/>
      <c r="K457" s="1843"/>
      <c r="L457" s="1843"/>
      <c r="M457" s="1854"/>
      <c r="N457" s="1854"/>
      <c r="O457" s="1852"/>
      <c r="P457" s="1852"/>
      <c r="Q457" s="1852"/>
      <c r="R457" s="1746"/>
      <c r="S457" s="1746"/>
      <c r="T457" s="1854"/>
      <c r="U457" s="1851"/>
      <c r="V457" s="1855"/>
      <c r="W457" s="1852"/>
      <c r="X457" s="1856"/>
      <c r="Y457" s="1746"/>
      <c r="Z457" s="1746"/>
      <c r="AA457" s="1746"/>
      <c r="AB457" s="1746"/>
      <c r="AC457" s="1746"/>
      <c r="AD457" s="1746"/>
      <c r="AE457" s="1746"/>
      <c r="AF457" s="1746"/>
      <c r="AG457" s="1746"/>
      <c r="AH457" s="1746"/>
      <c r="AI457" s="1746"/>
      <c r="AJ457" s="1746"/>
      <c r="AK457" s="1746"/>
      <c r="AP457" s="429"/>
      <c r="AZ457" s="3"/>
      <c r="BF457" s="3"/>
      <c r="BI457" s="3"/>
      <c r="BL457" s="3"/>
    </row>
    <row r="458" spans="3:64" ht="15.75">
      <c r="C458" s="2588"/>
      <c r="D458" s="1669"/>
      <c r="E458" s="1851"/>
      <c r="F458" s="1852"/>
      <c r="G458" s="1853"/>
      <c r="H458" s="1852"/>
      <c r="I458" s="1853"/>
      <c r="J458" s="1852"/>
      <c r="K458" s="1843"/>
      <c r="L458" s="1843"/>
      <c r="M458" s="1854"/>
      <c r="N458" s="1854"/>
      <c r="O458" s="1852"/>
      <c r="P458" s="1852"/>
      <c r="Q458" s="1852"/>
      <c r="R458" s="1746"/>
      <c r="S458" s="1746"/>
      <c r="T458" s="1854"/>
      <c r="U458" s="1851"/>
      <c r="V458" s="1855"/>
      <c r="W458" s="1852"/>
      <c r="X458" s="1852"/>
      <c r="Y458" s="1746"/>
      <c r="Z458" s="1746"/>
      <c r="AA458" s="1746"/>
      <c r="AB458" s="1746"/>
      <c r="AC458" s="1746"/>
      <c r="AD458" s="1746"/>
      <c r="AE458" s="1746"/>
      <c r="AF458" s="1746"/>
      <c r="AG458" s="1746"/>
      <c r="AH458" s="1746"/>
      <c r="AI458" s="1746"/>
      <c r="AJ458" s="1746"/>
      <c r="AK458" s="1746"/>
      <c r="AP458" s="431"/>
      <c r="AZ458" s="3"/>
      <c r="BF458" s="3"/>
      <c r="BI458" s="3"/>
      <c r="BL458" s="3"/>
    </row>
    <row r="459" spans="3:64" ht="15.75">
      <c r="C459" s="2588"/>
      <c r="D459" s="1669"/>
      <c r="E459" s="1851"/>
      <c r="F459" s="1852"/>
      <c r="G459" s="1853"/>
      <c r="H459" s="1852"/>
      <c r="I459" s="1853"/>
      <c r="J459" s="1852"/>
      <c r="K459" s="1843"/>
      <c r="L459" s="1843"/>
      <c r="M459" s="1854"/>
      <c r="N459" s="1854"/>
      <c r="O459" s="1852"/>
      <c r="P459" s="1852"/>
      <c r="Q459" s="1852"/>
      <c r="R459" s="1746"/>
      <c r="S459" s="1746"/>
      <c r="T459" s="1854"/>
      <c r="U459" s="1851"/>
      <c r="V459" s="1855"/>
      <c r="W459" s="1852"/>
      <c r="X459" s="1852"/>
      <c r="Y459" s="1746"/>
      <c r="Z459" s="1746"/>
      <c r="AA459" s="1746"/>
      <c r="AB459" s="1746"/>
      <c r="AC459" s="1746"/>
      <c r="AD459" s="1746"/>
      <c r="AE459" s="1746"/>
      <c r="AF459" s="1746"/>
      <c r="AG459" s="1746"/>
      <c r="AH459" s="1746"/>
      <c r="AI459" s="1746"/>
      <c r="AJ459" s="1746"/>
      <c r="AK459" s="1746"/>
      <c r="AP459" s="431"/>
      <c r="AZ459" s="3"/>
      <c r="BF459" s="3"/>
      <c r="BI459" s="3"/>
      <c r="BL459" s="3"/>
    </row>
    <row r="460" spans="3:64" ht="15.75">
      <c r="C460" s="2588"/>
      <c r="D460" s="1669"/>
      <c r="E460" s="1851"/>
      <c r="F460" s="1852"/>
      <c r="G460" s="1853"/>
      <c r="H460" s="1852"/>
      <c r="I460" s="1853"/>
      <c r="J460" s="1852"/>
      <c r="K460" s="1843"/>
      <c r="L460" s="1843"/>
      <c r="M460" s="1854"/>
      <c r="N460" s="1854"/>
      <c r="O460" s="1852"/>
      <c r="P460" s="1852"/>
      <c r="Q460" s="1852"/>
      <c r="R460" s="1746"/>
      <c r="S460" s="1746"/>
      <c r="T460" s="1854"/>
      <c r="U460" s="1851"/>
      <c r="V460" s="1855"/>
      <c r="W460" s="1852"/>
      <c r="X460" s="1856"/>
      <c r="Y460" s="1746"/>
      <c r="Z460" s="1746"/>
      <c r="AA460" s="1746"/>
      <c r="AB460" s="1746"/>
      <c r="AC460" s="1746"/>
      <c r="AD460" s="1746"/>
      <c r="AE460" s="1746"/>
      <c r="AF460" s="1746"/>
      <c r="AG460" s="1746"/>
      <c r="AH460" s="1746"/>
      <c r="AI460" s="1746"/>
      <c r="AJ460" s="1746"/>
      <c r="AK460" s="1746"/>
      <c r="AP460" s="431"/>
      <c r="AZ460" s="3"/>
      <c r="BF460" s="3"/>
      <c r="BI460" s="3"/>
      <c r="BL460" s="3"/>
    </row>
    <row r="461" spans="3:64" ht="15.75">
      <c r="C461" s="2588"/>
      <c r="D461" s="1669"/>
      <c r="E461" s="1851"/>
      <c r="F461" s="1852"/>
      <c r="G461" s="1853"/>
      <c r="H461" s="1852"/>
      <c r="I461" s="1853"/>
      <c r="J461" s="1852"/>
      <c r="K461" s="1843"/>
      <c r="L461" s="1843"/>
      <c r="M461" s="1854"/>
      <c r="N461" s="1854"/>
      <c r="O461" s="1852"/>
      <c r="P461" s="1852"/>
      <c r="Q461" s="1852"/>
      <c r="R461" s="1746"/>
      <c r="S461" s="1746"/>
      <c r="T461" s="1854"/>
      <c r="U461" s="1851"/>
      <c r="V461" s="1855"/>
      <c r="W461" s="1852"/>
      <c r="X461" s="1856"/>
      <c r="Y461" s="1746"/>
      <c r="Z461" s="1746"/>
      <c r="AA461" s="1746"/>
      <c r="AB461" s="1746"/>
      <c r="AC461" s="1746"/>
      <c r="AD461" s="1746"/>
      <c r="AE461" s="1746"/>
      <c r="AF461" s="1746"/>
      <c r="AG461" s="1746"/>
      <c r="AH461" s="1746"/>
      <c r="AI461" s="1746"/>
      <c r="AJ461" s="1746"/>
      <c r="AK461" s="1746"/>
      <c r="AP461" s="431"/>
      <c r="AZ461" s="3"/>
      <c r="BF461" s="3"/>
      <c r="BI461" s="3"/>
      <c r="BL461" s="3"/>
    </row>
    <row r="462" spans="3:64" ht="15.75">
      <c r="C462" s="2588"/>
      <c r="D462" s="1669"/>
      <c r="E462" s="1851"/>
      <c r="F462" s="1852"/>
      <c r="G462" s="1853"/>
      <c r="H462" s="1852"/>
      <c r="I462" s="1853"/>
      <c r="J462" s="1852"/>
      <c r="K462" s="1843"/>
      <c r="L462" s="1843"/>
      <c r="M462" s="1854"/>
      <c r="N462" s="1854"/>
      <c r="O462" s="1852"/>
      <c r="P462" s="1852"/>
      <c r="Q462" s="1852"/>
      <c r="R462" s="1746"/>
      <c r="S462" s="1746"/>
      <c r="T462" s="1854"/>
      <c r="U462" s="1851"/>
      <c r="V462" s="1855"/>
      <c r="W462" s="1852"/>
      <c r="X462" s="1856"/>
      <c r="Y462" s="1746"/>
      <c r="Z462" s="1746"/>
      <c r="AA462" s="1746"/>
      <c r="AB462" s="1746"/>
      <c r="AC462" s="1746"/>
      <c r="AD462" s="1746"/>
      <c r="AE462" s="1746"/>
      <c r="AF462" s="1746"/>
      <c r="AG462" s="1746"/>
      <c r="AH462" s="1746"/>
      <c r="AI462" s="1746"/>
      <c r="AJ462" s="1746"/>
      <c r="AK462" s="1746"/>
      <c r="AP462" s="431"/>
      <c r="AZ462" s="3"/>
      <c r="BF462" s="3"/>
      <c r="BI462" s="3"/>
      <c r="BL462" s="3"/>
    </row>
    <row r="463" spans="3:64" ht="15.75">
      <c r="C463" s="2588"/>
      <c r="D463" s="1669"/>
      <c r="E463" s="1851"/>
      <c r="F463" s="1852"/>
      <c r="G463" s="1853"/>
      <c r="H463" s="1852"/>
      <c r="I463" s="1853"/>
      <c r="J463" s="1852"/>
      <c r="K463" s="1843"/>
      <c r="L463" s="1843"/>
      <c r="M463" s="1854"/>
      <c r="N463" s="1854"/>
      <c r="O463" s="1852"/>
      <c r="P463" s="1852"/>
      <c r="Q463" s="1852"/>
      <c r="R463" s="1746"/>
      <c r="S463" s="1746"/>
      <c r="T463" s="1854"/>
      <c r="U463" s="1851"/>
      <c r="V463" s="1855"/>
      <c r="W463" s="1852"/>
      <c r="X463" s="1856"/>
      <c r="Y463" s="1746"/>
      <c r="Z463" s="1746"/>
      <c r="AA463" s="1746"/>
      <c r="AB463" s="1746"/>
      <c r="AC463" s="1746"/>
      <c r="AD463" s="1746"/>
      <c r="AE463" s="1746"/>
      <c r="AF463" s="1746"/>
      <c r="AG463" s="1746"/>
      <c r="AH463" s="1746"/>
      <c r="AI463" s="1746"/>
      <c r="AJ463" s="1746"/>
      <c r="AK463" s="1746"/>
      <c r="AP463" s="431"/>
      <c r="AZ463" s="3"/>
      <c r="BF463" s="3"/>
      <c r="BI463" s="3"/>
      <c r="BL463" s="3"/>
    </row>
    <row r="464" spans="3:64" ht="15.75">
      <c r="C464" s="2588"/>
      <c r="D464" s="1669"/>
      <c r="E464" s="1851"/>
      <c r="F464" s="1852"/>
      <c r="G464" s="1853"/>
      <c r="H464" s="1852"/>
      <c r="I464" s="1853"/>
      <c r="J464" s="1852"/>
      <c r="K464" s="1843"/>
      <c r="L464" s="1843"/>
      <c r="M464" s="1854"/>
      <c r="N464" s="1854"/>
      <c r="O464" s="1852"/>
      <c r="P464" s="1852"/>
      <c r="Q464" s="1852"/>
      <c r="R464" s="1746"/>
      <c r="S464" s="1746"/>
      <c r="T464" s="1854"/>
      <c r="U464" s="1851"/>
      <c r="V464" s="1855"/>
      <c r="W464" s="1852"/>
      <c r="X464" s="1856"/>
      <c r="Y464" s="1746"/>
      <c r="Z464" s="1746"/>
      <c r="AA464" s="1746"/>
      <c r="AB464" s="1746"/>
      <c r="AC464" s="1746"/>
      <c r="AD464" s="1746"/>
      <c r="AE464" s="1746"/>
      <c r="AF464" s="1746"/>
      <c r="AG464" s="1746"/>
      <c r="AH464" s="1746"/>
      <c r="AI464" s="1746"/>
      <c r="AJ464" s="1746"/>
      <c r="AK464" s="1746"/>
      <c r="AZ464" s="3"/>
      <c r="BF464" s="3"/>
      <c r="BI464" s="3"/>
      <c r="BL464" s="3"/>
    </row>
    <row r="465" spans="1:42" ht="15.75">
      <c r="C465" s="2588"/>
      <c r="D465" s="1669"/>
      <c r="E465" s="392"/>
      <c r="F465" s="1852"/>
      <c r="G465" s="1853"/>
      <c r="H465" s="1852"/>
      <c r="I465" s="1853"/>
      <c r="J465" s="1852"/>
      <c r="K465" s="1843"/>
      <c r="L465" s="1843"/>
      <c r="M465" s="1854"/>
      <c r="N465" s="1854"/>
      <c r="O465" s="1852"/>
      <c r="P465" s="1852"/>
      <c r="Q465" s="1852"/>
      <c r="R465" s="1746"/>
      <c r="S465" s="1746"/>
      <c r="T465" s="1854"/>
      <c r="U465" s="1851"/>
      <c r="V465" s="1855"/>
      <c r="W465" s="1852"/>
      <c r="X465" s="1856"/>
      <c r="Y465" s="1746"/>
      <c r="Z465" s="1746"/>
      <c r="AA465" s="1746"/>
      <c r="AB465" s="1746"/>
      <c r="AC465" s="1746"/>
      <c r="AD465" s="1746"/>
      <c r="AE465" s="1746"/>
      <c r="AF465" s="1746"/>
      <c r="AG465" s="1746"/>
      <c r="AH465" s="1746"/>
      <c r="AI465" s="1746"/>
      <c r="AJ465" s="1746"/>
      <c r="AK465" s="1746"/>
      <c r="AP465" s="431"/>
    </row>
    <row r="466" spans="1:42" ht="15.75">
      <c r="C466" s="2588"/>
      <c r="D466" s="1669"/>
      <c r="E466" s="1851"/>
      <c r="F466" s="1852"/>
      <c r="G466" s="1853"/>
      <c r="H466" s="1852"/>
      <c r="I466" s="1853"/>
      <c r="J466" s="1852"/>
      <c r="K466" s="1843"/>
      <c r="L466" s="1843"/>
      <c r="M466" s="1854"/>
      <c r="N466" s="1854"/>
      <c r="O466" s="1852"/>
      <c r="P466" s="1852"/>
      <c r="Q466" s="1852"/>
      <c r="R466" s="1746"/>
      <c r="S466" s="1746"/>
      <c r="T466" s="1854"/>
      <c r="U466" s="1851"/>
      <c r="V466" s="1855"/>
      <c r="W466" s="1852"/>
      <c r="X466" s="1856"/>
      <c r="Y466" s="1746"/>
      <c r="Z466" s="1746"/>
      <c r="AA466" s="1746"/>
      <c r="AB466" s="1746"/>
      <c r="AC466" s="1746"/>
      <c r="AD466" s="1746"/>
      <c r="AE466" s="1746"/>
      <c r="AF466" s="1746"/>
      <c r="AG466" s="1746"/>
      <c r="AH466" s="1746"/>
      <c r="AI466" s="1746"/>
      <c r="AJ466" s="1746"/>
      <c r="AK466" s="1746"/>
    </row>
    <row r="467" spans="1:42" ht="15.75">
      <c r="A467" s="437"/>
      <c r="B467" s="437"/>
      <c r="C467" s="2588"/>
      <c r="D467" s="1669"/>
      <c r="E467" s="1851"/>
      <c r="F467" s="1852"/>
      <c r="G467" s="1853"/>
      <c r="H467" s="1852"/>
      <c r="I467" s="1853"/>
      <c r="J467" s="1852"/>
      <c r="K467" s="1843"/>
      <c r="L467" s="1843"/>
      <c r="M467" s="1854"/>
      <c r="N467" s="1854"/>
      <c r="O467" s="1852"/>
      <c r="P467" s="1852"/>
      <c r="Q467" s="1852"/>
      <c r="R467" s="1746"/>
      <c r="S467" s="1746"/>
      <c r="T467" s="1854"/>
      <c r="U467" s="1851"/>
      <c r="V467" s="1855"/>
      <c r="W467" s="1852"/>
      <c r="X467" s="1856"/>
      <c r="Y467" s="1746"/>
      <c r="Z467" s="1746"/>
      <c r="AA467" s="1746"/>
      <c r="AB467" s="1746"/>
      <c r="AC467" s="1746"/>
      <c r="AD467" s="1746"/>
      <c r="AE467" s="1746"/>
      <c r="AF467" s="1746"/>
      <c r="AG467" s="1746"/>
      <c r="AH467" s="1746"/>
      <c r="AI467" s="1746"/>
      <c r="AJ467" s="1746"/>
      <c r="AK467" s="1746"/>
    </row>
    <row r="468" spans="1:42" ht="15.75">
      <c r="C468" s="2588"/>
      <c r="D468" s="1669"/>
      <c r="E468" s="1851"/>
      <c r="F468" s="1852"/>
      <c r="G468" s="1853"/>
      <c r="H468" s="1852"/>
      <c r="I468" s="1853"/>
      <c r="J468" s="1852"/>
      <c r="K468" s="1843"/>
      <c r="L468" s="1843"/>
      <c r="M468" s="1854"/>
      <c r="N468" s="1854"/>
      <c r="O468" s="1852"/>
      <c r="P468" s="1852"/>
      <c r="Q468" s="1852"/>
      <c r="R468" s="1746"/>
      <c r="S468" s="1746"/>
      <c r="T468" s="1854"/>
      <c r="U468" s="1851"/>
      <c r="V468" s="1855"/>
      <c r="W468" s="1852"/>
      <c r="X468" s="1856"/>
      <c r="Y468" s="1746"/>
      <c r="Z468" s="1746"/>
      <c r="AA468" s="1746"/>
      <c r="AB468" s="1746"/>
      <c r="AC468" s="1746"/>
      <c r="AD468" s="1746"/>
      <c r="AE468" s="1746"/>
      <c r="AF468" s="1746"/>
      <c r="AG468" s="1746"/>
      <c r="AH468" s="1746"/>
      <c r="AI468" s="1746"/>
      <c r="AJ468" s="1746"/>
      <c r="AK468" s="1746"/>
    </row>
    <row r="469" spans="1:42" ht="15.75">
      <c r="C469" s="2588"/>
      <c r="D469" s="1669"/>
      <c r="E469" s="1851"/>
      <c r="F469" s="1852"/>
      <c r="G469" s="1853"/>
      <c r="H469" s="1852"/>
      <c r="I469" s="1853"/>
      <c r="J469" s="1852"/>
      <c r="K469" s="1843"/>
      <c r="L469" s="1843"/>
      <c r="M469" s="1854"/>
      <c r="N469" s="1854"/>
      <c r="O469" s="1852"/>
      <c r="P469" s="1852"/>
      <c r="Q469" s="1852"/>
      <c r="R469" s="1746"/>
      <c r="S469" s="1746"/>
      <c r="T469" s="1854"/>
      <c r="U469" s="1851"/>
      <c r="V469" s="1855"/>
      <c r="W469" s="1852"/>
      <c r="X469" s="1856"/>
      <c r="Y469" s="1746"/>
      <c r="Z469" s="1746"/>
      <c r="AA469" s="1746"/>
      <c r="AB469" s="1746"/>
      <c r="AC469" s="1746"/>
      <c r="AD469" s="1746"/>
      <c r="AE469" s="1746"/>
      <c r="AF469" s="1746"/>
      <c r="AG469" s="1746"/>
      <c r="AH469" s="1746"/>
      <c r="AI469" s="1746"/>
      <c r="AJ469" s="1746"/>
      <c r="AK469" s="1746"/>
    </row>
    <row r="470" spans="1:42" ht="15.75">
      <c r="C470" s="2588"/>
      <c r="D470" s="1669"/>
      <c r="E470" s="1851"/>
      <c r="F470" s="1852"/>
      <c r="G470" s="1853"/>
      <c r="H470" s="1852"/>
      <c r="I470" s="1853"/>
      <c r="J470" s="1852"/>
      <c r="K470" s="1843"/>
      <c r="L470" s="1843"/>
      <c r="M470" s="1854"/>
      <c r="N470" s="1854"/>
      <c r="O470" s="1852"/>
      <c r="P470" s="1852"/>
      <c r="Q470" s="1852"/>
      <c r="R470" s="1746"/>
      <c r="S470" s="1746"/>
      <c r="T470" s="1854"/>
      <c r="U470" s="1851"/>
      <c r="V470" s="1855"/>
      <c r="W470" s="1852"/>
      <c r="X470" s="1856"/>
      <c r="Y470" s="1746"/>
      <c r="Z470" s="1746"/>
      <c r="AA470" s="1746"/>
      <c r="AB470" s="1746"/>
      <c r="AC470" s="1746"/>
      <c r="AD470" s="1746"/>
      <c r="AE470" s="1746"/>
      <c r="AF470" s="1746"/>
      <c r="AG470" s="1746"/>
      <c r="AH470" s="1746"/>
      <c r="AI470" s="1746"/>
      <c r="AJ470" s="1746"/>
      <c r="AK470" s="1746"/>
    </row>
    <row r="471" spans="1:42" ht="15.75">
      <c r="C471" s="2588"/>
      <c r="D471" s="1669"/>
      <c r="E471" s="1851"/>
      <c r="F471" s="1852"/>
      <c r="G471" s="1853"/>
      <c r="H471" s="1852"/>
      <c r="I471" s="1853"/>
      <c r="J471" s="1852"/>
      <c r="K471" s="1843"/>
      <c r="L471" s="1843"/>
      <c r="M471" s="1854"/>
      <c r="N471" s="1854"/>
      <c r="O471" s="1852"/>
      <c r="P471" s="1852"/>
      <c r="Q471" s="1852"/>
      <c r="R471" s="1746"/>
      <c r="S471" s="1746"/>
      <c r="T471" s="1854"/>
      <c r="U471" s="1851"/>
      <c r="V471" s="1855"/>
      <c r="W471" s="1852"/>
      <c r="X471" s="1856"/>
      <c r="Y471" s="1746"/>
      <c r="Z471" s="1746"/>
      <c r="AA471" s="1746"/>
      <c r="AB471" s="1746"/>
      <c r="AC471" s="1746"/>
      <c r="AD471" s="1746"/>
      <c r="AE471" s="1746"/>
      <c r="AF471" s="1746"/>
      <c r="AG471" s="1746"/>
      <c r="AH471" s="1746"/>
      <c r="AI471" s="1746"/>
      <c r="AJ471" s="1746"/>
      <c r="AK471" s="1746"/>
    </row>
    <row r="472" spans="1:42" ht="15.75">
      <c r="C472" s="2588"/>
      <c r="D472" s="1669"/>
      <c r="E472" s="1851"/>
      <c r="F472" s="1852"/>
      <c r="G472" s="1853"/>
      <c r="H472" s="1852"/>
      <c r="I472" s="1853"/>
      <c r="J472" s="1852"/>
      <c r="K472" s="1843"/>
      <c r="L472" s="1843"/>
      <c r="M472" s="1854"/>
      <c r="N472" s="1854"/>
      <c r="O472" s="1852"/>
      <c r="P472" s="1852"/>
      <c r="Q472" s="1852"/>
      <c r="R472" s="1746"/>
      <c r="S472" s="1746"/>
      <c r="T472" s="1854"/>
      <c r="U472" s="1851"/>
      <c r="V472" s="1855"/>
      <c r="W472" s="1852"/>
      <c r="X472" s="1856"/>
      <c r="Y472" s="1746"/>
      <c r="Z472" s="1746"/>
      <c r="AA472" s="1746"/>
      <c r="AB472" s="1746"/>
      <c r="AC472" s="1746"/>
      <c r="AD472" s="1746"/>
      <c r="AE472" s="1746"/>
      <c r="AF472" s="1746"/>
      <c r="AG472" s="1746"/>
      <c r="AH472" s="1746"/>
      <c r="AI472" s="1746"/>
      <c r="AJ472" s="1746"/>
      <c r="AK472" s="1746"/>
    </row>
    <row r="473" spans="1:42" ht="15.75">
      <c r="C473" s="2588"/>
      <c r="D473" s="1669"/>
      <c r="E473" s="1851"/>
      <c r="F473" s="1852"/>
      <c r="G473" s="1853"/>
      <c r="H473" s="1852"/>
      <c r="I473" s="1853"/>
      <c r="J473" s="1852"/>
      <c r="K473" s="1843"/>
      <c r="L473" s="1843"/>
      <c r="M473" s="1854"/>
      <c r="N473" s="1854"/>
      <c r="O473" s="1852"/>
      <c r="P473" s="1852"/>
      <c r="Q473" s="1852"/>
      <c r="R473" s="1746"/>
      <c r="S473" s="1746"/>
      <c r="T473" s="1854"/>
      <c r="U473" s="1851"/>
      <c r="V473" s="1855"/>
      <c r="W473" s="1852"/>
      <c r="X473" s="1856"/>
      <c r="Y473" s="1746"/>
      <c r="Z473" s="1746"/>
      <c r="AA473" s="1746"/>
      <c r="AB473" s="1746"/>
      <c r="AC473" s="1746"/>
      <c r="AD473" s="1746"/>
      <c r="AE473" s="1746"/>
      <c r="AF473" s="1746"/>
      <c r="AG473" s="1746"/>
      <c r="AH473" s="1746"/>
      <c r="AI473" s="1746"/>
      <c r="AJ473" s="1746"/>
      <c r="AK473" s="1746"/>
    </row>
    <row r="474" spans="1:42" ht="15.75">
      <c r="C474" s="2588"/>
      <c r="D474" s="1669"/>
      <c r="E474" s="1851"/>
      <c r="F474" s="1852"/>
      <c r="G474" s="1853"/>
      <c r="H474" s="1852"/>
      <c r="I474" s="1853"/>
      <c r="J474" s="1852"/>
      <c r="K474" s="1843"/>
      <c r="L474" s="1843"/>
      <c r="M474" s="1854"/>
      <c r="N474" s="1854"/>
      <c r="O474" s="1852"/>
      <c r="P474" s="1852"/>
      <c r="Q474" s="1852"/>
      <c r="R474" s="1746"/>
      <c r="S474" s="1746"/>
      <c r="T474" s="1854"/>
      <c r="U474" s="1851"/>
      <c r="V474" s="1855"/>
      <c r="W474" s="1852"/>
      <c r="X474" s="1856"/>
      <c r="Y474" s="1746"/>
      <c r="Z474" s="1746"/>
      <c r="AA474" s="1746"/>
      <c r="AB474" s="1746"/>
      <c r="AC474" s="1746"/>
      <c r="AD474" s="1746"/>
      <c r="AE474" s="1746"/>
      <c r="AF474" s="1746"/>
      <c r="AG474" s="1746"/>
      <c r="AH474" s="1746"/>
      <c r="AI474" s="1746"/>
      <c r="AJ474" s="1746"/>
      <c r="AK474" s="1746"/>
    </row>
    <row r="475" spans="1:42" ht="15.75">
      <c r="C475" s="2588"/>
      <c r="D475" s="1669"/>
      <c r="E475" s="1851"/>
      <c r="F475" s="1852"/>
      <c r="G475" s="1853"/>
      <c r="H475" s="1852"/>
      <c r="I475" s="1853"/>
      <c r="J475" s="1852"/>
      <c r="K475" s="1843"/>
      <c r="L475" s="1843"/>
      <c r="M475" s="1854"/>
      <c r="N475" s="1854"/>
      <c r="O475" s="1852"/>
      <c r="P475" s="1852"/>
      <c r="Q475" s="1852"/>
      <c r="R475" s="1746"/>
      <c r="S475" s="1746"/>
      <c r="T475" s="1854"/>
      <c r="U475" s="1851"/>
      <c r="V475" s="1855"/>
      <c r="W475" s="1852"/>
      <c r="X475" s="1856"/>
      <c r="Y475" s="1746"/>
      <c r="Z475" s="1746"/>
      <c r="AA475" s="1746"/>
      <c r="AB475" s="1746"/>
      <c r="AC475" s="1746"/>
      <c r="AD475" s="1746"/>
      <c r="AE475" s="1746"/>
      <c r="AF475" s="1746"/>
      <c r="AG475" s="1746"/>
      <c r="AH475" s="1746"/>
      <c r="AI475" s="1746"/>
      <c r="AJ475" s="1746"/>
      <c r="AK475" s="1746"/>
    </row>
    <row r="476" spans="1:42" ht="15.75">
      <c r="C476" s="2588"/>
      <c r="D476" s="1669"/>
      <c r="E476" s="1851"/>
      <c r="F476" s="1852"/>
      <c r="G476" s="1853"/>
      <c r="H476" s="1852"/>
      <c r="I476" s="1853"/>
      <c r="J476" s="1852"/>
      <c r="K476" s="1843"/>
      <c r="L476" s="1843"/>
      <c r="M476" s="1854"/>
      <c r="N476" s="1854"/>
      <c r="O476" s="1852"/>
      <c r="P476" s="1852"/>
      <c r="Q476" s="1852"/>
      <c r="R476" s="1746"/>
      <c r="S476" s="1746"/>
      <c r="T476" s="1854"/>
      <c r="U476" s="1851"/>
      <c r="V476" s="1855"/>
      <c r="W476" s="1852"/>
      <c r="X476" s="1856"/>
      <c r="Y476" s="1746"/>
      <c r="Z476" s="1746"/>
      <c r="AA476" s="1746"/>
      <c r="AB476" s="1746"/>
      <c r="AC476" s="1746"/>
      <c r="AD476" s="1746"/>
      <c r="AE476" s="1746"/>
      <c r="AF476" s="1746"/>
      <c r="AG476" s="1746"/>
      <c r="AH476" s="1746"/>
      <c r="AI476" s="1746"/>
      <c r="AJ476" s="1746"/>
      <c r="AK476" s="1746"/>
    </row>
    <row r="477" spans="1:42" ht="15.75">
      <c r="C477" s="2588"/>
      <c r="D477" s="1669"/>
      <c r="E477" s="1851"/>
      <c r="F477" s="1852"/>
      <c r="G477" s="1853"/>
      <c r="H477" s="1852"/>
      <c r="I477" s="1853"/>
      <c r="J477" s="1852"/>
      <c r="K477" s="1843"/>
      <c r="L477" s="1843"/>
      <c r="M477" s="1854"/>
      <c r="N477" s="1854"/>
      <c r="O477" s="1852"/>
      <c r="P477" s="1852"/>
      <c r="Q477" s="1852"/>
      <c r="R477" s="1746"/>
      <c r="S477" s="1746"/>
      <c r="T477" s="1854"/>
      <c r="U477" s="1851"/>
      <c r="V477" s="1855"/>
      <c r="W477" s="1852"/>
      <c r="X477" s="1856"/>
      <c r="Y477" s="1746"/>
      <c r="Z477" s="1746"/>
      <c r="AA477" s="1746"/>
      <c r="AB477" s="1746"/>
      <c r="AC477" s="1746"/>
      <c r="AD477" s="1746"/>
      <c r="AE477" s="1746"/>
      <c r="AF477" s="1746"/>
      <c r="AG477" s="1746"/>
      <c r="AH477" s="1746"/>
      <c r="AI477" s="1746"/>
      <c r="AJ477" s="1746"/>
      <c r="AK477" s="1746"/>
    </row>
    <row r="478" spans="1:42" ht="15.75">
      <c r="C478" s="2588"/>
      <c r="D478" s="1669"/>
      <c r="E478" s="1851"/>
      <c r="F478" s="1852"/>
      <c r="G478" s="1853"/>
      <c r="H478" s="1852"/>
      <c r="I478" s="1853"/>
      <c r="J478" s="1852"/>
      <c r="K478" s="1843"/>
      <c r="L478" s="1843"/>
      <c r="M478" s="1854"/>
      <c r="N478" s="1854"/>
      <c r="O478" s="1852"/>
      <c r="P478" s="1852"/>
      <c r="Q478" s="1852"/>
      <c r="R478" s="1746"/>
      <c r="S478" s="1746"/>
      <c r="T478" s="1854"/>
      <c r="U478" s="1851"/>
      <c r="V478" s="1855"/>
      <c r="W478" s="1852"/>
      <c r="X478" s="1856"/>
      <c r="Y478" s="1746"/>
      <c r="Z478" s="1746"/>
      <c r="AA478" s="1746"/>
      <c r="AB478" s="1746"/>
      <c r="AC478" s="1746"/>
      <c r="AD478" s="1746"/>
      <c r="AE478" s="1746"/>
      <c r="AF478" s="1746"/>
      <c r="AG478" s="1746"/>
      <c r="AH478" s="1746"/>
      <c r="AI478" s="1746"/>
      <c r="AJ478" s="1746"/>
      <c r="AK478" s="1746"/>
    </row>
    <row r="479" spans="1:42" ht="15.75">
      <c r="C479" s="2588"/>
      <c r="D479" s="1669"/>
      <c r="E479" s="1851"/>
      <c r="F479" s="1852"/>
      <c r="G479" s="1853"/>
      <c r="H479" s="1852"/>
      <c r="I479" s="1853"/>
      <c r="J479" s="1852"/>
      <c r="K479" s="1843"/>
      <c r="L479" s="1843"/>
      <c r="M479" s="1854"/>
      <c r="N479" s="1854"/>
      <c r="O479" s="1852"/>
      <c r="P479" s="1852"/>
      <c r="Q479" s="1852"/>
      <c r="R479" s="1746"/>
      <c r="S479" s="1746"/>
      <c r="T479" s="1854"/>
      <c r="U479" s="1851"/>
      <c r="V479" s="1855"/>
      <c r="W479" s="1852"/>
      <c r="X479" s="1856"/>
      <c r="Y479" s="1746"/>
      <c r="Z479" s="1746"/>
      <c r="AA479" s="1746"/>
      <c r="AB479" s="1746"/>
      <c r="AC479" s="1746"/>
      <c r="AD479" s="1746"/>
      <c r="AE479" s="1746"/>
      <c r="AF479" s="1746"/>
      <c r="AG479" s="1746"/>
      <c r="AH479" s="1746"/>
      <c r="AI479" s="1746"/>
      <c r="AJ479" s="1746"/>
      <c r="AK479" s="1746"/>
    </row>
    <row r="480" spans="1:42" ht="15.75">
      <c r="C480" s="2588"/>
      <c r="D480" s="1669"/>
      <c r="E480" s="1851"/>
      <c r="F480" s="1852"/>
      <c r="G480" s="1853"/>
      <c r="H480" s="1852"/>
      <c r="I480" s="1853"/>
      <c r="J480" s="1852"/>
      <c r="K480" s="1843"/>
      <c r="L480" s="1843"/>
      <c r="M480" s="1854"/>
      <c r="N480" s="1854"/>
      <c r="O480" s="1852"/>
      <c r="P480" s="1852"/>
      <c r="Q480" s="1852"/>
      <c r="R480" s="1746"/>
      <c r="S480" s="1746"/>
      <c r="T480" s="1854"/>
      <c r="U480" s="1851"/>
      <c r="V480" s="1855"/>
      <c r="W480" s="1852"/>
      <c r="X480" s="1856"/>
      <c r="Y480" s="1746"/>
      <c r="Z480" s="1746"/>
      <c r="AA480" s="1746"/>
      <c r="AB480" s="1746"/>
      <c r="AC480" s="1746"/>
      <c r="AD480" s="1746"/>
      <c r="AE480" s="1746"/>
      <c r="AF480" s="1746"/>
      <c r="AG480" s="1746"/>
      <c r="AH480" s="1746"/>
      <c r="AI480" s="1746"/>
      <c r="AJ480" s="1746"/>
      <c r="AK480" s="1746"/>
    </row>
    <row r="481" spans="1:38" ht="15.75">
      <c r="C481" s="2588"/>
      <c r="D481" s="1669"/>
      <c r="E481" s="1851"/>
      <c r="F481" s="1852"/>
      <c r="G481" s="1853"/>
      <c r="H481" s="1852"/>
      <c r="I481" s="1853"/>
      <c r="J481" s="1852"/>
      <c r="K481" s="1843"/>
      <c r="L481" s="1843"/>
      <c r="M481" s="1854"/>
      <c r="N481" s="1854"/>
      <c r="O481" s="1852"/>
      <c r="P481" s="1852"/>
      <c r="Q481" s="1852"/>
      <c r="R481" s="1746"/>
      <c r="S481" s="1746"/>
      <c r="T481" s="1854"/>
      <c r="U481" s="1851"/>
      <c r="V481" s="1855"/>
      <c r="W481" s="1852"/>
      <c r="X481" s="1856"/>
      <c r="Y481" s="1746"/>
      <c r="Z481" s="1746"/>
      <c r="AA481" s="1746"/>
      <c r="AB481" s="1746"/>
      <c r="AC481" s="1746"/>
      <c r="AD481" s="1746"/>
      <c r="AE481" s="1746"/>
      <c r="AF481" s="1746"/>
      <c r="AG481" s="1746"/>
      <c r="AH481" s="1746"/>
      <c r="AI481" s="1746"/>
      <c r="AJ481" s="1746"/>
      <c r="AK481" s="1746"/>
    </row>
    <row r="482" spans="1:38" ht="15.75">
      <c r="C482" s="2588"/>
      <c r="D482" s="1669"/>
      <c r="E482" s="1851"/>
      <c r="F482" s="1852"/>
      <c r="G482" s="1853"/>
      <c r="H482" s="1852"/>
      <c r="I482" s="1853"/>
      <c r="J482" s="1852"/>
      <c r="K482" s="1843"/>
      <c r="L482" s="1843"/>
      <c r="M482" s="1854"/>
      <c r="N482" s="1854"/>
      <c r="O482" s="1852"/>
      <c r="P482" s="1852"/>
      <c r="Q482" s="1852"/>
      <c r="R482" s="1746"/>
      <c r="S482" s="1746"/>
      <c r="T482" s="1854"/>
      <c r="U482" s="1851"/>
      <c r="V482" s="1855"/>
      <c r="W482" s="1852"/>
      <c r="X482" s="1856"/>
      <c r="Y482" s="1746"/>
      <c r="Z482" s="1746"/>
      <c r="AA482" s="1746"/>
      <c r="AB482" s="1746"/>
      <c r="AC482" s="1746"/>
      <c r="AD482" s="1746"/>
      <c r="AE482" s="1746"/>
      <c r="AF482" s="1746"/>
      <c r="AG482" s="1746"/>
      <c r="AH482" s="1746"/>
      <c r="AI482" s="1746"/>
      <c r="AJ482" s="1746"/>
      <c r="AK482" s="1746"/>
    </row>
    <row r="483" spans="1:38" ht="15.75">
      <c r="C483" s="2588"/>
      <c r="D483" s="1669"/>
      <c r="E483" s="1851"/>
      <c r="F483" s="1852"/>
      <c r="G483" s="1853"/>
      <c r="H483" s="1852"/>
      <c r="I483" s="1853"/>
      <c r="J483" s="1852"/>
      <c r="K483" s="1843"/>
      <c r="L483" s="1843"/>
      <c r="M483" s="1854"/>
      <c r="N483" s="1854"/>
      <c r="O483" s="1852"/>
      <c r="P483" s="1852"/>
      <c r="Q483" s="1852"/>
      <c r="R483" s="1746"/>
      <c r="S483" s="1746"/>
      <c r="T483" s="1854"/>
      <c r="U483" s="1851"/>
      <c r="V483" s="1855"/>
      <c r="W483" s="1852"/>
      <c r="X483" s="1856"/>
      <c r="Y483" s="1746"/>
      <c r="Z483" s="1746"/>
      <c r="AA483" s="1746"/>
      <c r="AB483" s="1746"/>
      <c r="AC483" s="1746"/>
      <c r="AD483" s="1746"/>
      <c r="AE483" s="1746"/>
      <c r="AF483" s="1746"/>
      <c r="AG483" s="1746"/>
      <c r="AH483" s="1746"/>
      <c r="AI483" s="1746"/>
      <c r="AJ483" s="1746"/>
      <c r="AK483" s="1746"/>
    </row>
    <row r="484" spans="1:38" ht="15.75">
      <c r="C484" s="2588"/>
      <c r="D484" s="1669"/>
      <c r="E484" s="1851"/>
      <c r="F484" s="1852"/>
      <c r="G484" s="1853"/>
      <c r="H484" s="1852"/>
      <c r="I484" s="1853"/>
      <c r="J484" s="1852"/>
      <c r="K484" s="1843"/>
      <c r="L484" s="1843"/>
      <c r="M484" s="1854"/>
      <c r="N484" s="1854"/>
      <c r="O484" s="1852"/>
      <c r="P484" s="1852"/>
      <c r="Q484" s="1852"/>
      <c r="R484" s="1746"/>
      <c r="S484" s="1746"/>
      <c r="T484" s="1854"/>
      <c r="U484" s="1851"/>
      <c r="V484" s="1855"/>
      <c r="W484" s="1852"/>
      <c r="X484" s="1856"/>
      <c r="Y484" s="1746"/>
      <c r="Z484" s="1746"/>
      <c r="AA484" s="1746"/>
      <c r="AB484" s="1746"/>
      <c r="AC484" s="1746"/>
      <c r="AD484" s="1746"/>
      <c r="AE484" s="1746"/>
      <c r="AF484" s="1746"/>
      <c r="AG484" s="1746"/>
      <c r="AH484" s="1746"/>
      <c r="AI484" s="1746"/>
      <c r="AJ484" s="1746"/>
      <c r="AK484" s="1746"/>
    </row>
    <row r="485" spans="1:38" ht="15.75">
      <c r="C485" s="2588"/>
      <c r="D485" s="1669"/>
      <c r="E485" s="1851"/>
      <c r="F485" s="1852"/>
      <c r="G485" s="1853"/>
      <c r="H485" s="1852"/>
      <c r="I485" s="1853"/>
      <c r="J485" s="1852"/>
      <c r="K485" s="1843"/>
      <c r="L485" s="1843"/>
      <c r="M485" s="1854"/>
      <c r="N485" s="1854"/>
      <c r="O485" s="1852"/>
      <c r="P485" s="1852"/>
      <c r="Q485" s="1852"/>
      <c r="R485" s="1746"/>
      <c r="S485" s="1746"/>
      <c r="T485" s="1854"/>
      <c r="U485" s="1851"/>
      <c r="V485" s="1855"/>
      <c r="W485" s="1852"/>
      <c r="X485" s="1856"/>
      <c r="Y485" s="1746"/>
      <c r="Z485" s="1746"/>
      <c r="AA485" s="1746"/>
      <c r="AB485" s="1746"/>
      <c r="AC485" s="1746"/>
      <c r="AD485" s="1746"/>
      <c r="AE485" s="1746"/>
      <c r="AF485" s="1746"/>
      <c r="AG485" s="1746"/>
      <c r="AH485" s="1746"/>
      <c r="AI485" s="1746"/>
      <c r="AJ485" s="1746"/>
      <c r="AK485" s="1746"/>
    </row>
    <row r="486" spans="1:38" ht="15.75">
      <c r="A486" s="385"/>
      <c r="B486" s="385"/>
      <c r="C486" s="2588"/>
      <c r="D486" s="1669"/>
      <c r="E486" s="1851"/>
      <c r="F486" s="1852"/>
      <c r="G486" s="1853"/>
      <c r="H486" s="1852"/>
      <c r="I486" s="1853"/>
      <c r="J486" s="1852"/>
      <c r="K486" s="1843"/>
      <c r="L486" s="1843"/>
      <c r="M486" s="1854"/>
      <c r="N486" s="1854"/>
      <c r="O486" s="1852"/>
      <c r="P486" s="1852"/>
      <c r="Q486" s="1852"/>
      <c r="R486" s="1746"/>
      <c r="S486" s="1746"/>
      <c r="T486" s="1854"/>
      <c r="U486" s="1851"/>
      <c r="V486" s="1855"/>
      <c r="W486" s="1852"/>
      <c r="X486" s="1856"/>
      <c r="Y486" s="1746"/>
      <c r="Z486" s="1746"/>
      <c r="AA486" s="1746"/>
      <c r="AB486" s="1746"/>
      <c r="AC486" s="1746"/>
      <c r="AD486" s="1746"/>
      <c r="AE486" s="1746"/>
      <c r="AF486" s="1746"/>
      <c r="AG486" s="1746"/>
      <c r="AH486" s="1746"/>
      <c r="AI486" s="1746"/>
      <c r="AJ486" s="1746"/>
      <c r="AK486" s="1746"/>
    </row>
    <row r="487" spans="1:38" ht="15.75">
      <c r="C487" s="2588"/>
      <c r="D487" s="1669"/>
      <c r="E487" s="1851"/>
      <c r="F487" s="1852"/>
      <c r="G487" s="1853"/>
      <c r="H487" s="1852"/>
      <c r="I487" s="1853"/>
      <c r="J487" s="1852"/>
      <c r="K487" s="1843"/>
      <c r="L487" s="1843"/>
      <c r="M487" s="1854"/>
      <c r="N487" s="1854"/>
      <c r="O487" s="1852"/>
      <c r="P487" s="1852"/>
      <c r="Q487" s="1852"/>
      <c r="R487" s="1746"/>
      <c r="S487" s="1746"/>
      <c r="T487" s="1854"/>
      <c r="U487" s="1851"/>
      <c r="V487" s="1855"/>
      <c r="W487" s="1852"/>
      <c r="X487" s="1856"/>
      <c r="Y487" s="1746"/>
      <c r="Z487" s="1746"/>
      <c r="AA487" s="1746"/>
      <c r="AB487" s="1746"/>
      <c r="AC487" s="1746"/>
      <c r="AD487" s="1746"/>
      <c r="AE487" s="1746"/>
      <c r="AF487" s="1746"/>
      <c r="AG487" s="1746"/>
      <c r="AH487" s="1746"/>
      <c r="AI487" s="1746"/>
      <c r="AJ487" s="1746"/>
      <c r="AK487" s="1746"/>
    </row>
    <row r="488" spans="1:38" ht="15.75">
      <c r="C488" s="2588"/>
      <c r="D488" s="1669"/>
      <c r="E488" s="1851"/>
      <c r="F488" s="1852"/>
      <c r="G488" s="1853"/>
      <c r="H488" s="1852"/>
      <c r="I488" s="1853"/>
      <c r="J488" s="1852"/>
      <c r="K488" s="1843"/>
      <c r="L488" s="1843"/>
      <c r="M488" s="1854"/>
      <c r="N488" s="1854"/>
      <c r="O488" s="1852"/>
      <c r="P488" s="1852"/>
      <c r="Q488" s="1852"/>
      <c r="R488" s="1746"/>
      <c r="S488" s="1746"/>
      <c r="T488" s="1854"/>
      <c r="U488" s="1851"/>
      <c r="V488" s="1855"/>
      <c r="W488" s="1852"/>
      <c r="X488" s="1856"/>
      <c r="Y488" s="1746"/>
      <c r="Z488" s="1746"/>
      <c r="AA488" s="1746"/>
      <c r="AB488" s="1746"/>
      <c r="AC488" s="1746"/>
      <c r="AD488" s="1746"/>
      <c r="AE488" s="1746"/>
      <c r="AF488" s="1746"/>
      <c r="AG488" s="1746"/>
      <c r="AH488" s="1746"/>
      <c r="AI488" s="1746"/>
      <c r="AJ488" s="1746"/>
      <c r="AK488" s="1746"/>
    </row>
    <row r="489" spans="1:38" ht="15.75">
      <c r="A489" s="235"/>
      <c r="B489" s="235"/>
      <c r="C489" s="2588"/>
      <c r="D489" s="1669"/>
      <c r="E489" s="1851"/>
      <c r="F489" s="1852"/>
      <c r="G489" s="1853"/>
      <c r="H489" s="1852"/>
      <c r="I489" s="1853"/>
      <c r="J489" s="1852"/>
      <c r="K489" s="1843"/>
      <c r="L489" s="1843"/>
      <c r="M489" s="1854"/>
      <c r="N489" s="1854"/>
      <c r="O489" s="1852"/>
      <c r="P489" s="1852"/>
      <c r="Q489" s="1852"/>
      <c r="R489" s="1746"/>
      <c r="S489" s="1746"/>
      <c r="T489" s="1854"/>
      <c r="U489" s="1851"/>
      <c r="V489" s="1855"/>
      <c r="W489" s="1852"/>
      <c r="X489" s="1856"/>
      <c r="Y489" s="1746"/>
      <c r="Z489" s="1746"/>
      <c r="AA489" s="1746"/>
      <c r="AB489" s="1746"/>
      <c r="AC489" s="1746"/>
      <c r="AD489" s="1746"/>
      <c r="AE489" s="1746"/>
      <c r="AF489" s="1746"/>
      <c r="AG489" s="1746"/>
      <c r="AH489" s="1746"/>
      <c r="AI489" s="1746"/>
      <c r="AJ489" s="1746"/>
      <c r="AK489" s="1746"/>
      <c r="AL489" s="171"/>
    </row>
    <row r="490" spans="1:38" ht="15.75">
      <c r="C490" s="2588"/>
      <c r="D490" s="1669"/>
      <c r="E490" s="1851"/>
      <c r="F490" s="1852"/>
      <c r="G490" s="1853"/>
      <c r="H490" s="1852"/>
      <c r="I490" s="1853"/>
      <c r="J490" s="1852"/>
      <c r="K490" s="1843"/>
      <c r="L490" s="1843"/>
      <c r="M490" s="1854"/>
      <c r="N490" s="1854"/>
      <c r="O490" s="1852"/>
      <c r="P490" s="1852"/>
      <c r="Q490" s="1852"/>
      <c r="R490" s="1746"/>
      <c r="S490" s="1746"/>
      <c r="T490" s="1854"/>
      <c r="U490" s="1851"/>
      <c r="V490" s="1855"/>
      <c r="W490" s="1852"/>
      <c r="X490" s="1856"/>
      <c r="Y490" s="1746"/>
      <c r="Z490" s="1746"/>
      <c r="AA490" s="1746"/>
      <c r="AB490" s="1746"/>
      <c r="AC490" s="1746"/>
      <c r="AD490" s="1746"/>
      <c r="AE490" s="1746"/>
      <c r="AF490" s="1746"/>
      <c r="AG490" s="1746"/>
      <c r="AH490" s="1746"/>
      <c r="AI490" s="1746"/>
      <c r="AJ490" s="1746"/>
      <c r="AK490" s="1746"/>
    </row>
    <row r="491" spans="1:38" ht="15.75">
      <c r="C491" s="2588"/>
      <c r="D491" s="1669"/>
      <c r="E491" s="1851"/>
      <c r="F491" s="1852"/>
      <c r="G491" s="1853"/>
      <c r="H491" s="1852"/>
      <c r="I491" s="1853"/>
      <c r="J491" s="1852"/>
      <c r="K491" s="1843"/>
      <c r="L491" s="1843"/>
      <c r="M491" s="1854"/>
      <c r="N491" s="1854"/>
      <c r="O491" s="1852"/>
      <c r="P491" s="1852"/>
      <c r="Q491" s="1852"/>
      <c r="R491" s="1746"/>
      <c r="S491" s="1746"/>
      <c r="T491" s="1854"/>
      <c r="U491" s="1851"/>
      <c r="V491" s="1855"/>
      <c r="W491" s="1852"/>
      <c r="X491" s="1856"/>
      <c r="Y491" s="1746"/>
      <c r="Z491" s="1746"/>
      <c r="AA491" s="1746"/>
      <c r="AB491" s="1746"/>
      <c r="AC491" s="1746"/>
      <c r="AD491" s="1746"/>
      <c r="AE491" s="1746"/>
      <c r="AF491" s="1746"/>
      <c r="AG491" s="1746"/>
      <c r="AH491" s="1746"/>
      <c r="AI491" s="1746"/>
      <c r="AJ491" s="1746"/>
      <c r="AK491" s="1746"/>
    </row>
    <row r="492" spans="1:38" ht="15.75">
      <c r="C492" s="2588"/>
      <c r="D492" s="1669"/>
      <c r="E492" s="1851"/>
      <c r="F492" s="1852"/>
      <c r="G492" s="1853"/>
      <c r="H492" s="1852"/>
      <c r="I492" s="1853"/>
      <c r="J492" s="1852"/>
      <c r="K492" s="1843"/>
      <c r="L492" s="1843"/>
      <c r="M492" s="1854"/>
      <c r="N492" s="1854"/>
      <c r="O492" s="1852"/>
      <c r="P492" s="1852"/>
      <c r="Q492" s="1852"/>
      <c r="R492" s="1746"/>
      <c r="S492" s="1746"/>
      <c r="T492" s="1854"/>
      <c r="U492" s="1851"/>
      <c r="V492" s="1855"/>
      <c r="W492" s="1852"/>
      <c r="X492" s="1856"/>
      <c r="Y492" s="1746"/>
      <c r="Z492" s="1746"/>
      <c r="AA492" s="1746"/>
      <c r="AB492" s="1746"/>
      <c r="AC492" s="1746"/>
      <c r="AD492" s="1746"/>
      <c r="AE492" s="1746"/>
      <c r="AF492" s="1746"/>
      <c r="AG492" s="1746"/>
      <c r="AH492" s="1746"/>
      <c r="AI492" s="1746"/>
      <c r="AJ492" s="1746"/>
      <c r="AK492" s="1746"/>
    </row>
    <row r="493" spans="1:38" ht="15.75">
      <c r="C493" s="2588"/>
      <c r="D493" s="1669"/>
      <c r="E493" s="1851"/>
      <c r="F493" s="1852"/>
      <c r="G493" s="1853"/>
      <c r="H493" s="1852"/>
      <c r="I493" s="1853"/>
      <c r="J493" s="1852"/>
      <c r="K493" s="1843"/>
      <c r="L493" s="1843"/>
      <c r="M493" s="1854"/>
      <c r="N493" s="1854"/>
      <c r="O493" s="1852"/>
      <c r="P493" s="1852"/>
      <c r="Q493" s="1852"/>
      <c r="R493" s="1746"/>
      <c r="S493" s="1746"/>
      <c r="T493" s="1854"/>
      <c r="U493" s="1851"/>
      <c r="V493" s="1855"/>
      <c r="W493" s="1852"/>
      <c r="X493" s="1856"/>
      <c r="Y493" s="1746"/>
      <c r="Z493" s="1746"/>
      <c r="AA493" s="1746"/>
      <c r="AB493" s="1746"/>
      <c r="AC493" s="1746"/>
      <c r="AD493" s="1746"/>
      <c r="AE493" s="1746"/>
      <c r="AF493" s="1746"/>
      <c r="AG493" s="1746"/>
      <c r="AH493" s="1746"/>
      <c r="AI493" s="1746"/>
      <c r="AJ493" s="1746"/>
      <c r="AK493" s="1746"/>
    </row>
    <row r="494" spans="1:38" ht="15.75">
      <c r="C494" s="2588"/>
      <c r="D494" s="1669"/>
      <c r="E494" s="1851"/>
      <c r="F494" s="1852"/>
      <c r="G494" s="1853"/>
      <c r="H494" s="1852"/>
      <c r="I494" s="1853"/>
      <c r="J494" s="1852"/>
      <c r="K494" s="1843"/>
      <c r="L494" s="1843"/>
      <c r="M494" s="1854"/>
      <c r="N494" s="1854"/>
      <c r="O494" s="1852"/>
      <c r="P494" s="1852"/>
      <c r="Q494" s="1852"/>
      <c r="R494" s="1746"/>
      <c r="S494" s="1746"/>
      <c r="T494" s="1854"/>
      <c r="U494" s="1851"/>
      <c r="V494" s="1855"/>
      <c r="W494" s="1852"/>
      <c r="X494" s="1856"/>
      <c r="Y494" s="1746"/>
      <c r="Z494" s="1746"/>
      <c r="AA494" s="1746"/>
      <c r="AB494" s="1746"/>
      <c r="AC494" s="1746"/>
      <c r="AD494" s="1746"/>
      <c r="AE494" s="1746"/>
      <c r="AF494" s="1746"/>
      <c r="AG494" s="1746"/>
      <c r="AH494" s="1746"/>
      <c r="AI494" s="1746"/>
      <c r="AJ494" s="1746"/>
      <c r="AK494" s="1746"/>
    </row>
    <row r="495" spans="1:38" ht="15.75">
      <c r="C495" s="2588"/>
      <c r="D495" s="1669"/>
      <c r="E495" s="1851"/>
      <c r="F495" s="1852"/>
      <c r="G495" s="1853"/>
      <c r="H495" s="1852"/>
      <c r="I495" s="1853"/>
      <c r="J495" s="1852"/>
      <c r="K495" s="1843"/>
      <c r="L495" s="1843"/>
      <c r="M495" s="1854"/>
      <c r="N495" s="1854"/>
      <c r="O495" s="1852"/>
      <c r="P495" s="1852"/>
      <c r="Q495" s="1852"/>
      <c r="R495" s="1746"/>
      <c r="S495" s="1746"/>
      <c r="T495" s="1854"/>
      <c r="U495" s="1851"/>
      <c r="V495" s="1855"/>
      <c r="W495" s="1852"/>
      <c r="X495" s="1856"/>
      <c r="Y495" s="1746"/>
      <c r="Z495" s="1746"/>
      <c r="AA495" s="1746"/>
      <c r="AB495" s="1746"/>
      <c r="AC495" s="1746"/>
      <c r="AD495" s="1746"/>
      <c r="AE495" s="1746"/>
      <c r="AF495" s="1746"/>
      <c r="AG495" s="1746"/>
      <c r="AH495" s="1746"/>
      <c r="AI495" s="1746"/>
      <c r="AJ495" s="1746"/>
      <c r="AK495" s="1746"/>
    </row>
    <row r="496" spans="1:38" ht="15.75">
      <c r="C496" s="1849"/>
      <c r="D496" s="1850"/>
      <c r="E496" s="1851"/>
      <c r="F496" s="1852"/>
      <c r="G496" s="1853"/>
      <c r="H496" s="1852"/>
      <c r="I496" s="1853"/>
      <c r="J496" s="1852"/>
      <c r="K496" s="1884"/>
      <c r="L496" s="1843"/>
      <c r="M496" s="1854"/>
      <c r="N496" s="1854"/>
      <c r="O496" s="1852"/>
      <c r="P496" s="1852"/>
      <c r="Q496" s="1852"/>
      <c r="R496" s="1746"/>
      <c r="S496" s="1746"/>
      <c r="T496" s="1854"/>
      <c r="U496" s="1851"/>
      <c r="V496" s="1855"/>
      <c r="W496" s="1852"/>
      <c r="X496" s="1856"/>
      <c r="Y496" s="1746"/>
      <c r="Z496" s="1746"/>
      <c r="AA496" s="1746"/>
      <c r="AB496" s="1746"/>
      <c r="AC496" s="1746"/>
      <c r="AD496" s="1746"/>
      <c r="AE496" s="1746"/>
      <c r="AF496" s="1746"/>
      <c r="AG496" s="1746"/>
      <c r="AH496" s="1746"/>
      <c r="AI496" s="1746"/>
      <c r="AJ496" s="1746"/>
      <c r="AK496" s="1746"/>
    </row>
    <row r="497" spans="1:41" ht="15.75">
      <c r="C497" s="1849"/>
      <c r="D497" s="1850"/>
      <c r="E497" s="1851"/>
      <c r="F497" s="1852"/>
      <c r="G497" s="1853"/>
      <c r="H497" s="1852"/>
      <c r="I497" s="1853"/>
      <c r="J497" s="1852"/>
      <c r="K497" s="1884"/>
      <c r="L497" s="1843"/>
      <c r="M497" s="1854"/>
      <c r="N497" s="1854"/>
      <c r="O497" s="1852"/>
      <c r="P497" s="1852"/>
      <c r="Q497" s="1852"/>
      <c r="R497" s="1746"/>
      <c r="S497" s="1746"/>
      <c r="T497" s="1854"/>
      <c r="U497" s="1851"/>
      <c r="V497" s="1855"/>
      <c r="W497" s="1852"/>
      <c r="X497" s="1856"/>
      <c r="Y497" s="1746"/>
      <c r="Z497" s="1746"/>
      <c r="AA497" s="1746"/>
      <c r="AB497" s="1746"/>
      <c r="AC497" s="1746"/>
      <c r="AD497" s="1746"/>
      <c r="AE497" s="1746"/>
      <c r="AF497" s="1746"/>
      <c r="AG497" s="1746"/>
      <c r="AH497" s="1746"/>
      <c r="AI497" s="1746"/>
      <c r="AJ497" s="1746"/>
      <c r="AK497" s="1746"/>
    </row>
    <row r="498" spans="1:41" ht="15.75">
      <c r="C498" s="1849"/>
      <c r="D498" s="1850"/>
      <c r="E498" s="1851"/>
      <c r="F498" s="1852"/>
      <c r="G498" s="1853"/>
      <c r="H498" s="1852"/>
      <c r="I498" s="1853"/>
      <c r="J498" s="1852"/>
      <c r="K498" s="1884"/>
      <c r="L498" s="1843"/>
      <c r="M498" s="1854"/>
      <c r="N498" s="1854"/>
      <c r="O498" s="1852"/>
      <c r="P498" s="1852"/>
      <c r="Q498" s="1852"/>
      <c r="R498" s="1746"/>
      <c r="S498" s="1746"/>
      <c r="T498" s="1854"/>
      <c r="U498" s="1851"/>
      <c r="V498" s="1855"/>
      <c r="W498" s="1852"/>
      <c r="X498" s="1856"/>
      <c r="Y498" s="1746"/>
      <c r="Z498" s="1746"/>
      <c r="AA498" s="1746"/>
      <c r="AB498" s="1746"/>
      <c r="AC498" s="1746"/>
      <c r="AD498" s="1746"/>
      <c r="AE498" s="1746"/>
      <c r="AF498" s="1746"/>
      <c r="AG498" s="1746"/>
      <c r="AH498" s="1746"/>
      <c r="AI498" s="1746"/>
      <c r="AJ498" s="1746"/>
      <c r="AK498" s="1746"/>
    </row>
    <row r="499" spans="1:41">
      <c r="C499" s="395"/>
      <c r="D499" s="395"/>
      <c r="E499" s="395"/>
      <c r="F499" s="395"/>
      <c r="G499" s="395"/>
      <c r="H499" s="395"/>
      <c r="I499" s="395"/>
      <c r="J499" s="395"/>
      <c r="K499" s="395"/>
      <c r="L499" s="395"/>
      <c r="M499" s="395"/>
      <c r="N499" s="395"/>
      <c r="O499" s="395"/>
      <c r="P499" s="395"/>
      <c r="Q499" s="395"/>
      <c r="R499" s="395"/>
      <c r="S499" s="395"/>
      <c r="T499" s="395"/>
      <c r="U499" s="395"/>
      <c r="V499" s="395"/>
      <c r="W499" s="395"/>
      <c r="X499" s="395"/>
      <c r="Y499" s="395"/>
      <c r="Z499" s="395"/>
      <c r="AA499" s="395"/>
      <c r="AB499" s="395"/>
      <c r="AC499" s="395"/>
      <c r="AD499" s="395"/>
      <c r="AE499" s="395"/>
      <c r="AF499" s="395"/>
      <c r="AG499" s="395"/>
      <c r="AH499" s="395"/>
      <c r="AI499" s="395"/>
      <c r="AJ499" s="395"/>
      <c r="AK499" s="395"/>
      <c r="AL499" s="395"/>
      <c r="AM499" s="395"/>
      <c r="AN499" s="395"/>
      <c r="AO499" s="395"/>
    </row>
    <row r="500" spans="1:41" ht="15.75">
      <c r="C500" s="430"/>
      <c r="D500" s="1885"/>
      <c r="E500" s="2520"/>
      <c r="F500" s="2520"/>
      <c r="G500" s="2520"/>
      <c r="H500" s="2520"/>
      <c r="I500" s="2520"/>
      <c r="J500" s="2520"/>
      <c r="K500" s="2520"/>
      <c r="L500" s="2519"/>
      <c r="M500" s="2519"/>
      <c r="N500" s="1870"/>
      <c r="O500" s="1870"/>
      <c r="P500" s="2518"/>
      <c r="Q500" s="2518"/>
      <c r="R500" s="2518"/>
      <c r="S500" s="1870"/>
      <c r="T500" s="1870"/>
      <c r="U500" s="1870"/>
      <c r="V500" s="1870"/>
      <c r="W500" s="2518"/>
      <c r="X500" s="2518"/>
      <c r="Y500" s="2518"/>
      <c r="Z500" s="1870"/>
      <c r="AA500" s="1870"/>
      <c r="AB500" s="1870"/>
      <c r="AC500" s="1870"/>
      <c r="AD500" s="1870"/>
      <c r="AE500" s="1870"/>
      <c r="AF500" s="1870"/>
      <c r="AG500" s="1870"/>
      <c r="AH500" s="1870"/>
      <c r="AI500" s="1870"/>
      <c r="AJ500" s="1870"/>
      <c r="AK500" s="1870"/>
      <c r="AL500" s="1870"/>
    </row>
    <row r="501" spans="1:41" ht="15.75">
      <c r="C501" s="1874"/>
      <c r="D501" s="1875"/>
      <c r="E501" s="2517"/>
      <c r="F501" s="2517"/>
      <c r="G501" s="428"/>
      <c r="H501" s="2517"/>
      <c r="I501" s="2517"/>
      <c r="J501" s="2517"/>
      <c r="K501" s="2517"/>
      <c r="L501" s="2519"/>
      <c r="M501" s="2519"/>
      <c r="N501" s="1829"/>
      <c r="O501" s="1829"/>
      <c r="P501" s="428"/>
      <c r="Q501" s="1870"/>
      <c r="R501" s="1870"/>
      <c r="S501" s="1883"/>
      <c r="T501" s="1883"/>
      <c r="U501" s="1829"/>
      <c r="V501" s="1829"/>
      <c r="W501" s="428"/>
      <c r="X501" s="1870"/>
      <c r="Y501" s="1870"/>
      <c r="Z501" s="1883"/>
      <c r="AA501" s="1883"/>
      <c r="AB501" s="1883"/>
      <c r="AC501" s="1883"/>
      <c r="AD501" s="1883"/>
      <c r="AE501" s="1883"/>
      <c r="AF501" s="1883"/>
      <c r="AG501" s="1883"/>
      <c r="AH501" s="1883"/>
      <c r="AI501" s="1883"/>
      <c r="AJ501" s="1883"/>
      <c r="AK501" s="1883"/>
      <c r="AL501" s="1883"/>
    </row>
    <row r="502" spans="1:41" ht="15.75">
      <c r="C502" s="1874"/>
      <c r="D502" s="1875"/>
      <c r="E502" s="1877"/>
      <c r="F502" s="1878"/>
      <c r="G502" s="1878"/>
      <c r="H502" s="1878"/>
      <c r="I502" s="1878"/>
      <c r="J502" s="1878"/>
      <c r="K502" s="1878"/>
      <c r="L502" s="429"/>
      <c r="M502" s="429"/>
      <c r="N502" s="1751"/>
      <c r="O502" s="1751"/>
      <c r="P502" s="2520"/>
      <c r="Q502" s="2520"/>
      <c r="R502" s="2520"/>
      <c r="S502" s="431"/>
      <c r="T502" s="431"/>
      <c r="U502" s="1751"/>
      <c r="V502" s="1751"/>
      <c r="W502" s="2520"/>
      <c r="X502" s="2520"/>
      <c r="Y502" s="2520"/>
      <c r="Z502" s="431"/>
      <c r="AA502" s="431"/>
      <c r="AB502" s="431"/>
      <c r="AC502" s="431"/>
      <c r="AD502" s="431"/>
      <c r="AE502" s="431"/>
      <c r="AF502" s="431"/>
      <c r="AG502" s="431"/>
      <c r="AH502" s="431"/>
      <c r="AI502" s="431"/>
      <c r="AJ502" s="431"/>
      <c r="AK502" s="431"/>
      <c r="AL502" s="431"/>
      <c r="AM502" s="1886"/>
      <c r="AN502" s="1886"/>
      <c r="AO502" s="1886"/>
    </row>
    <row r="503" spans="1:41" ht="15.75">
      <c r="C503" s="2590"/>
      <c r="D503" s="1751"/>
      <c r="E503" s="429"/>
      <c r="F503" s="428"/>
      <c r="G503" s="428"/>
      <c r="H503" s="429"/>
      <c r="I503" s="428"/>
      <c r="J503" s="429"/>
      <c r="K503" s="428"/>
      <c r="L503" s="1843"/>
      <c r="M503" s="1843"/>
      <c r="N503" s="1719"/>
      <c r="O503" s="1719"/>
      <c r="P503" s="428"/>
      <c r="Q503" s="428"/>
      <c r="R503" s="428"/>
      <c r="S503" s="1858"/>
      <c r="T503" s="1858"/>
      <c r="U503" s="1719"/>
      <c r="V503" s="429"/>
      <c r="W503" s="1859"/>
      <c r="X503" s="428"/>
      <c r="Y503" s="1860"/>
      <c r="Z503" s="1858"/>
      <c r="AA503" s="1858"/>
      <c r="AB503" s="1858"/>
      <c r="AC503" s="1858"/>
      <c r="AD503" s="1858"/>
      <c r="AE503" s="1858"/>
      <c r="AF503" s="1858"/>
      <c r="AG503" s="1858"/>
      <c r="AH503" s="1858"/>
      <c r="AI503" s="1858"/>
      <c r="AJ503" s="1858"/>
      <c r="AK503" s="1858"/>
      <c r="AL503" s="1858"/>
    </row>
    <row r="504" spans="1:41" ht="15.75">
      <c r="C504" s="2590"/>
      <c r="D504" s="1751"/>
      <c r="E504" s="429"/>
      <c r="F504" s="428"/>
      <c r="G504" s="428"/>
      <c r="H504" s="429"/>
      <c r="I504" s="428"/>
      <c r="J504" s="429"/>
      <c r="K504" s="428"/>
      <c r="L504" s="1843"/>
      <c r="M504" s="1843"/>
      <c r="N504" s="1719"/>
      <c r="O504" s="1719"/>
      <c r="P504" s="428"/>
      <c r="Q504" s="428"/>
      <c r="R504" s="428"/>
      <c r="S504" s="1858"/>
      <c r="T504" s="1858"/>
      <c r="U504" s="1719"/>
      <c r="V504" s="429"/>
      <c r="W504" s="1859"/>
      <c r="X504" s="428"/>
      <c r="Y504" s="1860"/>
      <c r="Z504" s="1858"/>
      <c r="AA504" s="1858"/>
      <c r="AB504" s="1858"/>
      <c r="AC504" s="1858"/>
      <c r="AD504" s="1858"/>
      <c r="AE504" s="1858"/>
      <c r="AF504" s="1858"/>
      <c r="AG504" s="1858"/>
      <c r="AH504" s="1858"/>
      <c r="AI504" s="1858"/>
      <c r="AJ504" s="1858"/>
      <c r="AK504" s="1858"/>
      <c r="AL504" s="1858"/>
    </row>
    <row r="505" spans="1:41" ht="15.75">
      <c r="C505" s="2590"/>
      <c r="D505" s="1751"/>
      <c r="E505" s="429"/>
      <c r="F505" s="428"/>
      <c r="G505" s="428"/>
      <c r="H505" s="429"/>
      <c r="I505" s="428"/>
      <c r="J505" s="429"/>
      <c r="K505" s="428"/>
      <c r="L505" s="1843"/>
      <c r="M505" s="1843"/>
      <c r="N505" s="1719"/>
      <c r="O505" s="1719"/>
      <c r="P505" s="428"/>
      <c r="Q505" s="428"/>
      <c r="R505" s="428"/>
      <c r="S505" s="1858"/>
      <c r="T505" s="1858"/>
      <c r="U505" s="1719"/>
      <c r="V505" s="429"/>
      <c r="W505" s="1859"/>
      <c r="X505" s="428"/>
      <c r="Y505" s="1860"/>
      <c r="Z505" s="1858"/>
      <c r="AA505" s="1858"/>
      <c r="AB505" s="1858"/>
      <c r="AC505" s="1858"/>
      <c r="AD505" s="1858"/>
      <c r="AE505" s="1858"/>
      <c r="AF505" s="1858"/>
      <c r="AG505" s="1858"/>
      <c r="AH505" s="1858"/>
      <c r="AI505" s="1858"/>
      <c r="AJ505" s="1858"/>
      <c r="AK505" s="1858"/>
      <c r="AL505" s="1858"/>
    </row>
    <row r="506" spans="1:41" ht="15.75">
      <c r="C506" s="2590"/>
      <c r="D506" s="1751"/>
      <c r="E506" s="429"/>
      <c r="F506" s="428"/>
      <c r="G506" s="428"/>
      <c r="H506" s="429"/>
      <c r="I506" s="428"/>
      <c r="J506" s="429"/>
      <c r="K506" s="428"/>
      <c r="L506" s="1843"/>
      <c r="M506" s="1843"/>
      <c r="N506" s="1719"/>
      <c r="O506" s="1719"/>
      <c r="P506" s="428"/>
      <c r="Q506" s="428"/>
      <c r="R506" s="428"/>
      <c r="S506" s="1858"/>
      <c r="T506" s="1858"/>
      <c r="U506" s="1719"/>
      <c r="V506" s="429"/>
      <c r="W506" s="1859"/>
      <c r="X506" s="428"/>
      <c r="Y506" s="1860"/>
      <c r="Z506" s="1858"/>
      <c r="AA506" s="1858"/>
      <c r="AB506" s="1858"/>
      <c r="AC506" s="1858"/>
      <c r="AD506" s="1858"/>
      <c r="AE506" s="1858"/>
      <c r="AF506" s="1858"/>
      <c r="AG506" s="1858"/>
      <c r="AH506" s="1858"/>
      <c r="AI506" s="1858"/>
      <c r="AJ506" s="1858"/>
      <c r="AK506" s="1858"/>
      <c r="AL506" s="1858"/>
    </row>
    <row r="507" spans="1:41" ht="15.75">
      <c r="C507" s="2590"/>
      <c r="D507" s="1751"/>
      <c r="E507" s="429"/>
      <c r="F507" s="428"/>
      <c r="G507" s="428"/>
      <c r="H507" s="429"/>
      <c r="I507" s="428"/>
      <c r="J507" s="429"/>
      <c r="K507" s="428"/>
      <c r="L507" s="1843"/>
      <c r="M507" s="1843"/>
      <c r="N507" s="1719"/>
      <c r="O507" s="1719"/>
      <c r="P507" s="428"/>
      <c r="Q507" s="428"/>
      <c r="R507" s="428"/>
      <c r="S507" s="1858"/>
      <c r="T507" s="1858"/>
      <c r="U507" s="1719"/>
      <c r="V507" s="429"/>
      <c r="W507" s="1859"/>
      <c r="X507" s="428"/>
      <c r="Y507" s="1860"/>
      <c r="Z507" s="1858"/>
      <c r="AA507" s="1858"/>
      <c r="AB507" s="1858"/>
      <c r="AC507" s="1858"/>
      <c r="AD507" s="1858"/>
      <c r="AE507" s="1858"/>
      <c r="AF507" s="1858"/>
      <c r="AG507" s="1858"/>
      <c r="AH507" s="1858"/>
      <c r="AI507" s="1858"/>
      <c r="AJ507" s="1858"/>
      <c r="AK507" s="1858"/>
      <c r="AL507" s="1858"/>
    </row>
    <row r="508" spans="1:41" ht="15.75">
      <c r="C508" s="2590"/>
      <c r="D508" s="1751"/>
      <c r="E508" s="429"/>
      <c r="F508" s="428"/>
      <c r="G508" s="428"/>
      <c r="H508" s="429"/>
      <c r="I508" s="428"/>
      <c r="J508" s="429"/>
      <c r="K508" s="428"/>
      <c r="L508" s="1843"/>
      <c r="M508" s="1843"/>
      <c r="N508" s="1719"/>
      <c r="O508" s="1719"/>
      <c r="P508" s="428"/>
      <c r="Q508" s="428"/>
      <c r="R508" s="428"/>
      <c r="S508" s="1858"/>
      <c r="T508" s="1858"/>
      <c r="U508" s="1719"/>
      <c r="V508" s="429"/>
      <c r="W508" s="1859"/>
      <c r="X508" s="428"/>
      <c r="Y508" s="1860"/>
      <c r="Z508" s="1858"/>
      <c r="AA508" s="1858"/>
      <c r="AB508" s="1858"/>
      <c r="AC508" s="1858"/>
      <c r="AD508" s="1858"/>
      <c r="AE508" s="1858"/>
      <c r="AF508" s="1858"/>
      <c r="AG508" s="1858"/>
      <c r="AH508" s="1858"/>
      <c r="AI508" s="1858"/>
      <c r="AJ508" s="1858"/>
      <c r="AK508" s="1858"/>
      <c r="AL508" s="1858"/>
    </row>
    <row r="509" spans="1:41" ht="15.75">
      <c r="C509" s="2590"/>
      <c r="D509" s="1751"/>
      <c r="E509" s="429"/>
      <c r="F509" s="428"/>
      <c r="G509" s="428"/>
      <c r="H509" s="429"/>
      <c r="I509" s="428"/>
      <c r="J509" s="429"/>
      <c r="K509" s="428"/>
      <c r="L509" s="1843"/>
      <c r="M509" s="1843"/>
      <c r="N509" s="1719"/>
      <c r="O509" s="1854"/>
      <c r="P509" s="428"/>
      <c r="Q509" s="428"/>
      <c r="R509" s="428"/>
      <c r="S509" s="1858"/>
      <c r="T509" s="1858"/>
      <c r="U509" s="1719"/>
      <c r="V509" s="429"/>
      <c r="W509" s="1859"/>
      <c r="X509" s="428"/>
      <c r="Y509" s="1860"/>
      <c r="Z509" s="1858"/>
      <c r="AA509" s="1858"/>
      <c r="AB509" s="1858"/>
      <c r="AC509" s="1858"/>
      <c r="AD509" s="1858"/>
      <c r="AE509" s="1858"/>
      <c r="AF509" s="1858"/>
      <c r="AG509" s="1858"/>
      <c r="AH509" s="1858"/>
      <c r="AI509" s="1858"/>
      <c r="AJ509" s="1858"/>
      <c r="AK509" s="1858"/>
      <c r="AL509" s="1858"/>
    </row>
    <row r="510" spans="1:41" ht="15.75">
      <c r="A510" s="385"/>
      <c r="B510" s="385"/>
      <c r="C510" s="2590"/>
      <c r="D510" s="1751"/>
      <c r="E510" s="429"/>
      <c r="F510" s="428"/>
      <c r="G510" s="428"/>
      <c r="H510" s="429"/>
      <c r="I510" s="428"/>
      <c r="J510" s="429"/>
      <c r="K510" s="428"/>
      <c r="L510" s="1843"/>
      <c r="M510" s="1843"/>
      <c r="N510" s="1719"/>
      <c r="O510" s="1854"/>
      <c r="P510" s="428"/>
      <c r="Q510" s="428"/>
      <c r="R510" s="428"/>
      <c r="S510" s="1858"/>
      <c r="T510" s="1858"/>
      <c r="U510" s="1719"/>
      <c r="V510" s="429"/>
      <c r="W510" s="1859"/>
      <c r="X510" s="428"/>
      <c r="Y510" s="1860"/>
      <c r="Z510" s="1858"/>
      <c r="AA510" s="1858"/>
      <c r="AB510" s="1858"/>
      <c r="AC510" s="1858"/>
      <c r="AD510" s="1858"/>
      <c r="AE510" s="1858"/>
      <c r="AF510" s="1858"/>
      <c r="AG510" s="1858"/>
      <c r="AH510" s="1858"/>
      <c r="AI510" s="1858"/>
      <c r="AJ510" s="1858"/>
      <c r="AK510" s="1858"/>
      <c r="AL510" s="1858"/>
    </row>
    <row r="511" spans="1:41" ht="15.75">
      <c r="C511" s="2590"/>
      <c r="D511" s="1751"/>
      <c r="E511" s="429"/>
      <c r="F511" s="428"/>
      <c r="G511" s="428"/>
      <c r="H511" s="429"/>
      <c r="I511" s="428"/>
      <c r="J511" s="429"/>
      <c r="K511" s="428"/>
      <c r="L511" s="1843"/>
      <c r="M511" s="1843"/>
      <c r="N511" s="1719"/>
      <c r="O511" s="1854"/>
      <c r="P511" s="428"/>
      <c r="Q511" s="428"/>
      <c r="R511" s="428"/>
      <c r="S511" s="1858"/>
      <c r="T511" s="1858"/>
      <c r="U511" s="1719"/>
      <c r="V511" s="429"/>
      <c r="W511" s="1859"/>
      <c r="X511" s="428"/>
      <c r="Y511" s="1860"/>
      <c r="Z511" s="1858"/>
      <c r="AA511" s="1858"/>
      <c r="AB511" s="1858"/>
      <c r="AC511" s="1858"/>
      <c r="AD511" s="1858"/>
      <c r="AE511" s="1858"/>
      <c r="AF511" s="1858"/>
      <c r="AG511" s="1858"/>
      <c r="AH511" s="1858"/>
      <c r="AI511" s="1858"/>
      <c r="AJ511" s="1858"/>
      <c r="AK511" s="1858"/>
      <c r="AL511" s="1858"/>
    </row>
    <row r="512" spans="1:41" ht="15.75">
      <c r="C512" s="2590"/>
      <c r="D512" s="1751"/>
      <c r="E512" s="429"/>
      <c r="F512" s="428"/>
      <c r="G512" s="428"/>
      <c r="H512" s="429"/>
      <c r="I512" s="428"/>
      <c r="J512" s="429"/>
      <c r="K512" s="428"/>
      <c r="L512" s="1843"/>
      <c r="M512" s="1843"/>
      <c r="N512" s="1719"/>
      <c r="O512" s="1854"/>
      <c r="P512" s="428"/>
      <c r="Q512" s="428"/>
      <c r="R512" s="428"/>
      <c r="S512" s="1858"/>
      <c r="T512" s="1858"/>
      <c r="U512" s="1719"/>
      <c r="V512" s="429"/>
      <c r="W512" s="1859"/>
      <c r="X512" s="428"/>
      <c r="Y512" s="1860"/>
      <c r="Z512" s="1858"/>
      <c r="AA512" s="1858"/>
      <c r="AB512" s="1858"/>
      <c r="AC512" s="1858"/>
      <c r="AD512" s="1858"/>
      <c r="AE512" s="1858"/>
      <c r="AF512" s="1858"/>
      <c r="AG512" s="1858"/>
      <c r="AH512" s="1858"/>
      <c r="AI512" s="1858"/>
      <c r="AJ512" s="1858"/>
      <c r="AK512" s="1858"/>
      <c r="AL512" s="1858"/>
    </row>
    <row r="513" spans="3:41" ht="15.75">
      <c r="C513" s="2590"/>
      <c r="D513" s="1751"/>
      <c r="E513" s="429"/>
      <c r="F513" s="428"/>
      <c r="G513" s="428"/>
      <c r="H513" s="429"/>
      <c r="I513" s="428"/>
      <c r="J513" s="429"/>
      <c r="K513" s="428"/>
      <c r="L513" s="1843"/>
      <c r="M513" s="1843"/>
      <c r="N513" s="1719"/>
      <c r="O513" s="1854"/>
      <c r="P513" s="428"/>
      <c r="Q513" s="428"/>
      <c r="R513" s="428"/>
      <c r="S513" s="1858"/>
      <c r="T513" s="1858"/>
      <c r="U513" s="1719"/>
      <c r="V513" s="429"/>
      <c r="W513" s="1859"/>
      <c r="X513" s="428"/>
      <c r="Y513" s="1860"/>
      <c r="Z513" s="1858"/>
      <c r="AA513" s="1858"/>
      <c r="AB513" s="1858"/>
      <c r="AC513" s="1858"/>
      <c r="AD513" s="1858"/>
      <c r="AE513" s="1858"/>
      <c r="AF513" s="1858"/>
      <c r="AG513" s="1858"/>
      <c r="AH513" s="1858"/>
      <c r="AI513" s="1858"/>
      <c r="AJ513" s="1858"/>
      <c r="AK513" s="1858"/>
      <c r="AL513" s="1858"/>
    </row>
    <row r="514" spans="3:41" ht="15.75">
      <c r="C514" s="2590"/>
      <c r="D514" s="1751"/>
      <c r="E514" s="429"/>
      <c r="F514" s="428"/>
      <c r="G514" s="428"/>
      <c r="H514" s="429"/>
      <c r="I514" s="428"/>
      <c r="J514" s="429"/>
      <c r="K514" s="428"/>
      <c r="L514" s="1843"/>
      <c r="M514" s="1843"/>
      <c r="N514" s="1719"/>
      <c r="O514" s="1854"/>
      <c r="P514" s="428"/>
      <c r="Q514" s="428"/>
      <c r="R514" s="428"/>
      <c r="S514" s="1858"/>
      <c r="T514" s="1858"/>
      <c r="U514" s="1719"/>
      <c r="V514" s="429"/>
      <c r="W514" s="1859"/>
      <c r="X514" s="428"/>
      <c r="Y514" s="1860"/>
      <c r="Z514" s="1858"/>
      <c r="AA514" s="1858"/>
      <c r="AB514" s="1858"/>
      <c r="AC514" s="1858"/>
      <c r="AD514" s="1858"/>
      <c r="AE514" s="1858"/>
      <c r="AF514" s="1858"/>
      <c r="AG514" s="1858"/>
      <c r="AH514" s="1858"/>
      <c r="AI514" s="1858"/>
      <c r="AJ514" s="1858"/>
      <c r="AK514" s="1858"/>
      <c r="AL514" s="1858"/>
    </row>
    <row r="515" spans="3:41" ht="15.75">
      <c r="C515" s="430"/>
      <c r="D515" s="1751"/>
      <c r="E515" s="429"/>
      <c r="F515" s="428"/>
      <c r="G515" s="428"/>
      <c r="H515" s="429"/>
      <c r="I515" s="428"/>
      <c r="K515" s="428"/>
      <c r="L515" s="1843"/>
      <c r="M515" s="1843"/>
      <c r="N515" s="1719"/>
      <c r="O515" s="1719"/>
      <c r="P515" s="428"/>
      <c r="Q515" s="428"/>
      <c r="R515" s="428"/>
      <c r="S515" s="1858"/>
      <c r="T515" s="1858"/>
      <c r="U515" s="1719"/>
      <c r="V515" s="429"/>
      <c r="W515" s="1859"/>
      <c r="X515" s="428"/>
      <c r="Y515" s="1860"/>
      <c r="Z515" s="1858"/>
      <c r="AA515" s="1858"/>
      <c r="AB515" s="1858"/>
      <c r="AC515" s="1858"/>
      <c r="AD515" s="1858"/>
      <c r="AE515" s="1858"/>
      <c r="AF515" s="1858"/>
      <c r="AG515" s="1858"/>
      <c r="AH515" s="1858"/>
      <c r="AI515" s="1858"/>
      <c r="AJ515" s="1858"/>
      <c r="AK515" s="1858"/>
      <c r="AL515" s="1858"/>
    </row>
    <row r="516" spans="3:41" ht="15.75">
      <c r="C516" s="430"/>
      <c r="D516" s="1751"/>
      <c r="E516" s="429"/>
      <c r="F516" s="428"/>
      <c r="G516" s="428"/>
      <c r="H516" s="429"/>
      <c r="I516" s="428"/>
      <c r="K516" s="428"/>
      <c r="L516" s="1843"/>
      <c r="M516" s="1843"/>
      <c r="N516" s="1719"/>
      <c r="O516" s="1719"/>
      <c r="P516" s="428"/>
      <c r="Q516" s="428"/>
      <c r="R516" s="428"/>
      <c r="S516" s="1858"/>
      <c r="T516" s="1858"/>
      <c r="U516" s="1719"/>
      <c r="V516" s="429"/>
      <c r="W516" s="1859"/>
      <c r="X516" s="428"/>
      <c r="Y516" s="1860"/>
      <c r="Z516" s="1858"/>
      <c r="AA516" s="1858"/>
      <c r="AB516" s="1858"/>
      <c r="AC516" s="1858"/>
      <c r="AD516" s="1858"/>
      <c r="AE516" s="1858"/>
      <c r="AF516" s="1858"/>
      <c r="AG516" s="1858"/>
      <c r="AH516" s="1858"/>
      <c r="AI516" s="1858"/>
      <c r="AJ516" s="1858"/>
      <c r="AK516" s="1858"/>
      <c r="AL516" s="1858"/>
    </row>
    <row r="517" spans="3:41" ht="15.75">
      <c r="C517" s="430"/>
      <c r="D517" s="1751"/>
      <c r="E517" s="429"/>
      <c r="F517" s="428"/>
      <c r="G517" s="428"/>
      <c r="H517" s="429"/>
      <c r="I517" s="428"/>
      <c r="J517" s="429"/>
      <c r="K517" s="428"/>
      <c r="L517" s="1843"/>
      <c r="M517" s="1843"/>
      <c r="N517" s="1719"/>
      <c r="O517" s="1719"/>
      <c r="P517" s="428"/>
      <c r="Q517" s="428"/>
      <c r="R517" s="428"/>
      <c r="S517" s="1858"/>
      <c r="T517" s="1858"/>
      <c r="U517" s="1719"/>
      <c r="V517" s="429"/>
      <c r="W517" s="1859"/>
      <c r="X517" s="428"/>
      <c r="Y517" s="1860"/>
      <c r="Z517" s="1858"/>
      <c r="AA517" s="1858"/>
      <c r="AB517" s="1858"/>
      <c r="AC517" s="1858"/>
      <c r="AD517" s="1858"/>
      <c r="AE517" s="1858"/>
      <c r="AF517" s="1858"/>
      <c r="AG517" s="1858"/>
      <c r="AH517" s="1858"/>
      <c r="AI517" s="1858"/>
      <c r="AJ517" s="1858"/>
      <c r="AK517" s="1858"/>
      <c r="AL517" s="1858"/>
    </row>
    <row r="518" spans="3:41" ht="15.75">
      <c r="C518" s="430"/>
      <c r="D518" s="1751"/>
      <c r="E518" s="429"/>
      <c r="F518" s="428"/>
      <c r="G518" s="428"/>
      <c r="H518" s="429"/>
      <c r="I518" s="428"/>
      <c r="J518" s="429"/>
      <c r="K518" s="428"/>
      <c r="L518" s="1843"/>
      <c r="M518" s="1843"/>
      <c r="N518" s="1719"/>
      <c r="O518" s="1719"/>
      <c r="P518" s="428"/>
      <c r="Q518" s="428"/>
      <c r="R518" s="428"/>
      <c r="S518" s="1858"/>
      <c r="T518" s="1858"/>
      <c r="U518" s="1719"/>
      <c r="V518" s="429"/>
      <c r="W518" s="1859"/>
      <c r="X518" s="428"/>
      <c r="Y518" s="1860"/>
      <c r="Z518" s="1858"/>
      <c r="AA518" s="1858"/>
      <c r="AB518" s="1858"/>
      <c r="AC518" s="1858"/>
      <c r="AD518" s="1858"/>
      <c r="AE518" s="1858"/>
      <c r="AF518" s="1858"/>
      <c r="AG518" s="1858"/>
      <c r="AH518" s="1858"/>
      <c r="AI518" s="1858"/>
      <c r="AJ518" s="1858"/>
      <c r="AK518" s="1858"/>
      <c r="AL518" s="1858"/>
    </row>
    <row r="519" spans="3:41" ht="15.75">
      <c r="C519" s="430"/>
      <c r="D519" s="1751"/>
      <c r="E519" s="429"/>
      <c r="F519" s="428"/>
      <c r="G519" s="428"/>
      <c r="H519" s="429"/>
      <c r="I519" s="428"/>
      <c r="J519" s="429"/>
      <c r="K519" s="428"/>
      <c r="L519" s="1843"/>
      <c r="M519" s="1843"/>
      <c r="N519" s="1719"/>
      <c r="O519" s="1719"/>
      <c r="P519" s="428"/>
      <c r="Q519" s="428"/>
      <c r="R519" s="428"/>
      <c r="S519" s="1858"/>
      <c r="T519" s="1858"/>
      <c r="U519" s="1719"/>
      <c r="V519" s="429"/>
      <c r="W519" s="1859"/>
      <c r="X519" s="428"/>
      <c r="Y519" s="1860"/>
      <c r="Z519" s="1858"/>
      <c r="AA519" s="1858"/>
      <c r="AB519" s="1858"/>
      <c r="AC519" s="1858"/>
      <c r="AD519" s="1858"/>
      <c r="AE519" s="1858"/>
      <c r="AF519" s="1858"/>
      <c r="AG519" s="1858"/>
      <c r="AH519" s="1858"/>
      <c r="AI519" s="1858"/>
      <c r="AJ519" s="1858"/>
      <c r="AK519" s="1858"/>
      <c r="AL519" s="1858"/>
    </row>
    <row r="520" spans="3:41" ht="15.75">
      <c r="C520" s="430"/>
      <c r="D520" s="1751"/>
      <c r="E520" s="429"/>
      <c r="F520" s="428"/>
      <c r="G520" s="428"/>
      <c r="H520" s="429"/>
      <c r="I520" s="428"/>
      <c r="J520" s="429"/>
      <c r="K520" s="428"/>
      <c r="L520" s="1843"/>
      <c r="M520" s="1843"/>
      <c r="N520" s="1719"/>
      <c r="O520" s="1719"/>
      <c r="P520" s="428"/>
      <c r="Q520" s="428"/>
      <c r="R520" s="428"/>
      <c r="S520" s="1858"/>
      <c r="T520" s="1858"/>
      <c r="U520" s="1719"/>
      <c r="V520" s="429"/>
      <c r="W520" s="1859"/>
      <c r="X520" s="428"/>
      <c r="Y520" s="1860"/>
      <c r="Z520" s="1858"/>
      <c r="AA520" s="1858"/>
      <c r="AB520" s="1858"/>
      <c r="AC520" s="1858"/>
      <c r="AD520" s="1858"/>
      <c r="AE520" s="1858"/>
      <c r="AF520" s="1858"/>
      <c r="AG520" s="1858"/>
      <c r="AH520" s="1858"/>
      <c r="AI520" s="1858"/>
      <c r="AJ520" s="1858"/>
      <c r="AK520" s="1858"/>
      <c r="AL520" s="1858"/>
    </row>
    <row r="521" spans="3:41" ht="15.75">
      <c r="C521" s="430"/>
      <c r="D521" s="1751"/>
      <c r="E521" s="429"/>
      <c r="F521" s="428"/>
      <c r="G521" s="428"/>
      <c r="H521" s="429"/>
      <c r="I521" s="428"/>
      <c r="J521" s="429"/>
      <c r="K521" s="428"/>
      <c r="L521" s="1843"/>
      <c r="M521" s="1843"/>
      <c r="N521" s="1719"/>
      <c r="O521" s="1719"/>
      <c r="P521" s="428"/>
      <c r="Q521" s="428"/>
      <c r="R521" s="428"/>
      <c r="S521" s="1858"/>
      <c r="T521" s="1858"/>
      <c r="U521" s="1719"/>
      <c r="V521" s="429"/>
      <c r="W521" s="1859"/>
      <c r="X521" s="428"/>
      <c r="Y521" s="1860"/>
      <c r="Z521" s="1858"/>
      <c r="AA521" s="1858"/>
      <c r="AB521" s="1858"/>
      <c r="AC521" s="1858"/>
      <c r="AD521" s="1858"/>
      <c r="AE521" s="1858"/>
      <c r="AF521" s="1858"/>
      <c r="AG521" s="1858"/>
      <c r="AH521" s="1858"/>
      <c r="AI521" s="1858"/>
      <c r="AJ521" s="1858"/>
      <c r="AK521" s="1858"/>
      <c r="AL521" s="1858"/>
    </row>
    <row r="522" spans="3:41" ht="15.75">
      <c r="C522" s="430"/>
      <c r="D522" s="1751"/>
      <c r="E522" s="429"/>
      <c r="F522" s="428"/>
      <c r="G522" s="428"/>
      <c r="H522" s="429"/>
      <c r="I522" s="428"/>
      <c r="J522" s="429"/>
      <c r="K522" s="428"/>
      <c r="L522" s="1843"/>
      <c r="M522" s="1843"/>
      <c r="N522" s="1719"/>
      <c r="O522" s="1719"/>
      <c r="P522" s="428"/>
      <c r="Q522" s="428"/>
      <c r="R522" s="428"/>
      <c r="S522" s="1858"/>
      <c r="T522" s="1858"/>
      <c r="U522" s="1719"/>
      <c r="V522" s="429"/>
      <c r="W522" s="1859"/>
      <c r="X522" s="428"/>
      <c r="Y522" s="1860"/>
      <c r="Z522" s="1858"/>
      <c r="AA522" s="1858"/>
      <c r="AB522" s="1858"/>
      <c r="AC522" s="1858"/>
      <c r="AD522" s="1858"/>
      <c r="AE522" s="1858"/>
      <c r="AF522" s="1858"/>
      <c r="AG522" s="1858"/>
      <c r="AH522" s="1858"/>
      <c r="AI522" s="1858"/>
      <c r="AJ522" s="1858"/>
      <c r="AK522" s="1858"/>
      <c r="AL522" s="1858"/>
    </row>
    <row r="523" spans="3:41" ht="15.75">
      <c r="C523" s="430"/>
      <c r="D523" s="1751"/>
      <c r="E523" s="429"/>
      <c r="F523" s="428"/>
      <c r="G523" s="428"/>
      <c r="H523" s="429"/>
      <c r="I523" s="428"/>
      <c r="J523" s="429"/>
      <c r="K523" s="428"/>
      <c r="L523" s="1843"/>
      <c r="M523" s="1843"/>
      <c r="N523" s="1719"/>
      <c r="O523" s="1719"/>
      <c r="P523" s="428"/>
      <c r="Q523" s="428"/>
      <c r="R523" s="428"/>
      <c r="S523" s="1858"/>
      <c r="T523" s="1858"/>
      <c r="U523" s="1719"/>
      <c r="V523" s="429"/>
      <c r="W523" s="1859"/>
      <c r="X523" s="428"/>
      <c r="Y523" s="1860"/>
      <c r="Z523" s="1858"/>
      <c r="AA523" s="1858"/>
      <c r="AB523" s="1858"/>
      <c r="AC523" s="1858"/>
      <c r="AD523" s="1858"/>
      <c r="AE523" s="1858"/>
      <c r="AF523" s="1858"/>
      <c r="AG523" s="1858"/>
      <c r="AH523" s="1858"/>
      <c r="AI523" s="1858"/>
      <c r="AJ523" s="1858"/>
      <c r="AK523" s="1858"/>
      <c r="AL523" s="1858"/>
    </row>
    <row r="524" spans="3:41" ht="15.75">
      <c r="C524" s="430"/>
      <c r="D524" s="1751"/>
      <c r="E524" s="429"/>
      <c r="F524" s="428"/>
      <c r="G524" s="428"/>
      <c r="H524" s="429"/>
      <c r="I524" s="428"/>
      <c r="J524" s="429"/>
      <c r="K524" s="428"/>
      <c r="L524" s="1843"/>
      <c r="M524" s="1843"/>
      <c r="N524" s="1719"/>
      <c r="O524" s="1719"/>
      <c r="P524" s="428"/>
      <c r="Q524" s="428"/>
      <c r="R524" s="428"/>
      <c r="S524" s="1858"/>
      <c r="T524" s="1858"/>
      <c r="U524" s="1719"/>
      <c r="V524" s="429"/>
      <c r="W524" s="1859"/>
      <c r="X524" s="428"/>
      <c r="Y524" s="1860"/>
      <c r="Z524" s="1858"/>
      <c r="AA524" s="1858"/>
      <c r="AB524" s="1858"/>
      <c r="AC524" s="1858"/>
      <c r="AD524" s="1858"/>
      <c r="AE524" s="1858"/>
      <c r="AF524" s="1858"/>
      <c r="AG524" s="1858"/>
      <c r="AH524" s="1858"/>
      <c r="AI524" s="1858"/>
      <c r="AJ524" s="1858"/>
      <c r="AK524" s="1858"/>
      <c r="AL524" s="1858"/>
      <c r="AM524" s="395"/>
      <c r="AN524" s="395"/>
      <c r="AO524" s="395"/>
    </row>
    <row r="525" spans="3:41" ht="15.75">
      <c r="C525" s="430"/>
      <c r="D525" s="1751"/>
      <c r="E525" s="429"/>
      <c r="F525" s="428"/>
      <c r="G525" s="428"/>
      <c r="H525" s="429"/>
      <c r="I525" s="428"/>
      <c r="J525" s="429"/>
      <c r="K525" s="428"/>
      <c r="L525" s="1843"/>
      <c r="M525" s="1843"/>
      <c r="N525" s="1719"/>
      <c r="O525" s="1719"/>
      <c r="P525" s="428"/>
      <c r="Q525" s="428"/>
      <c r="R525" s="428"/>
      <c r="S525" s="1858"/>
      <c r="T525" s="1858"/>
      <c r="U525" s="1719"/>
      <c r="V525" s="429"/>
      <c r="W525" s="1859"/>
      <c r="X525" s="428"/>
      <c r="Y525" s="1860"/>
      <c r="Z525" s="1858"/>
      <c r="AA525" s="1858"/>
      <c r="AB525" s="1858"/>
      <c r="AC525" s="1858"/>
      <c r="AD525" s="1858"/>
      <c r="AE525" s="1858"/>
      <c r="AF525" s="1858"/>
      <c r="AG525" s="1858"/>
      <c r="AH525" s="1858"/>
      <c r="AI525" s="1858"/>
      <c r="AJ525" s="1858"/>
      <c r="AK525" s="1858"/>
      <c r="AL525" s="1858"/>
    </row>
    <row r="527" spans="3:41" ht="15.75">
      <c r="C527" s="2589"/>
      <c r="D527" s="2589"/>
      <c r="E527" s="2519"/>
      <c r="F527" s="2519"/>
      <c r="G527" s="2519"/>
      <c r="H527" s="2519"/>
      <c r="I527" s="2519"/>
      <c r="J527" s="2519"/>
      <c r="K527" s="2519"/>
      <c r="L527" s="2519"/>
      <c r="M527" s="2519"/>
      <c r="N527" s="2519"/>
      <c r="O527" s="2519"/>
      <c r="P527" s="2519"/>
      <c r="Q527" s="2519"/>
      <c r="R527" s="2517"/>
      <c r="S527" s="2517"/>
      <c r="T527" s="2517"/>
      <c r="U527" s="2517"/>
      <c r="V527" s="2517"/>
      <c r="W527" s="2517"/>
      <c r="X527" s="2517"/>
      <c r="Y527" s="428"/>
      <c r="Z527" s="428"/>
      <c r="AA527" s="428"/>
      <c r="AB527" s="428"/>
      <c r="AC527" s="428"/>
      <c r="AD527" s="428"/>
      <c r="AE527" s="428"/>
      <c r="AF527" s="428"/>
      <c r="AG527" s="428"/>
      <c r="AH527" s="428"/>
      <c r="AI527" s="428"/>
      <c r="AJ527" s="428"/>
      <c r="AK527" s="428"/>
      <c r="AL527" s="428"/>
      <c r="AM527" s="428"/>
      <c r="AN527" s="428"/>
      <c r="AO527" s="428"/>
    </row>
    <row r="528" spans="3:41" ht="15.75">
      <c r="C528" s="2589"/>
      <c r="D528" s="2589"/>
      <c r="E528" s="2583"/>
      <c r="F528" s="2583"/>
      <c r="G528" s="2583"/>
      <c r="H528" s="2583"/>
      <c r="I528" s="2583"/>
      <c r="J528" s="2583"/>
      <c r="K528" s="2583"/>
      <c r="L528" s="2583"/>
      <c r="M528" s="2583"/>
      <c r="N528" s="2583"/>
      <c r="O528" s="2583"/>
      <c r="P528" s="2519"/>
      <c r="Q528" s="2519"/>
      <c r="R528" s="1870"/>
      <c r="S528" s="1870"/>
      <c r="T528" s="2519"/>
      <c r="U528" s="2519"/>
      <c r="V528" s="2519"/>
      <c r="W528" s="1870"/>
      <c r="X528" s="1870"/>
      <c r="Y528" s="1870"/>
      <c r="Z528" s="1870"/>
      <c r="AA528" s="1870"/>
      <c r="AB528" s="1870"/>
      <c r="AC528" s="1870"/>
      <c r="AD528" s="1870"/>
      <c r="AE528" s="1870"/>
      <c r="AF528" s="1870"/>
      <c r="AG528" s="1870"/>
      <c r="AH528" s="1870"/>
      <c r="AI528" s="1870"/>
      <c r="AJ528" s="1870"/>
      <c r="AK528" s="1870"/>
      <c r="AL528" s="2519"/>
      <c r="AM528" s="2519"/>
      <c r="AN528" s="2519"/>
      <c r="AO528" s="1870"/>
    </row>
    <row r="529" spans="3:41" ht="15.75">
      <c r="C529" s="1874"/>
      <c r="D529" s="1875"/>
      <c r="E529" s="2519"/>
      <c r="F529" s="2519"/>
      <c r="G529" s="1870"/>
      <c r="H529" s="2519"/>
      <c r="I529" s="2519"/>
      <c r="J529" s="2519"/>
      <c r="K529" s="2519"/>
      <c r="L529" s="2519"/>
      <c r="M529" s="2519"/>
      <c r="N529" s="2519"/>
      <c r="O529" s="2519"/>
      <c r="P529" s="429"/>
      <c r="Q529" s="429"/>
      <c r="R529" s="1877"/>
      <c r="S529" s="1877"/>
      <c r="T529" s="429"/>
      <c r="U529" s="429"/>
      <c r="V529" s="429"/>
      <c r="W529" s="1870"/>
      <c r="X529" s="1870"/>
      <c r="Y529" s="429"/>
      <c r="Z529" s="429"/>
      <c r="AA529" s="429"/>
      <c r="AB529" s="429"/>
      <c r="AC529" s="429"/>
      <c r="AD529" s="429"/>
      <c r="AE529" s="429"/>
      <c r="AF529" s="429"/>
      <c r="AG529" s="429"/>
      <c r="AH529" s="429"/>
      <c r="AI529" s="429"/>
      <c r="AJ529" s="429"/>
      <c r="AK529" s="429"/>
      <c r="AL529" s="429"/>
      <c r="AM529" s="429"/>
      <c r="AN529" s="429"/>
      <c r="AO529" s="1870"/>
    </row>
    <row r="530" spans="3:41" ht="15.75">
      <c r="C530" s="1874"/>
      <c r="D530" s="1875"/>
      <c r="E530" s="1877"/>
      <c r="F530" s="1878"/>
      <c r="G530" s="1878"/>
      <c r="H530" s="1878"/>
      <c r="I530" s="1878"/>
      <c r="J530" s="1878"/>
      <c r="K530" s="1878"/>
      <c r="L530" s="1878"/>
      <c r="M530" s="1878"/>
      <c r="N530" s="1878"/>
      <c r="O530" s="1878"/>
      <c r="P530" s="2592"/>
      <c r="Q530" s="2592"/>
      <c r="R530" s="1751"/>
      <c r="S530" s="1751"/>
      <c r="T530" s="2520"/>
      <c r="U530" s="2520"/>
      <c r="V530" s="2520"/>
      <c r="W530" s="431"/>
      <c r="X530" s="431"/>
      <c r="Y530" s="1751"/>
      <c r="Z530" s="1751"/>
      <c r="AA530" s="1751"/>
      <c r="AB530" s="1751"/>
      <c r="AC530" s="1751"/>
      <c r="AD530" s="1751"/>
      <c r="AE530" s="1751"/>
      <c r="AF530" s="1751"/>
      <c r="AG530" s="1751"/>
      <c r="AH530" s="1751"/>
      <c r="AI530" s="1751"/>
      <c r="AJ530" s="1751"/>
      <c r="AK530" s="1751"/>
      <c r="AL530" s="2520"/>
      <c r="AM530" s="2520"/>
      <c r="AN530" s="2520"/>
      <c r="AO530" s="431"/>
    </row>
    <row r="531" spans="3:41" ht="15.75">
      <c r="C531" s="430"/>
      <c r="D531" s="1751"/>
      <c r="E531" s="889"/>
      <c r="F531" s="428"/>
      <c r="G531" s="428"/>
      <c r="H531" s="429"/>
      <c r="I531" s="428"/>
      <c r="J531" s="429"/>
      <c r="K531" s="428"/>
      <c r="L531" s="429"/>
      <c r="M531" s="428"/>
      <c r="N531" s="429"/>
      <c r="O531" s="428"/>
      <c r="P531" s="1887"/>
      <c r="Q531" s="1843"/>
      <c r="R531" s="1719"/>
      <c r="S531" s="1719"/>
      <c r="T531" s="428"/>
      <c r="U531" s="428"/>
      <c r="V531" s="428"/>
      <c r="W531" s="429"/>
      <c r="X531" s="429"/>
      <c r="Y531" s="1861"/>
      <c r="Z531" s="1719"/>
      <c r="AA531" s="1719"/>
      <c r="AB531" s="1719"/>
      <c r="AC531" s="1719"/>
      <c r="AD531" s="1719"/>
      <c r="AE531" s="1719"/>
      <c r="AF531" s="1719"/>
      <c r="AG531" s="1719"/>
      <c r="AH531" s="1719"/>
      <c r="AI531" s="1719"/>
      <c r="AJ531" s="1719"/>
      <c r="AK531" s="1719"/>
      <c r="AL531" s="428"/>
      <c r="AM531" s="428"/>
      <c r="AN531" s="428"/>
      <c r="AO531" s="429"/>
    </row>
    <row r="532" spans="3:41" ht="15.75">
      <c r="C532" s="430"/>
      <c r="D532" s="1751"/>
      <c r="E532" s="429"/>
      <c r="F532" s="428"/>
      <c r="G532" s="428"/>
      <c r="H532" s="429"/>
      <c r="I532" s="428"/>
      <c r="J532" s="429"/>
      <c r="K532" s="428"/>
      <c r="L532" s="429"/>
      <c r="M532" s="428"/>
      <c r="N532" s="429"/>
      <c r="O532" s="428"/>
      <c r="P532" s="1843"/>
      <c r="Q532" s="1843"/>
      <c r="R532" s="1719"/>
      <c r="S532" s="1719"/>
      <c r="T532" s="428"/>
      <c r="U532" s="428"/>
      <c r="V532" s="428"/>
      <c r="W532" s="429"/>
      <c r="X532" s="429"/>
      <c r="Y532" s="1719"/>
      <c r="Z532" s="1719"/>
      <c r="AA532" s="1719"/>
      <c r="AB532" s="1719"/>
      <c r="AC532" s="1719"/>
      <c r="AD532" s="1719"/>
      <c r="AE532" s="1719"/>
      <c r="AF532" s="1719"/>
      <c r="AG532" s="1719"/>
      <c r="AH532" s="1719"/>
      <c r="AI532" s="1719"/>
      <c r="AJ532" s="1719"/>
      <c r="AK532" s="1719"/>
      <c r="AL532" s="428"/>
      <c r="AM532" s="428"/>
      <c r="AN532" s="428"/>
      <c r="AO532" s="429"/>
    </row>
    <row r="533" spans="3:41" ht="15.75">
      <c r="C533" s="430"/>
      <c r="D533" s="1751"/>
      <c r="E533" s="429"/>
      <c r="F533" s="428"/>
      <c r="G533" s="428"/>
      <c r="H533" s="429"/>
      <c r="I533" s="428"/>
      <c r="J533" s="429"/>
      <c r="K533" s="428"/>
      <c r="L533" s="429"/>
      <c r="M533" s="428"/>
      <c r="N533" s="429"/>
      <c r="O533" s="428"/>
      <c r="P533" s="1843"/>
      <c r="Q533" s="1843"/>
      <c r="R533" s="1719"/>
      <c r="S533" s="1719"/>
      <c r="T533" s="428"/>
      <c r="U533" s="428"/>
      <c r="V533" s="428"/>
      <c r="W533" s="429"/>
      <c r="X533" s="429"/>
      <c r="Y533" s="1719"/>
      <c r="Z533" s="1719"/>
      <c r="AA533" s="1719"/>
      <c r="AB533" s="1719"/>
      <c r="AC533" s="1719"/>
      <c r="AD533" s="1719"/>
      <c r="AE533" s="1719"/>
      <c r="AF533" s="1719"/>
      <c r="AG533" s="1719"/>
      <c r="AH533" s="1719"/>
      <c r="AI533" s="1719"/>
      <c r="AJ533" s="1719"/>
      <c r="AK533" s="1719"/>
      <c r="AL533" s="428"/>
      <c r="AM533" s="428"/>
      <c r="AN533" s="428"/>
      <c r="AO533" s="429"/>
    </row>
    <row r="534" spans="3:41" ht="15.75">
      <c r="C534" s="430"/>
      <c r="D534" s="1751"/>
      <c r="E534" s="429"/>
      <c r="F534" s="428"/>
      <c r="G534" s="428"/>
      <c r="H534" s="429"/>
      <c r="I534" s="428"/>
      <c r="J534" s="429"/>
      <c r="K534" s="428"/>
      <c r="L534" s="429"/>
      <c r="M534" s="428"/>
      <c r="N534" s="429"/>
      <c r="O534" s="428"/>
      <c r="P534" s="1843"/>
      <c r="Q534" s="1843"/>
      <c r="R534" s="1719"/>
      <c r="S534" s="1719"/>
      <c r="T534" s="428"/>
      <c r="U534" s="428"/>
      <c r="V534" s="428"/>
      <c r="W534" s="429"/>
      <c r="X534" s="429"/>
      <c r="Y534" s="1719"/>
      <c r="Z534" s="1719"/>
      <c r="AA534" s="1719"/>
      <c r="AB534" s="1719"/>
      <c r="AC534" s="1719"/>
      <c r="AD534" s="1719"/>
      <c r="AE534" s="1719"/>
      <c r="AF534" s="1719"/>
      <c r="AG534" s="1719"/>
      <c r="AH534" s="1719"/>
      <c r="AI534" s="1719"/>
      <c r="AJ534" s="1719"/>
      <c r="AK534" s="1719"/>
      <c r="AL534" s="428"/>
      <c r="AM534" s="428"/>
      <c r="AN534" s="428"/>
      <c r="AO534" s="429"/>
    </row>
    <row r="535" spans="3:41" ht="15.75">
      <c r="C535" s="430"/>
      <c r="D535" s="1751"/>
      <c r="E535" s="429"/>
      <c r="F535" s="428"/>
      <c r="G535" s="428"/>
      <c r="H535" s="429"/>
      <c r="I535" s="428"/>
      <c r="J535" s="429"/>
      <c r="K535" s="428"/>
      <c r="L535" s="429"/>
      <c r="M535" s="428"/>
      <c r="N535" s="429"/>
      <c r="O535" s="428"/>
      <c r="P535" s="1843"/>
      <c r="Q535" s="1843"/>
      <c r="R535" s="1719"/>
      <c r="S535" s="1719"/>
      <c r="T535" s="428"/>
      <c r="U535" s="428"/>
      <c r="V535" s="428"/>
      <c r="W535" s="429"/>
      <c r="X535" s="429"/>
      <c r="Y535" s="1719"/>
      <c r="Z535" s="1719"/>
      <c r="AA535" s="1719"/>
      <c r="AB535" s="1719"/>
      <c r="AC535" s="1719"/>
      <c r="AD535" s="1719"/>
      <c r="AE535" s="1719"/>
      <c r="AF535" s="1719"/>
      <c r="AG535" s="1719"/>
      <c r="AH535" s="1719"/>
      <c r="AI535" s="1719"/>
      <c r="AJ535" s="1719"/>
      <c r="AK535" s="1719"/>
      <c r="AL535" s="428"/>
      <c r="AM535" s="428"/>
      <c r="AN535" s="428"/>
      <c r="AO535" s="429"/>
    </row>
    <row r="536" spans="3:41" ht="15.75">
      <c r="C536" s="430"/>
      <c r="D536" s="1751"/>
      <c r="E536" s="429"/>
      <c r="F536" s="428"/>
      <c r="G536" s="428"/>
      <c r="H536" s="429"/>
      <c r="I536" s="428"/>
      <c r="J536" s="429"/>
      <c r="K536" s="428"/>
      <c r="L536" s="429"/>
      <c r="M536" s="428"/>
      <c r="N536" s="429"/>
      <c r="O536" s="428"/>
      <c r="P536" s="1843"/>
      <c r="Q536" s="1843"/>
      <c r="R536" s="1719"/>
      <c r="S536" s="1719"/>
      <c r="T536" s="428"/>
      <c r="U536" s="428"/>
      <c r="V536" s="428"/>
      <c r="W536" s="429"/>
      <c r="X536" s="429"/>
      <c r="Y536" s="1719"/>
      <c r="Z536" s="1719"/>
      <c r="AA536" s="1719"/>
      <c r="AB536" s="1719"/>
      <c r="AC536" s="1719"/>
      <c r="AD536" s="1719"/>
      <c r="AE536" s="1719"/>
      <c r="AF536" s="1719"/>
      <c r="AG536" s="1719"/>
      <c r="AH536" s="1719"/>
      <c r="AI536" s="1719"/>
      <c r="AJ536" s="1719"/>
      <c r="AK536" s="1719"/>
      <c r="AL536" s="428"/>
      <c r="AM536" s="428"/>
      <c r="AN536" s="428"/>
      <c r="AO536" s="429"/>
    </row>
    <row r="537" spans="3:41" ht="15.75">
      <c r="C537" s="430"/>
      <c r="D537" s="1751"/>
      <c r="E537" s="429"/>
      <c r="F537" s="428"/>
      <c r="G537" s="428"/>
      <c r="H537" s="429"/>
      <c r="I537" s="428"/>
      <c r="J537" s="429"/>
      <c r="K537" s="428"/>
      <c r="L537" s="429"/>
      <c r="M537" s="428"/>
      <c r="N537" s="429"/>
      <c r="O537" s="428"/>
      <c r="P537" s="1843"/>
      <c r="Q537" s="1843"/>
      <c r="R537" s="1719"/>
      <c r="S537" s="1719"/>
      <c r="T537" s="428"/>
      <c r="U537" s="428"/>
      <c r="V537" s="428"/>
      <c r="W537" s="429"/>
      <c r="X537" s="429"/>
      <c r="Y537" s="1719"/>
      <c r="Z537" s="1719"/>
      <c r="AA537" s="1719"/>
      <c r="AB537" s="1719"/>
      <c r="AC537" s="1719"/>
      <c r="AD537" s="1719"/>
      <c r="AE537" s="1719"/>
      <c r="AF537" s="1719"/>
      <c r="AG537" s="1719"/>
      <c r="AH537" s="1719"/>
      <c r="AI537" s="1719"/>
      <c r="AJ537" s="1719"/>
      <c r="AK537" s="1719"/>
      <c r="AL537" s="428"/>
      <c r="AM537" s="428"/>
      <c r="AN537" s="428"/>
      <c r="AO537" s="429"/>
    </row>
    <row r="538" spans="3:41" ht="15.75">
      <c r="C538" s="430"/>
      <c r="D538" s="1751"/>
      <c r="E538" s="889"/>
      <c r="F538" s="428"/>
      <c r="G538" s="428"/>
      <c r="H538" s="429"/>
      <c r="I538" s="428"/>
      <c r="J538" s="429"/>
      <c r="K538" s="428"/>
      <c r="L538" s="429"/>
      <c r="M538" s="428"/>
      <c r="N538" s="429"/>
      <c r="O538" s="428"/>
      <c r="P538" s="1843"/>
      <c r="Q538" s="1843"/>
      <c r="R538" s="1719"/>
      <c r="S538" s="1719"/>
      <c r="T538" s="428"/>
      <c r="U538" s="428"/>
      <c r="V538" s="428"/>
      <c r="W538" s="429"/>
      <c r="X538" s="429"/>
      <c r="Y538" s="1719"/>
      <c r="Z538" s="1719"/>
      <c r="AA538" s="1719"/>
      <c r="AB538" s="1719"/>
      <c r="AC538" s="1719"/>
      <c r="AD538" s="1719"/>
      <c r="AE538" s="1719"/>
      <c r="AF538" s="1719"/>
      <c r="AG538" s="1719"/>
      <c r="AH538" s="1719"/>
      <c r="AI538" s="1719"/>
      <c r="AJ538" s="1719"/>
      <c r="AK538" s="1719"/>
      <c r="AL538" s="428"/>
      <c r="AM538" s="428"/>
      <c r="AN538" s="428"/>
      <c r="AO538" s="429"/>
    </row>
    <row r="539" spans="3:41" ht="15.75">
      <c r="C539" s="430"/>
      <c r="D539" s="1751"/>
      <c r="E539" s="429"/>
      <c r="F539" s="428"/>
      <c r="G539" s="428"/>
      <c r="H539" s="429"/>
      <c r="I539" s="428"/>
      <c r="J539" s="429"/>
      <c r="K539" s="428"/>
      <c r="L539" s="429"/>
      <c r="M539" s="428"/>
      <c r="N539" s="429"/>
      <c r="O539" s="428"/>
      <c r="P539" s="1843"/>
      <c r="Q539" s="1843"/>
      <c r="R539" s="1719"/>
      <c r="S539" s="1719"/>
      <c r="T539" s="428"/>
      <c r="U539" s="428"/>
      <c r="V539" s="428"/>
      <c r="W539" s="429"/>
      <c r="X539" s="429"/>
      <c r="Y539" s="1719"/>
      <c r="Z539" s="1719"/>
      <c r="AA539" s="1719"/>
      <c r="AB539" s="1719"/>
      <c r="AC539" s="1719"/>
      <c r="AD539" s="1719"/>
      <c r="AE539" s="1719"/>
      <c r="AF539" s="1719"/>
      <c r="AG539" s="1719"/>
      <c r="AH539" s="1719"/>
      <c r="AI539" s="1719"/>
      <c r="AJ539" s="1719"/>
      <c r="AK539" s="1719"/>
      <c r="AL539" s="428"/>
      <c r="AM539" s="428"/>
      <c r="AN539" s="428"/>
      <c r="AO539" s="429"/>
    </row>
    <row r="540" spans="3:41" ht="15.75">
      <c r="C540" s="430"/>
      <c r="D540" s="1751"/>
      <c r="E540" s="429"/>
      <c r="F540" s="428"/>
      <c r="G540" s="428"/>
      <c r="H540" s="429"/>
      <c r="I540" s="428"/>
      <c r="J540" s="429"/>
      <c r="K540" s="428"/>
      <c r="L540" s="429"/>
      <c r="M540" s="428"/>
      <c r="N540" s="429"/>
      <c r="O540" s="428"/>
      <c r="P540" s="1843"/>
      <c r="Q540" s="1843"/>
      <c r="R540" s="1719"/>
      <c r="S540" s="1719"/>
      <c r="T540" s="428"/>
      <c r="U540" s="428"/>
      <c r="V540" s="428"/>
      <c r="W540" s="429"/>
      <c r="X540" s="429"/>
      <c r="Y540" s="1719"/>
      <c r="Z540" s="1719"/>
      <c r="AA540" s="1719"/>
      <c r="AB540" s="1719"/>
      <c r="AC540" s="1719"/>
      <c r="AD540" s="1719"/>
      <c r="AE540" s="1719"/>
      <c r="AF540" s="1719"/>
      <c r="AG540" s="1719"/>
      <c r="AH540" s="1719"/>
      <c r="AI540" s="1719"/>
      <c r="AJ540" s="1719"/>
      <c r="AK540" s="1719"/>
      <c r="AL540" s="428"/>
      <c r="AM540" s="428"/>
      <c r="AN540" s="428"/>
      <c r="AO540" s="429"/>
    </row>
    <row r="541" spans="3:41" ht="15.75">
      <c r="C541" s="430"/>
      <c r="D541" s="1751"/>
      <c r="E541" s="429"/>
      <c r="F541" s="428"/>
      <c r="G541" s="428"/>
      <c r="H541" s="429"/>
      <c r="I541" s="428"/>
      <c r="J541" s="429"/>
      <c r="K541" s="428"/>
      <c r="L541" s="429"/>
      <c r="M541" s="428"/>
      <c r="N541" s="429"/>
      <c r="O541" s="428"/>
      <c r="P541" s="1843"/>
      <c r="Q541" s="1843"/>
      <c r="R541" s="1719"/>
      <c r="S541" s="1719"/>
      <c r="T541" s="428"/>
      <c r="U541" s="428"/>
      <c r="V541" s="428"/>
      <c r="W541" s="429"/>
      <c r="X541" s="429"/>
      <c r="Y541" s="1719"/>
      <c r="Z541" s="1719"/>
      <c r="AA541" s="1719"/>
      <c r="AB541" s="1719"/>
      <c r="AC541" s="1719"/>
      <c r="AD541" s="1719"/>
      <c r="AE541" s="1719"/>
      <c r="AF541" s="1719"/>
      <c r="AG541" s="1719"/>
      <c r="AH541" s="1719"/>
      <c r="AI541" s="1719"/>
      <c r="AJ541" s="1719"/>
      <c r="AK541" s="1719"/>
      <c r="AL541" s="428"/>
      <c r="AM541" s="428"/>
      <c r="AN541" s="428"/>
      <c r="AO541" s="429"/>
    </row>
    <row r="542" spans="3:41" ht="15.75">
      <c r="C542" s="430"/>
      <c r="D542" s="1751"/>
      <c r="E542" s="429"/>
      <c r="F542" s="428"/>
      <c r="G542" s="428"/>
      <c r="H542" s="429"/>
      <c r="I542" s="428"/>
      <c r="J542" s="429"/>
      <c r="K542" s="428"/>
      <c r="L542" s="429"/>
      <c r="M542" s="428"/>
      <c r="N542" s="429"/>
      <c r="O542" s="428"/>
      <c r="P542" s="1843"/>
      <c r="Q542" s="1843"/>
      <c r="R542" s="1719"/>
      <c r="S542" s="1719"/>
      <c r="T542" s="428"/>
      <c r="U542" s="428"/>
      <c r="V542" s="428"/>
      <c r="W542" s="429"/>
      <c r="X542" s="429"/>
      <c r="Y542" s="1719"/>
      <c r="Z542" s="1719"/>
      <c r="AA542" s="1719"/>
      <c r="AB542" s="1719"/>
      <c r="AC542" s="1719"/>
      <c r="AD542" s="1719"/>
      <c r="AE542" s="1719"/>
      <c r="AF542" s="1719"/>
      <c r="AG542" s="1719"/>
      <c r="AH542" s="1719"/>
      <c r="AI542" s="1719"/>
      <c r="AJ542" s="1719"/>
      <c r="AK542" s="1719"/>
      <c r="AL542" s="428"/>
      <c r="AM542" s="428"/>
      <c r="AN542" s="428"/>
      <c r="AO542" s="429"/>
    </row>
    <row r="543" spans="3:41" ht="15.75">
      <c r="C543" s="430"/>
      <c r="D543" s="1751"/>
      <c r="E543" s="429"/>
      <c r="F543" s="428"/>
      <c r="G543" s="428"/>
      <c r="H543" s="429"/>
      <c r="I543" s="428"/>
      <c r="J543" s="429"/>
      <c r="K543" s="428"/>
      <c r="L543" s="429"/>
      <c r="M543" s="428"/>
      <c r="N543" s="429"/>
      <c r="O543" s="428"/>
      <c r="P543" s="1843"/>
      <c r="Q543" s="1843"/>
      <c r="R543" s="1719"/>
      <c r="S543" s="1719"/>
      <c r="T543" s="428"/>
      <c r="U543" s="428"/>
      <c r="V543" s="428"/>
      <c r="W543" s="429"/>
      <c r="X543" s="429"/>
      <c r="Y543" s="1719"/>
      <c r="Z543" s="1719"/>
      <c r="AA543" s="1719"/>
      <c r="AB543" s="1719"/>
      <c r="AC543" s="1719"/>
      <c r="AD543" s="1719"/>
      <c r="AE543" s="1719"/>
      <c r="AF543" s="1719"/>
      <c r="AG543" s="1719"/>
      <c r="AH543" s="1719"/>
      <c r="AI543" s="1719"/>
      <c r="AJ543" s="1719"/>
      <c r="AK543" s="1719"/>
      <c r="AL543" s="428"/>
      <c r="AM543" s="428"/>
      <c r="AN543" s="428"/>
      <c r="AO543" s="429"/>
    </row>
    <row r="544" spans="3:41" ht="15.75">
      <c r="C544" s="430"/>
      <c r="D544" s="1751"/>
      <c r="E544" s="429"/>
      <c r="F544" s="428"/>
      <c r="G544" s="428"/>
      <c r="H544" s="429"/>
      <c r="I544" s="428"/>
      <c r="J544" s="429"/>
      <c r="K544" s="428"/>
      <c r="L544" s="429"/>
      <c r="M544" s="428"/>
      <c r="N544" s="429"/>
      <c r="O544" s="428"/>
      <c r="P544" s="1843"/>
      <c r="Q544" s="1843"/>
      <c r="R544" s="1719"/>
      <c r="S544" s="1719"/>
      <c r="T544" s="428"/>
      <c r="U544" s="428"/>
      <c r="V544" s="428"/>
      <c r="W544" s="429"/>
      <c r="X544" s="429"/>
      <c r="Y544" s="1719"/>
      <c r="Z544" s="1719"/>
      <c r="AA544" s="1719"/>
      <c r="AB544" s="1719"/>
      <c r="AC544" s="1719"/>
      <c r="AD544" s="1719"/>
      <c r="AE544" s="1719"/>
      <c r="AF544" s="1719"/>
      <c r="AG544" s="1719"/>
      <c r="AH544" s="1719"/>
      <c r="AI544" s="1719"/>
      <c r="AJ544" s="1719"/>
      <c r="AK544" s="1719"/>
      <c r="AL544" s="428"/>
      <c r="AM544" s="428"/>
      <c r="AN544" s="428"/>
      <c r="AO544" s="429"/>
    </row>
    <row r="545" spans="1:41" ht="15.75">
      <c r="C545" s="430"/>
      <c r="D545" s="1751"/>
      <c r="E545" s="429"/>
      <c r="F545" s="428"/>
      <c r="G545" s="428"/>
      <c r="H545" s="429"/>
      <c r="I545" s="428"/>
      <c r="J545" s="429"/>
      <c r="K545" s="428"/>
      <c r="L545" s="429"/>
      <c r="M545" s="428"/>
      <c r="N545" s="429"/>
      <c r="O545" s="428"/>
      <c r="P545" s="1843"/>
      <c r="Q545" s="1843"/>
      <c r="R545" s="1719"/>
      <c r="S545" s="1719"/>
      <c r="T545" s="428"/>
      <c r="U545" s="428"/>
      <c r="V545" s="428"/>
      <c r="W545" s="429"/>
      <c r="X545" s="429"/>
      <c r="Y545" s="1719"/>
      <c r="Z545" s="1719"/>
      <c r="AA545" s="1719"/>
      <c r="AB545" s="1719"/>
      <c r="AC545" s="1719"/>
      <c r="AD545" s="1719"/>
      <c r="AE545" s="1719"/>
      <c r="AF545" s="1719"/>
      <c r="AG545" s="1719"/>
      <c r="AH545" s="1719"/>
      <c r="AI545" s="1719"/>
      <c r="AJ545" s="1719"/>
      <c r="AK545" s="1719"/>
      <c r="AL545" s="428"/>
      <c r="AM545" s="428"/>
      <c r="AN545" s="428"/>
      <c r="AO545" s="429"/>
    </row>
    <row r="546" spans="1:41" ht="15.75">
      <c r="C546" s="430"/>
      <c r="D546" s="1751"/>
      <c r="E546" s="429"/>
      <c r="F546" s="428"/>
      <c r="G546" s="428"/>
      <c r="H546" s="429"/>
      <c r="I546" s="428"/>
      <c r="J546" s="429"/>
      <c r="K546" s="428"/>
      <c r="L546" s="429"/>
      <c r="M546" s="428"/>
      <c r="N546" s="429"/>
      <c r="O546" s="428"/>
      <c r="P546" s="1843"/>
      <c r="Q546" s="1843"/>
      <c r="R546" s="1719"/>
      <c r="S546" s="1719"/>
      <c r="T546" s="428"/>
      <c r="U546" s="428"/>
      <c r="V546" s="428"/>
      <c r="W546" s="429"/>
      <c r="X546" s="429"/>
      <c r="Y546" s="1719"/>
      <c r="Z546" s="1719"/>
      <c r="AA546" s="1719"/>
      <c r="AB546" s="1719"/>
      <c r="AC546" s="1719"/>
      <c r="AD546" s="1719"/>
      <c r="AE546" s="1719"/>
      <c r="AF546" s="1719"/>
      <c r="AG546" s="1719"/>
      <c r="AH546" s="1719"/>
      <c r="AI546" s="1719"/>
      <c r="AJ546" s="1719"/>
      <c r="AK546" s="1719"/>
      <c r="AL546" s="428"/>
      <c r="AM546" s="428"/>
      <c r="AN546" s="428"/>
      <c r="AO546" s="429"/>
    </row>
    <row r="547" spans="1:41" ht="15.75">
      <c r="A547" s="477"/>
      <c r="B547" s="477"/>
      <c r="C547" s="430"/>
      <c r="D547" s="1751"/>
      <c r="E547" s="429"/>
      <c r="F547" s="428"/>
      <c r="G547" s="428"/>
      <c r="H547" s="429"/>
      <c r="I547" s="428"/>
      <c r="J547" s="429"/>
      <c r="K547" s="428"/>
      <c r="L547" s="429"/>
      <c r="M547" s="428"/>
      <c r="N547" s="429"/>
      <c r="O547" s="428"/>
      <c r="P547" s="1843"/>
      <c r="Q547" s="1843"/>
      <c r="R547" s="1719"/>
      <c r="S547" s="1719"/>
      <c r="T547" s="428"/>
      <c r="U547" s="428"/>
      <c r="V547" s="428"/>
      <c r="W547" s="429"/>
      <c r="X547" s="429"/>
      <c r="Y547" s="1719"/>
      <c r="Z547" s="1719"/>
      <c r="AA547" s="1719"/>
      <c r="AB547" s="1719"/>
      <c r="AC547" s="1719"/>
      <c r="AD547" s="1719"/>
      <c r="AE547" s="1719"/>
      <c r="AF547" s="1719"/>
      <c r="AG547" s="1719"/>
      <c r="AH547" s="1719"/>
      <c r="AI547" s="1719"/>
      <c r="AJ547" s="1719"/>
      <c r="AK547" s="1719"/>
      <c r="AL547" s="428"/>
      <c r="AM547" s="428"/>
      <c r="AN547" s="428"/>
      <c r="AO547" s="429"/>
    </row>
    <row r="548" spans="1:41" ht="15.75">
      <c r="C548" s="430"/>
      <c r="D548" s="1751"/>
      <c r="E548" s="429"/>
      <c r="F548" s="428"/>
      <c r="G548" s="428"/>
      <c r="H548" s="429"/>
      <c r="I548" s="428"/>
      <c r="J548" s="429"/>
      <c r="K548" s="428"/>
      <c r="L548" s="429"/>
      <c r="M548" s="428"/>
      <c r="N548" s="429"/>
      <c r="O548" s="428"/>
      <c r="P548" s="1843"/>
      <c r="Q548" s="1843"/>
      <c r="R548" s="1719"/>
      <c r="S548" s="1719"/>
      <c r="T548" s="428"/>
      <c r="U548" s="428"/>
      <c r="V548" s="428"/>
      <c r="W548" s="429"/>
      <c r="X548" s="429"/>
      <c r="Y548" s="1719"/>
      <c r="Z548" s="1719"/>
      <c r="AA548" s="1719"/>
      <c r="AB548" s="1719"/>
      <c r="AC548" s="1719"/>
      <c r="AD548" s="1719"/>
      <c r="AE548" s="1719"/>
      <c r="AF548" s="1719"/>
      <c r="AG548" s="1719"/>
      <c r="AH548" s="1719"/>
      <c r="AI548" s="1719"/>
      <c r="AJ548" s="1719"/>
      <c r="AK548" s="1719"/>
      <c r="AL548" s="428"/>
      <c r="AM548" s="428"/>
      <c r="AN548" s="428"/>
      <c r="AO548" s="429"/>
    </row>
    <row r="549" spans="1:41" ht="15.75">
      <c r="C549" s="430"/>
      <c r="D549" s="1751"/>
      <c r="E549" s="429"/>
      <c r="F549" s="428"/>
      <c r="G549" s="428"/>
      <c r="H549" s="429"/>
      <c r="I549" s="428"/>
      <c r="J549" s="429"/>
      <c r="K549" s="428"/>
      <c r="L549" s="429"/>
      <c r="M549" s="428"/>
      <c r="N549" s="429"/>
      <c r="O549" s="428"/>
      <c r="P549" s="1843"/>
      <c r="Q549" s="1843"/>
      <c r="R549" s="1719"/>
      <c r="S549" s="1719"/>
      <c r="T549" s="428"/>
      <c r="U549" s="428"/>
      <c r="V549" s="428"/>
      <c r="W549" s="429"/>
      <c r="X549" s="429"/>
      <c r="Y549" s="1719"/>
      <c r="Z549" s="1719"/>
      <c r="AA549" s="1719"/>
      <c r="AB549" s="1719"/>
      <c r="AC549" s="1719"/>
      <c r="AD549" s="1719"/>
      <c r="AE549" s="1719"/>
      <c r="AF549" s="1719"/>
      <c r="AG549" s="1719"/>
      <c r="AH549" s="1719"/>
      <c r="AI549" s="1719"/>
      <c r="AJ549" s="1719"/>
      <c r="AK549" s="1719"/>
      <c r="AL549" s="428"/>
      <c r="AM549" s="428"/>
      <c r="AN549" s="428"/>
      <c r="AO549" s="429"/>
    </row>
    <row r="550" spans="1:41" ht="15.75">
      <c r="C550" s="430"/>
      <c r="D550" s="1751"/>
      <c r="E550" s="429"/>
      <c r="F550" s="428"/>
      <c r="G550" s="428"/>
      <c r="H550" s="429"/>
      <c r="I550" s="428"/>
      <c r="J550" s="429"/>
      <c r="K550" s="428"/>
      <c r="L550" s="429"/>
      <c r="M550" s="428"/>
      <c r="N550" s="429"/>
      <c r="O550" s="428"/>
      <c r="P550" s="1843"/>
      <c r="Q550" s="1843"/>
      <c r="R550" s="1719"/>
      <c r="S550" s="1719"/>
      <c r="T550" s="428"/>
      <c r="U550" s="428"/>
      <c r="V550" s="428"/>
      <c r="W550" s="429"/>
      <c r="X550" s="429"/>
      <c r="Y550" s="1719"/>
      <c r="Z550" s="1719"/>
      <c r="AA550" s="1719"/>
      <c r="AB550" s="1719"/>
      <c r="AC550" s="1719"/>
      <c r="AD550" s="1719"/>
      <c r="AE550" s="1719"/>
      <c r="AF550" s="1719"/>
      <c r="AG550" s="1719"/>
      <c r="AH550" s="1719"/>
      <c r="AI550" s="1719"/>
      <c r="AJ550" s="1719"/>
      <c r="AK550" s="1719"/>
      <c r="AL550" s="428"/>
      <c r="AM550" s="428"/>
      <c r="AN550" s="428"/>
      <c r="AO550" s="429"/>
    </row>
    <row r="551" spans="1:41" ht="15.75">
      <c r="C551" s="430"/>
      <c r="D551" s="1751"/>
      <c r="E551" s="429"/>
      <c r="F551" s="428"/>
      <c r="G551" s="428"/>
      <c r="H551" s="429"/>
      <c r="I551" s="428"/>
      <c r="J551" s="429"/>
      <c r="K551" s="428"/>
      <c r="L551" s="429"/>
      <c r="M551" s="428"/>
      <c r="N551" s="429"/>
      <c r="O551" s="428"/>
      <c r="P551" s="1843"/>
      <c r="Q551" s="1843"/>
      <c r="R551" s="1719"/>
      <c r="S551" s="1719"/>
      <c r="T551" s="428"/>
      <c r="U551" s="428"/>
      <c r="V551" s="428"/>
      <c r="W551" s="429"/>
      <c r="X551" s="429"/>
      <c r="Y551" s="1719"/>
      <c r="Z551" s="1719"/>
      <c r="AA551" s="1719"/>
      <c r="AB551" s="1719"/>
      <c r="AC551" s="1719"/>
      <c r="AD551" s="1719"/>
      <c r="AE551" s="1719"/>
      <c r="AF551" s="1719"/>
      <c r="AG551" s="1719"/>
      <c r="AH551" s="1719"/>
      <c r="AI551" s="1719"/>
      <c r="AJ551" s="1719"/>
      <c r="AK551" s="1719"/>
      <c r="AL551" s="428"/>
      <c r="AM551" s="428"/>
      <c r="AN551" s="428"/>
      <c r="AO551" s="429"/>
    </row>
    <row r="552" spans="1:41" ht="15.75">
      <c r="A552" s="395"/>
      <c r="B552" s="395"/>
      <c r="C552" s="430"/>
      <c r="D552" s="1751"/>
      <c r="E552" s="429"/>
      <c r="F552" s="428"/>
      <c r="G552" s="428"/>
      <c r="H552" s="429"/>
      <c r="I552" s="428"/>
      <c r="J552" s="429"/>
      <c r="K552" s="428"/>
      <c r="L552" s="429"/>
      <c r="M552" s="428"/>
      <c r="N552" s="429"/>
      <c r="O552" s="428"/>
      <c r="P552" s="1843"/>
      <c r="Q552" s="1843"/>
      <c r="R552" s="1719"/>
      <c r="S552" s="1719"/>
      <c r="T552" s="428"/>
      <c r="U552" s="428"/>
      <c r="V552" s="428"/>
      <c r="W552" s="429"/>
      <c r="X552" s="429"/>
      <c r="Y552" s="1719"/>
      <c r="Z552" s="1719"/>
      <c r="AA552" s="1719"/>
      <c r="AB552" s="1719"/>
      <c r="AC552" s="1719"/>
      <c r="AD552" s="1719"/>
      <c r="AE552" s="1719"/>
      <c r="AF552" s="1719"/>
      <c r="AG552" s="1719"/>
      <c r="AH552" s="1719"/>
      <c r="AI552" s="1719"/>
      <c r="AJ552" s="1719"/>
      <c r="AK552" s="1719"/>
      <c r="AL552" s="428"/>
      <c r="AM552" s="428"/>
      <c r="AN552" s="428"/>
      <c r="AO552" s="429"/>
    </row>
    <row r="553" spans="1:41" ht="15.75">
      <c r="A553" s="395"/>
      <c r="B553" s="395"/>
      <c r="C553" s="430"/>
      <c r="D553" s="1751"/>
      <c r="E553" s="429"/>
      <c r="F553" s="428"/>
      <c r="G553" s="428"/>
      <c r="H553" s="429"/>
      <c r="I553" s="428"/>
      <c r="J553" s="429"/>
      <c r="K553" s="428"/>
      <c r="L553" s="429"/>
      <c r="M553" s="428"/>
      <c r="N553" s="429"/>
      <c r="O553" s="428"/>
      <c r="P553" s="1843"/>
      <c r="Q553" s="1843"/>
      <c r="R553" s="1719"/>
      <c r="S553" s="1719"/>
      <c r="T553" s="428"/>
      <c r="U553" s="428"/>
      <c r="V553" s="428"/>
      <c r="W553" s="429"/>
      <c r="X553" s="429"/>
      <c r="Y553" s="1719"/>
      <c r="Z553" s="1719"/>
      <c r="AA553" s="1719"/>
      <c r="AB553" s="1719"/>
      <c r="AC553" s="1719"/>
      <c r="AD553" s="1719"/>
      <c r="AE553" s="1719"/>
      <c r="AF553" s="1719"/>
      <c r="AG553" s="1719"/>
      <c r="AH553" s="1719"/>
      <c r="AI553" s="1719"/>
      <c r="AJ553" s="1719"/>
      <c r="AK553" s="1719"/>
      <c r="AL553" s="428"/>
      <c r="AM553" s="428"/>
      <c r="AN553" s="428"/>
      <c r="AO553" s="429"/>
    </row>
    <row r="554" spans="1:41" ht="15.75">
      <c r="A554" s="395"/>
      <c r="B554" s="395"/>
      <c r="C554" s="430"/>
      <c r="D554" s="1751"/>
      <c r="E554" s="429"/>
      <c r="F554" s="428"/>
      <c r="G554" s="428"/>
      <c r="H554" s="429"/>
      <c r="I554" s="428"/>
      <c r="J554" s="429"/>
      <c r="K554" s="428"/>
      <c r="L554" s="429"/>
      <c r="M554" s="428"/>
      <c r="N554" s="429"/>
      <c r="O554" s="428"/>
      <c r="P554" s="1843"/>
      <c r="Q554" s="1843"/>
      <c r="R554" s="1719"/>
      <c r="S554" s="1719"/>
      <c r="T554" s="428"/>
      <c r="U554" s="428"/>
      <c r="V554" s="428"/>
      <c r="W554" s="429"/>
      <c r="X554" s="429"/>
      <c r="Y554" s="1719"/>
      <c r="Z554" s="1719"/>
      <c r="AA554" s="1719"/>
      <c r="AB554" s="1719"/>
      <c r="AC554" s="1719"/>
      <c r="AD554" s="1719"/>
      <c r="AE554" s="1719"/>
      <c r="AF554" s="1719"/>
      <c r="AG554" s="1719"/>
      <c r="AH554" s="1719"/>
      <c r="AI554" s="1719"/>
      <c r="AJ554" s="1719"/>
      <c r="AK554" s="1719"/>
      <c r="AL554" s="428"/>
      <c r="AM554" s="428"/>
      <c r="AN554" s="428"/>
      <c r="AO554" s="429"/>
    </row>
    <row r="555" spans="1:41" ht="15.75">
      <c r="A555" s="395"/>
      <c r="B555" s="395"/>
      <c r="C555" s="430"/>
      <c r="D555" s="1751"/>
      <c r="E555" s="429"/>
      <c r="F555" s="428"/>
      <c r="G555" s="428"/>
      <c r="H555" s="429"/>
      <c r="I555" s="428"/>
      <c r="J555" s="429"/>
      <c r="K555" s="428"/>
      <c r="L555" s="429"/>
      <c r="M555" s="428"/>
      <c r="N555" s="429"/>
      <c r="O555" s="428"/>
      <c r="P555" s="1843"/>
      <c r="Q555" s="1843"/>
      <c r="R555" s="1719"/>
      <c r="S555" s="1719"/>
      <c r="T555" s="428"/>
      <c r="U555" s="428"/>
      <c r="V555" s="428"/>
      <c r="W555" s="429"/>
      <c r="X555" s="429"/>
      <c r="Y555" s="1719"/>
      <c r="Z555" s="1719"/>
      <c r="AA555" s="1719"/>
      <c r="AB555" s="1719"/>
      <c r="AC555" s="1719"/>
      <c r="AD555" s="1719"/>
      <c r="AE555" s="1719"/>
      <c r="AF555" s="1719"/>
      <c r="AG555" s="1719"/>
      <c r="AH555" s="1719"/>
      <c r="AI555" s="1719"/>
      <c r="AJ555" s="1719"/>
      <c r="AK555" s="1719"/>
      <c r="AL555" s="428"/>
      <c r="AM555" s="428"/>
      <c r="AN555" s="428"/>
      <c r="AO555" s="429"/>
    </row>
    <row r="556" spans="1:41" ht="15.75">
      <c r="A556" s="395"/>
      <c r="B556" s="395"/>
      <c r="C556" s="430"/>
      <c r="D556" s="1751"/>
      <c r="E556" s="429"/>
      <c r="F556" s="428"/>
      <c r="G556" s="428"/>
      <c r="H556" s="429"/>
      <c r="I556" s="428"/>
      <c r="J556" s="429"/>
      <c r="K556" s="428"/>
      <c r="L556" s="429"/>
      <c r="M556" s="428"/>
      <c r="N556" s="429"/>
      <c r="O556" s="428"/>
      <c r="P556" s="1843"/>
      <c r="Q556" s="1843"/>
      <c r="R556" s="1719"/>
      <c r="S556" s="1719"/>
      <c r="T556" s="428"/>
      <c r="U556" s="428"/>
      <c r="V556" s="428"/>
      <c r="W556" s="429"/>
      <c r="X556" s="429"/>
      <c r="Y556" s="1719"/>
      <c r="Z556" s="1719"/>
      <c r="AA556" s="1719"/>
      <c r="AB556" s="1719"/>
      <c r="AC556" s="1719"/>
      <c r="AD556" s="1719"/>
      <c r="AE556" s="1719"/>
      <c r="AF556" s="1719"/>
      <c r="AG556" s="1719"/>
      <c r="AH556" s="1719"/>
      <c r="AI556" s="1719"/>
      <c r="AJ556" s="1719"/>
      <c r="AK556" s="1719"/>
      <c r="AL556" s="428"/>
      <c r="AM556" s="428"/>
      <c r="AN556" s="428"/>
      <c r="AO556" s="429"/>
    </row>
    <row r="557" spans="1:41" ht="15.75">
      <c r="A557" s="395"/>
      <c r="B557" s="395"/>
      <c r="C557" s="430"/>
      <c r="D557" s="1751"/>
      <c r="E557" s="429"/>
      <c r="F557" s="428"/>
      <c r="G557" s="428"/>
      <c r="H557" s="429"/>
      <c r="I557" s="428"/>
      <c r="J557" s="429"/>
      <c r="K557" s="428"/>
      <c r="L557" s="429"/>
      <c r="M557" s="428"/>
      <c r="N557" s="429"/>
      <c r="O557" s="428"/>
      <c r="P557" s="1843"/>
      <c r="Q557" s="1843"/>
      <c r="R557" s="1719"/>
      <c r="S557" s="1719"/>
      <c r="T557" s="428"/>
      <c r="U557" s="428"/>
      <c r="V557" s="428"/>
      <c r="W557" s="429"/>
      <c r="X557" s="429"/>
      <c r="Y557" s="1719"/>
      <c r="Z557" s="1719"/>
      <c r="AA557" s="1719"/>
      <c r="AB557" s="1719"/>
      <c r="AC557" s="1719"/>
      <c r="AD557" s="1719"/>
      <c r="AE557" s="1719"/>
      <c r="AF557" s="1719"/>
      <c r="AG557" s="1719"/>
      <c r="AH557" s="1719"/>
      <c r="AI557" s="1719"/>
      <c r="AJ557" s="1719"/>
      <c r="AK557" s="1719"/>
      <c r="AL557" s="428"/>
      <c r="AM557" s="428"/>
      <c r="AN557" s="428"/>
      <c r="AO557" s="429"/>
    </row>
    <row r="558" spans="1:41" ht="15.75">
      <c r="A558" s="395"/>
      <c r="B558" s="395"/>
      <c r="C558" s="430"/>
      <c r="D558" s="1751"/>
      <c r="E558" s="429"/>
      <c r="F558" s="428"/>
      <c r="G558" s="428"/>
      <c r="H558" s="429"/>
      <c r="I558" s="428"/>
      <c r="J558" s="429"/>
      <c r="K558" s="428"/>
      <c r="L558" s="429"/>
      <c r="M558" s="428"/>
      <c r="N558" s="429"/>
      <c r="O558" s="428"/>
      <c r="P558" s="1843"/>
      <c r="Q558" s="1843"/>
      <c r="R558" s="1719"/>
      <c r="S558" s="1719"/>
      <c r="T558" s="428"/>
      <c r="U558" s="428"/>
      <c r="V558" s="428"/>
      <c r="W558" s="429"/>
      <c r="X558" s="429"/>
      <c r="Y558" s="1719"/>
      <c r="Z558" s="1719"/>
      <c r="AA558" s="1719"/>
      <c r="AB558" s="1719"/>
      <c r="AC558" s="1719"/>
      <c r="AD558" s="1719"/>
      <c r="AE558" s="1719"/>
      <c r="AF558" s="1719"/>
      <c r="AG558" s="1719"/>
      <c r="AH558" s="1719"/>
      <c r="AI558" s="1719"/>
      <c r="AJ558" s="1719"/>
      <c r="AK558" s="1719"/>
      <c r="AL558" s="428"/>
      <c r="AM558" s="428"/>
      <c r="AN558" s="428"/>
      <c r="AO558" s="429"/>
    </row>
    <row r="559" spans="1:41" ht="15.75">
      <c r="A559" s="395"/>
      <c r="B559" s="395"/>
      <c r="C559" s="430"/>
      <c r="D559" s="1751"/>
      <c r="E559" s="429"/>
      <c r="F559" s="428"/>
      <c r="G559" s="428"/>
      <c r="H559" s="429"/>
      <c r="I559" s="428"/>
      <c r="J559" s="429"/>
      <c r="K559" s="428"/>
      <c r="L559" s="429"/>
      <c r="M559" s="428"/>
      <c r="N559" s="429"/>
      <c r="O559" s="428"/>
      <c r="P559" s="1843"/>
      <c r="Q559" s="1843"/>
      <c r="R559" s="1719"/>
      <c r="S559" s="1719"/>
      <c r="T559" s="428"/>
      <c r="U559" s="428"/>
      <c r="V559" s="428"/>
      <c r="W559" s="429"/>
      <c r="X559" s="429"/>
      <c r="Y559" s="1719"/>
      <c r="Z559" s="1719"/>
      <c r="AA559" s="1719"/>
      <c r="AB559" s="1719"/>
      <c r="AC559" s="1719"/>
      <c r="AD559" s="1719"/>
      <c r="AE559" s="1719"/>
      <c r="AF559" s="1719"/>
      <c r="AG559" s="1719"/>
      <c r="AH559" s="1719"/>
      <c r="AI559" s="1719"/>
      <c r="AJ559" s="1719"/>
      <c r="AK559" s="1719"/>
      <c r="AL559" s="428"/>
      <c r="AM559" s="428"/>
      <c r="AN559" s="428"/>
      <c r="AO559" s="429"/>
    </row>
    <row r="560" spans="1:41" ht="15.75">
      <c r="A560" s="395"/>
      <c r="B560" s="395"/>
      <c r="C560" s="430"/>
      <c r="D560" s="1751"/>
      <c r="E560" s="429"/>
      <c r="F560" s="428"/>
      <c r="G560" s="428"/>
      <c r="H560" s="429"/>
      <c r="I560" s="428"/>
      <c r="J560" s="429"/>
      <c r="K560" s="428"/>
      <c r="L560" s="429"/>
      <c r="M560" s="428"/>
      <c r="N560" s="429"/>
      <c r="O560" s="428"/>
      <c r="P560" s="1843"/>
      <c r="Q560" s="1843"/>
      <c r="R560" s="1719"/>
      <c r="S560" s="1719"/>
      <c r="T560" s="428"/>
      <c r="U560" s="428"/>
      <c r="V560" s="428"/>
      <c r="W560" s="429"/>
      <c r="X560" s="429"/>
      <c r="Y560" s="1719"/>
      <c r="Z560" s="1719"/>
      <c r="AA560" s="1719"/>
      <c r="AB560" s="1719"/>
      <c r="AC560" s="1719"/>
      <c r="AD560" s="1719"/>
      <c r="AE560" s="1719"/>
      <c r="AF560" s="1719"/>
      <c r="AG560" s="1719"/>
      <c r="AH560" s="1719"/>
      <c r="AI560" s="1719"/>
      <c r="AJ560" s="1719"/>
      <c r="AK560" s="1719"/>
      <c r="AL560" s="428"/>
      <c r="AM560" s="428"/>
      <c r="AN560" s="428"/>
      <c r="AO560" s="429"/>
    </row>
    <row r="561" spans="1:41" ht="15.75">
      <c r="A561" s="395"/>
      <c r="B561" s="395"/>
      <c r="C561" s="430"/>
      <c r="D561" s="1751"/>
      <c r="E561" s="889"/>
      <c r="F561" s="428"/>
      <c r="G561" s="428"/>
      <c r="H561" s="429"/>
      <c r="I561" s="428"/>
      <c r="J561" s="429"/>
      <c r="K561" s="428"/>
      <c r="L561" s="429"/>
      <c r="M561" s="428"/>
      <c r="N561" s="429"/>
      <c r="O561" s="428"/>
      <c r="P561" s="1843"/>
      <c r="Q561" s="1843"/>
      <c r="R561" s="1719"/>
      <c r="S561" s="1719"/>
      <c r="T561" s="428"/>
      <c r="U561" s="428"/>
      <c r="V561" s="428"/>
      <c r="W561" s="429"/>
      <c r="X561" s="429"/>
      <c r="Y561" s="1719"/>
      <c r="Z561" s="1719"/>
      <c r="AA561" s="1719"/>
      <c r="AB561" s="1719"/>
      <c r="AC561" s="1719"/>
      <c r="AD561" s="1719"/>
      <c r="AE561" s="1719"/>
      <c r="AF561" s="1719"/>
      <c r="AG561" s="1719"/>
      <c r="AH561" s="1719"/>
      <c r="AI561" s="1719"/>
      <c r="AJ561" s="1719"/>
      <c r="AK561" s="1719"/>
      <c r="AL561" s="428"/>
      <c r="AM561" s="428"/>
      <c r="AN561" s="428"/>
      <c r="AO561" s="429"/>
    </row>
    <row r="562" spans="1:41" ht="15.75">
      <c r="A562" s="395"/>
      <c r="B562" s="395"/>
      <c r="C562" s="430"/>
      <c r="D562" s="1751"/>
      <c r="E562" s="429"/>
      <c r="F562" s="428"/>
      <c r="G562" s="428"/>
      <c r="H562" s="429"/>
      <c r="I562" s="428"/>
      <c r="J562" s="429"/>
      <c r="K562" s="428"/>
      <c r="L562" s="429"/>
      <c r="M562" s="428"/>
      <c r="N562" s="429"/>
      <c r="O562" s="428"/>
      <c r="P562" s="1843"/>
      <c r="Q562" s="1843"/>
      <c r="R562" s="1719"/>
      <c r="S562" s="1719"/>
      <c r="T562" s="428"/>
      <c r="U562" s="428"/>
      <c r="V562" s="428"/>
      <c r="W562" s="429"/>
      <c r="X562" s="429"/>
      <c r="Y562" s="1719"/>
      <c r="Z562" s="1719"/>
      <c r="AA562" s="1719"/>
      <c r="AB562" s="1719"/>
      <c r="AC562" s="1719"/>
      <c r="AD562" s="1719"/>
      <c r="AE562" s="1719"/>
      <c r="AF562" s="1719"/>
      <c r="AG562" s="1719"/>
      <c r="AH562" s="1719"/>
      <c r="AI562" s="1719"/>
      <c r="AJ562" s="1719"/>
      <c r="AK562" s="1719"/>
      <c r="AL562" s="428"/>
      <c r="AM562" s="428"/>
      <c r="AN562" s="428"/>
      <c r="AO562" s="429"/>
    </row>
    <row r="563" spans="1:41" ht="15.75">
      <c r="A563" s="395"/>
      <c r="B563" s="395"/>
      <c r="C563" s="430"/>
      <c r="D563" s="1751"/>
      <c r="E563" s="429"/>
      <c r="F563" s="428"/>
      <c r="G563" s="428"/>
      <c r="H563" s="429"/>
      <c r="I563" s="428"/>
      <c r="J563" s="429"/>
      <c r="K563" s="428"/>
      <c r="L563" s="429"/>
      <c r="M563" s="428"/>
      <c r="N563" s="429"/>
      <c r="O563" s="428"/>
      <c r="P563" s="1843"/>
      <c r="Q563" s="1843"/>
      <c r="R563" s="1719"/>
      <c r="S563" s="1719"/>
      <c r="T563" s="428"/>
      <c r="U563" s="428"/>
      <c r="V563" s="428"/>
      <c r="W563" s="429"/>
      <c r="X563" s="429"/>
      <c r="Y563" s="1719"/>
      <c r="Z563" s="1719"/>
      <c r="AA563" s="1719"/>
      <c r="AB563" s="1719"/>
      <c r="AC563" s="1719"/>
      <c r="AD563" s="1719"/>
      <c r="AE563" s="1719"/>
      <c r="AF563" s="1719"/>
      <c r="AG563" s="1719"/>
      <c r="AH563" s="1719"/>
      <c r="AI563" s="1719"/>
      <c r="AJ563" s="1719"/>
      <c r="AK563" s="1719"/>
      <c r="AL563" s="428"/>
      <c r="AM563" s="428"/>
      <c r="AN563" s="428"/>
      <c r="AO563" s="429"/>
    </row>
    <row r="564" spans="1:41" ht="15.75">
      <c r="A564" s="395"/>
      <c r="B564" s="395"/>
      <c r="C564" s="430"/>
      <c r="D564" s="1751"/>
      <c r="E564" s="429"/>
      <c r="F564" s="428"/>
      <c r="G564" s="428"/>
      <c r="H564" s="429"/>
      <c r="I564" s="428"/>
      <c r="J564" s="429"/>
      <c r="K564" s="428"/>
      <c r="L564" s="429"/>
      <c r="M564" s="428"/>
      <c r="N564" s="429"/>
      <c r="O564" s="428"/>
      <c r="P564" s="1843"/>
      <c r="Q564" s="1843"/>
      <c r="R564" s="1719"/>
      <c r="S564" s="1719"/>
      <c r="T564" s="428"/>
      <c r="U564" s="428"/>
      <c r="V564" s="428"/>
      <c r="W564" s="429"/>
      <c r="X564" s="429"/>
      <c r="Y564" s="1719"/>
      <c r="Z564" s="1719"/>
      <c r="AA564" s="1719"/>
      <c r="AB564" s="1719"/>
      <c r="AC564" s="1719"/>
      <c r="AD564" s="1719"/>
      <c r="AE564" s="1719"/>
      <c r="AF564" s="1719"/>
      <c r="AG564" s="1719"/>
      <c r="AH564" s="1719"/>
      <c r="AI564" s="1719"/>
      <c r="AJ564" s="1719"/>
      <c r="AK564" s="1719"/>
      <c r="AL564" s="428"/>
      <c r="AM564" s="428"/>
      <c r="AN564" s="428"/>
      <c r="AO564" s="429"/>
    </row>
    <row r="565" spans="1:41" ht="15.75">
      <c r="A565" s="395"/>
      <c r="B565" s="395"/>
      <c r="C565" s="430"/>
      <c r="D565" s="1751"/>
      <c r="E565" s="429"/>
      <c r="F565" s="428"/>
      <c r="G565" s="428"/>
      <c r="H565" s="429"/>
      <c r="I565" s="428"/>
      <c r="J565" s="429"/>
      <c r="K565" s="428"/>
      <c r="L565" s="429"/>
      <c r="M565" s="428"/>
      <c r="N565" s="429"/>
      <c r="O565" s="428"/>
      <c r="P565" s="1843"/>
      <c r="Q565" s="1843"/>
      <c r="R565" s="1719"/>
      <c r="S565" s="1719"/>
      <c r="T565" s="428"/>
      <c r="U565" s="428"/>
      <c r="V565" s="428"/>
      <c r="W565" s="429"/>
      <c r="X565" s="429"/>
      <c r="Y565" s="1719"/>
      <c r="Z565" s="1719"/>
      <c r="AA565" s="1719"/>
      <c r="AB565" s="1719"/>
      <c r="AC565" s="1719"/>
      <c r="AD565" s="1719"/>
      <c r="AE565" s="1719"/>
      <c r="AF565" s="1719"/>
      <c r="AG565" s="1719"/>
      <c r="AH565" s="1719"/>
      <c r="AI565" s="1719"/>
      <c r="AJ565" s="1719"/>
      <c r="AK565" s="1719"/>
      <c r="AL565" s="428"/>
      <c r="AM565" s="428"/>
      <c r="AN565" s="428"/>
      <c r="AO565" s="429"/>
    </row>
    <row r="566" spans="1:41" ht="15.75">
      <c r="A566" s="395"/>
      <c r="B566" s="395"/>
      <c r="C566" s="430"/>
      <c r="D566" s="1751"/>
      <c r="E566" s="429"/>
      <c r="F566" s="428"/>
      <c r="G566" s="428"/>
      <c r="H566" s="429"/>
      <c r="I566" s="428"/>
      <c r="J566" s="429"/>
      <c r="K566" s="428"/>
      <c r="L566" s="429"/>
      <c r="M566" s="428"/>
      <c r="N566" s="429"/>
      <c r="O566" s="428"/>
      <c r="P566" s="1843"/>
      <c r="Q566" s="1843"/>
      <c r="R566" s="1719"/>
      <c r="S566" s="1719"/>
      <c r="T566" s="428"/>
      <c r="U566" s="428"/>
      <c r="V566" s="428"/>
      <c r="W566" s="429"/>
      <c r="X566" s="429"/>
      <c r="Y566" s="1719"/>
      <c r="Z566" s="1719"/>
      <c r="AA566" s="1719"/>
      <c r="AB566" s="1719"/>
      <c r="AC566" s="1719"/>
      <c r="AD566" s="1719"/>
      <c r="AE566" s="1719"/>
      <c r="AF566" s="1719"/>
      <c r="AG566" s="1719"/>
      <c r="AH566" s="1719"/>
      <c r="AI566" s="1719"/>
      <c r="AJ566" s="1719"/>
      <c r="AK566" s="1719"/>
      <c r="AL566" s="428"/>
      <c r="AM566" s="428"/>
      <c r="AN566" s="428"/>
      <c r="AO566" s="429"/>
    </row>
    <row r="567" spans="1:41" ht="15.75">
      <c r="A567" s="395"/>
      <c r="B567" s="395"/>
      <c r="C567" s="430"/>
      <c r="D567" s="1751"/>
      <c r="E567" s="429"/>
      <c r="F567" s="428"/>
      <c r="G567" s="428"/>
      <c r="H567" s="429"/>
      <c r="I567" s="428"/>
      <c r="J567" s="429"/>
      <c r="K567" s="428"/>
      <c r="L567" s="429"/>
      <c r="M567" s="428"/>
      <c r="N567" s="429"/>
      <c r="O567" s="428"/>
      <c r="P567" s="1843"/>
      <c r="Q567" s="1843"/>
      <c r="R567" s="1719"/>
      <c r="S567" s="1719"/>
      <c r="T567" s="428"/>
      <c r="U567" s="428"/>
      <c r="V567" s="428"/>
      <c r="W567" s="429"/>
      <c r="X567" s="429"/>
      <c r="Y567" s="1719"/>
      <c r="Z567" s="1719"/>
      <c r="AA567" s="1719"/>
      <c r="AB567" s="1719"/>
      <c r="AC567" s="1719"/>
      <c r="AD567" s="1719"/>
      <c r="AE567" s="1719"/>
      <c r="AF567" s="1719"/>
      <c r="AG567" s="1719"/>
      <c r="AH567" s="1719"/>
      <c r="AI567" s="1719"/>
      <c r="AJ567" s="1719"/>
      <c r="AK567" s="1719"/>
      <c r="AL567" s="428"/>
      <c r="AM567" s="428"/>
      <c r="AN567" s="428"/>
      <c r="AO567" s="429"/>
    </row>
    <row r="568" spans="1:41" ht="15.75">
      <c r="A568" s="395"/>
      <c r="B568" s="395"/>
      <c r="C568" s="430"/>
      <c r="D568" s="1751"/>
      <c r="E568" s="889"/>
      <c r="F568" s="428"/>
      <c r="G568" s="428"/>
      <c r="H568" s="429"/>
      <c r="I568" s="428"/>
      <c r="J568" s="429"/>
      <c r="K568" s="428"/>
      <c r="L568" s="429"/>
      <c r="M568" s="428"/>
      <c r="N568" s="429"/>
      <c r="O568" s="428"/>
      <c r="P568" s="1843"/>
      <c r="Q568" s="1843"/>
      <c r="R568" s="1719"/>
      <c r="S568" s="1719"/>
      <c r="T568" s="428"/>
      <c r="U568" s="428"/>
      <c r="V568" s="428"/>
      <c r="W568" s="429"/>
      <c r="X568" s="429"/>
      <c r="Y568" s="1719"/>
      <c r="Z568" s="1719"/>
      <c r="AA568" s="1719"/>
      <c r="AB568" s="1719"/>
      <c r="AC568" s="1719"/>
      <c r="AD568" s="1719"/>
      <c r="AE568" s="1719"/>
      <c r="AF568" s="1719"/>
      <c r="AG568" s="1719"/>
      <c r="AH568" s="1719"/>
      <c r="AI568" s="1719"/>
      <c r="AJ568" s="1719"/>
      <c r="AK568" s="1719"/>
      <c r="AL568" s="428"/>
      <c r="AM568" s="428"/>
      <c r="AN568" s="428"/>
      <c r="AO568" s="429"/>
    </row>
    <row r="569" spans="1:41" ht="15.75">
      <c r="A569" s="395"/>
      <c r="B569" s="395"/>
      <c r="C569" s="430"/>
      <c r="D569" s="1751"/>
      <c r="E569" s="429"/>
      <c r="F569" s="428"/>
      <c r="G569" s="428"/>
      <c r="H569" s="429"/>
      <c r="I569" s="428"/>
      <c r="J569" s="429"/>
      <c r="K569" s="428"/>
      <c r="L569" s="429"/>
      <c r="M569" s="428"/>
      <c r="N569" s="429"/>
      <c r="O569" s="428"/>
      <c r="P569" s="1843"/>
      <c r="Q569" s="1843"/>
      <c r="R569" s="1719"/>
      <c r="S569" s="1719"/>
      <c r="T569" s="428"/>
      <c r="U569" s="428"/>
      <c r="V569" s="428"/>
      <c r="W569" s="429"/>
      <c r="X569" s="429"/>
      <c r="Y569" s="1719"/>
      <c r="Z569" s="1719"/>
      <c r="AA569" s="1719"/>
      <c r="AB569" s="1719"/>
      <c r="AC569" s="1719"/>
      <c r="AD569" s="1719"/>
      <c r="AE569" s="1719"/>
      <c r="AF569" s="1719"/>
      <c r="AG569" s="1719"/>
      <c r="AH569" s="1719"/>
      <c r="AI569" s="1719"/>
      <c r="AJ569" s="1719"/>
      <c r="AK569" s="1719"/>
      <c r="AL569" s="428"/>
      <c r="AM569" s="428"/>
      <c r="AN569" s="428"/>
      <c r="AO569" s="429"/>
    </row>
    <row r="570" spans="1:41" ht="15.75">
      <c r="A570" s="395"/>
      <c r="B570" s="395"/>
      <c r="C570" s="430"/>
      <c r="D570" s="1751"/>
      <c r="E570" s="429"/>
      <c r="F570" s="428"/>
      <c r="G570" s="428"/>
      <c r="H570" s="429"/>
      <c r="I570" s="428"/>
      <c r="J570" s="429"/>
      <c r="K570" s="428"/>
      <c r="L570" s="429"/>
      <c r="M570" s="428"/>
      <c r="N570" s="429"/>
      <c r="O570" s="428"/>
      <c r="P570" s="1843"/>
      <c r="Q570" s="1843"/>
      <c r="R570" s="1719"/>
      <c r="S570" s="1719"/>
      <c r="T570" s="428"/>
      <c r="U570" s="428"/>
      <c r="V570" s="428"/>
      <c r="W570" s="429"/>
      <c r="X570" s="429"/>
      <c r="Y570" s="1719"/>
      <c r="Z570" s="1719"/>
      <c r="AA570" s="1719"/>
      <c r="AB570" s="1719"/>
      <c r="AC570" s="1719"/>
      <c r="AD570" s="1719"/>
      <c r="AE570" s="1719"/>
      <c r="AF570" s="1719"/>
      <c r="AG570" s="1719"/>
      <c r="AH570" s="1719"/>
      <c r="AI570" s="1719"/>
      <c r="AJ570" s="1719"/>
      <c r="AK570" s="1719"/>
      <c r="AL570" s="428"/>
      <c r="AM570" s="428"/>
      <c r="AN570" s="428"/>
      <c r="AO570" s="429"/>
    </row>
    <row r="571" spans="1:41" ht="15.75">
      <c r="A571" s="395"/>
      <c r="B571" s="395"/>
      <c r="C571" s="430"/>
      <c r="D571" s="1751"/>
      <c r="E571" s="429"/>
      <c r="F571" s="428"/>
      <c r="G571" s="428"/>
      <c r="H571" s="429"/>
      <c r="I571" s="428"/>
      <c r="J571" s="429"/>
      <c r="K571" s="428"/>
      <c r="L571" s="429"/>
      <c r="M571" s="428"/>
      <c r="N571" s="429"/>
      <c r="O571" s="428"/>
      <c r="P571" s="1843"/>
      <c r="Q571" s="1843"/>
      <c r="R571" s="1719"/>
      <c r="S571" s="1719"/>
      <c r="T571" s="428"/>
      <c r="U571" s="428"/>
      <c r="V571" s="428"/>
      <c r="W571" s="429"/>
      <c r="X571" s="429"/>
      <c r="Y571" s="1719"/>
      <c r="Z571" s="1719"/>
      <c r="AA571" s="1719"/>
      <c r="AB571" s="1719"/>
      <c r="AC571" s="1719"/>
      <c r="AD571" s="1719"/>
      <c r="AE571" s="1719"/>
      <c r="AF571" s="1719"/>
      <c r="AG571" s="1719"/>
      <c r="AH571" s="1719"/>
      <c r="AI571" s="1719"/>
      <c r="AJ571" s="1719"/>
      <c r="AK571" s="1719"/>
      <c r="AL571" s="428"/>
      <c r="AM571" s="428"/>
      <c r="AN571" s="428"/>
      <c r="AO571" s="429"/>
    </row>
    <row r="572" spans="1:41">
      <c r="A572" s="395"/>
      <c r="B572" s="395"/>
      <c r="C572" s="395"/>
      <c r="D572" s="395"/>
      <c r="E572" s="395"/>
      <c r="F572" s="395"/>
      <c r="G572" s="395"/>
      <c r="H572" s="395"/>
      <c r="I572" s="395"/>
      <c r="J572" s="395"/>
      <c r="K572" s="395"/>
      <c r="L572" s="395"/>
      <c r="M572" s="395"/>
      <c r="N572" s="395"/>
      <c r="O572" s="395"/>
      <c r="P572" s="395"/>
      <c r="Q572" s="395"/>
      <c r="R572" s="395"/>
      <c r="S572" s="395"/>
      <c r="T572" s="395"/>
      <c r="U572" s="395"/>
      <c r="V572" s="395"/>
      <c r="W572" s="395"/>
      <c r="X572" s="395"/>
      <c r="Y572" s="395"/>
      <c r="Z572" s="395"/>
      <c r="AA572" s="395"/>
      <c r="AB572" s="395"/>
      <c r="AC572" s="395"/>
      <c r="AD572" s="395"/>
      <c r="AE572" s="395"/>
      <c r="AF572" s="395"/>
      <c r="AG572" s="395"/>
      <c r="AH572" s="395"/>
      <c r="AI572" s="395"/>
      <c r="AJ572" s="395"/>
      <c r="AK572" s="395"/>
      <c r="AL572" s="395"/>
      <c r="AM572" s="395"/>
      <c r="AN572" s="395"/>
      <c r="AO572" s="395"/>
    </row>
    <row r="573" spans="1:41" ht="15.75">
      <c r="A573" s="395"/>
      <c r="B573" s="395"/>
      <c r="C573" s="2589"/>
      <c r="D573" s="2589"/>
      <c r="E573" s="2517"/>
      <c r="F573" s="2517"/>
      <c r="G573" s="2517"/>
      <c r="H573" s="2517"/>
      <c r="I573" s="2517"/>
      <c r="J573" s="2517"/>
      <c r="K573" s="2517"/>
      <c r="L573" s="2519"/>
      <c r="M573" s="2519"/>
      <c r="N573" s="2517"/>
      <c r="O573" s="2517"/>
      <c r="P573" s="2517"/>
      <c r="Q573" s="2517"/>
      <c r="R573" s="2517"/>
      <c r="S573" s="2517"/>
      <c r="T573" s="2517"/>
      <c r="U573" s="2517"/>
      <c r="V573" s="2517"/>
      <c r="W573" s="2517"/>
      <c r="X573" s="2517"/>
      <c r="Y573" s="2517"/>
      <c r="Z573" s="2517"/>
      <c r="AA573" s="2517"/>
      <c r="AB573" s="2517"/>
      <c r="AC573" s="2517"/>
      <c r="AD573" s="2517"/>
      <c r="AE573" s="2517"/>
      <c r="AF573" s="2517"/>
      <c r="AG573" s="2517"/>
      <c r="AH573" s="2517"/>
      <c r="AI573" s="2517"/>
      <c r="AJ573" s="2517"/>
      <c r="AK573" s="2517"/>
      <c r="AL573" s="2517"/>
      <c r="AM573" s="429"/>
      <c r="AN573" s="429"/>
      <c r="AO573" s="429"/>
    </row>
    <row r="574" spans="1:41" ht="15.75">
      <c r="A574" s="395"/>
      <c r="B574" s="395"/>
      <c r="C574" s="2589"/>
      <c r="D574" s="2589"/>
      <c r="E574" s="429"/>
      <c r="F574" s="429"/>
      <c r="G574" s="429"/>
      <c r="H574" s="429"/>
      <c r="I574" s="429"/>
      <c r="J574" s="429"/>
      <c r="K574" s="429"/>
      <c r="L574" s="2519"/>
      <c r="M574" s="2519"/>
      <c r="N574" s="1870"/>
      <c r="O574" s="1870"/>
      <c r="P574" s="2519"/>
      <c r="Q574" s="2519"/>
      <c r="R574" s="2519"/>
      <c r="S574" s="1870"/>
      <c r="T574" s="1870"/>
      <c r="U574" s="1870"/>
      <c r="V574" s="1870"/>
      <c r="W574" s="2519"/>
      <c r="X574" s="2519"/>
      <c r="Y574" s="2519"/>
      <c r="Z574" s="1870"/>
      <c r="AA574" s="1870"/>
      <c r="AB574" s="1870"/>
      <c r="AC574" s="1870"/>
      <c r="AD574" s="1870"/>
      <c r="AE574" s="1870"/>
      <c r="AF574" s="1870"/>
      <c r="AG574" s="1870"/>
      <c r="AH574" s="1870"/>
      <c r="AI574" s="1870"/>
      <c r="AJ574" s="1870"/>
      <c r="AK574" s="1870"/>
      <c r="AL574" s="1870"/>
      <c r="AM574" s="429"/>
      <c r="AN574" s="429"/>
      <c r="AO574" s="429"/>
    </row>
    <row r="575" spans="1:41" ht="15.75">
      <c r="A575" s="395"/>
      <c r="B575" s="395"/>
      <c r="C575" s="1874"/>
      <c r="D575" s="1875"/>
      <c r="E575" s="2517"/>
      <c r="F575" s="2517"/>
      <c r="G575" s="428"/>
      <c r="H575" s="2517"/>
      <c r="I575" s="2517"/>
      <c r="J575" s="2517"/>
      <c r="K575" s="2517"/>
      <c r="L575" s="429"/>
      <c r="M575" s="429"/>
      <c r="N575" s="1877"/>
      <c r="O575" s="1877"/>
      <c r="P575" s="429"/>
      <c r="Q575" s="429"/>
      <c r="R575" s="429"/>
      <c r="S575" s="428"/>
      <c r="T575" s="428"/>
      <c r="U575" s="429"/>
      <c r="V575" s="429"/>
      <c r="W575" s="1877"/>
      <c r="X575" s="1877"/>
      <c r="Y575" s="1877"/>
      <c r="Z575" s="428"/>
      <c r="AA575" s="428"/>
      <c r="AB575" s="428"/>
      <c r="AC575" s="428"/>
      <c r="AD575" s="428"/>
      <c r="AE575" s="428"/>
      <c r="AF575" s="428"/>
      <c r="AG575" s="428"/>
      <c r="AH575" s="428"/>
      <c r="AI575" s="428"/>
      <c r="AJ575" s="428"/>
      <c r="AK575" s="428"/>
      <c r="AL575" s="428"/>
      <c r="AM575" s="429"/>
      <c r="AN575" s="429"/>
      <c r="AO575" s="429"/>
    </row>
    <row r="576" spans="1:41">
      <c r="A576" s="395"/>
      <c r="B576" s="395"/>
      <c r="C576" s="430"/>
      <c r="D576" s="1751"/>
      <c r="E576" s="1877"/>
      <c r="F576" s="1877"/>
      <c r="G576" s="1877"/>
      <c r="H576" s="1877"/>
      <c r="I576" s="1877"/>
      <c r="J576" s="1877"/>
      <c r="K576" s="1877"/>
      <c r="L576" s="1877"/>
      <c r="M576" s="1877"/>
      <c r="N576" s="1751"/>
      <c r="O576" s="1751"/>
      <c r="P576" s="2520"/>
      <c r="Q576" s="2520"/>
      <c r="R576" s="2520"/>
      <c r="S576" s="431"/>
      <c r="T576" s="431"/>
      <c r="U576" s="1751"/>
      <c r="V576" s="1751"/>
      <c r="W576" s="2520"/>
      <c r="X576" s="2520"/>
      <c r="Y576" s="2520"/>
      <c r="Z576" s="431"/>
      <c r="AA576" s="431"/>
      <c r="AB576" s="431"/>
      <c r="AC576" s="431"/>
      <c r="AD576" s="431"/>
      <c r="AE576" s="431"/>
      <c r="AF576" s="431"/>
      <c r="AG576" s="431"/>
      <c r="AH576" s="431"/>
      <c r="AI576" s="431"/>
      <c r="AJ576" s="431"/>
      <c r="AK576" s="431"/>
      <c r="AL576" s="431"/>
      <c r="AM576" s="429"/>
      <c r="AN576" s="429"/>
      <c r="AO576" s="429"/>
    </row>
    <row r="577" spans="1:41" ht="15.75">
      <c r="A577" s="395"/>
      <c r="B577" s="395"/>
      <c r="C577" s="430"/>
      <c r="D577" s="1751"/>
      <c r="E577" s="429"/>
      <c r="F577" s="428"/>
      <c r="G577" s="428"/>
      <c r="H577" s="429"/>
      <c r="I577" s="428"/>
      <c r="J577" s="429"/>
      <c r="K577" s="428"/>
      <c r="L577" s="1843"/>
      <c r="M577" s="1843"/>
      <c r="N577" s="429"/>
      <c r="O577" s="429"/>
      <c r="P577" s="428"/>
      <c r="Q577" s="428"/>
      <c r="R577" s="428"/>
      <c r="S577" s="428"/>
      <c r="T577" s="428"/>
      <c r="U577" s="1719"/>
      <c r="V577" s="1719"/>
      <c r="W577" s="1860"/>
      <c r="X577" s="1860"/>
      <c r="Y577" s="1860"/>
      <c r="Z577" s="428"/>
      <c r="AA577" s="428"/>
      <c r="AB577" s="428"/>
      <c r="AC577" s="428"/>
      <c r="AD577" s="428"/>
      <c r="AE577" s="428"/>
      <c r="AF577" s="428"/>
      <c r="AG577" s="428"/>
      <c r="AH577" s="428"/>
      <c r="AI577" s="428"/>
      <c r="AJ577" s="428"/>
      <c r="AK577" s="428"/>
      <c r="AL577" s="428"/>
      <c r="AM577" s="429"/>
      <c r="AN577" s="429"/>
      <c r="AO577" s="429"/>
    </row>
    <row r="578" spans="1:41" ht="15.75">
      <c r="A578" s="395"/>
      <c r="B578" s="395"/>
      <c r="C578" s="430"/>
      <c r="D578" s="1751"/>
      <c r="E578" s="429"/>
      <c r="F578" s="428"/>
      <c r="G578" s="428"/>
      <c r="H578" s="429"/>
      <c r="I578" s="428"/>
      <c r="J578" s="429"/>
      <c r="K578" s="428"/>
      <c r="L578" s="1843"/>
      <c r="M578" s="1843"/>
      <c r="N578" s="429"/>
      <c r="O578" s="429"/>
      <c r="P578" s="428"/>
      <c r="Q578" s="428"/>
      <c r="R578" s="428"/>
      <c r="S578" s="428"/>
      <c r="T578" s="428"/>
      <c r="U578" s="1719"/>
      <c r="V578" s="1719"/>
      <c r="W578" s="1860"/>
      <c r="X578" s="1860"/>
      <c r="Y578" s="1860"/>
      <c r="Z578" s="428"/>
      <c r="AA578" s="428"/>
      <c r="AB578" s="428"/>
      <c r="AC578" s="428"/>
      <c r="AD578" s="428"/>
      <c r="AE578" s="428"/>
      <c r="AF578" s="428"/>
      <c r="AG578" s="428"/>
      <c r="AH578" s="428"/>
      <c r="AI578" s="428"/>
      <c r="AJ578" s="428"/>
      <c r="AK578" s="428"/>
      <c r="AL578" s="428"/>
      <c r="AM578" s="429"/>
      <c r="AN578" s="429"/>
      <c r="AO578" s="429"/>
    </row>
    <row r="579" spans="1:41" ht="15.75">
      <c r="A579" s="395"/>
      <c r="B579" s="395"/>
      <c r="C579" s="430"/>
      <c r="D579" s="1751"/>
      <c r="E579" s="429"/>
      <c r="F579" s="428"/>
      <c r="G579" s="428"/>
      <c r="H579" s="429"/>
      <c r="I579" s="428"/>
      <c r="J579" s="429"/>
      <c r="K579" s="428"/>
      <c r="L579" s="1843"/>
      <c r="M579" s="1843"/>
      <c r="N579" s="429"/>
      <c r="O579" s="429"/>
      <c r="P579" s="428"/>
      <c r="Q579" s="428"/>
      <c r="R579" s="428"/>
      <c r="S579" s="428"/>
      <c r="T579" s="428"/>
      <c r="U579" s="1719"/>
      <c r="V579" s="1719"/>
      <c r="W579" s="1860"/>
      <c r="X579" s="1860"/>
      <c r="Y579" s="1860"/>
      <c r="Z579" s="428"/>
      <c r="AA579" s="428"/>
      <c r="AB579" s="428"/>
      <c r="AC579" s="428"/>
      <c r="AD579" s="428"/>
      <c r="AE579" s="428"/>
      <c r="AF579" s="428"/>
      <c r="AG579" s="428"/>
      <c r="AH579" s="428"/>
      <c r="AI579" s="428"/>
      <c r="AJ579" s="428"/>
      <c r="AK579" s="428"/>
      <c r="AL579" s="428"/>
      <c r="AM579" s="429"/>
      <c r="AN579" s="429"/>
      <c r="AO579" s="429"/>
    </row>
    <row r="580" spans="1:41" ht="15.75">
      <c r="A580" s="395"/>
      <c r="B580" s="395"/>
      <c r="C580" s="430"/>
      <c r="D580" s="1751"/>
      <c r="E580" s="429"/>
      <c r="F580" s="428"/>
      <c r="G580" s="428"/>
      <c r="H580" s="429"/>
      <c r="I580" s="428"/>
      <c r="J580" s="429"/>
      <c r="K580" s="428"/>
      <c r="L580" s="1843"/>
      <c r="M580" s="1843"/>
      <c r="N580" s="429"/>
      <c r="O580" s="429"/>
      <c r="P580" s="428"/>
      <c r="Q580" s="428"/>
      <c r="R580" s="428"/>
      <c r="S580" s="428"/>
      <c r="T580" s="428"/>
      <c r="U580" s="1719"/>
      <c r="V580" s="1719"/>
      <c r="W580" s="1860"/>
      <c r="X580" s="1860"/>
      <c r="Y580" s="1860"/>
      <c r="Z580" s="428"/>
      <c r="AA580" s="428"/>
      <c r="AB580" s="428"/>
      <c r="AC580" s="428"/>
      <c r="AD580" s="428"/>
      <c r="AE580" s="428"/>
      <c r="AF580" s="428"/>
      <c r="AG580" s="428"/>
      <c r="AH580" s="428"/>
      <c r="AI580" s="428"/>
      <c r="AJ580" s="428"/>
      <c r="AK580" s="428"/>
      <c r="AL580" s="428"/>
      <c r="AM580" s="429"/>
      <c r="AN580" s="429"/>
      <c r="AO580" s="429"/>
    </row>
    <row r="581" spans="1:41" ht="15.75">
      <c r="A581" s="395"/>
      <c r="B581" s="395"/>
      <c r="C581" s="430"/>
      <c r="D581" s="1751"/>
      <c r="E581" s="429"/>
      <c r="F581" s="428"/>
      <c r="G581" s="428"/>
      <c r="H581" s="429"/>
      <c r="I581" s="428"/>
      <c r="J581" s="429"/>
      <c r="K581" s="428"/>
      <c r="L581" s="1843"/>
      <c r="M581" s="1843"/>
      <c r="N581" s="429"/>
      <c r="O581" s="429"/>
      <c r="P581" s="428"/>
      <c r="Q581" s="428"/>
      <c r="R581" s="428"/>
      <c r="S581" s="428"/>
      <c r="T581" s="428"/>
      <c r="U581" s="1719"/>
      <c r="V581" s="1719"/>
      <c r="W581" s="1860"/>
      <c r="X581" s="1860"/>
      <c r="Y581" s="1860"/>
      <c r="Z581" s="428"/>
      <c r="AA581" s="428"/>
      <c r="AB581" s="428"/>
      <c r="AC581" s="428"/>
      <c r="AD581" s="428"/>
      <c r="AE581" s="428"/>
      <c r="AF581" s="428"/>
      <c r="AG581" s="428"/>
      <c r="AH581" s="428"/>
      <c r="AI581" s="428"/>
      <c r="AJ581" s="428"/>
      <c r="AK581" s="428"/>
      <c r="AL581" s="428"/>
      <c r="AM581" s="429"/>
      <c r="AN581" s="429"/>
      <c r="AO581" s="429"/>
    </row>
    <row r="582" spans="1:41" ht="15.75">
      <c r="A582" s="395"/>
      <c r="B582" s="395"/>
      <c r="C582" s="430"/>
      <c r="D582" s="1751"/>
      <c r="E582" s="429"/>
      <c r="F582" s="428"/>
      <c r="G582" s="428"/>
      <c r="H582" s="429"/>
      <c r="I582" s="428"/>
      <c r="J582" s="429"/>
      <c r="K582" s="428"/>
      <c r="L582" s="1843"/>
      <c r="M582" s="1843"/>
      <c r="N582" s="429"/>
      <c r="O582" s="429"/>
      <c r="P582" s="428"/>
      <c r="Q582" s="428"/>
      <c r="R582" s="428"/>
      <c r="S582" s="428"/>
      <c r="T582" s="428"/>
      <c r="U582" s="1719"/>
      <c r="V582" s="1719"/>
      <c r="W582" s="1860"/>
      <c r="X582" s="1860"/>
      <c r="Y582" s="1860"/>
      <c r="Z582" s="428"/>
      <c r="AA582" s="428"/>
      <c r="AB582" s="428"/>
      <c r="AC582" s="428"/>
      <c r="AD582" s="428"/>
      <c r="AE582" s="428"/>
      <c r="AF582" s="428"/>
      <c r="AG582" s="428"/>
      <c r="AH582" s="428"/>
      <c r="AI582" s="428"/>
      <c r="AJ582" s="428"/>
      <c r="AK582" s="428"/>
      <c r="AL582" s="428"/>
      <c r="AM582" s="429"/>
      <c r="AN582" s="429"/>
      <c r="AO582" s="429"/>
    </row>
    <row r="583" spans="1:41" ht="15.75">
      <c r="A583" s="395"/>
      <c r="B583" s="395"/>
      <c r="C583" s="430"/>
      <c r="D583" s="1751"/>
      <c r="E583" s="429"/>
      <c r="F583" s="428"/>
      <c r="G583" s="428"/>
      <c r="H583" s="429"/>
      <c r="I583" s="428"/>
      <c r="J583" s="429"/>
      <c r="K583" s="428"/>
      <c r="L583" s="1843"/>
      <c r="M583" s="1843"/>
      <c r="N583" s="429"/>
      <c r="O583" s="429"/>
      <c r="P583" s="428"/>
      <c r="Q583" s="428"/>
      <c r="R583" s="428"/>
      <c r="S583" s="428"/>
      <c r="T583" s="428"/>
      <c r="U583" s="1719"/>
      <c r="V583" s="1719"/>
      <c r="W583" s="1860"/>
      <c r="X583" s="1860"/>
      <c r="Y583" s="1860"/>
      <c r="Z583" s="428"/>
      <c r="AA583" s="428"/>
      <c r="AB583" s="428"/>
      <c r="AC583" s="428"/>
      <c r="AD583" s="428"/>
      <c r="AE583" s="428"/>
      <c r="AF583" s="428"/>
      <c r="AG583" s="428"/>
      <c r="AH583" s="428"/>
      <c r="AI583" s="428"/>
      <c r="AJ583" s="428"/>
      <c r="AK583" s="428"/>
      <c r="AL583" s="428"/>
      <c r="AM583" s="429"/>
      <c r="AN583" s="429"/>
      <c r="AO583" s="429"/>
    </row>
    <row r="584" spans="1:41" ht="15.75">
      <c r="A584" s="395"/>
      <c r="B584" s="395"/>
      <c r="C584" s="430"/>
      <c r="D584" s="1751"/>
      <c r="E584" s="429"/>
      <c r="F584" s="428"/>
      <c r="G584" s="428"/>
      <c r="H584" s="429"/>
      <c r="I584" s="428"/>
      <c r="J584" s="429"/>
      <c r="K584" s="428"/>
      <c r="L584" s="1843"/>
      <c r="M584" s="1843"/>
      <c r="N584" s="429"/>
      <c r="O584" s="429"/>
      <c r="P584" s="428"/>
      <c r="Q584" s="428"/>
      <c r="R584" s="428"/>
      <c r="S584" s="428"/>
      <c r="T584" s="428"/>
      <c r="U584" s="1719"/>
      <c r="V584" s="1719"/>
      <c r="W584" s="1860"/>
      <c r="X584" s="1860"/>
      <c r="Y584" s="1860"/>
      <c r="Z584" s="428"/>
      <c r="AA584" s="428"/>
      <c r="AB584" s="428"/>
      <c r="AC584" s="428"/>
      <c r="AD584" s="428"/>
      <c r="AE584" s="428"/>
      <c r="AF584" s="428"/>
      <c r="AG584" s="428"/>
      <c r="AH584" s="428"/>
      <c r="AI584" s="428"/>
      <c r="AJ584" s="428"/>
      <c r="AK584" s="428"/>
      <c r="AL584" s="428"/>
      <c r="AM584" s="429"/>
      <c r="AN584" s="429"/>
      <c r="AO584" s="429"/>
    </row>
    <row r="585" spans="1:41" ht="15.75">
      <c r="A585" s="395"/>
      <c r="B585" s="395"/>
      <c r="C585" s="430"/>
      <c r="D585" s="1751"/>
      <c r="E585" s="429"/>
      <c r="F585" s="428"/>
      <c r="G585" s="428"/>
      <c r="H585" s="429"/>
      <c r="I585" s="428"/>
      <c r="J585" s="429"/>
      <c r="K585" s="428"/>
      <c r="L585" s="1843"/>
      <c r="M585" s="1843"/>
      <c r="N585" s="429"/>
      <c r="O585" s="429"/>
      <c r="P585" s="428"/>
      <c r="Q585" s="428"/>
      <c r="R585" s="428"/>
      <c r="S585" s="428"/>
      <c r="T585" s="428"/>
      <c r="U585" s="1719"/>
      <c r="V585" s="1719"/>
      <c r="W585" s="1860"/>
      <c r="X585" s="1860"/>
      <c r="Y585" s="1860"/>
      <c r="Z585" s="428"/>
      <c r="AA585" s="428"/>
      <c r="AB585" s="428"/>
      <c r="AC585" s="428"/>
      <c r="AD585" s="428"/>
      <c r="AE585" s="428"/>
      <c r="AF585" s="428"/>
      <c r="AG585" s="428"/>
      <c r="AH585" s="428"/>
      <c r="AI585" s="428"/>
      <c r="AJ585" s="428"/>
      <c r="AK585" s="428"/>
      <c r="AL585" s="428"/>
      <c r="AM585" s="429"/>
      <c r="AN585" s="429"/>
      <c r="AO585" s="429"/>
    </row>
    <row r="586" spans="1:41" ht="15.75">
      <c r="A586" s="395"/>
      <c r="B586" s="395"/>
      <c r="C586" s="430"/>
      <c r="D586" s="1751"/>
      <c r="E586" s="429"/>
      <c r="F586" s="428"/>
      <c r="G586" s="428"/>
      <c r="H586" s="429"/>
      <c r="I586" s="428"/>
      <c r="J586" s="429"/>
      <c r="K586" s="428"/>
      <c r="L586" s="1843"/>
      <c r="M586" s="1843"/>
      <c r="N586" s="429"/>
      <c r="O586" s="429"/>
      <c r="P586" s="428"/>
      <c r="Q586" s="428"/>
      <c r="R586" s="428"/>
      <c r="S586" s="428"/>
      <c r="T586" s="428"/>
      <c r="U586" s="1719"/>
      <c r="V586" s="1719"/>
      <c r="W586" s="1860"/>
      <c r="X586" s="1860"/>
      <c r="Y586" s="1860"/>
      <c r="Z586" s="428"/>
      <c r="AA586" s="428"/>
      <c r="AB586" s="428"/>
      <c r="AC586" s="428"/>
      <c r="AD586" s="428"/>
      <c r="AE586" s="428"/>
      <c r="AF586" s="428"/>
      <c r="AG586" s="428"/>
      <c r="AH586" s="428"/>
      <c r="AI586" s="428"/>
      <c r="AJ586" s="428"/>
      <c r="AK586" s="428"/>
      <c r="AL586" s="428"/>
      <c r="AM586" s="429"/>
      <c r="AN586" s="429"/>
      <c r="AO586" s="429"/>
    </row>
    <row r="587" spans="1:41" ht="15.75">
      <c r="A587" s="395"/>
      <c r="B587" s="395"/>
      <c r="C587" s="430"/>
      <c r="D587" s="1751"/>
      <c r="E587" s="429"/>
      <c r="F587" s="428"/>
      <c r="G587" s="428"/>
      <c r="H587" s="429"/>
      <c r="I587" s="428"/>
      <c r="J587" s="429"/>
      <c r="K587" s="428"/>
      <c r="L587" s="1843"/>
      <c r="M587" s="1843"/>
      <c r="N587" s="429"/>
      <c r="O587" s="429"/>
      <c r="P587" s="428"/>
      <c r="Q587" s="428"/>
      <c r="R587" s="428"/>
      <c r="S587" s="428"/>
      <c r="T587" s="428"/>
      <c r="U587" s="1719"/>
      <c r="V587" s="1719"/>
      <c r="W587" s="1860"/>
      <c r="X587" s="1860"/>
      <c r="Y587" s="1860"/>
      <c r="Z587" s="428"/>
      <c r="AA587" s="428"/>
      <c r="AB587" s="428"/>
      <c r="AC587" s="428"/>
      <c r="AD587" s="428"/>
      <c r="AE587" s="428"/>
      <c r="AF587" s="428"/>
      <c r="AG587" s="428"/>
      <c r="AH587" s="428"/>
      <c r="AI587" s="428"/>
      <c r="AJ587" s="428"/>
      <c r="AK587" s="428"/>
      <c r="AL587" s="428"/>
      <c r="AM587" s="429"/>
      <c r="AN587" s="429"/>
      <c r="AO587" s="429"/>
    </row>
    <row r="588" spans="1:41" ht="15.75">
      <c r="A588" s="395"/>
      <c r="B588" s="395"/>
      <c r="C588" s="430"/>
      <c r="D588" s="1751"/>
      <c r="E588" s="429"/>
      <c r="F588" s="428"/>
      <c r="G588" s="428"/>
      <c r="H588" s="429"/>
      <c r="I588" s="428"/>
      <c r="J588" s="429"/>
      <c r="K588" s="428"/>
      <c r="L588" s="1843"/>
      <c r="M588" s="1843"/>
      <c r="N588" s="429"/>
      <c r="O588" s="429"/>
      <c r="P588" s="428"/>
      <c r="Q588" s="428"/>
      <c r="R588" s="428"/>
      <c r="S588" s="428"/>
      <c r="T588" s="428"/>
      <c r="U588" s="1719"/>
      <c r="V588" s="1719"/>
      <c r="W588" s="1860"/>
      <c r="X588" s="1860"/>
      <c r="Y588" s="1860"/>
      <c r="Z588" s="428"/>
      <c r="AA588" s="428"/>
      <c r="AB588" s="428"/>
      <c r="AC588" s="428"/>
      <c r="AD588" s="428"/>
      <c r="AE588" s="428"/>
      <c r="AF588" s="428"/>
      <c r="AG588" s="428"/>
      <c r="AH588" s="428"/>
      <c r="AI588" s="428"/>
      <c r="AJ588" s="428"/>
      <c r="AK588" s="428"/>
      <c r="AL588" s="428"/>
      <c r="AM588" s="429"/>
      <c r="AN588" s="429"/>
      <c r="AO588" s="429"/>
    </row>
    <row r="589" spans="1:41" ht="15.75">
      <c r="A589" s="395"/>
      <c r="B589" s="395"/>
      <c r="C589" s="430"/>
      <c r="D589" s="1751"/>
      <c r="E589" s="429"/>
      <c r="F589" s="428"/>
      <c r="G589" s="428"/>
      <c r="H589" s="429"/>
      <c r="I589" s="428"/>
      <c r="J589" s="429"/>
      <c r="K589" s="428"/>
      <c r="L589" s="1843"/>
      <c r="M589" s="1843"/>
      <c r="N589" s="429"/>
      <c r="O589" s="429"/>
      <c r="P589" s="428"/>
      <c r="Q589" s="428"/>
      <c r="R589" s="428"/>
      <c r="S589" s="428"/>
      <c r="T589" s="428"/>
      <c r="U589" s="1719"/>
      <c r="V589" s="1719"/>
      <c r="W589" s="1860"/>
      <c r="X589" s="1860"/>
      <c r="Y589" s="1860"/>
      <c r="Z589" s="428"/>
      <c r="AA589" s="428"/>
      <c r="AB589" s="428"/>
      <c r="AC589" s="428"/>
      <c r="AD589" s="428"/>
      <c r="AE589" s="428"/>
      <c r="AF589" s="428"/>
      <c r="AG589" s="428"/>
      <c r="AH589" s="428"/>
      <c r="AI589" s="428"/>
      <c r="AJ589" s="428"/>
      <c r="AK589" s="428"/>
      <c r="AL589" s="428"/>
      <c r="AM589" s="429"/>
      <c r="AN589" s="429"/>
      <c r="AO589" s="429"/>
    </row>
    <row r="590" spans="1:41" ht="15.75">
      <c r="A590" s="395"/>
      <c r="B590" s="395"/>
      <c r="C590" s="430"/>
      <c r="D590" s="1751"/>
      <c r="E590" s="429"/>
      <c r="F590" s="428"/>
      <c r="G590" s="428"/>
      <c r="H590" s="429"/>
      <c r="I590" s="428"/>
      <c r="J590" s="429"/>
      <c r="K590" s="428"/>
      <c r="L590" s="1843"/>
      <c r="M590" s="1843"/>
      <c r="N590" s="429"/>
      <c r="O590" s="429"/>
      <c r="P590" s="428"/>
      <c r="Q590" s="428"/>
      <c r="R590" s="428"/>
      <c r="S590" s="428"/>
      <c r="T590" s="428"/>
      <c r="U590" s="1719"/>
      <c r="V590" s="1719"/>
      <c r="W590" s="1860"/>
      <c r="X590" s="1860"/>
      <c r="Y590" s="1860"/>
      <c r="Z590" s="428"/>
      <c r="AA590" s="428"/>
      <c r="AB590" s="428"/>
      <c r="AC590" s="428"/>
      <c r="AD590" s="428"/>
      <c r="AE590" s="428"/>
      <c r="AF590" s="428"/>
      <c r="AG590" s="428"/>
      <c r="AH590" s="428"/>
      <c r="AI590" s="428"/>
      <c r="AJ590" s="428"/>
      <c r="AK590" s="428"/>
      <c r="AL590" s="428"/>
      <c r="AM590" s="429"/>
      <c r="AN590" s="429"/>
      <c r="AO590" s="429"/>
    </row>
    <row r="591" spans="1:41" ht="15.75">
      <c r="A591" s="395"/>
      <c r="B591" s="395"/>
      <c r="C591" s="430"/>
      <c r="D591" s="1751"/>
      <c r="E591" s="429"/>
      <c r="F591" s="428"/>
      <c r="G591" s="428"/>
      <c r="H591" s="429"/>
      <c r="I591" s="428"/>
      <c r="J591" s="429"/>
      <c r="K591" s="428"/>
      <c r="L591" s="1843"/>
      <c r="M591" s="1843"/>
      <c r="N591" s="429"/>
      <c r="O591" s="429"/>
      <c r="P591" s="428"/>
      <c r="Q591" s="428"/>
      <c r="R591" s="428"/>
      <c r="S591" s="428"/>
      <c r="T591" s="428"/>
      <c r="U591" s="1719"/>
      <c r="V591" s="1719"/>
      <c r="W591" s="1860"/>
      <c r="X591" s="1860"/>
      <c r="Y591" s="1860"/>
      <c r="Z591" s="428"/>
      <c r="AA591" s="428"/>
      <c r="AB591" s="428"/>
      <c r="AC591" s="428"/>
      <c r="AD591" s="428"/>
      <c r="AE591" s="428"/>
      <c r="AF591" s="428"/>
      <c r="AG591" s="428"/>
      <c r="AH591" s="428"/>
      <c r="AI591" s="428"/>
      <c r="AJ591" s="428"/>
      <c r="AK591" s="428"/>
      <c r="AL591" s="428"/>
      <c r="AM591" s="429"/>
      <c r="AN591" s="429"/>
      <c r="AO591" s="429"/>
    </row>
    <row r="592" spans="1:41" ht="15.75">
      <c r="A592" s="395"/>
      <c r="B592" s="395"/>
      <c r="C592" s="430"/>
      <c r="D592" s="1751"/>
      <c r="E592" s="429"/>
      <c r="F592" s="428"/>
      <c r="G592" s="428"/>
      <c r="H592" s="429"/>
      <c r="I592" s="428"/>
      <c r="J592" s="429"/>
      <c r="K592" s="428"/>
      <c r="L592" s="1843"/>
      <c r="M592" s="1843"/>
      <c r="N592" s="429"/>
      <c r="O592" s="429"/>
      <c r="P592" s="428"/>
      <c r="Q592" s="428"/>
      <c r="R592" s="428"/>
      <c r="S592" s="428"/>
      <c r="T592" s="428"/>
      <c r="U592" s="1719"/>
      <c r="V592" s="1719"/>
      <c r="W592" s="1860"/>
      <c r="X592" s="1860"/>
      <c r="Y592" s="1860"/>
      <c r="Z592" s="428"/>
      <c r="AA592" s="428"/>
      <c r="AB592" s="428"/>
      <c r="AC592" s="428"/>
      <c r="AD592" s="428"/>
      <c r="AE592" s="428"/>
      <c r="AF592" s="428"/>
      <c r="AG592" s="428"/>
      <c r="AH592" s="428"/>
      <c r="AI592" s="428"/>
      <c r="AJ592" s="428"/>
      <c r="AK592" s="428"/>
      <c r="AL592" s="428"/>
      <c r="AM592" s="429"/>
      <c r="AN592" s="429"/>
      <c r="AO592" s="429"/>
    </row>
    <row r="593" spans="1:41" ht="15.75">
      <c r="A593" s="395"/>
      <c r="B593" s="395"/>
      <c r="C593" s="430"/>
      <c r="D593" s="1751"/>
      <c r="E593" s="429"/>
      <c r="F593" s="428"/>
      <c r="G593" s="428"/>
      <c r="H593" s="429"/>
      <c r="I593" s="428"/>
      <c r="J593" s="429"/>
      <c r="K593" s="428"/>
      <c r="L593" s="1843"/>
      <c r="M593" s="1843"/>
      <c r="N593" s="429"/>
      <c r="O593" s="429"/>
      <c r="P593" s="428"/>
      <c r="Q593" s="428"/>
      <c r="R593" s="428"/>
      <c r="S593" s="428"/>
      <c r="T593" s="428"/>
      <c r="U593" s="1719"/>
      <c r="V593" s="1719"/>
      <c r="W593" s="1860"/>
      <c r="X593" s="1860"/>
      <c r="Y593" s="1860"/>
      <c r="Z593" s="428"/>
      <c r="AA593" s="428"/>
      <c r="AB593" s="428"/>
      <c r="AC593" s="428"/>
      <c r="AD593" s="428"/>
      <c r="AE593" s="428"/>
      <c r="AF593" s="428"/>
      <c r="AG593" s="428"/>
      <c r="AH593" s="428"/>
      <c r="AI593" s="428"/>
      <c r="AJ593" s="428"/>
      <c r="AK593" s="428"/>
      <c r="AL593" s="428"/>
      <c r="AM593" s="429"/>
      <c r="AN593" s="429"/>
      <c r="AO593" s="429"/>
    </row>
    <row r="594" spans="1:41" ht="15.75">
      <c r="A594" s="395"/>
      <c r="B594" s="395"/>
      <c r="C594" s="430"/>
      <c r="D594" s="1751"/>
      <c r="E594" s="429"/>
      <c r="F594" s="428"/>
      <c r="G594" s="428"/>
      <c r="H594" s="429"/>
      <c r="I594" s="428"/>
      <c r="J594" s="429"/>
      <c r="K594" s="428"/>
      <c r="L594" s="1843"/>
      <c r="M594" s="1843"/>
      <c r="N594" s="429"/>
      <c r="O594" s="429"/>
      <c r="P594" s="428"/>
      <c r="Q594" s="428"/>
      <c r="R594" s="428"/>
      <c r="S594" s="428"/>
      <c r="T594" s="428"/>
      <c r="U594" s="1719"/>
      <c r="V594" s="1719"/>
      <c r="W594" s="1860"/>
      <c r="X594" s="1860"/>
      <c r="Y594" s="1860"/>
      <c r="Z594" s="428"/>
      <c r="AA594" s="428"/>
      <c r="AB594" s="428"/>
      <c r="AC594" s="428"/>
      <c r="AD594" s="428"/>
      <c r="AE594" s="428"/>
      <c r="AF594" s="428"/>
      <c r="AG594" s="428"/>
      <c r="AH594" s="428"/>
      <c r="AI594" s="428"/>
      <c r="AJ594" s="428"/>
      <c r="AK594" s="428"/>
      <c r="AL594" s="428"/>
      <c r="AM594" s="429"/>
      <c r="AN594" s="429"/>
      <c r="AO594" s="429"/>
    </row>
    <row r="595" spans="1:41" ht="15.75">
      <c r="A595" s="395"/>
      <c r="B595" s="395"/>
      <c r="C595" s="430"/>
      <c r="D595" s="1751"/>
      <c r="E595" s="429"/>
      <c r="F595" s="428"/>
      <c r="G595" s="428"/>
      <c r="H595" s="429"/>
      <c r="I595" s="428"/>
      <c r="J595" s="429"/>
      <c r="K595" s="428"/>
      <c r="L595" s="1843"/>
      <c r="M595" s="1843"/>
      <c r="N595" s="429"/>
      <c r="O595" s="429"/>
      <c r="P595" s="428"/>
      <c r="Q595" s="428"/>
      <c r="R595" s="428"/>
      <c r="S595" s="428"/>
      <c r="T595" s="428"/>
      <c r="U595" s="1719"/>
      <c r="V595" s="1719"/>
      <c r="W595" s="1860"/>
      <c r="X595" s="1860"/>
      <c r="Y595" s="1860"/>
      <c r="Z595" s="428"/>
      <c r="AA595" s="428"/>
      <c r="AB595" s="428"/>
      <c r="AC595" s="428"/>
      <c r="AD595" s="428"/>
      <c r="AE595" s="428"/>
      <c r="AF595" s="428"/>
      <c r="AG595" s="428"/>
      <c r="AH595" s="428"/>
      <c r="AI595" s="428"/>
      <c r="AJ595" s="428"/>
      <c r="AK595" s="428"/>
      <c r="AL595" s="428"/>
      <c r="AM595" s="429"/>
      <c r="AN595" s="429"/>
      <c r="AO595" s="429"/>
    </row>
    <row r="596" spans="1:41" ht="15.75">
      <c r="A596" s="395"/>
      <c r="B596" s="395"/>
      <c r="C596" s="430"/>
      <c r="D596" s="1751"/>
      <c r="E596" s="429"/>
      <c r="F596" s="428"/>
      <c r="G596" s="428"/>
      <c r="H596" s="429"/>
      <c r="I596" s="428"/>
      <c r="J596" s="429"/>
      <c r="K596" s="428"/>
      <c r="L596" s="1843"/>
      <c r="M596" s="1843"/>
      <c r="N596" s="429"/>
      <c r="O596" s="429"/>
      <c r="P596" s="428"/>
      <c r="Q596" s="428"/>
      <c r="R596" s="428"/>
      <c r="S596" s="428"/>
      <c r="T596" s="428"/>
      <c r="U596" s="1719"/>
      <c r="V596" s="1719"/>
      <c r="W596" s="1860"/>
      <c r="X596" s="1860"/>
      <c r="Y596" s="1860"/>
      <c r="Z596" s="428"/>
      <c r="AA596" s="428"/>
      <c r="AB596" s="428"/>
      <c r="AC596" s="428"/>
      <c r="AD596" s="428"/>
      <c r="AE596" s="428"/>
      <c r="AF596" s="428"/>
      <c r="AG596" s="428"/>
      <c r="AH596" s="428"/>
      <c r="AI596" s="428"/>
      <c r="AJ596" s="428"/>
      <c r="AK596" s="428"/>
      <c r="AL596" s="428"/>
      <c r="AM596" s="429"/>
      <c r="AN596" s="429"/>
      <c r="AO596" s="429"/>
    </row>
    <row r="597" spans="1:41" ht="15.75">
      <c r="A597" s="395"/>
      <c r="B597" s="395"/>
      <c r="C597" s="430"/>
      <c r="D597" s="1751"/>
      <c r="E597" s="429"/>
      <c r="F597" s="428"/>
      <c r="G597" s="428"/>
      <c r="H597" s="429"/>
      <c r="I597" s="428"/>
      <c r="J597" s="429"/>
      <c r="K597" s="428"/>
      <c r="L597" s="1843"/>
      <c r="M597" s="1843"/>
      <c r="N597" s="429"/>
      <c r="O597" s="429"/>
      <c r="P597" s="428"/>
      <c r="Q597" s="428"/>
      <c r="R597" s="428"/>
      <c r="S597" s="428"/>
      <c r="T597" s="428"/>
      <c r="U597" s="1719"/>
      <c r="V597" s="1719"/>
      <c r="W597" s="1860"/>
      <c r="X597" s="1860"/>
      <c r="Y597" s="1860"/>
      <c r="Z597" s="428"/>
      <c r="AA597" s="428"/>
      <c r="AB597" s="428"/>
      <c r="AC597" s="428"/>
      <c r="AD597" s="428"/>
      <c r="AE597" s="428"/>
      <c r="AF597" s="428"/>
      <c r="AG597" s="428"/>
      <c r="AH597" s="428"/>
      <c r="AI597" s="428"/>
      <c r="AJ597" s="428"/>
      <c r="AK597" s="428"/>
      <c r="AL597" s="428"/>
      <c r="AM597" s="429"/>
      <c r="AN597" s="429"/>
      <c r="AO597" s="429"/>
    </row>
    <row r="598" spans="1:41" ht="15.75">
      <c r="A598" s="395"/>
      <c r="B598" s="395"/>
      <c r="C598" s="430"/>
      <c r="D598" s="1751"/>
      <c r="E598" s="429"/>
      <c r="F598" s="428"/>
      <c r="G598" s="428"/>
      <c r="H598" s="429"/>
      <c r="I598" s="428"/>
      <c r="J598" s="429"/>
      <c r="K598" s="428"/>
      <c r="L598" s="1843"/>
      <c r="M598" s="1843"/>
      <c r="N598" s="429"/>
      <c r="O598" s="429"/>
      <c r="P598" s="428"/>
      <c r="Q598" s="428"/>
      <c r="R598" s="428"/>
      <c r="S598" s="428"/>
      <c r="T598" s="428"/>
      <c r="U598" s="1719"/>
      <c r="V598" s="1719"/>
      <c r="W598" s="1860"/>
      <c r="X598" s="1860"/>
      <c r="Y598" s="1860"/>
      <c r="Z598" s="428"/>
      <c r="AA598" s="428"/>
      <c r="AB598" s="428"/>
      <c r="AC598" s="428"/>
      <c r="AD598" s="428"/>
      <c r="AE598" s="428"/>
      <c r="AF598" s="428"/>
      <c r="AG598" s="428"/>
      <c r="AH598" s="428"/>
      <c r="AI598" s="428"/>
      <c r="AJ598" s="428"/>
      <c r="AK598" s="428"/>
      <c r="AL598" s="428"/>
      <c r="AM598" s="429"/>
      <c r="AN598" s="429"/>
      <c r="AO598" s="429"/>
    </row>
    <row r="599" spans="1:41" ht="15.75">
      <c r="A599" s="395"/>
      <c r="B599" s="395"/>
      <c r="C599" s="430"/>
      <c r="D599" s="1751"/>
      <c r="E599" s="429"/>
      <c r="F599" s="428"/>
      <c r="G599" s="428"/>
      <c r="H599" s="429"/>
      <c r="I599" s="428"/>
      <c r="J599" s="429"/>
      <c r="K599" s="428"/>
      <c r="L599" s="1843"/>
      <c r="M599" s="1843"/>
      <c r="N599" s="429"/>
      <c r="O599" s="429"/>
      <c r="P599" s="428"/>
      <c r="Q599" s="428"/>
      <c r="R599" s="428"/>
      <c r="S599" s="428"/>
      <c r="T599" s="428"/>
      <c r="U599" s="1719"/>
      <c r="V599" s="1719"/>
      <c r="W599" s="1860"/>
      <c r="X599" s="1860"/>
      <c r="Y599" s="1860"/>
      <c r="Z599" s="428"/>
      <c r="AA599" s="428"/>
      <c r="AB599" s="428"/>
      <c r="AC599" s="428"/>
      <c r="AD599" s="428"/>
      <c r="AE599" s="428"/>
      <c r="AF599" s="428"/>
      <c r="AG599" s="428"/>
      <c r="AH599" s="428"/>
      <c r="AI599" s="428"/>
      <c r="AJ599" s="428"/>
      <c r="AK599" s="428"/>
      <c r="AL599" s="428"/>
      <c r="AM599" s="429"/>
      <c r="AN599" s="429"/>
      <c r="AO599" s="429"/>
    </row>
    <row r="600" spans="1:41" ht="15.75">
      <c r="A600" s="395"/>
      <c r="B600" s="395"/>
      <c r="C600" s="430"/>
      <c r="D600" s="1751"/>
      <c r="E600" s="429"/>
      <c r="F600" s="428"/>
      <c r="G600" s="428"/>
      <c r="H600" s="429"/>
      <c r="I600" s="428"/>
      <c r="J600" s="429"/>
      <c r="K600" s="428"/>
      <c r="L600" s="1843"/>
      <c r="M600" s="1843"/>
      <c r="N600" s="429"/>
      <c r="O600" s="429"/>
      <c r="P600" s="428"/>
      <c r="Q600" s="428"/>
      <c r="R600" s="428"/>
      <c r="S600" s="428"/>
      <c r="T600" s="428"/>
      <c r="U600" s="1719"/>
      <c r="V600" s="1719"/>
      <c r="W600" s="1860"/>
      <c r="X600" s="1860"/>
      <c r="Y600" s="1860"/>
      <c r="Z600" s="428"/>
      <c r="AA600" s="428"/>
      <c r="AB600" s="428"/>
      <c r="AC600" s="428"/>
      <c r="AD600" s="428"/>
      <c r="AE600" s="428"/>
      <c r="AF600" s="428"/>
      <c r="AG600" s="428"/>
      <c r="AH600" s="428"/>
      <c r="AI600" s="428"/>
      <c r="AJ600" s="428"/>
      <c r="AK600" s="428"/>
      <c r="AL600" s="428"/>
      <c r="AM600" s="429"/>
      <c r="AN600" s="429"/>
      <c r="AO600" s="429"/>
    </row>
    <row r="601" spans="1:41" ht="15.75">
      <c r="A601" s="395"/>
      <c r="B601" s="395"/>
      <c r="C601" s="430"/>
      <c r="D601" s="1751"/>
      <c r="E601" s="429"/>
      <c r="F601" s="428"/>
      <c r="G601" s="428"/>
      <c r="H601" s="429"/>
      <c r="I601" s="428"/>
      <c r="J601" s="429"/>
      <c r="K601" s="428"/>
      <c r="L601" s="1843"/>
      <c r="M601" s="1843"/>
      <c r="N601" s="429"/>
      <c r="O601" s="429"/>
      <c r="P601" s="428"/>
      <c r="Q601" s="428"/>
      <c r="R601" s="428"/>
      <c r="S601" s="428"/>
      <c r="T601" s="428"/>
      <c r="U601" s="1719"/>
      <c r="V601" s="1719"/>
      <c r="W601" s="1860"/>
      <c r="X601" s="1860"/>
      <c r="Y601" s="1860"/>
      <c r="Z601" s="428"/>
      <c r="AA601" s="428"/>
      <c r="AB601" s="428"/>
      <c r="AC601" s="428"/>
      <c r="AD601" s="428"/>
      <c r="AE601" s="428"/>
      <c r="AF601" s="428"/>
      <c r="AG601" s="428"/>
      <c r="AH601" s="428"/>
      <c r="AI601" s="428"/>
      <c r="AJ601" s="428"/>
      <c r="AK601" s="428"/>
      <c r="AL601" s="428"/>
      <c r="AM601" s="429"/>
      <c r="AN601" s="429"/>
      <c r="AO601" s="429"/>
    </row>
    <row r="602" spans="1:41" ht="15.75">
      <c r="A602" s="395"/>
      <c r="B602" s="395"/>
      <c r="C602" s="430"/>
      <c r="D602" s="1751"/>
      <c r="E602" s="429"/>
      <c r="F602" s="428"/>
      <c r="G602" s="428"/>
      <c r="H602" s="429"/>
      <c r="I602" s="428"/>
      <c r="J602" s="429"/>
      <c r="K602" s="428"/>
      <c r="L602" s="1843"/>
      <c r="M602" s="1843"/>
      <c r="N602" s="429"/>
      <c r="O602" s="429"/>
      <c r="P602" s="428"/>
      <c r="Q602" s="428"/>
      <c r="R602" s="428"/>
      <c r="S602" s="428"/>
      <c r="T602" s="428"/>
      <c r="U602" s="1719"/>
      <c r="V602" s="1719"/>
      <c r="W602" s="1860"/>
      <c r="X602" s="1860"/>
      <c r="Y602" s="1860"/>
      <c r="Z602" s="428"/>
      <c r="AA602" s="428"/>
      <c r="AB602" s="428"/>
      <c r="AC602" s="428"/>
      <c r="AD602" s="428"/>
      <c r="AE602" s="428"/>
      <c r="AF602" s="428"/>
      <c r="AG602" s="428"/>
      <c r="AH602" s="428"/>
      <c r="AI602" s="428"/>
      <c r="AJ602" s="428"/>
      <c r="AK602" s="428"/>
      <c r="AL602" s="428"/>
      <c r="AM602" s="429"/>
      <c r="AN602" s="429"/>
      <c r="AO602" s="429"/>
    </row>
    <row r="603" spans="1:41" ht="15.75">
      <c r="A603" s="395"/>
      <c r="B603" s="395"/>
      <c r="C603" s="430"/>
      <c r="D603" s="1751"/>
      <c r="E603" s="429"/>
      <c r="F603" s="428"/>
      <c r="G603" s="428"/>
      <c r="H603" s="429"/>
      <c r="I603" s="428"/>
      <c r="J603" s="429"/>
      <c r="K603" s="428"/>
      <c r="L603" s="1843"/>
      <c r="M603" s="1843"/>
      <c r="N603" s="429"/>
      <c r="O603" s="429"/>
      <c r="P603" s="428"/>
      <c r="Q603" s="428"/>
      <c r="R603" s="428"/>
      <c r="S603" s="428"/>
      <c r="T603" s="428"/>
      <c r="U603" s="1719"/>
      <c r="V603" s="1719"/>
      <c r="W603" s="1860"/>
      <c r="X603" s="1860"/>
      <c r="Y603" s="1860"/>
      <c r="Z603" s="428"/>
      <c r="AA603" s="428"/>
      <c r="AB603" s="428"/>
      <c r="AC603" s="428"/>
      <c r="AD603" s="428"/>
      <c r="AE603" s="428"/>
      <c r="AF603" s="428"/>
      <c r="AG603" s="428"/>
      <c r="AH603" s="428"/>
      <c r="AI603" s="428"/>
      <c r="AJ603" s="428"/>
      <c r="AK603" s="428"/>
      <c r="AL603" s="428"/>
      <c r="AM603" s="429"/>
      <c r="AN603" s="429"/>
      <c r="AO603" s="429"/>
    </row>
    <row r="604" spans="1:41" ht="15.75">
      <c r="A604" s="395"/>
      <c r="B604" s="395"/>
      <c r="C604" s="430"/>
      <c r="D604" s="1751"/>
      <c r="E604" s="429"/>
      <c r="F604" s="428"/>
      <c r="G604" s="428"/>
      <c r="H604" s="429"/>
      <c r="I604" s="428"/>
      <c r="J604" s="429"/>
      <c r="K604" s="428"/>
      <c r="L604" s="1843"/>
      <c r="M604" s="1843"/>
      <c r="N604" s="429"/>
      <c r="O604" s="429"/>
      <c r="P604" s="428"/>
      <c r="Q604" s="428"/>
      <c r="R604" s="428"/>
      <c r="S604" s="428"/>
      <c r="T604" s="428"/>
      <c r="U604" s="1719"/>
      <c r="V604" s="1719"/>
      <c r="W604" s="1860"/>
      <c r="X604" s="1860"/>
      <c r="Y604" s="1860"/>
      <c r="Z604" s="428"/>
      <c r="AA604" s="428"/>
      <c r="AB604" s="428"/>
      <c r="AC604" s="428"/>
      <c r="AD604" s="428"/>
      <c r="AE604" s="428"/>
      <c r="AF604" s="428"/>
      <c r="AG604" s="428"/>
      <c r="AH604" s="428"/>
      <c r="AI604" s="428"/>
      <c r="AJ604" s="428"/>
      <c r="AK604" s="428"/>
      <c r="AL604" s="428"/>
      <c r="AM604" s="429"/>
      <c r="AN604" s="429"/>
      <c r="AO604" s="429"/>
    </row>
    <row r="605" spans="1:41" ht="15.75">
      <c r="A605" s="395"/>
      <c r="B605" s="395"/>
      <c r="C605" s="430"/>
      <c r="D605" s="1751"/>
      <c r="E605" s="429"/>
      <c r="F605" s="428"/>
      <c r="G605" s="428"/>
      <c r="H605" s="429"/>
      <c r="I605" s="428"/>
      <c r="J605" s="429"/>
      <c r="K605" s="428"/>
      <c r="L605" s="1843"/>
      <c r="M605" s="1843"/>
      <c r="N605" s="429"/>
      <c r="O605" s="429"/>
      <c r="P605" s="428"/>
      <c r="Q605" s="428"/>
      <c r="R605" s="428"/>
      <c r="S605" s="428"/>
      <c r="T605" s="428"/>
      <c r="U605" s="1719"/>
      <c r="V605" s="1719"/>
      <c r="W605" s="1860"/>
      <c r="X605" s="1860"/>
      <c r="Y605" s="1860"/>
      <c r="Z605" s="428"/>
      <c r="AA605" s="428"/>
      <c r="AB605" s="428"/>
      <c r="AC605" s="428"/>
      <c r="AD605" s="428"/>
      <c r="AE605" s="428"/>
      <c r="AF605" s="428"/>
      <c r="AG605" s="428"/>
      <c r="AH605" s="428"/>
      <c r="AI605" s="428"/>
      <c r="AJ605" s="428"/>
      <c r="AK605" s="428"/>
      <c r="AL605" s="428"/>
      <c r="AM605" s="429"/>
      <c r="AN605" s="429"/>
      <c r="AO605" s="429"/>
    </row>
    <row r="606" spans="1:41" ht="15.75">
      <c r="A606" s="395"/>
      <c r="B606" s="395"/>
      <c r="C606" s="430"/>
      <c r="D606" s="1751"/>
      <c r="E606" s="429"/>
      <c r="F606" s="428"/>
      <c r="G606" s="428"/>
      <c r="H606" s="429"/>
      <c r="I606" s="428"/>
      <c r="J606" s="429"/>
      <c r="K606" s="428"/>
      <c r="L606" s="1843"/>
      <c r="M606" s="1843"/>
      <c r="N606" s="429"/>
      <c r="O606" s="429"/>
      <c r="P606" s="428"/>
      <c r="Q606" s="428"/>
      <c r="R606" s="428"/>
      <c r="S606" s="428"/>
      <c r="T606" s="428"/>
      <c r="U606" s="1719"/>
      <c r="V606" s="1719"/>
      <c r="W606" s="1860"/>
      <c r="X606" s="1860"/>
      <c r="Y606" s="1860"/>
      <c r="Z606" s="428"/>
      <c r="AA606" s="428"/>
      <c r="AB606" s="428"/>
      <c r="AC606" s="428"/>
      <c r="AD606" s="428"/>
      <c r="AE606" s="428"/>
      <c r="AF606" s="428"/>
      <c r="AG606" s="428"/>
      <c r="AH606" s="428"/>
      <c r="AI606" s="428"/>
      <c r="AJ606" s="428"/>
      <c r="AK606" s="428"/>
      <c r="AL606" s="428"/>
      <c r="AM606" s="429"/>
      <c r="AN606" s="429"/>
      <c r="AO606" s="429"/>
    </row>
    <row r="607" spans="1:41" ht="15.75">
      <c r="A607" s="395"/>
      <c r="B607" s="395"/>
      <c r="C607" s="430"/>
      <c r="D607" s="1751"/>
      <c r="E607" s="429"/>
      <c r="F607" s="428"/>
      <c r="G607" s="428"/>
      <c r="H607" s="429"/>
      <c r="I607" s="428"/>
      <c r="J607" s="429"/>
      <c r="K607" s="428"/>
      <c r="L607" s="1843"/>
      <c r="M607" s="1843"/>
      <c r="N607" s="429"/>
      <c r="O607" s="429"/>
      <c r="P607" s="428"/>
      <c r="Q607" s="428"/>
      <c r="R607" s="428"/>
      <c r="S607" s="428"/>
      <c r="T607" s="428"/>
      <c r="U607" s="1719"/>
      <c r="V607" s="1719"/>
      <c r="W607" s="1860"/>
      <c r="X607" s="1860"/>
      <c r="Y607" s="1860"/>
      <c r="Z607" s="428"/>
      <c r="AA607" s="428"/>
      <c r="AB607" s="428"/>
      <c r="AC607" s="428"/>
      <c r="AD607" s="428"/>
      <c r="AE607" s="428"/>
      <c r="AF607" s="428"/>
      <c r="AG607" s="428"/>
      <c r="AH607" s="428"/>
      <c r="AI607" s="428"/>
      <c r="AJ607" s="428"/>
      <c r="AK607" s="428"/>
      <c r="AL607" s="428"/>
      <c r="AM607" s="429"/>
      <c r="AN607" s="429"/>
      <c r="AO607" s="429"/>
    </row>
    <row r="608" spans="1:41" ht="15.75">
      <c r="A608" s="395"/>
      <c r="B608" s="395"/>
      <c r="C608" s="430"/>
      <c r="D608" s="1751"/>
      <c r="E608" s="429"/>
      <c r="F608" s="428"/>
      <c r="G608" s="428"/>
      <c r="H608" s="429"/>
      <c r="I608" s="428"/>
      <c r="J608" s="429"/>
      <c r="K608" s="428"/>
      <c r="L608" s="1843"/>
      <c r="M608" s="1843"/>
      <c r="N608" s="429"/>
      <c r="O608" s="429"/>
      <c r="P608" s="428"/>
      <c r="Q608" s="428"/>
      <c r="R608" s="428"/>
      <c r="S608" s="428"/>
      <c r="T608" s="428"/>
      <c r="U608" s="1719"/>
      <c r="V608" s="1719"/>
      <c r="W608" s="1860"/>
      <c r="X608" s="1860"/>
      <c r="Y608" s="1860"/>
      <c r="Z608" s="428"/>
      <c r="AA608" s="428"/>
      <c r="AB608" s="428"/>
      <c r="AC608" s="428"/>
      <c r="AD608" s="428"/>
      <c r="AE608" s="428"/>
      <c r="AF608" s="428"/>
      <c r="AG608" s="428"/>
      <c r="AH608" s="428"/>
      <c r="AI608" s="428"/>
      <c r="AJ608" s="428"/>
      <c r="AK608" s="428"/>
      <c r="AL608" s="428"/>
      <c r="AM608" s="429"/>
      <c r="AN608" s="429"/>
      <c r="AO608" s="429"/>
    </row>
    <row r="609" spans="1:41" ht="15.75">
      <c r="A609" s="395"/>
      <c r="B609" s="395"/>
      <c r="C609" s="430"/>
      <c r="D609" s="1751"/>
      <c r="E609" s="429"/>
      <c r="F609" s="428"/>
      <c r="G609" s="428"/>
      <c r="H609" s="429"/>
      <c r="I609" s="428"/>
      <c r="J609" s="429"/>
      <c r="K609" s="428"/>
      <c r="L609" s="1843"/>
      <c r="M609" s="1843"/>
      <c r="N609" s="429"/>
      <c r="O609" s="429"/>
      <c r="P609" s="428"/>
      <c r="Q609" s="428"/>
      <c r="R609" s="428"/>
      <c r="S609" s="428"/>
      <c r="T609" s="428"/>
      <c r="U609" s="1719"/>
      <c r="V609" s="1719"/>
      <c r="W609" s="1860"/>
      <c r="X609" s="1860"/>
      <c r="Y609" s="1860"/>
      <c r="Z609" s="428"/>
      <c r="AA609" s="428"/>
      <c r="AB609" s="428"/>
      <c r="AC609" s="428"/>
      <c r="AD609" s="428"/>
      <c r="AE609" s="428"/>
      <c r="AF609" s="428"/>
      <c r="AG609" s="428"/>
      <c r="AH609" s="428"/>
      <c r="AI609" s="428"/>
      <c r="AJ609" s="428"/>
      <c r="AK609" s="428"/>
      <c r="AL609" s="428"/>
      <c r="AM609" s="429"/>
      <c r="AN609" s="429"/>
      <c r="AO609" s="429"/>
    </row>
    <row r="610" spans="1:41" ht="15.75">
      <c r="A610" s="395"/>
      <c r="B610" s="395"/>
      <c r="C610" s="430"/>
      <c r="D610" s="1751"/>
      <c r="E610" s="429"/>
      <c r="F610" s="428"/>
      <c r="G610" s="428"/>
      <c r="H610" s="429"/>
      <c r="I610" s="428"/>
      <c r="J610" s="429"/>
      <c r="K610" s="428"/>
      <c r="L610" s="1843"/>
      <c r="M610" s="1843"/>
      <c r="N610" s="429"/>
      <c r="O610" s="429"/>
      <c r="P610" s="428"/>
      <c r="Q610" s="428"/>
      <c r="R610" s="428"/>
      <c r="S610" s="428"/>
      <c r="T610" s="428"/>
      <c r="U610" s="1719"/>
      <c r="V610" s="1719"/>
      <c r="W610" s="1860"/>
      <c r="X610" s="1860"/>
      <c r="Y610" s="1860"/>
      <c r="Z610" s="428"/>
      <c r="AA610" s="428"/>
      <c r="AB610" s="428"/>
      <c r="AC610" s="428"/>
      <c r="AD610" s="428"/>
      <c r="AE610" s="428"/>
      <c r="AF610" s="428"/>
      <c r="AG610" s="428"/>
      <c r="AH610" s="428"/>
      <c r="AI610" s="428"/>
      <c r="AJ610" s="428"/>
      <c r="AK610" s="428"/>
      <c r="AL610" s="428"/>
      <c r="AM610" s="429"/>
      <c r="AN610" s="429"/>
      <c r="AO610" s="429"/>
    </row>
    <row r="611" spans="1:41" ht="15.75">
      <c r="A611" s="395"/>
      <c r="B611" s="395"/>
      <c r="C611" s="430"/>
      <c r="D611" s="1751"/>
      <c r="E611" s="429"/>
      <c r="F611" s="428"/>
      <c r="G611" s="428"/>
      <c r="H611" s="429"/>
      <c r="I611" s="428"/>
      <c r="J611" s="429"/>
      <c r="K611" s="428"/>
      <c r="L611" s="1843"/>
      <c r="M611" s="1843"/>
      <c r="N611" s="429"/>
      <c r="O611" s="429"/>
      <c r="P611" s="428"/>
      <c r="Q611" s="428"/>
      <c r="R611" s="428"/>
      <c r="S611" s="428"/>
      <c r="T611" s="428"/>
      <c r="U611" s="1719"/>
      <c r="V611" s="1719"/>
      <c r="W611" s="1860"/>
      <c r="X611" s="1860"/>
      <c r="Y611" s="1860"/>
      <c r="Z611" s="428"/>
      <c r="AA611" s="428"/>
      <c r="AB611" s="428"/>
      <c r="AC611" s="428"/>
      <c r="AD611" s="428"/>
      <c r="AE611" s="428"/>
      <c r="AF611" s="428"/>
      <c r="AG611" s="428"/>
      <c r="AH611" s="428"/>
      <c r="AI611" s="428"/>
      <c r="AJ611" s="428"/>
      <c r="AK611" s="428"/>
      <c r="AL611" s="428"/>
      <c r="AM611" s="429"/>
      <c r="AN611" s="429"/>
      <c r="AO611" s="429"/>
    </row>
    <row r="612" spans="1:41" ht="15.75">
      <c r="A612" s="395"/>
      <c r="B612" s="395"/>
      <c r="C612" s="430"/>
      <c r="D612" s="1751"/>
      <c r="E612" s="429"/>
      <c r="F612" s="428"/>
      <c r="G612" s="428"/>
      <c r="H612" s="429"/>
      <c r="I612" s="428"/>
      <c r="J612" s="429"/>
      <c r="K612" s="428"/>
      <c r="L612" s="1843"/>
      <c r="M612" s="1843"/>
      <c r="N612" s="429"/>
      <c r="O612" s="429"/>
      <c r="P612" s="428"/>
      <c r="Q612" s="428"/>
      <c r="R612" s="428"/>
      <c r="S612" s="428"/>
      <c r="T612" s="428"/>
      <c r="U612" s="1719"/>
      <c r="V612" s="1719"/>
      <c r="W612" s="1860"/>
      <c r="X612" s="1860"/>
      <c r="Y612" s="1860"/>
      <c r="Z612" s="428"/>
      <c r="AA612" s="428"/>
      <c r="AB612" s="428"/>
      <c r="AC612" s="428"/>
      <c r="AD612" s="428"/>
      <c r="AE612" s="428"/>
      <c r="AF612" s="428"/>
      <c r="AG612" s="428"/>
      <c r="AH612" s="428"/>
      <c r="AI612" s="428"/>
      <c r="AJ612" s="428"/>
      <c r="AK612" s="428"/>
      <c r="AL612" s="428"/>
      <c r="AM612" s="429"/>
      <c r="AN612" s="429"/>
      <c r="AO612" s="429"/>
    </row>
    <row r="613" spans="1:41" ht="15.75">
      <c r="A613" s="395"/>
      <c r="B613" s="395"/>
      <c r="C613" s="430"/>
      <c r="D613" s="1751"/>
      <c r="E613" s="429"/>
      <c r="F613" s="428"/>
      <c r="G613" s="428"/>
      <c r="H613" s="429"/>
      <c r="I613" s="428"/>
      <c r="J613" s="429"/>
      <c r="K613" s="428"/>
      <c r="L613" s="1843"/>
      <c r="M613" s="1843"/>
      <c r="N613" s="429"/>
      <c r="O613" s="429"/>
      <c r="P613" s="428"/>
      <c r="Q613" s="428"/>
      <c r="R613" s="428"/>
      <c r="S613" s="428"/>
      <c r="T613" s="428"/>
      <c r="U613" s="1719"/>
      <c r="V613" s="1719"/>
      <c r="W613" s="1860"/>
      <c r="X613" s="1860"/>
      <c r="Y613" s="1860"/>
      <c r="Z613" s="428"/>
      <c r="AA613" s="428"/>
      <c r="AB613" s="428"/>
      <c r="AC613" s="428"/>
      <c r="AD613" s="428"/>
      <c r="AE613" s="428"/>
      <c r="AF613" s="428"/>
      <c r="AG613" s="428"/>
      <c r="AH613" s="428"/>
      <c r="AI613" s="428"/>
      <c r="AJ613" s="428"/>
      <c r="AK613" s="428"/>
      <c r="AL613" s="428"/>
      <c r="AM613" s="429"/>
      <c r="AN613" s="429"/>
      <c r="AO613" s="429"/>
    </row>
    <row r="614" spans="1:41" ht="15.75">
      <c r="A614" s="395"/>
      <c r="B614" s="395"/>
      <c r="C614" s="430"/>
      <c r="D614" s="1751"/>
      <c r="E614" s="429"/>
      <c r="F614" s="428"/>
      <c r="G614" s="428"/>
      <c r="H614" s="429"/>
      <c r="I614" s="428"/>
      <c r="J614" s="429"/>
      <c r="K614" s="428"/>
      <c r="L614" s="1843"/>
      <c r="M614" s="1843"/>
      <c r="N614" s="429"/>
      <c r="O614" s="429"/>
      <c r="P614" s="428"/>
      <c r="Q614" s="428"/>
      <c r="R614" s="428"/>
      <c r="S614" s="428"/>
      <c r="T614" s="428"/>
      <c r="U614" s="1719"/>
      <c r="V614" s="1719"/>
      <c r="W614" s="1860"/>
      <c r="X614" s="1860"/>
      <c r="Y614" s="1860"/>
      <c r="Z614" s="428"/>
      <c r="AA614" s="428"/>
      <c r="AB614" s="428"/>
      <c r="AC614" s="428"/>
      <c r="AD614" s="428"/>
      <c r="AE614" s="428"/>
      <c r="AF614" s="428"/>
      <c r="AG614" s="428"/>
      <c r="AH614" s="428"/>
      <c r="AI614" s="428"/>
      <c r="AJ614" s="428"/>
      <c r="AK614" s="428"/>
      <c r="AL614" s="428"/>
      <c r="AM614" s="429"/>
      <c r="AN614" s="429"/>
      <c r="AO614" s="429"/>
    </row>
    <row r="615" spans="1:41" ht="15.75">
      <c r="A615" s="395"/>
      <c r="B615" s="395"/>
      <c r="C615" s="430"/>
      <c r="D615" s="1751"/>
      <c r="E615" s="429"/>
      <c r="F615" s="428"/>
      <c r="G615" s="428"/>
      <c r="H615" s="429"/>
      <c r="I615" s="428"/>
      <c r="J615" s="429"/>
      <c r="K615" s="428"/>
      <c r="L615" s="1843"/>
      <c r="M615" s="1843"/>
      <c r="N615" s="429"/>
      <c r="O615" s="429"/>
      <c r="P615" s="428"/>
      <c r="Q615" s="428"/>
      <c r="R615" s="428"/>
      <c r="S615" s="428"/>
      <c r="T615" s="428"/>
      <c r="U615" s="1719"/>
      <c r="V615" s="1719"/>
      <c r="W615" s="1860"/>
      <c r="X615" s="1860"/>
      <c r="Y615" s="1860"/>
      <c r="Z615" s="428"/>
      <c r="AA615" s="428"/>
      <c r="AB615" s="428"/>
      <c r="AC615" s="428"/>
      <c r="AD615" s="428"/>
      <c r="AE615" s="428"/>
      <c r="AF615" s="428"/>
      <c r="AG615" s="428"/>
      <c r="AH615" s="428"/>
      <c r="AI615" s="428"/>
      <c r="AJ615" s="428"/>
      <c r="AK615" s="428"/>
      <c r="AL615" s="428"/>
      <c r="AM615" s="429"/>
      <c r="AN615" s="429"/>
      <c r="AO615" s="429"/>
    </row>
    <row r="616" spans="1:41" ht="15.75">
      <c r="A616" s="395"/>
      <c r="B616" s="395"/>
      <c r="C616" s="430"/>
      <c r="D616" s="1751"/>
      <c r="E616" s="429"/>
      <c r="F616" s="428"/>
      <c r="G616" s="428"/>
      <c r="H616" s="429"/>
      <c r="I616" s="428"/>
      <c r="J616" s="429"/>
      <c r="K616" s="428"/>
      <c r="L616" s="1887"/>
      <c r="M616" s="1843"/>
      <c r="N616" s="429"/>
      <c r="O616" s="429"/>
      <c r="P616" s="428"/>
      <c r="Q616" s="428"/>
      <c r="R616" s="428"/>
      <c r="S616" s="428"/>
      <c r="T616" s="428"/>
      <c r="U616" s="1719"/>
      <c r="V616" s="1719"/>
      <c r="W616" s="1860"/>
      <c r="X616" s="1860"/>
      <c r="Y616" s="1860"/>
      <c r="Z616" s="428"/>
      <c r="AA616" s="428"/>
      <c r="AB616" s="428"/>
      <c r="AC616" s="428"/>
      <c r="AD616" s="428"/>
      <c r="AE616" s="428"/>
      <c r="AF616" s="428"/>
      <c r="AG616" s="428"/>
      <c r="AH616" s="428"/>
      <c r="AI616" s="428"/>
      <c r="AJ616" s="428"/>
      <c r="AK616" s="428"/>
      <c r="AL616" s="428"/>
      <c r="AM616" s="429"/>
      <c r="AN616" s="429"/>
      <c r="AO616" s="429"/>
    </row>
    <row r="617" spans="1:41" ht="15.75">
      <c r="A617" s="395"/>
      <c r="B617" s="395"/>
      <c r="C617" s="430"/>
      <c r="D617" s="1751"/>
      <c r="E617" s="429"/>
      <c r="F617" s="428"/>
      <c r="G617" s="428"/>
      <c r="H617" s="429"/>
      <c r="I617" s="428"/>
      <c r="J617" s="429"/>
      <c r="K617" s="428"/>
      <c r="L617" s="1843"/>
      <c r="M617" s="1843"/>
      <c r="N617" s="429"/>
      <c r="O617" s="429"/>
      <c r="P617" s="428"/>
      <c r="Q617" s="428"/>
      <c r="R617" s="428"/>
      <c r="S617" s="428"/>
      <c r="T617" s="428"/>
      <c r="U617" s="1719"/>
      <c r="V617" s="1719"/>
      <c r="W617" s="1860"/>
      <c r="X617" s="1860"/>
      <c r="Y617" s="1860"/>
      <c r="Z617" s="428"/>
      <c r="AA617" s="428"/>
      <c r="AB617" s="428"/>
      <c r="AC617" s="428"/>
      <c r="AD617" s="428"/>
      <c r="AE617" s="428"/>
      <c r="AF617" s="428"/>
      <c r="AG617" s="428"/>
      <c r="AH617" s="428"/>
      <c r="AI617" s="428"/>
      <c r="AJ617" s="428"/>
      <c r="AK617" s="428"/>
      <c r="AL617" s="428"/>
      <c r="AM617" s="429"/>
      <c r="AN617" s="429"/>
      <c r="AO617" s="429"/>
    </row>
    <row r="618" spans="1:41" ht="15.75">
      <c r="A618" s="395"/>
      <c r="B618" s="395"/>
      <c r="C618" s="430"/>
      <c r="D618" s="1751"/>
      <c r="E618" s="429"/>
      <c r="F618" s="428"/>
      <c r="G618" s="428"/>
      <c r="H618" s="429"/>
      <c r="I618" s="428"/>
      <c r="J618" s="429"/>
      <c r="K618" s="428"/>
      <c r="L618" s="1843"/>
      <c r="M618" s="1843"/>
      <c r="N618" s="429"/>
      <c r="O618" s="429"/>
      <c r="P618" s="428"/>
      <c r="Q618" s="428"/>
      <c r="R618" s="428"/>
      <c r="S618" s="428"/>
      <c r="T618" s="428"/>
      <c r="U618" s="1719"/>
      <c r="V618" s="1719"/>
      <c r="W618" s="1860"/>
      <c r="X618" s="1860"/>
      <c r="Y618" s="1860"/>
      <c r="Z618" s="428"/>
      <c r="AA618" s="428"/>
      <c r="AB618" s="428"/>
      <c r="AC618" s="428"/>
      <c r="AD618" s="428"/>
      <c r="AE618" s="428"/>
      <c r="AF618" s="428"/>
      <c r="AG618" s="428"/>
      <c r="AH618" s="428"/>
      <c r="AI618" s="428"/>
      <c r="AJ618" s="428"/>
      <c r="AK618" s="428"/>
      <c r="AL618" s="428"/>
      <c r="AM618" s="429"/>
      <c r="AN618" s="429"/>
      <c r="AO618" s="429"/>
    </row>
    <row r="619" spans="1:41" ht="15.75">
      <c r="A619" s="395"/>
      <c r="B619" s="395"/>
      <c r="C619" s="430"/>
      <c r="D619" s="1751"/>
      <c r="E619" s="429"/>
      <c r="F619" s="428"/>
      <c r="G619" s="428"/>
      <c r="H619" s="429"/>
      <c r="I619" s="428"/>
      <c r="J619" s="429"/>
      <c r="K619" s="428"/>
      <c r="L619" s="1843"/>
      <c r="M619" s="1843"/>
      <c r="N619" s="429"/>
      <c r="O619" s="429"/>
      <c r="P619" s="428"/>
      <c r="Q619" s="428"/>
      <c r="R619" s="428"/>
      <c r="S619" s="428"/>
      <c r="T619" s="428"/>
      <c r="U619" s="1719"/>
      <c r="V619" s="1719"/>
      <c r="W619" s="1860"/>
      <c r="X619" s="1860"/>
      <c r="Y619" s="1860"/>
      <c r="Z619" s="428"/>
      <c r="AA619" s="428"/>
      <c r="AB619" s="428"/>
      <c r="AC619" s="428"/>
      <c r="AD619" s="428"/>
      <c r="AE619" s="428"/>
      <c r="AF619" s="428"/>
      <c r="AG619" s="428"/>
      <c r="AH619" s="428"/>
      <c r="AI619" s="428"/>
      <c r="AJ619" s="428"/>
      <c r="AK619" s="428"/>
      <c r="AL619" s="428"/>
      <c r="AM619" s="429"/>
      <c r="AN619" s="429"/>
      <c r="AO619" s="429"/>
    </row>
    <row r="620" spans="1:41" ht="15.75">
      <c r="A620" s="395"/>
      <c r="B620" s="395"/>
      <c r="C620" s="430"/>
      <c r="D620" s="1751"/>
      <c r="E620" s="429"/>
      <c r="F620" s="428"/>
      <c r="G620" s="428"/>
      <c r="H620" s="429"/>
      <c r="I620" s="428"/>
      <c r="J620" s="429"/>
      <c r="K620" s="428"/>
      <c r="L620" s="1887"/>
      <c r="M620" s="1843"/>
      <c r="N620" s="429"/>
      <c r="O620" s="429"/>
      <c r="P620" s="428"/>
      <c r="Q620" s="428"/>
      <c r="R620" s="428"/>
      <c r="S620" s="428"/>
      <c r="T620" s="428"/>
      <c r="U620" s="1719"/>
      <c r="V620" s="1719"/>
      <c r="W620" s="1860"/>
      <c r="X620" s="1860"/>
      <c r="Y620" s="1860"/>
      <c r="Z620" s="428"/>
      <c r="AA620" s="428"/>
      <c r="AB620" s="428"/>
      <c r="AC620" s="428"/>
      <c r="AD620" s="428"/>
      <c r="AE620" s="428"/>
      <c r="AF620" s="428"/>
      <c r="AG620" s="428"/>
      <c r="AH620" s="428"/>
      <c r="AI620" s="428"/>
      <c r="AJ620" s="428"/>
      <c r="AK620" s="428"/>
      <c r="AL620" s="428"/>
      <c r="AM620" s="429"/>
      <c r="AN620" s="429"/>
      <c r="AO620" s="429"/>
    </row>
    <row r="621" spans="1:41" ht="15.75">
      <c r="A621" s="395"/>
      <c r="B621" s="395"/>
      <c r="C621" s="430"/>
      <c r="D621" s="1751"/>
      <c r="E621" s="429"/>
      <c r="F621" s="428"/>
      <c r="G621" s="428"/>
      <c r="H621" s="429"/>
      <c r="I621" s="428"/>
      <c r="J621" s="429"/>
      <c r="K621" s="428"/>
      <c r="L621" s="1843"/>
      <c r="M621" s="1843"/>
      <c r="N621" s="429"/>
      <c r="O621" s="429"/>
      <c r="P621" s="428"/>
      <c r="Q621" s="428"/>
      <c r="R621" s="428"/>
      <c r="S621" s="428"/>
      <c r="T621" s="428"/>
      <c r="U621" s="1719"/>
      <c r="V621" s="1719"/>
      <c r="W621" s="1860"/>
      <c r="X621" s="1860"/>
      <c r="Y621" s="1860"/>
      <c r="Z621" s="428"/>
      <c r="AA621" s="428"/>
      <c r="AB621" s="428"/>
      <c r="AC621" s="428"/>
      <c r="AD621" s="428"/>
      <c r="AE621" s="428"/>
      <c r="AF621" s="428"/>
      <c r="AG621" s="428"/>
      <c r="AH621" s="428"/>
      <c r="AI621" s="428"/>
      <c r="AJ621" s="428"/>
      <c r="AK621" s="428"/>
      <c r="AL621" s="428"/>
      <c r="AM621" s="429"/>
      <c r="AN621" s="429"/>
      <c r="AO621" s="429"/>
    </row>
    <row r="622" spans="1:41" ht="15.75">
      <c r="A622" s="395"/>
      <c r="B622" s="395"/>
      <c r="C622" s="430"/>
      <c r="D622" s="1751"/>
      <c r="E622" s="429"/>
      <c r="F622" s="428"/>
      <c r="G622" s="428"/>
      <c r="H622" s="429"/>
      <c r="I622" s="428"/>
      <c r="J622" s="429"/>
      <c r="K622" s="428"/>
      <c r="L622" s="1843"/>
      <c r="M622" s="1843"/>
      <c r="N622" s="429"/>
      <c r="O622" s="429"/>
      <c r="P622" s="428"/>
      <c r="Q622" s="428"/>
      <c r="R622" s="428"/>
      <c r="S622" s="428"/>
      <c r="T622" s="428"/>
      <c r="U622" s="1719"/>
      <c r="V622" s="1719"/>
      <c r="W622" s="1860"/>
      <c r="X622" s="1860"/>
      <c r="Y622" s="1860"/>
      <c r="Z622" s="428"/>
      <c r="AA622" s="428"/>
      <c r="AB622" s="428"/>
      <c r="AC622" s="428"/>
      <c r="AD622" s="428"/>
      <c r="AE622" s="428"/>
      <c r="AF622" s="428"/>
      <c r="AG622" s="428"/>
      <c r="AH622" s="428"/>
      <c r="AI622" s="428"/>
      <c r="AJ622" s="428"/>
      <c r="AK622" s="428"/>
      <c r="AL622" s="428"/>
      <c r="AM622" s="429"/>
      <c r="AN622" s="429"/>
      <c r="AO622" s="429"/>
    </row>
    <row r="623" spans="1:41" ht="15.75">
      <c r="A623" s="395"/>
      <c r="B623" s="395"/>
      <c r="C623" s="430"/>
      <c r="D623" s="1751"/>
      <c r="E623" s="429"/>
      <c r="F623" s="428"/>
      <c r="G623" s="428"/>
      <c r="H623" s="429"/>
      <c r="I623" s="428"/>
      <c r="J623" s="429"/>
      <c r="K623" s="428"/>
      <c r="L623" s="1843"/>
      <c r="M623" s="1843"/>
      <c r="N623" s="429"/>
      <c r="O623" s="429"/>
      <c r="P623" s="428"/>
      <c r="Q623" s="428"/>
      <c r="R623" s="428"/>
      <c r="S623" s="428"/>
      <c r="T623" s="428"/>
      <c r="U623" s="1719"/>
      <c r="V623" s="1719"/>
      <c r="W623" s="1860"/>
      <c r="X623" s="1860"/>
      <c r="Y623" s="1860"/>
      <c r="Z623" s="428"/>
      <c r="AA623" s="428"/>
      <c r="AB623" s="428"/>
      <c r="AC623" s="428"/>
      <c r="AD623" s="428"/>
      <c r="AE623" s="428"/>
      <c r="AF623" s="428"/>
      <c r="AG623" s="428"/>
      <c r="AH623" s="428"/>
      <c r="AI623" s="428"/>
      <c r="AJ623" s="428"/>
      <c r="AK623" s="428"/>
      <c r="AL623" s="428"/>
      <c r="AM623" s="429"/>
      <c r="AN623" s="429"/>
      <c r="AO623" s="429"/>
    </row>
    <row r="624" spans="1:41" ht="15.75">
      <c r="A624" s="395"/>
      <c r="B624" s="395"/>
      <c r="C624" s="430"/>
      <c r="D624" s="1751"/>
      <c r="E624" s="429"/>
      <c r="F624" s="428"/>
      <c r="G624" s="428"/>
      <c r="H624" s="429"/>
      <c r="I624" s="428"/>
      <c r="J624" s="429"/>
      <c r="K624" s="428"/>
      <c r="L624" s="1843"/>
      <c r="M624" s="1843"/>
      <c r="N624" s="429"/>
      <c r="O624" s="429"/>
      <c r="P624" s="428"/>
      <c r="Q624" s="428"/>
      <c r="R624" s="428"/>
      <c r="S624" s="428"/>
      <c r="T624" s="428"/>
      <c r="U624" s="1719"/>
      <c r="V624" s="1719"/>
      <c r="W624" s="1860"/>
      <c r="X624" s="1860"/>
      <c r="Y624" s="1860"/>
      <c r="Z624" s="428"/>
      <c r="AA624" s="428"/>
      <c r="AB624" s="428"/>
      <c r="AC624" s="428"/>
      <c r="AD624" s="428"/>
      <c r="AE624" s="428"/>
      <c r="AF624" s="428"/>
      <c r="AG624" s="428"/>
      <c r="AH624" s="428"/>
      <c r="AI624" s="428"/>
      <c r="AJ624" s="428"/>
      <c r="AK624" s="428"/>
      <c r="AL624" s="428"/>
      <c r="AM624" s="429"/>
      <c r="AN624" s="429"/>
      <c r="AO624" s="429"/>
    </row>
    <row r="625" spans="1:41" ht="15.75">
      <c r="A625" s="395"/>
      <c r="B625" s="395"/>
      <c r="C625" s="430"/>
      <c r="D625" s="1751"/>
      <c r="E625" s="429"/>
      <c r="F625" s="428"/>
      <c r="G625" s="428"/>
      <c r="H625" s="429"/>
      <c r="I625" s="428"/>
      <c r="J625" s="429"/>
      <c r="K625" s="428"/>
      <c r="L625" s="1843"/>
      <c r="M625" s="1843"/>
      <c r="N625" s="429"/>
      <c r="O625" s="429"/>
      <c r="P625" s="428"/>
      <c r="Q625" s="428"/>
      <c r="R625" s="428"/>
      <c r="S625" s="428"/>
      <c r="T625" s="428"/>
      <c r="U625" s="1719"/>
      <c r="V625" s="1719"/>
      <c r="W625" s="1860"/>
      <c r="X625" s="1860"/>
      <c r="Y625" s="1860"/>
      <c r="Z625" s="428"/>
      <c r="AA625" s="428"/>
      <c r="AB625" s="428"/>
      <c r="AC625" s="428"/>
      <c r="AD625" s="428"/>
      <c r="AE625" s="428"/>
      <c r="AF625" s="428"/>
      <c r="AG625" s="428"/>
      <c r="AH625" s="428"/>
      <c r="AI625" s="428"/>
      <c r="AJ625" s="428"/>
      <c r="AK625" s="428"/>
      <c r="AL625" s="428"/>
      <c r="AM625" s="429"/>
      <c r="AN625" s="429"/>
      <c r="AO625" s="429"/>
    </row>
    <row r="626" spans="1:41" ht="15.75">
      <c r="A626" s="395"/>
      <c r="B626" s="395"/>
      <c r="C626" s="430"/>
      <c r="D626" s="1751"/>
      <c r="E626" s="429"/>
      <c r="F626" s="428"/>
      <c r="G626" s="428"/>
      <c r="H626" s="429"/>
      <c r="I626" s="428"/>
      <c r="J626" s="429"/>
      <c r="K626" s="428"/>
      <c r="L626" s="1843"/>
      <c r="M626" s="1843"/>
      <c r="N626" s="429"/>
      <c r="O626" s="429"/>
      <c r="P626" s="428"/>
      <c r="Q626" s="428"/>
      <c r="R626" s="428"/>
      <c r="S626" s="428"/>
      <c r="T626" s="428"/>
      <c r="U626" s="1719"/>
      <c r="V626" s="1719"/>
      <c r="W626" s="1860"/>
      <c r="X626" s="1860"/>
      <c r="Y626" s="1860"/>
      <c r="Z626" s="428"/>
      <c r="AA626" s="428"/>
      <c r="AB626" s="428"/>
      <c r="AC626" s="428"/>
      <c r="AD626" s="428"/>
      <c r="AE626" s="428"/>
      <c r="AF626" s="428"/>
      <c r="AG626" s="428"/>
      <c r="AH626" s="428"/>
      <c r="AI626" s="428"/>
      <c r="AJ626" s="428"/>
      <c r="AK626" s="428"/>
      <c r="AL626" s="428"/>
      <c r="AM626" s="429"/>
      <c r="AN626" s="429"/>
      <c r="AO626" s="429"/>
    </row>
    <row r="627" spans="1:41" ht="15.75">
      <c r="A627" s="395"/>
      <c r="B627" s="395"/>
      <c r="C627" s="430"/>
      <c r="D627" s="1751"/>
      <c r="E627" s="429"/>
      <c r="F627" s="428"/>
      <c r="G627" s="428"/>
      <c r="H627" s="429"/>
      <c r="I627" s="428"/>
      <c r="J627" s="429"/>
      <c r="K627" s="428"/>
      <c r="L627" s="1843"/>
      <c r="M627" s="1843"/>
      <c r="N627" s="429"/>
      <c r="O627" s="429"/>
      <c r="P627" s="428"/>
      <c r="Q627" s="428"/>
      <c r="R627" s="428"/>
      <c r="S627" s="428"/>
      <c r="T627" s="428"/>
      <c r="U627" s="1719"/>
      <c r="V627" s="1719"/>
      <c r="W627" s="1860"/>
      <c r="X627" s="1860"/>
      <c r="Y627" s="1860"/>
      <c r="Z627" s="428"/>
      <c r="AA627" s="428"/>
      <c r="AB627" s="428"/>
      <c r="AC627" s="428"/>
      <c r="AD627" s="428"/>
      <c r="AE627" s="428"/>
      <c r="AF627" s="428"/>
      <c r="AG627" s="428"/>
      <c r="AH627" s="428"/>
      <c r="AI627" s="428"/>
      <c r="AJ627" s="428"/>
      <c r="AK627" s="428"/>
      <c r="AL627" s="428"/>
      <c r="AM627" s="429"/>
      <c r="AN627" s="429"/>
      <c r="AO627" s="429"/>
    </row>
    <row r="628" spans="1:41" ht="15.75">
      <c r="A628" s="395"/>
      <c r="B628" s="395"/>
      <c r="C628" s="430"/>
      <c r="D628" s="1751"/>
      <c r="E628" s="429"/>
      <c r="F628" s="428"/>
      <c r="G628" s="428"/>
      <c r="H628" s="429"/>
      <c r="I628" s="428"/>
      <c r="J628" s="429"/>
      <c r="K628" s="428"/>
      <c r="L628" s="1843"/>
      <c r="M628" s="1843"/>
      <c r="N628" s="429"/>
      <c r="O628" s="429"/>
      <c r="P628" s="428"/>
      <c r="Q628" s="428"/>
      <c r="R628" s="428"/>
      <c r="S628" s="428"/>
      <c r="T628" s="428"/>
      <c r="U628" s="1719"/>
      <c r="V628" s="1719"/>
      <c r="W628" s="1860"/>
      <c r="X628" s="1860"/>
      <c r="Y628" s="1860"/>
      <c r="Z628" s="428"/>
      <c r="AA628" s="428"/>
      <c r="AB628" s="428"/>
      <c r="AC628" s="428"/>
      <c r="AD628" s="428"/>
      <c r="AE628" s="428"/>
      <c r="AF628" s="428"/>
      <c r="AG628" s="428"/>
      <c r="AH628" s="428"/>
      <c r="AI628" s="428"/>
      <c r="AJ628" s="428"/>
      <c r="AK628" s="428"/>
      <c r="AL628" s="428"/>
      <c r="AM628" s="429"/>
      <c r="AN628" s="429"/>
      <c r="AO628" s="429"/>
    </row>
    <row r="629" spans="1:41" ht="15.75">
      <c r="A629" s="395"/>
      <c r="B629" s="395"/>
      <c r="C629" s="430"/>
      <c r="D629" s="1751"/>
      <c r="E629" s="429"/>
      <c r="F629" s="428"/>
      <c r="G629" s="428"/>
      <c r="H629" s="429"/>
      <c r="I629" s="428"/>
      <c r="J629" s="429"/>
      <c r="K629" s="428"/>
      <c r="L629" s="1843"/>
      <c r="M629" s="1843"/>
      <c r="N629" s="429"/>
      <c r="O629" s="429"/>
      <c r="P629" s="428"/>
      <c r="Q629" s="428"/>
      <c r="R629" s="428"/>
      <c r="S629" s="428"/>
      <c r="T629" s="428"/>
      <c r="U629" s="1719"/>
      <c r="V629" s="1719"/>
      <c r="W629" s="1860"/>
      <c r="X629" s="1860"/>
      <c r="Y629" s="1860"/>
      <c r="Z629" s="428"/>
      <c r="AA629" s="428"/>
      <c r="AB629" s="428"/>
      <c r="AC629" s="428"/>
      <c r="AD629" s="428"/>
      <c r="AE629" s="428"/>
      <c r="AF629" s="428"/>
      <c r="AG629" s="428"/>
      <c r="AH629" s="428"/>
      <c r="AI629" s="428"/>
      <c r="AJ629" s="428"/>
      <c r="AK629" s="428"/>
      <c r="AL629" s="428"/>
      <c r="AM629" s="429"/>
      <c r="AN629" s="429"/>
      <c r="AO629" s="429"/>
    </row>
    <row r="630" spans="1:41" ht="15.75">
      <c r="A630" s="395"/>
      <c r="B630" s="395"/>
      <c r="C630" s="430"/>
      <c r="D630" s="1751"/>
      <c r="E630" s="429"/>
      <c r="F630" s="428"/>
      <c r="G630" s="428"/>
      <c r="H630" s="429"/>
      <c r="I630" s="428"/>
      <c r="J630" s="429"/>
      <c r="K630" s="428"/>
      <c r="L630" s="1843"/>
      <c r="M630" s="1843"/>
      <c r="N630" s="429"/>
      <c r="O630" s="429"/>
      <c r="P630" s="428"/>
      <c r="Q630" s="428"/>
      <c r="R630" s="428"/>
      <c r="S630" s="428"/>
      <c r="T630" s="428"/>
      <c r="U630" s="1719"/>
      <c r="V630" s="1719"/>
      <c r="W630" s="1860"/>
      <c r="X630" s="1860"/>
      <c r="Y630" s="1860"/>
      <c r="Z630" s="428"/>
      <c r="AA630" s="428"/>
      <c r="AB630" s="428"/>
      <c r="AC630" s="428"/>
      <c r="AD630" s="428"/>
      <c r="AE630" s="428"/>
      <c r="AF630" s="428"/>
      <c r="AG630" s="428"/>
      <c r="AH630" s="428"/>
      <c r="AI630" s="428"/>
      <c r="AJ630" s="428"/>
      <c r="AK630" s="428"/>
      <c r="AL630" s="428"/>
      <c r="AM630" s="429"/>
      <c r="AN630" s="429"/>
      <c r="AO630" s="429"/>
    </row>
    <row r="631" spans="1:41" ht="15.75">
      <c r="A631" s="395"/>
      <c r="B631" s="395"/>
      <c r="C631" s="430"/>
      <c r="D631" s="1751"/>
      <c r="E631" s="429"/>
      <c r="F631" s="428"/>
      <c r="G631" s="428"/>
      <c r="H631" s="429"/>
      <c r="I631" s="428"/>
      <c r="J631" s="429"/>
      <c r="K631" s="428"/>
      <c r="L631" s="1843"/>
      <c r="M631" s="1843"/>
      <c r="N631" s="429"/>
      <c r="O631" s="429"/>
      <c r="P631" s="428"/>
      <c r="Q631" s="428"/>
      <c r="R631" s="428"/>
      <c r="S631" s="428"/>
      <c r="T631" s="428"/>
      <c r="U631" s="1719"/>
      <c r="V631" s="1719"/>
      <c r="W631" s="1860"/>
      <c r="X631" s="1860"/>
      <c r="Y631" s="1860"/>
      <c r="Z631" s="428"/>
      <c r="AA631" s="428"/>
      <c r="AB631" s="428"/>
      <c r="AC631" s="428"/>
      <c r="AD631" s="428"/>
      <c r="AE631" s="428"/>
      <c r="AF631" s="428"/>
      <c r="AG631" s="428"/>
      <c r="AH631" s="428"/>
      <c r="AI631" s="428"/>
      <c r="AJ631" s="428"/>
      <c r="AK631" s="428"/>
      <c r="AL631" s="428"/>
      <c r="AM631" s="429"/>
      <c r="AN631" s="429"/>
      <c r="AO631" s="429"/>
    </row>
    <row r="632" spans="1:41" ht="15.75">
      <c r="A632" s="395"/>
      <c r="B632" s="395"/>
      <c r="C632" s="430"/>
      <c r="D632" s="1751"/>
      <c r="E632" s="429"/>
      <c r="F632" s="428"/>
      <c r="G632" s="428"/>
      <c r="H632" s="429"/>
      <c r="I632" s="428"/>
      <c r="J632" s="429"/>
      <c r="K632" s="428"/>
      <c r="L632" s="1843"/>
      <c r="M632" s="1843"/>
      <c r="N632" s="429"/>
      <c r="O632" s="429"/>
      <c r="P632" s="428"/>
      <c r="Q632" s="428"/>
      <c r="R632" s="428"/>
      <c r="S632" s="428"/>
      <c r="T632" s="428"/>
      <c r="U632" s="1719"/>
      <c r="V632" s="1719"/>
      <c r="W632" s="1860"/>
      <c r="X632" s="1860"/>
      <c r="Y632" s="1860"/>
      <c r="Z632" s="428"/>
      <c r="AA632" s="428"/>
      <c r="AB632" s="428"/>
      <c r="AC632" s="428"/>
      <c r="AD632" s="428"/>
      <c r="AE632" s="428"/>
      <c r="AF632" s="428"/>
      <c r="AG632" s="428"/>
      <c r="AH632" s="428"/>
      <c r="AI632" s="428"/>
      <c r="AJ632" s="428"/>
      <c r="AK632" s="428"/>
      <c r="AL632" s="428"/>
      <c r="AM632" s="429"/>
      <c r="AN632" s="429"/>
      <c r="AO632" s="429"/>
    </row>
    <row r="633" spans="1:41" ht="15.75">
      <c r="A633" s="395"/>
      <c r="B633" s="395"/>
      <c r="C633" s="430"/>
      <c r="D633" s="1751"/>
      <c r="E633" s="429"/>
      <c r="F633" s="428"/>
      <c r="G633" s="428"/>
      <c r="H633" s="429"/>
      <c r="I633" s="428"/>
      <c r="J633" s="429"/>
      <c r="K633" s="428"/>
      <c r="L633" s="1843"/>
      <c r="M633" s="1843"/>
      <c r="N633" s="429"/>
      <c r="O633" s="429"/>
      <c r="P633" s="428"/>
      <c r="Q633" s="428"/>
      <c r="R633" s="428"/>
      <c r="S633" s="428"/>
      <c r="T633" s="428"/>
      <c r="U633" s="1719"/>
      <c r="V633" s="1719"/>
      <c r="W633" s="1860"/>
      <c r="X633" s="1860"/>
      <c r="Y633" s="1860"/>
      <c r="Z633" s="428"/>
      <c r="AA633" s="428"/>
      <c r="AB633" s="428"/>
      <c r="AC633" s="428"/>
      <c r="AD633" s="428"/>
      <c r="AE633" s="428"/>
      <c r="AF633" s="428"/>
      <c r="AG633" s="428"/>
      <c r="AH633" s="428"/>
      <c r="AI633" s="428"/>
      <c r="AJ633" s="428"/>
      <c r="AK633" s="428"/>
      <c r="AL633" s="428"/>
      <c r="AM633" s="429"/>
      <c r="AN633" s="429"/>
      <c r="AO633" s="429"/>
    </row>
    <row r="634" spans="1:41" ht="15.75">
      <c r="A634" s="395"/>
      <c r="B634" s="395"/>
      <c r="C634" s="430"/>
      <c r="D634" s="1751"/>
      <c r="E634" s="429"/>
      <c r="F634" s="428"/>
      <c r="G634" s="428"/>
      <c r="H634" s="429"/>
      <c r="I634" s="428"/>
      <c r="J634" s="429"/>
      <c r="K634" s="428"/>
      <c r="L634" s="1843"/>
      <c r="M634" s="1843"/>
      <c r="N634" s="429"/>
      <c r="O634" s="429"/>
      <c r="P634" s="428"/>
      <c r="Q634" s="428"/>
      <c r="R634" s="428"/>
      <c r="S634" s="428"/>
      <c r="T634" s="428"/>
      <c r="U634" s="1719"/>
      <c r="V634" s="1719"/>
      <c r="W634" s="1860"/>
      <c r="X634" s="1860"/>
      <c r="Y634" s="1860"/>
      <c r="Z634" s="428"/>
      <c r="AA634" s="428"/>
      <c r="AB634" s="428"/>
      <c r="AC634" s="428"/>
      <c r="AD634" s="428"/>
      <c r="AE634" s="428"/>
      <c r="AF634" s="428"/>
      <c r="AG634" s="428"/>
      <c r="AH634" s="428"/>
      <c r="AI634" s="428"/>
      <c r="AJ634" s="428"/>
      <c r="AK634" s="428"/>
      <c r="AL634" s="428"/>
      <c r="AM634" s="429"/>
      <c r="AN634" s="429"/>
      <c r="AO634" s="429"/>
    </row>
    <row r="635" spans="1:41" ht="15.75">
      <c r="A635" s="395"/>
      <c r="B635" s="395"/>
      <c r="C635" s="430"/>
      <c r="D635" s="1751"/>
      <c r="E635" s="429"/>
      <c r="F635" s="428"/>
      <c r="G635" s="428"/>
      <c r="H635" s="429"/>
      <c r="I635" s="428"/>
      <c r="J635" s="429"/>
      <c r="K635" s="428"/>
      <c r="L635" s="1843"/>
      <c r="M635" s="1843"/>
      <c r="N635" s="429"/>
      <c r="O635" s="429"/>
      <c r="P635" s="428"/>
      <c r="Q635" s="428"/>
      <c r="R635" s="428"/>
      <c r="S635" s="428"/>
      <c r="T635" s="428"/>
      <c r="U635" s="1719"/>
      <c r="V635" s="1719"/>
      <c r="W635" s="1860"/>
      <c r="X635" s="1860"/>
      <c r="Y635" s="1860"/>
      <c r="Z635" s="428"/>
      <c r="AA635" s="428"/>
      <c r="AB635" s="428"/>
      <c r="AC635" s="428"/>
      <c r="AD635" s="428"/>
      <c r="AE635" s="428"/>
      <c r="AF635" s="428"/>
      <c r="AG635" s="428"/>
      <c r="AH635" s="428"/>
      <c r="AI635" s="428"/>
      <c r="AJ635" s="428"/>
      <c r="AK635" s="428"/>
      <c r="AL635" s="428"/>
      <c r="AM635" s="429"/>
      <c r="AN635" s="429"/>
      <c r="AO635" s="429"/>
    </row>
    <row r="636" spans="1:41" ht="15.75">
      <c r="A636" s="395"/>
      <c r="B636" s="395"/>
      <c r="C636" s="430"/>
      <c r="D636" s="1751"/>
      <c r="E636" s="429"/>
      <c r="F636" s="428"/>
      <c r="G636" s="428"/>
      <c r="H636" s="429"/>
      <c r="I636" s="428"/>
      <c r="J636" s="429"/>
      <c r="K636" s="428"/>
      <c r="L636" s="1843"/>
      <c r="M636" s="1843"/>
      <c r="N636" s="429"/>
      <c r="O636" s="429"/>
      <c r="P636" s="428"/>
      <c r="Q636" s="428"/>
      <c r="R636" s="428"/>
      <c r="S636" s="428"/>
      <c r="T636" s="428"/>
      <c r="U636" s="1719"/>
      <c r="V636" s="1719"/>
      <c r="W636" s="1860"/>
      <c r="X636" s="1860"/>
      <c r="Y636" s="1860"/>
      <c r="Z636" s="428"/>
      <c r="AA636" s="428"/>
      <c r="AB636" s="428"/>
      <c r="AC636" s="428"/>
      <c r="AD636" s="428"/>
      <c r="AE636" s="428"/>
      <c r="AF636" s="428"/>
      <c r="AG636" s="428"/>
      <c r="AH636" s="428"/>
      <c r="AI636" s="428"/>
      <c r="AJ636" s="428"/>
      <c r="AK636" s="428"/>
      <c r="AL636" s="428"/>
      <c r="AM636" s="429"/>
      <c r="AN636" s="429"/>
      <c r="AO636" s="429"/>
    </row>
    <row r="637" spans="1:41" ht="15.75">
      <c r="A637" s="395"/>
      <c r="B637" s="395"/>
      <c r="C637" s="430"/>
      <c r="D637" s="1751"/>
      <c r="E637" s="429"/>
      <c r="F637" s="428"/>
      <c r="G637" s="428"/>
      <c r="H637" s="429"/>
      <c r="I637" s="428"/>
      <c r="J637" s="429"/>
      <c r="K637" s="428"/>
      <c r="L637" s="1843"/>
      <c r="M637" s="1843"/>
      <c r="N637" s="429"/>
      <c r="O637" s="429"/>
      <c r="P637" s="428"/>
      <c r="Q637" s="428"/>
      <c r="R637" s="428"/>
      <c r="S637" s="428"/>
      <c r="T637" s="428"/>
      <c r="U637" s="1719"/>
      <c r="V637" s="1719"/>
      <c r="W637" s="1860"/>
      <c r="X637" s="1860"/>
      <c r="Y637" s="1860"/>
      <c r="Z637" s="428"/>
      <c r="AA637" s="428"/>
      <c r="AB637" s="428"/>
      <c r="AC637" s="428"/>
      <c r="AD637" s="428"/>
      <c r="AE637" s="428"/>
      <c r="AF637" s="428"/>
      <c r="AG637" s="428"/>
      <c r="AH637" s="428"/>
      <c r="AI637" s="428"/>
      <c r="AJ637" s="428"/>
      <c r="AK637" s="428"/>
      <c r="AL637" s="428"/>
      <c r="AM637" s="429"/>
      <c r="AN637" s="429"/>
      <c r="AO637" s="429"/>
    </row>
    <row r="638" spans="1:41" ht="15.75">
      <c r="A638" s="395"/>
      <c r="B638" s="395"/>
      <c r="C638" s="430"/>
      <c r="D638" s="1751"/>
      <c r="E638" s="429"/>
      <c r="F638" s="428"/>
      <c r="G638" s="428"/>
      <c r="H638" s="429"/>
      <c r="I638" s="428"/>
      <c r="J638" s="429"/>
      <c r="K638" s="428"/>
      <c r="L638" s="1843"/>
      <c r="M638" s="1843"/>
      <c r="N638" s="429"/>
      <c r="O638" s="429"/>
      <c r="P638" s="428"/>
      <c r="Q638" s="428"/>
      <c r="R638" s="428"/>
      <c r="S638" s="428"/>
      <c r="T638" s="428"/>
      <c r="U638" s="1719"/>
      <c r="V638" s="1719"/>
      <c r="W638" s="1860"/>
      <c r="X638" s="1860"/>
      <c r="Y638" s="1860"/>
      <c r="Z638" s="428"/>
      <c r="AA638" s="428"/>
      <c r="AB638" s="428"/>
      <c r="AC638" s="428"/>
      <c r="AD638" s="428"/>
      <c r="AE638" s="428"/>
      <c r="AF638" s="428"/>
      <c r="AG638" s="428"/>
      <c r="AH638" s="428"/>
      <c r="AI638" s="428"/>
      <c r="AJ638" s="428"/>
      <c r="AK638" s="428"/>
      <c r="AL638" s="428"/>
      <c r="AM638" s="429"/>
      <c r="AN638" s="429"/>
      <c r="AO638" s="429"/>
    </row>
    <row r="639" spans="1:41" ht="15.75">
      <c r="A639" s="395"/>
      <c r="B639" s="395"/>
      <c r="C639" s="430"/>
      <c r="D639" s="1751"/>
      <c r="E639" s="429"/>
      <c r="F639" s="428"/>
      <c r="G639" s="428"/>
      <c r="H639" s="429"/>
      <c r="I639" s="428"/>
      <c r="J639" s="429"/>
      <c r="K639" s="428"/>
      <c r="L639" s="1843"/>
      <c r="M639" s="1843"/>
      <c r="N639" s="429"/>
      <c r="O639" s="429"/>
      <c r="P639" s="428"/>
      <c r="Q639" s="428"/>
      <c r="R639" s="428"/>
      <c r="S639" s="428"/>
      <c r="T639" s="428"/>
      <c r="U639" s="1719"/>
      <c r="V639" s="1719"/>
      <c r="W639" s="1860"/>
      <c r="X639" s="1860"/>
      <c r="Y639" s="1860"/>
      <c r="Z639" s="428"/>
      <c r="AA639" s="428"/>
      <c r="AB639" s="428"/>
      <c r="AC639" s="428"/>
      <c r="AD639" s="428"/>
      <c r="AE639" s="428"/>
      <c r="AF639" s="428"/>
      <c r="AG639" s="428"/>
      <c r="AH639" s="428"/>
      <c r="AI639" s="428"/>
      <c r="AJ639" s="428"/>
      <c r="AK639" s="428"/>
      <c r="AL639" s="428"/>
      <c r="AM639" s="429"/>
      <c r="AN639" s="429"/>
      <c r="AO639" s="429"/>
    </row>
    <row r="640" spans="1:41" ht="15.75">
      <c r="A640" s="395"/>
      <c r="B640" s="395"/>
      <c r="C640" s="430"/>
      <c r="D640" s="1751"/>
      <c r="E640" s="429"/>
      <c r="F640" s="428"/>
      <c r="G640" s="428"/>
      <c r="H640" s="429"/>
      <c r="I640" s="428"/>
      <c r="J640" s="429"/>
      <c r="K640" s="428"/>
      <c r="L640" s="1843"/>
      <c r="M640" s="1843"/>
      <c r="N640" s="429"/>
      <c r="O640" s="429"/>
      <c r="P640" s="428"/>
      <c r="Q640" s="428"/>
      <c r="R640" s="428"/>
      <c r="S640" s="428"/>
      <c r="T640" s="428"/>
      <c r="U640" s="1719"/>
      <c r="V640" s="1719"/>
      <c r="W640" s="1860"/>
      <c r="X640" s="1860"/>
      <c r="Y640" s="1860"/>
      <c r="Z640" s="428"/>
      <c r="AA640" s="428"/>
      <c r="AB640" s="428"/>
      <c r="AC640" s="428"/>
      <c r="AD640" s="428"/>
      <c r="AE640" s="428"/>
      <c r="AF640" s="428"/>
      <c r="AG640" s="428"/>
      <c r="AH640" s="428"/>
      <c r="AI640" s="428"/>
      <c r="AJ640" s="428"/>
      <c r="AK640" s="428"/>
      <c r="AL640" s="428"/>
      <c r="AM640" s="429"/>
      <c r="AN640" s="429"/>
      <c r="AO640" s="429"/>
    </row>
    <row r="641" spans="1:41" ht="15.75">
      <c r="A641" s="395"/>
      <c r="B641" s="395"/>
      <c r="C641" s="430"/>
      <c r="D641" s="1751"/>
      <c r="E641" s="429"/>
      <c r="F641" s="428"/>
      <c r="G641" s="428"/>
      <c r="H641" s="429"/>
      <c r="I641" s="428"/>
      <c r="J641" s="429"/>
      <c r="K641" s="428"/>
      <c r="L641" s="1843"/>
      <c r="M641" s="1843"/>
      <c r="N641" s="429"/>
      <c r="O641" s="429"/>
      <c r="P641" s="428"/>
      <c r="Q641" s="428"/>
      <c r="R641" s="428"/>
      <c r="S641" s="428"/>
      <c r="T641" s="428"/>
      <c r="U641" s="1719"/>
      <c r="V641" s="1719"/>
      <c r="W641" s="1860"/>
      <c r="X641" s="1860"/>
      <c r="Y641" s="1860"/>
      <c r="Z641" s="428"/>
      <c r="AA641" s="428"/>
      <c r="AB641" s="428"/>
      <c r="AC641" s="428"/>
      <c r="AD641" s="428"/>
      <c r="AE641" s="428"/>
      <c r="AF641" s="428"/>
      <c r="AG641" s="428"/>
      <c r="AH641" s="428"/>
      <c r="AI641" s="428"/>
      <c r="AJ641" s="428"/>
      <c r="AK641" s="428"/>
      <c r="AL641" s="428"/>
      <c r="AM641" s="429"/>
      <c r="AN641" s="429"/>
      <c r="AO641" s="429"/>
    </row>
    <row r="642" spans="1:41" ht="15.75">
      <c r="A642" s="395"/>
      <c r="B642" s="395"/>
      <c r="C642" s="430"/>
      <c r="D642" s="1751"/>
      <c r="E642" s="429"/>
      <c r="F642" s="428"/>
      <c r="G642" s="428"/>
      <c r="H642" s="429"/>
      <c r="I642" s="428"/>
      <c r="J642" s="429"/>
      <c r="K642" s="428"/>
      <c r="L642" s="1843"/>
      <c r="M642" s="1843"/>
      <c r="N642" s="429"/>
      <c r="O642" s="429"/>
      <c r="P642" s="428"/>
      <c r="Q642" s="428"/>
      <c r="R642" s="428"/>
      <c r="S642" s="428"/>
      <c r="T642" s="428"/>
      <c r="U642" s="1719"/>
      <c r="V642" s="1719"/>
      <c r="W642" s="1860"/>
      <c r="X642" s="1860"/>
      <c r="Y642" s="1860"/>
      <c r="Z642" s="428"/>
      <c r="AA642" s="428"/>
      <c r="AB642" s="428"/>
      <c r="AC642" s="428"/>
      <c r="AD642" s="428"/>
      <c r="AE642" s="428"/>
      <c r="AF642" s="428"/>
      <c r="AG642" s="428"/>
      <c r="AH642" s="428"/>
      <c r="AI642" s="428"/>
      <c r="AJ642" s="428"/>
      <c r="AK642" s="428"/>
      <c r="AL642" s="428"/>
      <c r="AM642" s="429"/>
      <c r="AN642" s="429"/>
      <c r="AO642" s="429"/>
    </row>
    <row r="643" spans="1:41" ht="15.75">
      <c r="A643" s="395"/>
      <c r="B643" s="395"/>
      <c r="C643" s="430"/>
      <c r="D643" s="1751"/>
      <c r="E643" s="429"/>
      <c r="F643" s="428"/>
      <c r="G643" s="428"/>
      <c r="H643" s="429"/>
      <c r="I643" s="428"/>
      <c r="J643" s="429"/>
      <c r="K643" s="428"/>
      <c r="L643" s="1843"/>
      <c r="M643" s="1843"/>
      <c r="N643" s="429"/>
      <c r="O643" s="429"/>
      <c r="P643" s="428"/>
      <c r="Q643" s="428"/>
      <c r="R643" s="428"/>
      <c r="S643" s="428"/>
      <c r="T643" s="428"/>
      <c r="U643" s="1719"/>
      <c r="V643" s="1719"/>
      <c r="W643" s="1860"/>
      <c r="X643" s="1860"/>
      <c r="Y643" s="1860"/>
      <c r="Z643" s="428"/>
      <c r="AA643" s="428"/>
      <c r="AB643" s="428"/>
      <c r="AC643" s="428"/>
      <c r="AD643" s="428"/>
      <c r="AE643" s="428"/>
      <c r="AF643" s="428"/>
      <c r="AG643" s="428"/>
      <c r="AH643" s="428"/>
      <c r="AI643" s="428"/>
      <c r="AJ643" s="428"/>
      <c r="AK643" s="428"/>
      <c r="AL643" s="428"/>
      <c r="AM643" s="429"/>
      <c r="AN643" s="429"/>
      <c r="AO643" s="429"/>
    </row>
    <row r="644" spans="1:41" ht="15.75">
      <c r="A644" s="395"/>
      <c r="B644" s="395"/>
      <c r="C644" s="430"/>
      <c r="D644" s="1751"/>
      <c r="E644" s="429"/>
      <c r="F644" s="428"/>
      <c r="G644" s="428"/>
      <c r="H644" s="429"/>
      <c r="I644" s="428"/>
      <c r="J644" s="429"/>
      <c r="K644" s="428"/>
      <c r="L644" s="1843"/>
      <c r="M644" s="1843"/>
      <c r="N644" s="429"/>
      <c r="O644" s="429"/>
      <c r="P644" s="428"/>
      <c r="Q644" s="428"/>
      <c r="R644" s="428"/>
      <c r="S644" s="428"/>
      <c r="T644" s="428"/>
      <c r="U644" s="1719"/>
      <c r="V644" s="1719"/>
      <c r="W644" s="1860"/>
      <c r="X644" s="1860"/>
      <c r="Y644" s="1860"/>
      <c r="Z644" s="428"/>
      <c r="AA644" s="428"/>
      <c r="AB644" s="428"/>
      <c r="AC644" s="428"/>
      <c r="AD644" s="428"/>
      <c r="AE644" s="428"/>
      <c r="AF644" s="428"/>
      <c r="AG644" s="428"/>
      <c r="AH644" s="428"/>
      <c r="AI644" s="428"/>
      <c r="AJ644" s="428"/>
      <c r="AK644" s="428"/>
      <c r="AL644" s="428"/>
      <c r="AM644" s="429"/>
      <c r="AN644" s="429"/>
      <c r="AO644" s="429"/>
    </row>
    <row r="645" spans="1:41" ht="15.75">
      <c r="A645" s="395"/>
      <c r="B645" s="395"/>
      <c r="C645" s="430"/>
      <c r="D645" s="1751"/>
      <c r="E645" s="429"/>
      <c r="F645" s="428"/>
      <c r="G645" s="428"/>
      <c r="H645" s="429"/>
      <c r="I645" s="428"/>
      <c r="J645" s="429"/>
      <c r="K645" s="428"/>
      <c r="L645" s="1843"/>
      <c r="M645" s="1843"/>
      <c r="N645" s="429"/>
      <c r="O645" s="429"/>
      <c r="P645" s="428"/>
      <c r="Q645" s="428"/>
      <c r="R645" s="428"/>
      <c r="S645" s="428"/>
      <c r="T645" s="428"/>
      <c r="U645" s="1719"/>
      <c r="V645" s="1719"/>
      <c r="W645" s="1860"/>
      <c r="X645" s="1860"/>
      <c r="Y645" s="1860"/>
      <c r="Z645" s="428"/>
      <c r="AA645" s="428"/>
      <c r="AB645" s="428"/>
      <c r="AC645" s="428"/>
      <c r="AD645" s="428"/>
      <c r="AE645" s="428"/>
      <c r="AF645" s="428"/>
      <c r="AG645" s="428"/>
      <c r="AH645" s="428"/>
      <c r="AI645" s="428"/>
      <c r="AJ645" s="428"/>
      <c r="AK645" s="428"/>
      <c r="AL645" s="428"/>
      <c r="AM645" s="429"/>
      <c r="AN645" s="429"/>
      <c r="AO645" s="429"/>
    </row>
    <row r="646" spans="1:41" ht="15.75">
      <c r="A646" s="395"/>
      <c r="B646" s="395"/>
      <c r="C646" s="430"/>
      <c r="D646" s="1751"/>
      <c r="E646" s="429"/>
      <c r="F646" s="428"/>
      <c r="G646" s="428"/>
      <c r="H646" s="429"/>
      <c r="I646" s="428"/>
      <c r="J646" s="429"/>
      <c r="K646" s="428"/>
      <c r="L646" s="1843"/>
      <c r="M646" s="1843"/>
      <c r="N646" s="429"/>
      <c r="O646" s="429"/>
      <c r="P646" s="428"/>
      <c r="Q646" s="428"/>
      <c r="R646" s="428"/>
      <c r="S646" s="428"/>
      <c r="T646" s="428"/>
      <c r="U646" s="1719"/>
      <c r="V646" s="1719"/>
      <c r="W646" s="1860"/>
      <c r="X646" s="1860"/>
      <c r="Y646" s="1860"/>
      <c r="Z646" s="428"/>
      <c r="AA646" s="428"/>
      <c r="AB646" s="428"/>
      <c r="AC646" s="428"/>
      <c r="AD646" s="428"/>
      <c r="AE646" s="428"/>
      <c r="AF646" s="428"/>
      <c r="AG646" s="428"/>
      <c r="AH646" s="428"/>
      <c r="AI646" s="428"/>
      <c r="AJ646" s="428"/>
      <c r="AK646" s="428"/>
      <c r="AL646" s="428"/>
      <c r="AM646" s="429"/>
      <c r="AN646" s="429"/>
      <c r="AO646" s="429"/>
    </row>
    <row r="647" spans="1:41" ht="15.75">
      <c r="A647" s="395"/>
      <c r="B647" s="395"/>
      <c r="C647" s="430"/>
      <c r="D647" s="1751"/>
      <c r="E647" s="429"/>
      <c r="F647" s="428"/>
      <c r="G647" s="428"/>
      <c r="H647" s="429"/>
      <c r="I647" s="428"/>
      <c r="J647" s="429"/>
      <c r="K647" s="428"/>
      <c r="L647" s="1843"/>
      <c r="M647" s="1843"/>
      <c r="N647" s="429"/>
      <c r="O647" s="429"/>
      <c r="P647" s="428"/>
      <c r="Q647" s="428"/>
      <c r="R647" s="428"/>
      <c r="S647" s="428"/>
      <c r="T647" s="428"/>
      <c r="U647" s="1719"/>
      <c r="V647" s="1719"/>
      <c r="W647" s="1860"/>
      <c r="X647" s="1860"/>
      <c r="Y647" s="1860"/>
      <c r="Z647" s="428"/>
      <c r="AA647" s="428"/>
      <c r="AB647" s="428"/>
      <c r="AC647" s="428"/>
      <c r="AD647" s="428"/>
      <c r="AE647" s="428"/>
      <c r="AF647" s="428"/>
      <c r="AG647" s="428"/>
      <c r="AH647" s="428"/>
      <c r="AI647" s="428"/>
      <c r="AJ647" s="428"/>
      <c r="AK647" s="428"/>
      <c r="AL647" s="428"/>
      <c r="AM647" s="429"/>
      <c r="AN647" s="429"/>
      <c r="AO647" s="429"/>
    </row>
    <row r="648" spans="1:41" ht="15.75">
      <c r="A648" s="395"/>
      <c r="B648" s="395"/>
      <c r="C648" s="430"/>
      <c r="D648" s="1751"/>
      <c r="E648" s="429"/>
      <c r="F648" s="428"/>
      <c r="G648" s="428"/>
      <c r="H648" s="429"/>
      <c r="I648" s="428"/>
      <c r="J648" s="429"/>
      <c r="K648" s="428"/>
      <c r="L648" s="1843"/>
      <c r="M648" s="1843"/>
      <c r="N648" s="429"/>
      <c r="O648" s="429"/>
      <c r="P648" s="428"/>
      <c r="Q648" s="428"/>
      <c r="R648" s="428"/>
      <c r="S648" s="428"/>
      <c r="T648" s="428"/>
      <c r="U648" s="1719"/>
      <c r="V648" s="1719"/>
      <c r="W648" s="1860"/>
      <c r="X648" s="1860"/>
      <c r="Y648" s="1860"/>
      <c r="Z648" s="428"/>
      <c r="AA648" s="428"/>
      <c r="AB648" s="428"/>
      <c r="AC648" s="428"/>
      <c r="AD648" s="428"/>
      <c r="AE648" s="428"/>
      <c r="AF648" s="428"/>
      <c r="AG648" s="428"/>
      <c r="AH648" s="428"/>
      <c r="AI648" s="428"/>
      <c r="AJ648" s="428"/>
      <c r="AK648" s="428"/>
      <c r="AL648" s="428"/>
      <c r="AM648" s="429"/>
      <c r="AN648" s="429"/>
      <c r="AO648" s="429"/>
    </row>
    <row r="649" spans="1:41" ht="15.75">
      <c r="A649" s="395"/>
      <c r="B649" s="395"/>
      <c r="C649" s="430"/>
      <c r="D649" s="1751"/>
      <c r="E649" s="429"/>
      <c r="F649" s="428"/>
      <c r="G649" s="428"/>
      <c r="H649" s="429"/>
      <c r="I649" s="428"/>
      <c r="J649" s="429"/>
      <c r="K649" s="428"/>
      <c r="L649" s="1843"/>
      <c r="M649" s="1843"/>
      <c r="N649" s="429"/>
      <c r="O649" s="429"/>
      <c r="P649" s="428"/>
      <c r="Q649" s="428"/>
      <c r="R649" s="428"/>
      <c r="S649" s="428"/>
      <c r="T649" s="428"/>
      <c r="U649" s="1719"/>
      <c r="V649" s="1719"/>
      <c r="W649" s="1860"/>
      <c r="X649" s="1860"/>
      <c r="Y649" s="1860"/>
      <c r="Z649" s="428"/>
      <c r="AA649" s="428"/>
      <c r="AB649" s="428"/>
      <c r="AC649" s="428"/>
      <c r="AD649" s="428"/>
      <c r="AE649" s="428"/>
      <c r="AF649" s="428"/>
      <c r="AG649" s="428"/>
      <c r="AH649" s="428"/>
      <c r="AI649" s="428"/>
      <c r="AJ649" s="428"/>
      <c r="AK649" s="428"/>
      <c r="AL649" s="428"/>
      <c r="AM649" s="429"/>
      <c r="AN649" s="429"/>
      <c r="AO649" s="429"/>
    </row>
    <row r="650" spans="1:41" ht="15.75">
      <c r="A650" s="395"/>
      <c r="B650" s="395"/>
      <c r="C650" s="430"/>
      <c r="D650" s="1751"/>
      <c r="E650" s="429"/>
      <c r="F650" s="428"/>
      <c r="G650" s="428"/>
      <c r="H650" s="429"/>
      <c r="I650" s="428"/>
      <c r="J650" s="429"/>
      <c r="K650" s="428"/>
      <c r="L650" s="1843"/>
      <c r="M650" s="1843"/>
      <c r="N650" s="429"/>
      <c r="O650" s="429"/>
      <c r="P650" s="428"/>
      <c r="Q650" s="428"/>
      <c r="R650" s="428"/>
      <c r="S650" s="428"/>
      <c r="T650" s="428"/>
      <c r="U650" s="1719"/>
      <c r="V650" s="1719"/>
      <c r="W650" s="1860"/>
      <c r="X650" s="1860"/>
      <c r="Y650" s="1860"/>
      <c r="Z650" s="428"/>
      <c r="AA650" s="428"/>
      <c r="AB650" s="428"/>
      <c r="AC650" s="428"/>
      <c r="AD650" s="428"/>
      <c r="AE650" s="428"/>
      <c r="AF650" s="428"/>
      <c r="AG650" s="428"/>
      <c r="AH650" s="428"/>
      <c r="AI650" s="428"/>
      <c r="AJ650" s="428"/>
      <c r="AK650" s="428"/>
      <c r="AL650" s="428"/>
      <c r="AM650" s="429"/>
      <c r="AN650" s="429"/>
      <c r="AO650" s="429"/>
    </row>
    <row r="651" spans="1:41" ht="15.75">
      <c r="A651" s="395"/>
      <c r="B651" s="395"/>
      <c r="C651" s="430"/>
      <c r="D651" s="1751"/>
      <c r="E651" s="429"/>
      <c r="F651" s="428"/>
      <c r="G651" s="428"/>
      <c r="H651" s="429"/>
      <c r="I651" s="428"/>
      <c r="J651" s="429"/>
      <c r="K651" s="428"/>
      <c r="L651" s="1843"/>
      <c r="M651" s="1843"/>
      <c r="N651" s="429"/>
      <c r="O651" s="429"/>
      <c r="P651" s="428"/>
      <c r="Q651" s="428"/>
      <c r="R651" s="428"/>
      <c r="S651" s="428"/>
      <c r="T651" s="428"/>
      <c r="U651" s="1719"/>
      <c r="V651" s="1719"/>
      <c r="W651" s="1860"/>
      <c r="X651" s="1860"/>
      <c r="Y651" s="1860"/>
      <c r="Z651" s="428"/>
      <c r="AA651" s="428"/>
      <c r="AB651" s="428"/>
      <c r="AC651" s="428"/>
      <c r="AD651" s="428"/>
      <c r="AE651" s="428"/>
      <c r="AF651" s="428"/>
      <c r="AG651" s="428"/>
      <c r="AH651" s="428"/>
      <c r="AI651" s="428"/>
      <c r="AJ651" s="428"/>
      <c r="AK651" s="428"/>
      <c r="AL651" s="428"/>
      <c r="AM651" s="429"/>
      <c r="AN651" s="429"/>
      <c r="AO651" s="429"/>
    </row>
    <row r="652" spans="1:41" ht="15.75">
      <c r="A652" s="395"/>
      <c r="B652" s="395"/>
      <c r="C652" s="430"/>
      <c r="D652" s="1751"/>
      <c r="E652" s="429"/>
      <c r="F652" s="428"/>
      <c r="G652" s="428"/>
      <c r="H652" s="429"/>
      <c r="I652" s="428"/>
      <c r="J652" s="429"/>
      <c r="K652" s="428"/>
      <c r="L652" s="1843"/>
      <c r="M652" s="1843"/>
      <c r="N652" s="429"/>
      <c r="O652" s="429"/>
      <c r="P652" s="428"/>
      <c r="Q652" s="428"/>
      <c r="R652" s="428"/>
      <c r="S652" s="428"/>
      <c r="T652" s="428"/>
      <c r="U652" s="1719"/>
      <c r="V652" s="1719"/>
      <c r="W652" s="1860"/>
      <c r="X652" s="1860"/>
      <c r="Y652" s="1860"/>
      <c r="Z652" s="428"/>
      <c r="AA652" s="428"/>
      <c r="AB652" s="428"/>
      <c r="AC652" s="428"/>
      <c r="AD652" s="428"/>
      <c r="AE652" s="428"/>
      <c r="AF652" s="428"/>
      <c r="AG652" s="428"/>
      <c r="AH652" s="428"/>
      <c r="AI652" s="428"/>
      <c r="AJ652" s="428"/>
      <c r="AK652" s="428"/>
      <c r="AL652" s="428"/>
      <c r="AM652" s="429"/>
      <c r="AN652" s="429"/>
      <c r="AO652" s="429"/>
    </row>
    <row r="653" spans="1:41" ht="15.75">
      <c r="A653" s="395"/>
      <c r="B653" s="395"/>
      <c r="C653" s="430"/>
      <c r="D653" s="1751"/>
      <c r="E653" s="429"/>
      <c r="F653" s="428"/>
      <c r="G653" s="428"/>
      <c r="H653" s="429"/>
      <c r="I653" s="428"/>
      <c r="J653" s="429"/>
      <c r="K653" s="428"/>
      <c r="L653" s="1843"/>
      <c r="M653" s="1843"/>
      <c r="N653" s="429"/>
      <c r="O653" s="429"/>
      <c r="P653" s="428"/>
      <c r="Q653" s="428"/>
      <c r="R653" s="428"/>
      <c r="S653" s="428"/>
      <c r="T653" s="428"/>
      <c r="U653" s="1719"/>
      <c r="V653" s="1719"/>
      <c r="W653" s="1860"/>
      <c r="X653" s="1860"/>
      <c r="Y653" s="1860"/>
      <c r="Z653" s="428"/>
      <c r="AA653" s="428"/>
      <c r="AB653" s="428"/>
      <c r="AC653" s="428"/>
      <c r="AD653" s="428"/>
      <c r="AE653" s="428"/>
      <c r="AF653" s="428"/>
      <c r="AG653" s="428"/>
      <c r="AH653" s="428"/>
      <c r="AI653" s="428"/>
      <c r="AJ653" s="428"/>
      <c r="AK653" s="428"/>
      <c r="AL653" s="428"/>
      <c r="AM653" s="429"/>
      <c r="AN653" s="429"/>
      <c r="AO653" s="429"/>
    </row>
    <row r="654" spans="1:41" ht="15.75">
      <c r="A654" s="395"/>
      <c r="B654" s="395"/>
      <c r="C654" s="430"/>
      <c r="D654" s="1751"/>
      <c r="E654" s="429"/>
      <c r="F654" s="428"/>
      <c r="G654" s="428"/>
      <c r="H654" s="429"/>
      <c r="I654" s="428"/>
      <c r="J654" s="429"/>
      <c r="K654" s="428"/>
      <c r="L654" s="1843"/>
      <c r="M654" s="1843"/>
      <c r="N654" s="429"/>
      <c r="O654" s="429"/>
      <c r="P654" s="428"/>
      <c r="Q654" s="428"/>
      <c r="R654" s="428"/>
      <c r="S654" s="428"/>
      <c r="T654" s="428"/>
      <c r="U654" s="1719"/>
      <c r="V654" s="1719"/>
      <c r="W654" s="1860"/>
      <c r="X654" s="1860"/>
      <c r="Y654" s="1860"/>
      <c r="Z654" s="428"/>
      <c r="AA654" s="428"/>
      <c r="AB654" s="428"/>
      <c r="AC654" s="428"/>
      <c r="AD654" s="428"/>
      <c r="AE654" s="428"/>
      <c r="AF654" s="428"/>
      <c r="AG654" s="428"/>
      <c r="AH654" s="428"/>
      <c r="AI654" s="428"/>
      <c r="AJ654" s="428"/>
      <c r="AK654" s="428"/>
      <c r="AL654" s="428"/>
      <c r="AM654" s="429"/>
      <c r="AN654" s="429"/>
      <c r="AO654" s="429"/>
    </row>
    <row r="655" spans="1:41" ht="15.75">
      <c r="A655" s="395"/>
      <c r="B655" s="395"/>
      <c r="C655" s="430"/>
      <c r="D655" s="1751"/>
      <c r="E655" s="429"/>
      <c r="F655" s="428"/>
      <c r="G655" s="428"/>
      <c r="H655" s="429"/>
      <c r="I655" s="428"/>
      <c r="J655" s="429"/>
      <c r="K655" s="428"/>
      <c r="L655" s="1843"/>
      <c r="M655" s="1843"/>
      <c r="N655" s="429"/>
      <c r="O655" s="429"/>
      <c r="P655" s="428"/>
      <c r="Q655" s="428"/>
      <c r="R655" s="428"/>
      <c r="S655" s="428"/>
      <c r="T655" s="428"/>
      <c r="U655" s="1719"/>
      <c r="V655" s="1719"/>
      <c r="W655" s="1860"/>
      <c r="X655" s="1860"/>
      <c r="Y655" s="1860"/>
      <c r="Z655" s="428"/>
      <c r="AA655" s="428"/>
      <c r="AB655" s="428"/>
      <c r="AC655" s="428"/>
      <c r="AD655" s="428"/>
      <c r="AE655" s="428"/>
      <c r="AF655" s="428"/>
      <c r="AG655" s="428"/>
      <c r="AH655" s="428"/>
      <c r="AI655" s="428"/>
      <c r="AJ655" s="428"/>
      <c r="AK655" s="428"/>
      <c r="AL655" s="428"/>
      <c r="AM655" s="429"/>
      <c r="AN655" s="429"/>
      <c r="AO655" s="429"/>
    </row>
    <row r="656" spans="1:41" ht="15.75">
      <c r="A656" s="395"/>
      <c r="B656" s="395"/>
      <c r="C656" s="430"/>
      <c r="D656" s="1751"/>
      <c r="E656" s="429"/>
      <c r="F656" s="428"/>
      <c r="G656" s="428"/>
      <c r="H656" s="429"/>
      <c r="I656" s="428"/>
      <c r="J656" s="429"/>
      <c r="K656" s="428"/>
      <c r="L656" s="1843"/>
      <c r="M656" s="1843"/>
      <c r="N656" s="429"/>
      <c r="O656" s="429"/>
      <c r="P656" s="428"/>
      <c r="Q656" s="428"/>
      <c r="R656" s="428"/>
      <c r="S656" s="428"/>
      <c r="T656" s="428"/>
      <c r="U656" s="1719"/>
      <c r="V656" s="1719"/>
      <c r="W656" s="1860"/>
      <c r="X656" s="1860"/>
      <c r="Y656" s="1860"/>
      <c r="Z656" s="428"/>
      <c r="AA656" s="428"/>
      <c r="AB656" s="428"/>
      <c r="AC656" s="428"/>
      <c r="AD656" s="428"/>
      <c r="AE656" s="428"/>
      <c r="AF656" s="428"/>
      <c r="AG656" s="428"/>
      <c r="AH656" s="428"/>
      <c r="AI656" s="428"/>
      <c r="AJ656" s="428"/>
      <c r="AK656" s="428"/>
      <c r="AL656" s="428"/>
      <c r="AM656" s="429"/>
      <c r="AN656" s="429"/>
      <c r="AO656" s="429"/>
    </row>
    <row r="657" spans="1:41" ht="15.75">
      <c r="A657" s="395"/>
      <c r="B657" s="395"/>
      <c r="C657" s="430"/>
      <c r="D657" s="1751"/>
      <c r="E657" s="429"/>
      <c r="F657" s="428"/>
      <c r="G657" s="428"/>
      <c r="H657" s="429"/>
      <c r="I657" s="428"/>
      <c r="J657" s="429"/>
      <c r="K657" s="428"/>
      <c r="L657" s="1843"/>
      <c r="M657" s="1843"/>
      <c r="N657" s="429"/>
      <c r="O657" s="429"/>
      <c r="P657" s="428"/>
      <c r="Q657" s="428"/>
      <c r="R657" s="428"/>
      <c r="S657" s="428"/>
      <c r="T657" s="428"/>
      <c r="U657" s="1719"/>
      <c r="V657" s="1719"/>
      <c r="W657" s="1860"/>
      <c r="X657" s="1860"/>
      <c r="Y657" s="1860"/>
      <c r="Z657" s="428"/>
      <c r="AA657" s="428"/>
      <c r="AB657" s="428"/>
      <c r="AC657" s="428"/>
      <c r="AD657" s="428"/>
      <c r="AE657" s="428"/>
      <c r="AF657" s="428"/>
      <c r="AG657" s="428"/>
      <c r="AH657" s="428"/>
      <c r="AI657" s="428"/>
      <c r="AJ657" s="428"/>
      <c r="AK657" s="428"/>
      <c r="AL657" s="428"/>
      <c r="AM657" s="429"/>
      <c r="AN657" s="429"/>
      <c r="AO657" s="429"/>
    </row>
    <row r="658" spans="1:41" ht="15.75">
      <c r="A658" s="395"/>
      <c r="B658" s="395"/>
      <c r="C658" s="430"/>
      <c r="D658" s="1751"/>
      <c r="E658" s="429"/>
      <c r="F658" s="428"/>
      <c r="G658" s="428"/>
      <c r="H658" s="429"/>
      <c r="I658" s="428"/>
      <c r="J658" s="429"/>
      <c r="K658" s="428"/>
      <c r="L658" s="1843"/>
      <c r="M658" s="1843"/>
      <c r="N658" s="429"/>
      <c r="O658" s="429"/>
      <c r="P658" s="428"/>
      <c r="Q658" s="428"/>
      <c r="R658" s="428"/>
      <c r="S658" s="428"/>
      <c r="T658" s="428"/>
      <c r="U658" s="1719"/>
      <c r="V658" s="1719"/>
      <c r="W658" s="1860"/>
      <c r="X658" s="1860"/>
      <c r="Y658" s="1860"/>
      <c r="Z658" s="428"/>
      <c r="AA658" s="428"/>
      <c r="AB658" s="428"/>
      <c r="AC658" s="428"/>
      <c r="AD658" s="428"/>
      <c r="AE658" s="428"/>
      <c r="AF658" s="428"/>
      <c r="AG658" s="428"/>
      <c r="AH658" s="428"/>
      <c r="AI658" s="428"/>
      <c r="AJ658" s="428"/>
      <c r="AK658" s="428"/>
      <c r="AL658" s="428"/>
      <c r="AM658" s="429"/>
      <c r="AN658" s="429"/>
      <c r="AO658" s="429"/>
    </row>
    <row r="659" spans="1:41" ht="15.75">
      <c r="A659" s="395"/>
      <c r="B659" s="395"/>
      <c r="C659" s="430"/>
      <c r="D659" s="1751"/>
      <c r="E659" s="429"/>
      <c r="F659" s="428"/>
      <c r="G659" s="428"/>
      <c r="H659" s="429"/>
      <c r="I659" s="428"/>
      <c r="J659" s="429"/>
      <c r="K659" s="428"/>
      <c r="L659" s="1843"/>
      <c r="M659" s="1843"/>
      <c r="N659" s="429"/>
      <c r="O659" s="429"/>
      <c r="P659" s="428"/>
      <c r="Q659" s="428"/>
      <c r="R659" s="428"/>
      <c r="S659" s="428"/>
      <c r="T659" s="428"/>
      <c r="U659" s="1719"/>
      <c r="V659" s="1719"/>
      <c r="W659" s="1860"/>
      <c r="X659" s="1860"/>
      <c r="Y659" s="1860"/>
      <c r="Z659" s="428"/>
      <c r="AA659" s="428"/>
      <c r="AB659" s="428"/>
      <c r="AC659" s="428"/>
      <c r="AD659" s="428"/>
      <c r="AE659" s="428"/>
      <c r="AF659" s="428"/>
      <c r="AG659" s="428"/>
      <c r="AH659" s="428"/>
      <c r="AI659" s="428"/>
      <c r="AJ659" s="428"/>
      <c r="AK659" s="428"/>
      <c r="AL659" s="428"/>
      <c r="AM659" s="429"/>
      <c r="AN659" s="429"/>
      <c r="AO659" s="429"/>
    </row>
    <row r="660" spans="1:41" ht="15.75">
      <c r="A660" s="395"/>
      <c r="B660" s="395"/>
      <c r="C660" s="430"/>
      <c r="D660" s="1751"/>
      <c r="E660" s="429"/>
      <c r="F660" s="428"/>
      <c r="G660" s="428"/>
      <c r="H660" s="429"/>
      <c r="I660" s="428"/>
      <c r="J660" s="429"/>
      <c r="K660" s="428"/>
      <c r="L660" s="1843"/>
      <c r="M660" s="1843"/>
      <c r="N660" s="429"/>
      <c r="O660" s="429"/>
      <c r="P660" s="428"/>
      <c r="Q660" s="428"/>
      <c r="R660" s="428"/>
      <c r="S660" s="428"/>
      <c r="T660" s="428"/>
      <c r="U660" s="1719"/>
      <c r="V660" s="1719"/>
      <c r="W660" s="1860"/>
      <c r="X660" s="1860"/>
      <c r="Y660" s="1860"/>
      <c r="Z660" s="428"/>
      <c r="AA660" s="428"/>
      <c r="AB660" s="428"/>
      <c r="AC660" s="428"/>
      <c r="AD660" s="428"/>
      <c r="AE660" s="428"/>
      <c r="AF660" s="428"/>
      <c r="AG660" s="428"/>
      <c r="AH660" s="428"/>
      <c r="AI660" s="428"/>
      <c r="AJ660" s="428"/>
      <c r="AK660" s="428"/>
      <c r="AL660" s="428"/>
      <c r="AM660" s="429"/>
      <c r="AN660" s="429"/>
      <c r="AO660" s="429"/>
    </row>
    <row r="661" spans="1:41" ht="15.75">
      <c r="A661" s="395"/>
      <c r="B661" s="395"/>
      <c r="C661" s="430"/>
      <c r="D661" s="1751"/>
      <c r="E661" s="429"/>
      <c r="F661" s="428"/>
      <c r="G661" s="428"/>
      <c r="H661" s="429"/>
      <c r="I661" s="428"/>
      <c r="J661" s="429"/>
      <c r="K661" s="428"/>
      <c r="L661" s="1843"/>
      <c r="M661" s="1843"/>
      <c r="N661" s="429"/>
      <c r="O661" s="429"/>
      <c r="P661" s="428"/>
      <c r="Q661" s="428"/>
      <c r="R661" s="428"/>
      <c r="S661" s="428"/>
      <c r="T661" s="428"/>
      <c r="U661" s="1719"/>
      <c r="V661" s="1719"/>
      <c r="W661" s="1860"/>
      <c r="X661" s="1860"/>
      <c r="Y661" s="1860"/>
      <c r="Z661" s="428"/>
      <c r="AA661" s="428"/>
      <c r="AB661" s="428"/>
      <c r="AC661" s="428"/>
      <c r="AD661" s="428"/>
      <c r="AE661" s="428"/>
      <c r="AF661" s="428"/>
      <c r="AG661" s="428"/>
      <c r="AH661" s="428"/>
      <c r="AI661" s="428"/>
      <c r="AJ661" s="428"/>
      <c r="AK661" s="428"/>
      <c r="AL661" s="428"/>
      <c r="AM661" s="429"/>
      <c r="AN661" s="429"/>
      <c r="AO661" s="429"/>
    </row>
    <row r="662" spans="1:41" ht="15.75">
      <c r="A662" s="395"/>
      <c r="B662" s="395"/>
      <c r="C662" s="430"/>
      <c r="D662" s="1751"/>
      <c r="E662" s="429"/>
      <c r="F662" s="428"/>
      <c r="G662" s="428"/>
      <c r="H662" s="429"/>
      <c r="I662" s="428"/>
      <c r="J662" s="429"/>
      <c r="K662" s="428"/>
      <c r="L662" s="1843"/>
      <c r="M662" s="1843"/>
      <c r="N662" s="429"/>
      <c r="O662" s="429"/>
      <c r="P662" s="428"/>
      <c r="Q662" s="428"/>
      <c r="R662" s="428"/>
      <c r="S662" s="428"/>
      <c r="T662" s="428"/>
      <c r="U662" s="1719"/>
      <c r="V662" s="1719"/>
      <c r="W662" s="1860"/>
      <c r="X662" s="1860"/>
      <c r="Y662" s="1860"/>
      <c r="Z662" s="428"/>
      <c r="AA662" s="428"/>
      <c r="AB662" s="428"/>
      <c r="AC662" s="428"/>
      <c r="AD662" s="428"/>
      <c r="AE662" s="428"/>
      <c r="AF662" s="428"/>
      <c r="AG662" s="428"/>
      <c r="AH662" s="428"/>
      <c r="AI662" s="428"/>
      <c r="AJ662" s="428"/>
      <c r="AK662" s="428"/>
      <c r="AL662" s="428"/>
      <c r="AM662" s="429"/>
      <c r="AN662" s="429"/>
      <c r="AO662" s="429"/>
    </row>
    <row r="663" spans="1:41" ht="15.75">
      <c r="A663" s="395"/>
      <c r="B663" s="395"/>
      <c r="C663" s="430"/>
      <c r="D663" s="1751"/>
      <c r="E663" s="429"/>
      <c r="F663" s="428"/>
      <c r="G663" s="428"/>
      <c r="H663" s="429"/>
      <c r="I663" s="428"/>
      <c r="J663" s="429"/>
      <c r="K663" s="428"/>
      <c r="L663" s="1843"/>
      <c r="M663" s="1843"/>
      <c r="N663" s="429"/>
      <c r="O663" s="429"/>
      <c r="P663" s="428"/>
      <c r="Q663" s="428"/>
      <c r="R663" s="428"/>
      <c r="S663" s="428"/>
      <c r="T663" s="428"/>
      <c r="U663" s="1719"/>
      <c r="V663" s="1719"/>
      <c r="W663" s="1860"/>
      <c r="X663" s="1860"/>
      <c r="Y663" s="1860"/>
      <c r="Z663" s="428"/>
      <c r="AA663" s="428"/>
      <c r="AB663" s="428"/>
      <c r="AC663" s="428"/>
      <c r="AD663" s="428"/>
      <c r="AE663" s="428"/>
      <c r="AF663" s="428"/>
      <c r="AG663" s="428"/>
      <c r="AH663" s="428"/>
      <c r="AI663" s="428"/>
      <c r="AJ663" s="428"/>
      <c r="AK663" s="428"/>
      <c r="AL663" s="428"/>
      <c r="AM663" s="429"/>
      <c r="AN663" s="429"/>
      <c r="AO663" s="429"/>
    </row>
    <row r="664" spans="1:41" ht="15.75">
      <c r="A664" s="395"/>
      <c r="B664" s="395"/>
      <c r="C664" s="430"/>
      <c r="D664" s="1751"/>
      <c r="E664" s="429"/>
      <c r="F664" s="428"/>
      <c r="G664" s="428"/>
      <c r="H664" s="429"/>
      <c r="I664" s="428"/>
      <c r="J664" s="429"/>
      <c r="K664" s="428"/>
      <c r="L664" s="1843"/>
      <c r="M664" s="1843"/>
      <c r="N664" s="429"/>
      <c r="O664" s="429"/>
      <c r="P664" s="428"/>
      <c r="Q664" s="428"/>
      <c r="R664" s="428"/>
      <c r="S664" s="428"/>
      <c r="T664" s="428"/>
      <c r="U664" s="1719"/>
      <c r="V664" s="1719"/>
      <c r="W664" s="1860"/>
      <c r="X664" s="1860"/>
      <c r="Y664" s="1860"/>
      <c r="Z664" s="428"/>
      <c r="AA664" s="428"/>
      <c r="AB664" s="428"/>
      <c r="AC664" s="428"/>
      <c r="AD664" s="428"/>
      <c r="AE664" s="428"/>
      <c r="AF664" s="428"/>
      <c r="AG664" s="428"/>
      <c r="AH664" s="428"/>
      <c r="AI664" s="428"/>
      <c r="AJ664" s="428"/>
      <c r="AK664" s="428"/>
      <c r="AL664" s="428"/>
      <c r="AM664" s="429"/>
      <c r="AN664" s="429"/>
      <c r="AO664" s="429"/>
    </row>
    <row r="665" spans="1:41" ht="15.75">
      <c r="A665" s="395"/>
      <c r="B665" s="395"/>
      <c r="C665" s="430"/>
      <c r="D665" s="1751"/>
      <c r="E665" s="429"/>
      <c r="F665" s="428"/>
      <c r="G665" s="428"/>
      <c r="H665" s="429"/>
      <c r="I665" s="428"/>
      <c r="J665" s="429"/>
      <c r="K665" s="428"/>
      <c r="L665" s="1843"/>
      <c r="M665" s="1843"/>
      <c r="N665" s="429"/>
      <c r="O665" s="429"/>
      <c r="P665" s="428"/>
      <c r="Q665" s="428"/>
      <c r="R665" s="428"/>
      <c r="S665" s="428"/>
      <c r="T665" s="428"/>
      <c r="U665" s="1719"/>
      <c r="V665" s="1719"/>
      <c r="W665" s="1860"/>
      <c r="X665" s="1860"/>
      <c r="Y665" s="1860"/>
      <c r="Z665" s="428"/>
      <c r="AA665" s="428"/>
      <c r="AB665" s="428"/>
      <c r="AC665" s="428"/>
      <c r="AD665" s="428"/>
      <c r="AE665" s="428"/>
      <c r="AF665" s="428"/>
      <c r="AG665" s="428"/>
      <c r="AH665" s="428"/>
      <c r="AI665" s="428"/>
      <c r="AJ665" s="428"/>
      <c r="AK665" s="428"/>
      <c r="AL665" s="428"/>
      <c r="AM665" s="429"/>
      <c r="AN665" s="429"/>
      <c r="AO665" s="429"/>
    </row>
    <row r="666" spans="1:41" ht="15.75">
      <c r="A666" s="395"/>
      <c r="B666" s="395"/>
      <c r="C666" s="430"/>
      <c r="D666" s="1751"/>
      <c r="E666" s="429"/>
      <c r="F666" s="428"/>
      <c r="G666" s="428"/>
      <c r="H666" s="429"/>
      <c r="I666" s="428"/>
      <c r="J666" s="429"/>
      <c r="K666" s="428"/>
      <c r="L666" s="1843"/>
      <c r="M666" s="1843"/>
      <c r="N666" s="429"/>
      <c r="O666" s="429"/>
      <c r="P666" s="428"/>
      <c r="Q666" s="428"/>
      <c r="R666" s="428"/>
      <c r="S666" s="428"/>
      <c r="T666" s="428"/>
      <c r="U666" s="1719"/>
      <c r="V666" s="1719"/>
      <c r="W666" s="1860"/>
      <c r="X666" s="1860"/>
      <c r="Y666" s="1860"/>
      <c r="Z666" s="428"/>
      <c r="AA666" s="428"/>
      <c r="AB666" s="428"/>
      <c r="AC666" s="428"/>
      <c r="AD666" s="428"/>
      <c r="AE666" s="428"/>
      <c r="AF666" s="428"/>
      <c r="AG666" s="428"/>
      <c r="AH666" s="428"/>
      <c r="AI666" s="428"/>
      <c r="AJ666" s="428"/>
      <c r="AK666" s="428"/>
      <c r="AL666" s="428"/>
      <c r="AM666" s="429"/>
      <c r="AN666" s="429"/>
      <c r="AO666" s="429"/>
    </row>
    <row r="667" spans="1:41" ht="15.75">
      <c r="A667" s="395"/>
      <c r="B667" s="395"/>
      <c r="C667" s="430"/>
      <c r="D667" s="1751"/>
      <c r="E667" s="429"/>
      <c r="F667" s="428"/>
      <c r="G667" s="428"/>
      <c r="H667" s="429"/>
      <c r="I667" s="428"/>
      <c r="J667" s="429"/>
      <c r="K667" s="428"/>
      <c r="L667" s="1843"/>
      <c r="M667" s="1843"/>
      <c r="N667" s="429"/>
      <c r="O667" s="429"/>
      <c r="P667" s="428"/>
      <c r="Q667" s="428"/>
      <c r="R667" s="428"/>
      <c r="S667" s="428"/>
      <c r="T667" s="428"/>
      <c r="U667" s="1719"/>
      <c r="V667" s="1719"/>
      <c r="W667" s="1860"/>
      <c r="X667" s="1860"/>
      <c r="Y667" s="1860"/>
      <c r="Z667" s="428"/>
      <c r="AA667" s="428"/>
      <c r="AB667" s="428"/>
      <c r="AC667" s="428"/>
      <c r="AD667" s="428"/>
      <c r="AE667" s="428"/>
      <c r="AF667" s="428"/>
      <c r="AG667" s="428"/>
      <c r="AH667" s="428"/>
      <c r="AI667" s="428"/>
      <c r="AJ667" s="428"/>
      <c r="AK667" s="428"/>
      <c r="AL667" s="428"/>
      <c r="AM667" s="429"/>
      <c r="AN667" s="429"/>
      <c r="AO667" s="429"/>
    </row>
    <row r="668" spans="1:41" ht="15.75">
      <c r="A668" s="395"/>
      <c r="B668" s="395"/>
      <c r="C668" s="430"/>
      <c r="D668" s="1751"/>
      <c r="E668" s="429"/>
      <c r="F668" s="428"/>
      <c r="G668" s="428"/>
      <c r="H668" s="429"/>
      <c r="I668" s="428"/>
      <c r="J668" s="429"/>
      <c r="K668" s="428"/>
      <c r="L668" s="1843"/>
      <c r="M668" s="1843"/>
      <c r="N668" s="429"/>
      <c r="O668" s="429"/>
      <c r="P668" s="428"/>
      <c r="Q668" s="428"/>
      <c r="R668" s="428"/>
      <c r="S668" s="428"/>
      <c r="T668" s="428"/>
      <c r="U668" s="1719"/>
      <c r="V668" s="1719"/>
      <c r="W668" s="1860"/>
      <c r="X668" s="1860"/>
      <c r="Y668" s="1860"/>
      <c r="Z668" s="428"/>
      <c r="AA668" s="428"/>
      <c r="AB668" s="428"/>
      <c r="AC668" s="428"/>
      <c r="AD668" s="428"/>
      <c r="AE668" s="428"/>
      <c r="AF668" s="428"/>
      <c r="AG668" s="428"/>
      <c r="AH668" s="428"/>
      <c r="AI668" s="428"/>
      <c r="AJ668" s="428"/>
      <c r="AK668" s="428"/>
      <c r="AL668" s="428"/>
      <c r="AM668" s="429"/>
      <c r="AN668" s="429"/>
      <c r="AO668" s="429"/>
    </row>
    <row r="669" spans="1:41" ht="15.75">
      <c r="A669" s="395"/>
      <c r="B669" s="395"/>
      <c r="C669" s="430"/>
      <c r="D669" s="1751"/>
      <c r="E669" s="429"/>
      <c r="F669" s="428"/>
      <c r="G669" s="428"/>
      <c r="H669" s="429"/>
      <c r="I669" s="428"/>
      <c r="J669" s="429"/>
      <c r="K669" s="428"/>
      <c r="L669" s="1843"/>
      <c r="M669" s="1843"/>
      <c r="N669" s="429"/>
      <c r="O669" s="429"/>
      <c r="P669" s="428"/>
      <c r="Q669" s="428"/>
      <c r="R669" s="428"/>
      <c r="S669" s="428"/>
      <c r="T669" s="428"/>
      <c r="U669" s="1719"/>
      <c r="V669" s="1719"/>
      <c r="W669" s="1860"/>
      <c r="X669" s="1860"/>
      <c r="Y669" s="1860"/>
      <c r="Z669" s="428"/>
      <c r="AA669" s="428"/>
      <c r="AB669" s="428"/>
      <c r="AC669" s="428"/>
      <c r="AD669" s="428"/>
      <c r="AE669" s="428"/>
      <c r="AF669" s="428"/>
      <c r="AG669" s="428"/>
      <c r="AH669" s="428"/>
      <c r="AI669" s="428"/>
      <c r="AJ669" s="428"/>
      <c r="AK669" s="428"/>
      <c r="AL669" s="428"/>
      <c r="AM669" s="429"/>
      <c r="AN669" s="429"/>
      <c r="AO669" s="429"/>
    </row>
    <row r="670" spans="1:41" ht="15.75">
      <c r="A670" s="395"/>
      <c r="B670" s="395"/>
      <c r="C670" s="430"/>
      <c r="D670" s="1751"/>
      <c r="E670" s="429"/>
      <c r="F670" s="428"/>
      <c r="G670" s="428"/>
      <c r="H670" s="429"/>
      <c r="I670" s="428"/>
      <c r="J670" s="429"/>
      <c r="K670" s="428"/>
      <c r="L670" s="1843"/>
      <c r="M670" s="1843"/>
      <c r="N670" s="429"/>
      <c r="O670" s="429"/>
      <c r="P670" s="428"/>
      <c r="Q670" s="428"/>
      <c r="R670" s="428"/>
      <c r="S670" s="428"/>
      <c r="T670" s="428"/>
      <c r="U670" s="1719"/>
      <c r="V670" s="1719"/>
      <c r="W670" s="1860"/>
      <c r="X670" s="1860"/>
      <c r="Y670" s="1860"/>
      <c r="Z670" s="428"/>
      <c r="AA670" s="428"/>
      <c r="AB670" s="428"/>
      <c r="AC670" s="428"/>
      <c r="AD670" s="428"/>
      <c r="AE670" s="428"/>
      <c r="AF670" s="428"/>
      <c r="AG670" s="428"/>
      <c r="AH670" s="428"/>
      <c r="AI670" s="428"/>
      <c r="AJ670" s="428"/>
      <c r="AK670" s="428"/>
      <c r="AL670" s="428"/>
      <c r="AM670" s="429"/>
      <c r="AN670" s="429"/>
      <c r="AO670" s="429"/>
    </row>
    <row r="671" spans="1:41" ht="15.75">
      <c r="A671" s="395"/>
      <c r="B671" s="395"/>
      <c r="C671" s="430"/>
      <c r="D671" s="1751"/>
      <c r="E671" s="429"/>
      <c r="F671" s="428"/>
      <c r="G671" s="428"/>
      <c r="H671" s="429"/>
      <c r="I671" s="428"/>
      <c r="J671" s="429"/>
      <c r="K671" s="428"/>
      <c r="L671" s="1843"/>
      <c r="M671" s="1843"/>
      <c r="N671" s="429"/>
      <c r="O671" s="429"/>
      <c r="P671" s="428"/>
      <c r="Q671" s="428"/>
      <c r="R671" s="428"/>
      <c r="S671" s="428"/>
      <c r="T671" s="428"/>
      <c r="U671" s="1719"/>
      <c r="V671" s="1719"/>
      <c r="W671" s="1860"/>
      <c r="X671" s="1860"/>
      <c r="Y671" s="1860"/>
      <c r="Z671" s="428"/>
      <c r="AA671" s="428"/>
      <c r="AB671" s="428"/>
      <c r="AC671" s="428"/>
      <c r="AD671" s="428"/>
      <c r="AE671" s="428"/>
      <c r="AF671" s="428"/>
      <c r="AG671" s="428"/>
      <c r="AH671" s="428"/>
      <c r="AI671" s="428"/>
      <c r="AJ671" s="428"/>
      <c r="AK671" s="428"/>
      <c r="AL671" s="428"/>
      <c r="AM671" s="429"/>
      <c r="AN671" s="429"/>
      <c r="AO671" s="429"/>
    </row>
    <row r="672" spans="1:41" ht="15.75">
      <c r="A672" s="395"/>
      <c r="B672" s="395"/>
      <c r="C672" s="430"/>
      <c r="D672" s="1751"/>
      <c r="E672" s="429"/>
      <c r="F672" s="428"/>
      <c r="G672" s="428"/>
      <c r="H672" s="429"/>
      <c r="I672" s="428"/>
      <c r="J672" s="429"/>
      <c r="K672" s="428"/>
      <c r="L672" s="1843"/>
      <c r="M672" s="1843"/>
      <c r="N672" s="429"/>
      <c r="O672" s="429"/>
      <c r="P672" s="428"/>
      <c r="Q672" s="428"/>
      <c r="R672" s="428"/>
      <c r="S672" s="428"/>
      <c r="T672" s="428"/>
      <c r="U672" s="1719"/>
      <c r="V672" s="1719"/>
      <c r="W672" s="1860"/>
      <c r="X672" s="1860"/>
      <c r="Y672" s="1860"/>
      <c r="Z672" s="428"/>
      <c r="AA672" s="428"/>
      <c r="AB672" s="428"/>
      <c r="AC672" s="428"/>
      <c r="AD672" s="428"/>
      <c r="AE672" s="428"/>
      <c r="AF672" s="428"/>
      <c r="AG672" s="428"/>
      <c r="AH672" s="428"/>
      <c r="AI672" s="428"/>
      <c r="AJ672" s="428"/>
      <c r="AK672" s="428"/>
      <c r="AL672" s="428"/>
      <c r="AM672" s="429"/>
      <c r="AN672" s="429"/>
      <c r="AO672" s="429"/>
    </row>
    <row r="673" spans="1:41" ht="15.75">
      <c r="A673" s="395"/>
      <c r="B673" s="395"/>
      <c r="C673" s="430"/>
      <c r="D673" s="1751"/>
      <c r="E673" s="429"/>
      <c r="F673" s="428"/>
      <c r="G673" s="428"/>
      <c r="H673" s="429"/>
      <c r="I673" s="428"/>
      <c r="J673" s="429"/>
      <c r="K673" s="428"/>
      <c r="L673" s="1843"/>
      <c r="M673" s="1843"/>
      <c r="N673" s="429"/>
      <c r="O673" s="429"/>
      <c r="P673" s="428"/>
      <c r="Q673" s="428"/>
      <c r="R673" s="428"/>
      <c r="S673" s="428"/>
      <c r="T673" s="428"/>
      <c r="U673" s="1719"/>
      <c r="V673" s="1719"/>
      <c r="W673" s="1860"/>
      <c r="X673" s="1860"/>
      <c r="Y673" s="1860"/>
      <c r="Z673" s="428"/>
      <c r="AA673" s="428"/>
      <c r="AB673" s="428"/>
      <c r="AC673" s="428"/>
      <c r="AD673" s="428"/>
      <c r="AE673" s="428"/>
      <c r="AF673" s="428"/>
      <c r="AG673" s="428"/>
      <c r="AH673" s="428"/>
      <c r="AI673" s="428"/>
      <c r="AJ673" s="428"/>
      <c r="AK673" s="428"/>
      <c r="AL673" s="428"/>
      <c r="AM673" s="429"/>
      <c r="AN673" s="429"/>
      <c r="AO673" s="429"/>
    </row>
    <row r="674" spans="1:41" ht="15.75">
      <c r="A674" s="395"/>
      <c r="B674" s="395"/>
      <c r="C674" s="430"/>
      <c r="D674" s="1751"/>
      <c r="E674" s="429"/>
      <c r="F674" s="428"/>
      <c r="G674" s="428"/>
      <c r="H674" s="429"/>
      <c r="I674" s="428"/>
      <c r="J674" s="429"/>
      <c r="K674" s="428"/>
      <c r="L674" s="1843"/>
      <c r="M674" s="1843"/>
      <c r="N674" s="429"/>
      <c r="O674" s="429"/>
      <c r="P674" s="428"/>
      <c r="Q674" s="428"/>
      <c r="R674" s="428"/>
      <c r="S674" s="428"/>
      <c r="T674" s="428"/>
      <c r="U674" s="1719"/>
      <c r="V674" s="1719"/>
      <c r="W674" s="1860"/>
      <c r="X674" s="1860"/>
      <c r="Y674" s="1860"/>
      <c r="Z674" s="428"/>
      <c r="AA674" s="428"/>
      <c r="AB674" s="428"/>
      <c r="AC674" s="428"/>
      <c r="AD674" s="428"/>
      <c r="AE674" s="428"/>
      <c r="AF674" s="428"/>
      <c r="AG674" s="428"/>
      <c r="AH674" s="428"/>
      <c r="AI674" s="428"/>
      <c r="AJ674" s="428"/>
      <c r="AK674" s="428"/>
      <c r="AL674" s="428"/>
      <c r="AM674" s="429"/>
      <c r="AN674" s="429"/>
      <c r="AO674" s="429"/>
    </row>
    <row r="675" spans="1:41" ht="15.75">
      <c r="A675" s="395"/>
      <c r="B675" s="395"/>
      <c r="C675" s="430"/>
      <c r="D675" s="1751"/>
      <c r="E675" s="429"/>
      <c r="F675" s="428"/>
      <c r="G675" s="428"/>
      <c r="H675" s="429"/>
      <c r="I675" s="428"/>
      <c r="J675" s="429"/>
      <c r="K675" s="428"/>
      <c r="L675" s="1843"/>
      <c r="M675" s="1843"/>
      <c r="N675" s="429"/>
      <c r="O675" s="429"/>
      <c r="P675" s="428"/>
      <c r="Q675" s="428"/>
      <c r="R675" s="428"/>
      <c r="S675" s="428"/>
      <c r="T675" s="428"/>
      <c r="U675" s="1719"/>
      <c r="V675" s="1719"/>
      <c r="W675" s="1860"/>
      <c r="X675" s="1860"/>
      <c r="Y675" s="1860"/>
      <c r="Z675" s="428"/>
      <c r="AA675" s="428"/>
      <c r="AB675" s="428"/>
      <c r="AC675" s="428"/>
      <c r="AD675" s="428"/>
      <c r="AE675" s="428"/>
      <c r="AF675" s="428"/>
      <c r="AG675" s="428"/>
      <c r="AH675" s="428"/>
      <c r="AI675" s="428"/>
      <c r="AJ675" s="428"/>
      <c r="AK675" s="428"/>
      <c r="AL675" s="428"/>
      <c r="AM675" s="429"/>
      <c r="AN675" s="429"/>
      <c r="AO675" s="429"/>
    </row>
    <row r="676" spans="1:41" ht="15.75">
      <c r="A676" s="395"/>
      <c r="B676" s="395"/>
      <c r="C676" s="430"/>
      <c r="D676" s="1751"/>
      <c r="E676" s="429"/>
      <c r="F676" s="428"/>
      <c r="G676" s="428"/>
      <c r="H676" s="429"/>
      <c r="I676" s="428"/>
      <c r="J676" s="429"/>
      <c r="K676" s="428"/>
      <c r="L676" s="1843"/>
      <c r="M676" s="1843"/>
      <c r="N676" s="429"/>
      <c r="O676" s="429"/>
      <c r="P676" s="428"/>
      <c r="Q676" s="428"/>
      <c r="R676" s="428"/>
      <c r="S676" s="428"/>
      <c r="T676" s="428"/>
      <c r="U676" s="1719"/>
      <c r="V676" s="1719"/>
      <c r="W676" s="1860"/>
      <c r="X676" s="1860"/>
      <c r="Y676" s="1860"/>
      <c r="Z676" s="428"/>
      <c r="AA676" s="428"/>
      <c r="AB676" s="428"/>
      <c r="AC676" s="428"/>
      <c r="AD676" s="428"/>
      <c r="AE676" s="428"/>
      <c r="AF676" s="428"/>
      <c r="AG676" s="428"/>
      <c r="AH676" s="428"/>
      <c r="AI676" s="428"/>
      <c r="AJ676" s="428"/>
      <c r="AK676" s="428"/>
      <c r="AL676" s="428"/>
      <c r="AM676" s="429"/>
      <c r="AN676" s="429"/>
      <c r="AO676" s="429"/>
    </row>
    <row r="677" spans="1:41" ht="15.75">
      <c r="A677" s="395"/>
      <c r="B677" s="395"/>
      <c r="C677" s="430"/>
      <c r="D677" s="1751"/>
      <c r="E677" s="429"/>
      <c r="F677" s="428"/>
      <c r="G677" s="428"/>
      <c r="H677" s="429"/>
      <c r="I677" s="428"/>
      <c r="J677" s="429"/>
      <c r="K677" s="428"/>
      <c r="L677" s="1843"/>
      <c r="M677" s="1843"/>
      <c r="N677" s="429"/>
      <c r="O677" s="429"/>
      <c r="P677" s="428"/>
      <c r="Q677" s="428"/>
      <c r="R677" s="428"/>
      <c r="S677" s="428"/>
      <c r="T677" s="428"/>
      <c r="U677" s="1719"/>
      <c r="V677" s="1719"/>
      <c r="W677" s="1860"/>
      <c r="X677" s="1860"/>
      <c r="Y677" s="1860"/>
      <c r="Z677" s="428"/>
      <c r="AA677" s="428"/>
      <c r="AB677" s="428"/>
      <c r="AC677" s="428"/>
      <c r="AD677" s="428"/>
      <c r="AE677" s="428"/>
      <c r="AF677" s="428"/>
      <c r="AG677" s="428"/>
      <c r="AH677" s="428"/>
      <c r="AI677" s="428"/>
      <c r="AJ677" s="428"/>
      <c r="AK677" s="428"/>
      <c r="AL677" s="428"/>
      <c r="AM677" s="429"/>
      <c r="AN677" s="429"/>
      <c r="AO677" s="429"/>
    </row>
    <row r="678" spans="1:41" ht="15.75">
      <c r="A678" s="395"/>
      <c r="B678" s="395"/>
      <c r="C678" s="430"/>
      <c r="D678" s="1751"/>
      <c r="E678" s="429"/>
      <c r="F678" s="428"/>
      <c r="G678" s="428"/>
      <c r="H678" s="429"/>
      <c r="I678" s="428"/>
      <c r="J678" s="429"/>
      <c r="K678" s="428"/>
      <c r="L678" s="1843"/>
      <c r="M678" s="1843"/>
      <c r="N678" s="429"/>
      <c r="O678" s="429"/>
      <c r="P678" s="428"/>
      <c r="Q678" s="428"/>
      <c r="R678" s="428"/>
      <c r="S678" s="428"/>
      <c r="T678" s="428"/>
      <c r="U678" s="1719"/>
      <c r="V678" s="1719"/>
      <c r="W678" s="1860"/>
      <c r="X678" s="1860"/>
      <c r="Y678" s="1860"/>
      <c r="Z678" s="428"/>
      <c r="AA678" s="428"/>
      <c r="AB678" s="428"/>
      <c r="AC678" s="428"/>
      <c r="AD678" s="428"/>
      <c r="AE678" s="428"/>
      <c r="AF678" s="428"/>
      <c r="AG678" s="428"/>
      <c r="AH678" s="428"/>
      <c r="AI678" s="428"/>
      <c r="AJ678" s="428"/>
      <c r="AK678" s="428"/>
      <c r="AL678" s="428"/>
      <c r="AM678" s="429"/>
      <c r="AN678" s="429"/>
      <c r="AO678" s="429"/>
    </row>
    <row r="679" spans="1:41" ht="15.75">
      <c r="A679" s="395"/>
      <c r="B679" s="395"/>
      <c r="C679" s="430"/>
      <c r="D679" s="1751"/>
      <c r="E679" s="429"/>
      <c r="F679" s="428"/>
      <c r="G679" s="428"/>
      <c r="H679" s="429"/>
      <c r="I679" s="428"/>
      <c r="J679" s="429"/>
      <c r="K679" s="428"/>
      <c r="L679" s="1843"/>
      <c r="M679" s="1843"/>
      <c r="N679" s="429"/>
      <c r="O679" s="429"/>
      <c r="P679" s="428"/>
      <c r="Q679" s="428"/>
      <c r="R679" s="428"/>
      <c r="S679" s="428"/>
      <c r="T679" s="428"/>
      <c r="U679" s="1719"/>
      <c r="V679" s="1719"/>
      <c r="W679" s="1860"/>
      <c r="X679" s="1860"/>
      <c r="Y679" s="1860"/>
      <c r="Z679" s="428"/>
      <c r="AA679" s="428"/>
      <c r="AB679" s="428"/>
      <c r="AC679" s="428"/>
      <c r="AD679" s="428"/>
      <c r="AE679" s="428"/>
      <c r="AF679" s="428"/>
      <c r="AG679" s="428"/>
      <c r="AH679" s="428"/>
      <c r="AI679" s="428"/>
      <c r="AJ679" s="428"/>
      <c r="AK679" s="428"/>
      <c r="AL679" s="428"/>
      <c r="AM679" s="429"/>
      <c r="AN679" s="429"/>
      <c r="AO679" s="429"/>
    </row>
    <row r="680" spans="1:41" ht="15.75">
      <c r="C680" s="430"/>
      <c r="D680" s="1751"/>
      <c r="E680" s="429"/>
      <c r="F680" s="428"/>
      <c r="G680" s="428"/>
      <c r="H680" s="429"/>
      <c r="I680" s="428"/>
      <c r="J680" s="429"/>
      <c r="K680" s="428"/>
      <c r="L680" s="1843"/>
      <c r="M680" s="1843"/>
      <c r="N680" s="429"/>
      <c r="O680" s="429"/>
      <c r="P680" s="428"/>
      <c r="Q680" s="428"/>
      <c r="R680" s="428"/>
      <c r="S680" s="428"/>
      <c r="T680" s="428"/>
      <c r="U680" s="1719"/>
      <c r="V680" s="1719"/>
      <c r="W680" s="1860"/>
      <c r="X680" s="1860"/>
      <c r="Y680" s="1860"/>
      <c r="Z680" s="428"/>
      <c r="AA680" s="428"/>
      <c r="AB680" s="428"/>
      <c r="AC680" s="428"/>
      <c r="AD680" s="428"/>
      <c r="AE680" s="428"/>
      <c r="AF680" s="428"/>
      <c r="AG680" s="428"/>
      <c r="AH680" s="428"/>
      <c r="AI680" s="428"/>
      <c r="AJ680" s="428"/>
      <c r="AK680" s="428"/>
      <c r="AL680" s="428"/>
      <c r="AM680" s="429"/>
      <c r="AN680" s="429"/>
      <c r="AO680" s="429"/>
    </row>
    <row r="681" spans="1:41" ht="15.75">
      <c r="C681" s="430"/>
      <c r="D681" s="1751"/>
      <c r="E681" s="429"/>
      <c r="F681" s="428"/>
      <c r="G681" s="428"/>
      <c r="H681" s="429"/>
      <c r="I681" s="428"/>
      <c r="J681" s="429"/>
      <c r="K681" s="428"/>
      <c r="L681" s="1843"/>
      <c r="M681" s="1843"/>
      <c r="N681" s="429"/>
      <c r="O681" s="429"/>
      <c r="P681" s="428"/>
      <c r="Q681" s="428"/>
      <c r="R681" s="428"/>
      <c r="S681" s="428"/>
      <c r="T681" s="428"/>
      <c r="U681" s="1719"/>
      <c r="V681" s="1719"/>
      <c r="W681" s="1860"/>
      <c r="X681" s="1860"/>
      <c r="Y681" s="1860"/>
      <c r="Z681" s="428"/>
      <c r="AA681" s="428"/>
      <c r="AB681" s="428"/>
      <c r="AC681" s="428"/>
      <c r="AD681" s="428"/>
      <c r="AE681" s="428"/>
      <c r="AF681" s="428"/>
      <c r="AG681" s="428"/>
      <c r="AH681" s="428"/>
      <c r="AI681" s="428"/>
      <c r="AJ681" s="428"/>
      <c r="AK681" s="428"/>
      <c r="AL681" s="428"/>
      <c r="AM681" s="429"/>
      <c r="AN681" s="429"/>
      <c r="AO681" s="429"/>
    </row>
    <row r="682" spans="1:41" ht="15.75">
      <c r="C682" s="430"/>
      <c r="D682" s="1751"/>
      <c r="E682" s="429"/>
      <c r="F682" s="428"/>
      <c r="G682" s="428"/>
      <c r="H682" s="429"/>
      <c r="I682" s="428"/>
      <c r="J682" s="429"/>
      <c r="K682" s="428"/>
      <c r="L682" s="1843"/>
      <c r="M682" s="1843"/>
      <c r="N682" s="429"/>
      <c r="O682" s="429"/>
      <c r="P682" s="428"/>
      <c r="Q682" s="428"/>
      <c r="R682" s="428"/>
      <c r="S682" s="428"/>
      <c r="T682" s="428"/>
      <c r="U682" s="1719"/>
      <c r="V682" s="1719"/>
      <c r="W682" s="1860"/>
      <c r="X682" s="1860"/>
      <c r="Y682" s="1860"/>
      <c r="Z682" s="428"/>
      <c r="AA682" s="428"/>
      <c r="AB682" s="428"/>
      <c r="AC682" s="428"/>
      <c r="AD682" s="428"/>
      <c r="AE682" s="428"/>
      <c r="AF682" s="428"/>
      <c r="AG682" s="428"/>
      <c r="AH682" s="428"/>
      <c r="AI682" s="428"/>
      <c r="AJ682" s="428"/>
      <c r="AK682" s="428"/>
      <c r="AL682" s="428"/>
      <c r="AM682" s="429"/>
      <c r="AN682" s="429"/>
      <c r="AO682" s="429"/>
    </row>
    <row r="683" spans="1:41" ht="15.75">
      <c r="C683" s="430"/>
      <c r="D683" s="1751"/>
      <c r="E683" s="429"/>
      <c r="F683" s="428"/>
      <c r="G683" s="428"/>
      <c r="H683" s="429"/>
      <c r="I683" s="428"/>
      <c r="J683" s="429"/>
      <c r="K683" s="428"/>
      <c r="L683" s="1843"/>
      <c r="M683" s="1843"/>
      <c r="N683" s="429"/>
      <c r="O683" s="429"/>
      <c r="P683" s="428"/>
      <c r="Q683" s="428"/>
      <c r="R683" s="428"/>
      <c r="S683" s="428"/>
      <c r="T683" s="428"/>
      <c r="U683" s="1719"/>
      <c r="V683" s="1719"/>
      <c r="W683" s="1860"/>
      <c r="X683" s="1860"/>
      <c r="Y683" s="1860"/>
      <c r="Z683" s="428"/>
      <c r="AA683" s="428"/>
      <c r="AB683" s="428"/>
      <c r="AC683" s="428"/>
      <c r="AD683" s="428"/>
      <c r="AE683" s="428"/>
      <c r="AF683" s="428"/>
      <c r="AG683" s="428"/>
      <c r="AH683" s="428"/>
      <c r="AI683" s="428"/>
      <c r="AJ683" s="428"/>
      <c r="AK683" s="428"/>
      <c r="AL683" s="428"/>
      <c r="AM683" s="429"/>
      <c r="AN683" s="429"/>
      <c r="AO683" s="429"/>
    </row>
    <row r="684" spans="1:41" ht="15.75">
      <c r="C684" s="430"/>
      <c r="D684" s="1751"/>
      <c r="E684" s="429"/>
      <c r="F684" s="428"/>
      <c r="G684" s="428"/>
      <c r="H684" s="429"/>
      <c r="I684" s="428"/>
      <c r="J684" s="429"/>
      <c r="K684" s="428"/>
      <c r="L684" s="1843"/>
      <c r="M684" s="1843"/>
      <c r="N684" s="429"/>
      <c r="O684" s="429"/>
      <c r="P684" s="428"/>
      <c r="Q684" s="428"/>
      <c r="R684" s="428"/>
      <c r="S684" s="428"/>
      <c r="T684" s="428"/>
      <c r="U684" s="1719"/>
      <c r="V684" s="1719"/>
      <c r="W684" s="1860"/>
      <c r="X684" s="1860"/>
      <c r="Y684" s="1860"/>
      <c r="Z684" s="428"/>
      <c r="AA684" s="428"/>
      <c r="AB684" s="428"/>
      <c r="AC684" s="428"/>
      <c r="AD684" s="428"/>
      <c r="AE684" s="428"/>
      <c r="AF684" s="428"/>
      <c r="AG684" s="428"/>
      <c r="AH684" s="428"/>
      <c r="AI684" s="428"/>
      <c r="AJ684" s="428"/>
      <c r="AK684" s="428"/>
      <c r="AL684" s="428"/>
      <c r="AM684" s="429"/>
      <c r="AN684" s="429"/>
      <c r="AO684" s="429"/>
    </row>
    <row r="685" spans="1:41" ht="15.75">
      <c r="C685" s="430"/>
      <c r="D685" s="1751"/>
      <c r="E685" s="429"/>
      <c r="F685" s="428"/>
      <c r="G685" s="428"/>
      <c r="H685" s="429"/>
      <c r="I685" s="428"/>
      <c r="J685" s="429"/>
      <c r="K685" s="428"/>
      <c r="L685" s="1843"/>
      <c r="M685" s="1843"/>
      <c r="N685" s="429"/>
      <c r="O685" s="429"/>
      <c r="P685" s="428"/>
      <c r="Q685" s="428"/>
      <c r="R685" s="428"/>
      <c r="S685" s="428"/>
      <c r="T685" s="428"/>
      <c r="U685" s="1719"/>
      <c r="V685" s="1719"/>
      <c r="W685" s="1860"/>
      <c r="X685" s="1860"/>
      <c r="Y685" s="1860"/>
      <c r="Z685" s="428"/>
      <c r="AA685" s="428"/>
      <c r="AB685" s="428"/>
      <c r="AC685" s="428"/>
      <c r="AD685" s="428"/>
      <c r="AE685" s="428"/>
      <c r="AF685" s="428"/>
      <c r="AG685" s="428"/>
      <c r="AH685" s="428"/>
      <c r="AI685" s="428"/>
      <c r="AJ685" s="428"/>
      <c r="AK685" s="428"/>
      <c r="AL685" s="428"/>
      <c r="AM685" s="429"/>
      <c r="AN685" s="429"/>
      <c r="AO685" s="429"/>
    </row>
    <row r="686" spans="1:41" ht="15.75">
      <c r="C686" s="430"/>
      <c r="D686" s="1751"/>
      <c r="E686" s="429"/>
      <c r="F686" s="428"/>
      <c r="G686" s="428"/>
      <c r="H686" s="429"/>
      <c r="I686" s="428"/>
      <c r="J686" s="429"/>
      <c r="K686" s="428"/>
      <c r="L686" s="1843"/>
      <c r="M686" s="1843"/>
      <c r="N686" s="429"/>
      <c r="O686" s="429"/>
      <c r="P686" s="428"/>
      <c r="Q686" s="428"/>
      <c r="R686" s="428"/>
      <c r="S686" s="428"/>
      <c r="T686" s="428"/>
      <c r="U686" s="1719"/>
      <c r="V686" s="1719"/>
      <c r="W686" s="1860"/>
      <c r="X686" s="1860"/>
      <c r="Y686" s="1860"/>
      <c r="Z686" s="428"/>
      <c r="AA686" s="428"/>
      <c r="AB686" s="428"/>
      <c r="AC686" s="428"/>
      <c r="AD686" s="428"/>
      <c r="AE686" s="428"/>
      <c r="AF686" s="428"/>
      <c r="AG686" s="428"/>
      <c r="AH686" s="428"/>
      <c r="AI686" s="428"/>
      <c r="AJ686" s="428"/>
      <c r="AK686" s="428"/>
      <c r="AL686" s="428"/>
      <c r="AM686" s="429"/>
      <c r="AN686" s="429"/>
      <c r="AO686" s="429"/>
    </row>
    <row r="687" spans="1:41" ht="15.75">
      <c r="C687" s="430"/>
      <c r="D687" s="1751"/>
      <c r="E687" s="429"/>
      <c r="F687" s="428"/>
      <c r="G687" s="428"/>
      <c r="H687" s="429"/>
      <c r="I687" s="428"/>
      <c r="J687" s="429"/>
      <c r="K687" s="428"/>
      <c r="L687" s="1843"/>
      <c r="M687" s="1843"/>
      <c r="N687" s="429"/>
      <c r="O687" s="429"/>
      <c r="P687" s="428"/>
      <c r="Q687" s="428"/>
      <c r="R687" s="428"/>
      <c r="S687" s="428"/>
      <c r="T687" s="428"/>
      <c r="U687" s="1719"/>
      <c r="V687" s="1719"/>
      <c r="W687" s="1860"/>
      <c r="X687" s="1860"/>
      <c r="Y687" s="1860"/>
      <c r="Z687" s="428"/>
      <c r="AA687" s="428"/>
      <c r="AB687" s="428"/>
      <c r="AC687" s="428"/>
      <c r="AD687" s="428"/>
      <c r="AE687" s="428"/>
      <c r="AF687" s="428"/>
      <c r="AG687" s="428"/>
      <c r="AH687" s="428"/>
      <c r="AI687" s="428"/>
      <c r="AJ687" s="428"/>
      <c r="AK687" s="428"/>
      <c r="AL687" s="428"/>
      <c r="AM687" s="429"/>
      <c r="AN687" s="429"/>
      <c r="AO687" s="429"/>
    </row>
    <row r="688" spans="1:41" ht="15.75">
      <c r="C688" s="430"/>
      <c r="D688" s="1751"/>
      <c r="E688" s="429"/>
      <c r="F688" s="428"/>
      <c r="G688" s="428"/>
      <c r="H688" s="429"/>
      <c r="I688" s="428"/>
      <c r="J688" s="429"/>
      <c r="K688" s="428"/>
      <c r="L688" s="1843"/>
      <c r="M688" s="1843"/>
      <c r="N688" s="429"/>
      <c r="O688" s="429"/>
      <c r="P688" s="428"/>
      <c r="Q688" s="428"/>
      <c r="R688" s="428"/>
      <c r="S688" s="428"/>
      <c r="T688" s="428"/>
      <c r="U688" s="1719"/>
      <c r="V688" s="1719"/>
      <c r="W688" s="1860"/>
      <c r="X688" s="1860"/>
      <c r="Y688" s="1860"/>
      <c r="Z688" s="428"/>
      <c r="AA688" s="428"/>
      <c r="AB688" s="428"/>
      <c r="AC688" s="428"/>
      <c r="AD688" s="428"/>
      <c r="AE688" s="428"/>
      <c r="AF688" s="428"/>
      <c r="AG688" s="428"/>
      <c r="AH688" s="428"/>
      <c r="AI688" s="428"/>
      <c r="AJ688" s="428"/>
      <c r="AK688" s="428"/>
      <c r="AL688" s="428"/>
      <c r="AM688" s="429"/>
      <c r="AN688" s="429"/>
      <c r="AO688" s="429"/>
    </row>
    <row r="689" spans="3:41" ht="15.75">
      <c r="C689" s="430"/>
      <c r="D689" s="1751"/>
      <c r="E689" s="429"/>
      <c r="F689" s="428"/>
      <c r="G689" s="428"/>
      <c r="H689" s="429"/>
      <c r="I689" s="428"/>
      <c r="J689" s="429"/>
      <c r="K689" s="428"/>
      <c r="L689" s="1843"/>
      <c r="M689" s="1843"/>
      <c r="N689" s="429"/>
      <c r="O689" s="429"/>
      <c r="P689" s="428"/>
      <c r="Q689" s="428"/>
      <c r="R689" s="428"/>
      <c r="S689" s="428"/>
      <c r="T689" s="428"/>
      <c r="U689" s="1719"/>
      <c r="V689" s="1719"/>
      <c r="W689" s="1860"/>
      <c r="X689" s="1860"/>
      <c r="Y689" s="1860"/>
      <c r="Z689" s="428"/>
      <c r="AA689" s="428"/>
      <c r="AB689" s="428"/>
      <c r="AC689" s="428"/>
      <c r="AD689" s="428"/>
      <c r="AE689" s="428"/>
      <c r="AF689" s="428"/>
      <c r="AG689" s="428"/>
      <c r="AH689" s="428"/>
      <c r="AI689" s="428"/>
      <c r="AJ689" s="428"/>
      <c r="AK689" s="428"/>
      <c r="AL689" s="428"/>
      <c r="AM689" s="429"/>
      <c r="AN689" s="429"/>
      <c r="AO689" s="429"/>
    </row>
    <row r="690" spans="3:41" ht="15.75">
      <c r="C690" s="430"/>
      <c r="D690" s="1751"/>
      <c r="E690" s="429"/>
      <c r="F690" s="1863"/>
      <c r="G690" s="1863"/>
      <c r="H690" s="429"/>
      <c r="I690" s="1863"/>
      <c r="J690" s="429"/>
      <c r="K690" s="1863"/>
      <c r="L690" s="1843"/>
      <c r="M690" s="1843"/>
      <c r="N690" s="429"/>
      <c r="O690" s="429"/>
      <c r="P690" s="428"/>
      <c r="Q690" s="428"/>
      <c r="R690" s="428"/>
      <c r="S690" s="428"/>
      <c r="T690" s="428"/>
      <c r="U690" s="1719"/>
      <c r="V690" s="1719"/>
      <c r="W690" s="1860"/>
      <c r="X690" s="1860"/>
      <c r="Y690" s="1860"/>
      <c r="Z690" s="428"/>
      <c r="AA690" s="428"/>
      <c r="AB690" s="428"/>
      <c r="AC690" s="428"/>
      <c r="AD690" s="428"/>
      <c r="AE690" s="428"/>
      <c r="AF690" s="428"/>
      <c r="AG690" s="428"/>
      <c r="AH690" s="428"/>
      <c r="AI690" s="428"/>
      <c r="AJ690" s="428"/>
      <c r="AK690" s="428"/>
      <c r="AL690" s="428"/>
      <c r="AM690" s="429"/>
      <c r="AN690" s="429"/>
      <c r="AO690" s="429"/>
    </row>
    <row r="691" spans="3:41" ht="15.75">
      <c r="C691" s="430"/>
      <c r="D691" s="1751"/>
      <c r="E691" s="429"/>
      <c r="F691" s="428"/>
      <c r="G691" s="428"/>
      <c r="H691" s="429"/>
      <c r="I691" s="428"/>
      <c r="J691" s="429"/>
      <c r="K691" s="428"/>
      <c r="L691" s="1843"/>
      <c r="M691" s="1843"/>
      <c r="N691" s="429"/>
      <c r="O691" s="429"/>
      <c r="P691" s="428"/>
      <c r="Q691" s="428"/>
      <c r="R691" s="428"/>
      <c r="S691" s="428"/>
      <c r="T691" s="428"/>
      <c r="U691" s="1719"/>
      <c r="V691" s="1719"/>
      <c r="W691" s="1860"/>
      <c r="X691" s="1860"/>
      <c r="Y691" s="1860"/>
      <c r="Z691" s="428"/>
      <c r="AA691" s="428"/>
      <c r="AB691" s="428"/>
      <c r="AC691" s="428"/>
      <c r="AD691" s="428"/>
      <c r="AE691" s="428"/>
      <c r="AF691" s="428"/>
      <c r="AG691" s="428"/>
      <c r="AH691" s="428"/>
      <c r="AI691" s="428"/>
      <c r="AJ691" s="428"/>
      <c r="AK691" s="428"/>
      <c r="AL691" s="428"/>
      <c r="AM691" s="429"/>
      <c r="AN691" s="429"/>
      <c r="AO691" s="429"/>
    </row>
    <row r="692" spans="3:41" ht="15.75">
      <c r="C692" s="430"/>
      <c r="D692" s="1751"/>
      <c r="E692" s="429"/>
      <c r="F692" s="428"/>
      <c r="G692" s="428"/>
      <c r="H692" s="429"/>
      <c r="I692" s="428"/>
      <c r="J692" s="429"/>
      <c r="K692" s="428"/>
      <c r="L692" s="1843"/>
      <c r="M692" s="1843"/>
      <c r="N692" s="429"/>
      <c r="O692" s="429"/>
      <c r="P692" s="428"/>
      <c r="Q692" s="428"/>
      <c r="R692" s="428"/>
      <c r="S692" s="428"/>
      <c r="T692" s="428"/>
      <c r="U692" s="1719"/>
      <c r="V692" s="1719"/>
      <c r="W692" s="1860"/>
      <c r="X692" s="1860"/>
      <c r="Y692" s="1860"/>
      <c r="Z692" s="428"/>
      <c r="AA692" s="428"/>
      <c r="AB692" s="428"/>
      <c r="AC692" s="428"/>
      <c r="AD692" s="428"/>
      <c r="AE692" s="428"/>
      <c r="AF692" s="428"/>
      <c r="AG692" s="428"/>
      <c r="AH692" s="428"/>
      <c r="AI692" s="428"/>
      <c r="AJ692" s="428"/>
      <c r="AK692" s="428"/>
      <c r="AL692" s="428"/>
      <c r="AM692" s="429"/>
      <c r="AN692" s="429"/>
      <c r="AO692" s="429"/>
    </row>
    <row r="693" spans="3:41" ht="15.75">
      <c r="C693" s="430"/>
      <c r="D693" s="1751"/>
      <c r="E693" s="429"/>
      <c r="F693" s="428"/>
      <c r="G693" s="428"/>
      <c r="H693" s="429"/>
      <c r="I693" s="428"/>
      <c r="J693" s="429"/>
      <c r="K693" s="428"/>
      <c r="L693" s="1843"/>
      <c r="M693" s="1843"/>
      <c r="N693" s="429"/>
      <c r="O693" s="429"/>
      <c r="P693" s="428"/>
      <c r="Q693" s="428"/>
      <c r="R693" s="428"/>
      <c r="S693" s="428"/>
      <c r="T693" s="428"/>
      <c r="U693" s="1719"/>
      <c r="V693" s="1719"/>
      <c r="W693" s="1860"/>
      <c r="X693" s="1860"/>
      <c r="Y693" s="1860"/>
      <c r="Z693" s="428"/>
      <c r="AA693" s="428"/>
      <c r="AB693" s="428"/>
      <c r="AC693" s="428"/>
      <c r="AD693" s="428"/>
      <c r="AE693" s="428"/>
      <c r="AF693" s="428"/>
      <c r="AG693" s="428"/>
      <c r="AH693" s="428"/>
      <c r="AI693" s="428"/>
      <c r="AJ693" s="428"/>
      <c r="AK693" s="428"/>
      <c r="AL693" s="428"/>
      <c r="AM693" s="429"/>
      <c r="AN693" s="429"/>
      <c r="AO693" s="429"/>
    </row>
    <row r="694" spans="3:41" ht="15.75">
      <c r="C694" s="430"/>
      <c r="D694" s="1751"/>
      <c r="E694" s="429"/>
      <c r="F694" s="428"/>
      <c r="G694" s="428"/>
      <c r="H694" s="429"/>
      <c r="I694" s="428"/>
      <c r="J694" s="429"/>
      <c r="K694" s="428"/>
      <c r="L694" s="1843"/>
      <c r="M694" s="1843"/>
      <c r="N694" s="429"/>
      <c r="O694" s="429"/>
      <c r="P694" s="428"/>
      <c r="Q694" s="428"/>
      <c r="R694" s="428"/>
      <c r="S694" s="428"/>
      <c r="T694" s="428"/>
      <c r="U694" s="1719"/>
      <c r="V694" s="1719"/>
      <c r="W694" s="1860"/>
      <c r="X694" s="1860"/>
      <c r="Y694" s="1860"/>
      <c r="Z694" s="428"/>
      <c r="AA694" s="428"/>
      <c r="AB694" s="428"/>
      <c r="AC694" s="428"/>
      <c r="AD694" s="428"/>
      <c r="AE694" s="428"/>
      <c r="AF694" s="428"/>
      <c r="AG694" s="428"/>
      <c r="AH694" s="428"/>
      <c r="AI694" s="428"/>
      <c r="AJ694" s="428"/>
      <c r="AK694" s="428"/>
      <c r="AL694" s="428"/>
      <c r="AM694" s="429"/>
      <c r="AN694" s="429"/>
      <c r="AO694" s="429"/>
    </row>
    <row r="695" spans="3:41" ht="15.75">
      <c r="C695" s="430"/>
      <c r="D695" s="1751"/>
      <c r="E695" s="429"/>
      <c r="F695" s="428"/>
      <c r="G695" s="428"/>
      <c r="H695" s="429"/>
      <c r="I695" s="428"/>
      <c r="J695" s="429"/>
      <c r="K695" s="428"/>
      <c r="L695" s="1887"/>
      <c r="M695" s="1843"/>
      <c r="N695" s="429"/>
      <c r="O695" s="429"/>
      <c r="P695" s="428"/>
      <c r="Q695" s="428"/>
      <c r="R695" s="428"/>
      <c r="S695" s="428"/>
      <c r="T695" s="428"/>
      <c r="U695" s="1719"/>
      <c r="V695" s="1719"/>
      <c r="W695" s="1860"/>
      <c r="X695" s="1860"/>
      <c r="Y695" s="1860"/>
      <c r="Z695" s="428"/>
      <c r="AA695" s="428"/>
      <c r="AB695" s="428"/>
      <c r="AC695" s="428"/>
      <c r="AD695" s="428"/>
      <c r="AE695" s="428"/>
      <c r="AF695" s="428"/>
      <c r="AG695" s="428"/>
      <c r="AH695" s="428"/>
      <c r="AI695" s="428"/>
      <c r="AJ695" s="428"/>
      <c r="AK695" s="428"/>
      <c r="AL695" s="428"/>
      <c r="AM695" s="429"/>
      <c r="AN695" s="429"/>
      <c r="AO695" s="429"/>
    </row>
    <row r="696" spans="3:41" ht="15.75">
      <c r="C696" s="430"/>
      <c r="D696" s="1751"/>
      <c r="E696" s="429"/>
      <c r="F696" s="428"/>
      <c r="G696" s="428"/>
      <c r="H696" s="429"/>
      <c r="I696" s="428"/>
      <c r="J696" s="429"/>
      <c r="K696" s="428"/>
      <c r="L696" s="1843"/>
      <c r="M696" s="1843"/>
      <c r="N696" s="429"/>
      <c r="O696" s="429"/>
      <c r="P696" s="428"/>
      <c r="Q696" s="428"/>
      <c r="R696" s="428"/>
      <c r="S696" s="428"/>
      <c r="T696" s="428"/>
      <c r="U696" s="1719"/>
      <c r="V696" s="1719"/>
      <c r="W696" s="1860"/>
      <c r="X696" s="1860"/>
      <c r="Y696" s="1860"/>
      <c r="Z696" s="428"/>
      <c r="AA696" s="428"/>
      <c r="AB696" s="428"/>
      <c r="AC696" s="428"/>
      <c r="AD696" s="428"/>
      <c r="AE696" s="428"/>
      <c r="AF696" s="428"/>
      <c r="AG696" s="428"/>
      <c r="AH696" s="428"/>
      <c r="AI696" s="428"/>
      <c r="AJ696" s="428"/>
      <c r="AK696" s="428"/>
      <c r="AL696" s="428"/>
      <c r="AM696" s="429"/>
      <c r="AN696" s="429"/>
      <c r="AO696" s="429"/>
    </row>
    <row r="697" spans="3:41" ht="15.75">
      <c r="C697" s="430"/>
      <c r="D697" s="1751"/>
      <c r="E697" s="429"/>
      <c r="F697" s="428"/>
      <c r="G697" s="428"/>
      <c r="H697" s="429"/>
      <c r="I697" s="428"/>
      <c r="J697" s="429"/>
      <c r="K697" s="428"/>
      <c r="L697" s="1843"/>
      <c r="M697" s="1843"/>
      <c r="N697" s="429"/>
      <c r="O697" s="429"/>
      <c r="P697" s="428"/>
      <c r="Q697" s="428"/>
      <c r="R697" s="428"/>
      <c r="S697" s="428"/>
      <c r="T697" s="428"/>
      <c r="U697" s="1719"/>
      <c r="V697" s="1719"/>
      <c r="W697" s="1860"/>
      <c r="X697" s="1860"/>
      <c r="Y697" s="1860"/>
      <c r="Z697" s="428"/>
      <c r="AA697" s="428"/>
      <c r="AB697" s="428"/>
      <c r="AC697" s="428"/>
      <c r="AD697" s="428"/>
      <c r="AE697" s="428"/>
      <c r="AF697" s="428"/>
      <c r="AG697" s="428"/>
      <c r="AH697" s="428"/>
      <c r="AI697" s="428"/>
      <c r="AJ697" s="428"/>
      <c r="AK697" s="428"/>
      <c r="AL697" s="428"/>
      <c r="AM697" s="429"/>
      <c r="AN697" s="429"/>
      <c r="AO697" s="429"/>
    </row>
    <row r="698" spans="3:41" ht="15.75">
      <c r="C698" s="430"/>
      <c r="D698" s="1751"/>
      <c r="E698" s="429"/>
      <c r="F698" s="428"/>
      <c r="G698" s="428"/>
      <c r="H698" s="429"/>
      <c r="I698" s="428"/>
      <c r="J698" s="429"/>
      <c r="K698" s="428"/>
      <c r="L698" s="1843"/>
      <c r="M698" s="1843"/>
      <c r="N698" s="429"/>
      <c r="O698" s="429"/>
      <c r="P698" s="428"/>
      <c r="Q698" s="428"/>
      <c r="R698" s="428"/>
      <c r="S698" s="428"/>
      <c r="T698" s="428"/>
      <c r="U698" s="1719"/>
      <c r="V698" s="1719"/>
      <c r="W698" s="1860"/>
      <c r="X698" s="1860"/>
      <c r="Y698" s="1860"/>
      <c r="Z698" s="428"/>
      <c r="AA698" s="428"/>
      <c r="AB698" s="428"/>
      <c r="AC698" s="428"/>
      <c r="AD698" s="428"/>
      <c r="AE698" s="428"/>
      <c r="AF698" s="428"/>
      <c r="AG698" s="428"/>
      <c r="AH698" s="428"/>
      <c r="AI698" s="428"/>
      <c r="AJ698" s="428"/>
      <c r="AK698" s="428"/>
      <c r="AL698" s="428"/>
      <c r="AM698" s="429"/>
      <c r="AN698" s="429"/>
      <c r="AO698" s="429"/>
    </row>
    <row r="699" spans="3:41" ht="15.75">
      <c r="C699" s="430"/>
      <c r="D699" s="1751"/>
      <c r="E699" s="429"/>
      <c r="F699" s="428"/>
      <c r="G699" s="428"/>
      <c r="H699" s="429"/>
      <c r="I699" s="428"/>
      <c r="J699" s="429"/>
      <c r="K699" s="428"/>
      <c r="L699" s="1843"/>
      <c r="M699" s="1843"/>
      <c r="N699" s="429"/>
      <c r="O699" s="429"/>
      <c r="P699" s="428"/>
      <c r="Q699" s="428"/>
      <c r="R699" s="428"/>
      <c r="S699" s="428"/>
      <c r="T699" s="428"/>
      <c r="U699" s="1719"/>
      <c r="V699" s="1719"/>
      <c r="W699" s="1860"/>
      <c r="X699" s="1860"/>
      <c r="Y699" s="1860"/>
      <c r="Z699" s="428"/>
      <c r="AA699" s="428"/>
      <c r="AB699" s="428"/>
      <c r="AC699" s="428"/>
      <c r="AD699" s="428"/>
      <c r="AE699" s="428"/>
      <c r="AF699" s="428"/>
      <c r="AG699" s="428"/>
      <c r="AH699" s="428"/>
      <c r="AI699" s="428"/>
      <c r="AJ699" s="428"/>
      <c r="AK699" s="428"/>
      <c r="AL699" s="428"/>
      <c r="AM699" s="429"/>
      <c r="AN699" s="429"/>
      <c r="AO699" s="429"/>
    </row>
    <row r="700" spans="3:41" ht="15.75">
      <c r="C700" s="430"/>
      <c r="D700" s="1751"/>
      <c r="E700" s="429"/>
      <c r="F700" s="428"/>
      <c r="G700" s="428"/>
      <c r="H700" s="429"/>
      <c r="I700" s="428"/>
      <c r="J700" s="429"/>
      <c r="K700" s="428"/>
      <c r="L700" s="1843"/>
      <c r="M700" s="1843"/>
      <c r="N700" s="429"/>
      <c r="O700" s="429"/>
      <c r="P700" s="428"/>
      <c r="Q700" s="428"/>
      <c r="R700" s="428"/>
      <c r="S700" s="428"/>
      <c r="T700" s="428"/>
      <c r="U700" s="1719"/>
      <c r="V700" s="1719"/>
      <c r="W700" s="1860"/>
      <c r="X700" s="1860"/>
      <c r="Y700" s="1860"/>
      <c r="Z700" s="428"/>
      <c r="AA700" s="428"/>
      <c r="AB700" s="428"/>
      <c r="AC700" s="428"/>
      <c r="AD700" s="428"/>
      <c r="AE700" s="428"/>
      <c r="AF700" s="428"/>
      <c r="AG700" s="428"/>
      <c r="AH700" s="428"/>
      <c r="AI700" s="428"/>
      <c r="AJ700" s="428"/>
      <c r="AK700" s="428"/>
      <c r="AL700" s="428"/>
      <c r="AM700" s="429"/>
      <c r="AN700" s="429"/>
      <c r="AO700" s="429"/>
    </row>
    <row r="701" spans="3:41" ht="15.75">
      <c r="C701" s="430"/>
      <c r="D701" s="1751"/>
      <c r="E701" s="429"/>
      <c r="F701" s="428"/>
      <c r="G701" s="428"/>
      <c r="H701" s="429"/>
      <c r="I701" s="428"/>
      <c r="J701" s="429"/>
      <c r="K701" s="428"/>
      <c r="L701" s="1843"/>
      <c r="M701" s="1843"/>
      <c r="N701" s="429"/>
      <c r="O701" s="429"/>
      <c r="P701" s="428"/>
      <c r="Q701" s="428"/>
      <c r="R701" s="428"/>
      <c r="S701" s="428"/>
      <c r="T701" s="428"/>
      <c r="U701" s="1719"/>
      <c r="V701" s="1719"/>
      <c r="W701" s="1860"/>
      <c r="X701" s="1860"/>
      <c r="Y701" s="1860"/>
      <c r="Z701" s="428"/>
      <c r="AA701" s="428"/>
      <c r="AB701" s="428"/>
      <c r="AC701" s="428"/>
      <c r="AD701" s="428"/>
      <c r="AE701" s="428"/>
      <c r="AF701" s="428"/>
      <c r="AG701" s="428"/>
      <c r="AH701" s="428"/>
      <c r="AI701" s="428"/>
      <c r="AJ701" s="428"/>
      <c r="AK701" s="428"/>
      <c r="AL701" s="428"/>
      <c r="AM701" s="429"/>
      <c r="AN701" s="429"/>
      <c r="AO701" s="429"/>
    </row>
    <row r="702" spans="3:41" ht="15.75">
      <c r="C702" s="430"/>
      <c r="D702" s="1751"/>
      <c r="E702" s="429"/>
      <c r="F702" s="428"/>
      <c r="G702" s="428"/>
      <c r="H702" s="429"/>
      <c r="I702" s="428"/>
      <c r="J702" s="429"/>
      <c r="K702" s="428"/>
      <c r="L702" s="1843"/>
      <c r="M702" s="1843"/>
      <c r="N702" s="429"/>
      <c r="O702" s="429"/>
      <c r="P702" s="428"/>
      <c r="Q702" s="428"/>
      <c r="R702" s="428"/>
      <c r="S702" s="428"/>
      <c r="T702" s="428"/>
      <c r="U702" s="1719"/>
      <c r="V702" s="1719"/>
      <c r="W702" s="1860"/>
      <c r="X702" s="1860"/>
      <c r="Y702" s="1860"/>
      <c r="Z702" s="428"/>
      <c r="AA702" s="428"/>
      <c r="AB702" s="428"/>
      <c r="AC702" s="428"/>
      <c r="AD702" s="428"/>
      <c r="AE702" s="428"/>
      <c r="AF702" s="428"/>
      <c r="AG702" s="428"/>
      <c r="AH702" s="428"/>
      <c r="AI702" s="428"/>
      <c r="AJ702" s="428"/>
      <c r="AK702" s="428"/>
      <c r="AL702" s="428"/>
      <c r="AM702" s="429"/>
      <c r="AN702" s="429"/>
      <c r="AO702" s="429"/>
    </row>
    <row r="703" spans="3:41" ht="15.75">
      <c r="C703" s="430"/>
      <c r="D703" s="1751"/>
      <c r="E703" s="429"/>
      <c r="F703" s="428"/>
      <c r="G703" s="428"/>
      <c r="H703" s="429"/>
      <c r="I703" s="428"/>
      <c r="J703" s="429"/>
      <c r="K703" s="428"/>
      <c r="L703" s="1843"/>
      <c r="M703" s="1843"/>
      <c r="N703" s="429"/>
      <c r="O703" s="429"/>
      <c r="P703" s="428"/>
      <c r="Q703" s="428"/>
      <c r="R703" s="428"/>
      <c r="S703" s="428"/>
      <c r="T703" s="428"/>
      <c r="U703" s="1719"/>
      <c r="V703" s="1719"/>
      <c r="W703" s="1860"/>
      <c r="X703" s="1860"/>
      <c r="Y703" s="1860"/>
      <c r="Z703" s="428"/>
      <c r="AA703" s="428"/>
      <c r="AB703" s="428"/>
      <c r="AC703" s="428"/>
      <c r="AD703" s="428"/>
      <c r="AE703" s="428"/>
      <c r="AF703" s="428"/>
      <c r="AG703" s="428"/>
      <c r="AH703" s="428"/>
      <c r="AI703" s="428"/>
      <c r="AJ703" s="428"/>
      <c r="AK703" s="428"/>
      <c r="AL703" s="428"/>
      <c r="AM703" s="429"/>
      <c r="AN703" s="429"/>
      <c r="AO703" s="429"/>
    </row>
    <row r="704" spans="3:41" ht="15.75">
      <c r="C704" s="430"/>
      <c r="D704" s="1751"/>
      <c r="E704" s="429"/>
      <c r="F704" s="428"/>
      <c r="G704" s="428"/>
      <c r="H704" s="429"/>
      <c r="I704" s="428"/>
      <c r="J704" s="429"/>
      <c r="K704" s="428"/>
      <c r="L704" s="1843"/>
      <c r="M704" s="1843"/>
      <c r="N704" s="429"/>
      <c r="O704" s="429"/>
      <c r="P704" s="428"/>
      <c r="Q704" s="428"/>
      <c r="R704" s="428"/>
      <c r="S704" s="428"/>
      <c r="T704" s="428"/>
      <c r="U704" s="1719"/>
      <c r="V704" s="1719"/>
      <c r="W704" s="1860"/>
      <c r="X704" s="1860"/>
      <c r="Y704" s="1860"/>
      <c r="Z704" s="428"/>
      <c r="AA704" s="428"/>
      <c r="AB704" s="428"/>
      <c r="AC704" s="428"/>
      <c r="AD704" s="428"/>
      <c r="AE704" s="428"/>
      <c r="AF704" s="428"/>
      <c r="AG704" s="428"/>
      <c r="AH704" s="428"/>
      <c r="AI704" s="428"/>
      <c r="AJ704" s="428"/>
      <c r="AK704" s="428"/>
      <c r="AL704" s="428"/>
      <c r="AM704" s="429"/>
      <c r="AN704" s="429"/>
      <c r="AO704" s="429"/>
    </row>
    <row r="705" spans="3:41" ht="15.75">
      <c r="C705" s="430"/>
      <c r="D705" s="1751"/>
      <c r="E705" s="429"/>
      <c r="F705" s="428"/>
      <c r="G705" s="428"/>
      <c r="H705" s="429"/>
      <c r="I705" s="428"/>
      <c r="J705" s="429"/>
      <c r="K705" s="428"/>
      <c r="L705" s="1843"/>
      <c r="M705" s="1843"/>
      <c r="N705" s="429"/>
      <c r="O705" s="429"/>
      <c r="P705" s="428"/>
      <c r="Q705" s="428"/>
      <c r="R705" s="428"/>
      <c r="S705" s="428"/>
      <c r="T705" s="428"/>
      <c r="U705" s="1719"/>
      <c r="V705" s="1719"/>
      <c r="W705" s="1860"/>
      <c r="X705" s="1860"/>
      <c r="Y705" s="1860"/>
      <c r="Z705" s="428"/>
      <c r="AA705" s="428"/>
      <c r="AB705" s="428"/>
      <c r="AC705" s="428"/>
      <c r="AD705" s="428"/>
      <c r="AE705" s="428"/>
      <c r="AF705" s="428"/>
      <c r="AG705" s="428"/>
      <c r="AH705" s="428"/>
      <c r="AI705" s="428"/>
      <c r="AJ705" s="428"/>
      <c r="AK705" s="428"/>
      <c r="AL705" s="428"/>
      <c r="AM705" s="429"/>
      <c r="AN705" s="429"/>
      <c r="AO705" s="429"/>
    </row>
    <row r="706" spans="3:41" ht="15.75">
      <c r="C706" s="430"/>
      <c r="D706" s="1751"/>
      <c r="E706" s="429"/>
      <c r="F706" s="428"/>
      <c r="G706" s="428"/>
      <c r="H706" s="429"/>
      <c r="I706" s="428"/>
      <c r="J706" s="429"/>
      <c r="K706" s="428"/>
      <c r="L706" s="1843"/>
      <c r="M706" s="1843"/>
      <c r="N706" s="429"/>
      <c r="O706" s="429"/>
      <c r="P706" s="428"/>
      <c r="Q706" s="428"/>
      <c r="R706" s="428"/>
      <c r="S706" s="428"/>
      <c r="T706" s="428"/>
      <c r="U706" s="1719"/>
      <c r="V706" s="1719"/>
      <c r="W706" s="1860"/>
      <c r="X706" s="1860"/>
      <c r="Y706" s="1860"/>
      <c r="Z706" s="428"/>
      <c r="AA706" s="428"/>
      <c r="AB706" s="428"/>
      <c r="AC706" s="428"/>
      <c r="AD706" s="428"/>
      <c r="AE706" s="428"/>
      <c r="AF706" s="428"/>
      <c r="AG706" s="428"/>
      <c r="AH706" s="428"/>
      <c r="AI706" s="428"/>
      <c r="AJ706" s="428"/>
      <c r="AK706" s="428"/>
      <c r="AL706" s="428"/>
      <c r="AM706" s="429"/>
      <c r="AN706" s="429"/>
      <c r="AO706" s="429"/>
    </row>
    <row r="707" spans="3:41" ht="15.75">
      <c r="C707" s="430"/>
      <c r="D707" s="429"/>
      <c r="E707" s="1864"/>
      <c r="F707" s="1168"/>
      <c r="G707" s="1168"/>
      <c r="H707" s="1168"/>
      <c r="I707" s="1168"/>
      <c r="J707" s="1168"/>
      <c r="K707" s="1168"/>
      <c r="L707" s="1168"/>
      <c r="M707" s="1168"/>
      <c r="N707" s="1864"/>
      <c r="O707" s="1168"/>
      <c r="P707" s="1168"/>
      <c r="Q707" s="1168"/>
      <c r="R707" s="1168"/>
      <c r="S707" s="1168"/>
      <c r="T707" s="1168"/>
      <c r="U707" s="1864"/>
      <c r="V707" s="1168"/>
      <c r="W707" s="1168"/>
      <c r="X707" s="429"/>
      <c r="Y707" s="429"/>
      <c r="Z707" s="429"/>
      <c r="AA707" s="429"/>
      <c r="AB707" s="429"/>
      <c r="AC707" s="429"/>
      <c r="AD707" s="429"/>
      <c r="AE707" s="429"/>
      <c r="AF707" s="429"/>
      <c r="AG707" s="429"/>
      <c r="AH707" s="429"/>
      <c r="AI707" s="429"/>
      <c r="AJ707" s="429"/>
      <c r="AK707" s="429"/>
      <c r="AL707" s="429"/>
      <c r="AM707" s="429"/>
      <c r="AN707" s="429"/>
      <c r="AO707" s="429"/>
    </row>
    <row r="708" spans="3:41" ht="18">
      <c r="C708" s="1882"/>
      <c r="D708" s="1875"/>
      <c r="E708" s="2583"/>
      <c r="F708" s="2583"/>
      <c r="G708" s="1829"/>
      <c r="H708" s="2583"/>
      <c r="I708" s="2583"/>
      <c r="J708" s="2583"/>
      <c r="K708" s="2583"/>
      <c r="L708" s="429"/>
      <c r="M708" s="429"/>
      <c r="N708" s="1876"/>
      <c r="O708" s="1876"/>
      <c r="P708" s="429"/>
      <c r="Q708" s="429"/>
      <c r="R708" s="429"/>
      <c r="S708" s="1870"/>
      <c r="T708" s="1870"/>
      <c r="U708" s="428"/>
      <c r="V708" s="428"/>
      <c r="W708" s="1877"/>
      <c r="X708" s="1877"/>
      <c r="Y708" s="1877"/>
      <c r="Z708" s="1870"/>
      <c r="AA708" s="1870"/>
      <c r="AB708" s="1870"/>
      <c r="AC708" s="1870"/>
      <c r="AD708" s="1870"/>
      <c r="AE708" s="1870"/>
      <c r="AF708" s="1870"/>
      <c r="AG708" s="1870"/>
      <c r="AH708" s="1870"/>
      <c r="AI708" s="1870"/>
      <c r="AJ708" s="1870"/>
      <c r="AK708" s="1870"/>
      <c r="AL708" s="1870"/>
      <c r="AM708" s="429"/>
      <c r="AN708" s="429"/>
      <c r="AO708" s="429"/>
    </row>
    <row r="709" spans="3:41" ht="15.75">
      <c r="C709" s="430"/>
      <c r="D709" s="1751"/>
      <c r="E709" s="429"/>
      <c r="F709" s="428"/>
      <c r="G709" s="428"/>
      <c r="H709" s="429"/>
      <c r="I709" s="428"/>
      <c r="J709" s="429"/>
      <c r="K709" s="428"/>
      <c r="L709" s="429"/>
      <c r="M709" s="429"/>
      <c r="N709" s="429"/>
      <c r="O709" s="429"/>
      <c r="P709" s="428"/>
      <c r="Q709" s="428"/>
      <c r="R709" s="428"/>
      <c r="S709" s="428"/>
      <c r="T709" s="428"/>
      <c r="U709" s="1719"/>
      <c r="V709" s="1719"/>
      <c r="W709" s="1860"/>
      <c r="X709" s="1860"/>
      <c r="Y709" s="1860"/>
      <c r="Z709" s="429"/>
      <c r="AA709" s="429"/>
      <c r="AB709" s="429"/>
      <c r="AC709" s="429"/>
      <c r="AD709" s="429"/>
      <c r="AE709" s="429"/>
      <c r="AF709" s="429"/>
      <c r="AG709" s="429"/>
      <c r="AH709" s="429"/>
      <c r="AI709" s="429"/>
      <c r="AJ709" s="429"/>
      <c r="AK709" s="429"/>
      <c r="AL709" s="428"/>
      <c r="AM709" s="429"/>
      <c r="AN709" s="429"/>
      <c r="AO709" s="429"/>
    </row>
    <row r="710" spans="3:41" ht="15.75">
      <c r="C710" s="430"/>
      <c r="D710" s="1751"/>
      <c r="E710" s="429"/>
      <c r="F710" s="428"/>
      <c r="G710" s="428"/>
      <c r="H710" s="1888"/>
      <c r="I710" s="428"/>
      <c r="J710" s="429"/>
      <c r="K710" s="428"/>
      <c r="L710" s="429"/>
      <c r="M710" s="429"/>
      <c r="N710" s="429"/>
      <c r="O710" s="429"/>
      <c r="P710" s="428"/>
      <c r="Q710" s="428"/>
      <c r="R710" s="428"/>
      <c r="S710" s="428"/>
      <c r="T710" s="428"/>
      <c r="U710" s="429"/>
      <c r="V710" s="429"/>
      <c r="W710" s="1751"/>
      <c r="X710" s="1860"/>
      <c r="Y710" s="1860"/>
      <c r="Z710" s="429"/>
      <c r="AA710" s="429"/>
      <c r="AB710" s="429"/>
      <c r="AC710" s="429"/>
      <c r="AD710" s="429"/>
      <c r="AE710" s="429"/>
      <c r="AF710" s="429"/>
      <c r="AG710" s="429"/>
      <c r="AH710" s="429"/>
      <c r="AI710" s="429"/>
      <c r="AJ710" s="429"/>
      <c r="AK710" s="429"/>
      <c r="AL710" s="429"/>
      <c r="AM710" s="429"/>
      <c r="AN710" s="429"/>
      <c r="AO710" s="429"/>
    </row>
    <row r="711" spans="3:41" ht="15.75">
      <c r="C711" s="430"/>
      <c r="D711" s="1751"/>
      <c r="E711" s="889"/>
      <c r="F711" s="428"/>
      <c r="G711" s="428"/>
      <c r="H711" s="429"/>
      <c r="I711" s="428"/>
      <c r="J711" s="429"/>
      <c r="K711" s="428"/>
      <c r="L711" s="429"/>
      <c r="M711" s="429"/>
      <c r="N711" s="889"/>
      <c r="O711" s="428"/>
      <c r="P711" s="428"/>
      <c r="Q711" s="428"/>
      <c r="R711" s="428"/>
      <c r="S711" s="428"/>
      <c r="T711" s="428"/>
      <c r="U711" s="889"/>
      <c r="V711" s="428"/>
      <c r="W711" s="1751"/>
      <c r="X711" s="1860"/>
      <c r="Y711" s="1860"/>
      <c r="Z711" s="429"/>
      <c r="AA711" s="429"/>
      <c r="AB711" s="429"/>
      <c r="AC711" s="429"/>
      <c r="AD711" s="429"/>
      <c r="AE711" s="429"/>
      <c r="AF711" s="429"/>
      <c r="AG711" s="429"/>
      <c r="AH711" s="429"/>
      <c r="AI711" s="429"/>
      <c r="AJ711" s="429"/>
      <c r="AK711" s="429"/>
      <c r="AL711" s="429"/>
      <c r="AM711" s="429"/>
      <c r="AN711" s="429"/>
      <c r="AO711" s="429"/>
    </row>
    <row r="712" spans="3:41" ht="15.75">
      <c r="C712" s="430"/>
      <c r="D712" s="1751"/>
      <c r="E712" s="889"/>
      <c r="F712" s="428"/>
      <c r="G712" s="428"/>
      <c r="H712" s="429"/>
      <c r="I712" s="428"/>
      <c r="J712" s="429"/>
      <c r="K712" s="428"/>
      <c r="L712" s="429"/>
      <c r="M712" s="429"/>
      <c r="N712" s="889"/>
      <c r="O712" s="428"/>
      <c r="P712" s="428"/>
      <c r="Q712" s="428"/>
      <c r="R712" s="428"/>
      <c r="S712" s="428"/>
      <c r="T712" s="428"/>
      <c r="U712" s="889"/>
      <c r="V712" s="428"/>
      <c r="W712" s="1751"/>
      <c r="X712" s="1860"/>
      <c r="Y712" s="1860"/>
      <c r="Z712" s="429"/>
      <c r="AA712" s="429"/>
      <c r="AB712" s="429"/>
      <c r="AC712" s="429"/>
      <c r="AD712" s="429"/>
      <c r="AE712" s="429"/>
      <c r="AF712" s="429"/>
      <c r="AG712" s="429"/>
      <c r="AH712" s="429"/>
      <c r="AI712" s="429"/>
      <c r="AJ712" s="429"/>
      <c r="AK712" s="429"/>
      <c r="AL712" s="429"/>
      <c r="AM712" s="429"/>
      <c r="AN712" s="429"/>
      <c r="AO712" s="429"/>
    </row>
    <row r="713" spans="3:41" ht="15.75">
      <c r="C713" s="430"/>
      <c r="D713" s="1751"/>
      <c r="E713" s="889"/>
      <c r="F713" s="428"/>
      <c r="G713" s="428"/>
      <c r="H713" s="429"/>
      <c r="I713" s="428"/>
      <c r="J713" s="429"/>
      <c r="K713" s="428"/>
      <c r="L713" s="429"/>
      <c r="M713" s="429"/>
      <c r="N713" s="889"/>
      <c r="O713" s="428"/>
      <c r="P713" s="428"/>
      <c r="Q713" s="428"/>
      <c r="R713" s="428"/>
      <c r="S713" s="428"/>
      <c r="T713" s="428"/>
      <c r="U713" s="889"/>
      <c r="V713" s="428"/>
      <c r="W713" s="1751"/>
      <c r="X713" s="1860"/>
      <c r="Y713" s="1860"/>
      <c r="Z713" s="429"/>
      <c r="AA713" s="429"/>
      <c r="AB713" s="429"/>
      <c r="AC713" s="429"/>
      <c r="AD713" s="429"/>
      <c r="AE713" s="429"/>
      <c r="AF713" s="429"/>
      <c r="AG713" s="429"/>
      <c r="AH713" s="429"/>
      <c r="AI713" s="429"/>
      <c r="AJ713" s="429"/>
      <c r="AK713" s="429"/>
      <c r="AL713" s="429"/>
      <c r="AM713" s="429"/>
      <c r="AN713" s="429"/>
      <c r="AO713" s="429"/>
    </row>
    <row r="714" spans="3:41" ht="15.75">
      <c r="C714" s="430"/>
      <c r="D714" s="1751"/>
      <c r="E714" s="429"/>
      <c r="F714" s="428"/>
      <c r="G714" s="428"/>
      <c r="H714" s="1889"/>
      <c r="I714" s="428"/>
      <c r="J714" s="429"/>
      <c r="K714" s="428"/>
      <c r="L714" s="429"/>
      <c r="M714" s="429"/>
      <c r="N714" s="429"/>
      <c r="O714" s="429"/>
      <c r="P714" s="428"/>
      <c r="Q714" s="428"/>
      <c r="R714" s="428"/>
      <c r="S714" s="428"/>
      <c r="T714" s="428"/>
      <c r="U714" s="1719"/>
      <c r="V714" s="1719"/>
      <c r="W714" s="1751"/>
      <c r="X714" s="1860"/>
      <c r="Y714" s="1860"/>
      <c r="Z714" s="429"/>
      <c r="AA714" s="429"/>
      <c r="AB714" s="429"/>
      <c r="AC714" s="429"/>
      <c r="AD714" s="429"/>
      <c r="AE714" s="429"/>
      <c r="AF714" s="429"/>
      <c r="AG714" s="429"/>
      <c r="AH714" s="429"/>
      <c r="AI714" s="429"/>
      <c r="AJ714" s="429"/>
      <c r="AK714" s="429"/>
      <c r="AL714" s="428"/>
      <c r="AM714" s="429"/>
      <c r="AN714" s="429"/>
      <c r="AO714" s="429"/>
    </row>
    <row r="715" spans="3:41" ht="15.75">
      <c r="C715" s="430"/>
      <c r="D715" s="1751"/>
      <c r="E715" s="429"/>
      <c r="F715" s="428"/>
      <c r="G715" s="428"/>
      <c r="H715" s="429"/>
      <c r="I715" s="428"/>
      <c r="J715" s="429"/>
      <c r="K715" s="428"/>
      <c r="L715" s="429"/>
      <c r="M715" s="429"/>
      <c r="N715" s="429"/>
      <c r="O715" s="429"/>
      <c r="P715" s="428"/>
      <c r="Q715" s="428"/>
      <c r="R715" s="428"/>
      <c r="S715" s="428"/>
      <c r="T715" s="428"/>
      <c r="U715" s="1719"/>
      <c r="V715" s="1719"/>
      <c r="W715" s="1860"/>
      <c r="X715" s="1860"/>
      <c r="Y715" s="1860"/>
      <c r="Z715" s="429"/>
      <c r="AA715" s="429"/>
      <c r="AB715" s="429"/>
      <c r="AC715" s="429"/>
      <c r="AD715" s="429"/>
      <c r="AE715" s="429"/>
      <c r="AF715" s="429"/>
      <c r="AG715" s="429"/>
      <c r="AH715" s="429"/>
      <c r="AI715" s="429"/>
      <c r="AJ715" s="429"/>
      <c r="AK715" s="429"/>
      <c r="AL715" s="428"/>
      <c r="AM715" s="429"/>
      <c r="AN715" s="429"/>
      <c r="AO715" s="429"/>
    </row>
    <row r="716" spans="3:41" ht="15.75">
      <c r="C716" s="430"/>
      <c r="D716" s="1751"/>
      <c r="E716" s="429"/>
      <c r="F716" s="428"/>
      <c r="G716" s="428"/>
      <c r="H716" s="429"/>
      <c r="I716" s="428"/>
      <c r="J716" s="429"/>
      <c r="K716" s="428"/>
      <c r="L716" s="429"/>
      <c r="M716" s="429"/>
      <c r="N716" s="429"/>
      <c r="O716" s="429"/>
      <c r="P716" s="428"/>
      <c r="Q716" s="428"/>
      <c r="R716" s="428"/>
      <c r="S716" s="428"/>
      <c r="T716" s="428"/>
      <c r="U716" s="1719"/>
      <c r="V716" s="1719"/>
      <c r="W716" s="1860"/>
      <c r="X716" s="1860"/>
      <c r="Y716" s="1860"/>
      <c r="Z716" s="429"/>
      <c r="AA716" s="429"/>
      <c r="AB716" s="429"/>
      <c r="AC716" s="429"/>
      <c r="AD716" s="429"/>
      <c r="AE716" s="429"/>
      <c r="AF716" s="429"/>
      <c r="AG716" s="429"/>
      <c r="AH716" s="429"/>
      <c r="AI716" s="429"/>
      <c r="AJ716" s="429"/>
      <c r="AK716" s="429"/>
      <c r="AL716" s="428"/>
      <c r="AM716" s="429"/>
      <c r="AN716" s="429"/>
      <c r="AO716" s="429"/>
    </row>
    <row r="717" spans="3:41" ht="15.75">
      <c r="C717" s="430"/>
      <c r="D717" s="1751"/>
      <c r="E717" s="429"/>
      <c r="F717" s="428"/>
      <c r="G717" s="428"/>
      <c r="H717" s="429"/>
      <c r="I717" s="428"/>
      <c r="J717" s="429"/>
      <c r="K717" s="428"/>
      <c r="L717" s="429"/>
      <c r="M717" s="429"/>
      <c r="N717" s="429"/>
      <c r="O717" s="429"/>
      <c r="P717" s="428"/>
      <c r="Q717" s="428"/>
      <c r="R717" s="428"/>
      <c r="S717" s="428"/>
      <c r="T717" s="428"/>
      <c r="U717" s="1719"/>
      <c r="V717" s="1719"/>
      <c r="W717" s="1860"/>
      <c r="X717" s="1860"/>
      <c r="Y717" s="1860"/>
      <c r="Z717" s="429"/>
      <c r="AA717" s="429"/>
      <c r="AB717" s="429"/>
      <c r="AC717" s="429"/>
      <c r="AD717" s="429"/>
      <c r="AE717" s="429"/>
      <c r="AF717" s="429"/>
      <c r="AG717" s="429"/>
      <c r="AH717" s="429"/>
      <c r="AI717" s="429"/>
      <c r="AJ717" s="429"/>
      <c r="AK717" s="429"/>
      <c r="AL717" s="428"/>
      <c r="AM717" s="429"/>
      <c r="AN717" s="429"/>
      <c r="AO717" s="429"/>
    </row>
    <row r="718" spans="3:41" ht="15.75">
      <c r="C718" s="430"/>
      <c r="D718" s="1751"/>
      <c r="E718" s="429"/>
      <c r="F718" s="428"/>
      <c r="G718" s="428"/>
      <c r="H718" s="429"/>
      <c r="I718" s="428"/>
      <c r="J718" s="429"/>
      <c r="K718" s="428"/>
      <c r="L718" s="429"/>
      <c r="M718" s="429"/>
      <c r="N718" s="429"/>
      <c r="O718" s="429"/>
      <c r="P718" s="428"/>
      <c r="Q718" s="428"/>
      <c r="R718" s="428"/>
      <c r="S718" s="428"/>
      <c r="T718" s="428"/>
      <c r="U718" s="1719"/>
      <c r="V718" s="1719"/>
      <c r="W718" s="1860"/>
      <c r="X718" s="1860"/>
      <c r="Y718" s="1860"/>
      <c r="Z718" s="429"/>
      <c r="AA718" s="429"/>
      <c r="AB718" s="429"/>
      <c r="AC718" s="429"/>
      <c r="AD718" s="429"/>
      <c r="AE718" s="429"/>
      <c r="AF718" s="429"/>
      <c r="AG718" s="429"/>
      <c r="AH718" s="429"/>
      <c r="AI718" s="429"/>
      <c r="AJ718" s="429"/>
      <c r="AK718" s="429"/>
      <c r="AL718" s="428"/>
      <c r="AM718" s="429"/>
      <c r="AN718" s="429"/>
      <c r="AO718" s="429"/>
    </row>
    <row r="719" spans="3:41" ht="15.75">
      <c r="C719" s="430"/>
      <c r="D719" s="1751"/>
      <c r="E719" s="429"/>
      <c r="F719" s="428"/>
      <c r="G719" s="428"/>
      <c r="H719" s="429"/>
      <c r="I719" s="428"/>
      <c r="J719" s="429"/>
      <c r="K719" s="428"/>
      <c r="L719" s="429"/>
      <c r="M719" s="429"/>
      <c r="N719" s="429"/>
      <c r="O719" s="429"/>
      <c r="P719" s="428"/>
      <c r="Q719" s="428"/>
      <c r="R719" s="428"/>
      <c r="S719" s="428"/>
      <c r="T719" s="428"/>
      <c r="U719" s="1719"/>
      <c r="V719" s="1719"/>
      <c r="W719" s="1860"/>
      <c r="X719" s="1860"/>
      <c r="Y719" s="1860"/>
      <c r="Z719" s="429"/>
      <c r="AA719" s="429"/>
      <c r="AB719" s="429"/>
      <c r="AC719" s="429"/>
      <c r="AD719" s="429"/>
      <c r="AE719" s="429"/>
      <c r="AF719" s="429"/>
      <c r="AG719" s="429"/>
      <c r="AH719" s="429"/>
      <c r="AI719" s="429"/>
      <c r="AJ719" s="429"/>
      <c r="AK719" s="429"/>
      <c r="AL719" s="428"/>
      <c r="AM719" s="429"/>
      <c r="AN719" s="429"/>
      <c r="AO719" s="429"/>
    </row>
    <row r="720" spans="3:41" ht="15.75">
      <c r="C720" s="430"/>
      <c r="D720" s="1751"/>
      <c r="E720" s="889"/>
      <c r="F720" s="428"/>
      <c r="G720" s="428"/>
      <c r="H720" s="429"/>
      <c r="I720" s="428"/>
      <c r="J720" s="429"/>
      <c r="K720" s="428"/>
      <c r="L720" s="429"/>
      <c r="M720" s="429"/>
      <c r="N720" s="889"/>
      <c r="O720" s="428"/>
      <c r="P720" s="428"/>
      <c r="Q720" s="428"/>
      <c r="R720" s="428"/>
      <c r="S720" s="428"/>
      <c r="T720" s="428"/>
      <c r="U720" s="889"/>
      <c r="V720" s="428"/>
      <c r="W720" s="1860"/>
      <c r="X720" s="1860"/>
      <c r="Y720" s="1860"/>
      <c r="Z720" s="429"/>
      <c r="AA720" s="429"/>
      <c r="AB720" s="429"/>
      <c r="AC720" s="429"/>
      <c r="AD720" s="429"/>
      <c r="AE720" s="429"/>
      <c r="AF720" s="429"/>
      <c r="AG720" s="429"/>
      <c r="AH720" s="429"/>
      <c r="AI720" s="429"/>
      <c r="AJ720" s="429"/>
      <c r="AK720" s="429"/>
      <c r="AL720" s="428"/>
      <c r="AM720" s="429"/>
      <c r="AN720" s="429"/>
      <c r="AO720" s="429"/>
    </row>
    <row r="721" spans="3:41" ht="15.75">
      <c r="C721" s="430"/>
      <c r="D721" s="1751"/>
      <c r="E721" s="429"/>
      <c r="F721" s="428"/>
      <c r="G721" s="428"/>
      <c r="H721" s="429"/>
      <c r="I721" s="428"/>
      <c r="J721" s="429"/>
      <c r="K721" s="428"/>
      <c r="L721" s="429"/>
      <c r="M721" s="429"/>
      <c r="N721" s="429"/>
      <c r="O721" s="429"/>
      <c r="P721" s="428"/>
      <c r="Q721" s="428"/>
      <c r="R721" s="428"/>
      <c r="S721" s="428"/>
      <c r="T721" s="428"/>
      <c r="U721" s="1719"/>
      <c r="V721" s="1719"/>
      <c r="W721" s="1860"/>
      <c r="X721" s="1860"/>
      <c r="Y721" s="1860"/>
      <c r="Z721" s="429"/>
      <c r="AA721" s="429"/>
      <c r="AB721" s="429"/>
      <c r="AC721" s="429"/>
      <c r="AD721" s="429"/>
      <c r="AE721" s="429"/>
      <c r="AF721" s="429"/>
      <c r="AG721" s="429"/>
      <c r="AH721" s="429"/>
      <c r="AI721" s="429"/>
      <c r="AJ721" s="429"/>
      <c r="AK721" s="429"/>
      <c r="AL721" s="428"/>
      <c r="AM721" s="429"/>
      <c r="AN721" s="429"/>
      <c r="AO721" s="429"/>
    </row>
    <row r="722" spans="3:41" ht="15.75">
      <c r="C722" s="430"/>
      <c r="D722" s="1751"/>
      <c r="E722" s="429"/>
      <c r="F722" s="428"/>
      <c r="G722" s="428"/>
      <c r="H722" s="429"/>
      <c r="I722" s="428"/>
      <c r="J722" s="429"/>
      <c r="K722" s="428"/>
      <c r="L722" s="429"/>
      <c r="M722" s="429"/>
      <c r="N722" s="429"/>
      <c r="O722" s="429"/>
      <c r="P722" s="428"/>
      <c r="Q722" s="428"/>
      <c r="R722" s="428"/>
      <c r="S722" s="428"/>
      <c r="T722" s="428"/>
      <c r="U722" s="1719"/>
      <c r="V722" s="1719"/>
      <c r="W722" s="1860"/>
      <c r="X722" s="1860"/>
      <c r="Y722" s="1860"/>
      <c r="Z722" s="429"/>
      <c r="AA722" s="429"/>
      <c r="AB722" s="429"/>
      <c r="AC722" s="429"/>
      <c r="AD722" s="429"/>
      <c r="AE722" s="429"/>
      <c r="AF722" s="429"/>
      <c r="AG722" s="429"/>
      <c r="AH722" s="429"/>
      <c r="AI722" s="429"/>
      <c r="AJ722" s="429"/>
      <c r="AK722" s="429"/>
      <c r="AL722" s="428"/>
      <c r="AM722" s="429"/>
      <c r="AN722" s="429"/>
      <c r="AO722" s="429"/>
    </row>
    <row r="723" spans="3:41" ht="15.75">
      <c r="C723" s="430"/>
      <c r="D723" s="1751"/>
      <c r="E723" s="429"/>
      <c r="F723" s="428"/>
      <c r="G723" s="428"/>
      <c r="H723" s="429"/>
      <c r="I723" s="428"/>
      <c r="J723" s="429"/>
      <c r="K723" s="428"/>
      <c r="L723" s="429"/>
      <c r="M723" s="429"/>
      <c r="N723" s="429"/>
      <c r="O723" s="429"/>
      <c r="P723" s="428"/>
      <c r="Q723" s="428"/>
      <c r="R723" s="428"/>
      <c r="S723" s="428"/>
      <c r="T723" s="428"/>
      <c r="U723" s="1719"/>
      <c r="V723" s="1719"/>
      <c r="W723" s="1860"/>
      <c r="X723" s="1860"/>
      <c r="Y723" s="1860"/>
      <c r="Z723" s="429"/>
      <c r="AA723" s="429"/>
      <c r="AB723" s="429"/>
      <c r="AC723" s="429"/>
      <c r="AD723" s="429"/>
      <c r="AE723" s="429"/>
      <c r="AF723" s="429"/>
      <c r="AG723" s="429"/>
      <c r="AH723" s="429"/>
      <c r="AI723" s="429"/>
      <c r="AJ723" s="429"/>
      <c r="AK723" s="429"/>
      <c r="AL723" s="428"/>
      <c r="AM723" s="429"/>
      <c r="AN723" s="429"/>
      <c r="AO723" s="429"/>
    </row>
    <row r="724" spans="3:41" ht="15.75">
      <c r="C724" s="430"/>
      <c r="D724" s="1751"/>
      <c r="E724" s="429"/>
      <c r="F724" s="428"/>
      <c r="G724" s="428"/>
      <c r="H724" s="429"/>
      <c r="I724" s="428"/>
      <c r="J724" s="429"/>
      <c r="K724" s="428"/>
      <c r="L724" s="429"/>
      <c r="M724" s="429"/>
      <c r="N724" s="429"/>
      <c r="O724" s="429"/>
      <c r="P724" s="428"/>
      <c r="Q724" s="428"/>
      <c r="R724" s="428"/>
      <c r="S724" s="428"/>
      <c r="T724" s="428"/>
      <c r="U724" s="1719"/>
      <c r="V724" s="1719"/>
      <c r="W724" s="1860"/>
      <c r="X724" s="1860"/>
      <c r="Y724" s="1860"/>
      <c r="Z724" s="429"/>
      <c r="AA724" s="429"/>
      <c r="AB724" s="429"/>
      <c r="AC724" s="429"/>
      <c r="AD724" s="429"/>
      <c r="AE724" s="429"/>
      <c r="AF724" s="429"/>
      <c r="AG724" s="429"/>
      <c r="AH724" s="429"/>
      <c r="AI724" s="429"/>
      <c r="AJ724" s="429"/>
      <c r="AK724" s="429"/>
      <c r="AL724" s="428"/>
      <c r="AM724" s="429"/>
      <c r="AN724" s="429"/>
      <c r="AO724" s="429"/>
    </row>
    <row r="725" spans="3:41" ht="15.75">
      <c r="C725" s="430"/>
      <c r="D725" s="1751"/>
      <c r="E725" s="429"/>
      <c r="F725" s="428"/>
      <c r="G725" s="428"/>
      <c r="H725" s="429"/>
      <c r="I725" s="428"/>
      <c r="J725" s="429"/>
      <c r="K725" s="428"/>
      <c r="L725" s="429"/>
      <c r="M725" s="429"/>
      <c r="N725" s="429"/>
      <c r="O725" s="429"/>
      <c r="P725" s="428"/>
      <c r="Q725" s="428"/>
      <c r="R725" s="428"/>
      <c r="S725" s="428"/>
      <c r="T725" s="428"/>
      <c r="U725" s="1719"/>
      <c r="V725" s="1719"/>
      <c r="W725" s="1860"/>
      <c r="X725" s="1860"/>
      <c r="Y725" s="1860"/>
      <c r="Z725" s="429"/>
      <c r="AA725" s="429"/>
      <c r="AB725" s="429"/>
      <c r="AC725" s="429"/>
      <c r="AD725" s="429"/>
      <c r="AE725" s="429"/>
      <c r="AF725" s="429"/>
      <c r="AG725" s="429"/>
      <c r="AH725" s="429"/>
      <c r="AI725" s="429"/>
      <c r="AJ725" s="429"/>
      <c r="AK725" s="429"/>
      <c r="AL725" s="428"/>
      <c r="AM725" s="429"/>
      <c r="AN725" s="429"/>
      <c r="AO725" s="429"/>
    </row>
    <row r="726" spans="3:41" ht="15.75">
      <c r="C726" s="430"/>
      <c r="D726" s="1751"/>
      <c r="E726" s="429"/>
      <c r="F726" s="428"/>
      <c r="G726" s="428"/>
      <c r="H726" s="429"/>
      <c r="I726" s="428"/>
      <c r="J726" s="429"/>
      <c r="K726" s="428"/>
      <c r="L726" s="429"/>
      <c r="M726" s="429"/>
      <c r="N726" s="429"/>
      <c r="O726" s="429"/>
      <c r="P726" s="428"/>
      <c r="Q726" s="428"/>
      <c r="R726" s="428"/>
      <c r="S726" s="428"/>
      <c r="T726" s="428"/>
      <c r="U726" s="1719"/>
      <c r="V726" s="1719"/>
      <c r="W726" s="1860"/>
      <c r="X726" s="1860"/>
      <c r="Y726" s="1860"/>
      <c r="Z726" s="429"/>
      <c r="AA726" s="429"/>
      <c r="AB726" s="429"/>
      <c r="AC726" s="429"/>
      <c r="AD726" s="429"/>
      <c r="AE726" s="429"/>
      <c r="AF726" s="429"/>
      <c r="AG726" s="429"/>
      <c r="AH726" s="429"/>
      <c r="AI726" s="429"/>
      <c r="AJ726" s="429"/>
      <c r="AK726" s="429"/>
      <c r="AL726" s="428"/>
      <c r="AM726" s="429"/>
      <c r="AN726" s="429"/>
      <c r="AO726" s="429"/>
    </row>
    <row r="727" spans="3:41" ht="15.75">
      <c r="C727" s="430"/>
      <c r="D727" s="1751"/>
      <c r="E727" s="429"/>
      <c r="F727" s="428"/>
      <c r="G727" s="428"/>
      <c r="H727" s="429"/>
      <c r="I727" s="428"/>
      <c r="J727" s="429"/>
      <c r="K727" s="428"/>
      <c r="L727" s="429"/>
      <c r="M727" s="429"/>
      <c r="N727" s="429"/>
      <c r="O727" s="429"/>
      <c r="P727" s="428"/>
      <c r="Q727" s="428"/>
      <c r="R727" s="428"/>
      <c r="S727" s="428"/>
      <c r="T727" s="428"/>
      <c r="U727" s="1719"/>
      <c r="V727" s="1719"/>
      <c r="W727" s="1860"/>
      <c r="X727" s="1860"/>
      <c r="Y727" s="1860"/>
      <c r="Z727" s="429"/>
      <c r="AA727" s="429"/>
      <c r="AB727" s="429"/>
      <c r="AC727" s="429"/>
      <c r="AD727" s="429"/>
      <c r="AE727" s="429"/>
      <c r="AF727" s="429"/>
      <c r="AG727" s="429"/>
      <c r="AH727" s="429"/>
      <c r="AI727" s="429"/>
      <c r="AJ727" s="429"/>
      <c r="AK727" s="429"/>
      <c r="AL727" s="428"/>
      <c r="AM727" s="429"/>
      <c r="AN727" s="429"/>
      <c r="AO727" s="429"/>
    </row>
    <row r="728" spans="3:41" ht="15.75">
      <c r="C728" s="430"/>
      <c r="D728" s="1751"/>
      <c r="E728" s="889"/>
      <c r="F728" s="428"/>
      <c r="G728" s="428"/>
      <c r="H728" s="429"/>
      <c r="I728" s="428"/>
      <c r="J728" s="429"/>
      <c r="K728" s="428"/>
      <c r="L728" s="429"/>
      <c r="M728" s="429"/>
      <c r="N728" s="889"/>
      <c r="O728" s="428"/>
      <c r="P728" s="428"/>
      <c r="Q728" s="428"/>
      <c r="R728" s="428"/>
      <c r="S728" s="428"/>
      <c r="T728" s="428"/>
      <c r="U728" s="889"/>
      <c r="V728" s="428"/>
      <c r="W728" s="1860"/>
      <c r="X728" s="1860"/>
      <c r="Y728" s="1860"/>
      <c r="Z728" s="429"/>
      <c r="AA728" s="429"/>
      <c r="AB728" s="429"/>
      <c r="AC728" s="429"/>
      <c r="AD728" s="429"/>
      <c r="AE728" s="429"/>
      <c r="AF728" s="429"/>
      <c r="AG728" s="429"/>
      <c r="AH728" s="429"/>
      <c r="AI728" s="429"/>
      <c r="AJ728" s="429"/>
      <c r="AK728" s="429"/>
      <c r="AL728" s="428"/>
      <c r="AM728" s="429"/>
      <c r="AN728" s="429"/>
      <c r="AO728" s="429"/>
    </row>
    <row r="729" spans="3:41" ht="15.75">
      <c r="C729" s="430"/>
      <c r="D729" s="1751"/>
      <c r="E729" s="429"/>
      <c r="F729" s="428"/>
      <c r="G729" s="428"/>
      <c r="H729" s="429"/>
      <c r="I729" s="428"/>
      <c r="J729" s="429"/>
      <c r="K729" s="428"/>
      <c r="L729" s="429"/>
      <c r="M729" s="429"/>
      <c r="N729" s="429"/>
      <c r="O729" s="429"/>
      <c r="P729" s="428"/>
      <c r="Q729" s="428"/>
      <c r="R729" s="428"/>
      <c r="S729" s="428"/>
      <c r="T729" s="428"/>
      <c r="U729" s="1719"/>
      <c r="V729" s="1719"/>
      <c r="W729" s="1860"/>
      <c r="X729" s="1860"/>
      <c r="Y729" s="1860"/>
      <c r="Z729" s="429"/>
      <c r="AA729" s="429"/>
      <c r="AB729" s="429"/>
      <c r="AC729" s="429"/>
      <c r="AD729" s="429"/>
      <c r="AE729" s="429"/>
      <c r="AF729" s="429"/>
      <c r="AG729" s="429"/>
      <c r="AH729" s="429"/>
      <c r="AI729" s="429"/>
      <c r="AJ729" s="429"/>
      <c r="AK729" s="429"/>
      <c r="AL729" s="428"/>
      <c r="AM729" s="429"/>
      <c r="AN729" s="429"/>
      <c r="AO729" s="429"/>
    </row>
    <row r="730" spans="3:41" ht="15.75">
      <c r="C730" s="430"/>
      <c r="D730" s="1751"/>
      <c r="E730" s="429"/>
      <c r="F730" s="428"/>
      <c r="G730" s="428"/>
      <c r="H730" s="429"/>
      <c r="I730" s="428"/>
      <c r="J730" s="429"/>
      <c r="K730" s="428"/>
      <c r="L730" s="429"/>
      <c r="M730" s="429"/>
      <c r="N730" s="429"/>
      <c r="O730" s="429"/>
      <c r="P730" s="428"/>
      <c r="Q730" s="428"/>
      <c r="R730" s="428"/>
      <c r="S730" s="428"/>
      <c r="T730" s="428"/>
      <c r="U730" s="1719"/>
      <c r="V730" s="1719"/>
      <c r="W730" s="1860"/>
      <c r="X730" s="1860"/>
      <c r="Y730" s="1860"/>
      <c r="Z730" s="429"/>
      <c r="AA730" s="429"/>
      <c r="AB730" s="429"/>
      <c r="AC730" s="429"/>
      <c r="AD730" s="429"/>
      <c r="AE730" s="429"/>
      <c r="AF730" s="429"/>
      <c r="AG730" s="429"/>
      <c r="AH730" s="429"/>
      <c r="AI730" s="429"/>
      <c r="AJ730" s="429"/>
      <c r="AK730" s="429"/>
      <c r="AL730" s="428"/>
      <c r="AM730" s="429"/>
      <c r="AN730" s="429"/>
      <c r="AO730" s="429"/>
    </row>
    <row r="731" spans="3:41" ht="15.75">
      <c r="C731" s="430"/>
      <c r="D731" s="1751"/>
      <c r="E731" s="429"/>
      <c r="F731" s="428"/>
      <c r="G731" s="428"/>
      <c r="H731" s="429"/>
      <c r="I731" s="428"/>
      <c r="J731" s="429"/>
      <c r="K731" s="428"/>
      <c r="L731" s="429"/>
      <c r="M731" s="429"/>
      <c r="N731" s="429"/>
      <c r="O731" s="429"/>
      <c r="P731" s="428"/>
      <c r="Q731" s="428"/>
      <c r="R731" s="428"/>
      <c r="S731" s="428"/>
      <c r="T731" s="428"/>
      <c r="U731" s="1719"/>
      <c r="V731" s="1719"/>
      <c r="W731" s="1860"/>
      <c r="X731" s="1860"/>
      <c r="Y731" s="1860"/>
      <c r="Z731" s="429"/>
      <c r="AA731" s="429"/>
      <c r="AB731" s="429"/>
      <c r="AC731" s="429"/>
      <c r="AD731" s="429"/>
      <c r="AE731" s="429"/>
      <c r="AF731" s="429"/>
      <c r="AG731" s="429"/>
      <c r="AH731" s="429"/>
      <c r="AI731" s="429"/>
      <c r="AJ731" s="429"/>
      <c r="AK731" s="429"/>
      <c r="AL731" s="428"/>
      <c r="AM731" s="429"/>
      <c r="AN731" s="429"/>
      <c r="AO731" s="429"/>
    </row>
    <row r="732" spans="3:41" ht="15.75">
      <c r="C732" s="430"/>
      <c r="D732" s="1751"/>
      <c r="E732" s="429"/>
      <c r="F732" s="428"/>
      <c r="G732" s="428"/>
      <c r="H732" s="429"/>
      <c r="I732" s="428"/>
      <c r="J732" s="429"/>
      <c r="K732" s="428"/>
      <c r="L732" s="429"/>
      <c r="M732" s="429"/>
      <c r="N732" s="429"/>
      <c r="O732" s="429"/>
      <c r="P732" s="428"/>
      <c r="Q732" s="428"/>
      <c r="R732" s="428"/>
      <c r="S732" s="428"/>
      <c r="T732" s="428"/>
      <c r="U732" s="1719"/>
      <c r="V732" s="1719"/>
      <c r="W732" s="1860"/>
      <c r="X732" s="1860"/>
      <c r="Y732" s="1860"/>
      <c r="Z732" s="429"/>
      <c r="AA732" s="429"/>
      <c r="AB732" s="429"/>
      <c r="AC732" s="429"/>
      <c r="AD732" s="429"/>
      <c r="AE732" s="429"/>
      <c r="AF732" s="429"/>
      <c r="AG732" s="429"/>
      <c r="AH732" s="429"/>
      <c r="AI732" s="429"/>
      <c r="AJ732" s="429"/>
      <c r="AK732" s="429"/>
      <c r="AL732" s="428"/>
      <c r="AM732" s="429"/>
      <c r="AN732" s="429"/>
      <c r="AO732" s="429"/>
    </row>
    <row r="733" spans="3:41" ht="15.75">
      <c r="C733" s="430"/>
      <c r="D733" s="1751"/>
      <c r="E733" s="429"/>
      <c r="F733" s="428"/>
      <c r="G733" s="428"/>
      <c r="H733" s="429"/>
      <c r="I733" s="428"/>
      <c r="J733" s="429"/>
      <c r="K733" s="428"/>
      <c r="L733" s="429"/>
      <c r="M733" s="429"/>
      <c r="N733" s="429"/>
      <c r="O733" s="429"/>
      <c r="P733" s="428"/>
      <c r="Q733" s="428"/>
      <c r="R733" s="428"/>
      <c r="S733" s="428"/>
      <c r="T733" s="428"/>
      <c r="U733" s="1719"/>
      <c r="V733" s="1719"/>
      <c r="W733" s="1860"/>
      <c r="X733" s="1860"/>
      <c r="Y733" s="1860"/>
      <c r="Z733" s="429"/>
      <c r="AA733" s="429"/>
      <c r="AB733" s="429"/>
      <c r="AC733" s="429"/>
      <c r="AD733" s="429"/>
      <c r="AE733" s="429"/>
      <c r="AF733" s="429"/>
      <c r="AG733" s="429"/>
      <c r="AH733" s="429"/>
      <c r="AI733" s="429"/>
      <c r="AJ733" s="429"/>
      <c r="AK733" s="429"/>
      <c r="AL733" s="428"/>
      <c r="AM733" s="429"/>
      <c r="AN733" s="429"/>
      <c r="AO733" s="429"/>
    </row>
    <row r="734" spans="3:41" ht="15.75">
      <c r="C734" s="430"/>
      <c r="D734" s="1751"/>
      <c r="E734" s="429"/>
      <c r="F734" s="428"/>
      <c r="G734" s="428"/>
      <c r="H734" s="429"/>
      <c r="I734" s="428"/>
      <c r="J734" s="429"/>
      <c r="K734" s="428"/>
      <c r="L734" s="429"/>
      <c r="M734" s="429"/>
      <c r="N734" s="429"/>
      <c r="O734" s="429"/>
      <c r="P734" s="428"/>
      <c r="Q734" s="428"/>
      <c r="R734" s="428"/>
      <c r="S734" s="428"/>
      <c r="T734" s="428"/>
      <c r="U734" s="1719"/>
      <c r="V734" s="1719"/>
      <c r="W734" s="1860"/>
      <c r="X734" s="1860"/>
      <c r="Y734" s="1860"/>
      <c r="Z734" s="429"/>
      <c r="AA734" s="429"/>
      <c r="AB734" s="429"/>
      <c r="AC734" s="429"/>
      <c r="AD734" s="429"/>
      <c r="AE734" s="429"/>
      <c r="AF734" s="429"/>
      <c r="AG734" s="429"/>
      <c r="AH734" s="429"/>
      <c r="AI734" s="429"/>
      <c r="AJ734" s="429"/>
      <c r="AK734" s="429"/>
      <c r="AL734" s="428"/>
      <c r="AM734" s="429"/>
      <c r="AN734" s="429"/>
      <c r="AO734" s="429"/>
    </row>
    <row r="735" spans="3:41" ht="15.75">
      <c r="C735" s="430"/>
      <c r="D735" s="1751"/>
      <c r="E735" s="429"/>
      <c r="F735" s="428"/>
      <c r="G735" s="428"/>
      <c r="H735" s="429"/>
      <c r="I735" s="428"/>
      <c r="J735" s="429"/>
      <c r="K735" s="428"/>
      <c r="L735" s="429"/>
      <c r="M735" s="429"/>
      <c r="N735" s="429"/>
      <c r="O735" s="429"/>
      <c r="P735" s="428"/>
      <c r="Q735" s="428"/>
      <c r="R735" s="428"/>
      <c r="S735" s="428"/>
      <c r="T735" s="428"/>
      <c r="U735" s="1719"/>
      <c r="V735" s="1719"/>
      <c r="W735" s="1860"/>
      <c r="X735" s="1860"/>
      <c r="Y735" s="1860"/>
      <c r="Z735" s="429"/>
      <c r="AA735" s="429"/>
      <c r="AB735" s="429"/>
      <c r="AC735" s="429"/>
      <c r="AD735" s="429"/>
      <c r="AE735" s="429"/>
      <c r="AF735" s="429"/>
      <c r="AG735" s="429"/>
      <c r="AH735" s="429"/>
      <c r="AI735" s="429"/>
      <c r="AJ735" s="429"/>
      <c r="AK735" s="429"/>
      <c r="AL735" s="428"/>
      <c r="AM735" s="429"/>
      <c r="AN735" s="429"/>
      <c r="AO735" s="429"/>
    </row>
    <row r="736" spans="3:41" ht="15.75">
      <c r="C736" s="430"/>
      <c r="D736" s="1751"/>
      <c r="E736" s="429"/>
      <c r="F736" s="428"/>
      <c r="G736" s="428"/>
      <c r="H736" s="1745"/>
      <c r="I736" s="1743"/>
      <c r="J736" s="429"/>
      <c r="K736" s="428"/>
      <c r="L736" s="429"/>
      <c r="M736" s="429"/>
      <c r="N736" s="429"/>
      <c r="O736" s="429"/>
      <c r="P736" s="428"/>
      <c r="Q736" s="1743"/>
      <c r="R736" s="428"/>
      <c r="S736" s="428"/>
      <c r="T736" s="428"/>
      <c r="U736" s="1719"/>
      <c r="V736" s="1719"/>
      <c r="W736" s="1860"/>
      <c r="X736" s="1862"/>
      <c r="Y736" s="1860"/>
      <c r="Z736" s="429"/>
      <c r="AA736" s="429"/>
      <c r="AB736" s="429"/>
      <c r="AC736" s="429"/>
      <c r="AD736" s="429"/>
      <c r="AE736" s="429"/>
      <c r="AF736" s="429"/>
      <c r="AG736" s="429"/>
      <c r="AH736" s="429"/>
      <c r="AI736" s="429"/>
      <c r="AJ736" s="429"/>
      <c r="AK736" s="429"/>
      <c r="AL736" s="428"/>
      <c r="AM736" s="429"/>
      <c r="AN736" s="429"/>
      <c r="AO736" s="429"/>
    </row>
    <row r="737" spans="3:41" ht="15.75">
      <c r="C737" s="430"/>
      <c r="D737" s="1751"/>
      <c r="E737" s="429"/>
      <c r="F737" s="428"/>
      <c r="G737" s="428"/>
      <c r="H737" s="1745"/>
      <c r="I737" s="1743"/>
      <c r="J737" s="429"/>
      <c r="K737" s="428"/>
      <c r="L737" s="429"/>
      <c r="M737" s="429"/>
      <c r="N737" s="429"/>
      <c r="O737" s="429"/>
      <c r="P737" s="428"/>
      <c r="Q737" s="1743"/>
      <c r="R737" s="428"/>
      <c r="S737" s="428"/>
      <c r="T737" s="428"/>
      <c r="U737" s="429"/>
      <c r="V737" s="429"/>
      <c r="W737" s="1860"/>
      <c r="X737" s="1862"/>
      <c r="Y737" s="1860"/>
      <c r="Z737" s="429"/>
      <c r="AA737" s="429"/>
      <c r="AB737" s="429"/>
      <c r="AC737" s="429"/>
      <c r="AD737" s="429"/>
      <c r="AE737" s="429"/>
      <c r="AF737" s="429"/>
      <c r="AG737" s="429"/>
      <c r="AH737" s="429"/>
      <c r="AI737" s="429"/>
      <c r="AJ737" s="429"/>
      <c r="AK737" s="429"/>
      <c r="AL737" s="428"/>
      <c r="AM737" s="429"/>
      <c r="AN737" s="429"/>
      <c r="AO737" s="429"/>
    </row>
    <row r="738" spans="3:41" ht="15.75">
      <c r="C738" s="430"/>
      <c r="D738" s="429"/>
      <c r="E738" s="1864"/>
      <c r="F738" s="1168"/>
      <c r="G738" s="1168"/>
      <c r="H738" s="1168"/>
      <c r="I738" s="1168"/>
      <c r="J738" s="1168"/>
      <c r="K738" s="1168"/>
      <c r="L738" s="1168"/>
      <c r="M738" s="1168"/>
      <c r="N738" s="1864"/>
      <c r="O738" s="1168"/>
      <c r="P738" s="1168"/>
      <c r="Q738" s="1168"/>
      <c r="R738" s="1168"/>
      <c r="S738" s="1168"/>
      <c r="T738" s="1168"/>
      <c r="U738" s="1864"/>
      <c r="V738" s="1168"/>
      <c r="W738" s="1168"/>
      <c r="X738" s="429"/>
      <c r="Y738" s="429"/>
      <c r="Z738" s="429"/>
      <c r="AA738" s="429"/>
      <c r="AB738" s="429"/>
      <c r="AC738" s="429"/>
      <c r="AD738" s="429"/>
      <c r="AE738" s="429"/>
      <c r="AF738" s="429"/>
      <c r="AG738" s="429"/>
      <c r="AH738" s="429"/>
      <c r="AI738" s="429"/>
      <c r="AJ738" s="429"/>
      <c r="AK738" s="429"/>
      <c r="AL738" s="429"/>
      <c r="AM738" s="429"/>
      <c r="AN738" s="429"/>
      <c r="AO738" s="429"/>
    </row>
    <row r="739" spans="3:41" ht="18">
      <c r="C739" s="1847"/>
      <c r="D739" s="1839"/>
      <c r="E739" s="2591"/>
      <c r="F739" s="2591"/>
      <c r="G739" s="1848"/>
      <c r="H739" s="2591"/>
      <c r="I739" s="2591"/>
      <c r="J739" s="2591"/>
      <c r="K739" s="2591"/>
      <c r="L739" s="1745"/>
      <c r="M739" s="1745"/>
      <c r="N739" s="1840"/>
      <c r="O739" s="1840"/>
      <c r="P739" s="1745"/>
      <c r="Q739" s="1745"/>
      <c r="R739" s="1745"/>
      <c r="S739" s="1744"/>
      <c r="T739" s="1744"/>
      <c r="U739" s="1743"/>
      <c r="V739" s="1743"/>
      <c r="W739" s="1841"/>
      <c r="X739" s="1841"/>
      <c r="Y739" s="1841"/>
      <c r="Z739" s="1744"/>
      <c r="AA739" s="1744"/>
      <c r="AB739" s="1744"/>
      <c r="AC739" s="1744"/>
      <c r="AD739" s="1744"/>
      <c r="AE739" s="1744"/>
      <c r="AF739" s="1744"/>
      <c r="AG739" s="1744"/>
      <c r="AH739" s="1744"/>
      <c r="AI739" s="1744"/>
      <c r="AJ739" s="1744"/>
      <c r="AK739" s="1744"/>
      <c r="AL739" s="1744"/>
      <c r="AM739" s="429"/>
      <c r="AN739" s="429"/>
      <c r="AO739" s="429"/>
    </row>
    <row r="740" spans="3:41" ht="15.75">
      <c r="C740" s="430"/>
      <c r="D740" s="1751"/>
      <c r="E740" s="429"/>
      <c r="F740" s="428"/>
      <c r="G740" s="428"/>
      <c r="H740" s="1745"/>
      <c r="I740" s="1743"/>
      <c r="J740" s="429"/>
      <c r="K740" s="428"/>
      <c r="L740" s="429"/>
      <c r="M740" s="429"/>
      <c r="N740" s="429"/>
      <c r="O740" s="429"/>
      <c r="P740" s="428"/>
      <c r="Q740" s="1743"/>
      <c r="R740" s="428"/>
      <c r="S740" s="428"/>
      <c r="T740" s="428"/>
      <c r="U740" s="429"/>
      <c r="V740" s="429"/>
      <c r="W740" s="428"/>
      <c r="X740" s="1743"/>
      <c r="Y740" s="428"/>
      <c r="Z740" s="429"/>
      <c r="AA740" s="429"/>
      <c r="AB740" s="429"/>
      <c r="AC740" s="429"/>
      <c r="AD740" s="429"/>
      <c r="AE740" s="429"/>
      <c r="AF740" s="429"/>
      <c r="AG740" s="429"/>
      <c r="AH740" s="429"/>
      <c r="AI740" s="429"/>
      <c r="AJ740" s="429"/>
      <c r="AK740" s="429"/>
      <c r="AL740" s="428"/>
      <c r="AM740" s="429"/>
      <c r="AN740" s="429"/>
      <c r="AO740" s="429"/>
    </row>
    <row r="741" spans="3:41" ht="15.75">
      <c r="C741" s="430"/>
      <c r="D741" s="1751"/>
      <c r="E741" s="1865"/>
      <c r="F741" s="428"/>
      <c r="G741" s="428"/>
      <c r="H741" s="1866"/>
      <c r="I741" s="1743"/>
      <c r="J741" s="1865"/>
      <c r="K741" s="428"/>
      <c r="L741" s="429"/>
      <c r="M741" s="429"/>
      <c r="N741" s="429"/>
      <c r="O741" s="429"/>
      <c r="P741" s="428"/>
      <c r="Q741" s="1743"/>
      <c r="R741" s="428"/>
      <c r="S741" s="428"/>
      <c r="T741" s="428"/>
      <c r="U741" s="429"/>
      <c r="V741" s="429"/>
      <c r="W741" s="428"/>
      <c r="X741" s="1743"/>
      <c r="Y741" s="428"/>
      <c r="Z741" s="428"/>
      <c r="AA741" s="428"/>
      <c r="AB741" s="428"/>
      <c r="AC741" s="428"/>
      <c r="AD741" s="428"/>
      <c r="AE741" s="428"/>
      <c r="AF741" s="428"/>
      <c r="AG741" s="428"/>
      <c r="AH741" s="428"/>
      <c r="AI741" s="428"/>
      <c r="AJ741" s="428"/>
      <c r="AK741" s="428"/>
      <c r="AL741" s="428"/>
      <c r="AM741" s="429"/>
      <c r="AN741" s="429"/>
      <c r="AO741" s="429"/>
    </row>
    <row r="742" spans="3:41" ht="15.75">
      <c r="C742" s="430"/>
      <c r="D742" s="1751"/>
      <c r="E742" s="1865"/>
      <c r="F742" s="428"/>
      <c r="G742" s="428"/>
      <c r="H742" s="1866"/>
      <c r="I742" s="1743"/>
      <c r="J742" s="1865"/>
      <c r="K742" s="428"/>
      <c r="L742" s="429"/>
      <c r="M742" s="429"/>
      <c r="N742" s="429"/>
      <c r="O742" s="429"/>
      <c r="P742" s="428"/>
      <c r="Q742" s="1743"/>
      <c r="R742" s="428"/>
      <c r="S742" s="428"/>
      <c r="T742" s="428"/>
      <c r="U742" s="429"/>
      <c r="V742" s="429"/>
      <c r="W742" s="428"/>
      <c r="X742" s="1743"/>
      <c r="Y742" s="428"/>
      <c r="Z742" s="428"/>
      <c r="AA742" s="428"/>
      <c r="AB742" s="428"/>
      <c r="AC742" s="428"/>
      <c r="AD742" s="428"/>
      <c r="AE742" s="428"/>
      <c r="AF742" s="428"/>
      <c r="AG742" s="428"/>
      <c r="AH742" s="428"/>
      <c r="AI742" s="428"/>
      <c r="AJ742" s="428"/>
      <c r="AK742" s="428"/>
      <c r="AL742" s="428"/>
      <c r="AM742" s="429"/>
      <c r="AN742" s="429"/>
      <c r="AO742" s="429"/>
    </row>
    <row r="743" spans="3:41" ht="15.75">
      <c r="C743" s="430"/>
      <c r="D743" s="1751"/>
      <c r="E743" s="1865"/>
      <c r="F743" s="428"/>
      <c r="G743" s="428"/>
      <c r="H743" s="1866"/>
      <c r="I743" s="1743"/>
      <c r="J743" s="1865"/>
      <c r="K743" s="428"/>
      <c r="L743" s="429"/>
      <c r="M743" s="429"/>
      <c r="N743" s="429"/>
      <c r="O743" s="429"/>
      <c r="P743" s="428"/>
      <c r="Q743" s="1743"/>
      <c r="R743" s="428"/>
      <c r="S743" s="428"/>
      <c r="T743" s="428"/>
      <c r="U743" s="429"/>
      <c r="V743" s="429"/>
      <c r="W743" s="428"/>
      <c r="X743" s="1743"/>
      <c r="Y743" s="428"/>
      <c r="Z743" s="428"/>
      <c r="AA743" s="428"/>
      <c r="AB743" s="428"/>
      <c r="AC743" s="428"/>
      <c r="AD743" s="428"/>
      <c r="AE743" s="428"/>
      <c r="AF743" s="428"/>
      <c r="AG743" s="428"/>
      <c r="AH743" s="428"/>
      <c r="AI743" s="428"/>
      <c r="AJ743" s="428"/>
      <c r="AK743" s="428"/>
      <c r="AL743" s="428"/>
      <c r="AM743" s="429"/>
      <c r="AN743" s="429"/>
      <c r="AO743" s="429"/>
    </row>
    <row r="744" spans="3:41" ht="15.75">
      <c r="C744" s="430"/>
      <c r="D744" s="1751"/>
      <c r="E744" s="1865"/>
      <c r="F744" s="428"/>
      <c r="G744" s="428"/>
      <c r="H744" s="1866"/>
      <c r="I744" s="1743"/>
      <c r="J744" s="1865"/>
      <c r="K744" s="428"/>
      <c r="L744" s="429"/>
      <c r="M744" s="429"/>
      <c r="N744" s="429"/>
      <c r="O744" s="429"/>
      <c r="P744" s="428"/>
      <c r="Q744" s="1743"/>
      <c r="R744" s="428"/>
      <c r="S744" s="428"/>
      <c r="T744" s="428"/>
      <c r="U744" s="429"/>
      <c r="V744" s="429"/>
      <c r="W744" s="428"/>
      <c r="X744" s="1743"/>
      <c r="Y744" s="428"/>
      <c r="Z744" s="428"/>
      <c r="AA744" s="428"/>
      <c r="AB744" s="428"/>
      <c r="AC744" s="428"/>
      <c r="AD744" s="428"/>
      <c r="AE744" s="428"/>
      <c r="AF744" s="428"/>
      <c r="AG744" s="428"/>
      <c r="AH744" s="428"/>
      <c r="AI744" s="428"/>
      <c r="AJ744" s="428"/>
      <c r="AK744" s="428"/>
      <c r="AL744" s="428"/>
      <c r="AM744" s="429"/>
      <c r="AN744" s="429"/>
      <c r="AO744" s="429"/>
    </row>
    <row r="745" spans="3:41" ht="15.75">
      <c r="C745" s="430"/>
      <c r="D745" s="1751"/>
      <c r="E745" s="1865"/>
      <c r="F745" s="428"/>
      <c r="G745" s="428"/>
      <c r="H745" s="1866"/>
      <c r="I745" s="1743"/>
      <c r="J745" s="1865"/>
      <c r="K745" s="428"/>
      <c r="L745" s="429"/>
      <c r="M745" s="429"/>
      <c r="N745" s="429"/>
      <c r="O745" s="429"/>
      <c r="P745" s="428"/>
      <c r="Q745" s="1743"/>
      <c r="R745" s="428"/>
      <c r="S745" s="428"/>
      <c r="T745" s="428"/>
      <c r="U745" s="429"/>
      <c r="V745" s="429"/>
      <c r="W745" s="428"/>
      <c r="X745" s="1743"/>
      <c r="Y745" s="428"/>
      <c r="Z745" s="428"/>
      <c r="AA745" s="428"/>
      <c r="AB745" s="428"/>
      <c r="AC745" s="428"/>
      <c r="AD745" s="428"/>
      <c r="AE745" s="428"/>
      <c r="AF745" s="428"/>
      <c r="AG745" s="428"/>
      <c r="AH745" s="428"/>
      <c r="AI745" s="428"/>
      <c r="AJ745" s="428"/>
      <c r="AK745" s="428"/>
      <c r="AL745" s="428"/>
      <c r="AM745" s="429"/>
      <c r="AN745" s="429"/>
      <c r="AO745" s="429"/>
    </row>
    <row r="746" spans="3:41" ht="15.75">
      <c r="C746" s="430"/>
      <c r="D746" s="1751"/>
      <c r="E746" s="1865"/>
      <c r="F746" s="428"/>
      <c r="G746" s="428"/>
      <c r="H746" s="1866"/>
      <c r="I746" s="1743"/>
      <c r="J746" s="1865"/>
      <c r="K746" s="428"/>
      <c r="L746" s="429"/>
      <c r="M746" s="429"/>
      <c r="N746" s="429"/>
      <c r="O746" s="429"/>
      <c r="P746" s="428"/>
      <c r="Q746" s="1743"/>
      <c r="R746" s="428"/>
      <c r="S746" s="428"/>
      <c r="T746" s="428"/>
      <c r="U746" s="429"/>
      <c r="V746" s="429"/>
      <c r="W746" s="428"/>
      <c r="X746" s="1743"/>
      <c r="Y746" s="428"/>
      <c r="Z746" s="428"/>
      <c r="AA746" s="428"/>
      <c r="AB746" s="428"/>
      <c r="AC746" s="428"/>
      <c r="AD746" s="428"/>
      <c r="AE746" s="428"/>
      <c r="AF746" s="428"/>
      <c r="AG746" s="428"/>
      <c r="AH746" s="428"/>
      <c r="AI746" s="428"/>
      <c r="AJ746" s="428"/>
      <c r="AK746" s="428"/>
      <c r="AL746" s="428"/>
      <c r="AM746" s="429"/>
      <c r="AN746" s="429"/>
      <c r="AO746" s="429"/>
    </row>
    <row r="747" spans="3:41" ht="15.75">
      <c r="C747" s="430"/>
      <c r="D747" s="1751"/>
      <c r="E747" s="1865"/>
      <c r="F747" s="428"/>
      <c r="G747" s="428"/>
      <c r="H747" s="1866"/>
      <c r="I747" s="1743"/>
      <c r="J747" s="1865"/>
      <c r="K747" s="428"/>
      <c r="L747" s="429"/>
      <c r="M747" s="429"/>
      <c r="N747" s="429"/>
      <c r="O747" s="429"/>
      <c r="P747" s="428"/>
      <c r="Q747" s="1743"/>
      <c r="R747" s="428"/>
      <c r="S747" s="428"/>
      <c r="T747" s="428"/>
      <c r="U747" s="429"/>
      <c r="V747" s="429"/>
      <c r="W747" s="428"/>
      <c r="X747" s="1743"/>
      <c r="Y747" s="428"/>
      <c r="Z747" s="428"/>
      <c r="AA747" s="428"/>
      <c r="AB747" s="428"/>
      <c r="AC747" s="428"/>
      <c r="AD747" s="428"/>
      <c r="AE747" s="428"/>
      <c r="AF747" s="428"/>
      <c r="AG747" s="428"/>
      <c r="AH747" s="428"/>
      <c r="AI747" s="428"/>
      <c r="AJ747" s="428"/>
      <c r="AK747" s="428"/>
      <c r="AL747" s="428"/>
      <c r="AM747" s="429"/>
      <c r="AN747" s="429"/>
      <c r="AO747" s="429"/>
    </row>
    <row r="748" spans="3:41" ht="15.75">
      <c r="C748" s="430"/>
      <c r="D748" s="1751"/>
      <c r="E748" s="1865"/>
      <c r="F748" s="428"/>
      <c r="G748" s="428"/>
      <c r="H748" s="1866"/>
      <c r="I748" s="1743"/>
      <c r="J748" s="1865"/>
      <c r="K748" s="428"/>
      <c r="L748" s="429"/>
      <c r="M748" s="429"/>
      <c r="N748" s="429"/>
      <c r="O748" s="429"/>
      <c r="P748" s="428"/>
      <c r="Q748" s="1743"/>
      <c r="R748" s="428"/>
      <c r="S748" s="428"/>
      <c r="T748" s="428"/>
      <c r="U748" s="429"/>
      <c r="V748" s="429"/>
      <c r="W748" s="428"/>
      <c r="X748" s="1743"/>
      <c r="Y748" s="428"/>
      <c r="Z748" s="428"/>
      <c r="AA748" s="428"/>
      <c r="AB748" s="428"/>
      <c r="AC748" s="428"/>
      <c r="AD748" s="428"/>
      <c r="AE748" s="428"/>
      <c r="AF748" s="428"/>
      <c r="AG748" s="428"/>
      <c r="AH748" s="428"/>
      <c r="AI748" s="428"/>
      <c r="AJ748" s="428"/>
      <c r="AK748" s="428"/>
      <c r="AL748" s="428"/>
      <c r="AM748" s="429"/>
      <c r="AN748" s="429"/>
      <c r="AO748" s="429"/>
    </row>
    <row r="749" spans="3:41" ht="15.75">
      <c r="C749" s="430"/>
      <c r="D749" s="1751"/>
      <c r="E749" s="1865"/>
      <c r="F749" s="428"/>
      <c r="G749" s="428"/>
      <c r="H749" s="1866"/>
      <c r="I749" s="1743"/>
      <c r="J749" s="1865"/>
      <c r="K749" s="428"/>
      <c r="L749" s="429"/>
      <c r="M749" s="429"/>
      <c r="N749" s="429"/>
      <c r="O749" s="429"/>
      <c r="P749" s="428"/>
      <c r="Q749" s="1743"/>
      <c r="R749" s="428"/>
      <c r="S749" s="428"/>
      <c r="T749" s="428"/>
      <c r="U749" s="429"/>
      <c r="V749" s="429"/>
      <c r="W749" s="428"/>
      <c r="X749" s="1743"/>
      <c r="Y749" s="428"/>
      <c r="Z749" s="428"/>
      <c r="AA749" s="428"/>
      <c r="AB749" s="428"/>
      <c r="AC749" s="428"/>
      <c r="AD749" s="428"/>
      <c r="AE749" s="428"/>
      <c r="AF749" s="428"/>
      <c r="AG749" s="428"/>
      <c r="AH749" s="428"/>
      <c r="AI749" s="428"/>
      <c r="AJ749" s="428"/>
      <c r="AK749" s="428"/>
      <c r="AL749" s="428"/>
      <c r="AM749" s="429"/>
      <c r="AN749" s="429"/>
      <c r="AO749" s="429"/>
    </row>
    <row r="750" spans="3:41" ht="15.75">
      <c r="C750" s="430"/>
      <c r="D750" s="1751"/>
      <c r="E750" s="1865"/>
      <c r="F750" s="428"/>
      <c r="G750" s="428"/>
      <c r="H750" s="1866"/>
      <c r="I750" s="1743"/>
      <c r="J750" s="1865"/>
      <c r="K750" s="428"/>
      <c r="L750" s="429"/>
      <c r="M750" s="429"/>
      <c r="N750" s="429"/>
      <c r="O750" s="429"/>
      <c r="P750" s="428"/>
      <c r="Q750" s="1743"/>
      <c r="R750" s="428"/>
      <c r="S750" s="428"/>
      <c r="T750" s="428"/>
      <c r="U750" s="429"/>
      <c r="V750" s="429"/>
      <c r="W750" s="428"/>
      <c r="X750" s="1743"/>
      <c r="Y750" s="428"/>
      <c r="Z750" s="428"/>
      <c r="AA750" s="428"/>
      <c r="AB750" s="428"/>
      <c r="AC750" s="428"/>
      <c r="AD750" s="428"/>
      <c r="AE750" s="428"/>
      <c r="AF750" s="428"/>
      <c r="AG750" s="428"/>
      <c r="AH750" s="428"/>
      <c r="AI750" s="428"/>
      <c r="AJ750" s="428"/>
      <c r="AK750" s="428"/>
      <c r="AL750" s="428"/>
      <c r="AM750" s="429"/>
      <c r="AN750" s="429"/>
      <c r="AO750" s="429"/>
    </row>
    <row r="751" spans="3:41" ht="15.75">
      <c r="C751" s="430"/>
      <c r="D751" s="1751"/>
      <c r="E751" s="429"/>
      <c r="F751" s="428"/>
      <c r="G751" s="428"/>
      <c r="H751" s="1745"/>
      <c r="I751" s="1743"/>
      <c r="J751" s="429"/>
      <c r="K751" s="428"/>
      <c r="L751" s="429"/>
      <c r="M751" s="429"/>
      <c r="N751" s="429"/>
      <c r="O751" s="429"/>
      <c r="P751" s="428"/>
      <c r="Q751" s="1743"/>
      <c r="R751" s="428"/>
      <c r="S751" s="429"/>
      <c r="T751" s="429"/>
      <c r="U751" s="429"/>
      <c r="V751" s="429"/>
      <c r="W751" s="428"/>
      <c r="X751" s="1743"/>
      <c r="Y751" s="428"/>
      <c r="Z751" s="429"/>
      <c r="AA751" s="429"/>
      <c r="AB751" s="429"/>
      <c r="AC751" s="429"/>
      <c r="AD751" s="429"/>
      <c r="AE751" s="429"/>
      <c r="AF751" s="429"/>
      <c r="AG751" s="429"/>
      <c r="AH751" s="429"/>
      <c r="AI751" s="429"/>
      <c r="AJ751" s="429"/>
      <c r="AK751" s="429"/>
      <c r="AL751" s="429"/>
      <c r="AM751" s="429"/>
      <c r="AN751" s="429"/>
      <c r="AO751" s="429"/>
    </row>
    <row r="752" spans="3:41" ht="15.75">
      <c r="C752" s="430"/>
      <c r="D752" s="429"/>
      <c r="E752" s="1864"/>
      <c r="F752" s="1168"/>
      <c r="G752" s="1168"/>
      <c r="H752" s="1168"/>
      <c r="I752" s="1168"/>
      <c r="J752" s="1168"/>
      <c r="K752" s="1168"/>
      <c r="L752" s="1168"/>
      <c r="M752" s="1168"/>
      <c r="N752" s="1864"/>
      <c r="O752" s="1168"/>
      <c r="P752" s="1168"/>
      <c r="Q752" s="1168"/>
      <c r="R752" s="1168"/>
      <c r="S752" s="1168"/>
      <c r="T752" s="1168"/>
      <c r="U752" s="1864"/>
      <c r="V752" s="1168"/>
      <c r="W752" s="1168"/>
      <c r="X752" s="429"/>
      <c r="Y752" s="429"/>
      <c r="Z752" s="429"/>
      <c r="AA752" s="429"/>
      <c r="AB752" s="429"/>
      <c r="AC752" s="429"/>
      <c r="AD752" s="429"/>
      <c r="AE752" s="429"/>
      <c r="AF752" s="429"/>
      <c r="AG752" s="429"/>
      <c r="AH752" s="429"/>
      <c r="AI752" s="429"/>
      <c r="AJ752" s="429"/>
      <c r="AK752" s="429"/>
      <c r="AL752" s="429"/>
      <c r="AM752" s="429"/>
      <c r="AN752" s="429"/>
      <c r="AO752" s="429"/>
    </row>
    <row r="753" spans="3:41" ht="18">
      <c r="C753" s="1847"/>
      <c r="D753" s="1839"/>
      <c r="E753" s="2591"/>
      <c r="F753" s="2591"/>
      <c r="G753" s="1848"/>
      <c r="H753" s="2591"/>
      <c r="I753" s="2591"/>
      <c r="J753" s="2591"/>
      <c r="K753" s="2591"/>
      <c r="L753" s="1745"/>
      <c r="M753" s="1745"/>
      <c r="N753" s="1840"/>
      <c r="O753" s="1840"/>
      <c r="P753" s="1745"/>
      <c r="Q753" s="1745"/>
      <c r="R753" s="1745"/>
      <c r="S753" s="1744"/>
      <c r="T753" s="1744"/>
      <c r="U753" s="1743"/>
      <c r="V753" s="1743"/>
      <c r="W753" s="1841"/>
      <c r="X753" s="1841"/>
      <c r="Y753" s="1841"/>
      <c r="Z753" s="1744"/>
      <c r="AA753" s="1744"/>
      <c r="AB753" s="1744"/>
      <c r="AC753" s="1744"/>
      <c r="AD753" s="1744"/>
      <c r="AE753" s="1744"/>
      <c r="AF753" s="1744"/>
      <c r="AG753" s="1744"/>
      <c r="AH753" s="1744"/>
      <c r="AI753" s="1744"/>
      <c r="AJ753" s="1744"/>
      <c r="AK753" s="1744"/>
      <c r="AL753" s="1744"/>
      <c r="AM753" s="429"/>
      <c r="AN753" s="429"/>
      <c r="AO753" s="429"/>
    </row>
    <row r="754" spans="3:41" ht="15.75">
      <c r="C754" s="430"/>
      <c r="D754" s="1751"/>
      <c r="E754" s="429"/>
      <c r="F754" s="428"/>
      <c r="G754" s="428"/>
      <c r="H754" s="1745"/>
      <c r="I754" s="1743"/>
      <c r="J754" s="429"/>
      <c r="K754" s="428"/>
      <c r="L754" s="1844"/>
      <c r="M754" s="1844"/>
      <c r="N754" s="429"/>
      <c r="O754" s="429"/>
      <c r="P754" s="428"/>
      <c r="Q754" s="1743"/>
      <c r="R754" s="428"/>
      <c r="S754" s="429"/>
      <c r="T754" s="429"/>
      <c r="U754" s="1751"/>
      <c r="V754" s="1751"/>
      <c r="W754" s="1751"/>
      <c r="X754" s="1857"/>
      <c r="Y754" s="1751"/>
      <c r="Z754" s="1751"/>
      <c r="AA754" s="1751"/>
      <c r="AB754" s="1751"/>
      <c r="AC754" s="1751"/>
      <c r="AD754" s="1751"/>
      <c r="AE754" s="1751"/>
      <c r="AF754" s="1751"/>
      <c r="AG754" s="1751"/>
      <c r="AH754" s="1751"/>
      <c r="AI754" s="1751"/>
      <c r="AJ754" s="1751"/>
      <c r="AK754" s="1751"/>
      <c r="AL754" s="1751"/>
      <c r="AM754" s="429"/>
      <c r="AN754" s="429"/>
      <c r="AO754" s="429"/>
    </row>
    <row r="755" spans="3:41" ht="15.75">
      <c r="C755" s="430"/>
      <c r="D755" s="1751"/>
      <c r="E755" s="429"/>
      <c r="F755" s="428"/>
      <c r="G755" s="428"/>
      <c r="H755" s="1745"/>
      <c r="I755" s="1743"/>
      <c r="J755" s="429"/>
      <c r="K755" s="428"/>
      <c r="L755" s="1844"/>
      <c r="M755" s="1844"/>
      <c r="N755" s="429"/>
      <c r="O755" s="429"/>
      <c r="P755" s="428"/>
      <c r="Q755" s="1743"/>
      <c r="R755" s="428"/>
      <c r="S755" s="429"/>
      <c r="T755" s="429"/>
      <c r="U755" s="1751"/>
      <c r="V755" s="1751"/>
      <c r="W755" s="1751"/>
      <c r="X755" s="1857"/>
      <c r="Y755" s="1751"/>
      <c r="Z755" s="1751"/>
      <c r="AA755" s="1751"/>
      <c r="AB755" s="1751"/>
      <c r="AC755" s="1751"/>
      <c r="AD755" s="1751"/>
      <c r="AE755" s="1751"/>
      <c r="AF755" s="1751"/>
      <c r="AG755" s="1751"/>
      <c r="AH755" s="1751"/>
      <c r="AI755" s="1751"/>
      <c r="AJ755" s="1751"/>
      <c r="AK755" s="1751"/>
      <c r="AL755" s="1751"/>
      <c r="AM755" s="429"/>
      <c r="AN755" s="429"/>
      <c r="AO755" s="429"/>
    </row>
    <row r="756" spans="3:41" ht="15.75">
      <c r="C756" s="430"/>
      <c r="D756" s="1751"/>
      <c r="E756" s="429"/>
      <c r="F756" s="428"/>
      <c r="G756" s="428"/>
      <c r="H756" s="1745"/>
      <c r="I756" s="1743"/>
      <c r="J756" s="429"/>
      <c r="K756" s="428"/>
      <c r="L756" s="1844"/>
      <c r="M756" s="1844"/>
      <c r="N756" s="429"/>
      <c r="O756" s="429"/>
      <c r="P756" s="428"/>
      <c r="Q756" s="1743"/>
      <c r="R756" s="428"/>
      <c r="S756" s="429"/>
      <c r="T756" s="429"/>
      <c r="U756" s="1751"/>
      <c r="V756" s="1751"/>
      <c r="W756" s="1751"/>
      <c r="X756" s="1857"/>
      <c r="Y756" s="1751"/>
      <c r="Z756" s="1751"/>
      <c r="AA756" s="1751"/>
      <c r="AB756" s="1751"/>
      <c r="AC756" s="1751"/>
      <c r="AD756" s="1751"/>
      <c r="AE756" s="1751"/>
      <c r="AF756" s="1751"/>
      <c r="AG756" s="1751"/>
      <c r="AH756" s="1751"/>
      <c r="AI756" s="1751"/>
      <c r="AJ756" s="1751"/>
      <c r="AK756" s="1751"/>
      <c r="AL756" s="1751"/>
      <c r="AM756" s="429"/>
      <c r="AN756" s="429"/>
      <c r="AO756" s="429"/>
    </row>
    <row r="757" spans="3:41" ht="15.75">
      <c r="C757" s="430"/>
      <c r="D757" s="1751"/>
      <c r="E757" s="429"/>
      <c r="F757" s="428"/>
      <c r="G757" s="428"/>
      <c r="H757" s="1745"/>
      <c r="I757" s="1743"/>
      <c r="J757" s="429"/>
      <c r="K757" s="428"/>
      <c r="L757" s="1844"/>
      <c r="M757" s="1844"/>
      <c r="N757" s="429"/>
      <c r="O757" s="429"/>
      <c r="P757" s="428"/>
      <c r="Q757" s="1743"/>
      <c r="R757" s="428"/>
      <c r="S757" s="429"/>
      <c r="T757" s="429"/>
      <c r="U757" s="1751"/>
      <c r="V757" s="1751"/>
      <c r="W757" s="1751"/>
      <c r="X757" s="1857"/>
      <c r="Y757" s="1751"/>
      <c r="Z757" s="1751"/>
      <c r="AA757" s="1751"/>
      <c r="AB757" s="1751"/>
      <c r="AC757" s="1751"/>
      <c r="AD757" s="1751"/>
      <c r="AE757" s="1751"/>
      <c r="AF757" s="1751"/>
      <c r="AG757" s="1751"/>
      <c r="AH757" s="1751"/>
      <c r="AI757" s="1751"/>
      <c r="AJ757" s="1751"/>
      <c r="AK757" s="1751"/>
      <c r="AL757" s="1751"/>
      <c r="AM757" s="429"/>
      <c r="AN757" s="429"/>
      <c r="AO757" s="429"/>
    </row>
    <row r="758" spans="3:41" ht="15.75">
      <c r="C758" s="430"/>
      <c r="D758" s="1751"/>
      <c r="E758" s="429"/>
      <c r="F758" s="428"/>
      <c r="G758" s="428"/>
      <c r="H758" s="1745"/>
      <c r="I758" s="1743"/>
      <c r="J758" s="429"/>
      <c r="K758" s="428"/>
      <c r="L758" s="1844"/>
      <c r="M758" s="1844"/>
      <c r="N758" s="429"/>
      <c r="O758" s="429"/>
      <c r="P758" s="428"/>
      <c r="Q758" s="1743"/>
      <c r="R758" s="428"/>
      <c r="S758" s="429"/>
      <c r="T758" s="429"/>
      <c r="U758" s="1751"/>
      <c r="V758" s="1751"/>
      <c r="W758" s="1751"/>
      <c r="X758" s="1857"/>
      <c r="Y758" s="1751"/>
      <c r="Z758" s="1751"/>
      <c r="AA758" s="1751"/>
      <c r="AB758" s="1751"/>
      <c r="AC758" s="1751"/>
      <c r="AD758" s="1751"/>
      <c r="AE758" s="1751"/>
      <c r="AF758" s="1751"/>
      <c r="AG758" s="1751"/>
      <c r="AH758" s="1751"/>
      <c r="AI758" s="1751"/>
      <c r="AJ758" s="1751"/>
      <c r="AK758" s="1751"/>
      <c r="AL758" s="1751"/>
      <c r="AM758" s="429"/>
      <c r="AN758" s="429"/>
      <c r="AO758" s="429"/>
    </row>
    <row r="759" spans="3:41" ht="15.75">
      <c r="C759" s="430"/>
      <c r="D759" s="1751"/>
      <c r="E759" s="429"/>
      <c r="F759" s="428"/>
      <c r="G759" s="428"/>
      <c r="H759" s="1745"/>
      <c r="I759" s="1743"/>
      <c r="J759" s="429"/>
      <c r="K759" s="428"/>
      <c r="L759" s="1844"/>
      <c r="M759" s="1844"/>
      <c r="N759" s="429"/>
      <c r="O759" s="429"/>
      <c r="P759" s="428"/>
      <c r="Q759" s="1743"/>
      <c r="R759" s="428"/>
      <c r="S759" s="429"/>
      <c r="T759" s="429"/>
      <c r="U759" s="1751"/>
      <c r="V759" s="1751"/>
      <c r="W759" s="1751"/>
      <c r="X759" s="1857"/>
      <c r="Y759" s="1751"/>
      <c r="Z759" s="1751"/>
      <c r="AA759" s="1751"/>
      <c r="AB759" s="1751"/>
      <c r="AC759" s="1751"/>
      <c r="AD759" s="1751"/>
      <c r="AE759" s="1751"/>
      <c r="AF759" s="1751"/>
      <c r="AG759" s="1751"/>
      <c r="AH759" s="1751"/>
      <c r="AI759" s="1751"/>
      <c r="AJ759" s="1751"/>
      <c r="AK759" s="1751"/>
      <c r="AL759" s="1751"/>
      <c r="AM759" s="429"/>
      <c r="AN759" s="429"/>
      <c r="AO759" s="429"/>
    </row>
    <row r="760" spans="3:41" ht="15.75">
      <c r="C760" s="430"/>
      <c r="D760" s="1751"/>
      <c r="E760" s="429"/>
      <c r="F760" s="428"/>
      <c r="G760" s="428"/>
      <c r="H760" s="1745"/>
      <c r="I760" s="1743"/>
      <c r="J760" s="429"/>
      <c r="K760" s="428"/>
      <c r="L760" s="1844"/>
      <c r="M760" s="1844"/>
      <c r="N760" s="429"/>
      <c r="O760" s="429"/>
      <c r="P760" s="428"/>
      <c r="Q760" s="1743"/>
      <c r="R760" s="428"/>
      <c r="S760" s="429"/>
      <c r="T760" s="429"/>
      <c r="U760" s="1751"/>
      <c r="V760" s="1751"/>
      <c r="W760" s="1751"/>
      <c r="X760" s="1857"/>
      <c r="Y760" s="1751"/>
      <c r="Z760" s="1751"/>
      <c r="AA760" s="1751"/>
      <c r="AB760" s="1751"/>
      <c r="AC760" s="1751"/>
      <c r="AD760" s="1751"/>
      <c r="AE760" s="1751"/>
      <c r="AF760" s="1751"/>
      <c r="AG760" s="1751"/>
      <c r="AH760" s="1751"/>
      <c r="AI760" s="1751"/>
      <c r="AJ760" s="1751"/>
      <c r="AK760" s="1751"/>
      <c r="AL760" s="1751"/>
      <c r="AM760" s="429"/>
      <c r="AN760" s="429"/>
      <c r="AO760" s="429"/>
    </row>
    <row r="761" spans="3:41" ht="15.75">
      <c r="C761" s="430"/>
      <c r="D761" s="1751"/>
      <c r="E761" s="429"/>
      <c r="F761" s="428"/>
      <c r="G761" s="428"/>
      <c r="H761" s="1745"/>
      <c r="I761" s="1743"/>
      <c r="J761" s="429"/>
      <c r="K761" s="428"/>
      <c r="L761" s="1844"/>
      <c r="M761" s="1844"/>
      <c r="N761" s="429"/>
      <c r="O761" s="429"/>
      <c r="P761" s="428"/>
      <c r="Q761" s="1743"/>
      <c r="R761" s="428"/>
      <c r="S761" s="429"/>
      <c r="T761" s="429"/>
      <c r="U761" s="1751"/>
      <c r="V761" s="1751"/>
      <c r="W761" s="1751"/>
      <c r="X761" s="1857"/>
      <c r="Y761" s="1751"/>
      <c r="Z761" s="1751"/>
      <c r="AA761" s="1751"/>
      <c r="AB761" s="1751"/>
      <c r="AC761" s="1751"/>
      <c r="AD761" s="1751"/>
      <c r="AE761" s="1751"/>
      <c r="AF761" s="1751"/>
      <c r="AG761" s="1751"/>
      <c r="AH761" s="1751"/>
      <c r="AI761" s="1751"/>
      <c r="AJ761" s="1751"/>
      <c r="AK761" s="1751"/>
      <c r="AL761" s="1751"/>
      <c r="AM761" s="429"/>
      <c r="AN761" s="429"/>
      <c r="AO761" s="429"/>
    </row>
    <row r="762" spans="3:41" ht="15.75">
      <c r="C762" s="430"/>
      <c r="D762" s="1751"/>
      <c r="E762" s="429"/>
      <c r="F762" s="428"/>
      <c r="G762" s="428"/>
      <c r="H762" s="1745"/>
      <c r="I762" s="1743"/>
      <c r="J762" s="429"/>
      <c r="K762" s="428"/>
      <c r="L762" s="1844"/>
      <c r="M762" s="1844"/>
      <c r="N762" s="429"/>
      <c r="O762" s="429"/>
      <c r="P762" s="428"/>
      <c r="Q762" s="1743"/>
      <c r="R762" s="428"/>
      <c r="S762" s="429"/>
      <c r="T762" s="429"/>
      <c r="U762" s="1751"/>
      <c r="V762" s="1751"/>
      <c r="W762" s="1751"/>
      <c r="X762" s="1857"/>
      <c r="Y762" s="1751"/>
      <c r="Z762" s="1751"/>
      <c r="AA762" s="1751"/>
      <c r="AB762" s="1751"/>
      <c r="AC762" s="1751"/>
      <c r="AD762" s="1751"/>
      <c r="AE762" s="1751"/>
      <c r="AF762" s="1751"/>
      <c r="AG762" s="1751"/>
      <c r="AH762" s="1751"/>
      <c r="AI762" s="1751"/>
      <c r="AJ762" s="1751"/>
      <c r="AK762" s="1751"/>
      <c r="AL762" s="1751"/>
      <c r="AM762" s="429"/>
      <c r="AN762" s="429"/>
      <c r="AO762" s="429"/>
    </row>
    <row r="763" spans="3:41" ht="15.75">
      <c r="C763" s="430"/>
      <c r="D763" s="1751"/>
      <c r="E763" s="429"/>
      <c r="F763" s="428"/>
      <c r="G763" s="428"/>
      <c r="H763" s="1745"/>
      <c r="I763" s="1743"/>
      <c r="J763" s="429"/>
      <c r="K763" s="428"/>
      <c r="L763" s="1844"/>
      <c r="M763" s="1844"/>
      <c r="N763" s="429"/>
      <c r="O763" s="429"/>
      <c r="P763" s="428"/>
      <c r="Q763" s="1743"/>
      <c r="R763" s="428"/>
      <c r="S763" s="429"/>
      <c r="T763" s="429"/>
      <c r="U763" s="1751"/>
      <c r="V763" s="1751"/>
      <c r="W763" s="1751"/>
      <c r="X763" s="1857"/>
      <c r="Y763" s="1751"/>
      <c r="Z763" s="1751"/>
      <c r="AA763" s="1751"/>
      <c r="AB763" s="1751"/>
      <c r="AC763" s="1751"/>
      <c r="AD763" s="1751"/>
      <c r="AE763" s="1751"/>
      <c r="AF763" s="1751"/>
      <c r="AG763" s="1751"/>
      <c r="AH763" s="1751"/>
      <c r="AI763" s="1751"/>
      <c r="AJ763" s="1751"/>
      <c r="AK763" s="1751"/>
      <c r="AL763" s="1751"/>
      <c r="AM763" s="429"/>
      <c r="AN763" s="429"/>
      <c r="AO763" s="429"/>
    </row>
    <row r="764" spans="3:41" ht="15.75">
      <c r="C764" s="430"/>
      <c r="D764" s="1751"/>
      <c r="E764" s="429"/>
      <c r="F764" s="428"/>
      <c r="G764" s="428"/>
      <c r="H764" s="1745"/>
      <c r="I764" s="1743"/>
      <c r="J764" s="429"/>
      <c r="K764" s="428"/>
      <c r="L764" s="1844"/>
      <c r="M764" s="1844"/>
      <c r="N764" s="429"/>
      <c r="O764" s="429"/>
      <c r="P764" s="428"/>
      <c r="Q764" s="1743"/>
      <c r="R764" s="428"/>
      <c r="S764" s="429"/>
      <c r="T764" s="429"/>
      <c r="U764" s="1751"/>
      <c r="V764" s="1751"/>
      <c r="W764" s="1751"/>
      <c r="X764" s="1857"/>
      <c r="Y764" s="1751"/>
      <c r="Z764" s="1751"/>
      <c r="AA764" s="1751"/>
      <c r="AB764" s="1751"/>
      <c r="AC764" s="1751"/>
      <c r="AD764" s="1751"/>
      <c r="AE764" s="1751"/>
      <c r="AF764" s="1751"/>
      <c r="AG764" s="1751"/>
      <c r="AH764" s="1751"/>
      <c r="AI764" s="1751"/>
      <c r="AJ764" s="1751"/>
      <c r="AK764" s="1751"/>
      <c r="AL764" s="1751"/>
      <c r="AM764" s="429"/>
      <c r="AN764" s="429"/>
      <c r="AO764" s="429"/>
    </row>
    <row r="765" spans="3:41" ht="15.75">
      <c r="C765" s="430"/>
      <c r="D765" s="1751"/>
      <c r="E765" s="429"/>
      <c r="F765" s="428"/>
      <c r="G765" s="428"/>
      <c r="H765" s="1745"/>
      <c r="I765" s="1743"/>
      <c r="J765" s="429"/>
      <c r="K765" s="428"/>
      <c r="L765" s="1844"/>
      <c r="M765" s="1844"/>
      <c r="N765" s="429"/>
      <c r="O765" s="429"/>
      <c r="P765" s="428"/>
      <c r="Q765" s="1743"/>
      <c r="R765" s="428"/>
      <c r="S765" s="429"/>
      <c r="T765" s="429"/>
      <c r="U765" s="1751"/>
      <c r="V765" s="1751"/>
      <c r="W765" s="1751"/>
      <c r="X765" s="1857"/>
      <c r="Y765" s="1751"/>
      <c r="Z765" s="1751"/>
      <c r="AA765" s="1751"/>
      <c r="AB765" s="1751"/>
      <c r="AC765" s="1751"/>
      <c r="AD765" s="1751"/>
      <c r="AE765" s="1751"/>
      <c r="AF765" s="1751"/>
      <c r="AG765" s="1751"/>
      <c r="AH765" s="1751"/>
      <c r="AI765" s="1751"/>
      <c r="AJ765" s="1751"/>
      <c r="AK765" s="1751"/>
      <c r="AL765" s="1751"/>
      <c r="AM765" s="429"/>
      <c r="AN765" s="429"/>
      <c r="AO765" s="429"/>
    </row>
    <row r="766" spans="3:41" ht="15.75">
      <c r="C766" s="430"/>
      <c r="D766" s="1751"/>
      <c r="E766" s="429"/>
      <c r="F766" s="428"/>
      <c r="G766" s="428"/>
      <c r="H766" s="1745"/>
      <c r="I766" s="1743"/>
      <c r="J766" s="429"/>
      <c r="K766" s="428"/>
      <c r="L766" s="1844"/>
      <c r="M766" s="1844"/>
      <c r="N766" s="429"/>
      <c r="O766" s="429"/>
      <c r="P766" s="428"/>
      <c r="Q766" s="1743"/>
      <c r="R766" s="428"/>
      <c r="S766" s="429"/>
      <c r="T766" s="429"/>
      <c r="U766" s="1751"/>
      <c r="V766" s="1751"/>
      <c r="W766" s="1751"/>
      <c r="X766" s="1857"/>
      <c r="Y766" s="1751"/>
      <c r="Z766" s="1751"/>
      <c r="AA766" s="1751"/>
      <c r="AB766" s="1751"/>
      <c r="AC766" s="1751"/>
      <c r="AD766" s="1751"/>
      <c r="AE766" s="1751"/>
      <c r="AF766" s="1751"/>
      <c r="AG766" s="1751"/>
      <c r="AH766" s="1751"/>
      <c r="AI766" s="1751"/>
      <c r="AJ766" s="1751"/>
      <c r="AK766" s="1751"/>
      <c r="AL766" s="1751"/>
      <c r="AM766" s="429"/>
      <c r="AN766" s="429"/>
      <c r="AO766" s="429"/>
    </row>
    <row r="767" spans="3:41" ht="15.75">
      <c r="C767" s="430"/>
      <c r="D767" s="1751"/>
      <c r="E767" s="429"/>
      <c r="F767" s="428"/>
      <c r="G767" s="428"/>
      <c r="H767" s="1745"/>
      <c r="I767" s="1743"/>
      <c r="J767" s="429"/>
      <c r="K767" s="428"/>
      <c r="L767" s="1844"/>
      <c r="M767" s="1844"/>
      <c r="N767" s="429"/>
      <c r="O767" s="429"/>
      <c r="P767" s="428"/>
      <c r="Q767" s="1743"/>
      <c r="R767" s="428"/>
      <c r="S767" s="429"/>
      <c r="T767" s="429"/>
      <c r="U767" s="1751"/>
      <c r="V767" s="1751"/>
      <c r="W767" s="1751"/>
      <c r="X767" s="1857"/>
      <c r="Y767" s="1751"/>
      <c r="Z767" s="1751"/>
      <c r="AA767" s="1751"/>
      <c r="AB767" s="1751"/>
      <c r="AC767" s="1751"/>
      <c r="AD767" s="1751"/>
      <c r="AE767" s="1751"/>
      <c r="AF767" s="1751"/>
      <c r="AG767" s="1751"/>
      <c r="AH767" s="1751"/>
      <c r="AI767" s="1751"/>
      <c r="AJ767" s="1751"/>
      <c r="AK767" s="1751"/>
      <c r="AL767" s="1751"/>
      <c r="AM767" s="429"/>
      <c r="AN767" s="429"/>
      <c r="AO767" s="429"/>
    </row>
    <row r="768" spans="3:41" ht="15.75">
      <c r="C768" s="430"/>
      <c r="D768" s="1751"/>
      <c r="E768" s="429"/>
      <c r="F768" s="428"/>
      <c r="G768" s="428"/>
      <c r="H768" s="1745"/>
      <c r="I768" s="1743"/>
      <c r="J768" s="429"/>
      <c r="K768" s="428"/>
      <c r="L768" s="1844"/>
      <c r="M768" s="1844"/>
      <c r="N768" s="429"/>
      <c r="O768" s="429"/>
      <c r="P768" s="428"/>
      <c r="Q768" s="1743"/>
      <c r="R768" s="428"/>
      <c r="S768" s="429"/>
      <c r="T768" s="429"/>
      <c r="U768" s="1751"/>
      <c r="V768" s="1751"/>
      <c r="W768" s="1751"/>
      <c r="X768" s="1857"/>
      <c r="Y768" s="1751"/>
      <c r="Z768" s="1751"/>
      <c r="AA768" s="1751"/>
      <c r="AB768" s="1751"/>
      <c r="AC768" s="1751"/>
      <c r="AD768" s="1751"/>
      <c r="AE768" s="1751"/>
      <c r="AF768" s="1751"/>
      <c r="AG768" s="1751"/>
      <c r="AH768" s="1751"/>
      <c r="AI768" s="1751"/>
      <c r="AJ768" s="1751"/>
      <c r="AK768" s="1751"/>
      <c r="AL768" s="1751"/>
      <c r="AM768" s="429"/>
      <c r="AN768" s="429"/>
      <c r="AO768" s="429"/>
    </row>
    <row r="769" spans="3:41" ht="15.75">
      <c r="C769" s="430"/>
      <c r="D769" s="1751"/>
      <c r="E769" s="429"/>
      <c r="F769" s="428"/>
      <c r="G769" s="428"/>
      <c r="H769" s="1745"/>
      <c r="I769" s="1743"/>
      <c r="J769" s="429"/>
      <c r="K769" s="428"/>
      <c r="L769" s="1844"/>
      <c r="M769" s="1844"/>
      <c r="N769" s="429"/>
      <c r="O769" s="429"/>
      <c r="P769" s="429"/>
      <c r="Q769" s="1745"/>
      <c r="R769" s="429"/>
      <c r="S769" s="429"/>
      <c r="T769" s="429"/>
      <c r="U769" s="1751"/>
      <c r="V769" s="1751"/>
      <c r="W769" s="1751"/>
      <c r="X769" s="1857"/>
      <c r="Y769" s="1751"/>
      <c r="Z769" s="1751"/>
      <c r="AA769" s="1751"/>
      <c r="AB769" s="1751"/>
      <c r="AC769" s="1751"/>
      <c r="AD769" s="1751"/>
      <c r="AE769" s="1751"/>
      <c r="AF769" s="1751"/>
      <c r="AG769" s="1751"/>
      <c r="AH769" s="1751"/>
      <c r="AI769" s="1751"/>
      <c r="AJ769" s="1751"/>
      <c r="AK769" s="1751"/>
      <c r="AL769" s="1751"/>
      <c r="AM769" s="429"/>
      <c r="AN769" s="429"/>
      <c r="AO769" s="429"/>
    </row>
    <row r="770" spans="3:41" ht="15.75">
      <c r="C770" s="430"/>
      <c r="D770" s="1751"/>
      <c r="E770" s="429"/>
      <c r="F770" s="428"/>
      <c r="G770" s="428"/>
      <c r="H770" s="1745"/>
      <c r="I770" s="1743"/>
      <c r="J770" s="429"/>
      <c r="K770" s="428"/>
      <c r="L770" s="1844"/>
      <c r="M770" s="1844"/>
      <c r="N770" s="429"/>
      <c r="O770" s="429"/>
      <c r="P770" s="428"/>
      <c r="Q770" s="1743"/>
      <c r="R770" s="428"/>
      <c r="S770" s="429"/>
      <c r="T770" s="429"/>
      <c r="U770" s="1751"/>
      <c r="V770" s="1751"/>
      <c r="W770" s="1751"/>
      <c r="X770" s="1857"/>
      <c r="Y770" s="1751"/>
      <c r="Z770" s="1751"/>
      <c r="AA770" s="1751"/>
      <c r="AB770" s="1751"/>
      <c r="AC770" s="1751"/>
      <c r="AD770" s="1751"/>
      <c r="AE770" s="1751"/>
      <c r="AF770" s="1751"/>
      <c r="AG770" s="1751"/>
      <c r="AH770" s="1751"/>
      <c r="AI770" s="1751"/>
      <c r="AJ770" s="1751"/>
      <c r="AK770" s="1751"/>
      <c r="AL770" s="1751"/>
      <c r="AM770" s="429"/>
      <c r="AN770" s="429"/>
      <c r="AO770" s="429"/>
    </row>
    <row r="771" spans="3:41" ht="15.75">
      <c r="C771" s="430"/>
      <c r="D771" s="1751"/>
      <c r="E771" s="429"/>
      <c r="F771" s="428"/>
      <c r="G771" s="428"/>
      <c r="H771" s="1745"/>
      <c r="I771" s="1743"/>
      <c r="J771" s="429"/>
      <c r="K771" s="428"/>
      <c r="L771" s="1844"/>
      <c r="M771" s="1844"/>
      <c r="N771" s="429"/>
      <c r="O771" s="429"/>
      <c r="P771" s="428"/>
      <c r="Q771" s="1743"/>
      <c r="R771" s="428"/>
      <c r="S771" s="429"/>
      <c r="T771" s="429"/>
      <c r="U771" s="1751"/>
      <c r="V771" s="1751"/>
      <c r="W771" s="1751"/>
      <c r="X771" s="1857"/>
      <c r="Y771" s="1751"/>
      <c r="Z771" s="1751"/>
      <c r="AA771" s="1751"/>
      <c r="AB771" s="1751"/>
      <c r="AC771" s="1751"/>
      <c r="AD771" s="1751"/>
      <c r="AE771" s="1751"/>
      <c r="AF771" s="1751"/>
      <c r="AG771" s="1751"/>
      <c r="AH771" s="1751"/>
      <c r="AI771" s="1751"/>
      <c r="AJ771" s="1751"/>
      <c r="AK771" s="1751"/>
      <c r="AL771" s="1751"/>
      <c r="AM771" s="429"/>
      <c r="AN771" s="429"/>
      <c r="AO771" s="429"/>
    </row>
    <row r="772" spans="3:41" ht="15.75">
      <c r="C772" s="430"/>
      <c r="D772" s="1751"/>
      <c r="E772" s="429"/>
      <c r="F772" s="428"/>
      <c r="G772" s="428"/>
      <c r="H772" s="1745"/>
      <c r="I772" s="1743"/>
      <c r="J772" s="429"/>
      <c r="K772" s="428"/>
      <c r="L772" s="1844"/>
      <c r="M772" s="1844"/>
      <c r="N772" s="429"/>
      <c r="O772" s="429"/>
      <c r="P772" s="428"/>
      <c r="Q772" s="1743"/>
      <c r="R772" s="428"/>
      <c r="S772" s="429"/>
      <c r="T772" s="429"/>
      <c r="U772" s="1751"/>
      <c r="V772" s="1751"/>
      <c r="W772" s="1751"/>
      <c r="X772" s="1857"/>
      <c r="Y772" s="1751"/>
      <c r="Z772" s="1751"/>
      <c r="AA772" s="1751"/>
      <c r="AB772" s="1751"/>
      <c r="AC772" s="1751"/>
      <c r="AD772" s="1751"/>
      <c r="AE772" s="1751"/>
      <c r="AF772" s="1751"/>
      <c r="AG772" s="1751"/>
      <c r="AH772" s="1751"/>
      <c r="AI772" s="1751"/>
      <c r="AJ772" s="1751"/>
      <c r="AK772" s="1751"/>
      <c r="AL772" s="1751"/>
      <c r="AM772" s="429"/>
      <c r="AN772" s="429"/>
      <c r="AO772" s="429"/>
    </row>
    <row r="773" spans="3:41" ht="15.75">
      <c r="C773" s="430"/>
      <c r="D773" s="1751"/>
      <c r="E773" s="429"/>
      <c r="F773" s="428"/>
      <c r="G773" s="428"/>
      <c r="H773" s="1745"/>
      <c r="I773" s="1743"/>
      <c r="J773" s="429"/>
      <c r="K773" s="428"/>
      <c r="L773" s="1844"/>
      <c r="M773" s="1844"/>
      <c r="N773" s="429"/>
      <c r="O773" s="429"/>
      <c r="P773" s="428"/>
      <c r="Q773" s="1743"/>
      <c r="R773" s="428"/>
      <c r="S773" s="429"/>
      <c r="T773" s="429"/>
      <c r="U773" s="1751"/>
      <c r="V773" s="1751"/>
      <c r="W773" s="1751"/>
      <c r="X773" s="1857"/>
      <c r="Y773" s="1751"/>
      <c r="Z773" s="1751"/>
      <c r="AA773" s="1751"/>
      <c r="AB773" s="1751"/>
      <c r="AC773" s="1751"/>
      <c r="AD773" s="1751"/>
      <c r="AE773" s="1751"/>
      <c r="AF773" s="1751"/>
      <c r="AG773" s="1751"/>
      <c r="AH773" s="1751"/>
      <c r="AI773" s="1751"/>
      <c r="AJ773" s="1751"/>
      <c r="AK773" s="1751"/>
      <c r="AL773" s="1751"/>
      <c r="AM773" s="429"/>
      <c r="AN773" s="429"/>
      <c r="AO773" s="429"/>
    </row>
    <row r="774" spans="3:41" ht="15.75">
      <c r="C774" s="430"/>
      <c r="D774" s="1751"/>
      <c r="E774" s="429"/>
      <c r="F774" s="428"/>
      <c r="G774" s="428"/>
      <c r="H774" s="1745"/>
      <c r="I774" s="1743"/>
      <c r="J774" s="429"/>
      <c r="K774" s="428"/>
      <c r="L774" s="1844"/>
      <c r="M774" s="1844"/>
      <c r="N774" s="429"/>
      <c r="O774" s="429"/>
      <c r="P774" s="428"/>
      <c r="Q774" s="1743"/>
      <c r="R774" s="428"/>
      <c r="S774" s="429"/>
      <c r="T774" s="429"/>
      <c r="U774" s="1751"/>
      <c r="V774" s="1751"/>
      <c r="W774" s="1751"/>
      <c r="X774" s="1857"/>
      <c r="Y774" s="1751"/>
      <c r="Z774" s="1751"/>
      <c r="AA774" s="1751"/>
      <c r="AB774" s="1751"/>
      <c r="AC774" s="1751"/>
      <c r="AD774" s="1751"/>
      <c r="AE774" s="1751"/>
      <c r="AF774" s="1751"/>
      <c r="AG774" s="1751"/>
      <c r="AH774" s="1751"/>
      <c r="AI774" s="1751"/>
      <c r="AJ774" s="1751"/>
      <c r="AK774" s="1751"/>
      <c r="AL774" s="1751"/>
      <c r="AM774" s="429"/>
      <c r="AN774" s="429"/>
      <c r="AO774" s="429"/>
    </row>
    <row r="775" spans="3:41" ht="15.75">
      <c r="C775" s="430"/>
      <c r="D775" s="1751"/>
      <c r="E775" s="429"/>
      <c r="F775" s="428"/>
      <c r="G775" s="428"/>
      <c r="H775" s="1745"/>
      <c r="I775" s="1743"/>
      <c r="J775" s="429"/>
      <c r="K775" s="428"/>
      <c r="L775" s="1844"/>
      <c r="M775" s="1844"/>
      <c r="N775" s="429"/>
      <c r="O775" s="429"/>
      <c r="P775" s="428"/>
      <c r="Q775" s="1743"/>
      <c r="R775" s="428"/>
      <c r="S775" s="429"/>
      <c r="T775" s="429"/>
      <c r="U775" s="1751"/>
      <c r="V775" s="1751"/>
      <c r="W775" s="1751"/>
      <c r="X775" s="1857"/>
      <c r="Y775" s="1751"/>
      <c r="Z775" s="1751"/>
      <c r="AA775" s="1751"/>
      <c r="AB775" s="1751"/>
      <c r="AC775" s="1751"/>
      <c r="AD775" s="1751"/>
      <c r="AE775" s="1751"/>
      <c r="AF775" s="1751"/>
      <c r="AG775" s="1751"/>
      <c r="AH775" s="1751"/>
      <c r="AI775" s="1751"/>
      <c r="AJ775" s="1751"/>
      <c r="AK775" s="1751"/>
      <c r="AL775" s="1751"/>
      <c r="AM775" s="429"/>
      <c r="AN775" s="429"/>
      <c r="AO775" s="429"/>
    </row>
    <row r="776" spans="3:41" ht="15.75">
      <c r="C776" s="430"/>
      <c r="D776" s="1751"/>
      <c r="E776" s="429"/>
      <c r="F776" s="428"/>
      <c r="G776" s="428"/>
      <c r="H776" s="1745"/>
      <c r="I776" s="1743"/>
      <c r="J776" s="429"/>
      <c r="K776" s="428"/>
      <c r="L776" s="1844"/>
      <c r="M776" s="1844"/>
      <c r="N776" s="429"/>
      <c r="O776" s="429"/>
      <c r="P776" s="428"/>
      <c r="Q776" s="1743"/>
      <c r="R776" s="428"/>
      <c r="S776" s="429"/>
      <c r="T776" s="429"/>
      <c r="U776" s="1751"/>
      <c r="V776" s="1751"/>
      <c r="W776" s="1751"/>
      <c r="X776" s="1857"/>
      <c r="Y776" s="1751"/>
      <c r="Z776" s="1751"/>
      <c r="AA776" s="1751"/>
      <c r="AB776" s="1751"/>
      <c r="AC776" s="1751"/>
      <c r="AD776" s="1751"/>
      <c r="AE776" s="1751"/>
      <c r="AF776" s="1751"/>
      <c r="AG776" s="1751"/>
      <c r="AH776" s="1751"/>
      <c r="AI776" s="1751"/>
      <c r="AJ776" s="1751"/>
      <c r="AK776" s="1751"/>
      <c r="AL776" s="1751"/>
      <c r="AM776" s="429"/>
      <c r="AN776" s="429"/>
      <c r="AO776" s="429"/>
    </row>
    <row r="777" spans="3:41" ht="15.75">
      <c r="C777" s="430"/>
      <c r="D777" s="1751"/>
      <c r="E777" s="429"/>
      <c r="F777" s="428"/>
      <c r="G777" s="428"/>
      <c r="H777" s="1745"/>
      <c r="I777" s="1743"/>
      <c r="J777" s="429"/>
      <c r="K777" s="428"/>
      <c r="L777" s="1844"/>
      <c r="M777" s="1844"/>
      <c r="N777" s="429"/>
      <c r="O777" s="429"/>
      <c r="P777" s="428"/>
      <c r="Q777" s="1743"/>
      <c r="R777" s="428"/>
      <c r="S777" s="429"/>
      <c r="T777" s="429"/>
      <c r="U777" s="1751"/>
      <c r="V777" s="1751"/>
      <c r="W777" s="1751"/>
      <c r="X777" s="1857"/>
      <c r="Y777" s="1751"/>
      <c r="Z777" s="1751"/>
      <c r="AA777" s="1751"/>
      <c r="AB777" s="1751"/>
      <c r="AC777" s="1751"/>
      <c r="AD777" s="1751"/>
      <c r="AE777" s="1751"/>
      <c r="AF777" s="1751"/>
      <c r="AG777" s="1751"/>
      <c r="AH777" s="1751"/>
      <c r="AI777" s="1751"/>
      <c r="AJ777" s="1751"/>
      <c r="AK777" s="1751"/>
      <c r="AL777" s="1751"/>
      <c r="AM777" s="429"/>
      <c r="AN777" s="429"/>
      <c r="AO777" s="429"/>
    </row>
    <row r="778" spans="3:41" ht="15.75">
      <c r="C778" s="430"/>
      <c r="D778" s="1751"/>
      <c r="E778" s="429"/>
      <c r="F778" s="428"/>
      <c r="G778" s="428"/>
      <c r="H778" s="1745"/>
      <c r="I778" s="1743"/>
      <c r="J778" s="429"/>
      <c r="K778" s="428"/>
      <c r="L778" s="1844"/>
      <c r="M778" s="1844"/>
      <c r="N778" s="429"/>
      <c r="O778" s="429"/>
      <c r="P778" s="428"/>
      <c r="Q778" s="1743"/>
      <c r="R778" s="428"/>
      <c r="S778" s="429"/>
      <c r="T778" s="429"/>
      <c r="U778" s="1719"/>
      <c r="V778" s="1719"/>
      <c r="W778" s="1860"/>
      <c r="X778" s="1862"/>
      <c r="Y778" s="1860"/>
      <c r="Z778" s="429"/>
      <c r="AA778" s="429"/>
      <c r="AB778" s="429"/>
      <c r="AC778" s="429"/>
      <c r="AD778" s="429"/>
      <c r="AE778" s="429"/>
      <c r="AF778" s="429"/>
      <c r="AG778" s="429"/>
      <c r="AH778" s="429"/>
      <c r="AI778" s="429"/>
      <c r="AJ778" s="429"/>
      <c r="AK778" s="429"/>
      <c r="AL778" s="429"/>
      <c r="AM778" s="429"/>
      <c r="AN778" s="429"/>
      <c r="AO778" s="429"/>
    </row>
    <row r="779" spans="3:41" ht="15.75">
      <c r="C779" s="430"/>
      <c r="D779" s="1751"/>
      <c r="E779" s="429"/>
      <c r="F779" s="428"/>
      <c r="G779" s="428"/>
      <c r="H779" s="1745"/>
      <c r="I779" s="1743"/>
      <c r="J779" s="429"/>
      <c r="K779" s="428"/>
      <c r="L779" s="1844"/>
      <c r="M779" s="1844"/>
      <c r="N779" s="429"/>
      <c r="O779" s="429"/>
      <c r="P779" s="428"/>
      <c r="Q779" s="1743"/>
      <c r="R779" s="428"/>
      <c r="S779" s="429"/>
      <c r="T779" s="429"/>
      <c r="U779" s="1719"/>
      <c r="V779" s="1719"/>
      <c r="W779" s="1860"/>
      <c r="X779" s="1862"/>
      <c r="Y779" s="1860"/>
      <c r="Z779" s="429"/>
      <c r="AA779" s="429"/>
      <c r="AB779" s="429"/>
      <c r="AC779" s="429"/>
      <c r="AD779" s="429"/>
      <c r="AE779" s="429"/>
      <c r="AF779" s="429"/>
      <c r="AG779" s="429"/>
      <c r="AH779" s="429"/>
      <c r="AI779" s="429"/>
      <c r="AJ779" s="429"/>
      <c r="AK779" s="429"/>
      <c r="AL779" s="429"/>
      <c r="AM779" s="429"/>
      <c r="AN779" s="429"/>
      <c r="AO779" s="429"/>
    </row>
    <row r="780" spans="3:41" ht="15.75">
      <c r="C780" s="430"/>
      <c r="D780" s="1751"/>
      <c r="E780" s="429"/>
      <c r="F780" s="428"/>
      <c r="G780" s="428"/>
      <c r="H780" s="1745"/>
      <c r="I780" s="1743"/>
      <c r="J780" s="429"/>
      <c r="K780" s="428"/>
      <c r="L780" s="1844"/>
      <c r="M780" s="1844"/>
      <c r="N780" s="429"/>
      <c r="O780" s="429"/>
      <c r="P780" s="428"/>
      <c r="Q780" s="1743"/>
      <c r="R780" s="428"/>
      <c r="S780" s="429"/>
      <c r="T780" s="429"/>
      <c r="U780" s="1719"/>
      <c r="V780" s="1719"/>
      <c r="W780" s="1860"/>
      <c r="X780" s="1862"/>
      <c r="Y780" s="1860"/>
      <c r="Z780" s="429"/>
      <c r="AA780" s="429"/>
      <c r="AB780" s="429"/>
      <c r="AC780" s="429"/>
      <c r="AD780" s="429"/>
      <c r="AE780" s="429"/>
      <c r="AF780" s="429"/>
      <c r="AG780" s="429"/>
      <c r="AH780" s="429"/>
      <c r="AI780" s="429"/>
      <c r="AJ780" s="429"/>
      <c r="AK780" s="429"/>
      <c r="AL780" s="429"/>
      <c r="AM780" s="429"/>
      <c r="AN780" s="429"/>
      <c r="AO780" s="429"/>
    </row>
    <row r="781" spans="3:41" ht="15.75">
      <c r="C781" s="430"/>
      <c r="D781" s="1751"/>
      <c r="E781" s="429"/>
      <c r="F781" s="428"/>
      <c r="G781" s="428"/>
      <c r="H781" s="1745"/>
      <c r="I781" s="1743"/>
      <c r="J781" s="429"/>
      <c r="K781" s="428"/>
      <c r="L781" s="1844"/>
      <c r="M781" s="1844"/>
      <c r="N781" s="429"/>
      <c r="O781" s="429"/>
      <c r="P781" s="428"/>
      <c r="Q781" s="1743"/>
      <c r="R781" s="428"/>
      <c r="S781" s="429"/>
      <c r="T781" s="429"/>
      <c r="U781" s="1719"/>
      <c r="V781" s="1719"/>
      <c r="W781" s="1860"/>
      <c r="X781" s="1862"/>
      <c r="Y781" s="1860"/>
      <c r="Z781" s="429"/>
      <c r="AA781" s="429"/>
      <c r="AB781" s="429"/>
      <c r="AC781" s="429"/>
      <c r="AD781" s="429"/>
      <c r="AE781" s="429"/>
      <c r="AF781" s="429"/>
      <c r="AG781" s="429"/>
      <c r="AH781" s="429"/>
      <c r="AI781" s="429"/>
      <c r="AJ781" s="429"/>
      <c r="AK781" s="429"/>
      <c r="AL781" s="429"/>
      <c r="AM781" s="429"/>
      <c r="AN781" s="429"/>
      <c r="AO781" s="429"/>
    </row>
    <row r="782" spans="3:41" ht="15.75">
      <c r="C782" s="430"/>
      <c r="D782" s="1751"/>
      <c r="E782" s="429"/>
      <c r="F782" s="428"/>
      <c r="G782" s="428"/>
      <c r="H782" s="1745"/>
      <c r="I782" s="1743"/>
      <c r="J782" s="429"/>
      <c r="K782" s="428"/>
      <c r="L782" s="1844"/>
      <c r="M782" s="1844"/>
      <c r="N782" s="429"/>
      <c r="O782" s="429"/>
      <c r="P782" s="428"/>
      <c r="Q782" s="1743"/>
      <c r="R782" s="428"/>
      <c r="S782" s="429"/>
      <c r="T782" s="429"/>
      <c r="U782" s="1719"/>
      <c r="V782" s="1719"/>
      <c r="W782" s="1860"/>
      <c r="X782" s="1862"/>
      <c r="Y782" s="1860"/>
      <c r="Z782" s="429"/>
      <c r="AA782" s="429"/>
      <c r="AB782" s="429"/>
      <c r="AC782" s="429"/>
      <c r="AD782" s="429"/>
      <c r="AE782" s="429"/>
      <c r="AF782" s="429"/>
      <c r="AG782" s="429"/>
      <c r="AH782" s="429"/>
      <c r="AI782" s="429"/>
      <c r="AJ782" s="429"/>
      <c r="AK782" s="429"/>
      <c r="AL782" s="429"/>
      <c r="AM782" s="429"/>
      <c r="AN782" s="429"/>
      <c r="AO782" s="429"/>
    </row>
    <row r="783" spans="3:41" ht="15.75">
      <c r="C783" s="430"/>
      <c r="D783" s="1751"/>
      <c r="E783" s="429"/>
      <c r="F783" s="428"/>
      <c r="G783" s="428"/>
      <c r="H783" s="1745"/>
      <c r="I783" s="1743"/>
      <c r="J783" s="429"/>
      <c r="K783" s="428"/>
      <c r="L783" s="1844"/>
      <c r="M783" s="1844"/>
      <c r="N783" s="429"/>
      <c r="O783" s="429"/>
      <c r="P783" s="428"/>
      <c r="Q783" s="1743"/>
      <c r="R783" s="428"/>
      <c r="S783" s="429"/>
      <c r="T783" s="429"/>
      <c r="U783" s="1719"/>
      <c r="V783" s="1719"/>
      <c r="W783" s="1860"/>
      <c r="X783" s="1862"/>
      <c r="Y783" s="1860"/>
      <c r="Z783" s="429"/>
      <c r="AA783" s="429"/>
      <c r="AB783" s="429"/>
      <c r="AC783" s="429"/>
      <c r="AD783" s="429"/>
      <c r="AE783" s="429"/>
      <c r="AF783" s="429"/>
      <c r="AG783" s="429"/>
      <c r="AH783" s="429"/>
      <c r="AI783" s="429"/>
      <c r="AJ783" s="429"/>
      <c r="AK783" s="429"/>
      <c r="AL783" s="429"/>
      <c r="AM783" s="429"/>
      <c r="AN783" s="429"/>
      <c r="AO783" s="429"/>
    </row>
    <row r="784" spans="3:41" ht="15.75">
      <c r="C784" s="430"/>
      <c r="D784" s="1751"/>
      <c r="E784" s="429"/>
      <c r="F784" s="428"/>
      <c r="G784" s="428"/>
      <c r="H784" s="1745"/>
      <c r="I784" s="1743"/>
      <c r="J784" s="429"/>
      <c r="K784" s="428"/>
      <c r="L784" s="1844"/>
      <c r="M784" s="1844"/>
      <c r="N784" s="429"/>
      <c r="O784" s="429"/>
      <c r="P784" s="428"/>
      <c r="Q784" s="1743"/>
      <c r="R784" s="428"/>
      <c r="S784" s="429"/>
      <c r="T784" s="429"/>
      <c r="U784" s="1719"/>
      <c r="V784" s="1719"/>
      <c r="W784" s="1860"/>
      <c r="X784" s="1862"/>
      <c r="Y784" s="1860"/>
      <c r="Z784" s="429"/>
      <c r="AA784" s="429"/>
      <c r="AB784" s="429"/>
      <c r="AC784" s="429"/>
      <c r="AD784" s="429"/>
      <c r="AE784" s="429"/>
      <c r="AF784" s="429"/>
      <c r="AG784" s="429"/>
      <c r="AH784" s="429"/>
      <c r="AI784" s="429"/>
      <c r="AJ784" s="429"/>
      <c r="AK784" s="429"/>
      <c r="AL784" s="429"/>
      <c r="AM784" s="429"/>
      <c r="AN784" s="429"/>
      <c r="AO784" s="429"/>
    </row>
    <row r="785" spans="3:41" ht="15.75">
      <c r="C785" s="430"/>
      <c r="D785" s="1751"/>
      <c r="E785" s="429"/>
      <c r="F785" s="428"/>
      <c r="G785" s="428"/>
      <c r="H785" s="1745"/>
      <c r="I785" s="1743"/>
      <c r="J785" s="429"/>
      <c r="K785" s="428"/>
      <c r="L785" s="1844"/>
      <c r="M785" s="1844"/>
      <c r="N785" s="429"/>
      <c r="O785" s="429"/>
      <c r="P785" s="428"/>
      <c r="Q785" s="1743"/>
      <c r="R785" s="428"/>
      <c r="S785" s="429"/>
      <c r="T785" s="429"/>
      <c r="U785" s="1719"/>
      <c r="V785" s="1719"/>
      <c r="W785" s="1860"/>
      <c r="X785" s="1862"/>
      <c r="Y785" s="1860"/>
      <c r="Z785" s="429"/>
      <c r="AA785" s="429"/>
      <c r="AB785" s="429"/>
      <c r="AC785" s="429"/>
      <c r="AD785" s="429"/>
      <c r="AE785" s="429"/>
      <c r="AF785" s="429"/>
      <c r="AG785" s="429"/>
      <c r="AH785" s="429"/>
      <c r="AI785" s="429"/>
      <c r="AJ785" s="429"/>
      <c r="AK785" s="429"/>
      <c r="AL785" s="429"/>
      <c r="AM785" s="429"/>
      <c r="AN785" s="429"/>
      <c r="AO785" s="429"/>
    </row>
    <row r="786" spans="3:41" ht="15.75">
      <c r="C786" s="430"/>
      <c r="D786" s="1751"/>
      <c r="E786" s="429"/>
      <c r="F786" s="428"/>
      <c r="G786" s="428"/>
      <c r="H786" s="1745"/>
      <c r="I786" s="1743"/>
      <c r="J786" s="429"/>
      <c r="K786" s="428"/>
      <c r="L786" s="1844"/>
      <c r="M786" s="1844"/>
      <c r="N786" s="429"/>
      <c r="O786" s="429"/>
      <c r="P786" s="428"/>
      <c r="Q786" s="1743"/>
      <c r="R786" s="428"/>
      <c r="S786" s="429"/>
      <c r="T786" s="429"/>
      <c r="U786" s="1719"/>
      <c r="V786" s="1719"/>
      <c r="W786" s="1860"/>
      <c r="X786" s="1862"/>
      <c r="Y786" s="1860"/>
      <c r="Z786" s="429"/>
      <c r="AA786" s="429"/>
      <c r="AB786" s="429"/>
      <c r="AC786" s="429"/>
      <c r="AD786" s="429"/>
      <c r="AE786" s="429"/>
      <c r="AF786" s="429"/>
      <c r="AG786" s="429"/>
      <c r="AH786" s="429"/>
      <c r="AI786" s="429"/>
      <c r="AJ786" s="429"/>
      <c r="AK786" s="429"/>
      <c r="AL786" s="429"/>
      <c r="AM786" s="429"/>
      <c r="AN786" s="429"/>
      <c r="AO786" s="429"/>
    </row>
    <row r="787" spans="3:41" ht="15.75">
      <c r="C787" s="430"/>
      <c r="D787" s="1751"/>
      <c r="E787" s="429"/>
      <c r="F787" s="428"/>
      <c r="G787" s="428"/>
      <c r="H787" s="1745"/>
      <c r="I787" s="1743"/>
      <c r="J787" s="429"/>
      <c r="K787" s="428"/>
      <c r="L787" s="1844"/>
      <c r="M787" s="1844"/>
      <c r="N787" s="429"/>
      <c r="O787" s="429"/>
      <c r="P787" s="428"/>
      <c r="Q787" s="1743"/>
      <c r="R787" s="428"/>
      <c r="S787" s="429"/>
      <c r="T787" s="429"/>
      <c r="U787" s="1719"/>
      <c r="V787" s="1719"/>
      <c r="W787" s="1860"/>
      <c r="X787" s="1862"/>
      <c r="Y787" s="1860"/>
      <c r="Z787" s="429"/>
      <c r="AA787" s="429"/>
      <c r="AB787" s="429"/>
      <c r="AC787" s="429"/>
      <c r="AD787" s="429"/>
      <c r="AE787" s="429"/>
      <c r="AF787" s="429"/>
      <c r="AG787" s="429"/>
      <c r="AH787" s="429"/>
      <c r="AI787" s="429"/>
      <c r="AJ787" s="429"/>
      <c r="AK787" s="429"/>
      <c r="AL787" s="429"/>
      <c r="AM787" s="429"/>
      <c r="AN787" s="429"/>
      <c r="AO787" s="429"/>
    </row>
    <row r="788" spans="3:41" ht="15.75">
      <c r="C788" s="430"/>
      <c r="D788" s="1751"/>
      <c r="E788" s="429"/>
      <c r="F788" s="428"/>
      <c r="G788" s="428"/>
      <c r="H788" s="1745"/>
      <c r="I788" s="1743"/>
      <c r="J788" s="429"/>
      <c r="K788" s="428"/>
      <c r="L788" s="1844"/>
      <c r="M788" s="1844"/>
      <c r="N788" s="1751"/>
      <c r="O788" s="1751"/>
      <c r="P788" s="1751"/>
      <c r="Q788" s="1857"/>
      <c r="R788" s="1751"/>
      <c r="S788" s="1751"/>
      <c r="T788" s="1751"/>
      <c r="U788" s="1751"/>
      <c r="V788" s="1751"/>
      <c r="W788" s="1751"/>
      <c r="X788" s="1857"/>
      <c r="Y788" s="1751"/>
      <c r="Z788" s="1751"/>
      <c r="AA788" s="1751"/>
      <c r="AB788" s="1751"/>
      <c r="AC788" s="1751"/>
      <c r="AD788" s="1751"/>
      <c r="AE788" s="1751"/>
      <c r="AF788" s="1751"/>
      <c r="AG788" s="1751"/>
      <c r="AH788" s="1751"/>
      <c r="AI788" s="1751"/>
      <c r="AJ788" s="1751"/>
      <c r="AK788" s="1751"/>
      <c r="AL788" s="1751"/>
      <c r="AM788" s="429"/>
      <c r="AN788" s="429"/>
      <c r="AO788" s="429"/>
    </row>
    <row r="789" spans="3:41" ht="15.75">
      <c r="C789" s="430"/>
      <c r="D789" s="1751"/>
      <c r="E789" s="429"/>
      <c r="F789" s="428"/>
      <c r="G789" s="428"/>
      <c r="H789" s="1745"/>
      <c r="I789" s="1743"/>
      <c r="J789" s="429"/>
      <c r="K789" s="428"/>
      <c r="L789" s="1844"/>
      <c r="M789" s="1844"/>
      <c r="N789" s="1751"/>
      <c r="O789" s="1751"/>
      <c r="P789" s="1751"/>
      <c r="Q789" s="1857"/>
      <c r="R789" s="1751"/>
      <c r="S789" s="1751"/>
      <c r="T789" s="1751"/>
      <c r="U789" s="1751"/>
      <c r="V789" s="1751"/>
      <c r="W789" s="1751"/>
      <c r="X789" s="1857"/>
      <c r="Y789" s="1751"/>
      <c r="Z789" s="1751"/>
      <c r="AA789" s="1751"/>
      <c r="AB789" s="1751"/>
      <c r="AC789" s="1751"/>
      <c r="AD789" s="1751"/>
      <c r="AE789" s="1751"/>
      <c r="AF789" s="1751"/>
      <c r="AG789" s="1751"/>
      <c r="AH789" s="1751"/>
      <c r="AI789" s="1751"/>
      <c r="AJ789" s="1751"/>
      <c r="AK789" s="1751"/>
      <c r="AL789" s="1751"/>
      <c r="AM789" s="429"/>
      <c r="AN789" s="429"/>
      <c r="AO789" s="429"/>
    </row>
    <row r="790" spans="3:41" ht="15.75">
      <c r="C790" s="430"/>
      <c r="D790" s="1751"/>
      <c r="E790" s="429"/>
      <c r="F790" s="428"/>
      <c r="G790" s="428"/>
      <c r="H790" s="1745"/>
      <c r="I790" s="1743"/>
      <c r="J790" s="429"/>
      <c r="K790" s="428"/>
      <c r="L790" s="1844"/>
      <c r="M790" s="1844"/>
      <c r="N790" s="429"/>
      <c r="O790" s="429"/>
      <c r="P790" s="428"/>
      <c r="Q790" s="1743"/>
      <c r="R790" s="428"/>
      <c r="S790" s="429"/>
      <c r="T790" s="429"/>
      <c r="U790" s="1719"/>
      <c r="V790" s="1719"/>
      <c r="W790" s="1860"/>
      <c r="X790" s="1862"/>
      <c r="Y790" s="1860"/>
      <c r="Z790" s="429"/>
      <c r="AA790" s="429"/>
      <c r="AB790" s="429"/>
      <c r="AC790" s="429"/>
      <c r="AD790" s="429"/>
      <c r="AE790" s="429"/>
      <c r="AF790" s="429"/>
      <c r="AG790" s="429"/>
      <c r="AH790" s="429"/>
      <c r="AI790" s="429"/>
      <c r="AJ790" s="429"/>
      <c r="AK790" s="429"/>
      <c r="AL790" s="429"/>
      <c r="AM790" s="429"/>
      <c r="AN790" s="429"/>
      <c r="AO790" s="429"/>
    </row>
    <row r="791" spans="3:41" ht="15.75">
      <c r="C791" s="430"/>
      <c r="D791" s="1751"/>
      <c r="E791" s="429"/>
      <c r="F791" s="428"/>
      <c r="G791" s="428"/>
      <c r="H791" s="1745"/>
      <c r="I791" s="1743"/>
      <c r="J791" s="429"/>
      <c r="K791" s="428"/>
      <c r="L791" s="1844"/>
      <c r="M791" s="1844"/>
      <c r="N791" s="429"/>
      <c r="O791" s="429"/>
      <c r="P791" s="428"/>
      <c r="Q791" s="1743"/>
      <c r="R791" s="428"/>
      <c r="S791" s="429"/>
      <c r="T791" s="429"/>
      <c r="U791" s="1719"/>
      <c r="V791" s="1719"/>
      <c r="W791" s="1860"/>
      <c r="X791" s="1862"/>
      <c r="Y791" s="1860"/>
      <c r="Z791" s="429"/>
      <c r="AA791" s="429"/>
      <c r="AB791" s="429"/>
      <c r="AC791" s="429"/>
      <c r="AD791" s="429"/>
      <c r="AE791" s="429"/>
      <c r="AF791" s="429"/>
      <c r="AG791" s="429"/>
      <c r="AH791" s="429"/>
      <c r="AI791" s="429"/>
      <c r="AJ791" s="429"/>
      <c r="AK791" s="429"/>
      <c r="AL791" s="429"/>
      <c r="AM791" s="429"/>
      <c r="AN791" s="429"/>
      <c r="AO791" s="429"/>
    </row>
    <row r="792" spans="3:41" ht="15.75">
      <c r="C792" s="430"/>
      <c r="D792" s="1751"/>
      <c r="E792" s="429"/>
      <c r="F792" s="428"/>
      <c r="G792" s="428"/>
      <c r="H792" s="1745"/>
      <c r="I792" s="1743"/>
      <c r="J792" s="429"/>
      <c r="K792" s="428"/>
      <c r="L792" s="1844"/>
      <c r="M792" s="1844"/>
      <c r="N792" s="429"/>
      <c r="O792" s="429"/>
      <c r="P792" s="428"/>
      <c r="Q792" s="1743"/>
      <c r="R792" s="428"/>
      <c r="S792" s="429"/>
      <c r="T792" s="429"/>
      <c r="U792" s="1719"/>
      <c r="V792" s="1719"/>
      <c r="W792" s="1860"/>
      <c r="X792" s="1862"/>
      <c r="Y792" s="1860"/>
      <c r="Z792" s="429"/>
      <c r="AA792" s="429"/>
      <c r="AB792" s="429"/>
      <c r="AC792" s="429"/>
      <c r="AD792" s="429"/>
      <c r="AE792" s="429"/>
      <c r="AF792" s="429"/>
      <c r="AG792" s="429"/>
      <c r="AH792" s="429"/>
      <c r="AI792" s="429"/>
      <c r="AJ792" s="429"/>
      <c r="AK792" s="429"/>
      <c r="AL792" s="429"/>
      <c r="AM792" s="429"/>
      <c r="AN792" s="429"/>
      <c r="AO792" s="429"/>
    </row>
    <row r="793" spans="3:41" ht="15.75">
      <c r="C793" s="430"/>
      <c r="D793" s="1751"/>
      <c r="E793" s="429"/>
      <c r="F793" s="428"/>
      <c r="G793" s="428"/>
      <c r="H793" s="1745"/>
      <c r="I793" s="1743"/>
      <c r="J793" s="429"/>
      <c r="K793" s="428"/>
      <c r="L793" s="1844"/>
      <c r="M793" s="1844"/>
      <c r="N793" s="429"/>
      <c r="O793" s="429"/>
      <c r="P793" s="428"/>
      <c r="Q793" s="1743"/>
      <c r="R793" s="428"/>
      <c r="S793" s="429"/>
      <c r="T793" s="429"/>
      <c r="U793" s="1719"/>
      <c r="V793" s="1719"/>
      <c r="W793" s="1860"/>
      <c r="X793" s="1862"/>
      <c r="Y793" s="1860"/>
      <c r="Z793" s="429"/>
      <c r="AA793" s="429"/>
      <c r="AB793" s="429"/>
      <c r="AC793" s="429"/>
      <c r="AD793" s="429"/>
      <c r="AE793" s="429"/>
      <c r="AF793" s="429"/>
      <c r="AG793" s="429"/>
      <c r="AH793" s="429"/>
      <c r="AI793" s="429"/>
      <c r="AJ793" s="429"/>
      <c r="AK793" s="429"/>
      <c r="AL793" s="429"/>
      <c r="AM793" s="429"/>
      <c r="AN793" s="429"/>
      <c r="AO793" s="429"/>
    </row>
    <row r="794" spans="3:41" ht="15.75">
      <c r="C794" s="430"/>
      <c r="D794" s="1751"/>
      <c r="E794" s="429"/>
      <c r="F794" s="428"/>
      <c r="G794" s="428"/>
      <c r="H794" s="1745"/>
      <c r="I794" s="1743"/>
      <c r="J794" s="429"/>
      <c r="K794" s="428"/>
      <c r="L794" s="1844"/>
      <c r="M794" s="1844"/>
      <c r="N794" s="429"/>
      <c r="O794" s="429"/>
      <c r="P794" s="428"/>
      <c r="Q794" s="1743"/>
      <c r="R794" s="428"/>
      <c r="S794" s="429"/>
      <c r="T794" s="429"/>
      <c r="U794" s="1719"/>
      <c r="V794" s="1719"/>
      <c r="W794" s="1860"/>
      <c r="X794" s="1862"/>
      <c r="Y794" s="1860"/>
      <c r="Z794" s="429"/>
      <c r="AA794" s="429"/>
      <c r="AB794" s="429"/>
      <c r="AC794" s="429"/>
      <c r="AD794" s="429"/>
      <c r="AE794" s="429"/>
      <c r="AF794" s="429"/>
      <c r="AG794" s="429"/>
      <c r="AH794" s="429"/>
      <c r="AI794" s="429"/>
      <c r="AJ794" s="429"/>
      <c r="AK794" s="429"/>
      <c r="AL794" s="429"/>
      <c r="AM794" s="429"/>
      <c r="AN794" s="429"/>
      <c r="AO794" s="429"/>
    </row>
    <row r="795" spans="3:41" ht="15.75">
      <c r="C795" s="430"/>
      <c r="D795" s="1751"/>
      <c r="E795" s="429"/>
      <c r="F795" s="428"/>
      <c r="G795" s="428"/>
      <c r="H795" s="1745"/>
      <c r="I795" s="1743"/>
      <c r="J795" s="429"/>
      <c r="K795" s="428"/>
      <c r="L795" s="1844"/>
      <c r="M795" s="1844"/>
      <c r="N795" s="429"/>
      <c r="O795" s="429"/>
      <c r="P795" s="428"/>
      <c r="Q795" s="1743"/>
      <c r="R795" s="428"/>
      <c r="S795" s="429"/>
      <c r="T795" s="429"/>
      <c r="U795" s="1719"/>
      <c r="V795" s="1719"/>
      <c r="W795" s="1860"/>
      <c r="X795" s="1862"/>
      <c r="Y795" s="1860"/>
      <c r="Z795" s="429"/>
      <c r="AA795" s="429"/>
      <c r="AB795" s="429"/>
      <c r="AC795" s="429"/>
      <c r="AD795" s="429"/>
      <c r="AE795" s="429"/>
      <c r="AF795" s="429"/>
      <c r="AG795" s="429"/>
      <c r="AH795" s="429"/>
      <c r="AI795" s="429"/>
      <c r="AJ795" s="429"/>
      <c r="AK795" s="429"/>
      <c r="AL795" s="429"/>
      <c r="AM795" s="429"/>
      <c r="AN795" s="429"/>
      <c r="AO795" s="429"/>
    </row>
    <row r="796" spans="3:41" ht="15.75">
      <c r="C796" s="430"/>
      <c r="D796" s="1751"/>
      <c r="E796" s="429"/>
      <c r="F796" s="428"/>
      <c r="G796" s="428"/>
      <c r="H796" s="1745"/>
      <c r="I796" s="1743"/>
      <c r="J796" s="429"/>
      <c r="K796" s="428"/>
      <c r="L796" s="1844"/>
      <c r="M796" s="1844"/>
      <c r="N796" s="429"/>
      <c r="O796" s="429"/>
      <c r="P796" s="428"/>
      <c r="Q796" s="1743"/>
      <c r="R796" s="428"/>
      <c r="S796" s="429"/>
      <c r="T796" s="429"/>
      <c r="U796" s="1719"/>
      <c r="V796" s="1719"/>
      <c r="W796" s="1860"/>
      <c r="X796" s="1862"/>
      <c r="Y796" s="1860"/>
      <c r="Z796" s="429"/>
      <c r="AA796" s="429"/>
      <c r="AB796" s="429"/>
      <c r="AC796" s="429"/>
      <c r="AD796" s="429"/>
      <c r="AE796" s="429"/>
      <c r="AF796" s="429"/>
      <c r="AG796" s="429"/>
      <c r="AH796" s="429"/>
      <c r="AI796" s="429"/>
      <c r="AJ796" s="429"/>
      <c r="AK796" s="429"/>
      <c r="AL796" s="429"/>
      <c r="AM796" s="429"/>
      <c r="AN796" s="429"/>
      <c r="AO796" s="429"/>
    </row>
    <row r="797" spans="3:41" ht="15.75">
      <c r="C797" s="430"/>
      <c r="D797" s="1751"/>
      <c r="E797" s="429"/>
      <c r="F797" s="428"/>
      <c r="G797" s="428"/>
      <c r="H797" s="1745"/>
      <c r="I797" s="1743"/>
      <c r="J797" s="429"/>
      <c r="K797" s="428"/>
      <c r="L797" s="1844"/>
      <c r="M797" s="1844"/>
      <c r="N797" s="429"/>
      <c r="O797" s="429"/>
      <c r="P797" s="428"/>
      <c r="Q797" s="1743"/>
      <c r="R797" s="428"/>
      <c r="S797" s="429"/>
      <c r="T797" s="429"/>
      <c r="U797" s="1719"/>
      <c r="V797" s="1719"/>
      <c r="W797" s="1860"/>
      <c r="X797" s="1862"/>
      <c r="Y797" s="1860"/>
      <c r="Z797" s="429"/>
      <c r="AA797" s="429"/>
      <c r="AB797" s="429"/>
      <c r="AC797" s="429"/>
      <c r="AD797" s="429"/>
      <c r="AE797" s="429"/>
      <c r="AF797" s="429"/>
      <c r="AG797" s="429"/>
      <c r="AH797" s="429"/>
      <c r="AI797" s="429"/>
      <c r="AJ797" s="429"/>
      <c r="AK797" s="429"/>
      <c r="AL797" s="429"/>
      <c r="AM797" s="429"/>
      <c r="AN797" s="429"/>
      <c r="AO797" s="429"/>
    </row>
    <row r="798" spans="3:41" ht="15.75">
      <c r="C798" s="430"/>
      <c r="D798" s="1751"/>
      <c r="E798" s="429"/>
      <c r="F798" s="428"/>
      <c r="G798" s="428"/>
      <c r="H798" s="1745"/>
      <c r="I798" s="1743"/>
      <c r="J798" s="429"/>
      <c r="K798" s="428"/>
      <c r="L798" s="1844"/>
      <c r="M798" s="1844"/>
      <c r="N798" s="1751"/>
      <c r="O798" s="1751"/>
      <c r="P798" s="1751"/>
      <c r="Q798" s="1857"/>
      <c r="R798" s="1751"/>
      <c r="S798" s="1751"/>
      <c r="T798" s="1751"/>
      <c r="U798" s="1751"/>
      <c r="V798" s="1751"/>
      <c r="W798" s="1751"/>
      <c r="X798" s="1857"/>
      <c r="Y798" s="1751"/>
      <c r="Z798" s="1751"/>
      <c r="AA798" s="1751"/>
      <c r="AB798" s="1751"/>
      <c r="AC798" s="1751"/>
      <c r="AD798" s="1751"/>
      <c r="AE798" s="1751"/>
      <c r="AF798" s="1751"/>
      <c r="AG798" s="1751"/>
      <c r="AH798" s="1751"/>
      <c r="AI798" s="1751"/>
      <c r="AJ798" s="1751"/>
      <c r="AK798" s="1751"/>
      <c r="AL798" s="1751"/>
      <c r="AM798" s="429"/>
      <c r="AN798" s="429"/>
      <c r="AO798" s="429"/>
    </row>
    <row r="799" spans="3:41" ht="15.75">
      <c r="C799" s="430"/>
      <c r="D799" s="1751"/>
      <c r="E799" s="429"/>
      <c r="F799" s="428"/>
      <c r="G799" s="428"/>
      <c r="H799" s="1745"/>
      <c r="I799" s="1743"/>
      <c r="J799" s="429"/>
      <c r="K799" s="428"/>
      <c r="L799" s="1844"/>
      <c r="M799" s="1844"/>
      <c r="N799" s="1751"/>
      <c r="O799" s="1751"/>
      <c r="P799" s="1751"/>
      <c r="Q799" s="1857"/>
      <c r="R799" s="1751"/>
      <c r="S799" s="1751"/>
      <c r="T799" s="1751"/>
      <c r="U799" s="1751"/>
      <c r="V799" s="1751"/>
      <c r="W799" s="1751"/>
      <c r="X799" s="1857"/>
      <c r="Y799" s="1751"/>
      <c r="Z799" s="1751"/>
      <c r="AA799" s="1751"/>
      <c r="AB799" s="1751"/>
      <c r="AC799" s="1751"/>
      <c r="AD799" s="1751"/>
      <c r="AE799" s="1751"/>
      <c r="AF799" s="1751"/>
      <c r="AG799" s="1751"/>
      <c r="AH799" s="1751"/>
      <c r="AI799" s="1751"/>
      <c r="AJ799" s="1751"/>
      <c r="AK799" s="1751"/>
      <c r="AL799" s="1751"/>
      <c r="AM799" s="429"/>
      <c r="AN799" s="429"/>
      <c r="AO799" s="429"/>
    </row>
    <row r="800" spans="3:41" ht="15.75">
      <c r="C800" s="430"/>
      <c r="D800" s="1751"/>
      <c r="E800" s="429"/>
      <c r="F800" s="428"/>
      <c r="G800" s="428"/>
      <c r="H800" s="1745"/>
      <c r="I800" s="1743"/>
      <c r="J800" s="429"/>
      <c r="K800" s="428"/>
      <c r="L800" s="1844"/>
      <c r="M800" s="1844"/>
      <c r="N800" s="429"/>
      <c r="O800" s="429"/>
      <c r="P800" s="428"/>
      <c r="Q800" s="1743"/>
      <c r="R800" s="428"/>
      <c r="S800" s="429"/>
      <c r="T800" s="429"/>
      <c r="U800" s="1719"/>
      <c r="V800" s="1719"/>
      <c r="W800" s="1860"/>
      <c r="X800" s="1862"/>
      <c r="Y800" s="1860"/>
      <c r="Z800" s="429"/>
      <c r="AA800" s="429"/>
      <c r="AB800" s="429"/>
      <c r="AC800" s="429"/>
      <c r="AD800" s="429"/>
      <c r="AE800" s="429"/>
      <c r="AF800" s="429"/>
      <c r="AG800" s="429"/>
      <c r="AH800" s="429"/>
      <c r="AI800" s="429"/>
      <c r="AJ800" s="429"/>
      <c r="AK800" s="429"/>
      <c r="AL800" s="429"/>
      <c r="AM800" s="429"/>
      <c r="AN800" s="429"/>
      <c r="AO800" s="429"/>
    </row>
    <row r="801" spans="3:41" ht="15.75">
      <c r="C801" s="430"/>
      <c r="D801" s="1751"/>
      <c r="E801" s="429"/>
      <c r="F801" s="428"/>
      <c r="G801" s="428"/>
      <c r="H801" s="1745"/>
      <c r="I801" s="1743"/>
      <c r="J801" s="429"/>
      <c r="K801" s="428"/>
      <c r="L801" s="1844"/>
      <c r="M801" s="1844"/>
      <c r="N801" s="429"/>
      <c r="O801" s="429"/>
      <c r="P801" s="428"/>
      <c r="Q801" s="1743"/>
      <c r="R801" s="428"/>
      <c r="S801" s="429"/>
      <c r="T801" s="429"/>
      <c r="U801" s="1719"/>
      <c r="V801" s="1719"/>
      <c r="W801" s="1860"/>
      <c r="X801" s="1862"/>
      <c r="Y801" s="1860"/>
      <c r="Z801" s="429"/>
      <c r="AA801" s="429"/>
      <c r="AB801" s="429"/>
      <c r="AC801" s="429"/>
      <c r="AD801" s="429"/>
      <c r="AE801" s="429"/>
      <c r="AF801" s="429"/>
      <c r="AG801" s="429"/>
      <c r="AH801" s="429"/>
      <c r="AI801" s="429"/>
      <c r="AJ801" s="429"/>
      <c r="AK801" s="429"/>
      <c r="AL801" s="429"/>
      <c r="AM801" s="429"/>
      <c r="AN801" s="429"/>
      <c r="AO801" s="429"/>
    </row>
    <row r="802" spans="3:41" ht="15.75">
      <c r="C802" s="430"/>
      <c r="D802" s="1751"/>
      <c r="E802" s="429"/>
      <c r="F802" s="428"/>
      <c r="G802" s="428"/>
      <c r="H802" s="1745"/>
      <c r="I802" s="1743"/>
      <c r="J802" s="429"/>
      <c r="K802" s="428"/>
      <c r="L802" s="1844"/>
      <c r="M802" s="1844"/>
      <c r="N802" s="429"/>
      <c r="O802" s="429"/>
      <c r="P802" s="428"/>
      <c r="Q802" s="1743"/>
      <c r="R802" s="428"/>
      <c r="S802" s="429"/>
      <c r="T802" s="429"/>
      <c r="U802" s="1719"/>
      <c r="V802" s="1719"/>
      <c r="W802" s="1860"/>
      <c r="X802" s="1862"/>
      <c r="Y802" s="1860"/>
      <c r="Z802" s="429"/>
      <c r="AA802" s="429"/>
      <c r="AB802" s="429"/>
      <c r="AC802" s="429"/>
      <c r="AD802" s="429"/>
      <c r="AE802" s="429"/>
      <c r="AF802" s="429"/>
      <c r="AG802" s="429"/>
      <c r="AH802" s="429"/>
      <c r="AI802" s="429"/>
      <c r="AJ802" s="429"/>
      <c r="AK802" s="429"/>
      <c r="AL802" s="429"/>
      <c r="AM802" s="429"/>
      <c r="AN802" s="429"/>
      <c r="AO802" s="429"/>
    </row>
    <row r="803" spans="3:41" ht="15.75">
      <c r="C803" s="430"/>
      <c r="D803" s="1751"/>
      <c r="E803" s="429"/>
      <c r="F803" s="428"/>
      <c r="G803" s="428"/>
      <c r="H803" s="1745"/>
      <c r="I803" s="1743"/>
      <c r="J803" s="429"/>
      <c r="K803" s="428"/>
      <c r="L803" s="1844"/>
      <c r="M803" s="1844"/>
      <c r="N803" s="429"/>
      <c r="O803" s="429"/>
      <c r="P803" s="428"/>
      <c r="Q803" s="1743"/>
      <c r="R803" s="428"/>
      <c r="S803" s="429"/>
      <c r="T803" s="429"/>
      <c r="U803" s="1719"/>
      <c r="V803" s="1719"/>
      <c r="W803" s="1860"/>
      <c r="X803" s="1862"/>
      <c r="Y803" s="1860"/>
      <c r="Z803" s="429"/>
      <c r="AA803" s="429"/>
      <c r="AB803" s="429"/>
      <c r="AC803" s="429"/>
      <c r="AD803" s="429"/>
      <c r="AE803" s="429"/>
      <c r="AF803" s="429"/>
      <c r="AG803" s="429"/>
      <c r="AH803" s="429"/>
      <c r="AI803" s="429"/>
      <c r="AJ803" s="429"/>
      <c r="AK803" s="429"/>
      <c r="AL803" s="429"/>
      <c r="AM803" s="429"/>
      <c r="AN803" s="429"/>
      <c r="AO803" s="429"/>
    </row>
    <row r="804" spans="3:41" ht="15.75">
      <c r="C804" s="430"/>
      <c r="D804" s="1751"/>
      <c r="E804" s="429"/>
      <c r="F804" s="428"/>
      <c r="G804" s="428"/>
      <c r="H804" s="1745"/>
      <c r="I804" s="1743"/>
      <c r="J804" s="429"/>
      <c r="K804" s="428"/>
      <c r="L804" s="1844"/>
      <c r="M804" s="1844"/>
      <c r="N804" s="429"/>
      <c r="O804" s="429"/>
      <c r="P804" s="429"/>
      <c r="Q804" s="1745"/>
      <c r="R804" s="429"/>
      <c r="S804" s="429"/>
      <c r="T804" s="429"/>
      <c r="U804" s="1719"/>
      <c r="V804" s="1719"/>
      <c r="W804" s="1860"/>
      <c r="X804" s="1862"/>
      <c r="Y804" s="1860"/>
      <c r="Z804" s="429"/>
      <c r="AA804" s="429"/>
      <c r="AB804" s="429"/>
      <c r="AC804" s="429"/>
      <c r="AD804" s="429"/>
      <c r="AE804" s="429"/>
      <c r="AF804" s="429"/>
      <c r="AG804" s="429"/>
      <c r="AH804" s="429"/>
      <c r="AI804" s="429"/>
      <c r="AJ804" s="429"/>
      <c r="AK804" s="429"/>
      <c r="AL804" s="429"/>
      <c r="AM804" s="429"/>
      <c r="AN804" s="429"/>
      <c r="AO804" s="429"/>
    </row>
    <row r="805" spans="3:41" ht="15.75">
      <c r="C805" s="430"/>
      <c r="D805" s="1751"/>
      <c r="E805" s="429"/>
      <c r="F805" s="428"/>
      <c r="G805" s="428"/>
      <c r="H805" s="1745"/>
      <c r="I805" s="1743"/>
      <c r="J805" s="429"/>
      <c r="K805" s="428"/>
      <c r="L805" s="1844"/>
      <c r="M805" s="1844"/>
      <c r="N805" s="429"/>
      <c r="O805" s="429"/>
      <c r="P805" s="428"/>
      <c r="Q805" s="1743"/>
      <c r="R805" s="428"/>
      <c r="S805" s="429"/>
      <c r="T805" s="429"/>
      <c r="U805" s="1719"/>
      <c r="V805" s="1719"/>
      <c r="W805" s="1860"/>
      <c r="X805" s="1862"/>
      <c r="Y805" s="1860"/>
      <c r="Z805" s="429"/>
      <c r="AA805" s="429"/>
      <c r="AB805" s="429"/>
      <c r="AC805" s="429"/>
      <c r="AD805" s="429"/>
      <c r="AE805" s="429"/>
      <c r="AF805" s="429"/>
      <c r="AG805" s="429"/>
      <c r="AH805" s="429"/>
      <c r="AI805" s="429"/>
      <c r="AJ805" s="429"/>
      <c r="AK805" s="429"/>
      <c r="AL805" s="429"/>
      <c r="AM805" s="429"/>
      <c r="AN805" s="429"/>
      <c r="AO805" s="429"/>
    </row>
    <row r="806" spans="3:41" ht="15.75">
      <c r="C806" s="430"/>
      <c r="D806" s="1751"/>
      <c r="E806" s="429"/>
      <c r="F806" s="428"/>
      <c r="G806" s="428"/>
      <c r="H806" s="1745"/>
      <c r="I806" s="1743"/>
      <c r="J806" s="429"/>
      <c r="K806" s="428"/>
      <c r="L806" s="1844"/>
      <c r="M806" s="1844"/>
      <c r="N806" s="429"/>
      <c r="O806" s="429"/>
      <c r="P806" s="428"/>
      <c r="Q806" s="1743"/>
      <c r="R806" s="428"/>
      <c r="S806" s="429"/>
      <c r="T806" s="429"/>
      <c r="U806" s="1719"/>
      <c r="V806" s="1719"/>
      <c r="W806" s="1860"/>
      <c r="X806" s="1862"/>
      <c r="Y806" s="1860"/>
      <c r="Z806" s="429"/>
      <c r="AA806" s="429"/>
      <c r="AB806" s="429"/>
      <c r="AC806" s="429"/>
      <c r="AD806" s="429"/>
      <c r="AE806" s="429"/>
      <c r="AF806" s="429"/>
      <c r="AG806" s="429"/>
      <c r="AH806" s="429"/>
      <c r="AI806" s="429"/>
      <c r="AJ806" s="429"/>
      <c r="AK806" s="429"/>
      <c r="AL806" s="429"/>
      <c r="AM806" s="429"/>
      <c r="AN806" s="429"/>
      <c r="AO806" s="429"/>
    </row>
    <row r="807" spans="3:41" ht="15.75">
      <c r="C807" s="430"/>
      <c r="D807" s="1751"/>
      <c r="E807" s="429"/>
      <c r="F807" s="428"/>
      <c r="G807" s="428"/>
      <c r="H807" s="1745"/>
      <c r="I807" s="1743"/>
      <c r="J807" s="429"/>
      <c r="K807" s="428"/>
      <c r="L807" s="1844"/>
      <c r="M807" s="1844"/>
      <c r="N807" s="429"/>
      <c r="O807" s="429"/>
      <c r="P807" s="429"/>
      <c r="Q807" s="1745"/>
      <c r="R807" s="429"/>
      <c r="S807" s="429"/>
      <c r="T807" s="429"/>
      <c r="U807" s="1719"/>
      <c r="V807" s="1719"/>
      <c r="W807" s="1860"/>
      <c r="X807" s="1862"/>
      <c r="Y807" s="1860"/>
      <c r="Z807" s="429"/>
      <c r="AA807" s="429"/>
      <c r="AB807" s="429"/>
      <c r="AC807" s="429"/>
      <c r="AD807" s="429"/>
      <c r="AE807" s="429"/>
      <c r="AF807" s="429"/>
      <c r="AG807" s="429"/>
      <c r="AH807" s="429"/>
      <c r="AI807" s="429"/>
      <c r="AJ807" s="429"/>
      <c r="AK807" s="429"/>
      <c r="AL807" s="429"/>
      <c r="AM807" s="429"/>
      <c r="AN807" s="429"/>
      <c r="AO807" s="429"/>
    </row>
    <row r="808" spans="3:41" ht="15.75">
      <c r="C808" s="430"/>
      <c r="D808" s="1751"/>
      <c r="E808" s="429"/>
      <c r="F808" s="428"/>
      <c r="G808" s="428"/>
      <c r="H808" s="1745"/>
      <c r="I808" s="1743"/>
      <c r="J808" s="429"/>
      <c r="K808" s="428"/>
      <c r="L808" s="1844"/>
      <c r="M808" s="1844"/>
      <c r="N808" s="429"/>
      <c r="O808" s="429"/>
      <c r="P808" s="428"/>
      <c r="Q808" s="1743"/>
      <c r="R808" s="428"/>
      <c r="S808" s="429"/>
      <c r="T808" s="429"/>
      <c r="U808" s="1719"/>
      <c r="V808" s="1719"/>
      <c r="W808" s="1860"/>
      <c r="X808" s="1862"/>
      <c r="Y808" s="1860"/>
      <c r="Z808" s="429"/>
      <c r="AA808" s="429"/>
      <c r="AB808" s="429"/>
      <c r="AC808" s="429"/>
      <c r="AD808" s="429"/>
      <c r="AE808" s="429"/>
      <c r="AF808" s="429"/>
      <c r="AG808" s="429"/>
      <c r="AH808" s="429"/>
      <c r="AI808" s="429"/>
      <c r="AJ808" s="429"/>
      <c r="AK808" s="429"/>
      <c r="AL808" s="429"/>
      <c r="AM808" s="429"/>
      <c r="AN808" s="429"/>
      <c r="AO808" s="429"/>
    </row>
    <row r="809" spans="3:41" ht="15.75">
      <c r="C809" s="430"/>
      <c r="D809" s="1751"/>
      <c r="E809" s="429"/>
      <c r="F809" s="428"/>
      <c r="G809" s="428"/>
      <c r="H809" s="1745"/>
      <c r="I809" s="1743"/>
      <c r="J809" s="429"/>
      <c r="K809" s="428"/>
      <c r="L809" s="1844"/>
      <c r="M809" s="1844"/>
      <c r="N809" s="429"/>
      <c r="O809" s="429"/>
      <c r="P809" s="428"/>
      <c r="Q809" s="1743"/>
      <c r="R809" s="428"/>
      <c r="S809" s="429"/>
      <c r="T809" s="429"/>
      <c r="U809" s="1719"/>
      <c r="V809" s="1719"/>
      <c r="W809" s="1860"/>
      <c r="X809" s="1862"/>
      <c r="Y809" s="1860"/>
      <c r="Z809" s="429"/>
      <c r="AA809" s="429"/>
      <c r="AB809" s="429"/>
      <c r="AC809" s="429"/>
      <c r="AD809" s="429"/>
      <c r="AE809" s="429"/>
      <c r="AF809" s="429"/>
      <c r="AG809" s="429"/>
      <c r="AH809" s="429"/>
      <c r="AI809" s="429"/>
      <c r="AJ809" s="429"/>
      <c r="AK809" s="429"/>
      <c r="AL809" s="429"/>
      <c r="AM809" s="429"/>
      <c r="AN809" s="429"/>
      <c r="AO809" s="429"/>
    </row>
    <row r="810" spans="3:41" ht="15.75">
      <c r="C810" s="430"/>
      <c r="D810" s="1751"/>
      <c r="E810" s="429"/>
      <c r="F810" s="428"/>
      <c r="G810" s="428"/>
      <c r="H810" s="1745"/>
      <c r="I810" s="1743"/>
      <c r="J810" s="429"/>
      <c r="K810" s="428"/>
      <c r="L810" s="1844"/>
      <c r="M810" s="1844"/>
      <c r="N810" s="429"/>
      <c r="O810" s="429"/>
      <c r="P810" s="428"/>
      <c r="Q810" s="1743"/>
      <c r="R810" s="428"/>
      <c r="S810" s="429"/>
      <c r="T810" s="429"/>
      <c r="U810" s="1719"/>
      <c r="V810" s="1719"/>
      <c r="W810" s="1860"/>
      <c r="X810" s="1862"/>
      <c r="Y810" s="1860"/>
      <c r="Z810" s="429"/>
      <c r="AA810" s="429"/>
      <c r="AB810" s="429"/>
      <c r="AC810" s="429"/>
      <c r="AD810" s="429"/>
      <c r="AE810" s="429"/>
      <c r="AF810" s="429"/>
      <c r="AG810" s="429"/>
      <c r="AH810" s="429"/>
      <c r="AI810" s="429"/>
      <c r="AJ810" s="429"/>
      <c r="AK810" s="429"/>
      <c r="AL810" s="429"/>
      <c r="AM810" s="429"/>
      <c r="AN810" s="429"/>
      <c r="AO810" s="429"/>
    </row>
    <row r="811" spans="3:41" ht="15.75">
      <c r="C811" s="430"/>
      <c r="D811" s="1751"/>
      <c r="E811" s="429"/>
      <c r="F811" s="428"/>
      <c r="G811" s="428"/>
      <c r="H811" s="1745"/>
      <c r="I811" s="1743"/>
      <c r="J811" s="429"/>
      <c r="K811" s="428"/>
      <c r="L811" s="1844"/>
      <c r="M811" s="1844"/>
      <c r="N811" s="429"/>
      <c r="O811" s="429"/>
      <c r="P811" s="428"/>
      <c r="Q811" s="1743"/>
      <c r="R811" s="428"/>
      <c r="S811" s="429"/>
      <c r="T811" s="429"/>
      <c r="U811" s="1719"/>
      <c r="V811" s="1719"/>
      <c r="W811" s="1860"/>
      <c r="X811" s="1862"/>
      <c r="Y811" s="1860"/>
      <c r="Z811" s="429"/>
      <c r="AA811" s="429"/>
      <c r="AB811" s="429"/>
      <c r="AC811" s="429"/>
      <c r="AD811" s="429"/>
      <c r="AE811" s="429"/>
      <c r="AF811" s="429"/>
      <c r="AG811" s="429"/>
      <c r="AH811" s="429"/>
      <c r="AI811" s="429"/>
      <c r="AJ811" s="429"/>
      <c r="AK811" s="429"/>
      <c r="AL811" s="429"/>
      <c r="AM811" s="429"/>
      <c r="AN811" s="429"/>
      <c r="AO811" s="429"/>
    </row>
    <row r="812" spans="3:41" ht="15.75">
      <c r="C812" s="430"/>
      <c r="D812" s="1751"/>
      <c r="E812" s="429"/>
      <c r="F812" s="428"/>
      <c r="G812" s="428"/>
      <c r="H812" s="1745"/>
      <c r="I812" s="1743"/>
      <c r="J812" s="429"/>
      <c r="K812" s="428"/>
      <c r="L812" s="1844"/>
      <c r="M812" s="1844"/>
      <c r="N812" s="429"/>
      <c r="O812" s="429"/>
      <c r="P812" s="428"/>
      <c r="Q812" s="1743"/>
      <c r="R812" s="428"/>
      <c r="S812" s="429"/>
      <c r="T812" s="429"/>
      <c r="U812" s="1719"/>
      <c r="V812" s="1719"/>
      <c r="W812" s="1860"/>
      <c r="X812" s="1862"/>
      <c r="Y812" s="1860"/>
      <c r="Z812" s="429"/>
      <c r="AA812" s="429"/>
      <c r="AB812" s="429"/>
      <c r="AC812" s="429"/>
      <c r="AD812" s="429"/>
      <c r="AE812" s="429"/>
      <c r="AF812" s="429"/>
      <c r="AG812" s="429"/>
      <c r="AH812" s="429"/>
      <c r="AI812" s="429"/>
      <c r="AJ812" s="429"/>
      <c r="AK812" s="429"/>
      <c r="AL812" s="429"/>
      <c r="AM812" s="429"/>
      <c r="AN812" s="429"/>
      <c r="AO812" s="429"/>
    </row>
    <row r="813" spans="3:41" ht="15.75">
      <c r="C813" s="430"/>
      <c r="D813" s="429"/>
      <c r="E813" s="1864"/>
      <c r="F813" s="1168"/>
      <c r="G813" s="1168"/>
      <c r="H813" s="1168"/>
      <c r="I813" s="1168"/>
      <c r="J813" s="1168"/>
      <c r="K813" s="1168"/>
      <c r="L813" s="1168"/>
      <c r="M813" s="1168"/>
      <c r="N813" s="1864"/>
      <c r="O813" s="1168"/>
      <c r="P813" s="1168"/>
      <c r="Q813" s="1168"/>
      <c r="R813" s="1168"/>
      <c r="S813" s="1168"/>
      <c r="T813" s="1168"/>
      <c r="U813" s="1864"/>
      <c r="V813" s="1168"/>
      <c r="W813" s="1168"/>
      <c r="X813" s="429"/>
      <c r="Y813" s="429"/>
      <c r="Z813" s="429"/>
      <c r="AA813" s="429"/>
      <c r="AB813" s="429"/>
      <c r="AC813" s="429"/>
      <c r="AD813" s="429"/>
      <c r="AE813" s="429"/>
      <c r="AF813" s="429"/>
      <c r="AG813" s="429"/>
      <c r="AH813" s="429"/>
      <c r="AI813" s="429"/>
      <c r="AJ813" s="429"/>
      <c r="AK813" s="429"/>
      <c r="AL813" s="429"/>
      <c r="AM813" s="429"/>
      <c r="AN813" s="429"/>
      <c r="AO813" s="429"/>
    </row>
    <row r="814" spans="3:41" ht="15.75">
      <c r="C814" s="1838"/>
      <c r="D814" s="1839"/>
      <c r="E814" s="2591"/>
      <c r="F814" s="2591"/>
      <c r="G814" s="1848"/>
      <c r="H814" s="2591"/>
      <c r="I814" s="2591"/>
      <c r="J814" s="2591"/>
      <c r="K814" s="2591"/>
      <c r="L814" s="1745"/>
      <c r="M814" s="1745"/>
      <c r="N814" s="1840"/>
      <c r="O814" s="1840"/>
      <c r="P814" s="1745"/>
      <c r="Q814" s="1745"/>
      <c r="R814" s="1745"/>
      <c r="S814" s="1744"/>
      <c r="T814" s="1744"/>
      <c r="U814" s="1743"/>
      <c r="V814" s="1743"/>
      <c r="W814" s="1841"/>
      <c r="X814" s="1841"/>
      <c r="Y814" s="1841"/>
      <c r="Z814" s="1744"/>
      <c r="AA814" s="1744"/>
      <c r="AB814" s="1744"/>
      <c r="AC814" s="1744"/>
      <c r="AD814" s="1744"/>
      <c r="AE814" s="1744"/>
      <c r="AF814" s="1744"/>
      <c r="AG814" s="1744"/>
      <c r="AH814" s="1744"/>
      <c r="AI814" s="1744"/>
      <c r="AJ814" s="1744"/>
      <c r="AK814" s="1744"/>
      <c r="AL814" s="1744"/>
      <c r="AM814" s="429"/>
      <c r="AN814" s="429"/>
      <c r="AO814" s="429"/>
    </row>
    <row r="815" spans="3:41" ht="15.75">
      <c r="C815" s="430"/>
      <c r="D815" s="1751"/>
      <c r="E815" s="429"/>
      <c r="F815" s="428"/>
      <c r="G815" s="428"/>
      <c r="H815" s="1745"/>
      <c r="I815" s="1743"/>
      <c r="J815" s="429"/>
      <c r="K815" s="428"/>
      <c r="L815" s="429"/>
      <c r="M815" s="429"/>
      <c r="N815" s="429"/>
      <c r="O815" s="429"/>
      <c r="P815" s="428"/>
      <c r="Q815" s="1743"/>
      <c r="R815" s="428"/>
      <c r="S815" s="428"/>
      <c r="T815" s="429"/>
      <c r="U815" s="429"/>
      <c r="V815" s="429"/>
      <c r="W815" s="428"/>
      <c r="X815" s="1743"/>
      <c r="Y815" s="428"/>
      <c r="Z815" s="428"/>
      <c r="AA815" s="428"/>
      <c r="AB815" s="428"/>
      <c r="AC815" s="428"/>
      <c r="AD815" s="428"/>
      <c r="AE815" s="428"/>
      <c r="AF815" s="428"/>
      <c r="AG815" s="428"/>
      <c r="AH815" s="428"/>
      <c r="AI815" s="428"/>
      <c r="AJ815" s="428"/>
      <c r="AK815" s="428"/>
      <c r="AL815" s="429"/>
      <c r="AM815" s="429"/>
      <c r="AN815" s="429"/>
      <c r="AO815" s="429"/>
    </row>
    <row r="816" spans="3:41" ht="15.75">
      <c r="C816" s="430"/>
      <c r="D816" s="1751"/>
      <c r="E816" s="429"/>
      <c r="F816" s="428"/>
      <c r="G816" s="428"/>
      <c r="H816" s="1745"/>
      <c r="I816" s="1743"/>
      <c r="J816" s="429"/>
      <c r="K816" s="428"/>
      <c r="L816" s="429"/>
      <c r="M816" s="429"/>
      <c r="N816" s="429"/>
      <c r="O816" s="429"/>
      <c r="P816" s="428"/>
      <c r="Q816" s="1743"/>
      <c r="R816" s="428"/>
      <c r="S816" s="428"/>
      <c r="T816" s="429"/>
      <c r="U816" s="429"/>
      <c r="V816" s="429"/>
      <c r="W816" s="428"/>
      <c r="X816" s="1743"/>
      <c r="Y816" s="428"/>
      <c r="Z816" s="428"/>
      <c r="AA816" s="428"/>
      <c r="AB816" s="428"/>
      <c r="AC816" s="428"/>
      <c r="AD816" s="428"/>
      <c r="AE816" s="428"/>
      <c r="AF816" s="428"/>
      <c r="AG816" s="428"/>
      <c r="AH816" s="428"/>
      <c r="AI816" s="428"/>
      <c r="AJ816" s="428"/>
      <c r="AK816" s="428"/>
      <c r="AL816" s="429"/>
      <c r="AM816" s="429"/>
      <c r="AN816" s="429"/>
      <c r="AO816" s="429"/>
    </row>
    <row r="817" spans="3:41" ht="15.75">
      <c r="C817" s="430"/>
      <c r="D817" s="1751"/>
      <c r="E817" s="429"/>
      <c r="F817" s="428"/>
      <c r="G817" s="428"/>
      <c r="H817" s="1745"/>
      <c r="I817" s="1743"/>
      <c r="J817" s="429"/>
      <c r="K817" s="428"/>
      <c r="L817" s="429"/>
      <c r="M817" s="429"/>
      <c r="N817" s="429"/>
      <c r="O817" s="429"/>
      <c r="P817" s="428"/>
      <c r="Q817" s="1743"/>
      <c r="R817" s="428"/>
      <c r="S817" s="428"/>
      <c r="T817" s="429"/>
      <c r="U817" s="429"/>
      <c r="V817" s="429"/>
      <c r="W817" s="428"/>
      <c r="X817" s="1743"/>
      <c r="Y817" s="428"/>
      <c r="Z817" s="428"/>
      <c r="AA817" s="428"/>
      <c r="AB817" s="428"/>
      <c r="AC817" s="428"/>
      <c r="AD817" s="428"/>
      <c r="AE817" s="428"/>
      <c r="AF817" s="428"/>
      <c r="AG817" s="428"/>
      <c r="AH817" s="428"/>
      <c r="AI817" s="428"/>
      <c r="AJ817" s="428"/>
      <c r="AK817" s="428"/>
      <c r="AL817" s="429"/>
      <c r="AM817" s="429"/>
      <c r="AN817" s="429"/>
      <c r="AO817" s="429"/>
    </row>
    <row r="818" spans="3:41" ht="15.75">
      <c r="C818" s="430"/>
      <c r="D818" s="1751"/>
      <c r="E818" s="429"/>
      <c r="F818" s="429"/>
      <c r="G818" s="429"/>
      <c r="H818" s="1745"/>
      <c r="I818" s="1745"/>
      <c r="J818" s="429"/>
      <c r="K818" s="429"/>
      <c r="L818" s="429"/>
      <c r="M818" s="429"/>
      <c r="N818" s="429"/>
      <c r="O818" s="429"/>
      <c r="P818" s="428"/>
      <c r="Q818" s="1743"/>
      <c r="R818" s="428"/>
      <c r="S818" s="428"/>
      <c r="T818" s="429"/>
      <c r="U818" s="429"/>
      <c r="V818" s="429"/>
      <c r="W818" s="428"/>
      <c r="X818" s="1743"/>
      <c r="Y818" s="428"/>
      <c r="Z818" s="428"/>
      <c r="AA818" s="428"/>
      <c r="AB818" s="428"/>
      <c r="AC818" s="428"/>
      <c r="AD818" s="428"/>
      <c r="AE818" s="428"/>
      <c r="AF818" s="428"/>
      <c r="AG818" s="428"/>
      <c r="AH818" s="428"/>
      <c r="AI818" s="428"/>
      <c r="AJ818" s="428"/>
      <c r="AK818" s="428"/>
      <c r="AL818" s="429"/>
      <c r="AM818" s="429"/>
      <c r="AN818" s="429"/>
      <c r="AO818" s="429"/>
    </row>
    <row r="819" spans="3:41" ht="15.75">
      <c r="C819" s="430"/>
      <c r="D819" s="1751"/>
      <c r="E819" s="429"/>
      <c r="F819" s="429"/>
      <c r="G819" s="429"/>
      <c r="H819" s="1745"/>
      <c r="I819" s="1745"/>
      <c r="J819" s="429"/>
      <c r="K819" s="429"/>
      <c r="L819" s="429"/>
      <c r="M819" s="429"/>
      <c r="N819" s="429"/>
      <c r="O819" s="429"/>
      <c r="P819" s="428"/>
      <c r="Q819" s="1743"/>
      <c r="R819" s="428"/>
      <c r="S819" s="428"/>
      <c r="T819" s="429"/>
      <c r="U819" s="429"/>
      <c r="V819" s="429"/>
      <c r="W819" s="428"/>
      <c r="X819" s="1743"/>
      <c r="Y819" s="428"/>
      <c r="Z819" s="428"/>
      <c r="AA819" s="428"/>
      <c r="AB819" s="428"/>
      <c r="AC819" s="428"/>
      <c r="AD819" s="428"/>
      <c r="AE819" s="428"/>
      <c r="AF819" s="428"/>
      <c r="AG819" s="428"/>
      <c r="AH819" s="428"/>
      <c r="AI819" s="428"/>
      <c r="AJ819" s="428"/>
      <c r="AK819" s="428"/>
      <c r="AL819" s="429"/>
      <c r="AM819" s="429"/>
      <c r="AN819" s="429"/>
      <c r="AO819" s="429"/>
    </row>
    <row r="820" spans="3:41" ht="15.75">
      <c r="C820" s="430"/>
      <c r="D820" s="1751"/>
      <c r="E820" s="429"/>
      <c r="F820" s="429"/>
      <c r="G820" s="429"/>
      <c r="H820" s="1745"/>
      <c r="I820" s="1745"/>
      <c r="J820" s="429"/>
      <c r="K820" s="429"/>
      <c r="L820" s="429"/>
      <c r="M820" s="429"/>
      <c r="N820" s="429"/>
      <c r="O820" s="429"/>
      <c r="P820" s="428"/>
      <c r="Q820" s="1743"/>
      <c r="R820" s="428"/>
      <c r="S820" s="428"/>
      <c r="T820" s="429"/>
      <c r="U820" s="429"/>
      <c r="V820" s="429"/>
      <c r="W820" s="428"/>
      <c r="X820" s="1743"/>
      <c r="Y820" s="428"/>
      <c r="Z820" s="428"/>
      <c r="AA820" s="428"/>
      <c r="AB820" s="428"/>
      <c r="AC820" s="428"/>
      <c r="AD820" s="428"/>
      <c r="AE820" s="428"/>
      <c r="AF820" s="428"/>
      <c r="AG820" s="428"/>
      <c r="AH820" s="428"/>
      <c r="AI820" s="428"/>
      <c r="AJ820" s="428"/>
      <c r="AK820" s="428"/>
      <c r="AL820" s="429"/>
      <c r="AM820" s="429"/>
      <c r="AN820" s="429"/>
      <c r="AO820" s="429"/>
    </row>
    <row r="821" spans="3:41" ht="15.75">
      <c r="C821" s="430"/>
      <c r="D821" s="1751"/>
      <c r="E821" s="429"/>
      <c r="F821" s="429"/>
      <c r="G821" s="429"/>
      <c r="H821" s="1745"/>
      <c r="I821" s="1745"/>
      <c r="J821" s="429"/>
      <c r="K821" s="429"/>
      <c r="L821" s="429"/>
      <c r="M821" s="429"/>
      <c r="N821" s="429"/>
      <c r="O821" s="429"/>
      <c r="P821" s="428"/>
      <c r="Q821" s="1743"/>
      <c r="R821" s="428"/>
      <c r="S821" s="428"/>
      <c r="T821" s="429"/>
      <c r="U821" s="429"/>
      <c r="V821" s="429"/>
      <c r="W821" s="428"/>
      <c r="X821" s="1743"/>
      <c r="Y821" s="428"/>
      <c r="Z821" s="428"/>
      <c r="AA821" s="428"/>
      <c r="AB821" s="428"/>
      <c r="AC821" s="428"/>
      <c r="AD821" s="428"/>
      <c r="AE821" s="428"/>
      <c r="AF821" s="428"/>
      <c r="AG821" s="428"/>
      <c r="AH821" s="428"/>
      <c r="AI821" s="428"/>
      <c r="AJ821" s="428"/>
      <c r="AK821" s="428"/>
      <c r="AL821" s="429"/>
      <c r="AM821" s="429"/>
      <c r="AN821" s="429"/>
      <c r="AO821" s="429"/>
    </row>
    <row r="822" spans="3:41" ht="15.75">
      <c r="C822" s="430"/>
      <c r="D822" s="1751"/>
      <c r="E822" s="429"/>
      <c r="F822" s="429"/>
      <c r="G822" s="429"/>
      <c r="H822" s="1745"/>
      <c r="I822" s="1745"/>
      <c r="J822" s="429"/>
      <c r="K822" s="429"/>
      <c r="L822" s="429"/>
      <c r="M822" s="429"/>
      <c r="N822" s="429"/>
      <c r="O822" s="429"/>
      <c r="P822" s="428"/>
      <c r="Q822" s="1743"/>
      <c r="R822" s="428"/>
      <c r="S822" s="428"/>
      <c r="T822" s="429"/>
      <c r="U822" s="429"/>
      <c r="V822" s="429"/>
      <c r="W822" s="428"/>
      <c r="X822" s="1743"/>
      <c r="Y822" s="428"/>
      <c r="Z822" s="428"/>
      <c r="AA822" s="428"/>
      <c r="AB822" s="428"/>
      <c r="AC822" s="428"/>
      <c r="AD822" s="428"/>
      <c r="AE822" s="428"/>
      <c r="AF822" s="428"/>
      <c r="AG822" s="428"/>
      <c r="AH822" s="428"/>
      <c r="AI822" s="428"/>
      <c r="AJ822" s="428"/>
      <c r="AK822" s="428"/>
      <c r="AL822" s="429"/>
      <c r="AM822" s="429"/>
      <c r="AN822" s="429"/>
      <c r="AO822" s="429"/>
    </row>
    <row r="823" spans="3:41" ht="15.75">
      <c r="C823" s="430"/>
      <c r="D823" s="1751"/>
      <c r="E823" s="429"/>
      <c r="F823" s="429"/>
      <c r="G823" s="429"/>
      <c r="H823" s="1745"/>
      <c r="I823" s="1745"/>
      <c r="J823" s="429"/>
      <c r="K823" s="429"/>
      <c r="L823" s="429"/>
      <c r="M823" s="429"/>
      <c r="N823" s="429"/>
      <c r="O823" s="429"/>
      <c r="P823" s="428"/>
      <c r="Q823" s="1743"/>
      <c r="R823" s="428"/>
      <c r="S823" s="428"/>
      <c r="T823" s="429"/>
      <c r="U823" s="429"/>
      <c r="V823" s="429"/>
      <c r="W823" s="428"/>
      <c r="X823" s="1743"/>
      <c r="Y823" s="428"/>
      <c r="Z823" s="428"/>
      <c r="AA823" s="428"/>
      <c r="AB823" s="428"/>
      <c r="AC823" s="428"/>
      <c r="AD823" s="428"/>
      <c r="AE823" s="428"/>
      <c r="AF823" s="428"/>
      <c r="AG823" s="428"/>
      <c r="AH823" s="428"/>
      <c r="AI823" s="428"/>
      <c r="AJ823" s="428"/>
      <c r="AK823" s="428"/>
      <c r="AL823" s="429"/>
      <c r="AM823" s="429"/>
      <c r="AN823" s="429"/>
      <c r="AO823" s="429"/>
    </row>
    <row r="824" spans="3:41" ht="15.75">
      <c r="C824" s="430"/>
      <c r="D824" s="1751"/>
      <c r="E824" s="429"/>
      <c r="F824" s="429"/>
      <c r="G824" s="429"/>
      <c r="H824" s="1745"/>
      <c r="I824" s="1745"/>
      <c r="J824" s="429"/>
      <c r="K824" s="429"/>
      <c r="L824" s="429"/>
      <c r="M824" s="429"/>
      <c r="N824" s="429"/>
      <c r="O824" s="429"/>
      <c r="P824" s="428"/>
      <c r="Q824" s="1743"/>
      <c r="R824" s="428"/>
      <c r="S824" s="428"/>
      <c r="T824" s="429"/>
      <c r="U824" s="429"/>
      <c r="V824" s="429"/>
      <c r="W824" s="428"/>
      <c r="X824" s="1743"/>
      <c r="Y824" s="428"/>
      <c r="Z824" s="428"/>
      <c r="AA824" s="428"/>
      <c r="AB824" s="428"/>
      <c r="AC824" s="428"/>
      <c r="AD824" s="428"/>
      <c r="AE824" s="428"/>
      <c r="AF824" s="428"/>
      <c r="AG824" s="428"/>
      <c r="AH824" s="428"/>
      <c r="AI824" s="428"/>
      <c r="AJ824" s="428"/>
      <c r="AK824" s="428"/>
      <c r="AL824" s="429"/>
      <c r="AM824" s="429"/>
      <c r="AN824" s="429"/>
      <c r="AO824" s="429"/>
    </row>
    <row r="825" spans="3:41" ht="15.75">
      <c r="C825" s="430"/>
      <c r="D825" s="1751"/>
      <c r="E825" s="429"/>
      <c r="F825" s="429"/>
      <c r="G825" s="429"/>
      <c r="H825" s="1745"/>
      <c r="I825" s="1745"/>
      <c r="J825" s="429"/>
      <c r="K825" s="429"/>
      <c r="L825" s="429"/>
      <c r="M825" s="429"/>
      <c r="N825" s="429"/>
      <c r="O825" s="429"/>
      <c r="P825" s="428"/>
      <c r="Q825" s="1743"/>
      <c r="R825" s="428"/>
      <c r="S825" s="428"/>
      <c r="T825" s="429"/>
      <c r="U825" s="429"/>
      <c r="V825" s="429"/>
      <c r="W825" s="428"/>
      <c r="X825" s="1743"/>
      <c r="Y825" s="428"/>
      <c r="Z825" s="428"/>
      <c r="AA825" s="428"/>
      <c r="AB825" s="428"/>
      <c r="AC825" s="428"/>
      <c r="AD825" s="428"/>
      <c r="AE825" s="428"/>
      <c r="AF825" s="428"/>
      <c r="AG825" s="428"/>
      <c r="AH825" s="428"/>
      <c r="AI825" s="428"/>
      <c r="AJ825" s="428"/>
      <c r="AK825" s="428"/>
      <c r="AL825" s="429"/>
      <c r="AM825" s="429"/>
      <c r="AN825" s="429"/>
      <c r="AO825" s="429"/>
    </row>
    <row r="826" spans="3:41" ht="15.75">
      <c r="C826" s="430"/>
      <c r="D826" s="1751"/>
      <c r="E826" s="429"/>
      <c r="F826" s="429"/>
      <c r="G826" s="429"/>
      <c r="H826" s="1745"/>
      <c r="I826" s="1745"/>
      <c r="J826" s="429"/>
      <c r="K826" s="429"/>
      <c r="L826" s="429"/>
      <c r="M826" s="429"/>
      <c r="N826" s="429"/>
      <c r="O826" s="429"/>
      <c r="P826" s="428"/>
      <c r="Q826" s="1743"/>
      <c r="R826" s="428"/>
      <c r="S826" s="428"/>
      <c r="T826" s="429"/>
      <c r="U826" s="429"/>
      <c r="V826" s="429"/>
      <c r="W826" s="428"/>
      <c r="X826" s="1743"/>
      <c r="Y826" s="428"/>
      <c r="Z826" s="428"/>
      <c r="AA826" s="428"/>
      <c r="AB826" s="428"/>
      <c r="AC826" s="428"/>
      <c r="AD826" s="428"/>
      <c r="AE826" s="428"/>
      <c r="AF826" s="428"/>
      <c r="AG826" s="428"/>
      <c r="AH826" s="428"/>
      <c r="AI826" s="428"/>
      <c r="AJ826" s="428"/>
      <c r="AK826" s="428"/>
      <c r="AL826" s="429"/>
      <c r="AM826" s="429"/>
      <c r="AN826" s="429"/>
      <c r="AO826" s="429"/>
    </row>
    <row r="827" spans="3:41" ht="15.75">
      <c r="C827" s="430"/>
      <c r="D827" s="1751"/>
      <c r="E827" s="429"/>
      <c r="F827" s="429"/>
      <c r="G827" s="429"/>
      <c r="H827" s="1745"/>
      <c r="I827" s="1745"/>
      <c r="J827" s="429"/>
      <c r="K827" s="429"/>
      <c r="L827" s="429"/>
      <c r="M827" s="429"/>
      <c r="N827" s="429"/>
      <c r="O827" s="429"/>
      <c r="P827" s="428"/>
      <c r="Q827" s="1743"/>
      <c r="R827" s="428"/>
      <c r="S827" s="428"/>
      <c r="T827" s="429"/>
      <c r="U827" s="429"/>
      <c r="V827" s="429"/>
      <c r="W827" s="428"/>
      <c r="X827" s="1743"/>
      <c r="Y827" s="428"/>
      <c r="Z827" s="428"/>
      <c r="AA827" s="428"/>
      <c r="AB827" s="428"/>
      <c r="AC827" s="428"/>
      <c r="AD827" s="428"/>
      <c r="AE827" s="428"/>
      <c r="AF827" s="428"/>
      <c r="AG827" s="428"/>
      <c r="AH827" s="428"/>
      <c r="AI827" s="428"/>
      <c r="AJ827" s="428"/>
      <c r="AK827" s="428"/>
      <c r="AL827" s="429"/>
      <c r="AM827" s="429"/>
      <c r="AN827" s="429"/>
      <c r="AO827" s="429"/>
    </row>
    <row r="828" spans="3:41" ht="15.75">
      <c r="C828" s="430"/>
      <c r="D828" s="1751"/>
      <c r="E828" s="429"/>
      <c r="F828" s="429"/>
      <c r="G828" s="429"/>
      <c r="H828" s="1745"/>
      <c r="I828" s="1745"/>
      <c r="J828" s="429"/>
      <c r="K828" s="429"/>
      <c r="L828" s="429"/>
      <c r="M828" s="429"/>
      <c r="N828" s="429"/>
      <c r="O828" s="429"/>
      <c r="P828" s="428"/>
      <c r="Q828" s="1743"/>
      <c r="R828" s="428"/>
      <c r="S828" s="428"/>
      <c r="T828" s="429"/>
      <c r="U828" s="429"/>
      <c r="V828" s="429"/>
      <c r="W828" s="428"/>
      <c r="X828" s="1743"/>
      <c r="Y828" s="428"/>
      <c r="Z828" s="428"/>
      <c r="AA828" s="428"/>
      <c r="AB828" s="428"/>
      <c r="AC828" s="428"/>
      <c r="AD828" s="428"/>
      <c r="AE828" s="428"/>
      <c r="AF828" s="428"/>
      <c r="AG828" s="428"/>
      <c r="AH828" s="428"/>
      <c r="AI828" s="428"/>
      <c r="AJ828" s="428"/>
      <c r="AK828" s="428"/>
      <c r="AL828" s="429"/>
      <c r="AM828" s="429"/>
      <c r="AN828" s="429"/>
      <c r="AO828" s="429"/>
    </row>
    <row r="829" spans="3:41" ht="15.75">
      <c r="C829" s="430"/>
      <c r="D829" s="1751"/>
      <c r="E829" s="429"/>
      <c r="F829" s="429"/>
      <c r="G829" s="429"/>
      <c r="H829" s="1745"/>
      <c r="I829" s="1745"/>
      <c r="J829" s="429"/>
      <c r="K829" s="429"/>
      <c r="L829" s="429"/>
      <c r="M829" s="429"/>
      <c r="N829" s="429"/>
      <c r="O829" s="429"/>
      <c r="P829" s="428"/>
      <c r="Q829" s="1743"/>
      <c r="R829" s="428"/>
      <c r="S829" s="428"/>
      <c r="T829" s="429"/>
      <c r="U829" s="429"/>
      <c r="V829" s="429"/>
      <c r="W829" s="428"/>
      <c r="X829" s="1743"/>
      <c r="Y829" s="428"/>
      <c r="Z829" s="428"/>
      <c r="AA829" s="428"/>
      <c r="AB829" s="428"/>
      <c r="AC829" s="428"/>
      <c r="AD829" s="428"/>
      <c r="AE829" s="428"/>
      <c r="AF829" s="428"/>
      <c r="AG829" s="428"/>
      <c r="AH829" s="428"/>
      <c r="AI829" s="428"/>
      <c r="AJ829" s="428"/>
      <c r="AK829" s="428"/>
      <c r="AL829" s="429"/>
      <c r="AM829" s="429"/>
      <c r="AN829" s="429"/>
      <c r="AO829" s="429"/>
    </row>
    <row r="830" spans="3:41" ht="15.75">
      <c r="C830" s="430"/>
      <c r="D830" s="1751"/>
      <c r="E830" s="429"/>
      <c r="F830" s="429"/>
      <c r="G830" s="429"/>
      <c r="H830" s="1745"/>
      <c r="I830" s="1745"/>
      <c r="J830" s="429"/>
      <c r="K830" s="429"/>
      <c r="L830" s="429"/>
      <c r="M830" s="429"/>
      <c r="N830" s="429"/>
      <c r="O830" s="429"/>
      <c r="P830" s="428"/>
      <c r="Q830" s="1743"/>
      <c r="R830" s="428"/>
      <c r="S830" s="428"/>
      <c r="T830" s="429"/>
      <c r="U830" s="429"/>
      <c r="V830" s="429"/>
      <c r="W830" s="428"/>
      <c r="X830" s="1743"/>
      <c r="Y830" s="428"/>
      <c r="Z830" s="428"/>
      <c r="AA830" s="428"/>
      <c r="AB830" s="428"/>
      <c r="AC830" s="428"/>
      <c r="AD830" s="428"/>
      <c r="AE830" s="428"/>
      <c r="AF830" s="428"/>
      <c r="AG830" s="428"/>
      <c r="AH830" s="428"/>
      <c r="AI830" s="428"/>
      <c r="AJ830" s="428"/>
      <c r="AK830" s="428"/>
      <c r="AL830" s="429"/>
      <c r="AM830" s="429"/>
      <c r="AN830" s="429"/>
      <c r="AO830" s="429"/>
    </row>
    <row r="831" spans="3:41" ht="15.75">
      <c r="C831" s="430"/>
      <c r="D831" s="1751"/>
      <c r="E831" s="429"/>
      <c r="F831" s="429"/>
      <c r="G831" s="429"/>
      <c r="H831" s="1745"/>
      <c r="I831" s="1745"/>
      <c r="J831" s="429"/>
      <c r="K831" s="429"/>
      <c r="L831" s="429"/>
      <c r="M831" s="429"/>
      <c r="N831" s="429"/>
      <c r="O831" s="429"/>
      <c r="P831" s="428"/>
      <c r="Q831" s="1743"/>
      <c r="R831" s="428"/>
      <c r="S831" s="428"/>
      <c r="T831" s="429"/>
      <c r="U831" s="429"/>
      <c r="V831" s="429"/>
      <c r="W831" s="428"/>
      <c r="X831" s="1743"/>
      <c r="Y831" s="428"/>
      <c r="Z831" s="428"/>
      <c r="AA831" s="428"/>
      <c r="AB831" s="428"/>
      <c r="AC831" s="428"/>
      <c r="AD831" s="428"/>
      <c r="AE831" s="428"/>
      <c r="AF831" s="428"/>
      <c r="AG831" s="428"/>
      <c r="AH831" s="428"/>
      <c r="AI831" s="428"/>
      <c r="AJ831" s="428"/>
      <c r="AK831" s="428"/>
      <c r="AL831" s="429"/>
      <c r="AM831" s="429"/>
      <c r="AN831" s="429"/>
      <c r="AO831" s="429"/>
    </row>
    <row r="832" spans="3:41" ht="15.75">
      <c r="C832" s="430"/>
      <c r="D832" s="1751"/>
      <c r="E832" s="429"/>
      <c r="F832" s="429"/>
      <c r="G832" s="429"/>
      <c r="H832" s="1745"/>
      <c r="I832" s="1745"/>
      <c r="J832" s="429"/>
      <c r="K832" s="429"/>
      <c r="L832" s="429"/>
      <c r="M832" s="429"/>
      <c r="N832" s="429"/>
      <c r="O832" s="429"/>
      <c r="P832" s="428"/>
      <c r="Q832" s="1743"/>
      <c r="R832" s="428"/>
      <c r="S832" s="428"/>
      <c r="T832" s="429"/>
      <c r="U832" s="429"/>
      <c r="V832" s="429"/>
      <c r="W832" s="428"/>
      <c r="X832" s="1743"/>
      <c r="Y832" s="428"/>
      <c r="Z832" s="428"/>
      <c r="AA832" s="428"/>
      <c r="AB832" s="428"/>
      <c r="AC832" s="428"/>
      <c r="AD832" s="428"/>
      <c r="AE832" s="428"/>
      <c r="AF832" s="428"/>
      <c r="AG832" s="428"/>
      <c r="AH832" s="428"/>
      <c r="AI832" s="428"/>
      <c r="AJ832" s="428"/>
      <c r="AK832" s="428"/>
      <c r="AL832" s="429"/>
      <c r="AM832" s="429"/>
      <c r="AN832" s="429"/>
      <c r="AO832" s="429"/>
    </row>
    <row r="833" spans="3:41" ht="15.75">
      <c r="C833" s="430"/>
      <c r="D833" s="1751"/>
      <c r="E833" s="429"/>
      <c r="F833" s="429"/>
      <c r="G833" s="429"/>
      <c r="H833" s="1745"/>
      <c r="I833" s="1745"/>
      <c r="J833" s="429"/>
      <c r="K833" s="429"/>
      <c r="L833" s="429"/>
      <c r="M833" s="429"/>
      <c r="N833" s="429"/>
      <c r="O833" s="429"/>
      <c r="P833" s="428"/>
      <c r="Q833" s="1743"/>
      <c r="R833" s="428"/>
      <c r="S833" s="428"/>
      <c r="T833" s="429"/>
      <c r="U833" s="429"/>
      <c r="V833" s="429"/>
      <c r="W833" s="428"/>
      <c r="X833" s="1743"/>
      <c r="Y833" s="428"/>
      <c r="Z833" s="428"/>
      <c r="AA833" s="428"/>
      <c r="AB833" s="428"/>
      <c r="AC833" s="428"/>
      <c r="AD833" s="428"/>
      <c r="AE833" s="428"/>
      <c r="AF833" s="428"/>
      <c r="AG833" s="428"/>
      <c r="AH833" s="428"/>
      <c r="AI833" s="428"/>
      <c r="AJ833" s="428"/>
      <c r="AK833" s="428"/>
      <c r="AL833" s="429"/>
      <c r="AM833" s="429"/>
      <c r="AN833" s="429"/>
      <c r="AO833" s="429"/>
    </row>
    <row r="834" spans="3:41" ht="15.75">
      <c r="C834" s="430"/>
      <c r="D834" s="1751"/>
      <c r="E834" s="429"/>
      <c r="F834" s="1867"/>
      <c r="G834" s="1867"/>
      <c r="H834" s="1745"/>
      <c r="I834" s="1868"/>
      <c r="J834" s="429"/>
      <c r="K834" s="1867"/>
      <c r="L834" s="429"/>
      <c r="M834" s="429"/>
      <c r="N834" s="889"/>
      <c r="O834" s="429"/>
      <c r="P834" s="428"/>
      <c r="Q834" s="1743"/>
      <c r="R834" s="428"/>
      <c r="S834" s="428"/>
      <c r="T834" s="429"/>
      <c r="U834" s="889"/>
      <c r="V834" s="429"/>
      <c r="W834" s="428"/>
      <c r="X834" s="1743"/>
      <c r="Y834" s="428"/>
      <c r="Z834" s="428"/>
      <c r="AA834" s="428"/>
      <c r="AB834" s="428"/>
      <c r="AC834" s="428"/>
      <c r="AD834" s="428"/>
      <c r="AE834" s="428"/>
      <c r="AF834" s="428"/>
      <c r="AG834" s="428"/>
      <c r="AH834" s="428"/>
      <c r="AI834" s="428"/>
      <c r="AJ834" s="428"/>
      <c r="AK834" s="428"/>
      <c r="AL834" s="429"/>
      <c r="AM834" s="429"/>
      <c r="AN834" s="429"/>
      <c r="AO834" s="429"/>
    </row>
    <row r="835" spans="3:41" ht="15.75">
      <c r="C835" s="430"/>
      <c r="D835" s="1751"/>
      <c r="E835" s="429"/>
      <c r="F835" s="1867"/>
      <c r="G835" s="1867"/>
      <c r="H835" s="1745"/>
      <c r="I835" s="1868"/>
      <c r="J835" s="429"/>
      <c r="K835" s="1867"/>
      <c r="L835" s="429"/>
      <c r="M835" s="429"/>
      <c r="N835" s="889"/>
      <c r="O835" s="429"/>
      <c r="P835" s="428"/>
      <c r="Q835" s="1743"/>
      <c r="R835" s="428"/>
      <c r="S835" s="428"/>
      <c r="T835" s="429"/>
      <c r="U835" s="889"/>
      <c r="V835" s="429"/>
      <c r="W835" s="428"/>
      <c r="X835" s="1743"/>
      <c r="Y835" s="428"/>
      <c r="Z835" s="428"/>
      <c r="AA835" s="428"/>
      <c r="AB835" s="428"/>
      <c r="AC835" s="428"/>
      <c r="AD835" s="428"/>
      <c r="AE835" s="428"/>
      <c r="AF835" s="428"/>
      <c r="AG835" s="428"/>
      <c r="AH835" s="428"/>
      <c r="AI835" s="428"/>
      <c r="AJ835" s="428"/>
      <c r="AK835" s="428"/>
      <c r="AL835" s="429"/>
      <c r="AM835" s="429"/>
      <c r="AN835" s="429"/>
      <c r="AO835" s="429"/>
    </row>
    <row r="836" spans="3:41" ht="15.75">
      <c r="C836" s="430"/>
      <c r="D836" s="1751"/>
      <c r="E836" s="429"/>
      <c r="F836" s="1867"/>
      <c r="G836" s="1867"/>
      <c r="H836" s="1745"/>
      <c r="I836" s="1868"/>
      <c r="J836" s="429"/>
      <c r="K836" s="1867"/>
      <c r="L836" s="429"/>
      <c r="M836" s="429"/>
      <c r="N836" s="889"/>
      <c r="O836" s="429"/>
      <c r="P836" s="428"/>
      <c r="Q836" s="1743"/>
      <c r="R836" s="428"/>
      <c r="S836" s="428"/>
      <c r="T836" s="429"/>
      <c r="U836" s="889"/>
      <c r="V836" s="429"/>
      <c r="W836" s="428"/>
      <c r="X836" s="1743"/>
      <c r="Y836" s="428"/>
      <c r="Z836" s="428"/>
      <c r="AA836" s="428"/>
      <c r="AB836" s="428"/>
      <c r="AC836" s="428"/>
      <c r="AD836" s="428"/>
      <c r="AE836" s="428"/>
      <c r="AF836" s="428"/>
      <c r="AG836" s="428"/>
      <c r="AH836" s="428"/>
      <c r="AI836" s="428"/>
      <c r="AJ836" s="428"/>
      <c r="AK836" s="428"/>
      <c r="AL836" s="429"/>
      <c r="AM836" s="429"/>
      <c r="AN836" s="429"/>
      <c r="AO836" s="429"/>
    </row>
    <row r="837" spans="3:41" ht="15.75">
      <c r="C837" s="430"/>
      <c r="D837" s="1751"/>
      <c r="E837" s="429"/>
      <c r="F837" s="1867"/>
      <c r="G837" s="1867"/>
      <c r="H837" s="1745"/>
      <c r="I837" s="1868"/>
      <c r="J837" s="429"/>
      <c r="K837" s="1867"/>
      <c r="L837" s="429"/>
      <c r="M837" s="429"/>
      <c r="N837" s="889"/>
      <c r="O837" s="429"/>
      <c r="P837" s="428"/>
      <c r="Q837" s="1743"/>
      <c r="R837" s="428"/>
      <c r="S837" s="428"/>
      <c r="T837" s="429"/>
      <c r="U837" s="889"/>
      <c r="V837" s="429"/>
      <c r="W837" s="428"/>
      <c r="X837" s="1743"/>
      <c r="Y837" s="428"/>
      <c r="Z837" s="428"/>
      <c r="AA837" s="428"/>
      <c r="AB837" s="428"/>
      <c r="AC837" s="428"/>
      <c r="AD837" s="428"/>
      <c r="AE837" s="428"/>
      <c r="AF837" s="428"/>
      <c r="AG837" s="428"/>
      <c r="AH837" s="428"/>
      <c r="AI837" s="428"/>
      <c r="AJ837" s="428"/>
      <c r="AK837" s="428"/>
      <c r="AL837" s="429"/>
      <c r="AM837" s="429"/>
      <c r="AN837" s="429"/>
      <c r="AO837" s="429"/>
    </row>
    <row r="838" spans="3:41">
      <c r="C838" s="430"/>
      <c r="D838" s="431"/>
      <c r="E838" s="431"/>
      <c r="F838" s="431"/>
      <c r="G838" s="431"/>
      <c r="H838" s="431"/>
      <c r="I838" s="431"/>
      <c r="J838" s="431"/>
      <c r="K838" s="431"/>
      <c r="L838" s="431"/>
      <c r="M838" s="431"/>
      <c r="N838" s="431"/>
      <c r="O838" s="431"/>
      <c r="P838" s="431"/>
      <c r="Q838" s="431"/>
      <c r="R838" s="431"/>
      <c r="S838" s="431"/>
      <c r="T838" s="431"/>
      <c r="U838" s="431"/>
      <c r="V838" s="431"/>
      <c r="W838" s="431"/>
      <c r="X838" s="431"/>
      <c r="Y838" s="431"/>
      <c r="Z838" s="431"/>
      <c r="AA838" s="431"/>
      <c r="AB838" s="431"/>
      <c r="AC838" s="431"/>
      <c r="AD838" s="431"/>
      <c r="AE838" s="431"/>
      <c r="AF838" s="431"/>
      <c r="AG838" s="431"/>
      <c r="AH838" s="431"/>
      <c r="AI838" s="431"/>
      <c r="AJ838" s="431"/>
      <c r="AK838" s="431"/>
      <c r="AL838" s="431"/>
      <c r="AM838" s="431"/>
      <c r="AN838" s="429"/>
      <c r="AO838" s="429"/>
    </row>
    <row r="839" spans="3:41">
      <c r="C839" s="776"/>
      <c r="D839" s="431"/>
      <c r="E839" s="431"/>
      <c r="F839" s="431"/>
      <c r="G839" s="431"/>
      <c r="H839" s="431"/>
      <c r="I839" s="431"/>
      <c r="J839" s="431"/>
      <c r="K839" s="431"/>
      <c r="L839" s="431"/>
      <c r="M839" s="431"/>
      <c r="N839" s="431"/>
      <c r="O839" s="431"/>
      <c r="P839" s="431"/>
      <c r="Q839" s="431"/>
      <c r="R839" s="431"/>
      <c r="S839" s="431"/>
      <c r="T839" s="431"/>
      <c r="U839" s="431"/>
      <c r="V839" s="431"/>
      <c r="W839" s="431"/>
      <c r="X839" s="431"/>
      <c r="Y839" s="431"/>
      <c r="Z839" s="431"/>
      <c r="AA839" s="431"/>
      <c r="AB839" s="431"/>
      <c r="AC839" s="431"/>
      <c r="AD839" s="431"/>
      <c r="AE839" s="431"/>
      <c r="AF839" s="431"/>
      <c r="AG839" s="431"/>
      <c r="AH839" s="431"/>
      <c r="AI839" s="431"/>
      <c r="AJ839" s="431"/>
      <c r="AK839" s="431"/>
      <c r="AL839" s="431"/>
      <c r="AM839" s="431"/>
      <c r="AN839" s="429"/>
      <c r="AO839" s="429"/>
    </row>
    <row r="840" spans="3:41">
      <c r="C840" s="430"/>
      <c r="D840" s="431"/>
      <c r="E840" s="431"/>
      <c r="F840" s="431"/>
      <c r="G840" s="431"/>
      <c r="H840" s="431"/>
      <c r="I840" s="431"/>
      <c r="J840" s="431"/>
      <c r="K840" s="431"/>
      <c r="L840" s="431"/>
      <c r="M840" s="431"/>
      <c r="N840" s="431"/>
      <c r="O840" s="431"/>
      <c r="P840" s="431"/>
      <c r="Q840" s="431"/>
      <c r="R840" s="431"/>
      <c r="S840" s="431"/>
      <c r="T840" s="431"/>
      <c r="U840" s="431"/>
      <c r="V840" s="431"/>
      <c r="W840" s="431"/>
      <c r="X840" s="431"/>
      <c r="Y840" s="431"/>
      <c r="Z840" s="431"/>
      <c r="AA840" s="431"/>
      <c r="AB840" s="431"/>
      <c r="AC840" s="431"/>
      <c r="AD840" s="431"/>
      <c r="AE840" s="431"/>
      <c r="AF840" s="431"/>
      <c r="AG840" s="431"/>
      <c r="AH840" s="431"/>
      <c r="AI840" s="431"/>
      <c r="AJ840" s="431"/>
      <c r="AK840" s="431"/>
      <c r="AL840" s="431"/>
      <c r="AM840" s="431"/>
      <c r="AN840" s="429"/>
      <c r="AO840" s="431"/>
    </row>
    <row r="841" spans="3:41">
      <c r="C841" s="430"/>
      <c r="D841" s="431"/>
      <c r="E841" s="431"/>
      <c r="F841" s="431"/>
      <c r="G841" s="431"/>
      <c r="H841" s="431"/>
      <c r="I841" s="431"/>
      <c r="J841" s="431"/>
      <c r="K841" s="431"/>
      <c r="L841" s="431"/>
      <c r="M841" s="431"/>
      <c r="N841" s="431"/>
      <c r="O841" s="431"/>
      <c r="P841" s="431"/>
      <c r="Q841" s="431"/>
      <c r="R841" s="431"/>
      <c r="S841" s="431"/>
      <c r="T841" s="431"/>
      <c r="U841" s="431"/>
      <c r="V841" s="431"/>
      <c r="W841" s="431"/>
      <c r="X841" s="431"/>
      <c r="Y841" s="431"/>
      <c r="Z841" s="431"/>
      <c r="AA841" s="431"/>
      <c r="AB841" s="431"/>
      <c r="AC841" s="431"/>
      <c r="AD841" s="431"/>
      <c r="AE841" s="431"/>
      <c r="AF841" s="431"/>
      <c r="AG841" s="431"/>
      <c r="AH841" s="431"/>
      <c r="AI841" s="431"/>
      <c r="AJ841" s="431"/>
      <c r="AK841" s="431"/>
      <c r="AL841" s="431"/>
      <c r="AM841" s="431"/>
      <c r="AN841" s="429"/>
      <c r="AO841" s="431"/>
    </row>
    <row r="842" spans="3:41">
      <c r="C842" s="430"/>
      <c r="D842" s="431"/>
      <c r="E842" s="431"/>
      <c r="F842" s="431"/>
      <c r="G842" s="431"/>
      <c r="H842" s="431"/>
      <c r="I842" s="431"/>
      <c r="J842" s="431"/>
      <c r="K842" s="431"/>
      <c r="L842" s="431"/>
      <c r="M842" s="431"/>
      <c r="N842" s="431"/>
      <c r="O842" s="431"/>
      <c r="P842" s="431"/>
      <c r="Q842" s="431"/>
      <c r="R842" s="431"/>
      <c r="S842" s="431"/>
      <c r="T842" s="431"/>
      <c r="U842" s="431"/>
      <c r="V842" s="431"/>
      <c r="W842" s="431"/>
      <c r="X842" s="431"/>
      <c r="Y842" s="431"/>
      <c r="Z842" s="431"/>
      <c r="AA842" s="431"/>
      <c r="AB842" s="431"/>
      <c r="AC842" s="431"/>
      <c r="AD842" s="431"/>
      <c r="AE842" s="431"/>
      <c r="AF842" s="431"/>
      <c r="AG842" s="431"/>
      <c r="AH842" s="431"/>
      <c r="AI842" s="431"/>
      <c r="AJ842" s="431"/>
      <c r="AK842" s="431"/>
      <c r="AL842" s="431"/>
      <c r="AM842" s="431"/>
      <c r="AN842" s="429"/>
      <c r="AO842" s="431"/>
    </row>
    <row r="843" spans="3:41">
      <c r="C843" s="430"/>
      <c r="D843" s="431"/>
      <c r="E843" s="431"/>
      <c r="F843" s="431"/>
      <c r="G843" s="431"/>
      <c r="H843" s="431"/>
      <c r="I843" s="431"/>
      <c r="J843" s="431"/>
      <c r="K843" s="431"/>
      <c r="L843" s="431"/>
      <c r="M843" s="431"/>
      <c r="N843" s="431"/>
      <c r="O843" s="431"/>
      <c r="P843" s="431"/>
      <c r="Q843" s="431"/>
      <c r="R843" s="431"/>
      <c r="S843" s="431"/>
      <c r="T843" s="431"/>
      <c r="U843" s="431"/>
      <c r="V843" s="431"/>
      <c r="W843" s="431"/>
      <c r="X843" s="431"/>
      <c r="Y843" s="431"/>
      <c r="Z843" s="431"/>
      <c r="AA843" s="431"/>
      <c r="AB843" s="431"/>
      <c r="AC843" s="431"/>
      <c r="AD843" s="431"/>
      <c r="AE843" s="431"/>
      <c r="AF843" s="431"/>
      <c r="AG843" s="431"/>
      <c r="AH843" s="431"/>
      <c r="AI843" s="431"/>
      <c r="AJ843" s="431"/>
      <c r="AK843" s="431"/>
      <c r="AL843" s="431"/>
      <c r="AM843" s="431"/>
      <c r="AN843" s="429"/>
      <c r="AO843" s="431"/>
    </row>
    <row r="844" spans="3:41">
      <c r="C844" s="430"/>
      <c r="D844" s="431"/>
      <c r="E844" s="431"/>
      <c r="F844" s="431"/>
      <c r="G844" s="431"/>
      <c r="H844" s="431"/>
      <c r="I844" s="431"/>
      <c r="J844" s="431"/>
      <c r="K844" s="431"/>
      <c r="L844" s="431"/>
      <c r="M844" s="431"/>
      <c r="N844" s="431"/>
      <c r="O844" s="431"/>
      <c r="P844" s="431"/>
      <c r="Q844" s="431"/>
      <c r="R844" s="431"/>
      <c r="S844" s="431"/>
      <c r="T844" s="431"/>
      <c r="U844" s="431"/>
      <c r="V844" s="431"/>
      <c r="W844" s="431"/>
      <c r="X844" s="431"/>
      <c r="Y844" s="431"/>
      <c r="Z844" s="431"/>
      <c r="AA844" s="431"/>
      <c r="AB844" s="431"/>
      <c r="AC844" s="431"/>
      <c r="AD844" s="431"/>
      <c r="AE844" s="431"/>
      <c r="AF844" s="431"/>
      <c r="AG844" s="431"/>
      <c r="AH844" s="431"/>
      <c r="AI844" s="431"/>
      <c r="AJ844" s="431"/>
      <c r="AK844" s="431"/>
      <c r="AL844" s="431"/>
      <c r="AM844" s="431"/>
      <c r="AN844" s="429"/>
      <c r="AO844" s="431"/>
    </row>
    <row r="845" spans="3:41">
      <c r="C845" s="430"/>
      <c r="D845" s="431"/>
      <c r="E845" s="431"/>
      <c r="F845" s="431"/>
      <c r="G845" s="431"/>
      <c r="H845" s="431"/>
      <c r="I845" s="431"/>
      <c r="J845" s="431"/>
      <c r="K845" s="431"/>
      <c r="L845" s="431"/>
      <c r="M845" s="431"/>
      <c r="N845" s="431"/>
      <c r="O845" s="431"/>
      <c r="P845" s="431"/>
      <c r="Q845" s="431"/>
      <c r="R845" s="431"/>
      <c r="S845" s="431"/>
      <c r="T845" s="431"/>
      <c r="U845" s="431"/>
      <c r="V845" s="431"/>
      <c r="W845" s="431"/>
      <c r="X845" s="431"/>
      <c r="Y845" s="431"/>
      <c r="Z845" s="431"/>
      <c r="AA845" s="431"/>
      <c r="AB845" s="431"/>
      <c r="AC845" s="431"/>
      <c r="AD845" s="431"/>
      <c r="AE845" s="431"/>
      <c r="AF845" s="431"/>
      <c r="AG845" s="431"/>
      <c r="AH845" s="431"/>
      <c r="AI845" s="431"/>
      <c r="AJ845" s="431"/>
      <c r="AK845" s="431"/>
      <c r="AL845" s="431"/>
      <c r="AM845" s="431"/>
      <c r="AN845" s="429"/>
      <c r="AO845" s="431"/>
    </row>
    <row r="846" spans="3:41">
      <c r="C846" s="1169"/>
      <c r="D846" s="437"/>
      <c r="E846" s="437"/>
      <c r="F846" s="437"/>
      <c r="G846" s="437"/>
      <c r="H846" s="437"/>
      <c r="I846" s="437"/>
      <c r="J846" s="437"/>
      <c r="K846" s="437"/>
      <c r="L846" s="437"/>
      <c r="M846" s="437"/>
      <c r="N846" s="437"/>
      <c r="O846" s="437"/>
      <c r="P846" s="437"/>
      <c r="Q846" s="437"/>
      <c r="R846" s="437"/>
      <c r="S846" s="437"/>
      <c r="T846" s="437"/>
      <c r="U846" s="437"/>
      <c r="V846" s="437"/>
      <c r="W846" s="437"/>
      <c r="X846" s="437"/>
      <c r="Y846" s="437"/>
      <c r="Z846" s="437"/>
      <c r="AA846" s="437"/>
      <c r="AB846" s="437"/>
      <c r="AC846" s="437"/>
      <c r="AD846" s="437"/>
      <c r="AE846" s="437"/>
      <c r="AF846" s="437"/>
      <c r="AG846" s="437"/>
      <c r="AH846" s="437"/>
      <c r="AI846" s="437"/>
      <c r="AJ846" s="437"/>
      <c r="AK846" s="437"/>
      <c r="AL846" s="437"/>
      <c r="AM846" s="437"/>
      <c r="AN846" s="396"/>
    </row>
    <row r="847" spans="3:41">
      <c r="C847" s="430"/>
      <c r="D847" s="431"/>
      <c r="E847" s="431"/>
      <c r="F847" s="431"/>
      <c r="G847" s="431"/>
      <c r="H847" s="431"/>
      <c r="I847" s="431"/>
      <c r="J847" s="431"/>
      <c r="K847" s="431"/>
      <c r="L847" s="431"/>
      <c r="M847" s="431"/>
      <c r="N847" s="431"/>
      <c r="O847" s="431"/>
      <c r="P847" s="431"/>
      <c r="Q847" s="431"/>
      <c r="R847" s="431"/>
      <c r="S847" s="431"/>
      <c r="T847" s="431"/>
      <c r="U847" s="431"/>
      <c r="V847" s="431"/>
      <c r="W847" s="431"/>
      <c r="X847" s="431"/>
      <c r="Y847" s="431"/>
      <c r="Z847" s="431"/>
      <c r="AA847" s="431"/>
      <c r="AB847" s="431"/>
      <c r="AC847" s="431"/>
      <c r="AD847" s="431"/>
      <c r="AE847" s="431"/>
      <c r="AF847" s="431"/>
      <c r="AG847" s="431"/>
      <c r="AH847" s="431"/>
      <c r="AI847" s="431"/>
      <c r="AJ847" s="431"/>
      <c r="AK847" s="431"/>
      <c r="AL847" s="431"/>
      <c r="AM847" s="431"/>
      <c r="AN847" s="429"/>
      <c r="AO847" s="431"/>
    </row>
    <row r="848" spans="3:41">
      <c r="C848" s="890"/>
      <c r="D848" s="437"/>
      <c r="E848" s="437"/>
      <c r="F848" s="437"/>
      <c r="G848" s="437"/>
      <c r="H848" s="437"/>
      <c r="I848" s="437"/>
      <c r="J848" s="437"/>
      <c r="K848" s="437"/>
      <c r="L848" s="437"/>
      <c r="M848" s="437"/>
      <c r="N848" s="437"/>
      <c r="O848" s="437"/>
      <c r="P848" s="437"/>
      <c r="Q848" s="437"/>
      <c r="R848" s="437"/>
      <c r="S848" s="437"/>
      <c r="T848" s="437"/>
      <c r="U848" s="437"/>
      <c r="V848" s="437"/>
      <c r="W848" s="437"/>
      <c r="X848" s="437"/>
      <c r="Y848" s="437"/>
      <c r="Z848" s="437"/>
      <c r="AA848" s="437"/>
      <c r="AB848" s="437"/>
      <c r="AC848" s="437"/>
      <c r="AD848" s="437"/>
      <c r="AE848" s="437"/>
      <c r="AF848" s="437"/>
      <c r="AG848" s="437"/>
      <c r="AH848" s="437"/>
      <c r="AI848" s="437"/>
      <c r="AJ848" s="437"/>
      <c r="AK848" s="437"/>
      <c r="AL848" s="437"/>
      <c r="AM848" s="437"/>
      <c r="AN848" s="3"/>
    </row>
  </sheetData>
  <sheetProtection password="CAEF" sheet="1" formatCells="0" formatRows="0"/>
  <mergeCells count="228">
    <mergeCell ref="C67:F67"/>
    <mergeCell ref="K66:L67"/>
    <mergeCell ref="M66:M67"/>
    <mergeCell ref="N66:S67"/>
    <mergeCell ref="N5:P5"/>
    <mergeCell ref="N14:P14"/>
    <mergeCell ref="N13:P13"/>
    <mergeCell ref="N12:P12"/>
    <mergeCell ref="Q8:Q9"/>
    <mergeCell ref="R8:R9"/>
    <mergeCell ref="S19:S20"/>
    <mergeCell ref="N19:R20"/>
    <mergeCell ref="S8:S9"/>
    <mergeCell ref="R15:R16"/>
    <mergeCell ref="R10:R11"/>
    <mergeCell ref="C16:D16"/>
    <mergeCell ref="C55:D55"/>
    <mergeCell ref="C15:D15"/>
    <mergeCell ref="C58:D58"/>
    <mergeCell ref="Q10:Q11"/>
    <mergeCell ref="N8:P9"/>
    <mergeCell ref="C62:D62"/>
    <mergeCell ref="C18:D18"/>
    <mergeCell ref="C19:D19"/>
    <mergeCell ref="W500:Y500"/>
    <mergeCell ref="E814:F814"/>
    <mergeCell ref="H814:I814"/>
    <mergeCell ref="J814:K814"/>
    <mergeCell ref="E739:F739"/>
    <mergeCell ref="H739:I739"/>
    <mergeCell ref="J739:K739"/>
    <mergeCell ref="E753:F753"/>
    <mergeCell ref="H753:I753"/>
    <mergeCell ref="J753:K753"/>
    <mergeCell ref="W576:Y576"/>
    <mergeCell ref="E708:F708"/>
    <mergeCell ref="H708:I708"/>
    <mergeCell ref="J708:K708"/>
    <mergeCell ref="E575:F575"/>
    <mergeCell ref="H575:I575"/>
    <mergeCell ref="J575:K575"/>
    <mergeCell ref="P576:R576"/>
    <mergeCell ref="E529:F529"/>
    <mergeCell ref="H529:I529"/>
    <mergeCell ref="J529:K529"/>
    <mergeCell ref="L529:M529"/>
    <mergeCell ref="N529:O529"/>
    <mergeCell ref="P530:Q530"/>
    <mergeCell ref="AL530:AN530"/>
    <mergeCell ref="C573:D574"/>
    <mergeCell ref="E573:K573"/>
    <mergeCell ref="L573:M574"/>
    <mergeCell ref="N573:T573"/>
    <mergeCell ref="U573:AL573"/>
    <mergeCell ref="P574:R574"/>
    <mergeCell ref="W574:Y574"/>
    <mergeCell ref="W502:Y502"/>
    <mergeCell ref="C503:C508"/>
    <mergeCell ref="C509:C514"/>
    <mergeCell ref="C527:D528"/>
    <mergeCell ref="E527:O527"/>
    <mergeCell ref="P527:Q528"/>
    <mergeCell ref="R527:X527"/>
    <mergeCell ref="E528:O528"/>
    <mergeCell ref="T528:V528"/>
    <mergeCell ref="AL528:AN528"/>
    <mergeCell ref="T530:V530"/>
    <mergeCell ref="C454:C459"/>
    <mergeCell ref="C460:C465"/>
    <mergeCell ref="E501:F501"/>
    <mergeCell ref="H501:I501"/>
    <mergeCell ref="J501:K501"/>
    <mergeCell ref="E450:F450"/>
    <mergeCell ref="P502:R502"/>
    <mergeCell ref="C490:C495"/>
    <mergeCell ref="C466:C471"/>
    <mergeCell ref="C472:C477"/>
    <mergeCell ref="C478:C483"/>
    <mergeCell ref="C484:C489"/>
    <mergeCell ref="E500:K500"/>
    <mergeCell ref="M451:S451"/>
    <mergeCell ref="L500:M501"/>
    <mergeCell ref="P500:R500"/>
    <mergeCell ref="N63:S65"/>
    <mergeCell ref="U19:X20"/>
    <mergeCell ref="Q15:Q16"/>
    <mergeCell ref="N4:P4"/>
    <mergeCell ref="N10:P11"/>
    <mergeCell ref="N3:P3"/>
    <mergeCell ref="X25:X26"/>
    <mergeCell ref="U21:W22"/>
    <mergeCell ref="U23:W24"/>
    <mergeCell ref="X27:X28"/>
    <mergeCell ref="U27:W28"/>
    <mergeCell ref="U4:X17"/>
    <mergeCell ref="AS2:AV2"/>
    <mergeCell ref="X21:X22"/>
    <mergeCell ref="X23:X24"/>
    <mergeCell ref="U3:X3"/>
    <mergeCell ref="R3:S3"/>
    <mergeCell ref="S10:S11"/>
    <mergeCell ref="N21:S24"/>
    <mergeCell ref="N60:S62"/>
    <mergeCell ref="S15:S16"/>
    <mergeCell ref="U25:W26"/>
    <mergeCell ref="N15:P16"/>
    <mergeCell ref="N6:P6"/>
    <mergeCell ref="C1:J2"/>
    <mergeCell ref="C61:D61"/>
    <mergeCell ref="M1:N1"/>
    <mergeCell ref="O1:P1"/>
    <mergeCell ref="K3:L3"/>
    <mergeCell ref="C60:D60"/>
    <mergeCell ref="H3:I3"/>
    <mergeCell ref="F3:G3"/>
    <mergeCell ref="C4:D4"/>
    <mergeCell ref="C11:D11"/>
    <mergeCell ref="C14:D14"/>
    <mergeCell ref="C8:D8"/>
    <mergeCell ref="C13:D13"/>
    <mergeCell ref="C12:D12"/>
    <mergeCell ref="C10:D10"/>
    <mergeCell ref="C7:D7"/>
    <mergeCell ref="C9:D9"/>
    <mergeCell ref="C5:D5"/>
    <mergeCell ref="C59:D59"/>
    <mergeCell ref="C6:D6"/>
    <mergeCell ref="C17:D17"/>
    <mergeCell ref="C57:D57"/>
    <mergeCell ref="N7:P7"/>
    <mergeCell ref="N2:S2"/>
    <mergeCell ref="T451:Z451"/>
    <mergeCell ref="E448:J449"/>
    <mergeCell ref="K448:L449"/>
    <mergeCell ref="M448:S448"/>
    <mergeCell ref="C422:D422"/>
    <mergeCell ref="C423:D423"/>
    <mergeCell ref="C424:D424"/>
    <mergeCell ref="C425:D425"/>
    <mergeCell ref="C426:D426"/>
    <mergeCell ref="C432:D432"/>
    <mergeCell ref="C433:D433"/>
    <mergeCell ref="C434:D434"/>
    <mergeCell ref="C435:D435"/>
    <mergeCell ref="C436:D436"/>
    <mergeCell ref="C427:D427"/>
    <mergeCell ref="C428:D428"/>
    <mergeCell ref="C445:D445"/>
    <mergeCell ref="C446:D446"/>
    <mergeCell ref="C437:D437"/>
    <mergeCell ref="C438:D438"/>
    <mergeCell ref="C439:D439"/>
    <mergeCell ref="C440:D440"/>
    <mergeCell ref="C441:D441"/>
    <mergeCell ref="C420:D420"/>
    <mergeCell ref="C421:D421"/>
    <mergeCell ref="C429:D429"/>
    <mergeCell ref="C430:D430"/>
    <mergeCell ref="C431:D431"/>
    <mergeCell ref="T448:Z448"/>
    <mergeCell ref="V449:X449"/>
    <mergeCell ref="O449:Q449"/>
    <mergeCell ref="S417:U417"/>
    <mergeCell ref="C442:D442"/>
    <mergeCell ref="C443:D443"/>
    <mergeCell ref="C444:D444"/>
    <mergeCell ref="D73:R73"/>
    <mergeCell ref="S73:AC73"/>
    <mergeCell ref="AD73:AN73"/>
    <mergeCell ref="D74:R74"/>
    <mergeCell ref="S76:AC76"/>
    <mergeCell ref="AD76:AN76"/>
    <mergeCell ref="C77:AN77"/>
    <mergeCell ref="D78:R78"/>
    <mergeCell ref="D81:R81"/>
    <mergeCell ref="C72:C74"/>
    <mergeCell ref="D72:R72"/>
    <mergeCell ref="S72:AC72"/>
    <mergeCell ref="AD72:AN72"/>
    <mergeCell ref="S74:U74"/>
    <mergeCell ref="V74:X74"/>
    <mergeCell ref="Y74:AA74"/>
    <mergeCell ref="AD74:AF74"/>
    <mergeCell ref="AG74:AI74"/>
    <mergeCell ref="AJ74:AL74"/>
    <mergeCell ref="D75:F75"/>
    <mergeCell ref="G75:I75"/>
    <mergeCell ref="J75:L75"/>
    <mergeCell ref="M75:O75"/>
    <mergeCell ref="P75:R75"/>
    <mergeCell ref="C29:D29"/>
    <mergeCell ref="N17:R18"/>
    <mergeCell ref="S17:S18"/>
    <mergeCell ref="N25:S28"/>
    <mergeCell ref="C20:D20"/>
    <mergeCell ref="C21:D21"/>
    <mergeCell ref="C22:D22"/>
    <mergeCell ref="C23:D23"/>
    <mergeCell ref="C24:D24"/>
    <mergeCell ref="C25:D25"/>
    <mergeCell ref="C26:D26"/>
    <mergeCell ref="C27:D27"/>
    <mergeCell ref="C28:D28"/>
    <mergeCell ref="C30:D30"/>
    <mergeCell ref="C31:D31"/>
    <mergeCell ref="C32:D32"/>
    <mergeCell ref="C33:D33"/>
    <mergeCell ref="C34:D34"/>
    <mergeCell ref="C35:D35"/>
    <mergeCell ref="C36:D36"/>
    <mergeCell ref="C37:D37"/>
    <mergeCell ref="C38:D38"/>
    <mergeCell ref="C48:D48"/>
    <mergeCell ref="C49:D49"/>
    <mergeCell ref="C50:D50"/>
    <mergeCell ref="C51:D51"/>
    <mergeCell ref="C52:D52"/>
    <mergeCell ref="C53:D53"/>
    <mergeCell ref="C54:D54"/>
    <mergeCell ref="C39:D39"/>
    <mergeCell ref="C40:D40"/>
    <mergeCell ref="C41:D41"/>
    <mergeCell ref="C42:D42"/>
    <mergeCell ref="C43:D43"/>
    <mergeCell ref="C44:D44"/>
    <mergeCell ref="C45:D45"/>
    <mergeCell ref="C46:D46"/>
    <mergeCell ref="C47:D47"/>
  </mergeCells>
  <phoneticPr fontId="41" type="noConversion"/>
  <conditionalFormatting sqref="C67">
    <cfRule type="cellIs" dxfId="222" priority="74" stopIfTrue="1" operator="equal">
      <formula>"Der N-Saldo ist nicht ok!"</formula>
    </cfRule>
  </conditionalFormatting>
  <conditionalFormatting sqref="E5:E54">
    <cfRule type="expression" dxfId="217" priority="166">
      <formula>AND($C5&lt;&gt;"",$C5&lt;&gt;0,$E5="",$CC3=1)</formula>
    </cfRule>
  </conditionalFormatting>
  <conditionalFormatting sqref="E57:E62">
    <cfRule type="expression" dxfId="216" priority="280">
      <formula>AND($C57&lt;&gt;"",$E57="",$CC17=1)</formula>
    </cfRule>
  </conditionalFormatting>
  <conditionalFormatting sqref="F5:F54">
    <cfRule type="expression" dxfId="215" priority="167">
      <formula>AND($C5&lt;&gt;"",$E5&lt;&gt;"",$F5="",$CC3=1)</formula>
    </cfRule>
  </conditionalFormatting>
  <conditionalFormatting sqref="F55">
    <cfRule type="expression" dxfId="214" priority="282">
      <formula>AND($C55&lt;&gt;"",$E55&lt;&gt;"",$F55="",$CC16=1)</formula>
    </cfRule>
  </conditionalFormatting>
  <conditionalFormatting sqref="F57:F62">
    <cfRule type="expression" dxfId="213" priority="281">
      <formula>AND($C57&lt;&gt;"",$E57&lt;&gt;"",$F57="",$CC17=1)</formula>
    </cfRule>
  </conditionalFormatting>
  <conditionalFormatting sqref="H5:H35 H57:H62">
    <cfRule type="expression" dxfId="212" priority="273">
      <formula>AND(ISNA(AS5),ISBLANK(H5))</formula>
    </cfRule>
  </conditionalFormatting>
  <conditionalFormatting sqref="H5:H55 H57:H62">
    <cfRule type="expression" dxfId="211" priority="36">
      <formula>AND($I5&gt;0,$I5&lt;&gt;$H5,$H5&gt;$I5)</formula>
    </cfRule>
  </conditionalFormatting>
  <conditionalFormatting sqref="H5:H55">
    <cfRule type="expression" dxfId="210" priority="2">
      <formula>ISERROR($AS$5)</formula>
    </cfRule>
  </conditionalFormatting>
  <conditionalFormatting sqref="H31:H54">
    <cfRule type="expression" dxfId="209" priority="297">
      <formula>AND(ISNA(AS56),ISBLANK(H31))</formula>
    </cfRule>
  </conditionalFormatting>
  <conditionalFormatting sqref="H55">
    <cfRule type="expression" dxfId="208" priority="28">
      <formula>AND(ISNA(AS30),ISBLANK(H55))</formula>
    </cfRule>
  </conditionalFormatting>
  <conditionalFormatting sqref="I5:I55 I57:I62">
    <cfRule type="expression" dxfId="207" priority="27">
      <formula>AND($I5&gt;0,$I5&lt;&gt;$H5,$I5&gt;$H5,$H5&gt;0)</formula>
    </cfRule>
  </conditionalFormatting>
  <conditionalFormatting sqref="I5:I55">
    <cfRule type="expression" dxfId="206" priority="9">
      <formula>AND($H5=0,$H5&lt;&gt;"")</formula>
    </cfRule>
    <cfRule type="expression" dxfId="205" priority="35">
      <formula>AND($H5&gt;0,$I5&gt;0,$H5&gt;=$I5)</formula>
    </cfRule>
  </conditionalFormatting>
  <conditionalFormatting sqref="I57:I62">
    <cfRule type="expression" dxfId="204" priority="8">
      <formula>AND($H57=0,$H57&lt;&gt;"")</formula>
    </cfRule>
    <cfRule type="expression" dxfId="203" priority="14">
      <formula>AND($H57&gt;0,$I57&gt;0,$H57&gt;=$I57)</formula>
    </cfRule>
  </conditionalFormatting>
  <conditionalFormatting sqref="J63">
    <cfRule type="cellIs" dxfId="202" priority="72" stopIfTrue="1" operator="lessThan">
      <formula>1</formula>
    </cfRule>
  </conditionalFormatting>
  <conditionalFormatting sqref="J65:J66">
    <cfRule type="cellIs" dxfId="201" priority="90" stopIfTrue="1" operator="notEqual">
      <formula>0</formula>
    </cfRule>
  </conditionalFormatting>
  <conditionalFormatting sqref="J67">
    <cfRule type="cellIs" dxfId="200" priority="87" stopIfTrue="1" operator="lessThan">
      <formula>0</formula>
    </cfRule>
    <cfRule type="cellIs" dxfId="199" priority="88" stopIfTrue="1" operator="greaterThan">
      <formula>0</formula>
    </cfRule>
  </conditionalFormatting>
  <conditionalFormatting sqref="K5:K55">
    <cfRule type="expression" dxfId="198" priority="1">
      <formula>ISNA($AT5)</formula>
    </cfRule>
  </conditionalFormatting>
  <conditionalFormatting sqref="K5:K62">
    <cfRule type="cellIs" dxfId="197" priority="78" stopIfTrue="1" operator="greaterThan">
      <formula>1</formula>
    </cfRule>
  </conditionalFormatting>
  <conditionalFormatting sqref="K31:K54">
    <cfRule type="expression" dxfId="196" priority="293">
      <formula>ISNA($AT56)</formula>
    </cfRule>
  </conditionalFormatting>
  <conditionalFormatting sqref="K55">
    <cfRule type="expression" dxfId="195" priority="286">
      <formula>ISNA($AT30)</formula>
    </cfRule>
  </conditionalFormatting>
  <conditionalFormatting sqref="L5:L55">
    <cfRule type="expression" dxfId="194" priority="10">
      <formula>AND($K5=0,$K5&lt;&gt;"")</formula>
    </cfRule>
    <cfRule type="expression" dxfId="193" priority="33">
      <formula>AND($L5&gt;0,$K5&gt;0.1)</formula>
    </cfRule>
  </conditionalFormatting>
  <conditionalFormatting sqref="L57:L62">
    <cfRule type="expression" dxfId="192" priority="7">
      <formula>AND($K57=0,$K57&lt;&gt;"")</formula>
    </cfRule>
    <cfRule type="expression" dxfId="191" priority="30">
      <formula>AND($L57&gt;0,$K57&gt;0)</formula>
    </cfRule>
  </conditionalFormatting>
  <conditionalFormatting sqref="M63">
    <cfRule type="cellIs" dxfId="190" priority="54" stopIfTrue="1" operator="greaterThan">
      <formula>1</formula>
    </cfRule>
  </conditionalFormatting>
  <conditionalFormatting sqref="M64">
    <cfRule type="cellIs" dxfId="189" priority="53" stopIfTrue="1" operator="notEqual">
      <formula>0</formula>
    </cfRule>
  </conditionalFormatting>
  <conditionalFormatting sqref="M65">
    <cfRule type="cellIs" dxfId="188" priority="71" stopIfTrue="1" operator="greaterThan">
      <formula>1</formula>
    </cfRule>
  </conditionalFormatting>
  <conditionalFormatting sqref="M66">
    <cfRule type="cellIs" dxfId="187" priority="51" stopIfTrue="1" operator="lessThan">
      <formula>0</formula>
    </cfRule>
    <cfRule type="cellIs" dxfId="186" priority="52" stopIfTrue="1" operator="greaterThan">
      <formula>0</formula>
    </cfRule>
  </conditionalFormatting>
  <conditionalFormatting sqref="N60">
    <cfRule type="cellIs" dxfId="185" priority="77" stopIfTrue="1" operator="equal">
      <formula>"Der Phosphoreinsatz liegt über 100 kg je ha LN, eine Dokumentation und Begründung ist erforderlich!"</formula>
    </cfRule>
  </conditionalFormatting>
  <conditionalFormatting sqref="N66">
    <cfRule type="cellIs" dxfId="183" priority="69" operator="equal">
      <formula>"Ok! Kein mineralischer Phosphor am Betrieb!"</formula>
    </cfRule>
    <cfRule type="cellIs" dxfId="182" priority="70" operator="equal">
      <formula>"Der P-Saldo ist ok!"</formula>
    </cfRule>
    <cfRule type="cellIs" dxfId="181" priority="75" stopIfTrue="1" operator="equal">
      <formula>"Achtung, der P-Saldo ist zu hoch!"</formula>
    </cfRule>
  </conditionalFormatting>
  <conditionalFormatting sqref="N21:S24">
    <cfRule type="cellIs" dxfId="180" priority="48" operator="equal">
      <formula>"Achtung Vorfruchtwirkung beachten! Wurden im Vorjahr Ackerbohnen, Erbsen, Ackerfutterflächen und Grünbrachen oder Grünland umgebrochen ist eine Vorfruchtwirkung in den Zellen Q5 bis Q15 einzugeben! - Diese muss in Form einer Hektarzahl eingetragen werden"</formula>
    </cfRule>
  </conditionalFormatting>
  <conditionalFormatting sqref="S19">
    <cfRule type="cellIs" dxfId="178" priority="50" stopIfTrue="1" operator="greaterThan">
      <formula>1</formula>
    </cfRule>
  </conditionalFormatting>
  <conditionalFormatting sqref="X21">
    <cfRule type="cellIs" dxfId="177" priority="89" stopIfTrue="1" operator="greaterThan">
      <formula>1</formula>
    </cfRule>
  </conditionalFormatting>
  <conditionalFormatting sqref="X23">
    <cfRule type="cellIs" dxfId="176" priority="76" stopIfTrue="1" operator="greaterThan">
      <formula>1</formula>
    </cfRule>
  </conditionalFormatting>
  <conditionalFormatting sqref="X25">
    <cfRule type="cellIs" dxfId="175" priority="95" stopIfTrue="1" operator="greaterThan">
      <formula>1</formula>
    </cfRule>
  </conditionalFormatting>
  <conditionalFormatting sqref="X27">
    <cfRule type="cellIs" dxfId="174" priority="94" stopIfTrue="1" operator="greaterThan">
      <formula>1</formula>
    </cfRule>
  </conditionalFormatting>
  <conditionalFormatting sqref="AX5:AX144">
    <cfRule type="expression" dxfId="173" priority="6">
      <formula>$BN5="FEHLER"</formula>
    </cfRule>
  </conditionalFormatting>
  <conditionalFormatting sqref="BQ5:BQ144">
    <cfRule type="expression" dxfId="172" priority="5">
      <formula>$BN5="FEHLER"</formula>
    </cfRule>
  </conditionalFormatting>
  <conditionalFormatting sqref="BV5:BV144">
    <cfRule type="expression" dxfId="171" priority="4">
      <formula>$BN5="FEHLER"</formula>
    </cfRule>
  </conditionalFormatting>
  <conditionalFormatting sqref="CE2:CE41 CE46:CE142">
    <cfRule type="expression" dxfId="170" priority="24">
      <formula>$BN2="FEHLER"</formula>
    </cfRule>
  </conditionalFormatting>
  <conditionalFormatting sqref="CE43:CE45">
    <cfRule type="expression" dxfId="169" priority="187">
      <formula>$BN42="FEHLER"</formula>
    </cfRule>
  </conditionalFormatting>
  <dataValidations xWindow="197" yWindow="470" count="44">
    <dataValidation operator="equal" allowBlank="1" showInputMessage="1" promptTitle="Hinweis" prompt="Kultur auswählen, nicht angezeigte (zB Gemüse und Heilkräuter) eintippen!" sqref="C56" xr:uid="{00000000-0002-0000-0200-000000000000}"/>
    <dataValidation type="list" operator="equal" allowBlank="1" showErrorMessage="1" sqref="G55" xr:uid="{00000000-0002-0000-0200-000001000000}">
      <formula1>Liste_Ertrag</formula1>
    </dataValidation>
    <dataValidation type="whole" allowBlank="1" showErrorMessage="1" promptTitle="Hinweis" prompt="Wird der N-Bedarfswert nicht automatisch eingespielt, muss er hier eingetragen werden (bei allen eingetippten Kulturen)." sqref="H58:H62 H5:H55" xr:uid="{00000000-0002-0000-0200-000002000000}">
      <formula1>0</formula1>
      <formula2>500</formula2>
    </dataValidation>
    <dataValidation type="whole" allowBlank="1" showInputMessage="1" showErrorMessage="1" promptTitle="Hinweis" prompt="Der P-Bedarfswert kann hier auf die Ertrags- und Versorgungssituation angepasst, oder muss eingegeben werden, wenn kein Wert vorgegeben ist." sqref="K56" xr:uid="{00000000-0002-0000-0200-000003000000}">
      <formula1>0</formula1>
      <formula2>160</formula2>
    </dataValidation>
    <dataValidation type="list" operator="equal" allowBlank="1" showErrorMessage="1" sqref="F57:F62" xr:uid="{00000000-0002-0000-0200-000004000000}">
      <formula1>Liste_Ertrag_Grünland</formula1>
    </dataValidation>
    <dataValidation type="whole" allowBlank="1" showInputMessage="1" showErrorMessage="1" promptTitle="Hinweis" prompt="Wird der N-Bedarfswert nicht automatisch eingespielt, muss er hier eingetragen werden (bei allen eingetippten Kulturen)." sqref="H57" xr:uid="{00000000-0002-0000-0200-000005000000}">
      <formula1>0</formula1>
      <formula2>500</formula2>
    </dataValidation>
    <dataValidation type="whole" allowBlank="1" showInputMessage="1" showErrorMessage="1" promptTitle="Hinweis" prompt="Der P-Bedarfswert kann hier auf die Ertrags- und Versorgungssituation angepasst, oder muss eingegeben werden, wenn kein Wert vorgegeben ist." sqref="K57:K62" xr:uid="{00000000-0002-0000-0200-000006000000}">
      <formula1>0</formula1>
      <formula2>180</formula2>
    </dataValidation>
    <dataValidation type="list" allowBlank="1" showInputMessage="1" sqref="C55:D55" xr:uid="{00000000-0002-0000-0200-000007000000}">
      <formula1>Brache_Acker</formula1>
    </dataValidation>
    <dataValidation operator="equal" allowBlank="1" promptTitle="Hinweis" prompt="Kultur auswählen, nicht angezeigte (zB Gemüse und Heilkräuter) eintippen!" sqref="D56" xr:uid="{00000000-0002-0000-0200-000008000000}"/>
    <dataValidation operator="equal" allowBlank="1" showErrorMessage="1" sqref="G57:G62" xr:uid="{00000000-0002-0000-0200-000009000000}"/>
    <dataValidation type="list" allowBlank="1" sqref="C62:D62" xr:uid="{00000000-0002-0000-0200-00000A000000}">
      <formula1>N_Bedarf_C62</formula1>
    </dataValidation>
    <dataValidation type="list" showInputMessage="1" sqref="C5:D5" xr:uid="{00000000-0002-0000-0200-00000B000000}">
      <formula1>N_Bedarf_C5</formula1>
    </dataValidation>
    <dataValidation type="list" allowBlank="1" showInputMessage="1" sqref="C6:D6" xr:uid="{00000000-0002-0000-0200-00000C000000}">
      <formula1>N_Bedarf_C6</formula1>
    </dataValidation>
    <dataValidation type="list" allowBlank="1" showInputMessage="1" sqref="C7:D7" xr:uid="{00000000-0002-0000-0200-00000D000000}">
      <formula1>N_Bedarf_C7</formula1>
    </dataValidation>
    <dataValidation type="list" allowBlank="1" sqref="C8:D8" xr:uid="{00000000-0002-0000-0200-00000E000000}">
      <formula1>N_Bedarf_C8</formula1>
    </dataValidation>
    <dataValidation type="list" allowBlank="1" showInputMessage="1" sqref="C9:D9" xr:uid="{00000000-0002-0000-0200-00000F000000}">
      <formula1>N_Bedarf_C9</formula1>
    </dataValidation>
    <dataValidation type="list" allowBlank="1" showInputMessage="1" sqref="C10:D10" xr:uid="{00000000-0002-0000-0200-000010000000}">
      <formula1>N_Bedarf_C10</formula1>
    </dataValidation>
    <dataValidation type="list" allowBlank="1" showInputMessage="1" sqref="C11:D11" xr:uid="{00000000-0002-0000-0200-000011000000}">
      <formula1>N_Bedarf_C11</formula1>
    </dataValidation>
    <dataValidation type="list" allowBlank="1" showInputMessage="1" sqref="C12:D12" xr:uid="{00000000-0002-0000-0200-000012000000}">
      <formula1>N_Bedarf_C12</formula1>
    </dataValidation>
    <dataValidation type="list" allowBlank="1" showInputMessage="1" sqref="C13:D13" xr:uid="{00000000-0002-0000-0200-000013000000}">
      <formula1>N_Bedarf_C13</formula1>
    </dataValidation>
    <dataValidation type="list" allowBlank="1" showInputMessage="1" sqref="C14:D14" xr:uid="{00000000-0002-0000-0200-000014000000}">
      <formula1>N_Bedarf_C14</formula1>
    </dataValidation>
    <dataValidation type="list" allowBlank="1" showInputMessage="1" sqref="C15:D15" xr:uid="{00000000-0002-0000-0200-000015000000}">
      <formula1>N_Bedarf_C15</formula1>
    </dataValidation>
    <dataValidation type="list" allowBlank="1" showInputMessage="1" sqref="C16:D16" xr:uid="{00000000-0002-0000-0200-000016000000}">
      <formula1>N_Bedarf_C16</formula1>
    </dataValidation>
    <dataValidation type="list" allowBlank="1" showInputMessage="1" sqref="C17:D17" xr:uid="{00000000-0002-0000-0200-000017000000}">
      <formula1>N_Bedarf_C17</formula1>
    </dataValidation>
    <dataValidation type="list" allowBlank="1" sqref="C57:D57" xr:uid="{00000000-0002-0000-0200-000018000000}">
      <formula1>N_Bedarf_C57</formula1>
    </dataValidation>
    <dataValidation type="list" allowBlank="1" sqref="C58:D58" xr:uid="{00000000-0002-0000-0200-000019000000}">
      <formula1>N_Bedarf_C58</formula1>
    </dataValidation>
    <dataValidation type="list" allowBlank="1" sqref="C59:D59" xr:uid="{00000000-0002-0000-0200-00001A000000}">
      <formula1>N_Bedarf_C59</formula1>
    </dataValidation>
    <dataValidation type="list" allowBlank="1" sqref="C60:D60" xr:uid="{00000000-0002-0000-0200-00001B000000}">
      <formula1>N_Bedarf_C60</formula1>
    </dataValidation>
    <dataValidation type="list" allowBlank="1" sqref="C61:D61" xr:uid="{00000000-0002-0000-0200-00001C000000}">
      <formula1>N_Bedarf_C61</formula1>
    </dataValidation>
    <dataValidation type="list" allowBlank="1" showInputMessage="1" sqref="C18:D18" xr:uid="{00000000-0002-0000-0200-00001D000000}">
      <formula1>N_Bedarf_C18</formula1>
    </dataValidation>
    <dataValidation type="list" allowBlank="1" showInputMessage="1" sqref="C19:D19" xr:uid="{00000000-0002-0000-0200-00001E000000}">
      <formula1>N_Bedarf_C19</formula1>
    </dataValidation>
    <dataValidation type="list" allowBlank="1" showInputMessage="1" sqref="C20:D20" xr:uid="{00000000-0002-0000-0200-00001F000000}">
      <formula1>N_Bedarf_C20</formula1>
    </dataValidation>
    <dataValidation type="list" allowBlank="1" showInputMessage="1" sqref="C21:D21" xr:uid="{00000000-0002-0000-0200-000020000000}">
      <formula1>N_Bedarf_C21</formula1>
    </dataValidation>
    <dataValidation type="list" allowBlank="1" showInputMessage="1" sqref="C22:D22" xr:uid="{00000000-0002-0000-0200-000021000000}">
      <formula1>N_Bedarf_C22</formula1>
    </dataValidation>
    <dataValidation type="list" allowBlank="1" showInputMessage="1" sqref="C23:D23" xr:uid="{00000000-0002-0000-0200-000022000000}">
      <formula1>N_Bedarf_C23</formula1>
    </dataValidation>
    <dataValidation type="list" allowBlank="1" showInputMessage="1" sqref="C24:D24" xr:uid="{00000000-0002-0000-0200-000023000000}">
      <formula1>N_Bedarf_C24</formula1>
    </dataValidation>
    <dataValidation type="list" allowBlank="1" showInputMessage="1" sqref="C25:D25" xr:uid="{00000000-0002-0000-0200-000024000000}">
      <formula1>N_Bedarf_C25</formula1>
    </dataValidation>
    <dataValidation type="list" allowBlank="1" showInputMessage="1" sqref="C26:D26" xr:uid="{00000000-0002-0000-0200-000025000000}">
      <formula1>N_Bedarf_C26</formula1>
    </dataValidation>
    <dataValidation type="list" allowBlank="1" showInputMessage="1" sqref="C27:D27" xr:uid="{00000000-0002-0000-0200-000026000000}">
      <formula1>N_Bedarf_C27</formula1>
    </dataValidation>
    <dataValidation type="list" allowBlank="1" showInputMessage="1" sqref="C28:D28" xr:uid="{00000000-0002-0000-0200-000027000000}">
      <formula1>N_Bedarf_C28</formula1>
    </dataValidation>
    <dataValidation type="list" allowBlank="1" showInputMessage="1" sqref="C29:D29" xr:uid="{00000000-0002-0000-0200-000028000000}">
      <formula1>N_Bedarf_C29</formula1>
    </dataValidation>
    <dataValidation operator="equal" allowBlank="1" showInputMessage="1" showErrorMessage="1" promptTitle="Hinweis" prompt="Dieser Wert wird berechnet." sqref="I5:I55" xr:uid="{00000000-0002-0000-0200-000029000000}">
      <formula1>0</formula1>
      <formula2>0</formula2>
    </dataValidation>
    <dataValidation type="whole" allowBlank="1" showInputMessage="1" showErrorMessage="1" promptTitle="Hinweis" prompt="Der P-Bedarfswert kann hier auf die Ertrags- und Versorgungssituation angepasst, oder muss eingegeben werden, wenn kein Wert vorgegeben ist." sqref="K5:K55" xr:uid="{00000000-0002-0000-0200-00002A000000}">
      <formula1>0</formula1>
      <formula2>205</formula2>
    </dataValidation>
    <dataValidation type="list" allowBlank="1" showInputMessage="1" sqref="C30:D54" xr:uid="{00000000-0002-0000-0200-00002B000000}">
      <formula1>$CE$2:$CE$141</formula1>
    </dataValidation>
  </dataValidations>
  <hyperlinks>
    <hyperlink ref="M1" location="Mineral!B3" display="◄" xr:uid="{00000000-0004-0000-0200-000000000000}"/>
    <hyperlink ref="O1" location="Ergebnis!H2" display="  ►" xr:uid="{00000000-0004-0000-0200-000001000000}"/>
    <hyperlink ref="O1:P1" location="Tiere!H2" display="  ►" xr:uid="{00000000-0004-0000-0200-000002000000}"/>
    <hyperlink ref="M1:N1" location="Betrieb!A2" display="◄" xr:uid="{00000000-0004-0000-0200-000003000000}"/>
  </hyperlinks>
  <printOptions horizontalCentered="1" verticalCentered="1"/>
  <pageMargins left="0.47244094488188981" right="0.43307086614173229" top="0.63" bottom="0.43307086614173229" header="0.28000000000000003" footer="0.23622047244094491"/>
  <pageSetup paperSize="9" scale="74" firstPageNumber="0" fitToHeight="0" orientation="landscape" blackAndWhite="1" horizontalDpi="300" verticalDpi="300" r:id="rId1"/>
  <headerFooter alignWithMargins="0">
    <oddHeader>&amp;R&amp;O</oddHeader>
    <oddFooter>&amp;L&amp;F&amp;C&amp;A&amp;R&amp;P von &amp;N</oddFooter>
  </headerFooter>
  <legacyDrawing r:id="rId2"/>
  <legacyDrawingHF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expression" priority="171" id="{DE0B41C0-E960-46BC-98F9-5C8ABE417137}">
            <xm:f>AND(Betrieb!$D$14&gt;0,OR($C$5="",$C$5=0,$CC3&lt;&gt;1))</xm:f>
            <x14:dxf>
              <fill>
                <patternFill>
                  <bgColor rgb="FF66FF33"/>
                </patternFill>
              </fill>
            </x14:dxf>
          </x14:cfRule>
          <xm:sqref>C5:D5</xm:sqref>
        </x14:conditionalFormatting>
        <x14:conditionalFormatting xmlns:xm="http://schemas.microsoft.com/office/excel/2006/main">
          <x14:cfRule type="expression" priority="172" id="{84708E4A-4BD5-4735-86DB-7EFA4700143E}">
            <xm:f>AND($C5&lt;&gt;"",$E5&lt;&gt;"",$F5&lt;&gt;"",$X$23&lt;Betrieb!$D$14,OR($C6="",$C6=0,$CC4&lt;&gt;1))</xm:f>
            <x14:dxf>
              <fill>
                <patternFill>
                  <bgColor rgb="FF66FF33"/>
                </patternFill>
              </fill>
            </x14:dxf>
          </x14:cfRule>
          <xm:sqref>C6:D54</xm:sqref>
        </x14:conditionalFormatting>
        <x14:conditionalFormatting xmlns:xm="http://schemas.microsoft.com/office/excel/2006/main">
          <x14:cfRule type="expression" priority="287" id="{BE379444-C715-4C4C-8BEB-2947110620FB}">
            <xm:f>AND(Betrieb!$D$15&gt;0,OR($C57=0,$C57="",$CC17&lt;&gt;1))</xm:f>
            <x14:dxf>
              <fill>
                <patternFill>
                  <bgColor rgb="FF66FF33"/>
                </patternFill>
              </fill>
            </x14:dxf>
          </x14:cfRule>
          <xm:sqref>C57:D57</xm:sqref>
        </x14:conditionalFormatting>
        <x14:conditionalFormatting xmlns:xm="http://schemas.microsoft.com/office/excel/2006/main">
          <x14:cfRule type="expression" priority="288" id="{BFDB17CD-02F0-4F4C-99B6-2AFBFBA201E2}">
            <xm:f>AND($C57&lt;&gt;"",$E57&lt;&gt;"",$F57&lt;&gt;"",$X$27&lt;Betrieb!$D$15,OR($C58="",$C58=0,$CC18&lt;&gt;1))</xm:f>
            <x14:dxf>
              <fill>
                <patternFill>
                  <bgColor rgb="FF66FF33"/>
                </patternFill>
              </fill>
            </x14:dxf>
          </x14:cfRule>
          <xm:sqref>C58:D62</xm:sqref>
        </x14:conditionalFormatting>
        <x14:conditionalFormatting xmlns:xm="http://schemas.microsoft.com/office/excel/2006/main">
          <x14:cfRule type="expression" priority="45" id="{6C09EB09-447A-4909-B208-85A74B8F9138}">
            <xm:f>(Betrieb!D18=0)</xm:f>
            <x14:dxf>
              <font>
                <color rgb="FFFF0000"/>
              </font>
            </x14:dxf>
          </x14:cfRule>
          <xm:sqref>N63</xm:sqref>
        </x14:conditionalFormatting>
        <x14:conditionalFormatting xmlns:xm="http://schemas.microsoft.com/office/excel/2006/main">
          <x14:cfRule type="expression" priority="3" id="{2888BDBD-E7A6-4427-B606-22ACA9AF5C98}">
            <xm:f>AND($S$17=0,Betrieb!$D$12="JA",Betrieb!$D$4&lt;&gt;2023)</xm:f>
            <x14:dxf>
              <font>
                <b val="0"/>
                <i val="0"/>
                <strike val="0"/>
                <color theme="0"/>
              </font>
              <fill>
                <patternFill>
                  <bgColor rgb="FFFF0000"/>
                </patternFill>
              </fill>
            </x14:dxf>
          </x14:cfRule>
          <xm:sqref>N25:S28</xm:sqref>
        </x14:conditionalFormatting>
      </x14:conditionalFormattings>
    </ext>
    <ext xmlns:x14="http://schemas.microsoft.com/office/spreadsheetml/2009/9/main" uri="{CCE6A557-97BC-4b89-ADB6-D9C93CAAB3DF}">
      <x14:dataValidations xmlns:xm="http://schemas.microsoft.com/office/excel/2006/main" xWindow="197" yWindow="470" count="1">
        <x14:dataValidation type="list" operator="equal" allowBlank="1" showErrorMessage="1" xr:uid="{00000000-0002-0000-0200-00002C000000}">
          <x14:formula1>
            <xm:f>IF(Betrieb!$D$10="JA",Liste_Ertrag_A5,Liste_Ertrag)</xm:f>
          </x14:formula1>
          <xm:sqref>F5:F55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rgb="FFFFFF00"/>
    <pageSetUpPr fitToPage="1"/>
  </sheetPr>
  <dimension ref="A1:II155"/>
  <sheetViews>
    <sheetView showZeros="0" zoomScale="80" zoomScaleNormal="80" workbookViewId="0">
      <selection activeCell="A5" sqref="A5"/>
    </sheetView>
  </sheetViews>
  <sheetFormatPr baseColWidth="10" defaultColWidth="12.7109375" defaultRowHeight="12"/>
  <cols>
    <col min="1" max="1" width="23.140625" style="162" customWidth="1"/>
    <col min="2" max="2" width="28.140625" style="162" customWidth="1"/>
    <col min="3" max="3" width="8.7109375" style="162" customWidth="1"/>
    <col min="4" max="4" width="11.42578125" style="162" customWidth="1"/>
    <col min="5" max="5" width="8.7109375" style="162" customWidth="1"/>
    <col min="6" max="6" width="9.140625" style="162" customWidth="1"/>
    <col min="7" max="8" width="8.7109375" style="162" customWidth="1"/>
    <col min="9" max="9" width="9.28515625" style="162" customWidth="1"/>
    <col min="10" max="10" width="8.85546875" style="162" customWidth="1"/>
    <col min="11" max="14" width="6.7109375" style="162" customWidth="1"/>
    <col min="15" max="19" width="8.85546875" style="162" customWidth="1"/>
    <col min="20" max="21" width="7.7109375" style="162" customWidth="1"/>
    <col min="22" max="24" width="7.42578125" style="162" customWidth="1"/>
    <col min="25" max="25" width="7.140625" style="162" customWidth="1"/>
    <col min="26" max="26" width="86.85546875" style="162" customWidth="1"/>
    <col min="27" max="27" width="10.42578125" style="162" customWidth="1"/>
    <col min="28" max="31" width="12.7109375" style="162"/>
    <col min="32" max="33" width="12.7109375" style="162" customWidth="1"/>
    <col min="34" max="34" width="21.42578125" style="162" customWidth="1"/>
    <col min="35" max="35" width="12.7109375" style="162" hidden="1" customWidth="1"/>
    <col min="36" max="36" width="17.42578125" style="162" hidden="1" customWidth="1"/>
    <col min="37" max="37" width="15.42578125" style="162" hidden="1" customWidth="1"/>
    <col min="38" max="38" width="12.7109375" style="162" hidden="1" customWidth="1"/>
    <col min="39" max="39" width="16.7109375" style="162" hidden="1" customWidth="1"/>
    <col min="40" max="40" width="12.7109375" style="162" hidden="1" customWidth="1"/>
    <col min="41" max="41" width="16.7109375" style="162" hidden="1" customWidth="1"/>
    <col min="42" max="42" width="12.7109375" style="162" hidden="1" customWidth="1"/>
    <col min="43" max="43" width="16.7109375" style="162" hidden="1" customWidth="1"/>
    <col min="44" max="44" width="12.7109375" style="162" hidden="1" customWidth="1"/>
    <col min="45" max="45" width="16.7109375" style="162" hidden="1" customWidth="1"/>
    <col min="46" max="46" width="12.7109375" style="162" hidden="1" customWidth="1"/>
    <col min="47" max="47" width="16.7109375" style="162" hidden="1" customWidth="1"/>
    <col min="48" max="48" width="12.7109375" style="162" hidden="1" customWidth="1"/>
    <col min="49" max="49" width="16.7109375" style="162" hidden="1" customWidth="1"/>
    <col min="50" max="50" width="12.7109375" style="162" hidden="1" customWidth="1"/>
    <col min="51" max="51" width="16.7109375" style="162" hidden="1" customWidth="1"/>
    <col min="52" max="52" width="12.7109375" style="162" hidden="1" customWidth="1"/>
    <col min="53" max="53" width="16.7109375" style="162" hidden="1" customWidth="1"/>
    <col min="54" max="54" width="12.7109375" style="162" hidden="1" customWidth="1"/>
    <col min="55" max="55" width="17.7109375" style="162" hidden="1" customWidth="1"/>
    <col min="56" max="56" width="12.7109375" style="162" hidden="1" customWidth="1"/>
    <col min="57" max="57" width="17.28515625" style="162" hidden="1" customWidth="1"/>
    <col min="58" max="58" width="12.7109375" style="162" hidden="1" customWidth="1"/>
    <col min="59" max="59" width="17.7109375" style="162" hidden="1" customWidth="1"/>
    <col min="60" max="60" width="12.7109375" style="162" hidden="1" customWidth="1"/>
    <col min="61" max="61" width="17.7109375" style="162" hidden="1" customWidth="1"/>
    <col min="62" max="62" width="12.7109375" style="162" hidden="1" customWidth="1"/>
    <col min="63" max="63" width="17.7109375" style="162" hidden="1" customWidth="1"/>
    <col min="64" max="64" width="12.7109375" style="162" hidden="1" customWidth="1"/>
    <col min="65" max="65" width="49.85546875" style="162" hidden="1" customWidth="1"/>
    <col min="66" max="66" width="82.5703125" style="162" hidden="1" customWidth="1"/>
    <col min="67" max="67" width="52.7109375" style="162" hidden="1" customWidth="1"/>
    <col min="68" max="68" width="82.5703125" style="162" hidden="1" customWidth="1"/>
    <col min="69" max="69" width="56.140625" style="162" hidden="1" customWidth="1"/>
    <col min="70" max="70" width="28.85546875" style="162" hidden="1" customWidth="1"/>
    <col min="71" max="71" width="49.85546875" style="162" hidden="1" customWidth="1"/>
    <col min="72" max="72" width="58.85546875" style="162" hidden="1" customWidth="1"/>
    <col min="73" max="73" width="68.5703125" style="162" hidden="1" customWidth="1"/>
    <col min="74" max="74" width="12.7109375" style="162" hidden="1" customWidth="1"/>
    <col min="75" max="75" width="22.28515625" style="162" hidden="1" customWidth="1"/>
    <col min="76" max="81" width="12.7109375" style="162" hidden="1" customWidth="1"/>
    <col min="82" max="82" width="80.7109375" style="162" hidden="1" customWidth="1"/>
    <col min="83" max="83" width="12.7109375" style="162" customWidth="1"/>
    <col min="84" max="16384" width="12.7109375" style="162"/>
  </cols>
  <sheetData>
    <row r="1" spans="1:243" ht="36.75" customHeight="1" thickBot="1">
      <c r="A1" s="1046" t="s">
        <v>903</v>
      </c>
      <c r="B1" s="1046"/>
      <c r="C1" s="1047"/>
      <c r="D1" s="1048"/>
      <c r="E1" s="1048"/>
      <c r="F1" s="1048"/>
      <c r="G1" s="1048"/>
      <c r="H1" s="1048"/>
      <c r="I1" s="1048"/>
      <c r="J1" s="1048"/>
      <c r="K1" s="1048"/>
      <c r="L1" s="1048"/>
      <c r="M1" s="1048"/>
      <c r="N1" s="1048"/>
      <c r="O1" s="2643" t="s">
        <v>891</v>
      </c>
      <c r="P1" s="2644"/>
      <c r="Q1" s="2643" t="s">
        <v>867</v>
      </c>
      <c r="R1" s="2644"/>
      <c r="S1" s="2640"/>
      <c r="T1" s="2641"/>
      <c r="U1" s="2641"/>
      <c r="V1" s="2641"/>
      <c r="W1" s="2641"/>
      <c r="X1" s="2641"/>
      <c r="Y1" s="439"/>
      <c r="Z1" s="163" t="s">
        <v>904</v>
      </c>
      <c r="AA1"/>
      <c r="AB1"/>
      <c r="AC1"/>
      <c r="AD1"/>
      <c r="AE1"/>
      <c r="AF1" s="1913"/>
      <c r="AG1" s="1913"/>
      <c r="AH1" s="1913"/>
      <c r="AI1"/>
      <c r="AJ1" s="1625" t="s">
        <v>1640</v>
      </c>
      <c r="AK1" s="1600" t="s">
        <v>1605</v>
      </c>
      <c r="AL1" s="1626" t="s">
        <v>1641</v>
      </c>
      <c r="AM1" s="1600" t="s">
        <v>1620</v>
      </c>
      <c r="AN1" s="1626" t="s">
        <v>1642</v>
      </c>
      <c r="AO1" s="1600" t="s">
        <v>1621</v>
      </c>
      <c r="AP1" s="1626" t="s">
        <v>1643</v>
      </c>
      <c r="AQ1" s="1600" t="s">
        <v>1622</v>
      </c>
      <c r="AR1" s="1626" t="s">
        <v>1644</v>
      </c>
      <c r="AS1" s="1600" t="s">
        <v>1623</v>
      </c>
      <c r="AT1" s="1626" t="s">
        <v>1645</v>
      </c>
      <c r="AU1" s="1600" t="s">
        <v>1624</v>
      </c>
      <c r="AV1" s="1626" t="s">
        <v>1646</v>
      </c>
      <c r="AW1" s="1600" t="s">
        <v>1625</v>
      </c>
      <c r="AX1" s="1626" t="s">
        <v>1647</v>
      </c>
      <c r="AY1" s="1600" t="s">
        <v>1626</v>
      </c>
      <c r="AZ1" s="1626" t="s">
        <v>1648</v>
      </c>
      <c r="BA1" s="1600" t="s">
        <v>1627</v>
      </c>
      <c r="BB1" s="1626" t="s">
        <v>1649</v>
      </c>
      <c r="BC1" s="1600" t="s">
        <v>1628</v>
      </c>
      <c r="BD1" s="1626" t="s">
        <v>1650</v>
      </c>
      <c r="BE1" s="1600" t="s">
        <v>1629</v>
      </c>
      <c r="BF1" s="1626" t="s">
        <v>1651</v>
      </c>
      <c r="BG1" s="1600" t="s">
        <v>1630</v>
      </c>
      <c r="BH1" s="1626" t="s">
        <v>1652</v>
      </c>
      <c r="BI1" s="1600" t="s">
        <v>1631</v>
      </c>
      <c r="BJ1" s="1626" t="s">
        <v>1653</v>
      </c>
      <c r="BK1" s="1600" t="s">
        <v>1638</v>
      </c>
      <c r="BL1" s="1626" t="s">
        <v>1654</v>
      </c>
      <c r="BM1" s="1600" t="s">
        <v>1639</v>
      </c>
      <c r="BN1" s="1631" t="s">
        <v>1670</v>
      </c>
      <c r="BO1" s="1603" t="s">
        <v>440</v>
      </c>
      <c r="BP1" s="1603" t="s">
        <v>679</v>
      </c>
      <c r="BQ1" s="1603" t="s">
        <v>746</v>
      </c>
      <c r="BR1" s="1603" t="s">
        <v>1673</v>
      </c>
      <c r="BS1" s="1603" t="s">
        <v>1178</v>
      </c>
      <c r="BT1" s="1603" t="s">
        <v>780</v>
      </c>
      <c r="BU1" s="1603" t="s">
        <v>796</v>
      </c>
      <c r="BV1"/>
      <c r="BW1" t="s">
        <v>2387</v>
      </c>
      <c r="BX1"/>
      <c r="CB1"/>
      <c r="CC1"/>
      <c r="CD1" t="s">
        <v>1670</v>
      </c>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row>
    <row r="2" spans="1:243" ht="15" customHeight="1" thickBot="1">
      <c r="A2" s="436"/>
      <c r="B2" s="777"/>
      <c r="C2" s="777"/>
      <c r="D2" s="778"/>
      <c r="E2" s="778"/>
      <c r="F2" s="778"/>
      <c r="G2" s="778"/>
      <c r="H2" s="778"/>
      <c r="I2" s="779"/>
      <c r="J2" s="780"/>
      <c r="K2" s="778"/>
      <c r="L2" s="781" t="s">
        <v>905</v>
      </c>
      <c r="M2" s="778"/>
      <c r="N2" s="778"/>
      <c r="O2" s="778"/>
      <c r="P2" s="778"/>
      <c r="Q2" s="778"/>
      <c r="R2" s="778"/>
      <c r="S2" s="778"/>
      <c r="T2" s="782"/>
      <c r="U2" s="782"/>
      <c r="V2" s="782"/>
      <c r="W2" s="782"/>
      <c r="X2" s="782"/>
      <c r="Y2" s="439"/>
      <c r="Z2"/>
      <c r="AA2"/>
      <c r="AB2"/>
      <c r="AC2"/>
      <c r="AD2"/>
      <c r="AE2"/>
      <c r="AF2"/>
      <c r="AG2"/>
      <c r="AH2" s="1602"/>
      <c r="AJ2" s="1624"/>
      <c r="AK2" s="1627" t="str">
        <f>IF(COUNTIF($BN$2:$BN$153,$B5),"",IF(AND($A5=$BW$2,$B5=""),"",IF(AND($A5=$BW$2,$B5&lt;&gt;""),$B5,IF($A5=$BO$1,$BO$1,IF($A5=$BP$1,$BP$1,IF($A5=$BQ$1,$BQ$1,IF($A5=$BR$1,$BR$1)))))))</f>
        <v/>
      </c>
      <c r="AL2" s="1624"/>
      <c r="AM2" s="1627" t="str">
        <f>IF(COUNTIF($BN$2:$BN$153,$B6),"",IF(AND($A6=$BW$2,$B6=""),"",IF(AND($A6=$BW$2,$B6&lt;&gt;""),$B6,IF($A6=$BO$1,$BO$1,IF($A6=$BP$1,$BP$1,IF($A6=$BQ$1,$BQ$1,IF($A6=$BR$1,$BR$1,IF($A6=$BS$1,$BS$1,IF($A6=$BT$1,$BT$1,IF($A6=$BU$1,$BU$1,$B6))))))))))</f>
        <v/>
      </c>
      <c r="AN2" s="1624"/>
      <c r="AO2" s="1627" t="str">
        <f>IF(COUNTIF($BN$2:$BN$153,$B7),"",IF(AND($A7=$BW$2,$B7=""),"",IF(AND($A7=$BW$2,$B7&lt;&gt;""),$B7,IF($A7=$BO$1,$BO$1,IF($A7=$BP$1,$BP$1,IF($A7=$BQ$1,$BQ$1,IF($A7=$BR$1,$BR$1,IF($A7=$BS$1,$BS$1,IF($A7=$BT$1,$BT$1,IF($A7=$BU$1,$BU$1,$B7))))))))))</f>
        <v/>
      </c>
      <c r="AP2" s="1624"/>
      <c r="AQ2" s="1627" t="str">
        <f>IF(COUNTIF($BN$2:$BN$153,$B8),"",IF(AND($A8=$BW$2,$B8=""),"",IF(AND($A8=$BW$2,$B8&lt;&gt;""),$B8,IF($A8=$BO$1,$BO$1,IF($A8=$BP$1,$BP$1,IF($A8=$BQ$1,$BQ$1,IF($A8=$BR$1,$BR$1,IF($A8=$BS$1,$BS$1,IF($A8=$BT$1,$BT$1,IF($A8=$BU$1,$BU$1,$B8))))))))))</f>
        <v/>
      </c>
      <c r="AR2" s="1624"/>
      <c r="AS2" s="1627" t="str">
        <f>IF(COUNTIF($BN$2:$BN$153,$B9),"",IF(AND($A9=$BW$2,$B9=""),"",IF(AND($A9=$BW$2,$B9&lt;&gt;""),$B9,IF($A9=$BO$1,$BO$1,IF($A9=$BP$1,$BP$1,IF($A9=$BQ$1,$BQ$1,IF($A9=$BR$1,$BR$1,IF($A9=$BS$1,$BS$1,IF($A9=$BT$1,$BT$1,IF($A9=$BU$1,$BU$1,$B9))))))))))</f>
        <v/>
      </c>
      <c r="AT2" s="1624"/>
      <c r="AU2" s="1627" t="str">
        <f>IF(COUNTIF($BN$2:$BN$153,$B10),"",IF(AND($A10=$BW$2,$B10=""),"",IF(AND($A10=$BW$2,$B10&lt;&gt;""),$B10,IF($A10=$BO$1,$BO$1,IF($A10=$BP$1,$BP$1,IF($A10=$BQ$1,$BQ$1,IF($A10=$BR$1,$BR$1,IF($A10=$BS$1,$BS$1,IF($A10=$BT$1,$BT$1,IF($A10=$BU$1,$BU$1,$B10))))))))))</f>
        <v/>
      </c>
      <c r="AV2" s="1624"/>
      <c r="AW2" s="1627" t="str">
        <f>IF(COUNTIF($BN$2:$BN$153,$B11),"",IF(AND($A11=$BW$2,$B11=""),"",IF(AND($A11=$BW$2,$B11&lt;&gt;""),$B10,IF($A11=$BO$1,$BO$1,IF($A11=$BP$1,$BP$1,IF($A11=$BQ$1,$BQ$1,IF($A11=$BR$1,$BR$1,IF($A11=$BS$1,$BS$1,IF($A11=$BT$1,$BT$1,IF($A11=$BU$1,$BU$1,$B11))))))))))</f>
        <v/>
      </c>
      <c r="AX2" s="1624"/>
      <c r="AY2" s="1627" t="str">
        <f>IF(COUNTIF($BN$2:$BN$153,$B12),"",IF(AND($A12=$BW$2,$B12=""),"",IF(AND($A12=$BW$2,$B12&lt;&gt;""),$B12,IF($A12=$BO$1,$BO$1,IF($A12=$BP$1,$BP$1,IF($A12=$BQ$1,$BQ$1,IF($A12=$BR$1,$BR$1,IF($A12=$BS$1,$BS$1,IF($A12=$BT$1,$BT$1,IF($A12=$BU$1,$BU$1,$B12))))))))))</f>
        <v/>
      </c>
      <c r="AZ2" s="1624"/>
      <c r="BA2" s="1627" t="str">
        <f>IF(COUNTIF($BN$2:$BN$153,$B13),"",IF(AND($A13=$BW$2,$B13=""),"",IF(AND($A13=$BW$2,$B13&lt;&gt;""),$B13,IF($A13=$BO$1,$BO$1,IF($A13=$BP$1,$BP$1,IF($A13=$BQ$1,$BQ$1,IF($A13=$BR$1,$BR$1,IF($A13=$BS$1,$BS$1,IF($A13=$BT$1,$BT$1,IF($A13=$BU$1,$BU$1,$B13))))))))))</f>
        <v/>
      </c>
      <c r="BB2" s="1624"/>
      <c r="BC2" s="1627" t="str">
        <f>IF(COUNTIF($BN$2:$BN$153,$B14),"",IF(AND($A14=$BW$2,$B14=""),"",IF(AND($A14=$BW$2,$B14&lt;&gt;""),$B14,IF($A14=$BO$1,$BO$1,IF($A14=$BP$1,$BP$1,IF($A14=$BQ$1,$BQ$1,IF($A14=$BR$1,$BR$1,IF($A14=$BS$1,$BS$1,IF($A14=$BT$1,$BT$1,IF($A14=$BU$1,$BU$1,$B14))))))))))</f>
        <v/>
      </c>
      <c r="BD2" s="1624"/>
      <c r="BE2" s="1627" t="str">
        <f>IF(COUNTIF($BN$2:$BN$153,$B15),"",IF(AND($A15=$BW$2,$B15=""),"",IF(AND($A15=$BW$2,$B15&lt;&gt;""),$B15,IF($A15=$BO$1,$BO$1,IF($A15=$BP$1,$BP$1,IF($A15=$BQ$1,$BQ$1,IF($A15=$BR$1,$BR$1,IF($A15=$BS$1,$BS$1,IF($A15=$BT$1,$BT$1,IF($A15=$BU$1,$BU$1,$B15))))))))))</f>
        <v/>
      </c>
      <c r="BF2" s="1624"/>
      <c r="BG2" s="1627" t="str">
        <f>IF(COUNTIF($BN$2:$BN$153,$B16),"",IF(AND($A16=$BW$2,$B16=""),"",IF(AND($A16=$BW$2,$B16&lt;&gt;""),$B16,IF($A16=$BO$1,$BO$1,IF($A16=$BP$1,$BP$1,IF($A16=$BQ$1,$BQ$1,IF($A16=$BR$1,$BR$1,IF($A16=$BS$1,$BS$1,IF($A16=$BT$1,$BT$1,IF($A16=$BU$1,$BU$1,$B16))))))))))</f>
        <v/>
      </c>
      <c r="BH2" s="1624"/>
      <c r="BI2" s="1627" t="str">
        <f>IF(COUNTIF($BN$2:$BN$153,$B17),"",IF(AND($A17=$BW$2,$B17=""),"",IF(AND($A17=$BW$2,$B17&lt;&gt;""),$B17,IF($A17=$BO$1,$BO$1,IF($A17=$BP$1,$BP$1,IF($A17=$BQ$1,$BQ$1,IF($A17=$BR$1,$BR$1,IF($A17=$BS$1,$BS$1,IF($A17=$BT$1,$BT$1,IF($A17=$BU$1,$BU$1,$B17))))))))))</f>
        <v/>
      </c>
      <c r="BJ2" s="1624"/>
      <c r="BK2" s="1627" t="str">
        <f>IF(COUNTIF($BN$2:$BN$153,$B18),"",IF(AND($A18=$BW$2,$B18=""),"",IF(AND($A18=$BW$2,$B18&lt;&gt;""),$B18,IF($A18=$BO$1,$BO$1,IF($A18=$BP$1,$BP$1,IF($A18=$BQ$1,$BQ$1,IF($A18=$BR$1,$BR$1,IF($A18=$BS$1,$BS$1,IF($A18=$BT$1,$BT$1,IF($A18=$BU$1,$BU$1,$B18))))))))))</f>
        <v/>
      </c>
      <c r="BL2" s="1624"/>
      <c r="BM2" s="1627" t="str">
        <f>IF(COUNTIF($BN$2:$BN$153,$B19),"",IF(AND($A19=$BW$2,$B19=""),"",IF(AND($A19=$BW$2,$B19&lt;&gt;""),$B19,IF($A19=$BO$1,$BO$1,IF($A19=$BP$1,$BP$1,IF($A19=$BQ$1,$BQ$1,IF($A19=$BR$1,$BR$1,IF($A19=$BS$1,$BS$1,IF($A19=$BT$1,$BT$1,IF($A19=$BU$1,$BU$1,$B19))))))))))</f>
        <v/>
      </c>
      <c r="BN2" s="1630" t="s">
        <v>498</v>
      </c>
      <c r="BO2" s="1654" t="s">
        <v>498</v>
      </c>
      <c r="BP2" s="1630" t="s">
        <v>681</v>
      </c>
      <c r="BQ2" s="1654" t="s">
        <v>340</v>
      </c>
      <c r="BR2" s="1654" t="s">
        <v>774</v>
      </c>
      <c r="BS2" s="1654" t="s">
        <v>765</v>
      </c>
      <c r="BT2" s="1654" t="s">
        <v>781</v>
      </c>
      <c r="BU2" s="1599" t="s">
        <v>798</v>
      </c>
      <c r="BV2"/>
      <c r="BW2" s="1895"/>
      <c r="BX2"/>
      <c r="CB2"/>
      <c r="CC2"/>
      <c r="CD2" s="1911" t="s">
        <v>498</v>
      </c>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row>
    <row r="3" spans="1:243" s="164" customFormat="1" ht="25.7" customHeight="1" thickTop="1" thickBot="1">
      <c r="A3" s="436"/>
      <c r="B3" s="2659" t="s">
        <v>372</v>
      </c>
      <c r="C3" s="2660"/>
      <c r="D3" s="2660"/>
      <c r="E3" s="2660"/>
      <c r="F3" s="2661"/>
      <c r="G3" s="2662" t="s">
        <v>2388</v>
      </c>
      <c r="H3" s="2663"/>
      <c r="I3" s="2649" t="s">
        <v>534</v>
      </c>
      <c r="J3" s="2648" t="s">
        <v>906</v>
      </c>
      <c r="K3" s="1277" t="s">
        <v>535</v>
      </c>
      <c r="L3" s="1277" t="s">
        <v>536</v>
      </c>
      <c r="M3" s="1277" t="s">
        <v>535</v>
      </c>
      <c r="N3" s="1277" t="s">
        <v>536</v>
      </c>
      <c r="O3" s="1278" t="s">
        <v>907</v>
      </c>
      <c r="P3" s="1279" t="s">
        <v>537</v>
      </c>
      <c r="Q3" s="1279" t="s">
        <v>538</v>
      </c>
      <c r="R3" s="1278" t="s">
        <v>483</v>
      </c>
      <c r="S3" s="2656" t="s">
        <v>908</v>
      </c>
      <c r="T3" s="2656"/>
      <c r="U3" s="2656"/>
      <c r="V3" s="2652" t="s">
        <v>909</v>
      </c>
      <c r="W3" s="2652"/>
      <c r="X3" s="1280"/>
      <c r="Y3" s="438"/>
      <c r="Z3" s="165" t="s">
        <v>910</v>
      </c>
      <c r="AF3"/>
      <c r="AG3"/>
      <c r="AH3" s="1602"/>
      <c r="AI3" s="162"/>
      <c r="AJ3" s="1624" t="str">
        <f>IFERROR(IF($A$5=$BO$1,$BO2,IF($A$5=$BP$1,$BP2,IF($A$5=$BQ$1,$BQ2,IF($A$5=$BR$1,$BR2,IF($A$5=$BS$1,$BS2,IF($A$5=$BT$1,$BT2,IF($A$5=$BU$1,$BU2,IF($A$5="",INDEX(Tiere!$BN$2:$BN$153,_xlfn.AGGREGATE(15,6,(ROW(Tiere!$BN$2:$BN$153)-1)/(--(SEARCH(AK$2,Tiere!$BN$2:$BN$153)&gt;0)),ROW()-2),1))))))))),"")</f>
        <v>andere Kälber und Jungrinder unter 1/2 Jahr - Gülle</v>
      </c>
      <c r="AK3" s="1649"/>
      <c r="AL3" s="1624" t="str">
        <f>IFERROR(IF($A$6=$BO$1,$BO2,IF($A$6=$BP$1,$BP2,IF($A$6=$BQ$1,$BQ2,IF($A$6=$BR$1,$BR2,IF($A$6=$BS$1,$BS2,IF($A$6=$BT$1,$BT2,IF($A$6=$BU$1,$BU2,IF($A$6="",INDEX(Tiere!$BN$2:$BN$153,_xlfn.AGGREGATE(15,6,(ROW(Tiere!$BN$2:$BN$153)-1)/(--(SEARCH(AM$2,Tiere!$BN$2:$BN$153)&gt;0)),ROW()-2),1))))))))),"")</f>
        <v>andere Kälber und Jungrinder unter 1/2 Jahr - Gülle</v>
      </c>
      <c r="AM3" s="1629"/>
      <c r="AN3" s="1624" t="str">
        <f>IFERROR(IF($A$7=$BO$1,$BO2,IF($A$7=$BP$1,$BP2,IF($A$7=$BQ$1,$BQ2,IF($A$7=$BR$1,$BR2,IF($A$7=$BS$1,$BS2,IF($A$7=$BT$1,$BT2,IF($A$7=$BU$1,$BU2,IF($A$7="",INDEX(Tiere!$BN$2:$BN$153,_xlfn.AGGREGATE(15,6,(ROW(Tiere!$BN$2:$BN$153)-1)/(--(SEARCH(AM$2,Tiere!$BN$2:$BN$153)&gt;0)),ROW()-2),1))))))))),"")</f>
        <v>andere Kälber und Jungrinder unter 1/2 Jahr - Gülle</v>
      </c>
      <c r="AO3" s="1629"/>
      <c r="AP3" s="1624" t="str">
        <f>IFERROR(IF($A$8=$BO$1,$BO2,IF($A$8=$BP$1,$BP2,IF($A$8=$BQ$1,$BQ2,IF($A$8=$BR$1,$BR2,IF($A$8=$BS$1,$BS2,IF($A$8=$BT$1,$BT2,IF($A$8=$BU$1,$BU2,IF($A$8="",INDEX(Tiere!$BN$2:$BN$153,_xlfn.AGGREGATE(15,6,(ROW(Tiere!$BN$2:$BN$153)-1)/(--(SEARCH(AQ$2,Tiere!$BN$2:$BN$153)&gt;0)),ROW()-2),1))))))))),"")</f>
        <v>andere Kälber und Jungrinder unter 1/2 Jahr - Gülle</v>
      </c>
      <c r="AQ3" s="1629"/>
      <c r="AR3" s="1624" t="str">
        <f>IFERROR(IF($A$9=$BO$1,$BO2,IF($A$9=$BP$1,$BP2,IF($A$9=$BQ$1,$BQ2,IF($A$9=$BR$1,$BR2,IF($A$9=$BS$1,$BS2,IF($A$9=$BT$1,$BT2,IF($A$9=$BU$1,$BU2,IF($A$9="",INDEX(Tiere!$BN$2:$BN$153,_xlfn.AGGREGATE(15,6,(ROW(Tiere!$BN$2:$BN$153)-1)/(--(SEARCH(AS$2,Tiere!$BN$2:$BN$153)&gt;0)),ROW()-2),1))))))))),"")</f>
        <v>andere Kälber und Jungrinder unter 1/2 Jahr - Gülle</v>
      </c>
      <c r="AS3" s="1629"/>
      <c r="AT3" s="1624" t="str">
        <f>IFERROR(IF($A$10=$BO$1,$BO2,IF($A$10=$BP$1,$BP2,IF($A$10=$BQ$1,$BQ2,IF($A$10=$BR$1,$BR2,IF($A$10=$BS$1,$BS2,IF($A$10=$BT$1,$BT2,IF($A$10=$BU$1,$BU2,IF($A$10="",INDEX(Tiere!$BN$2:$BN$153,_xlfn.AGGREGATE(15,6,(ROW(Tiere!$BN$2:$BN$153)-1)/(--(SEARCH(AU$2,Tiere!$BN$2:$BN$153)&gt;0)),ROW()-2),1))))))))),"")</f>
        <v>andere Kälber und Jungrinder unter 1/2 Jahr - Gülle</v>
      </c>
      <c r="AU3" s="1629"/>
      <c r="AV3" s="1624" t="str">
        <f>IFERROR(IF($A$11=$BO$1,$BO2,IF($A$11=$BP$1,$BP2,IF($A$11=$BQ$1,$BQ2,IF($A$11=$BR$1,$BR2,IF($A$11=$BS$1,$BS2,IF($A$11=$BT$1,$BT2,IF($A$11=$BU$1,$BU2,IF($A$11="",INDEX(Tiere!$BN$2:$BN$153,_xlfn.AGGREGATE(15,6,(ROW(Tiere!$BN$2:$BN$153)-1)/(--(SEARCH(AW$2,Tiere!$BN$2:$BN$153)&gt;0)),ROW()-2),1))))))))),"")</f>
        <v>andere Kälber und Jungrinder unter 1/2 Jahr - Gülle</v>
      </c>
      <c r="AW3" s="1629"/>
      <c r="AX3" s="1624" t="str">
        <f>IFERROR(IF($A$12=$BO$1,$BO2,IF($A$12=$BP$1,$BP2,IF($A$12=$BQ$1,$BQ2,IF($A$12=$BR$1,$BR2,IF($A$12=$BS$1,$BS2,IF($A$12=$BT$1,$BT2,IF($A$12=$BU$1,$BU2,IF($A$12="",INDEX(Tiere!$BN$2:$BN$153,_xlfn.AGGREGATE(15,6,(ROW(Tiere!$BN$2:$BN$153)-1)/(--(SEARCH(AY$2,Tiere!$BN$2:$BN$153)&gt;0)),ROW()-2),1))))))))),"")</f>
        <v>andere Kälber und Jungrinder unter 1/2 Jahr - Gülle</v>
      </c>
      <c r="AY3" s="1629"/>
      <c r="AZ3" s="1624" t="str">
        <f>IFERROR(IF($A$13=$BO$1,$BO2,IF($A$13=$BP$1,$BP2,IF($A$13=$BQ$1,$BQ2,IF($A$13=$BR$1,$BR2,IF($A$13=$BS$1,$BS2,IF($A$13=$BT$1,$BT2,IF($A$13=$BU$1,$BU2,IF($A$13="",INDEX(Tiere!$BN$2:$BN$153,_xlfn.AGGREGATE(15,6,(ROW(Tiere!$BN$2:$BN$153)-1)/(--(SEARCH(BA$2,Tiere!$BN$2:$BN$153)&gt;0)),ROW()-2),1))))))))),"")</f>
        <v>andere Kälber und Jungrinder unter 1/2 Jahr - Gülle</v>
      </c>
      <c r="BA3" s="1629"/>
      <c r="BB3" s="1624" t="str">
        <f>IFERROR(IF($A$14=$BO$1,$BO2,IF($A$14=$BP$1,$BP2,IF($A$14=$BQ$1,$BQ2,IF($A$14=$BR$1,$BR2,IF($A$14=$BS$1,$BS2,IF($A$14=$BT$1,$BT2,IF($A$14=$BU$1,$BU2,IF($A$14="",INDEX(Tiere!$BN$2:$BN$153,_xlfn.AGGREGATE(15,6,(ROW(Tiere!$BN$2:$BN$153)-1)/(--(SEARCH(BC$2,Tiere!$BN$2:$BN$153)&gt;0)),ROW()-2),1))))))))),"")</f>
        <v>andere Kälber und Jungrinder unter 1/2 Jahr - Gülle</v>
      </c>
      <c r="BC3" s="1629"/>
      <c r="BD3" s="1624" t="str">
        <f>IFERROR(IF($A$15=$BO$1,$BO2,IF($A$15=$BP$1,$BP2,IF($A$15=$BQ$1,$BQ2,IF($A$15=$BR$1,$BR2,IF($A$15=$BS$1,$BS2,IF($A$15=$BT$1,$BT2,IF($A$15=$BU$1,$BU2,IF($A$15="",INDEX(Tiere!$BN$2:$BN$153,_xlfn.AGGREGATE(15,6,(ROW(Tiere!$BN$2:$BN$153)-1)/(--(SEARCH(BE$2,Tiere!$BN$2:$BN$153)&gt;0)),ROW()-2),1))))))))),"")</f>
        <v>andere Kälber und Jungrinder unter 1/2 Jahr - Gülle</v>
      </c>
      <c r="BE3" s="1629"/>
      <c r="BF3" s="1624" t="str">
        <f>IFERROR(IF($A$16=$BO$1,$BO2,IF($A$16=$BP$1,$BP2,IF($A$16=$BQ$1,$BQ2,IF($A$16=$BR$1,$BR2,IF($A$16=$BS$1,$BS2,IF($A$16=$BT$1,$BT2,IF($A$16=$BU$1,$BU2,IF($A$16="",INDEX(Tiere!$BN$2:$BN$153,_xlfn.AGGREGATE(15,6,(ROW(Tiere!$BN$2:$BN$153)-1)/(--(SEARCH(BG$2,Tiere!$BN$2:$BN$153)&gt;0)),ROW()-2),1))))))))),"")</f>
        <v>andere Kälber und Jungrinder unter 1/2 Jahr - Gülle</v>
      </c>
      <c r="BG3" s="1629"/>
      <c r="BH3" s="1624" t="str">
        <f>IFERROR(IF($A$17=$BO$1,$BO2,IF($A$17=$BP$1,$BP2,IF($A$17=$BQ$1,$BQ2,IF($A$17=$BR$1,$BR2,IF($A$17=$BS$1,$BS2,IF($A$17=$BT$1,$BT2,IF($A$17=$BU$1,$BU2,IF($A$17="",INDEX(Tiere!$BN$2:$BN$153,_xlfn.AGGREGATE(15,6,(ROW(Tiere!$BN$2:$BN$153)-1)/(--(SEARCH(BI$2,Tiere!$BN$2:$BN$153)&gt;0)),ROW()-2),1))))))))),"")</f>
        <v>andere Kälber und Jungrinder unter 1/2 Jahr - Gülle</v>
      </c>
      <c r="BI3" s="1629"/>
      <c r="BJ3" s="1624" t="str">
        <f>IFERROR(IF($A$18=$BO$1,$BO2,IF($A$18=$BP$1,$BP2,IF($A$18=$BQ$1,$BQ2,IF($A$18=$BR$1,$BR2,IF($A$18=$BS$1,$BS2,IF($A$18=$BT$1,$BT2,IF($A$18=$BU$1,$BU2,IF($A$18="",INDEX(Tiere!$BN$2:$BN$153,_xlfn.AGGREGATE(15,6,(ROW(Tiere!$BN$2:$BN$153)-1)/(--(SEARCH(BK$2,Tiere!$BN$2:$BN$153)&gt;0)),ROW()-2),1))))))))),"")</f>
        <v>andere Kälber und Jungrinder unter 1/2 Jahr - Gülle</v>
      </c>
      <c r="BK3" s="1629"/>
      <c r="BL3" s="1624" t="str">
        <f>IFERROR(IF($A$19=$BO$1,$BO2,IF($A$19=$BP$1,$BP2,IF($A$19=$BQ$1,$BQ2,IF($A$19=$BR$1,$BR2,IF($A$19=$BS$1,$BS2,IF($A$19=$BT$1,$BT2,IF($A$19=$BU$1,$BU2,IF($A$19="",INDEX(Tiere!$BN$2:$BN$153,_xlfn.AGGREGATE(15,6,(ROW(Tiere!$BN$2:$BN$153)-1)/(--(SEARCH(BM$2,Tiere!$BN$2:$BN$153)&gt;0)),ROW()-2),1))))))))),"")</f>
        <v>andere Kälber und Jungrinder unter 1/2 Jahr - Gülle</v>
      </c>
      <c r="BM3" s="1629"/>
      <c r="BN3" s="1630" t="s">
        <v>500</v>
      </c>
      <c r="BO3" s="1599" t="s">
        <v>500</v>
      </c>
      <c r="BP3" s="1599" t="s">
        <v>685</v>
      </c>
      <c r="BQ3" s="1599" t="s">
        <v>747</v>
      </c>
      <c r="BR3" s="1599" t="s">
        <v>775</v>
      </c>
      <c r="BS3" s="1599" t="s">
        <v>767</v>
      </c>
      <c r="BT3" s="1599" t="s">
        <v>782</v>
      </c>
      <c r="BU3" s="1599" t="s">
        <v>799</v>
      </c>
      <c r="BW3" s="1895" t="s">
        <v>440</v>
      </c>
      <c r="CD3" s="1911" t="s">
        <v>500</v>
      </c>
    </row>
    <row r="4" spans="1:243" ht="20.25" customHeight="1" thickTop="1" thickBot="1">
      <c r="A4" s="1907" t="s">
        <v>2401</v>
      </c>
      <c r="B4" s="2657" t="s">
        <v>1672</v>
      </c>
      <c r="C4" s="2658"/>
      <c r="D4" s="2658"/>
      <c r="E4" s="2658"/>
      <c r="F4" s="2658"/>
      <c r="G4" s="1604" t="s">
        <v>499</v>
      </c>
      <c r="H4" s="1648" t="s">
        <v>1674</v>
      </c>
      <c r="I4" s="2649"/>
      <c r="J4" s="2649"/>
      <c r="K4" s="2650" t="s">
        <v>911</v>
      </c>
      <c r="L4" s="2650"/>
      <c r="M4" s="2651" t="s">
        <v>912</v>
      </c>
      <c r="N4" s="2651"/>
      <c r="O4" s="2648" t="s">
        <v>913</v>
      </c>
      <c r="P4" s="2648"/>
      <c r="Q4" s="2648"/>
      <c r="R4" s="1280" t="s">
        <v>462</v>
      </c>
      <c r="S4" s="1281" t="s">
        <v>461</v>
      </c>
      <c r="T4" s="1281" t="s">
        <v>459</v>
      </c>
      <c r="U4" s="1281" t="s">
        <v>460</v>
      </c>
      <c r="V4" s="1277" t="s">
        <v>914</v>
      </c>
      <c r="W4" s="1281" t="s">
        <v>915</v>
      </c>
      <c r="X4" s="1277"/>
      <c r="Y4" s="438"/>
      <c r="Z4" s="166" t="s">
        <v>916</v>
      </c>
      <c r="AD4"/>
      <c r="AF4"/>
      <c r="AG4"/>
      <c r="AH4" s="1602"/>
      <c r="AJ4" s="1624" t="str">
        <f>IFERROR(IF($A$5=$BO$1,$BO3,IF($A$5=$BP$1,$BP3,IF($A$5=$BQ$1,$BQ3,IF($A$5=$BR$1,$BR3,IF($A$5=$BS$1,$BS3,IF($A$5=$BT$1,$BT3,IF($A$5=$BU$1,$BU3,IF($A$5="",INDEX(Tiere!$BN$2:$BN$153,_xlfn.AGGREGATE(15,6,(ROW(Tiere!$BN$2:$BN$153)-1)/(--(SEARCH(AK$2,Tiere!$BN$2:$BN$153)&gt;0)),ROW()-2),1))))))))),"")</f>
        <v>andere Kälber und Jungrinder unter 1/2 Jahr - Mist/Jauche</v>
      </c>
      <c r="AK4" s="1650"/>
      <c r="AL4" s="1624" t="str">
        <f>IFERROR(IF($A$6=$BO$1,$BO3,IF($A$6=$BP$1,$BP3,IF($A$6=$BQ$1,$BQ3,IF($A$6=$BR$1,$BR3,IF($A$6=$BS$1,$BS3,IF($A$6=$BT$1,$BT3,IF($A$6=$BU$1,$BU3,IF($A$6="",INDEX(Tiere!$BN$2:$BN$153,_xlfn.AGGREGATE(15,6,(ROW(Tiere!$BN$2:$BN$153)-1)/(--(SEARCH(AM$2,Tiere!$BN$2:$BN$153)&gt;0)),ROW()-2),1))))))))),"")</f>
        <v>andere Kälber und Jungrinder unter 1/2 Jahr - Mist/Jauche</v>
      </c>
      <c r="AM4" s="1599"/>
      <c r="AN4" s="1624" t="str">
        <f>IFERROR(IF($A$7=$BO$1,$BO3,IF($A$7=$BP$1,$BP3,IF($A$7=$BQ$1,$BQ3,IF($A$7=$BR$1,$BR3,IF($A$7=$BS$1,$BS3,IF($A$7=$BT$1,$BT3,IF($A$7=$BU$1,$BU3,IF($A$7="",INDEX(Tiere!$BN$2:$BN$153,_xlfn.AGGREGATE(15,6,(ROW(Tiere!$BN$2:$BN$153)-1)/(--(SEARCH(AM$2,Tiere!$BN$2:$BN$153)&gt;0)),ROW()-2),1))))))))),"")</f>
        <v>andere Kälber und Jungrinder unter 1/2 Jahr - Mist/Jauche</v>
      </c>
      <c r="AO4" s="1599"/>
      <c r="AP4" s="1624" t="str">
        <f>IFERROR(IF($A$8=$BO$1,$BO3,IF($A$8=$BP$1,$BP3,IF($A$8=$BQ$1,$BQ3,IF($A$8=$BR$1,$BR3,IF($A$8=$BS$1,$BS3,IF($A$8=$BT$1,$BT3,IF($A$8=$BU$1,$BU3,IF($A$8="",INDEX(Tiere!$BN$2:$BN$153,_xlfn.AGGREGATE(15,6,(ROW(Tiere!$BN$2:$BN$153)-1)/(--(SEARCH(AQ$2,Tiere!$BN$2:$BN$153)&gt;0)),ROW()-2),1))))))))),"")</f>
        <v>andere Kälber und Jungrinder unter 1/2 Jahr - Mist/Jauche</v>
      </c>
      <c r="AQ4" s="1628"/>
      <c r="AR4" s="1624" t="str">
        <f>IFERROR(IF($A$9=$BO$1,$BO3,IF($A$9=$BP$1,$BP3,IF($A$9=$BQ$1,$BQ3,IF($A$9=$BR$1,$BR3,IF($A$9=$BS$1,$BS3,IF($A$9=$BT$1,$BT3,IF($A$9=$BU$1,$BU3,IF($A$9="",INDEX(Tiere!$BN$2:$BN$153,_xlfn.AGGREGATE(15,6,(ROW(Tiere!$BN$2:$BN$153)-1)/(--(SEARCH(AS$2,Tiere!$BN$2:$BN$153)&gt;0)),ROW()-2),1))))))))),"")</f>
        <v>andere Kälber und Jungrinder unter 1/2 Jahr - Mist/Jauche</v>
      </c>
      <c r="AS4" s="1599"/>
      <c r="AT4" s="1624" t="str">
        <f>IFERROR(IF($A$10=$BO$1,$BO3,IF($A$10=$BP$1,$BP3,IF($A$10=$BQ$1,$BQ3,IF($A$10=$BR$1,$BR3,IF($A$10=$BS$1,$BS3,IF($A$10=$BT$1,$BT3,IF($A$10=$BU$1,$BU3,IF($A$10="",INDEX(Tiere!$BN$2:$BN$153,_xlfn.AGGREGATE(15,6,(ROW(Tiere!$BN$2:$BN$153)-1)/(--(SEARCH(AU$2,Tiere!$BN$2:$BN$153)&gt;0)),ROW()-2),1))))))))),"")</f>
        <v>andere Kälber und Jungrinder unter 1/2 Jahr - Mist/Jauche</v>
      </c>
      <c r="AU4" s="1599"/>
      <c r="AV4" s="1624" t="str">
        <f>IFERROR(IF($A$11=$BO$1,$BO3,IF($A$11=$BP$1,$BP3,IF($A$11=$BQ$1,$BQ3,IF($A$11=$BR$1,$BR3,IF($A$11=$BS$1,$BS3,IF($A$11=$BT$1,$BT3,IF($A$11=$BU$1,$BU3,IF($A$11="",INDEX(Tiere!$BN$2:$BN$153,_xlfn.AGGREGATE(15,6,(ROW(Tiere!$BN$2:$BN$153)-1)/(--(SEARCH(AW$2,Tiere!$BN$2:$BN$153)&gt;0)),ROW()-2),1))))))))),"")</f>
        <v>andere Kälber und Jungrinder unter 1/2 Jahr - Mist/Jauche</v>
      </c>
      <c r="AW4" s="1599"/>
      <c r="AX4" s="1624" t="str">
        <f>IFERROR(IF($A$12=$BO$1,$BO3,IF($A$12=$BP$1,$BP3,IF($A$12=$BQ$1,$BQ3,IF($A$12=$BR$1,$BR3,IF($A$12=$BS$1,$BS3,IF($A$12=$BT$1,$BT3,IF($A$12=$BU$1,$BU3,IF($A$12="",INDEX(Tiere!$BN$2:$BN$153,_xlfn.AGGREGATE(15,6,(ROW(Tiere!$BN$2:$BN$153)-1)/(--(SEARCH(AY$2,Tiere!$BN$2:$BN$153)&gt;0)),ROW()-2),1))))))))),"")</f>
        <v>andere Kälber und Jungrinder unter 1/2 Jahr - Mist/Jauche</v>
      </c>
      <c r="AY4" s="1599"/>
      <c r="AZ4" s="1624" t="str">
        <f>IFERROR(IF($A$13=$BO$1,$BO3,IF($A$13=$BP$1,$BP3,IF($A$13=$BQ$1,$BQ3,IF($A$13=$BR$1,$BR3,IF($A$13=$BS$1,$BS3,IF($A$13=$BT$1,$BT3,IF($A$13=$BU$1,$BU3,IF($A$13="",INDEX(Tiere!$BN$2:$BN$153,_xlfn.AGGREGATE(15,6,(ROW(Tiere!$BN$2:$BN$153)-1)/(--(SEARCH(BA$2,Tiere!$BN$2:$BN$153)&gt;0)),ROW()-2),1))))))))),"")</f>
        <v>andere Kälber und Jungrinder unter 1/2 Jahr - Mist/Jauche</v>
      </c>
      <c r="BA4" s="1599"/>
      <c r="BB4" s="1624" t="str">
        <f>IFERROR(IF($A$14=$BO$1,$BO3,IF($A$14=$BP$1,$BP3,IF($A$14=$BQ$1,$BQ3,IF($A$14=$BR$1,$BR3,IF($A$14=$BS$1,$BS3,IF($A$14=$BT$1,$BT3,IF($A$14=$BU$1,$BU3,IF($A$14="",INDEX(Tiere!$BN$2:$BN$153,_xlfn.AGGREGATE(15,6,(ROW(Tiere!$BN$2:$BN$153)-1)/(--(SEARCH(BC$2,Tiere!$BN$2:$BN$153)&gt;0)),ROW()-2),1))))))))),"")</f>
        <v>andere Kälber und Jungrinder unter 1/2 Jahr - Mist/Jauche</v>
      </c>
      <c r="BC4" s="1599"/>
      <c r="BD4" s="1624" t="str">
        <f>IFERROR(IF($A$15=$BO$1,$BO3,IF($A$15=$BP$1,$BP3,IF($A$15=$BQ$1,$BQ3,IF($A$15=$BR$1,$BR3,IF($A$15=$BS$1,$BS3,IF($A$15=$BT$1,$BT3,IF($A$15=$BU$1,$BU3,IF($A$15="",INDEX(Tiere!$BN$2:$BN$153,_xlfn.AGGREGATE(15,6,(ROW(Tiere!$BN$2:$BN$153)-1)/(--(SEARCH(BE$2,Tiere!$BN$2:$BN$153)&gt;0)),ROW()-2),1))))))))),"")</f>
        <v>andere Kälber und Jungrinder unter 1/2 Jahr - Mist/Jauche</v>
      </c>
      <c r="BE4" s="1599"/>
      <c r="BF4" s="1624" t="str">
        <f>IFERROR(IF($A$16=$BO$1,$BO3,IF($A$16=$BP$1,$BP3,IF($A$16=$BQ$1,$BQ3,IF($A$16=$BR$1,$BR3,IF($A$16=$BS$1,$BS3,IF($A$16=$BT$1,$BT3,IF($A$16=$BU$1,$BU3,IF($A$16="",INDEX(Tiere!$BN$2:$BN$153,_xlfn.AGGREGATE(15,6,(ROW(Tiere!$BN$2:$BN$153)-1)/(--(SEARCH(BG$2,Tiere!$BN$2:$BN$153)&gt;0)),ROW()-2),1))))))))),"")</f>
        <v>andere Kälber und Jungrinder unter 1/2 Jahr - Mist/Jauche</v>
      </c>
      <c r="BG4" s="1599"/>
      <c r="BH4" s="1624" t="str">
        <f>IFERROR(IF($A$17=$BO$1,$BO3,IF($A$17=$BP$1,$BP3,IF($A$17=$BQ$1,$BQ3,IF($A$17=$BR$1,$BR3,IF($A$17=$BS$1,$BS3,IF($A$17=$BT$1,$BT3,IF($A$17=$BU$1,$BU3,IF($A$17="",INDEX(Tiere!$BN$2:$BN$153,_xlfn.AGGREGATE(15,6,(ROW(Tiere!$BN$2:$BN$153)-1)/(--(SEARCH(BI$2,Tiere!$BN$2:$BN$153)&gt;0)),ROW()-2),1))))))))),"")</f>
        <v>andere Kälber und Jungrinder unter 1/2 Jahr - Mist/Jauche</v>
      </c>
      <c r="BI4" s="1599"/>
      <c r="BJ4" s="1624" t="str">
        <f>IFERROR(IF($A$18=$BO$1,$BO3,IF($A$18=$BP$1,$BP3,IF($A$18=$BQ$1,$BQ3,IF($A$18=$BR$1,$BR3,IF($A$18=$BS$1,$BS3,IF($A$18=$BT$1,$BT3,IF($A$18=$BU$1,$BU3,IF($A$18="",INDEX(Tiere!$BN$2:$BN$153,_xlfn.AGGREGATE(15,6,(ROW(Tiere!$BN$2:$BN$153)-1)/(--(SEARCH(BK$2,Tiere!$BN$2:$BN$153)&gt;0)),ROW()-2),1))))))))),"")</f>
        <v>andere Kälber und Jungrinder unter 1/2 Jahr - Mist/Jauche</v>
      </c>
      <c r="BK4" s="1599"/>
      <c r="BL4" s="1624" t="str">
        <f>IFERROR(IF($A$19=$BO$1,$BO3,IF($A$19=$BP$1,$BP3,IF($A$19=$BQ$1,$BQ3,IF($A$19=$BR$1,$BR3,IF($A$19=$BS$1,$BS3,IF($A$19=$BT$1,$BT3,IF($A$19=$BU$1,$BU3,IF($A$19="",INDEX(Tiere!$BN$2:$BN$153,_xlfn.AGGREGATE(15,6,(ROW(Tiere!$BN$2:$BN$153)-1)/(--(SEARCH(BM$2,Tiere!$BN$2:$BN$153)&gt;0)),ROW()-2),1))))))))),"")</f>
        <v>andere Kälber und Jungrinder unter 1/2 Jahr - Mist/Jauche</v>
      </c>
      <c r="BM4" s="1599"/>
      <c r="BN4" s="1630" t="s">
        <v>501</v>
      </c>
      <c r="BO4" s="1599" t="s">
        <v>501</v>
      </c>
      <c r="BP4" s="1599" t="s">
        <v>691</v>
      </c>
      <c r="BQ4" s="1599" t="s">
        <v>749</v>
      </c>
      <c r="BR4" s="1599" t="s">
        <v>776</v>
      </c>
      <c r="BS4" s="1599" t="s">
        <v>768</v>
      </c>
      <c r="BT4" s="1599" t="s">
        <v>1569</v>
      </c>
      <c r="BU4" s="1599" t="s">
        <v>800</v>
      </c>
      <c r="BW4" s="1895" t="s">
        <v>679</v>
      </c>
      <c r="BY4" t="s">
        <v>2402</v>
      </c>
      <c r="BZ4"/>
      <c r="CA4"/>
      <c r="CD4" s="1911" t="s">
        <v>501</v>
      </c>
    </row>
    <row r="5" spans="1:243" ht="22.5" customHeight="1" thickBot="1">
      <c r="A5" s="1914"/>
      <c r="B5" s="2653"/>
      <c r="C5" s="2654"/>
      <c r="D5" s="2654"/>
      <c r="E5" s="2654"/>
      <c r="F5" s="2654"/>
      <c r="G5" s="2654"/>
      <c r="H5" s="2655"/>
      <c r="I5" s="939"/>
      <c r="J5" s="940">
        <f>IFERROR(Tabelle1!AR5,0)</f>
        <v>0</v>
      </c>
      <c r="K5" s="941"/>
      <c r="L5" s="942"/>
      <c r="M5" s="941"/>
      <c r="N5" s="942"/>
      <c r="O5" s="943">
        <f>IFERROR(Tabelle1!AX5,0)</f>
        <v>0</v>
      </c>
      <c r="P5" s="943">
        <f>IFERROR(Tabelle1!BI5,0)</f>
        <v>0</v>
      </c>
      <c r="Q5" s="943">
        <f>IFERROR(Tabelle1!BO5,0)</f>
        <v>0</v>
      </c>
      <c r="R5" s="944">
        <f>IFERROR(Tabelle1!BB5,0)</f>
        <v>0</v>
      </c>
      <c r="S5" s="944">
        <f>IFERROR(Tabelle1!AY5,0)</f>
        <v>0</v>
      </c>
      <c r="T5" s="944">
        <f>IFERROR(Tabelle1!AZ5,0)</f>
        <v>0</v>
      </c>
      <c r="U5" s="944">
        <f>IFERROR(Tabelle1!BA5,0)</f>
        <v>0</v>
      </c>
      <c r="V5" s="944">
        <f>IFERROR(Tabelle1!CA5,0)</f>
        <v>0</v>
      </c>
      <c r="W5" s="944">
        <f>IFERROR(Tabelle1!CG5,0)</f>
        <v>0</v>
      </c>
      <c r="X5" s="944"/>
      <c r="Y5" s="438"/>
      <c r="Z5" s="165" t="s">
        <v>2934</v>
      </c>
      <c r="AD5"/>
      <c r="AF5"/>
      <c r="AG5"/>
      <c r="AH5" s="1602"/>
      <c r="AJ5" s="1624" t="str">
        <f>IFERROR(IF($A$5=$BO$1,$BO4,IF($A$5=$BP$1,$BP4,IF($A$5=$BQ$1,$BQ4,IF($A$5=$BR$1,$BR4,IF($A$5=$BS$1,$BS4,IF($A$5=$BT$1,$BT4,IF($A$5=$BU$1,$BU4,IF($A$5="",INDEX(Tiere!$BN$2:$BN$153,_xlfn.AGGREGATE(15,6,(ROW(Tiere!$BN$2:$BN$153)-1)/(--(SEARCH(AK$2,Tiere!$BN$2:$BN$153)&gt;0)),ROW()-2),1))))))))),"")</f>
        <v>andere Kälber und Jungrinder unter 1/2 Jahr - Tiefstallmist</v>
      </c>
      <c r="AK5" s="1650"/>
      <c r="AL5" s="1624" t="str">
        <f>IFERROR(IF($A$6=$BO$1,$BO4,IF($A$6=$BP$1,$BP4,IF($A$6=$BQ$1,$BQ4,IF($A$6=$BR$1,$BR4,IF($A$6=$BS$1,$BS4,IF($A$6=$BT$1,$BT4,IF($A$6=$BU$1,$BU4,IF($A$6="",INDEX(Tiere!$BN$2:$BN$153,_xlfn.AGGREGATE(15,6,(ROW(Tiere!$BN$2:$BN$153)-1)/(--(SEARCH(AM$2,Tiere!$BN$2:$BN$153)&gt;0)),ROW()-2),1))))))))),"")</f>
        <v>andere Kälber und Jungrinder unter 1/2 Jahr - Tiefstallmist</v>
      </c>
      <c r="AM5" s="1601"/>
      <c r="AN5" s="1624" t="str">
        <f>IFERROR(IF($A$7=$BO$1,$BO4,IF($A$7=$BP$1,$BP4,IF($A$7=$BQ$1,$BQ4,IF($A$7=$BR$1,$BR4,IF($A$7=$BS$1,$BS4,IF($A$7=$BT$1,$BT4,IF($A$7=$BU$1,$BU4,IF($A$7="",INDEX(Tiere!$BN$2:$BN$153,_xlfn.AGGREGATE(15,6,(ROW(Tiere!$BN$2:$BN$153)-1)/(--(SEARCH(AM$2,Tiere!$BN$2:$BN$153)&gt;0)),ROW()-2),1))))))))),"")</f>
        <v>andere Kälber und Jungrinder unter 1/2 Jahr - Tiefstallmist</v>
      </c>
      <c r="AO5" s="1601"/>
      <c r="AP5" s="1624" t="str">
        <f>IFERROR(IF($A$8=$BO$1,$BO4,IF($A$8=$BP$1,$BP4,IF($A$8=$BQ$1,$BQ4,IF($A$8=$BR$1,$BR4,IF($A$8=$BS$1,$BS4,IF($A$8=$BT$1,$BT4,IF($A$8=$BU$1,$BU4,IF($A$8="",INDEX(Tiere!$BN$2:$BN$153,_xlfn.AGGREGATE(15,6,(ROW(Tiere!$BN$2:$BN$153)-1)/(--(SEARCH(AQ$2,Tiere!$BN$2:$BN$153)&gt;0)),ROW()-2),1))))))))),"")</f>
        <v>andere Kälber und Jungrinder unter 1/2 Jahr - Tiefstallmist</v>
      </c>
      <c r="AQ5" s="1601"/>
      <c r="AR5" s="1624" t="str">
        <f>IFERROR(IF($A$9=$BO$1,$BO4,IF($A$9=$BP$1,$BP4,IF($A$9=$BQ$1,$BQ4,IF($A$9=$BR$1,$BR4,IF($A$9=$BS$1,$BS4,IF($A$9=$BT$1,$BT4,IF($A$9=$BU$1,$BU4,IF($A$9="",INDEX(Tiere!$BN$2:$BN$153,_xlfn.AGGREGATE(15,6,(ROW(Tiere!$BN$2:$BN$153)-1)/(--(SEARCH(AS$2,Tiere!$BN$2:$BN$153)&gt;0)),ROW()-2),1))))))))),"")</f>
        <v>andere Kälber und Jungrinder unter 1/2 Jahr - Tiefstallmist</v>
      </c>
      <c r="AS5" s="1601"/>
      <c r="AT5" s="1624" t="str">
        <f>IFERROR(IF($A$10=$BO$1,$BO4,IF($A$10=$BP$1,$BP4,IF($A$10=$BQ$1,$BQ4,IF($A$10=$BR$1,$BR4,IF($A$10=$BS$1,$BS4,IF($A$10=$BT$1,$BT4,IF($A$10=$BU$1,$BU4,IF($A$10="",INDEX(Tiere!$BN$2:$BN$153,_xlfn.AGGREGATE(15,6,(ROW(Tiere!$BN$2:$BN$153)-1)/(--(SEARCH(AU$2,Tiere!$BN$2:$BN$153)&gt;0)),ROW()-2),1))))))))),"")</f>
        <v>andere Kälber und Jungrinder unter 1/2 Jahr - Tiefstallmist</v>
      </c>
      <c r="AU5" s="1601"/>
      <c r="AV5" s="1624" t="str">
        <f>IFERROR(IF($A$11=$BO$1,$BO4,IF($A$11=$BP$1,$BP4,IF($A$11=$BQ$1,$BQ4,IF($A$11=$BR$1,$BR4,IF($A$11=$BS$1,$BS4,IF($A$11=$BT$1,$BT4,IF($A$11=$BU$1,$BU4,IF($A$11="",INDEX(Tiere!$BN$2:$BN$153,_xlfn.AGGREGATE(15,6,(ROW(Tiere!$BN$2:$BN$153)-1)/(--(SEARCH(AW$2,Tiere!$BN$2:$BN$153)&gt;0)),ROW()-2),1))))))))),"")</f>
        <v>andere Kälber und Jungrinder unter 1/2 Jahr - Tiefstallmist</v>
      </c>
      <c r="AW5" s="1601"/>
      <c r="AX5" s="1624" t="str">
        <f>IFERROR(IF($A$12=$BO$1,$BO4,IF($A$12=$BP$1,$BP4,IF($A$12=$BQ$1,$BQ4,IF($A$12=$BR$1,$BR4,IF($A$12=$BS$1,$BS4,IF($A$12=$BT$1,$BT4,IF($A$12=$BU$1,$BU4,IF($A$12="",INDEX(Tiere!$BN$2:$BN$153,_xlfn.AGGREGATE(15,6,(ROW(Tiere!$BN$2:$BN$153)-1)/(--(SEARCH(AY$2,Tiere!$BN$2:$BN$153)&gt;0)),ROW()-2),1))))))))),"")</f>
        <v>andere Kälber und Jungrinder unter 1/2 Jahr - Tiefstallmist</v>
      </c>
      <c r="AY5" s="1601"/>
      <c r="AZ5" s="1624" t="str">
        <f>IFERROR(IF($A$13=$BO$1,$BO4,IF($A$13=$BP$1,$BP4,IF($A$13=$BQ$1,$BQ4,IF($A$13=$BR$1,$BR4,IF($A$13=$BS$1,$BS4,IF($A$13=$BT$1,$BT4,IF($A$13=$BU$1,$BU4,IF($A$13="",INDEX(Tiere!$BN$2:$BN$153,_xlfn.AGGREGATE(15,6,(ROW(Tiere!$BN$2:$BN$153)-1)/(--(SEARCH(BA$2,Tiere!$BN$2:$BN$153)&gt;0)),ROW()-2),1))))))))),"")</f>
        <v>andere Kälber und Jungrinder unter 1/2 Jahr - Tiefstallmist</v>
      </c>
      <c r="BA5" s="1601"/>
      <c r="BB5" s="1624" t="str">
        <f>IFERROR(IF($A$14=$BO$1,$BO4,IF($A$14=$BP$1,$BP4,IF($A$14=$BQ$1,$BQ4,IF($A$14=$BR$1,$BR4,IF($A$14=$BS$1,$BS4,IF($A$14=$BT$1,$BT4,IF($A$14=$BU$1,$BU4,IF($A$14="",INDEX(Tiere!$BN$2:$BN$153,_xlfn.AGGREGATE(15,6,(ROW(Tiere!$BN$2:$BN$153)-1)/(--(SEARCH(BC$2,Tiere!$BN$2:$BN$153)&gt;0)),ROW()-2),1))))))))),"")</f>
        <v>andere Kälber und Jungrinder unter 1/2 Jahr - Tiefstallmist</v>
      </c>
      <c r="BC5" s="1601"/>
      <c r="BD5" s="1624" t="str">
        <f>IFERROR(IF($A$15=$BO$1,$BO4,IF($A$15=$BP$1,$BP4,IF($A$15=$BQ$1,$BQ4,IF($A$15=$BR$1,$BR4,IF($A$15=$BS$1,$BS4,IF($A$15=$BT$1,$BT4,IF($A$15=$BU$1,$BU4,IF($A$15="",INDEX(Tiere!$BN$2:$BN$153,_xlfn.AGGREGATE(15,6,(ROW(Tiere!$BN$2:$BN$153)-1)/(--(SEARCH(BE$2,Tiere!$BN$2:$BN$153)&gt;0)),ROW()-2),1))))))))),"")</f>
        <v>andere Kälber und Jungrinder unter 1/2 Jahr - Tiefstallmist</v>
      </c>
      <c r="BE5" s="1601"/>
      <c r="BF5" s="1624" t="str">
        <f>IFERROR(IF($A$16=$BO$1,$BO4,IF($A$16=$BP$1,$BP4,IF($A$16=$BQ$1,$BQ4,IF($A$16=$BR$1,$BR4,IF($A$16=$BS$1,$BS4,IF($A$16=$BT$1,$BT4,IF($A$16=$BU$1,$BU4,IF($A$16="",INDEX(Tiere!$BN$2:$BN$153,_xlfn.AGGREGATE(15,6,(ROW(Tiere!$BN$2:$BN$153)-1)/(--(SEARCH(BG$2,Tiere!$BN$2:$BN$153)&gt;0)),ROW()-2),1))))))))),"")</f>
        <v>andere Kälber und Jungrinder unter 1/2 Jahr - Tiefstallmist</v>
      </c>
      <c r="BG5" s="1601"/>
      <c r="BH5" s="1624" t="str">
        <f>IFERROR(IF($A$17=$BO$1,$BO4,IF($A$17=$BP$1,$BP4,IF($A$17=$BQ$1,$BQ4,IF($A$17=$BR$1,$BR4,IF($A$17=$BS$1,$BS4,IF($A$17=$BT$1,$BT4,IF($A$17=$BU$1,$BU4,IF($A$17="",INDEX(Tiere!$BN$2:$BN$153,_xlfn.AGGREGATE(15,6,(ROW(Tiere!$BN$2:$BN$153)-1)/(--(SEARCH(BI$2,Tiere!$BN$2:$BN$153)&gt;0)),ROW()-2),1))))))))),"")</f>
        <v>andere Kälber und Jungrinder unter 1/2 Jahr - Tiefstallmist</v>
      </c>
      <c r="BI5" s="1601"/>
      <c r="BJ5" s="1624" t="str">
        <f>IFERROR(IF($A$18=$BO$1,$BO4,IF($A$18=$BP$1,$BP4,IF($A$18=$BQ$1,$BQ4,IF($A$18=$BR$1,$BR4,IF($A$18=$BS$1,$BS4,IF($A$18=$BT$1,$BT4,IF($A$18=$BU$1,$BU4,IF($A$18="",INDEX(Tiere!$BN$2:$BN$153,_xlfn.AGGREGATE(15,6,(ROW(Tiere!$BN$2:$BN$153)-1)/(--(SEARCH(BK$2,Tiere!$BN$2:$BN$153)&gt;0)),ROW()-2),1))))))))),"")</f>
        <v>andere Kälber und Jungrinder unter 1/2 Jahr - Tiefstallmist</v>
      </c>
      <c r="BK5" s="1601"/>
      <c r="BL5" s="1624" t="str">
        <f>IFERROR(IF($A$19=$BO$1,$BO4,IF($A$19=$BP$1,$BP4,IF($A$19=$BQ$1,$BQ4,IF($A$19=$BR$1,$BR4,IF($A$19=$BS$1,$BS4,IF($A$19=$BT$1,$BT4,IF($A$19=$BU$1,$BU4,IF($A$19="",INDEX(Tiere!$BN$2:$BN$153,_xlfn.AGGREGATE(15,6,(ROW(Tiere!$BN$2:$BN$153)-1)/(--(SEARCH(BM$2,Tiere!$BN$2:$BN$153)&gt;0)),ROW()-2),1))))))))),"")</f>
        <v>andere Kälber und Jungrinder unter 1/2 Jahr - Tiefstallmist</v>
      </c>
      <c r="BM5" s="1601"/>
      <c r="BN5" s="1630" t="s">
        <v>504</v>
      </c>
      <c r="BO5" s="1599" t="s">
        <v>504</v>
      </c>
      <c r="BP5" s="1599" t="s">
        <v>695</v>
      </c>
      <c r="BQ5" s="1599" t="s">
        <v>751</v>
      </c>
      <c r="BR5" s="1599" t="s">
        <v>777</v>
      </c>
      <c r="BS5" s="1599" t="s">
        <v>770</v>
      </c>
      <c r="BT5" s="1599" t="s">
        <v>1570</v>
      </c>
      <c r="BU5" s="1599" t="s">
        <v>801</v>
      </c>
      <c r="BW5" s="1895" t="s">
        <v>746</v>
      </c>
      <c r="BY5" t="s">
        <v>1607</v>
      </c>
      <c r="BZ5">
        <f>IF(OR($A5=$BW$2,$A5=""),COUNTIF($BN$2:$BN$153,$B5),IF($A5&lt;&gt;"",COUNTIFS(TiereDropDown[B5],$B5,TiereDropDown[B5],"&lt;&gt;"""),0))</f>
        <v>0</v>
      </c>
      <c r="CA5"/>
      <c r="CD5" s="1911" t="s">
        <v>504</v>
      </c>
    </row>
    <row r="6" spans="1:243" ht="22.5" customHeight="1" thickTop="1" thickBot="1">
      <c r="A6" s="1914"/>
      <c r="B6" s="2645"/>
      <c r="C6" s="2646"/>
      <c r="D6" s="2646"/>
      <c r="E6" s="2646"/>
      <c r="F6" s="2646"/>
      <c r="G6" s="2646"/>
      <c r="H6" s="2647"/>
      <c r="I6" s="939"/>
      <c r="J6" s="940">
        <f>IFERROR(Tabelle1!AR6,0)</f>
        <v>0</v>
      </c>
      <c r="K6" s="941"/>
      <c r="L6" s="942"/>
      <c r="M6" s="941"/>
      <c r="N6" s="942"/>
      <c r="O6" s="943">
        <f>IFERROR(Tabelle1!AX6,0)</f>
        <v>0</v>
      </c>
      <c r="P6" s="943">
        <f>IFERROR(Tabelle1!BI6,0)</f>
        <v>0</v>
      </c>
      <c r="Q6" s="943">
        <f>IFERROR(Tabelle1!BO6,0)</f>
        <v>0</v>
      </c>
      <c r="R6" s="944">
        <f>IFERROR(Tabelle1!BB6,0)</f>
        <v>0</v>
      </c>
      <c r="S6" s="944">
        <f>IFERROR(Tabelle1!AY6,0)</f>
        <v>0</v>
      </c>
      <c r="T6" s="944">
        <f>IFERROR(Tabelle1!AZ6,0)</f>
        <v>0</v>
      </c>
      <c r="U6" s="944">
        <f>IFERROR(Tabelle1!BA6,0)</f>
        <v>0</v>
      </c>
      <c r="V6" s="944">
        <f>IFERROR(Tabelle1!CA6,0)</f>
        <v>0</v>
      </c>
      <c r="W6" s="944">
        <f>IFERROR(Tabelle1!CG6,0)</f>
        <v>0</v>
      </c>
      <c r="X6" s="944"/>
      <c r="Y6" s="438"/>
      <c r="Z6" s="167" t="s">
        <v>1675</v>
      </c>
      <c r="AD6"/>
      <c r="AF6"/>
      <c r="AG6"/>
      <c r="AH6" s="1602"/>
      <c r="AJ6" s="1624" t="str">
        <f>IFERROR(IF($A$5=$BO$1,$BO5,IF($A$5=$BP$1,$BP5,IF($A$5=$BQ$1,$BQ5,IF($A$5=$BR$1,$BR5,IF($A$5=$BS$1,$BS5,IF($A$5=$BT$1,$BT5,IF($A$5=$BU$1,$BU5,IF($A$5="",INDEX(Tiere!$BN$2:$BN$153,_xlfn.AGGREGATE(15,6,(ROW(Tiere!$BN$2:$BN$153)-1)/(--(SEARCH(AK$2,Tiere!$BN$2:$BN$153)&gt;0)),ROW()-2),1))))))))),"")</f>
        <v>Jungvieh 1/2 bis 1 Jahr - Gülle</v>
      </c>
      <c r="AK6" s="1650"/>
      <c r="AL6" s="1624" t="str">
        <f>IFERROR(IF($A$6=$BO$1,$BO5,IF($A$6=$BP$1,$BP5,IF($A$6=$BQ$1,$BQ5,IF($A$6=$BR$1,$BR5,IF($A$6=$BS$1,$BS5,IF($A$6=$BT$1,$BT5,IF($A$6=$BU$1,$BU5,IF($A$6="",INDEX(Tiere!$BN$2:$BN$153,_xlfn.AGGREGATE(15,6,(ROW(Tiere!$BN$2:$BN$153)-1)/(--(SEARCH(AM$2,Tiere!$BN$2:$BN$153)&gt;0)),ROW()-2),1))))))))),"")</f>
        <v>Jungvieh 1/2 bis 1 Jahr - Gülle</v>
      </c>
      <c r="AM6" s="1599"/>
      <c r="AN6" s="1624" t="str">
        <f>IFERROR(IF($A$7=$BO$1,$BO5,IF($A$7=$BP$1,$BP5,IF($A$7=$BQ$1,$BQ5,IF($A$7=$BR$1,$BR5,IF($A$7=$BS$1,$BS5,IF($A$7=$BT$1,$BT5,IF($A$7=$BU$1,$BU5,IF($A$7="",INDEX(Tiere!$BN$2:$BN$153,_xlfn.AGGREGATE(15,6,(ROW(Tiere!$BN$2:$BN$153)-1)/(--(SEARCH(AM$2,Tiere!$BN$2:$BN$153)&gt;0)),ROW()-2),1))))))))),"")</f>
        <v>Jungvieh 1/2 bis 1 Jahr - Gülle</v>
      </c>
      <c r="AO6" s="1599"/>
      <c r="AP6" s="1624" t="str">
        <f>IFERROR(IF($A$8=$BO$1,$BO5,IF($A$8=$BP$1,$BP5,IF($A$8=$BQ$1,$BQ5,IF($A$8=$BR$1,$BR5,IF($A$8=$BS$1,$BS5,IF($A$8=$BT$1,$BT5,IF($A$8=$BU$1,$BU5,IF($A$8="",INDEX(Tiere!$BN$2:$BN$153,_xlfn.AGGREGATE(15,6,(ROW(Tiere!$BN$2:$BN$153)-1)/(--(SEARCH(AQ$2,Tiere!$BN$2:$BN$153)&gt;0)),ROW()-2),1))))))))),"")</f>
        <v>Jungvieh 1/2 bis 1 Jahr - Gülle</v>
      </c>
      <c r="AQ6" s="1599"/>
      <c r="AR6" s="1624" t="str">
        <f>IFERROR(IF($A$9=$BO$1,$BO5,IF($A$9=$BP$1,$BP5,IF($A$9=$BQ$1,$BQ5,IF($A$9=$BR$1,$BR5,IF($A$9=$BS$1,$BS5,IF($A$9=$BT$1,$BT5,IF($A$9=$BU$1,$BU5,IF($A$9="",INDEX(Tiere!$BN$2:$BN$153,_xlfn.AGGREGATE(15,6,(ROW(Tiere!$BN$2:$BN$153)-1)/(--(SEARCH(AS$2,Tiere!$BN$2:$BN$153)&gt;0)),ROW()-2),1))))))))),"")</f>
        <v>Jungvieh 1/2 bis 1 Jahr - Gülle</v>
      </c>
      <c r="AS6" s="1599"/>
      <c r="AT6" s="1624" t="str">
        <f>IFERROR(IF($A$10=$BO$1,$BO5,IF($A$10=$BP$1,$BP5,IF($A$10=$BQ$1,$BQ5,IF($A$10=$BR$1,$BR5,IF($A$10=$BS$1,$BS5,IF($A$10=$BT$1,$BT5,IF($A$10=$BU$1,$BU5,IF($A$10="",INDEX(Tiere!$BN$2:$BN$153,_xlfn.AGGREGATE(15,6,(ROW(Tiere!$BN$2:$BN$153)-1)/(--(SEARCH(AU$2,Tiere!$BN$2:$BN$153)&gt;0)),ROW()-2),1))))))))),"")</f>
        <v>Jungvieh 1/2 bis 1 Jahr - Gülle</v>
      </c>
      <c r="AU6" s="1599"/>
      <c r="AV6" s="1624" t="str">
        <f>IFERROR(IF($A$11=$BO$1,$BO5,IF($A$11=$BP$1,$BP5,IF($A$11=$BQ$1,$BQ5,IF($A$11=$BR$1,$BR5,IF($A$11=$BS$1,$BS5,IF($A$11=$BT$1,$BT5,IF($A$11=$BU$1,$BU5,IF($A$11="",INDEX(Tiere!$BN$2:$BN$153,_xlfn.AGGREGATE(15,6,(ROW(Tiere!$BN$2:$BN$153)-1)/(--(SEARCH(AW$2,Tiere!$BN$2:$BN$153)&gt;0)),ROW()-2),1))))))))),"")</f>
        <v>Jungvieh 1/2 bis 1 Jahr - Gülle</v>
      </c>
      <c r="AW6" s="1599"/>
      <c r="AX6" s="1624" t="str">
        <f>IFERROR(IF($A$12=$BO$1,$BO5,IF($A$12=$BP$1,$BP5,IF($A$12=$BQ$1,$BQ5,IF($A$12=$BR$1,$BR5,IF($A$12=$BS$1,$BS5,IF($A$12=$BT$1,$BT5,IF($A$12=$BU$1,$BU5,IF($A$12="",INDEX(Tiere!$BN$2:$BN$153,_xlfn.AGGREGATE(15,6,(ROW(Tiere!$BN$2:$BN$153)-1)/(--(SEARCH(AY$2,Tiere!$BN$2:$BN$153)&gt;0)),ROW()-2),1))))))))),"")</f>
        <v>Jungvieh 1/2 bis 1 Jahr - Gülle</v>
      </c>
      <c r="AY6" s="1599"/>
      <c r="AZ6" s="1624" t="str">
        <f>IFERROR(IF($A$13=$BO$1,$BO5,IF($A$13=$BP$1,$BP5,IF($A$13=$BQ$1,$BQ5,IF($A$13=$BR$1,$BR5,IF($A$13=$BS$1,$BS5,IF($A$13=$BT$1,$BT5,IF($A$13=$BU$1,$BU5,IF($A$13="",INDEX(Tiere!$BN$2:$BN$153,_xlfn.AGGREGATE(15,6,(ROW(Tiere!$BN$2:$BN$153)-1)/(--(SEARCH(BA$2,Tiere!$BN$2:$BN$153)&gt;0)),ROW()-2),1))))))))),"")</f>
        <v>Jungvieh 1/2 bis 1 Jahr - Gülle</v>
      </c>
      <c r="BA6" s="1599"/>
      <c r="BB6" s="1624" t="str">
        <f>IFERROR(IF($A$14=$BO$1,$BO5,IF($A$14=$BP$1,$BP5,IF($A$14=$BQ$1,$BQ5,IF($A$14=$BR$1,$BR5,IF($A$14=$BS$1,$BS5,IF($A$14=$BT$1,$BT5,IF($A$14=$BU$1,$BU5,IF($A$14="",INDEX(Tiere!$BN$2:$BN$153,_xlfn.AGGREGATE(15,6,(ROW(Tiere!$BN$2:$BN$153)-1)/(--(SEARCH(BC$2,Tiere!$BN$2:$BN$153)&gt;0)),ROW()-2),1))))))))),"")</f>
        <v>Jungvieh 1/2 bis 1 Jahr - Gülle</v>
      </c>
      <c r="BC6" s="1599"/>
      <c r="BD6" s="1624" t="str">
        <f>IFERROR(IF($A$15=$BO$1,$BO5,IF($A$15=$BP$1,$BP5,IF($A$15=$BQ$1,$BQ5,IF($A$15=$BR$1,$BR5,IF($A$15=$BS$1,$BS5,IF($A$15=$BT$1,$BT5,IF($A$15=$BU$1,$BU5,IF($A$15="",INDEX(Tiere!$BN$2:$BN$153,_xlfn.AGGREGATE(15,6,(ROW(Tiere!$BN$2:$BN$153)-1)/(--(SEARCH(BE$2,Tiere!$BN$2:$BN$153)&gt;0)),ROW()-2),1))))))))),"")</f>
        <v>Jungvieh 1/2 bis 1 Jahr - Gülle</v>
      </c>
      <c r="BE6" s="1599"/>
      <c r="BF6" s="1624" t="str">
        <f>IFERROR(IF($A$16=$BO$1,$BO5,IF($A$16=$BP$1,$BP5,IF($A$16=$BQ$1,$BQ5,IF($A$16=$BR$1,$BR5,IF($A$16=$BS$1,$BS5,IF($A$16=$BT$1,$BT5,IF($A$16=$BU$1,$BU5,IF($A$16="",INDEX(Tiere!$BN$2:$BN$153,_xlfn.AGGREGATE(15,6,(ROW(Tiere!$BN$2:$BN$153)-1)/(--(SEARCH(BG$2,Tiere!$BN$2:$BN$153)&gt;0)),ROW()-2),1))))))))),"")</f>
        <v>Jungvieh 1/2 bis 1 Jahr - Gülle</v>
      </c>
      <c r="BG6" s="1599"/>
      <c r="BH6" s="1624" t="str">
        <f>IFERROR(IF($A$17=$BO$1,$BO5,IF($A$17=$BP$1,$BP5,IF($A$17=$BQ$1,$BQ5,IF($A$17=$BR$1,$BR5,IF($A$17=$BS$1,$BS5,IF($A$17=$BT$1,$BT5,IF($A$17=$BU$1,$BU5,IF($A$17="",INDEX(Tiere!$BN$2:$BN$153,_xlfn.AGGREGATE(15,6,(ROW(Tiere!$BN$2:$BN$153)-1)/(--(SEARCH(BI$2,Tiere!$BN$2:$BN$153)&gt;0)),ROW()-2),1))))))))),"")</f>
        <v>Jungvieh 1/2 bis 1 Jahr - Gülle</v>
      </c>
      <c r="BI6" s="1599"/>
      <c r="BJ6" s="1624" t="str">
        <f>IFERROR(IF($A$18=$BO$1,$BO5,IF($A$18=$BP$1,$BP5,IF($A$18=$BQ$1,$BQ5,IF($A$18=$BR$1,$BR5,IF($A$18=$BS$1,$BS5,IF($A$18=$BT$1,$BT5,IF($A$18=$BU$1,$BU5,IF($A$18="",INDEX(Tiere!$BN$2:$BN$153,_xlfn.AGGREGATE(15,6,(ROW(Tiere!$BN$2:$BN$153)-1)/(--(SEARCH(BK$2,Tiere!$BN$2:$BN$153)&gt;0)),ROW()-2),1))))))))),"")</f>
        <v>Jungvieh 1/2 bis 1 Jahr - Gülle</v>
      </c>
      <c r="BK6" s="1599"/>
      <c r="BL6" s="1624" t="str">
        <f>IFERROR(IF($A$19=$BO$1,$BO5,IF($A$19=$BP$1,$BP5,IF($A$19=$BQ$1,$BQ5,IF($A$19=$BR$1,$BR5,IF($A$19=$BS$1,$BS5,IF($A$19=$BT$1,$BT5,IF($A$19=$BU$1,$BU5,IF($A$19="",INDEX(Tiere!$BN$2:$BN$153,_xlfn.AGGREGATE(15,6,(ROW(Tiere!$BN$2:$BN$153)-1)/(--(SEARCH(BM$2,Tiere!$BN$2:$BN$153)&gt;0)),ROW()-2),1))))))))),"")</f>
        <v>Jungvieh 1/2 bis 1 Jahr - Gülle</v>
      </c>
      <c r="BM6" s="1599"/>
      <c r="BN6" s="1630" t="s">
        <v>506</v>
      </c>
      <c r="BO6" s="1599" t="s">
        <v>506</v>
      </c>
      <c r="BP6" s="1599" t="s">
        <v>697</v>
      </c>
      <c r="BQ6" s="1599" t="s">
        <v>753</v>
      </c>
      <c r="BR6" s="1599" t="s">
        <v>778</v>
      </c>
      <c r="BS6" s="1599" t="s">
        <v>771</v>
      </c>
      <c r="BT6" s="1599" t="s">
        <v>785</v>
      </c>
      <c r="BU6" s="1599" t="s">
        <v>802</v>
      </c>
      <c r="BW6" s="1895" t="s">
        <v>1673</v>
      </c>
      <c r="BY6" s="164" t="s">
        <v>1608</v>
      </c>
      <c r="BZ6">
        <f>IF(OR($A6=$BW$2,$A6=""),COUNTIF($BN$2:$BN$153,$B6),IF($A6&lt;&gt;"",COUNTIFS(TiereDropDown[B6],$B6,TiereDropDown[B6],"&lt;&gt;"""),0))</f>
        <v>0</v>
      </c>
      <c r="CA6" s="164"/>
      <c r="CD6" s="1911" t="s">
        <v>506</v>
      </c>
    </row>
    <row r="7" spans="1:243" ht="22.5" customHeight="1" thickTop="1" thickBot="1">
      <c r="A7" s="1914"/>
      <c r="B7" s="2645"/>
      <c r="C7" s="2646"/>
      <c r="D7" s="2646"/>
      <c r="E7" s="2646"/>
      <c r="F7" s="2646"/>
      <c r="G7" s="2646"/>
      <c r="H7" s="2647"/>
      <c r="I7" s="939"/>
      <c r="J7" s="940">
        <f>IFERROR(Tabelle1!AR7,0)</f>
        <v>0</v>
      </c>
      <c r="K7" s="941"/>
      <c r="L7" s="942"/>
      <c r="M7" s="941"/>
      <c r="N7" s="942"/>
      <c r="O7" s="943">
        <f>IFERROR(Tabelle1!AX7,0)</f>
        <v>0</v>
      </c>
      <c r="P7" s="943">
        <f>IFERROR(Tabelle1!BI7,0)</f>
        <v>0</v>
      </c>
      <c r="Q7" s="943">
        <f>IFERROR(Tabelle1!BO7,0)</f>
        <v>0</v>
      </c>
      <c r="R7" s="944">
        <f>IFERROR(Tabelle1!BB7,0)</f>
        <v>0</v>
      </c>
      <c r="S7" s="944">
        <f>IFERROR(Tabelle1!AY7,0)</f>
        <v>0</v>
      </c>
      <c r="T7" s="944">
        <f>IFERROR(Tabelle1!AZ7,0)</f>
        <v>0</v>
      </c>
      <c r="U7" s="944">
        <f>IFERROR(Tabelle1!BA7,0)</f>
        <v>0</v>
      </c>
      <c r="V7" s="944">
        <f>IFERROR(Tabelle1!CA7,0)</f>
        <v>0</v>
      </c>
      <c r="W7" s="944">
        <f>IFERROR(Tabelle1!CG7,0)</f>
        <v>0</v>
      </c>
      <c r="X7" s="944"/>
      <c r="Y7" s="438"/>
      <c r="Z7" s="168" t="s">
        <v>917</v>
      </c>
      <c r="AA7" s="164"/>
      <c r="AD7"/>
      <c r="AF7"/>
      <c r="AG7"/>
      <c r="AH7" s="1602"/>
      <c r="AJ7" s="1624" t="str">
        <f>IFERROR(IF($A$5=$BO$1,$BO6,IF($A$5=$BP$1,$BP6,IF($A$5=$BQ$1,$BQ6,IF($A$5=$BR$1,$BR6,IF($A$5=$BS$1,$BS6,IF($A$5=$BT$1,$BT6,IF($A$5=$BU$1,$BU6,IF($A$5="",INDEX(Tiere!$BN$2:$BN$153,_xlfn.AGGREGATE(15,6,(ROW(Tiere!$BN$2:$BN$153)-1)/(--(SEARCH(AK$2,Tiere!$BN$2:$BN$153)&gt;0)),ROW()-2),1))))))))),"")</f>
        <v>Jungvieh 1/2 bis 1 Jahr - Mist/Jauche</v>
      </c>
      <c r="AK7" s="1650"/>
      <c r="AL7" s="1624" t="str">
        <f>IFERROR(IF($A$6=$BO$1,$BO6,IF($A$6=$BP$1,$BP6,IF($A$6=$BQ$1,$BQ6,IF($A$6=$BR$1,$BR6,IF($A$6=$BS$1,$BS6,IF($A$6=$BT$1,$BT6,IF($A$6=$BU$1,$BU6,IF($A$6="",INDEX(Tiere!$BN$2:$BN$153,_xlfn.AGGREGATE(15,6,(ROW(Tiere!$BN$2:$BN$153)-1)/(--(SEARCH(AM$2,Tiere!$BN$2:$BN$153)&gt;0)),ROW()-2),1))))))))),"")</f>
        <v>Jungvieh 1/2 bis 1 Jahr - Mist/Jauche</v>
      </c>
      <c r="AM7" s="1601"/>
      <c r="AN7" s="1624" t="str">
        <f>IFERROR(IF($A$7=$BO$1,$BO6,IF($A$7=$BP$1,$BP6,IF($A$7=$BQ$1,$BQ6,IF($A$7=$BR$1,$BR6,IF($A$7=$BS$1,$BS6,IF($A$7=$BT$1,$BT6,IF($A$7=$BU$1,$BU6,IF($A$7="",INDEX(Tiere!$BN$2:$BN$153,_xlfn.AGGREGATE(15,6,(ROW(Tiere!$BN$2:$BN$153)-1)/(--(SEARCH(AM$2,Tiere!$BN$2:$BN$153)&gt;0)),ROW()-2),1))))))))),"")</f>
        <v>Jungvieh 1/2 bis 1 Jahr - Mist/Jauche</v>
      </c>
      <c r="AO7" s="1601"/>
      <c r="AP7" s="1624" t="str">
        <f>IFERROR(IF($A$8=$BO$1,$BO6,IF($A$8=$BP$1,$BP6,IF($A$8=$BQ$1,$BQ6,IF($A$8=$BR$1,$BR6,IF($A$8=$BS$1,$BS6,IF($A$8=$BT$1,$BT6,IF($A$8=$BU$1,$BU6,IF($A$8="",INDEX(Tiere!$BN$2:$BN$153,_xlfn.AGGREGATE(15,6,(ROW(Tiere!$BN$2:$BN$153)-1)/(--(SEARCH(AQ$2,Tiere!$BN$2:$BN$153)&gt;0)),ROW()-2),1))))))))),"")</f>
        <v>Jungvieh 1/2 bis 1 Jahr - Mist/Jauche</v>
      </c>
      <c r="AQ7" s="1601"/>
      <c r="AR7" s="1624" t="str">
        <f>IFERROR(IF($A$9=$BO$1,$BO6,IF($A$9=$BP$1,$BP6,IF($A$9=$BQ$1,$BQ6,IF($A$9=$BR$1,$BR6,IF($A$9=$BS$1,$BS6,IF($A$9=$BT$1,$BT6,IF($A$9=$BU$1,$BU6,IF($A$9="",INDEX(Tiere!$BN$2:$BN$153,_xlfn.AGGREGATE(15,6,(ROW(Tiere!$BN$2:$BN$153)-1)/(--(SEARCH(AS$2,Tiere!$BN$2:$BN$153)&gt;0)),ROW()-2),1))))))))),"")</f>
        <v>Jungvieh 1/2 bis 1 Jahr - Mist/Jauche</v>
      </c>
      <c r="AS7" s="1601"/>
      <c r="AT7" s="1624" t="str">
        <f>IFERROR(IF($A$10=$BO$1,$BO6,IF($A$10=$BP$1,$BP6,IF($A$10=$BQ$1,$BQ6,IF($A$10=$BR$1,$BR6,IF($A$10=$BS$1,$BS6,IF($A$10=$BT$1,$BT6,IF($A$10=$BU$1,$BU6,IF($A$10="",INDEX(Tiere!$BN$2:$BN$153,_xlfn.AGGREGATE(15,6,(ROW(Tiere!$BN$2:$BN$153)-1)/(--(SEARCH(AU$2,Tiere!$BN$2:$BN$153)&gt;0)),ROW()-2),1))))))))),"")</f>
        <v>Jungvieh 1/2 bis 1 Jahr - Mist/Jauche</v>
      </c>
      <c r="AU7" s="1601"/>
      <c r="AV7" s="1624" t="str">
        <f>IFERROR(IF($A$11=$BO$1,$BO6,IF($A$11=$BP$1,$BP6,IF($A$11=$BQ$1,$BQ6,IF($A$11=$BR$1,$BR6,IF($A$11=$BS$1,$BS6,IF($A$11=$BT$1,$BT6,IF($A$11=$BU$1,$BU6,IF($A$11="",INDEX(Tiere!$BN$2:$BN$153,_xlfn.AGGREGATE(15,6,(ROW(Tiere!$BN$2:$BN$153)-1)/(--(SEARCH(AW$2,Tiere!$BN$2:$BN$153)&gt;0)),ROW()-2),1))))))))),"")</f>
        <v>Jungvieh 1/2 bis 1 Jahr - Mist/Jauche</v>
      </c>
      <c r="AW7" s="1601"/>
      <c r="AX7" s="1624" t="str">
        <f>IFERROR(IF($A$12=$BO$1,$BO6,IF($A$12=$BP$1,$BP6,IF($A$12=$BQ$1,$BQ6,IF($A$12=$BR$1,$BR6,IF($A$12=$BS$1,$BS6,IF($A$12=$BT$1,$BT6,IF($A$12=$BU$1,$BU6,IF($A$12="",INDEX(Tiere!$BN$2:$BN$153,_xlfn.AGGREGATE(15,6,(ROW(Tiere!$BN$2:$BN$153)-1)/(--(SEARCH(AY$2,Tiere!$BN$2:$BN$153)&gt;0)),ROW()-2),1))))))))),"")</f>
        <v>Jungvieh 1/2 bis 1 Jahr - Mist/Jauche</v>
      </c>
      <c r="AY7" s="1601"/>
      <c r="AZ7" s="1624" t="str">
        <f>IFERROR(IF($A$13=$BO$1,$BO6,IF($A$13=$BP$1,$BP6,IF($A$13=$BQ$1,$BQ6,IF($A$13=$BR$1,$BR6,IF($A$13=$BS$1,$BS6,IF($A$13=$BT$1,$BT6,IF($A$13=$BU$1,$BU6,IF($A$13="",INDEX(Tiere!$BN$2:$BN$153,_xlfn.AGGREGATE(15,6,(ROW(Tiere!$BN$2:$BN$153)-1)/(--(SEARCH(BA$2,Tiere!$BN$2:$BN$153)&gt;0)),ROW()-2),1))))))))),"")</f>
        <v>Jungvieh 1/2 bis 1 Jahr - Mist/Jauche</v>
      </c>
      <c r="BA7" s="1601"/>
      <c r="BB7" s="1624" t="str">
        <f>IFERROR(IF($A$14=$BO$1,$BO6,IF($A$14=$BP$1,$BP6,IF($A$14=$BQ$1,$BQ6,IF($A$14=$BR$1,$BR6,IF($A$14=$BS$1,$BS6,IF($A$14=$BT$1,$BT6,IF($A$14=$BU$1,$BU6,IF($A$14="",INDEX(Tiere!$BN$2:$BN$153,_xlfn.AGGREGATE(15,6,(ROW(Tiere!$BN$2:$BN$153)-1)/(--(SEARCH(BC$2,Tiere!$BN$2:$BN$153)&gt;0)),ROW()-2),1))))))))),"")</f>
        <v>Jungvieh 1/2 bis 1 Jahr - Mist/Jauche</v>
      </c>
      <c r="BC7" s="1601"/>
      <c r="BD7" s="1624" t="str">
        <f>IFERROR(IF($A$15=$BO$1,$BO6,IF($A$15=$BP$1,$BP6,IF($A$15=$BQ$1,$BQ6,IF($A$15=$BR$1,$BR6,IF($A$15=$BS$1,$BS6,IF($A$15=$BT$1,$BT6,IF($A$15=$BU$1,$BU6,IF($A$15="",INDEX(Tiere!$BN$2:$BN$153,_xlfn.AGGREGATE(15,6,(ROW(Tiere!$BN$2:$BN$153)-1)/(--(SEARCH(BE$2,Tiere!$BN$2:$BN$153)&gt;0)),ROW()-2),1))))))))),"")</f>
        <v>Jungvieh 1/2 bis 1 Jahr - Mist/Jauche</v>
      </c>
      <c r="BE7" s="1601"/>
      <c r="BF7" s="1624" t="str">
        <f>IFERROR(IF($A$16=$BO$1,$BO6,IF($A$16=$BP$1,$BP6,IF($A$16=$BQ$1,$BQ6,IF($A$16=$BR$1,$BR6,IF($A$16=$BS$1,$BS6,IF($A$16=$BT$1,$BT6,IF($A$16=$BU$1,$BU6,IF($A$16="",INDEX(Tiere!$BN$2:$BN$153,_xlfn.AGGREGATE(15,6,(ROW(Tiere!$BN$2:$BN$153)-1)/(--(SEARCH(BG$2,Tiere!$BN$2:$BN$153)&gt;0)),ROW()-2),1))))))))),"")</f>
        <v>Jungvieh 1/2 bis 1 Jahr - Mist/Jauche</v>
      </c>
      <c r="BG7" s="1601"/>
      <c r="BH7" s="1624" t="str">
        <f>IFERROR(IF($A$17=$BO$1,$BO6,IF($A$17=$BP$1,$BP6,IF($A$17=$BQ$1,$BQ6,IF($A$17=$BR$1,$BR6,IF($A$17=$BS$1,$BS6,IF($A$17=$BT$1,$BT6,IF($A$17=$BU$1,$BU6,IF($A$17="",INDEX(Tiere!$BN$2:$BN$153,_xlfn.AGGREGATE(15,6,(ROW(Tiere!$BN$2:$BN$153)-1)/(--(SEARCH(BI$2,Tiere!$BN$2:$BN$153)&gt;0)),ROW()-2),1))))))))),"")</f>
        <v>Jungvieh 1/2 bis 1 Jahr - Mist/Jauche</v>
      </c>
      <c r="BI7" s="1601"/>
      <c r="BJ7" s="1624" t="str">
        <f>IFERROR(IF($A$18=$BO$1,$BO6,IF($A$18=$BP$1,$BP6,IF($A$18=$BQ$1,$BQ6,IF($A$18=$BR$1,$BR6,IF($A$18=$BS$1,$BS6,IF($A$18=$BT$1,$BT6,IF($A$18=$BU$1,$BU6,IF($A$18="",INDEX(Tiere!$BN$2:$BN$153,_xlfn.AGGREGATE(15,6,(ROW(Tiere!$BN$2:$BN$153)-1)/(--(SEARCH(BK$2,Tiere!$BN$2:$BN$153)&gt;0)),ROW()-2),1))))))))),"")</f>
        <v>Jungvieh 1/2 bis 1 Jahr - Mist/Jauche</v>
      </c>
      <c r="BK7" s="1601"/>
      <c r="BL7" s="1624" t="str">
        <f>IFERROR(IF($A$19=$BO$1,$BO6,IF($A$19=$BP$1,$BP6,IF($A$19=$BQ$1,$BQ6,IF($A$19=$BR$1,$BR6,IF($A$19=$BS$1,$BS6,IF($A$19=$BT$1,$BT6,IF($A$19=$BU$1,$BU6,IF($A$19="",INDEX(Tiere!$BN$2:$BN$153,_xlfn.AGGREGATE(15,6,(ROW(Tiere!$BN$2:$BN$153)-1)/(--(SEARCH(BM$2,Tiere!$BN$2:$BN$153)&gt;0)),ROW()-2),1))))))))),"")</f>
        <v>Jungvieh 1/2 bis 1 Jahr - Mist/Jauche</v>
      </c>
      <c r="BM7" s="1601"/>
      <c r="BN7" s="1630" t="s">
        <v>508</v>
      </c>
      <c r="BO7" s="1599" t="s">
        <v>508</v>
      </c>
      <c r="BP7" s="1599" t="s">
        <v>699</v>
      </c>
      <c r="BQ7" s="1599" t="s">
        <v>756</v>
      </c>
      <c r="BR7" s="1599" t="s">
        <v>779</v>
      </c>
      <c r="BS7" s="1599" t="s">
        <v>773</v>
      </c>
      <c r="BT7" s="1599" t="s">
        <v>786</v>
      </c>
      <c r="BU7" s="1599" t="s">
        <v>803</v>
      </c>
      <c r="BW7" s="1895" t="s">
        <v>1178</v>
      </c>
      <c r="BY7" s="162" t="s">
        <v>1609</v>
      </c>
      <c r="BZ7">
        <f>IF(OR($A7=$BW$2,$A7=""),COUNTIF($BN$2:$BN$153,$B7),IF($A7&lt;&gt;"",COUNTIFS(TiereDropDown[B7],$B7,TiereDropDown[B7],"&lt;&gt;"""),0))</f>
        <v>0</v>
      </c>
      <c r="CD7" s="1911" t="s">
        <v>508</v>
      </c>
    </row>
    <row r="8" spans="1:243" ht="22.5" customHeight="1" thickTop="1" thickBot="1">
      <c r="A8" s="1914"/>
      <c r="B8" s="2645"/>
      <c r="C8" s="2646"/>
      <c r="D8" s="2646"/>
      <c r="E8" s="2646"/>
      <c r="F8" s="2646"/>
      <c r="G8" s="2646"/>
      <c r="H8" s="2647"/>
      <c r="I8" s="939"/>
      <c r="J8" s="940">
        <f>IFERROR(Tabelle1!AR8,0)</f>
        <v>0</v>
      </c>
      <c r="K8" s="941"/>
      <c r="L8" s="942"/>
      <c r="M8" s="941"/>
      <c r="N8" s="942"/>
      <c r="O8" s="943">
        <f>IFERROR(Tabelle1!AX8,0)</f>
        <v>0</v>
      </c>
      <c r="P8" s="943">
        <f>IFERROR(Tabelle1!BI8,0)</f>
        <v>0</v>
      </c>
      <c r="Q8" s="943">
        <f>IFERROR(Tabelle1!BO8,0)</f>
        <v>0</v>
      </c>
      <c r="R8" s="944">
        <f>IFERROR(Tabelle1!BB8,0)</f>
        <v>0</v>
      </c>
      <c r="S8" s="944">
        <f>IFERROR(Tabelle1!AY8,0)</f>
        <v>0</v>
      </c>
      <c r="T8" s="944">
        <f>IFERROR(Tabelle1!AZ8,0)</f>
        <v>0</v>
      </c>
      <c r="U8" s="944">
        <f>IFERROR(Tabelle1!BA8,0)</f>
        <v>0</v>
      </c>
      <c r="V8" s="944">
        <f>IFERROR(Tabelle1!CA8,0)</f>
        <v>0</v>
      </c>
      <c r="W8" s="944">
        <f>IFERROR(Tabelle1!CG8,0)</f>
        <v>0</v>
      </c>
      <c r="X8" s="944"/>
      <c r="Y8" s="438"/>
      <c r="Z8" s="166" t="s">
        <v>918</v>
      </c>
      <c r="AD8"/>
      <c r="AF8"/>
      <c r="AG8"/>
      <c r="AH8" s="1602"/>
      <c r="AJ8" s="1624" t="str">
        <f>IFERROR(IF($A$5=$BO$1,$BO7,IF($A$5=$BP$1,$BP7,IF($A$5=$BQ$1,$BQ7,IF($A$5=$BR$1,$BR7,IF($A$5=$BS$1,$BS7,IF($A$5=$BT$1,$BT7,IF($A$5=$BU$1,$BU7,IF($A$5="",INDEX(Tiere!$BN$2:$BN$153,_xlfn.AGGREGATE(15,6,(ROW(Tiere!$BN$2:$BN$153)-1)/(--(SEARCH(AK$2,Tiere!$BN$2:$BN$153)&gt;0)),ROW()-2),1))))))))),"")</f>
        <v>Jungvieh 1/2 bis 1 Jahr - Tiefstallmist</v>
      </c>
      <c r="AK8" s="1650"/>
      <c r="AL8" s="1624" t="str">
        <f>IFERROR(IF($A$6=$BO$1,$BO7,IF($A$6=$BP$1,$BP7,IF($A$6=$BQ$1,$BQ7,IF($A$6=$BR$1,$BR7,IF($A$6=$BS$1,$BS7,IF($A$6=$BT$1,$BT7,IF($A$6=$BU$1,$BU7,IF($A$6="",INDEX(Tiere!$BN$2:$BN$153,_xlfn.AGGREGATE(15,6,(ROW(Tiere!$BN$2:$BN$153)-1)/(--(SEARCH(AM$2,Tiere!$BN$2:$BN$153)&gt;0)),ROW()-2),1))))))))),"")</f>
        <v>Jungvieh 1/2 bis 1 Jahr - Tiefstallmist</v>
      </c>
      <c r="AM8" s="1599"/>
      <c r="AN8" s="1624" t="str">
        <f>IFERROR(IF($A$7=$BO$1,$BO7,IF($A$7=$BP$1,$BP7,IF($A$7=$BQ$1,$BQ7,IF($A$7=$BR$1,$BR7,IF($A$7=$BS$1,$BS7,IF($A$7=$BT$1,$BT7,IF($A$7=$BU$1,$BU7,IF($A$7="",INDEX(Tiere!$BN$2:$BN$153,_xlfn.AGGREGATE(15,6,(ROW(Tiere!$BN$2:$BN$153)-1)/(--(SEARCH(AM$2,Tiere!$BN$2:$BN$153)&gt;0)),ROW()-2),1))))))))),"")</f>
        <v>Jungvieh 1/2 bis 1 Jahr - Tiefstallmist</v>
      </c>
      <c r="AO8" s="1599"/>
      <c r="AP8" s="1624" t="str">
        <f>IFERROR(IF($A$8=$BO$1,$BO7,IF($A$8=$BP$1,$BP7,IF($A$8=$BQ$1,$BQ7,IF($A$8=$BR$1,$BR7,IF($A$8=$BS$1,$BS7,IF($A$8=$BT$1,$BT7,IF($A$8=$BU$1,$BU7,IF($A$8="",INDEX(Tiere!$BN$2:$BN$153,_xlfn.AGGREGATE(15,6,(ROW(Tiere!$BN$2:$BN$153)-1)/(--(SEARCH(AQ$2,Tiere!$BN$2:$BN$153)&gt;0)),ROW()-2),1))))))))),"")</f>
        <v>Jungvieh 1/2 bis 1 Jahr - Tiefstallmist</v>
      </c>
      <c r="AQ8" s="1599"/>
      <c r="AR8" s="1624" t="str">
        <f>IFERROR(IF($A$9=$BO$1,$BO7,IF($A$9=$BP$1,$BP7,IF($A$9=$BQ$1,$BQ7,IF($A$9=$BR$1,$BR7,IF($A$9=$BS$1,$BS7,IF($A$9=$BT$1,$BT7,IF($A$9=$BU$1,$BU7,IF($A$9="",INDEX(Tiere!$BN$2:$BN$153,_xlfn.AGGREGATE(15,6,(ROW(Tiere!$BN$2:$BN$153)-1)/(--(SEARCH(AS$2,Tiere!$BN$2:$BN$153)&gt;0)),ROW()-2),1))))))))),"")</f>
        <v>Jungvieh 1/2 bis 1 Jahr - Tiefstallmist</v>
      </c>
      <c r="AS8" s="1599"/>
      <c r="AT8" s="1624" t="str">
        <f>IFERROR(IF($A$10=$BO$1,$BO7,IF($A$10=$BP$1,$BP7,IF($A$10=$BQ$1,$BQ7,IF($A$10=$BR$1,$BR7,IF($A$10=$BS$1,$BS7,IF($A$10=$BT$1,$BT7,IF($A$10=$BU$1,$BU7,IF($A$10="",INDEX(Tiere!$BN$2:$BN$153,_xlfn.AGGREGATE(15,6,(ROW(Tiere!$BN$2:$BN$153)-1)/(--(SEARCH(AU$2,Tiere!$BN$2:$BN$153)&gt;0)),ROW()-2),1))))))))),"")</f>
        <v>Jungvieh 1/2 bis 1 Jahr - Tiefstallmist</v>
      </c>
      <c r="AU8" s="1599"/>
      <c r="AV8" s="1624" t="str">
        <f>IFERROR(IF($A$11=$BO$1,$BO7,IF($A$11=$BP$1,$BP7,IF($A$11=$BQ$1,$BQ7,IF($A$11=$BR$1,$BR7,IF($A$11=$BS$1,$BS7,IF($A$11=$BT$1,$BT7,IF($A$11=$BU$1,$BU7,IF($A$11="",INDEX(Tiere!$BN$2:$BN$153,_xlfn.AGGREGATE(15,6,(ROW(Tiere!$BN$2:$BN$153)-1)/(--(SEARCH(AW$2,Tiere!$BN$2:$BN$153)&gt;0)),ROW()-2),1))))))))),"")</f>
        <v>Jungvieh 1/2 bis 1 Jahr - Tiefstallmist</v>
      </c>
      <c r="AW8" s="1599"/>
      <c r="AX8" s="1624" t="str">
        <f>IFERROR(IF($A$12=$BO$1,$BO7,IF($A$12=$BP$1,$BP7,IF($A$12=$BQ$1,$BQ7,IF($A$12=$BR$1,$BR7,IF($A$12=$BS$1,$BS7,IF($A$12=$BT$1,$BT7,IF($A$12=$BU$1,$BU7,IF($A$12="",INDEX(Tiere!$BN$2:$BN$153,_xlfn.AGGREGATE(15,6,(ROW(Tiere!$BN$2:$BN$153)-1)/(--(SEARCH(AY$2,Tiere!$BN$2:$BN$153)&gt;0)),ROW()-2),1))))))))),"")</f>
        <v>Jungvieh 1/2 bis 1 Jahr - Tiefstallmist</v>
      </c>
      <c r="AY8" s="1599"/>
      <c r="AZ8" s="1624" t="str">
        <f>IFERROR(IF($A$13=$BO$1,$BO7,IF($A$13=$BP$1,$BP7,IF($A$13=$BQ$1,$BQ7,IF($A$13=$BR$1,$BR7,IF($A$13=$BS$1,$BS7,IF($A$13=$BT$1,$BT7,IF($A$13=$BU$1,$BU7,IF($A$13="",INDEX(Tiere!$BN$2:$BN$153,_xlfn.AGGREGATE(15,6,(ROW(Tiere!$BN$2:$BN$153)-1)/(--(SEARCH(BA$2,Tiere!$BN$2:$BN$153)&gt;0)),ROW()-2),1))))))))),"")</f>
        <v>Jungvieh 1/2 bis 1 Jahr - Tiefstallmist</v>
      </c>
      <c r="BA8" s="1599"/>
      <c r="BB8" s="1624" t="str">
        <f>IFERROR(IF($A$14=$BO$1,$BO7,IF($A$14=$BP$1,$BP7,IF($A$14=$BQ$1,$BQ7,IF($A$14=$BR$1,$BR7,IF($A$14=$BS$1,$BS7,IF($A$14=$BT$1,$BT7,IF($A$14=$BU$1,$BU7,IF($A$14="",INDEX(Tiere!$BN$2:$BN$153,_xlfn.AGGREGATE(15,6,(ROW(Tiere!$BN$2:$BN$153)-1)/(--(SEARCH(BC$2,Tiere!$BN$2:$BN$153)&gt;0)),ROW()-2),1))))))))),"")</f>
        <v>Jungvieh 1/2 bis 1 Jahr - Tiefstallmist</v>
      </c>
      <c r="BC8" s="1599"/>
      <c r="BD8" s="1624" t="str">
        <f>IFERROR(IF($A$15=$BO$1,$BO7,IF($A$15=$BP$1,$BP7,IF($A$15=$BQ$1,$BQ7,IF($A$15=$BR$1,$BR7,IF($A$15=$BS$1,$BS7,IF($A$15=$BT$1,$BT7,IF($A$15=$BU$1,$BU7,IF($A$15="",INDEX(Tiere!$BN$2:$BN$153,_xlfn.AGGREGATE(15,6,(ROW(Tiere!$BN$2:$BN$153)-1)/(--(SEARCH(BE$2,Tiere!$BN$2:$BN$153)&gt;0)),ROW()-2),1))))))))),"")</f>
        <v>Jungvieh 1/2 bis 1 Jahr - Tiefstallmist</v>
      </c>
      <c r="BE8" s="1599"/>
      <c r="BF8" s="1624" t="str">
        <f>IFERROR(IF($A$16=$BO$1,$BO7,IF($A$16=$BP$1,$BP7,IF($A$16=$BQ$1,$BQ7,IF($A$16=$BR$1,$BR7,IF($A$16=$BS$1,$BS7,IF($A$16=$BT$1,$BT7,IF($A$16=$BU$1,$BU7,IF($A$16="",INDEX(Tiere!$BN$2:$BN$153,_xlfn.AGGREGATE(15,6,(ROW(Tiere!$BN$2:$BN$153)-1)/(--(SEARCH(BG$2,Tiere!$BN$2:$BN$153)&gt;0)),ROW()-2),1))))))))),"")</f>
        <v>Jungvieh 1/2 bis 1 Jahr - Tiefstallmist</v>
      </c>
      <c r="BG8" s="1599"/>
      <c r="BH8" s="1624" t="str">
        <f>IFERROR(IF($A$17=$BO$1,$BO7,IF($A$17=$BP$1,$BP7,IF($A$17=$BQ$1,$BQ7,IF($A$17=$BR$1,$BR7,IF($A$17=$BS$1,$BS7,IF($A$17=$BT$1,$BT7,IF($A$17=$BU$1,$BU7,IF($A$17="",INDEX(Tiere!$BN$2:$BN$153,_xlfn.AGGREGATE(15,6,(ROW(Tiere!$BN$2:$BN$153)-1)/(--(SEARCH(BI$2,Tiere!$BN$2:$BN$153)&gt;0)),ROW()-2),1))))))))),"")</f>
        <v>Jungvieh 1/2 bis 1 Jahr - Tiefstallmist</v>
      </c>
      <c r="BI8" s="1599"/>
      <c r="BJ8" s="1624" t="str">
        <f>IFERROR(IF($A$18=$BO$1,$BO7,IF($A$18=$BP$1,$BP7,IF($A$18=$BQ$1,$BQ7,IF($A$18=$BR$1,$BR7,IF($A$18=$BS$1,$BS7,IF($A$18=$BT$1,$BT7,IF($A$18=$BU$1,$BU7,IF($A$18="",INDEX(Tiere!$BN$2:$BN$153,_xlfn.AGGREGATE(15,6,(ROW(Tiere!$BN$2:$BN$153)-1)/(--(SEARCH(BK$2,Tiere!$BN$2:$BN$153)&gt;0)),ROW()-2),1))))))))),"")</f>
        <v>Jungvieh 1/2 bis 1 Jahr - Tiefstallmist</v>
      </c>
      <c r="BK8" s="1599"/>
      <c r="BL8" s="1624" t="str">
        <f>IFERROR(IF($A$19=$BO$1,$BO7,IF($A$19=$BP$1,$BP7,IF($A$19=$BQ$1,$BQ7,IF($A$19=$BR$1,$BR7,IF($A$19=$BS$1,$BS7,IF($A$19=$BT$1,$BT7,IF($A$19=$BU$1,$BU7,IF($A$19="",INDEX(Tiere!$BN$2:$BN$153,_xlfn.AGGREGATE(15,6,(ROW(Tiere!$BN$2:$BN$153)-1)/(--(SEARCH(BM$2,Tiere!$BN$2:$BN$153)&gt;0)),ROW()-2),1))))))))),"")</f>
        <v>Jungvieh 1/2 bis 1 Jahr - Tiefstallmist</v>
      </c>
      <c r="BM8" s="1599"/>
      <c r="BN8" s="1630" t="s">
        <v>511</v>
      </c>
      <c r="BO8" s="1599" t="s">
        <v>511</v>
      </c>
      <c r="BP8" s="1599" t="s">
        <v>2395</v>
      </c>
      <c r="BQ8" s="1599" t="s">
        <v>759</v>
      </c>
      <c r="BR8" s="1901"/>
      <c r="BS8" s="1901"/>
      <c r="BT8" s="1599" t="s">
        <v>787</v>
      </c>
      <c r="BU8" s="1599" t="s">
        <v>804</v>
      </c>
      <c r="BW8" s="1896" t="s">
        <v>796</v>
      </c>
      <c r="BY8" s="162" t="s">
        <v>1610</v>
      </c>
      <c r="BZ8">
        <f>IF(OR($A8=$BW$2,$A8=""),COUNTIF($BN$2:$BN$153,$B8),IF($A8&lt;&gt;"",COUNTIFS(TiereDropDown[B8],$B8,TiereDropDown[B8],"&lt;&gt;"""),0))</f>
        <v>0</v>
      </c>
      <c r="CD8" s="1911" t="s">
        <v>511</v>
      </c>
    </row>
    <row r="9" spans="1:243" ht="22.5" customHeight="1" thickTop="1" thickBot="1">
      <c r="A9" s="1914"/>
      <c r="B9" s="2645"/>
      <c r="C9" s="2646"/>
      <c r="D9" s="2646"/>
      <c r="E9" s="2646"/>
      <c r="F9" s="2646"/>
      <c r="G9" s="2646"/>
      <c r="H9" s="2647"/>
      <c r="I9" s="939"/>
      <c r="J9" s="940">
        <f>IFERROR(Tabelle1!AR9,0)</f>
        <v>0</v>
      </c>
      <c r="K9" s="941"/>
      <c r="L9" s="942"/>
      <c r="M9" s="941"/>
      <c r="N9" s="942"/>
      <c r="O9" s="943">
        <f>IFERROR(Tabelle1!AX9,0)</f>
        <v>0</v>
      </c>
      <c r="P9" s="943">
        <f>IFERROR(Tabelle1!BI9,0)</f>
        <v>0</v>
      </c>
      <c r="Q9" s="943">
        <f>IFERROR(Tabelle1!BO9,0)</f>
        <v>0</v>
      </c>
      <c r="R9" s="944">
        <f>IFERROR(Tabelle1!BB9,0)</f>
        <v>0</v>
      </c>
      <c r="S9" s="944">
        <f>IFERROR(Tabelle1!AY9,0)</f>
        <v>0</v>
      </c>
      <c r="T9" s="944">
        <f>IFERROR(Tabelle1!AZ9,0)</f>
        <v>0</v>
      </c>
      <c r="U9" s="944">
        <f>IFERROR(Tabelle1!BA9,0)</f>
        <v>0</v>
      </c>
      <c r="V9" s="944">
        <f>IFERROR(Tabelle1!CA9,0)</f>
        <v>0</v>
      </c>
      <c r="W9" s="944">
        <f>IFERROR(Tabelle1!CG9,0)</f>
        <v>0</v>
      </c>
      <c r="X9" s="944"/>
      <c r="Y9" s="438"/>
      <c r="Z9" s="165" t="s">
        <v>919</v>
      </c>
      <c r="AD9"/>
      <c r="AF9"/>
      <c r="AG9"/>
      <c r="AH9" s="1602"/>
      <c r="AJ9" s="1624" t="str">
        <f>IFERROR(IF($A$5=$BO$1,$BO8,IF($A$5=$BP$1,$BP8,IF($A$5=$BQ$1,$BQ8,IF($A$5=$BR$1,$BR8,IF($A$5=$BS$1,$BS8,IF($A$5=$BT$1,$BT8,IF($A$5=$BU$1,$BU8,IF($A$5="",INDEX(Tiere!$BN$2:$BN$153,_xlfn.AGGREGATE(15,6,(ROW(Tiere!$BN$2:$BN$153)-1)/(--(SEARCH(AK$2,Tiere!$BN$2:$BN$153)&gt;0)),ROW()-2),1))))))))),"")</f>
        <v>Jungvieh 1 bis 2 Jahr - Gülle</v>
      </c>
      <c r="AK9" s="1650"/>
      <c r="AL9" s="1624" t="str">
        <f>IFERROR(IF($A$6=$BO$1,$BO8,IF($A$6=$BP$1,$BP8,IF($A$6=$BQ$1,$BQ8,IF($A$6=$BR$1,$BR8,IF($A$6=$BS$1,$BS8,IF($A$6=$BT$1,$BT8,IF($A$6=$BU$1,$BU8,IF($A$6="",INDEX(Tiere!$BN$2:$BN$153,_xlfn.AGGREGATE(15,6,(ROW(Tiere!$BN$2:$BN$153)-1)/(--(SEARCH(AM$2,Tiere!$BN$2:$BN$153)&gt;0)),ROW()-2),1))))))))),"")</f>
        <v>Jungvieh 1 bis 2 Jahr - Gülle</v>
      </c>
      <c r="AM9" s="1601"/>
      <c r="AN9" s="1624" t="str">
        <f>IFERROR(IF($A$7=$BO$1,$BO8,IF($A$7=$BP$1,$BP8,IF($A$7=$BQ$1,$BQ8,IF($A$7=$BR$1,$BR8,IF($A$7=$BS$1,$BS8,IF($A$7=$BT$1,$BT8,IF($A$7=$BU$1,$BU8,IF($A$7="",INDEX(Tiere!$BN$2:$BN$153,_xlfn.AGGREGATE(15,6,(ROW(Tiere!$BN$2:$BN$153)-1)/(--(SEARCH(AM$2,Tiere!$BN$2:$BN$153)&gt;0)),ROW()-2),1))))))))),"")</f>
        <v>Jungvieh 1 bis 2 Jahr - Gülle</v>
      </c>
      <c r="AO9" s="1601"/>
      <c r="AP9" s="1624" t="str">
        <f>IFERROR(IF($A$8=$BO$1,$BO8,IF($A$8=$BP$1,$BP8,IF($A$8=$BQ$1,$BQ8,IF($A$8=$BR$1,$BR8,IF($A$8=$BS$1,$BS8,IF($A$8=$BT$1,$BT8,IF($A$8=$BU$1,$BU8,IF($A$8="",INDEX(Tiere!$BN$2:$BN$153,_xlfn.AGGREGATE(15,6,(ROW(Tiere!$BN$2:$BN$153)-1)/(--(SEARCH(AQ$2,Tiere!$BN$2:$BN$153)&gt;0)),ROW()-2),1))))))))),"")</f>
        <v>Jungvieh 1 bis 2 Jahr - Gülle</v>
      </c>
      <c r="AQ9" s="1601"/>
      <c r="AR9" s="1624" t="str">
        <f>IFERROR(IF($A$9=$BO$1,$BO8,IF($A$9=$BP$1,$BP8,IF($A$9=$BQ$1,$BQ8,IF($A$9=$BR$1,$BR8,IF($A$9=$BS$1,$BS8,IF($A$9=$BT$1,$BT8,IF($A$9=$BU$1,$BU8,IF($A$9="",INDEX(Tiere!$BN$2:$BN$153,_xlfn.AGGREGATE(15,6,(ROW(Tiere!$BN$2:$BN$153)-1)/(--(SEARCH(AS$2,Tiere!$BN$2:$BN$153)&gt;0)),ROW()-2),1))))))))),"")</f>
        <v>Jungvieh 1 bis 2 Jahr - Gülle</v>
      </c>
      <c r="AS9" s="1601"/>
      <c r="AT9" s="1624" t="str">
        <f>IFERROR(IF($A$10=$BO$1,$BO8,IF($A$10=$BP$1,$BP8,IF($A$10=$BQ$1,$BQ8,IF($A$10=$BR$1,$BR8,IF($A$10=$BS$1,$BS8,IF($A$10=$BT$1,$BT8,IF($A$10=$BU$1,$BU8,IF($A$10="",INDEX(Tiere!$BN$2:$BN$153,_xlfn.AGGREGATE(15,6,(ROW(Tiere!$BN$2:$BN$153)-1)/(--(SEARCH(AU$2,Tiere!$BN$2:$BN$153)&gt;0)),ROW()-2),1))))))))),"")</f>
        <v>Jungvieh 1 bis 2 Jahr - Gülle</v>
      </c>
      <c r="AU9" s="1601"/>
      <c r="AV9" s="1624" t="str">
        <f>IFERROR(IF($A$11=$BO$1,$BO8,IF($A$11=$BP$1,$BP8,IF($A$11=$BQ$1,$BQ8,IF($A$11=$BR$1,$BR8,IF($A$11=$BS$1,$BS8,IF($A$11=$BT$1,$BT8,IF($A$11=$BU$1,$BU8,IF($A$11="",INDEX(Tiere!$BN$2:$BN$153,_xlfn.AGGREGATE(15,6,(ROW(Tiere!$BN$2:$BN$153)-1)/(--(SEARCH(AW$2,Tiere!$BN$2:$BN$153)&gt;0)),ROW()-2),1))))))))),"")</f>
        <v>Jungvieh 1 bis 2 Jahr - Gülle</v>
      </c>
      <c r="AW9" s="1601"/>
      <c r="AX9" s="1624" t="str">
        <f>IFERROR(IF($A$12=$BO$1,$BO8,IF($A$12=$BP$1,$BP8,IF($A$12=$BQ$1,$BQ8,IF($A$12=$BR$1,$BR8,IF($A$12=$BS$1,$BS8,IF($A$12=$BT$1,$BT8,IF($A$12=$BU$1,$BU8,IF($A$12="",INDEX(Tiere!$BN$2:$BN$153,_xlfn.AGGREGATE(15,6,(ROW(Tiere!$BN$2:$BN$153)-1)/(--(SEARCH(AY$2,Tiere!$BN$2:$BN$153)&gt;0)),ROW()-2),1))))))))),"")</f>
        <v>Jungvieh 1 bis 2 Jahr - Gülle</v>
      </c>
      <c r="AY9" s="1601"/>
      <c r="AZ9" s="1624" t="str">
        <f>IFERROR(IF($A$13=$BO$1,$BO8,IF($A$13=$BP$1,$BP8,IF($A$13=$BQ$1,$BQ8,IF($A$13=$BR$1,$BR8,IF($A$13=$BS$1,$BS8,IF($A$13=$BT$1,$BT8,IF($A$13=$BU$1,$BU8,IF($A$13="",INDEX(Tiere!$BN$2:$BN$153,_xlfn.AGGREGATE(15,6,(ROW(Tiere!$BN$2:$BN$153)-1)/(--(SEARCH(BA$2,Tiere!$BN$2:$BN$153)&gt;0)),ROW()-2),1))))))))),"")</f>
        <v>Jungvieh 1 bis 2 Jahr - Gülle</v>
      </c>
      <c r="BA9" s="1601"/>
      <c r="BB9" s="1624" t="str">
        <f>IFERROR(IF($A$14=$BO$1,$BO8,IF($A$14=$BP$1,$BP8,IF($A$14=$BQ$1,$BQ8,IF($A$14=$BR$1,$BR8,IF($A$14=$BS$1,$BS8,IF($A$14=$BT$1,$BT8,IF($A$14=$BU$1,$BU8,IF($A$14="",INDEX(Tiere!$BN$2:$BN$153,_xlfn.AGGREGATE(15,6,(ROW(Tiere!$BN$2:$BN$153)-1)/(--(SEARCH(BC$2,Tiere!$BN$2:$BN$153)&gt;0)),ROW()-2),1))))))))),"")</f>
        <v>Jungvieh 1 bis 2 Jahr - Gülle</v>
      </c>
      <c r="BC9" s="1601"/>
      <c r="BD9" s="1624" t="str">
        <f>IFERROR(IF($A$15=$BO$1,$BO8,IF($A$15=$BP$1,$BP8,IF($A$15=$BQ$1,$BQ8,IF($A$15=$BR$1,$BR8,IF($A$15=$BS$1,$BS8,IF($A$15=$BT$1,$BT8,IF($A$15=$BU$1,$BU8,IF($A$15="",INDEX(Tiere!$BN$2:$BN$153,_xlfn.AGGREGATE(15,6,(ROW(Tiere!$BN$2:$BN$153)-1)/(--(SEARCH(BE$2,Tiere!$BN$2:$BN$153)&gt;0)),ROW()-2),1))))))))),"")</f>
        <v>Jungvieh 1 bis 2 Jahr - Gülle</v>
      </c>
      <c r="BE9" s="1601"/>
      <c r="BF9" s="1624" t="str">
        <f>IFERROR(IF($A$16=$BO$1,$BO8,IF($A$16=$BP$1,$BP8,IF($A$16=$BQ$1,$BQ8,IF($A$16=$BR$1,$BR8,IF($A$16=$BS$1,$BS8,IF($A$16=$BT$1,$BT8,IF($A$16=$BU$1,$BU8,IF($A$16="",INDEX(Tiere!$BN$2:$BN$153,_xlfn.AGGREGATE(15,6,(ROW(Tiere!$BN$2:$BN$153)-1)/(--(SEARCH(BG$2,Tiere!$BN$2:$BN$153)&gt;0)),ROW()-2),1))))))))),"")</f>
        <v>Jungvieh 1 bis 2 Jahr - Gülle</v>
      </c>
      <c r="BG9" s="1601"/>
      <c r="BH9" s="1624" t="str">
        <f>IFERROR(IF($A$17=$BO$1,$BO8,IF($A$17=$BP$1,$BP8,IF($A$17=$BQ$1,$BQ8,IF($A$17=$BR$1,$BR8,IF($A$17=$BS$1,$BS8,IF($A$17=$BT$1,$BT8,IF($A$17=$BU$1,$BU8,IF($A$17="",INDEX(Tiere!$BN$2:$BN$153,_xlfn.AGGREGATE(15,6,(ROW(Tiere!$BN$2:$BN$153)-1)/(--(SEARCH(BI$2,Tiere!$BN$2:$BN$153)&gt;0)),ROW()-2),1))))))))),"")</f>
        <v>Jungvieh 1 bis 2 Jahr - Gülle</v>
      </c>
      <c r="BI9" s="1601"/>
      <c r="BJ9" s="1624" t="str">
        <f>IFERROR(IF($A$18=$BO$1,$BO8,IF($A$18=$BP$1,$BP8,IF($A$18=$BQ$1,$BQ8,IF($A$18=$BR$1,$BR8,IF($A$18=$BS$1,$BS8,IF($A$18=$BT$1,$BT8,IF($A$18=$BU$1,$BU8,IF($A$18="",INDEX(Tiere!$BN$2:$BN$153,_xlfn.AGGREGATE(15,6,(ROW(Tiere!$BN$2:$BN$153)-1)/(--(SEARCH(BK$2,Tiere!$BN$2:$BN$153)&gt;0)),ROW()-2),1))))))))),"")</f>
        <v>Jungvieh 1 bis 2 Jahr - Gülle</v>
      </c>
      <c r="BK9" s="1601"/>
      <c r="BL9" s="1624" t="str">
        <f>IFERROR(IF($A$19=$BO$1,$BO8,IF($A$19=$BP$1,$BP8,IF($A$19=$BQ$1,$BQ8,IF($A$19=$BR$1,$BR8,IF($A$19=$BS$1,$BS8,IF($A$19=$BT$1,$BT8,IF($A$19=$BU$1,$BU8,IF($A$19="",INDEX(Tiere!$BN$2:$BN$153,_xlfn.AGGREGATE(15,6,(ROW(Tiere!$BN$2:$BN$153)-1)/(--(SEARCH(BM$2,Tiere!$BN$2:$BN$153)&gt;0)),ROW()-2),1))))))))),"")</f>
        <v>Jungvieh 1 bis 2 Jahr - Gülle</v>
      </c>
      <c r="BM9" s="1601"/>
      <c r="BN9" s="1630" t="s">
        <v>514</v>
      </c>
      <c r="BO9" s="1599" t="s">
        <v>514</v>
      </c>
      <c r="BP9" s="1599" t="s">
        <v>2396</v>
      </c>
      <c r="BQ9" s="1599" t="s">
        <v>761</v>
      </c>
      <c r="BR9" s="1654"/>
      <c r="BS9" s="1654"/>
      <c r="BT9" s="1599" t="s">
        <v>788</v>
      </c>
      <c r="BU9" s="1599" t="s">
        <v>805</v>
      </c>
      <c r="BW9" s="1895" t="s">
        <v>780</v>
      </c>
      <c r="BY9" s="162" t="s">
        <v>1611</v>
      </c>
      <c r="BZ9">
        <f>IF(OR($A9=$BW$2,$A9=""),COUNTIF($BN$2:$BN$153,$B9),IF($A9&lt;&gt;"",COUNTIFS(TiereDropDown[B9],$B9,TiereDropDown[B9],"&lt;&gt;"""),0))</f>
        <v>0</v>
      </c>
      <c r="CD9" s="1911" t="s">
        <v>514</v>
      </c>
    </row>
    <row r="10" spans="1:243" ht="22.5" customHeight="1" thickTop="1" thickBot="1">
      <c r="A10" s="1914"/>
      <c r="B10" s="2645"/>
      <c r="C10" s="2646"/>
      <c r="D10" s="2646"/>
      <c r="E10" s="2646"/>
      <c r="F10" s="2646"/>
      <c r="G10" s="2646"/>
      <c r="H10" s="2647"/>
      <c r="I10" s="939"/>
      <c r="J10" s="940">
        <f>IFERROR(Tabelle1!AR10,0)</f>
        <v>0</v>
      </c>
      <c r="K10" s="941"/>
      <c r="L10" s="942"/>
      <c r="M10" s="941"/>
      <c r="N10" s="942"/>
      <c r="O10" s="943">
        <f>IFERROR(Tabelle1!AX10,0)</f>
        <v>0</v>
      </c>
      <c r="P10" s="943">
        <f>IFERROR(Tabelle1!BI10,0)</f>
        <v>0</v>
      </c>
      <c r="Q10" s="943">
        <f>IFERROR(Tabelle1!BO10,0)</f>
        <v>0</v>
      </c>
      <c r="R10" s="944">
        <f>IFERROR(Tabelle1!BB10,0)</f>
        <v>0</v>
      </c>
      <c r="S10" s="944">
        <f>IFERROR(Tabelle1!AY10,0)</f>
        <v>0</v>
      </c>
      <c r="T10" s="944">
        <f>IFERROR(Tabelle1!AZ10,0)</f>
        <v>0</v>
      </c>
      <c r="U10" s="944">
        <f>IFERROR(Tabelle1!BA10,0)</f>
        <v>0</v>
      </c>
      <c r="V10" s="944">
        <f>IFERROR(Tabelle1!CA10,0)</f>
        <v>0</v>
      </c>
      <c r="W10" s="944">
        <f>IFERROR(Tabelle1!CG10,0)</f>
        <v>0</v>
      </c>
      <c r="X10" s="944"/>
      <c r="Y10" s="438"/>
      <c r="Z10" s="165" t="s">
        <v>920</v>
      </c>
      <c r="AD10"/>
      <c r="AF10"/>
      <c r="AG10"/>
      <c r="AH10" s="1602"/>
      <c r="AJ10" s="1624" t="str">
        <f>IFERROR(IF($A$5=$BO$1,$BO9,IF($A$5=$BP$1,$BP9,IF($A$5=$BQ$1,$BQ9,IF($A$5=$BR$1,$BR9,IF($A$5=$BS$1,$BS9,IF($A$5=$BT$1,$BT9,IF($A$5=$BU$1,$BU9,IF($A$5="",INDEX(Tiere!$BN$2:$BN$153,_xlfn.AGGREGATE(15,6,(ROW(Tiere!$BN$2:$BN$153)-1)/(--(SEARCH(AK$2,Tiere!$BN$2:$BN$153)&gt;0)),ROW()-2),1))))))))),"")</f>
        <v>Jungvieh 1 bis 2 Jahr - Mist/Jauche</v>
      </c>
      <c r="AK10" s="1650"/>
      <c r="AL10" s="1624" t="str">
        <f>IFERROR(IF($A$6=$BO$1,$BO9,IF($A$6=$BP$1,$BP9,IF($A$6=$BQ$1,$BQ9,IF($A$6=$BR$1,$BR9,IF($A$6=$BS$1,$BS9,IF($A$6=$BT$1,$BT9,IF($A$6=$BU$1,$BU9,IF($A$6="",INDEX(Tiere!$BN$2:$BN$153,_xlfn.AGGREGATE(15,6,(ROW(Tiere!$BN$2:$BN$153)-1)/(--(SEARCH(AM$2,Tiere!$BN$2:$BN$153)&gt;0)),ROW()-2),1))))))))),"")</f>
        <v>Jungvieh 1 bis 2 Jahr - Mist/Jauche</v>
      </c>
      <c r="AM10" s="1599"/>
      <c r="AN10" s="1624" t="str">
        <f>IFERROR(IF($A$7=$BO$1,$BO9,IF($A$7=$BP$1,$BP9,IF($A$7=$BQ$1,$BQ9,IF($A$7=$BR$1,$BR9,IF($A$7=$BS$1,$BS9,IF($A$7=$BT$1,$BT9,IF($A$7=$BU$1,$BU9,IF($A$7="",INDEX(Tiere!$BN$2:$BN$153,_xlfn.AGGREGATE(15,6,(ROW(Tiere!$BN$2:$BN$153)-1)/(--(SEARCH(AM$2,Tiere!$BN$2:$BN$153)&gt;0)),ROW()-2),1))))))))),"")</f>
        <v>Jungvieh 1 bis 2 Jahr - Mist/Jauche</v>
      </c>
      <c r="AO10" s="1599"/>
      <c r="AP10" s="1624" t="str">
        <f>IFERROR(IF($A$8=$BO$1,$BO9,IF($A$8=$BP$1,$BP9,IF($A$8=$BQ$1,$BQ9,IF($A$8=$BR$1,$BR9,IF($A$8=$BS$1,$BS9,IF($A$8=$BT$1,$BT9,IF($A$8=$BU$1,$BU9,IF($A$8="",INDEX(Tiere!$BN$2:$BN$153,_xlfn.AGGREGATE(15,6,(ROW(Tiere!$BN$2:$BN$153)-1)/(--(SEARCH(AQ$2,Tiere!$BN$2:$BN$153)&gt;0)),ROW()-2),1))))))))),"")</f>
        <v>Jungvieh 1 bis 2 Jahr - Mist/Jauche</v>
      </c>
      <c r="AQ10" s="1599"/>
      <c r="AR10" s="1624" t="str">
        <f>IFERROR(IF($A$9=$BO$1,$BO9,IF($A$9=$BP$1,$BP9,IF($A$9=$BQ$1,$BQ9,IF($A$9=$BR$1,$BR9,IF($A$9=$BS$1,$BS9,IF($A$9=$BT$1,$BT9,IF($A$9=$BU$1,$BU9,IF($A$9="",INDEX(Tiere!$BN$2:$BN$153,_xlfn.AGGREGATE(15,6,(ROW(Tiere!$BN$2:$BN$153)-1)/(--(SEARCH(AS$2,Tiere!$BN$2:$BN$153)&gt;0)),ROW()-2),1))))))))),"")</f>
        <v>Jungvieh 1 bis 2 Jahr - Mist/Jauche</v>
      </c>
      <c r="AS10" s="1599"/>
      <c r="AT10" s="1624" t="str">
        <f>IFERROR(IF($A$10=$BO$1,$BO9,IF($A$10=$BP$1,$BP9,IF($A$10=$BQ$1,$BQ9,IF($A$10=$BR$1,$BR9,IF($A$10=$BS$1,$BS9,IF($A$10=$BT$1,$BT9,IF($A$10=$BU$1,$BU9,IF($A$10="",INDEX(Tiere!$BN$2:$BN$153,_xlfn.AGGREGATE(15,6,(ROW(Tiere!$BN$2:$BN$153)-1)/(--(SEARCH(AU$2,Tiere!$BN$2:$BN$153)&gt;0)),ROW()-2),1))))))))),"")</f>
        <v>Jungvieh 1 bis 2 Jahr - Mist/Jauche</v>
      </c>
      <c r="AU10" s="1599"/>
      <c r="AV10" s="1624" t="str">
        <f>IFERROR(IF($A$11=$BO$1,$BO9,IF($A$11=$BP$1,$BP9,IF($A$11=$BQ$1,$BQ9,IF($A$11=$BR$1,$BR9,IF($A$11=$BS$1,$BS9,IF($A$11=$BT$1,$BT9,IF($A$11=$BU$1,$BU9,IF($A$11="",INDEX(Tiere!$BN$2:$BN$153,_xlfn.AGGREGATE(15,6,(ROW(Tiere!$BN$2:$BN$153)-1)/(--(SEARCH(AW$2,Tiere!$BN$2:$BN$153)&gt;0)),ROW()-2),1))))))))),"")</f>
        <v>Jungvieh 1 bis 2 Jahr - Mist/Jauche</v>
      </c>
      <c r="AW10" s="1599"/>
      <c r="AX10" s="1624" t="str">
        <f>IFERROR(IF($A$12=$BO$1,$BO9,IF($A$12=$BP$1,$BP9,IF($A$12=$BQ$1,$BQ9,IF($A$12=$BR$1,$BR9,IF($A$12=$BS$1,$BS9,IF($A$12=$BT$1,$BT9,IF($A$12=$BU$1,$BU9,IF($A$12="",INDEX(Tiere!$BN$2:$BN$153,_xlfn.AGGREGATE(15,6,(ROW(Tiere!$BN$2:$BN$153)-1)/(--(SEARCH(AY$2,Tiere!$BN$2:$BN$153)&gt;0)),ROW()-2),1))))))))),"")</f>
        <v>Jungvieh 1 bis 2 Jahr - Mist/Jauche</v>
      </c>
      <c r="AY10" s="1599"/>
      <c r="AZ10" s="1624" t="str">
        <f>IFERROR(IF($A$13=$BO$1,$BO9,IF($A$13=$BP$1,$BP9,IF($A$13=$BQ$1,$BQ9,IF($A$13=$BR$1,$BR9,IF($A$13=$BS$1,$BS9,IF($A$13=$BT$1,$BT9,IF($A$13=$BU$1,$BU9,IF($A$13="",INDEX(Tiere!$BN$2:$BN$153,_xlfn.AGGREGATE(15,6,(ROW(Tiere!$BN$2:$BN$153)-1)/(--(SEARCH(BA$2,Tiere!$BN$2:$BN$153)&gt;0)),ROW()-2),1))))))))),"")</f>
        <v>Jungvieh 1 bis 2 Jahr - Mist/Jauche</v>
      </c>
      <c r="BA10" s="1599"/>
      <c r="BB10" s="1624" t="str">
        <f>IFERROR(IF($A$14=$BO$1,$BO9,IF($A$14=$BP$1,$BP9,IF($A$14=$BQ$1,$BQ9,IF($A$14=$BR$1,$BR9,IF($A$14=$BS$1,$BS9,IF($A$14=$BT$1,$BT9,IF($A$14=$BU$1,$BU9,IF($A$14="",INDEX(Tiere!$BN$2:$BN$153,_xlfn.AGGREGATE(15,6,(ROW(Tiere!$BN$2:$BN$153)-1)/(--(SEARCH(BC$2,Tiere!$BN$2:$BN$153)&gt;0)),ROW()-2),1))))))))),"")</f>
        <v>Jungvieh 1 bis 2 Jahr - Mist/Jauche</v>
      </c>
      <c r="BC10" s="1599"/>
      <c r="BD10" s="1624" t="str">
        <f>IFERROR(IF($A$15=$BO$1,$BO9,IF($A$15=$BP$1,$BP9,IF($A$15=$BQ$1,$BQ9,IF($A$15=$BR$1,$BR9,IF($A$15=$BS$1,$BS9,IF($A$15=$BT$1,$BT9,IF($A$15=$BU$1,$BU9,IF($A$15="",INDEX(Tiere!$BN$2:$BN$153,_xlfn.AGGREGATE(15,6,(ROW(Tiere!$BN$2:$BN$153)-1)/(--(SEARCH(BE$2,Tiere!$BN$2:$BN$153)&gt;0)),ROW()-2),1))))))))),"")</f>
        <v>Jungvieh 1 bis 2 Jahr - Mist/Jauche</v>
      </c>
      <c r="BE10" s="1599"/>
      <c r="BF10" s="1624" t="str">
        <f>IFERROR(IF($A$16=$BO$1,$BO9,IF($A$16=$BP$1,$BP9,IF($A$16=$BQ$1,$BQ9,IF($A$16=$BR$1,$BR9,IF($A$16=$BS$1,$BS9,IF($A$16=$BT$1,$BT9,IF($A$16=$BU$1,$BU9,IF($A$16="",INDEX(Tiere!$BN$2:$BN$153,_xlfn.AGGREGATE(15,6,(ROW(Tiere!$BN$2:$BN$153)-1)/(--(SEARCH(BG$2,Tiere!$BN$2:$BN$153)&gt;0)),ROW()-2),1))))))))),"")</f>
        <v>Jungvieh 1 bis 2 Jahr - Mist/Jauche</v>
      </c>
      <c r="BG10" s="1599"/>
      <c r="BH10" s="1624" t="str">
        <f>IFERROR(IF($A$17=$BO$1,$BO9,IF($A$17=$BP$1,$BP9,IF($A$17=$BQ$1,$BQ9,IF($A$17=$BR$1,$BR9,IF($A$17=$BS$1,$BS9,IF($A$17=$BT$1,$BT9,IF($A$17=$BU$1,$BU9,IF($A$17="",INDEX(Tiere!$BN$2:$BN$153,_xlfn.AGGREGATE(15,6,(ROW(Tiere!$BN$2:$BN$153)-1)/(--(SEARCH(BI$2,Tiere!$BN$2:$BN$153)&gt;0)),ROW()-2),1))))))))),"")</f>
        <v>Jungvieh 1 bis 2 Jahr - Mist/Jauche</v>
      </c>
      <c r="BI10" s="1599"/>
      <c r="BJ10" s="1624" t="str">
        <f>IFERROR(IF($A$18=$BO$1,$BO9,IF($A$18=$BP$1,$BP9,IF($A$18=$BQ$1,$BQ9,IF($A$18=$BR$1,$BR9,IF($A$18=$BS$1,$BS9,IF($A$18=$BT$1,$BT9,IF($A$18=$BU$1,$BU9,IF($A$18="",INDEX(Tiere!$BN$2:$BN$153,_xlfn.AGGREGATE(15,6,(ROW(Tiere!$BN$2:$BN$153)-1)/(--(SEARCH(BK$2,Tiere!$BN$2:$BN$153)&gt;0)),ROW()-2),1))))))))),"")</f>
        <v>Jungvieh 1 bis 2 Jahr - Mist/Jauche</v>
      </c>
      <c r="BK10" s="1599"/>
      <c r="BL10" s="1624" t="str">
        <f>IFERROR(IF($A$19=$BO$1,$BO9,IF($A$19=$BP$1,$BP9,IF($A$19=$BQ$1,$BQ9,IF($A$19=$BR$1,$BR9,IF($A$19=$BS$1,$BS9,IF($A$19=$BT$1,$BT9,IF($A$19=$BU$1,$BU9,IF($A$19="",INDEX(Tiere!$BN$2:$BN$153,_xlfn.AGGREGATE(15,6,(ROW(Tiere!$BN$2:$BN$153)-1)/(--(SEARCH(BM$2,Tiere!$BN$2:$BN$153)&gt;0)),ROW()-2),1))))))))),"")</f>
        <v>Jungvieh 1 bis 2 Jahr - Mist/Jauche</v>
      </c>
      <c r="BM10" s="1599"/>
      <c r="BN10" s="1630" t="s">
        <v>517</v>
      </c>
      <c r="BO10" s="1599" t="s">
        <v>517</v>
      </c>
      <c r="BP10" s="1599" t="s">
        <v>2397</v>
      </c>
      <c r="BQ10" s="1599" t="s">
        <v>762</v>
      </c>
      <c r="BR10" s="1654"/>
      <c r="BS10" s="1654"/>
      <c r="BT10" s="1599" t="s">
        <v>789</v>
      </c>
      <c r="BU10" s="1599" t="s">
        <v>806</v>
      </c>
      <c r="BY10" s="162" t="s">
        <v>1612</v>
      </c>
      <c r="BZ10">
        <f>IF(OR($A10=$BW$2,$A10=""),COUNTIF($BN$2:$BN$153,$B10),IF($A10&lt;&gt;"",COUNTIFS(TiereDropDown[B10],$B10,TiereDropDown[B10],"&lt;&gt;"""),0))</f>
        <v>0</v>
      </c>
      <c r="CD10" s="1911" t="s">
        <v>517</v>
      </c>
    </row>
    <row r="11" spans="1:243" ht="22.5" customHeight="1" thickTop="1" thickBot="1">
      <c r="A11" s="1914"/>
      <c r="B11" s="2645"/>
      <c r="C11" s="2646"/>
      <c r="D11" s="2646"/>
      <c r="E11" s="2646"/>
      <c r="F11" s="2646"/>
      <c r="G11" s="2646"/>
      <c r="H11" s="2647"/>
      <c r="I11" s="939"/>
      <c r="J11" s="940">
        <f>IFERROR(Tabelle1!AR11,0)</f>
        <v>0</v>
      </c>
      <c r="K11" s="941"/>
      <c r="L11" s="942"/>
      <c r="M11" s="941"/>
      <c r="N11" s="942"/>
      <c r="O11" s="943">
        <f>IFERROR(Tabelle1!AX11,0)</f>
        <v>0</v>
      </c>
      <c r="P11" s="943">
        <f>IFERROR(Tabelle1!BI11,0)</f>
        <v>0</v>
      </c>
      <c r="Q11" s="943">
        <f>IFERROR(Tabelle1!BO11,0)</f>
        <v>0</v>
      </c>
      <c r="R11" s="944">
        <f>IFERROR(Tabelle1!BB11,0)</f>
        <v>0</v>
      </c>
      <c r="S11" s="944">
        <f>IFERROR(Tabelle1!AY11,0)</f>
        <v>0</v>
      </c>
      <c r="T11" s="944">
        <f>IFERROR(Tabelle1!AZ11,0)</f>
        <v>0</v>
      </c>
      <c r="U11" s="944">
        <f>IFERROR(Tabelle1!BA11,0)</f>
        <v>0</v>
      </c>
      <c r="V11" s="944">
        <f>IFERROR(Tabelle1!CA11,0)</f>
        <v>0</v>
      </c>
      <c r="W11" s="944">
        <f>IFERROR(Tabelle1!CG11,0)</f>
        <v>0</v>
      </c>
      <c r="X11" s="944"/>
      <c r="Y11" s="438"/>
      <c r="Z11" s="165" t="s">
        <v>921</v>
      </c>
      <c r="AB11" s="1651"/>
      <c r="AD11"/>
      <c r="AF11"/>
      <c r="AG11"/>
      <c r="AH11" s="1602"/>
      <c r="AJ11" s="1624" t="str">
        <f>IFERROR(IF($A$5=$BO$1,$BO10,IF($A$5=$BP$1,$BP10,IF($A$5=$BQ$1,$BQ10,IF($A$5=$BR$1,$BR10,IF($A$5=$BS$1,$BS10,IF($A$5=$BT$1,$BT10,IF($A$5=$BU$1,$BU10,IF($A$5="",INDEX(Tiere!$BN$2:$BN$153,_xlfn.AGGREGATE(15,6,(ROW(Tiere!$BN$2:$BN$153)-1)/(--(SEARCH(AK$2,Tiere!$BN$2:$BN$153)&gt;0)),ROW()-2),1))))))))),"")</f>
        <v>Jungvieh 1 bis 2 Jahr - Tiefstallmist</v>
      </c>
      <c r="AK11" s="1650"/>
      <c r="AL11" s="1624" t="str">
        <f>IFERROR(IF($A$6=$BO$1,$BO10,IF($A$6=$BP$1,$BP10,IF($A$6=$BQ$1,$BQ10,IF($A$6=$BR$1,$BR10,IF($A$6=$BS$1,$BS10,IF($A$6=$BT$1,$BT10,IF($A$6=$BU$1,$BU10,IF($A$6="",INDEX(Tiere!$BN$2:$BN$153,_xlfn.AGGREGATE(15,6,(ROW(Tiere!$BN$2:$BN$153)-1)/(--(SEARCH(AM$2,Tiere!$BN$2:$BN$153)&gt;0)),ROW()-2),1))))))))),"")</f>
        <v>Jungvieh 1 bis 2 Jahr - Tiefstallmist</v>
      </c>
      <c r="AM11" s="1601"/>
      <c r="AN11" s="1624" t="str">
        <f>IFERROR(IF($A$7=$BO$1,$BO10,IF($A$7=$BP$1,$BP10,IF($A$7=$BQ$1,$BQ10,IF($A$7=$BR$1,$BR10,IF($A$7=$BS$1,$BS10,IF($A$7=$BT$1,$BT10,IF($A$7=$BU$1,$BU10,IF($A$7="",INDEX(Tiere!$BN$2:$BN$153,_xlfn.AGGREGATE(15,6,(ROW(Tiere!$BN$2:$BN$153)-1)/(--(SEARCH(AM$2,Tiere!$BN$2:$BN$153)&gt;0)),ROW()-2),1))))))))),"")</f>
        <v>Jungvieh 1 bis 2 Jahr - Tiefstallmist</v>
      </c>
      <c r="AO11" s="1601"/>
      <c r="AP11" s="1624" t="str">
        <f>IFERROR(IF($A$8=$BO$1,$BO10,IF($A$8=$BP$1,$BP10,IF($A$8=$BQ$1,$BQ10,IF($A$8=$BR$1,$BR10,IF($A$8=$BS$1,$BS10,IF($A$8=$BT$1,$BT10,IF($A$8=$BU$1,$BU10,IF($A$8="",INDEX(Tiere!$BN$2:$BN$153,_xlfn.AGGREGATE(15,6,(ROW(Tiere!$BN$2:$BN$153)-1)/(--(SEARCH(AQ$2,Tiere!$BN$2:$BN$153)&gt;0)),ROW()-2),1))))))))),"")</f>
        <v>Jungvieh 1 bis 2 Jahr - Tiefstallmist</v>
      </c>
      <c r="AQ11" s="1601"/>
      <c r="AR11" s="1624" t="str">
        <f>IFERROR(IF($A$9=$BO$1,$BO10,IF($A$9=$BP$1,$BP10,IF($A$9=$BQ$1,$BQ10,IF($A$9=$BR$1,$BR10,IF($A$9=$BS$1,$BS10,IF($A$9=$BT$1,$BT10,IF($A$9=$BU$1,$BU10,IF($A$9="",INDEX(Tiere!$BN$2:$BN$153,_xlfn.AGGREGATE(15,6,(ROW(Tiere!$BN$2:$BN$153)-1)/(--(SEARCH(AS$2,Tiere!$BN$2:$BN$153)&gt;0)),ROW()-2),1))))))))),"")</f>
        <v>Jungvieh 1 bis 2 Jahr - Tiefstallmist</v>
      </c>
      <c r="AS11" s="1601"/>
      <c r="AT11" s="1624" t="str">
        <f>IFERROR(IF($A$10=$BO$1,$BO10,IF($A$10=$BP$1,$BP10,IF($A$10=$BQ$1,$BQ10,IF($A$10=$BR$1,$BR10,IF($A$10=$BS$1,$BS10,IF($A$10=$BT$1,$BT10,IF($A$10=$BU$1,$BU10,IF($A$10="",INDEX(Tiere!$BN$2:$BN$153,_xlfn.AGGREGATE(15,6,(ROW(Tiere!$BN$2:$BN$153)-1)/(--(SEARCH(AU$2,Tiere!$BN$2:$BN$153)&gt;0)),ROW()-2),1))))))))),"")</f>
        <v>Jungvieh 1 bis 2 Jahr - Tiefstallmist</v>
      </c>
      <c r="AU11" s="1601"/>
      <c r="AV11" s="1624" t="str">
        <f>IFERROR(IF($A$11=$BO$1,$BO10,IF($A$11=$BP$1,$BP10,IF($A$11=$BQ$1,$BQ10,IF($A$11=$BR$1,$BR10,IF($A$11=$BS$1,$BS10,IF($A$11=$BT$1,$BT10,IF($A$11=$BU$1,$BU10,IF($A$11="",INDEX(Tiere!$BN$2:$BN$153,_xlfn.AGGREGATE(15,6,(ROW(Tiere!$BN$2:$BN$153)-1)/(--(SEARCH(AW$2,Tiere!$BN$2:$BN$153)&gt;0)),ROW()-2),1))))))))),"")</f>
        <v>Jungvieh 1 bis 2 Jahr - Tiefstallmist</v>
      </c>
      <c r="AW11" s="1601"/>
      <c r="AX11" s="1624" t="str">
        <f>IFERROR(IF($A$12=$BO$1,$BO10,IF($A$12=$BP$1,$BP10,IF($A$12=$BQ$1,$BQ10,IF($A$12=$BR$1,$BR10,IF($A$12=$BS$1,$BS10,IF($A$12=$BT$1,$BT10,IF($A$12=$BU$1,$BU10,IF($A$12="",INDEX(Tiere!$BN$2:$BN$153,_xlfn.AGGREGATE(15,6,(ROW(Tiere!$BN$2:$BN$153)-1)/(--(SEARCH(AY$2,Tiere!$BN$2:$BN$153)&gt;0)),ROW()-2),1))))))))),"")</f>
        <v>Jungvieh 1 bis 2 Jahr - Tiefstallmist</v>
      </c>
      <c r="AY11" s="1601"/>
      <c r="AZ11" s="1624" t="str">
        <f>IFERROR(IF($A$13=$BO$1,$BO10,IF($A$13=$BP$1,$BP10,IF($A$13=$BQ$1,$BQ10,IF($A$13=$BR$1,$BR10,IF($A$13=$BS$1,$BS10,IF($A$13=$BT$1,$BT10,IF($A$13=$BU$1,$BU10,IF($A$13="",INDEX(Tiere!$BN$2:$BN$153,_xlfn.AGGREGATE(15,6,(ROW(Tiere!$BN$2:$BN$153)-1)/(--(SEARCH(BA$2,Tiere!$BN$2:$BN$153)&gt;0)),ROW()-2),1))))))))),"")</f>
        <v>Jungvieh 1 bis 2 Jahr - Tiefstallmist</v>
      </c>
      <c r="BA11" s="1601"/>
      <c r="BB11" s="1624" t="str">
        <f>IFERROR(IF($A$14=$BO$1,$BO10,IF($A$14=$BP$1,$BP10,IF($A$14=$BQ$1,$BQ10,IF($A$14=$BR$1,$BR10,IF($A$14=$BS$1,$BS10,IF($A$14=$BT$1,$BT10,IF($A$14=$BU$1,$BU10,IF($A$14="",INDEX(Tiere!$BN$2:$BN$153,_xlfn.AGGREGATE(15,6,(ROW(Tiere!$BN$2:$BN$153)-1)/(--(SEARCH(BC$2,Tiere!$BN$2:$BN$153)&gt;0)),ROW()-2),1))))))))),"")</f>
        <v>Jungvieh 1 bis 2 Jahr - Tiefstallmist</v>
      </c>
      <c r="BC11" s="1601"/>
      <c r="BD11" s="1624" t="str">
        <f>IFERROR(IF($A$15=$BO$1,$BO10,IF($A$15=$BP$1,$BP10,IF($A$15=$BQ$1,$BQ10,IF($A$15=$BR$1,$BR10,IF($A$15=$BS$1,$BS10,IF($A$15=$BT$1,$BT10,IF($A$15=$BU$1,$BU10,IF($A$15="",INDEX(Tiere!$BN$2:$BN$153,_xlfn.AGGREGATE(15,6,(ROW(Tiere!$BN$2:$BN$153)-1)/(--(SEARCH(BE$2,Tiere!$BN$2:$BN$153)&gt;0)),ROW()-2),1))))))))),"")</f>
        <v>Jungvieh 1 bis 2 Jahr - Tiefstallmist</v>
      </c>
      <c r="BE11" s="1601"/>
      <c r="BF11" s="1624" t="str">
        <f>IFERROR(IF($A$16=$BO$1,$BO10,IF($A$16=$BP$1,$BP10,IF($A$16=$BQ$1,$BQ10,IF($A$16=$BR$1,$BR10,IF($A$16=$BS$1,$BS10,IF($A$16=$BT$1,$BT10,IF($A$16=$BU$1,$BU10,IF($A$16="",INDEX(Tiere!$BN$2:$BN$153,_xlfn.AGGREGATE(15,6,(ROW(Tiere!$BN$2:$BN$153)-1)/(--(SEARCH(BG$2,Tiere!$BN$2:$BN$153)&gt;0)),ROW()-2),1))))))))),"")</f>
        <v>Jungvieh 1 bis 2 Jahr - Tiefstallmist</v>
      </c>
      <c r="BG11" s="1601"/>
      <c r="BH11" s="1624" t="str">
        <f>IFERROR(IF($A$17=$BO$1,$BO10,IF($A$17=$BP$1,$BP10,IF($A$17=$BQ$1,$BQ10,IF($A$17=$BR$1,$BR10,IF($A$17=$BS$1,$BS10,IF($A$17=$BT$1,$BT10,IF($A$17=$BU$1,$BU10,IF($A$17="",INDEX(Tiere!$BN$2:$BN$153,_xlfn.AGGREGATE(15,6,(ROW(Tiere!$BN$2:$BN$153)-1)/(--(SEARCH(BI$2,Tiere!$BN$2:$BN$153)&gt;0)),ROW()-2),1))))))))),"")</f>
        <v>Jungvieh 1 bis 2 Jahr - Tiefstallmist</v>
      </c>
      <c r="BI11" s="1601"/>
      <c r="BJ11" s="1624" t="str">
        <f>IFERROR(IF($A$18=$BO$1,$BO10,IF($A$18=$BP$1,$BP10,IF($A$18=$BQ$1,$BQ10,IF($A$18=$BR$1,$BR10,IF($A$18=$BS$1,$BS10,IF($A$18=$BT$1,$BT10,IF($A$18=$BU$1,$BU10,IF($A$18="",INDEX(Tiere!$BN$2:$BN$153,_xlfn.AGGREGATE(15,6,(ROW(Tiere!$BN$2:$BN$153)-1)/(--(SEARCH(BK$2,Tiere!$BN$2:$BN$153)&gt;0)),ROW()-2),1))))))))),"")</f>
        <v>Jungvieh 1 bis 2 Jahr - Tiefstallmist</v>
      </c>
      <c r="BK11" s="1601"/>
      <c r="BL11" s="1624" t="str">
        <f>IFERROR(IF($A$19=$BO$1,$BO10,IF($A$19=$BP$1,$BP10,IF($A$19=$BQ$1,$BQ10,IF($A$19=$BR$1,$BR10,IF($A$19=$BS$1,$BS10,IF($A$19=$BT$1,$BT10,IF($A$19=$BU$1,$BU10,IF($A$19="",INDEX(Tiere!$BN$2:$BN$153,_xlfn.AGGREGATE(15,6,(ROW(Tiere!$BN$2:$BN$153)-1)/(--(SEARCH(BM$2,Tiere!$BN$2:$BN$153)&gt;0)),ROW()-2),1))))))))),"")</f>
        <v>Jungvieh 1 bis 2 Jahr - Tiefstallmist</v>
      </c>
      <c r="BM11" s="1601"/>
      <c r="BN11" s="1630" t="s">
        <v>519</v>
      </c>
      <c r="BO11" s="1599" t="s">
        <v>519</v>
      </c>
      <c r="BP11" s="1599" t="s">
        <v>701</v>
      </c>
      <c r="BQ11" s="1599" t="s">
        <v>763</v>
      </c>
      <c r="BR11" s="1655"/>
      <c r="BS11" s="1655"/>
      <c r="BT11" s="1623" t="s">
        <v>790</v>
      </c>
      <c r="BU11" s="1623" t="s">
        <v>807</v>
      </c>
      <c r="BY11" t="s">
        <v>1613</v>
      </c>
      <c r="BZ11">
        <f>IF(OR($A11=$BW$2,$A11=""),COUNTIF($BN$2:$BN$153,$B11),IF($A11&lt;&gt;"",COUNTIFS(TiereDropDown[B11],$B11,TiereDropDown[B11],"&lt;&gt;"""),0))</f>
        <v>0</v>
      </c>
      <c r="CD11" s="1911" t="s">
        <v>519</v>
      </c>
    </row>
    <row r="12" spans="1:243" ht="22.5" customHeight="1" thickBot="1">
      <c r="A12" s="1914"/>
      <c r="B12" s="2645"/>
      <c r="C12" s="2646"/>
      <c r="D12" s="2646"/>
      <c r="E12" s="2646"/>
      <c r="F12" s="2646"/>
      <c r="G12" s="2646"/>
      <c r="H12" s="2647"/>
      <c r="I12" s="939"/>
      <c r="J12" s="940">
        <f>IFERROR(Tabelle1!AR12,0)</f>
        <v>0</v>
      </c>
      <c r="K12" s="941"/>
      <c r="L12" s="942"/>
      <c r="M12" s="941"/>
      <c r="N12" s="942"/>
      <c r="O12" s="943">
        <f>IFERROR(Tabelle1!AX12,0)</f>
        <v>0</v>
      </c>
      <c r="P12" s="943">
        <f>IFERROR(Tabelle1!BI12,0)</f>
        <v>0</v>
      </c>
      <c r="Q12" s="943">
        <f>IFERROR(Tabelle1!BO12,0)</f>
        <v>0</v>
      </c>
      <c r="R12" s="944">
        <f>IFERROR(Tabelle1!BB12,0)</f>
        <v>0</v>
      </c>
      <c r="S12" s="944">
        <f>IFERROR(Tabelle1!AY12,0)</f>
        <v>0</v>
      </c>
      <c r="T12" s="944">
        <f>IFERROR(Tabelle1!AZ12,0)</f>
        <v>0</v>
      </c>
      <c r="U12" s="944">
        <f>IFERROR(Tabelle1!BA12,0)</f>
        <v>0</v>
      </c>
      <c r="V12" s="944">
        <f>IFERROR(Tabelle1!CA12,0)</f>
        <v>0</v>
      </c>
      <c r="W12" s="944">
        <f>IFERROR(Tabelle1!CG12,0)</f>
        <v>0</v>
      </c>
      <c r="X12" s="944"/>
      <c r="Y12" s="438"/>
      <c r="Z12" s="169" t="s">
        <v>922</v>
      </c>
      <c r="AD12" s="170"/>
      <c r="AF12"/>
      <c r="AG12"/>
      <c r="AH12" s="1602"/>
      <c r="AJ12" s="1624" t="str">
        <f>IFERROR(IF($A$5=$BO$1,$BO11,IF($A$5=$BP$1,$BP11,IF($A$5=$BQ$1,$BQ11,IF($A$5=$BR$1,$BR11,IF($A$5=$BS$1,$BS11,IF($A$5=$BT$1,$BT11,IF($A$5=$BU$1,$BU11,IF($A$5="",INDEX(Tiere!$BN$2:$BN$153,_xlfn.AGGREGATE(15,6,(ROW(Tiere!$BN$2:$BN$153)-1)/(--(SEARCH(AK$2,Tiere!$BN$2:$BN$153)&gt;0)),ROW()-2),1))))))))),"")</f>
        <v>Ochsen, Stiere - Gülle</v>
      </c>
      <c r="AK12" s="1650"/>
      <c r="AL12" s="1624" t="str">
        <f>IFERROR(IF($A$6=$BO$1,$BO11,IF($A$6=$BP$1,$BP11,IF($A$6=$BQ$1,$BQ11,IF($A$6=$BR$1,$BR11,IF($A$6=$BS$1,$BS11,IF($A$6=$BT$1,$BT11,IF($A$6=$BU$1,$BU11,IF($A$6="",INDEX(Tiere!$BN$2:$BN$153,_xlfn.AGGREGATE(15,6,(ROW(Tiere!$BN$2:$BN$153)-1)/(--(SEARCH(AM$2,Tiere!$BN$2:$BN$153)&gt;0)),ROW()-2),1))))))))),"")</f>
        <v>Ochsen, Stiere - Gülle</v>
      </c>
      <c r="AM12" s="1599"/>
      <c r="AN12" s="1624" t="str">
        <f>IFERROR(IF($A$7=$BO$1,$BO11,IF($A$7=$BP$1,$BP11,IF($A$7=$BQ$1,$BQ11,IF($A$7=$BR$1,$BR11,IF($A$7=$BS$1,$BS11,IF($A$7=$BT$1,$BT11,IF($A$7=$BU$1,$BU11,IF($A$7="",INDEX(Tiere!$BN$2:$BN$153,_xlfn.AGGREGATE(15,6,(ROW(Tiere!$BN$2:$BN$153)-1)/(--(SEARCH(AM$2,Tiere!$BN$2:$BN$153)&gt;0)),ROW()-2),1))))))))),"")</f>
        <v>Ochsen, Stiere - Gülle</v>
      </c>
      <c r="AO12" s="1599"/>
      <c r="AP12" s="1624" t="str">
        <f>IFERROR(IF($A$8=$BO$1,$BO11,IF($A$8=$BP$1,$BP11,IF($A$8=$BQ$1,$BQ11,IF($A$8=$BR$1,$BR11,IF($A$8=$BS$1,$BS11,IF($A$8=$BT$1,$BT11,IF($A$8=$BU$1,$BU11,IF($A$8="",INDEX(Tiere!$BN$2:$BN$153,_xlfn.AGGREGATE(15,6,(ROW(Tiere!$BN$2:$BN$153)-1)/(--(SEARCH(AQ$2,Tiere!$BN$2:$BN$153)&gt;0)),ROW()-2),1))))))))),"")</f>
        <v>Ochsen, Stiere - Gülle</v>
      </c>
      <c r="AQ12" s="1599"/>
      <c r="AR12" s="1624" t="str">
        <f>IFERROR(IF($A$9=$BO$1,$BO11,IF($A$9=$BP$1,$BP11,IF($A$9=$BQ$1,$BQ11,IF($A$9=$BR$1,$BR11,IF($A$9=$BS$1,$BS11,IF($A$9=$BT$1,$BT11,IF($A$9=$BU$1,$BU11,IF($A$9="",INDEX(Tiere!$BN$2:$BN$153,_xlfn.AGGREGATE(15,6,(ROW(Tiere!$BN$2:$BN$153)-1)/(--(SEARCH(AS$2,Tiere!$BN$2:$BN$153)&gt;0)),ROW()-2),1))))))))),"")</f>
        <v>Ochsen, Stiere - Gülle</v>
      </c>
      <c r="AS12" s="1599"/>
      <c r="AT12" s="1624" t="str">
        <f>IFERROR(IF($A$10=$BO$1,$BO11,IF($A$10=$BP$1,$BP11,IF($A$10=$BQ$1,$BQ11,IF($A$10=$BR$1,$BR11,IF($A$10=$BS$1,$BS11,IF($A$10=$BT$1,$BT11,IF($A$10=$BU$1,$BU11,IF($A$10="",INDEX(Tiere!$BN$2:$BN$153,_xlfn.AGGREGATE(15,6,(ROW(Tiere!$BN$2:$BN$153)-1)/(--(SEARCH(AU$2,Tiere!$BN$2:$BN$153)&gt;0)),ROW()-2),1))))))))),"")</f>
        <v>Ochsen, Stiere - Gülle</v>
      </c>
      <c r="AU12" s="1599"/>
      <c r="AV12" s="1624" t="str">
        <f>IFERROR(IF($A$11=$BO$1,$BO11,IF($A$11=$BP$1,$BP11,IF($A$11=$BQ$1,$BQ11,IF($A$11=$BR$1,$BR11,IF($A$11=$BS$1,$BS11,IF($A$11=$BT$1,$BT11,IF($A$11=$BU$1,$BU11,IF($A$11="",INDEX(Tiere!$BN$2:$BN$153,_xlfn.AGGREGATE(15,6,(ROW(Tiere!$BN$2:$BN$153)-1)/(--(SEARCH(AW$2,Tiere!$BN$2:$BN$153)&gt;0)),ROW()-2),1))))))))),"")</f>
        <v>Ochsen, Stiere - Gülle</v>
      </c>
      <c r="AW12" s="1599"/>
      <c r="AX12" s="1624" t="str">
        <f>IFERROR(IF($A$12=$BO$1,$BO11,IF($A$12=$BP$1,$BP11,IF($A$12=$BQ$1,$BQ11,IF($A$12=$BR$1,$BR11,IF($A$12=$BS$1,$BS11,IF($A$12=$BT$1,$BT11,IF($A$12=$BU$1,$BU11,IF($A$12="",INDEX(Tiere!$BN$2:$BN$153,_xlfn.AGGREGATE(15,6,(ROW(Tiere!$BN$2:$BN$153)-1)/(--(SEARCH(AY$2,Tiere!$BN$2:$BN$153)&gt;0)),ROW()-2),1))))))))),"")</f>
        <v>Ochsen, Stiere - Gülle</v>
      </c>
      <c r="AY12" s="1599"/>
      <c r="AZ12" s="1624" t="str">
        <f>IFERROR(IF($A$13=$BO$1,$BO11,IF($A$13=$BP$1,$BP11,IF($A$13=$BQ$1,$BQ11,IF($A$13=$BR$1,$BR11,IF($A$13=$BS$1,$BS11,IF($A$13=$BT$1,$BT11,IF($A$13=$BU$1,$BU11,IF($A$13="",INDEX(Tiere!$BN$2:$BN$153,_xlfn.AGGREGATE(15,6,(ROW(Tiere!$BN$2:$BN$153)-1)/(--(SEARCH(BA$2,Tiere!$BN$2:$BN$153)&gt;0)),ROW()-2),1))))))))),"")</f>
        <v>Ochsen, Stiere - Gülle</v>
      </c>
      <c r="BA12" s="1599"/>
      <c r="BB12" s="1624" t="str">
        <f>IFERROR(IF($A$14=$BO$1,$BO11,IF($A$14=$BP$1,$BP11,IF($A$14=$BQ$1,$BQ11,IF($A$14=$BR$1,$BR11,IF($A$14=$BS$1,$BS11,IF($A$14=$BT$1,$BT11,IF($A$14=$BU$1,$BU11,IF($A$14="",INDEX(Tiere!$BN$2:$BN$153,_xlfn.AGGREGATE(15,6,(ROW(Tiere!$BN$2:$BN$153)-1)/(--(SEARCH(BC$2,Tiere!$BN$2:$BN$153)&gt;0)),ROW()-2),1))))))))),"")</f>
        <v>Ochsen, Stiere - Gülle</v>
      </c>
      <c r="BC12" s="1599"/>
      <c r="BD12" s="1624" t="str">
        <f>IFERROR(IF($A$15=$BO$1,$BO11,IF($A$15=$BP$1,$BP11,IF($A$15=$BQ$1,$BQ11,IF($A$15=$BR$1,$BR11,IF($A$15=$BS$1,$BS11,IF($A$15=$BT$1,$BT11,IF($A$15=$BU$1,$BU11,IF($A$15="",INDEX(Tiere!$BN$2:$BN$153,_xlfn.AGGREGATE(15,6,(ROW(Tiere!$BN$2:$BN$153)-1)/(--(SEARCH(BE$2,Tiere!$BN$2:$BN$153)&gt;0)),ROW()-2),1))))))))),"")</f>
        <v>Ochsen, Stiere - Gülle</v>
      </c>
      <c r="BE12" s="1599"/>
      <c r="BF12" s="1624" t="str">
        <f>IFERROR(IF($A$16=$BO$1,$BO11,IF($A$16=$BP$1,$BP11,IF($A$16=$BQ$1,$BQ11,IF($A$16=$BR$1,$BR11,IF($A$16=$BS$1,$BS11,IF($A$16=$BT$1,$BT11,IF($A$16=$BU$1,$BU11,IF($A$16="",INDEX(Tiere!$BN$2:$BN$153,_xlfn.AGGREGATE(15,6,(ROW(Tiere!$BN$2:$BN$153)-1)/(--(SEARCH(BG$2,Tiere!$BN$2:$BN$153)&gt;0)),ROW()-2),1))))))))),"")</f>
        <v>Ochsen, Stiere - Gülle</v>
      </c>
      <c r="BG12" s="1599"/>
      <c r="BH12" s="1624" t="str">
        <f>IFERROR(IF($A$17=$BO$1,$BO11,IF($A$17=$BP$1,$BP11,IF($A$17=$BQ$1,$BQ11,IF($A$17=$BR$1,$BR11,IF($A$17=$BS$1,$BS11,IF($A$17=$BT$1,$BT11,IF($A$17=$BU$1,$BU11,IF($A$17="",INDEX(Tiere!$BN$2:$BN$153,_xlfn.AGGREGATE(15,6,(ROW(Tiere!$BN$2:$BN$153)-1)/(--(SEARCH(BI$2,Tiere!$BN$2:$BN$153)&gt;0)),ROW()-2),1))))))))),"")</f>
        <v>Ochsen, Stiere - Gülle</v>
      </c>
      <c r="BI12" s="1599"/>
      <c r="BJ12" s="1624" t="str">
        <f>IFERROR(IF($A$18=$BO$1,$BO11,IF($A$18=$BP$1,$BP11,IF($A$18=$BQ$1,$BQ11,IF($A$18=$BR$1,$BR11,IF($A$18=$BS$1,$BS11,IF($A$18=$BT$1,$BT11,IF($A$18=$BU$1,$BU11,IF($A$18="",INDEX(Tiere!$BN$2:$BN$153,_xlfn.AGGREGATE(15,6,(ROW(Tiere!$BN$2:$BN$153)-1)/(--(SEARCH(BK$2,Tiere!$BN$2:$BN$153)&gt;0)),ROW()-2),1))))))))),"")</f>
        <v>Ochsen, Stiere - Gülle</v>
      </c>
      <c r="BK12" s="1599"/>
      <c r="BL12" s="1624" t="str">
        <f>IFERROR(IF($A$19=$BO$1,$BO11,IF($A$19=$BP$1,$BP11,IF($A$19=$BQ$1,$BQ11,IF($A$19=$BR$1,$BR11,IF($A$19=$BS$1,$BS11,IF($A$19=$BT$1,$BT11,IF($A$19=$BU$1,$BU11,IF($A$19="",INDEX(Tiere!$BN$2:$BN$153,_xlfn.AGGREGATE(15,6,(ROW(Tiere!$BN$2:$BN$153)-1)/(--(SEARCH(BM$2,Tiere!$BN$2:$BN$153)&gt;0)),ROW()-2),1))))))))),"")</f>
        <v>Ochsen, Stiere - Gülle</v>
      </c>
      <c r="BM12" s="1599"/>
      <c r="BN12" s="1630" t="s">
        <v>551</v>
      </c>
      <c r="BO12" s="1599" t="s">
        <v>551</v>
      </c>
      <c r="BP12" s="1599" t="s">
        <v>703</v>
      </c>
      <c r="BQ12" s="1901"/>
      <c r="BR12" s="1599"/>
      <c r="BS12" s="1599"/>
      <c r="BT12" s="1599" t="s">
        <v>791</v>
      </c>
      <c r="BU12" s="1599" t="s">
        <v>808</v>
      </c>
      <c r="BY12" s="164" t="s">
        <v>1614</v>
      </c>
      <c r="BZ12">
        <f>IF(OR($A12=$BW$2,$A12=""),COUNTIF($BN$2:$BN$153,$B12),IF($A12&lt;&gt;"",COUNTIFS(TiereDropDown[B12],$B12,TiereDropDown[B12],"&lt;&gt;"""),0))</f>
        <v>0</v>
      </c>
      <c r="CD12" s="1911" t="s">
        <v>551</v>
      </c>
    </row>
    <row r="13" spans="1:243" ht="22.5" customHeight="1" thickTop="1" thickBot="1">
      <c r="A13" s="1914"/>
      <c r="B13" s="2645"/>
      <c r="C13" s="2646"/>
      <c r="D13" s="2646"/>
      <c r="E13" s="2646"/>
      <c r="F13" s="2646"/>
      <c r="G13" s="2646"/>
      <c r="H13" s="2647"/>
      <c r="I13" s="939"/>
      <c r="J13" s="940">
        <f>IFERROR(Tabelle1!AR13,0)</f>
        <v>0</v>
      </c>
      <c r="K13" s="941"/>
      <c r="L13" s="942"/>
      <c r="M13" s="941"/>
      <c r="N13" s="942"/>
      <c r="O13" s="943">
        <f>IFERROR(Tabelle1!AX13,0)</f>
        <v>0</v>
      </c>
      <c r="P13" s="943">
        <f>IFERROR(Tabelle1!BI13,0)</f>
        <v>0</v>
      </c>
      <c r="Q13" s="943">
        <f>IFERROR(Tabelle1!BO13,0)</f>
        <v>0</v>
      </c>
      <c r="R13" s="944">
        <f>IFERROR(Tabelle1!BB13,0)</f>
        <v>0</v>
      </c>
      <c r="S13" s="944">
        <f>IFERROR(Tabelle1!AY13,0)</f>
        <v>0</v>
      </c>
      <c r="T13" s="944">
        <f>IFERROR(Tabelle1!AZ13,0)</f>
        <v>0</v>
      </c>
      <c r="U13" s="944">
        <f>IFERROR(Tabelle1!BA13,0)</f>
        <v>0</v>
      </c>
      <c r="V13" s="944">
        <f>IFERROR(Tabelle1!CA13,0)</f>
        <v>0</v>
      </c>
      <c r="W13" s="944">
        <f>IFERROR(Tabelle1!CG13,0)</f>
        <v>0</v>
      </c>
      <c r="X13" s="944"/>
      <c r="Y13" s="438"/>
      <c r="Z13" s="165" t="s">
        <v>923</v>
      </c>
      <c r="AF13"/>
      <c r="AG13"/>
      <c r="AH13" s="1602"/>
      <c r="AJ13" s="1624" t="str">
        <f>IFERROR(IF($A$5=$BO$1,$BO12,IF($A$5=$BP$1,$BP12,IF($A$5=$BQ$1,$BQ12,IF($A$5=$BR$1,$BR12,IF($A$5=$BS$1,$BS12,IF($A$5=$BT$1,$BT12,IF($A$5=$BU$1,$BU12,IF($A$5="",INDEX(Tiere!$BN$2:$BN$153,_xlfn.AGGREGATE(15,6,(ROW(Tiere!$BN$2:$BN$153)-1)/(--(SEARCH(AK$2,Tiere!$BN$2:$BN$153)&gt;0)),ROW()-2),1))))))))),"")</f>
        <v>Ochsen, Stiere - Mist/Jauche</v>
      </c>
      <c r="AK13" s="1650"/>
      <c r="AL13" s="1624" t="str">
        <f>IFERROR(IF($A$6=$BO$1,$BO12,IF($A$6=$BP$1,$BP12,IF($A$6=$BQ$1,$BQ12,IF($A$6=$BR$1,$BR12,IF($A$6=$BS$1,$BS12,IF($A$6=$BT$1,$BT12,IF($A$6=$BU$1,$BU12,IF($A$6="",INDEX(Tiere!$BN$2:$BN$153,_xlfn.AGGREGATE(15,6,(ROW(Tiere!$BN$2:$BN$153)-1)/(--(SEARCH(AM$2,Tiere!$BN$2:$BN$153)&gt;0)),ROW()-2),1))))))))),"")</f>
        <v>Ochsen, Stiere - Mist/Jauche</v>
      </c>
      <c r="AM13" s="1601"/>
      <c r="AN13" s="1624" t="str">
        <f>IFERROR(IF($A$7=$BO$1,$BO12,IF($A$7=$BP$1,$BP12,IF($A$7=$BQ$1,$BQ12,IF($A$7=$BR$1,$BR12,IF($A$7=$BS$1,$BS12,IF($A$7=$BT$1,$BT12,IF($A$7=$BU$1,$BU12,IF($A$7="",INDEX(Tiere!$BN$2:$BN$153,_xlfn.AGGREGATE(15,6,(ROW(Tiere!$BN$2:$BN$153)-1)/(--(SEARCH(AM$2,Tiere!$BN$2:$BN$153)&gt;0)),ROW()-2),1))))))))),"")</f>
        <v>Ochsen, Stiere - Mist/Jauche</v>
      </c>
      <c r="AO13" s="1601"/>
      <c r="AP13" s="1624" t="str">
        <f>IFERROR(IF($A$8=$BO$1,$BO12,IF($A$8=$BP$1,$BP12,IF($A$8=$BQ$1,$BQ12,IF($A$8=$BR$1,$BR12,IF($A$8=$BS$1,$BS12,IF($A$8=$BT$1,$BT12,IF($A$8=$BU$1,$BU12,IF($A$8="",INDEX(Tiere!$BN$2:$BN$153,_xlfn.AGGREGATE(15,6,(ROW(Tiere!$BN$2:$BN$153)-1)/(--(SEARCH(AQ$2,Tiere!$BN$2:$BN$153)&gt;0)),ROW()-2),1))))))))),"")</f>
        <v>Ochsen, Stiere - Mist/Jauche</v>
      </c>
      <c r="AQ13" s="1601"/>
      <c r="AR13" s="1624" t="str">
        <f>IFERROR(IF($A$9=$BO$1,$BO12,IF($A$9=$BP$1,$BP12,IF($A$9=$BQ$1,$BQ12,IF($A$9=$BR$1,$BR12,IF($A$9=$BS$1,$BS12,IF($A$9=$BT$1,$BT12,IF($A$9=$BU$1,$BU12,IF($A$9="",INDEX(Tiere!$BN$2:$BN$153,_xlfn.AGGREGATE(15,6,(ROW(Tiere!$BN$2:$BN$153)-1)/(--(SEARCH(AS$2,Tiere!$BN$2:$BN$153)&gt;0)),ROW()-2),1))))))))),"")</f>
        <v>Ochsen, Stiere - Mist/Jauche</v>
      </c>
      <c r="AS13" s="1601"/>
      <c r="AT13" s="1624" t="str">
        <f>IFERROR(IF($A$10=$BO$1,$BO12,IF($A$10=$BP$1,$BP12,IF($A$10=$BQ$1,$BQ12,IF($A$10=$BR$1,$BR12,IF($A$10=$BS$1,$BS12,IF($A$10=$BT$1,$BT12,IF($A$10=$BU$1,$BU12,IF($A$10="",INDEX(Tiere!$BN$2:$BN$153,_xlfn.AGGREGATE(15,6,(ROW(Tiere!$BN$2:$BN$153)-1)/(--(SEARCH(AU$2,Tiere!$BN$2:$BN$153)&gt;0)),ROW()-2),1))))))))),"")</f>
        <v>Ochsen, Stiere - Mist/Jauche</v>
      </c>
      <c r="AU13" s="1601"/>
      <c r="AV13" s="1624" t="str">
        <f>IFERROR(IF($A$11=$BO$1,$BO12,IF($A$11=$BP$1,$BP12,IF($A$11=$BQ$1,$BQ12,IF($A$11=$BR$1,$BR12,IF($A$11=$BS$1,$BS12,IF($A$11=$BT$1,$BT12,IF($A$11=$BU$1,$BU12,IF($A$11="",INDEX(Tiere!$BN$2:$BN$153,_xlfn.AGGREGATE(15,6,(ROW(Tiere!$BN$2:$BN$153)-1)/(--(SEARCH(AW$2,Tiere!$BN$2:$BN$153)&gt;0)),ROW()-2),1))))))))),"")</f>
        <v>Ochsen, Stiere - Mist/Jauche</v>
      </c>
      <c r="AW13" s="1601"/>
      <c r="AX13" s="1624" t="str">
        <f>IFERROR(IF($A$12=$BO$1,$BO12,IF($A$12=$BP$1,$BP12,IF($A$12=$BQ$1,$BQ12,IF($A$12=$BR$1,$BR12,IF($A$12=$BS$1,$BS12,IF($A$12=$BT$1,$BT12,IF($A$12=$BU$1,$BU12,IF($A$12="",INDEX(Tiere!$BN$2:$BN$153,_xlfn.AGGREGATE(15,6,(ROW(Tiere!$BN$2:$BN$153)-1)/(--(SEARCH(AY$2,Tiere!$BN$2:$BN$153)&gt;0)),ROW()-2),1))))))))),"")</f>
        <v>Ochsen, Stiere - Mist/Jauche</v>
      </c>
      <c r="AY13" s="1601"/>
      <c r="AZ13" s="1624" t="str">
        <f>IFERROR(IF($A$13=$BO$1,$BO12,IF($A$13=$BP$1,$BP12,IF($A$13=$BQ$1,$BQ12,IF($A$13=$BR$1,$BR12,IF($A$13=$BS$1,$BS12,IF($A$13=$BT$1,$BT12,IF($A$13=$BU$1,$BU12,IF($A$13="",INDEX(Tiere!$BN$2:$BN$153,_xlfn.AGGREGATE(15,6,(ROW(Tiere!$BN$2:$BN$153)-1)/(--(SEARCH(BA$2,Tiere!$BN$2:$BN$153)&gt;0)),ROW()-2),1))))))))),"")</f>
        <v>Ochsen, Stiere - Mist/Jauche</v>
      </c>
      <c r="BA13" s="1601"/>
      <c r="BB13" s="1624" t="str">
        <f>IFERROR(IF($A$14=$BO$1,$BO12,IF($A$14=$BP$1,$BP12,IF($A$14=$BQ$1,$BQ12,IF($A$14=$BR$1,$BR12,IF($A$14=$BS$1,$BS12,IF($A$14=$BT$1,$BT12,IF($A$14=$BU$1,$BU12,IF($A$14="",INDEX(Tiere!$BN$2:$BN$153,_xlfn.AGGREGATE(15,6,(ROW(Tiere!$BN$2:$BN$153)-1)/(--(SEARCH(BC$2,Tiere!$BN$2:$BN$153)&gt;0)),ROW()-2),1))))))))),"")</f>
        <v>Ochsen, Stiere - Mist/Jauche</v>
      </c>
      <c r="BC13" s="1601"/>
      <c r="BD13" s="1624" t="str">
        <f>IFERROR(IF($A$15=$BO$1,$BO12,IF($A$15=$BP$1,$BP12,IF($A$15=$BQ$1,$BQ12,IF($A$15=$BR$1,$BR12,IF($A$15=$BS$1,$BS12,IF($A$15=$BT$1,$BT12,IF($A$15=$BU$1,$BU12,IF($A$15="",INDEX(Tiere!$BN$2:$BN$153,_xlfn.AGGREGATE(15,6,(ROW(Tiere!$BN$2:$BN$153)-1)/(--(SEARCH(BE$2,Tiere!$BN$2:$BN$153)&gt;0)),ROW()-2),1))))))))),"")</f>
        <v>Ochsen, Stiere - Mist/Jauche</v>
      </c>
      <c r="BE13" s="1601"/>
      <c r="BF13" s="1624" t="str">
        <f>IFERROR(IF($A$16=$BO$1,$BO12,IF($A$16=$BP$1,$BP12,IF($A$16=$BQ$1,$BQ12,IF($A$16=$BR$1,$BR12,IF($A$16=$BS$1,$BS12,IF($A$16=$BT$1,$BT12,IF($A$16=$BU$1,$BU12,IF($A$16="",INDEX(Tiere!$BN$2:$BN$153,_xlfn.AGGREGATE(15,6,(ROW(Tiere!$BN$2:$BN$153)-1)/(--(SEARCH(BG$2,Tiere!$BN$2:$BN$153)&gt;0)),ROW()-2),1))))))))),"")</f>
        <v>Ochsen, Stiere - Mist/Jauche</v>
      </c>
      <c r="BG13" s="1601"/>
      <c r="BH13" s="1624" t="str">
        <f>IFERROR(IF($A$17=$BO$1,$BO12,IF($A$17=$BP$1,$BP12,IF($A$17=$BQ$1,$BQ12,IF($A$17=$BR$1,$BR12,IF($A$17=$BS$1,$BS12,IF($A$17=$BT$1,$BT12,IF($A$17=$BU$1,$BU12,IF($A$17="",INDEX(Tiere!$BN$2:$BN$153,_xlfn.AGGREGATE(15,6,(ROW(Tiere!$BN$2:$BN$153)-1)/(--(SEARCH(BI$2,Tiere!$BN$2:$BN$153)&gt;0)),ROW()-2),1))))))))),"")</f>
        <v>Ochsen, Stiere - Mist/Jauche</v>
      </c>
      <c r="BI13" s="1601"/>
      <c r="BJ13" s="1624" t="str">
        <f>IFERROR(IF($A$18=$BO$1,$BO12,IF($A$18=$BP$1,$BP12,IF($A$18=$BQ$1,$BQ12,IF($A$18=$BR$1,$BR12,IF($A$18=$BS$1,$BS12,IF($A$18=$BT$1,$BT12,IF($A$18=$BU$1,$BU12,IF($A$18="",INDEX(Tiere!$BN$2:$BN$153,_xlfn.AGGREGATE(15,6,(ROW(Tiere!$BN$2:$BN$153)-1)/(--(SEARCH(BK$2,Tiere!$BN$2:$BN$153)&gt;0)),ROW()-2),1))))))))),"")</f>
        <v>Ochsen, Stiere - Mist/Jauche</v>
      </c>
      <c r="BK13" s="1601"/>
      <c r="BL13" s="1624" t="str">
        <f>IFERROR(IF($A$19=$BO$1,$BO12,IF($A$19=$BP$1,$BP12,IF($A$19=$BQ$1,$BQ12,IF($A$19=$BR$1,$BR12,IF($A$19=$BS$1,$BS12,IF($A$19=$BT$1,$BT12,IF($A$19=$BU$1,$BU12,IF($A$19="",INDEX(Tiere!$BN$2:$BN$153,_xlfn.AGGREGATE(15,6,(ROW(Tiere!$BN$2:$BN$153)-1)/(--(SEARCH(BM$2,Tiere!$BN$2:$BN$153)&gt;0)),ROW()-2),1))))))))),"")</f>
        <v>Ochsen, Stiere - Mist/Jauche</v>
      </c>
      <c r="BM13" s="1601"/>
      <c r="BN13" s="1630" t="s">
        <v>553</v>
      </c>
      <c r="BO13" s="1599" t="s">
        <v>553</v>
      </c>
      <c r="BP13" s="1599" t="s">
        <v>705</v>
      </c>
      <c r="BQ13" s="1654"/>
      <c r="BR13" s="1599"/>
      <c r="BS13" s="1623"/>
      <c r="BT13" s="1623" t="s">
        <v>792</v>
      </c>
      <c r="BU13" s="1623" t="s">
        <v>809</v>
      </c>
      <c r="BY13" s="162" t="s">
        <v>1615</v>
      </c>
      <c r="BZ13">
        <f>IF(OR($A13=$BW$2,$A13=""),COUNTIF($BN$2:$BN$153,$B13),IF($A13&lt;&gt;"",COUNTIFS(TiereDropDown[B13],$B13,TiereDropDown[B13],"&lt;&gt;"""),0))</f>
        <v>0</v>
      </c>
      <c r="CD13" s="1911" t="s">
        <v>553</v>
      </c>
    </row>
    <row r="14" spans="1:243" ht="22.5" customHeight="1" thickBot="1">
      <c r="A14" s="1914"/>
      <c r="B14" s="2645"/>
      <c r="C14" s="2646"/>
      <c r="D14" s="2646"/>
      <c r="E14" s="2646"/>
      <c r="F14" s="2646"/>
      <c r="G14" s="2646"/>
      <c r="H14" s="2647"/>
      <c r="I14" s="939"/>
      <c r="J14" s="940">
        <f>IFERROR(Tabelle1!AR14,0)</f>
        <v>0</v>
      </c>
      <c r="K14" s="941"/>
      <c r="L14" s="942"/>
      <c r="M14" s="941"/>
      <c r="N14" s="942"/>
      <c r="O14" s="943">
        <f>IFERROR(Tabelle1!AX14,0)</f>
        <v>0</v>
      </c>
      <c r="P14" s="943">
        <f>IFERROR(Tabelle1!BI14,0)</f>
        <v>0</v>
      </c>
      <c r="Q14" s="943">
        <f>IFERROR(Tabelle1!BO14,0)</f>
        <v>0</v>
      </c>
      <c r="R14" s="944">
        <f>IFERROR(Tabelle1!BB14,0)</f>
        <v>0</v>
      </c>
      <c r="S14" s="944">
        <f>IFERROR(Tabelle1!AY14,0)</f>
        <v>0</v>
      </c>
      <c r="T14" s="944">
        <f>IFERROR(Tabelle1!AZ14,0)</f>
        <v>0</v>
      </c>
      <c r="U14" s="944">
        <f>IFERROR(Tabelle1!BA14,0)</f>
        <v>0</v>
      </c>
      <c r="V14" s="944">
        <f>IFERROR(Tabelle1!CA14,0)</f>
        <v>0</v>
      </c>
      <c r="W14" s="944">
        <f>IFERROR(Tabelle1!CG14,0)</f>
        <v>0</v>
      </c>
      <c r="X14" s="944"/>
      <c r="Y14" s="438"/>
      <c r="Z14" s="171" t="s">
        <v>924</v>
      </c>
      <c r="AF14"/>
      <c r="AG14"/>
      <c r="AH14" s="1602"/>
      <c r="AJ14" s="1624" t="str">
        <f>IFERROR(IF($A$5=$BO$1,$BO13,IF($A$5=$BP$1,$BP13,IF($A$5=$BQ$1,$BQ13,IF($A$5=$BR$1,$BR13,IF($A$5=$BS$1,$BS13,IF($A$5=$BT$1,$BT13,IF($A$5=$BU$1,$BU13,IF($A$5="",INDEX(Tiere!$BN$2:$BN$153,_xlfn.AGGREGATE(15,6,(ROW(Tiere!$BN$2:$BN$153)-1)/(--(SEARCH(AK$2,Tiere!$BN$2:$BN$153)&gt;0)),ROW()-2),1))))))))),"")</f>
        <v>Ochsen, Stiere - Tiefstallmist</v>
      </c>
      <c r="AK14" s="1650"/>
      <c r="AL14" s="1624" t="str">
        <f>IFERROR(IF($A$6=$BO$1,$BO13,IF($A$6=$BP$1,$BP13,IF($A$6=$BQ$1,$BQ13,IF($A$6=$BR$1,$BR13,IF($A$6=$BS$1,$BS13,IF($A$6=$BT$1,$BT13,IF($A$6=$BU$1,$BU13,IF($A$6="",INDEX(Tiere!$BN$2:$BN$153,_xlfn.AGGREGATE(15,6,(ROW(Tiere!$BN$2:$BN$153)-1)/(--(SEARCH(AM$2,Tiere!$BN$2:$BN$153)&gt;0)),ROW()-2),1))))))))),"")</f>
        <v>Ochsen, Stiere - Tiefstallmist</v>
      </c>
      <c r="AM14" s="1599"/>
      <c r="AN14" s="1624" t="str">
        <f>IFERROR(IF($A$7=$BO$1,$BO13,IF($A$7=$BP$1,$BP13,IF($A$7=$BQ$1,$BQ13,IF($A$7=$BR$1,$BR13,IF($A$7=$BS$1,$BS13,IF($A$7=$BT$1,$BT13,IF($A$7=$BU$1,$BU13,IF($A$7="",INDEX(Tiere!$BN$2:$BN$153,_xlfn.AGGREGATE(15,6,(ROW(Tiere!$BN$2:$BN$153)-1)/(--(SEARCH(AM$2,Tiere!$BN$2:$BN$153)&gt;0)),ROW()-2),1))))))))),"")</f>
        <v>Ochsen, Stiere - Tiefstallmist</v>
      </c>
      <c r="AO14" s="1599"/>
      <c r="AP14" s="1624" t="str">
        <f>IFERROR(IF($A$8=$BO$1,$BO13,IF($A$8=$BP$1,$BP13,IF($A$8=$BQ$1,$BQ13,IF($A$8=$BR$1,$BR13,IF($A$8=$BS$1,$BS13,IF($A$8=$BT$1,$BT13,IF($A$8=$BU$1,$BU13,IF($A$8="",INDEX(Tiere!$BN$2:$BN$153,_xlfn.AGGREGATE(15,6,(ROW(Tiere!$BN$2:$BN$153)-1)/(--(SEARCH(AQ$2,Tiere!$BN$2:$BN$153)&gt;0)),ROW()-2),1))))))))),"")</f>
        <v>Ochsen, Stiere - Tiefstallmist</v>
      </c>
      <c r="AQ14" s="1599"/>
      <c r="AR14" s="1624" t="str">
        <f>IFERROR(IF($A$9=$BO$1,$BO13,IF($A$9=$BP$1,$BP13,IF($A$9=$BQ$1,$BQ13,IF($A$9=$BR$1,$BR13,IF($A$9=$BS$1,$BS13,IF($A$9=$BT$1,$BT13,IF($A$9=$BU$1,$BU13,IF($A$9="",INDEX(Tiere!$BN$2:$BN$153,_xlfn.AGGREGATE(15,6,(ROW(Tiere!$BN$2:$BN$153)-1)/(--(SEARCH(AS$2,Tiere!$BN$2:$BN$153)&gt;0)),ROW()-2),1))))))))),"")</f>
        <v>Ochsen, Stiere - Tiefstallmist</v>
      </c>
      <c r="AS14" s="1599"/>
      <c r="AT14" s="1624" t="str">
        <f>IFERROR(IF($A$10=$BO$1,$BO13,IF($A$10=$BP$1,$BP13,IF($A$10=$BQ$1,$BQ13,IF($A$10=$BR$1,$BR13,IF($A$10=$BS$1,$BS13,IF($A$10=$BT$1,$BT13,IF($A$10=$BU$1,$BU13,IF($A$10="",INDEX(Tiere!$BN$2:$BN$153,_xlfn.AGGREGATE(15,6,(ROW(Tiere!$BN$2:$BN$153)-1)/(--(SEARCH(AU$2,Tiere!$BN$2:$BN$153)&gt;0)),ROW()-2),1))))))))),"")</f>
        <v>Ochsen, Stiere - Tiefstallmist</v>
      </c>
      <c r="AU14" s="1599"/>
      <c r="AV14" s="1624" t="str">
        <f>IFERROR(IF($A$11=$BO$1,$BO13,IF($A$11=$BP$1,$BP13,IF($A$11=$BQ$1,$BQ13,IF($A$11=$BR$1,$BR13,IF($A$11=$BS$1,$BS13,IF($A$11=$BT$1,$BT13,IF($A$11=$BU$1,$BU13,IF($A$11="",INDEX(Tiere!$BN$2:$BN$153,_xlfn.AGGREGATE(15,6,(ROW(Tiere!$BN$2:$BN$153)-1)/(--(SEARCH(AW$2,Tiere!$BN$2:$BN$153)&gt;0)),ROW()-2),1))))))))),"")</f>
        <v>Ochsen, Stiere - Tiefstallmist</v>
      </c>
      <c r="AW14" s="1599"/>
      <c r="AX14" s="1624" t="str">
        <f>IFERROR(IF($A$12=$BO$1,$BO13,IF($A$12=$BP$1,$BP13,IF($A$12=$BQ$1,$BQ13,IF($A$12=$BR$1,$BR13,IF($A$12=$BS$1,$BS13,IF($A$12=$BT$1,$BT13,IF($A$12=$BU$1,$BU13,IF($A$12="",INDEX(Tiere!$BN$2:$BN$153,_xlfn.AGGREGATE(15,6,(ROW(Tiere!$BN$2:$BN$153)-1)/(--(SEARCH(AY$2,Tiere!$BN$2:$BN$153)&gt;0)),ROW()-2),1))))))))),"")</f>
        <v>Ochsen, Stiere - Tiefstallmist</v>
      </c>
      <c r="AY14" s="1599"/>
      <c r="AZ14" s="1624" t="str">
        <f>IFERROR(IF($A$13=$BO$1,$BO13,IF($A$13=$BP$1,$BP13,IF($A$13=$BQ$1,$BQ13,IF($A$13=$BR$1,$BR13,IF($A$13=$BS$1,$BS13,IF($A$13=$BT$1,$BT13,IF($A$13=$BU$1,$BU13,IF($A$13="",INDEX(Tiere!$BN$2:$BN$153,_xlfn.AGGREGATE(15,6,(ROW(Tiere!$BN$2:$BN$153)-1)/(--(SEARCH(BA$2,Tiere!$BN$2:$BN$153)&gt;0)),ROW()-2),1))))))))),"")</f>
        <v>Ochsen, Stiere - Tiefstallmist</v>
      </c>
      <c r="BA14" s="1599"/>
      <c r="BB14" s="1624" t="str">
        <f>IFERROR(IF($A$14=$BO$1,$BO13,IF($A$14=$BP$1,$BP13,IF($A$14=$BQ$1,$BQ13,IF($A$14=$BR$1,$BR13,IF($A$14=$BS$1,$BS13,IF($A$14=$BT$1,$BT13,IF($A$14=$BU$1,$BU13,IF($A$14="",INDEX(Tiere!$BN$2:$BN$153,_xlfn.AGGREGATE(15,6,(ROW(Tiere!$BN$2:$BN$153)-1)/(--(SEARCH(BC$2,Tiere!$BN$2:$BN$153)&gt;0)),ROW()-2),1))))))))),"")</f>
        <v>Ochsen, Stiere - Tiefstallmist</v>
      </c>
      <c r="BC14" s="1599"/>
      <c r="BD14" s="1624" t="str">
        <f>IFERROR(IF($A$15=$BO$1,$BO13,IF($A$15=$BP$1,$BP13,IF($A$15=$BQ$1,$BQ13,IF($A$15=$BR$1,$BR13,IF($A$15=$BS$1,$BS13,IF($A$15=$BT$1,$BT13,IF($A$15=$BU$1,$BU13,IF($A$15="",INDEX(Tiere!$BN$2:$BN$153,_xlfn.AGGREGATE(15,6,(ROW(Tiere!$BN$2:$BN$153)-1)/(--(SEARCH(BE$2,Tiere!$BN$2:$BN$153)&gt;0)),ROW()-2),1))))))))),"")</f>
        <v>Ochsen, Stiere - Tiefstallmist</v>
      </c>
      <c r="BE14" s="1599"/>
      <c r="BF14" s="1624" t="str">
        <f>IFERROR(IF($A$16=$BO$1,$BO13,IF($A$16=$BP$1,$BP13,IF($A$16=$BQ$1,$BQ13,IF($A$16=$BR$1,$BR13,IF($A$16=$BS$1,$BS13,IF($A$16=$BT$1,$BT13,IF($A$16=$BU$1,$BU13,IF($A$16="",INDEX(Tiere!$BN$2:$BN$153,_xlfn.AGGREGATE(15,6,(ROW(Tiere!$BN$2:$BN$153)-1)/(--(SEARCH(BG$2,Tiere!$BN$2:$BN$153)&gt;0)),ROW()-2),1))))))))),"")</f>
        <v>Ochsen, Stiere - Tiefstallmist</v>
      </c>
      <c r="BG14" s="1599"/>
      <c r="BH14" s="1624" t="str">
        <f>IFERROR(IF($A$17=$BO$1,$BO13,IF($A$17=$BP$1,$BP13,IF($A$17=$BQ$1,$BQ13,IF($A$17=$BR$1,$BR13,IF($A$17=$BS$1,$BS13,IF($A$17=$BT$1,$BT13,IF($A$17=$BU$1,$BU13,IF($A$17="",INDEX(Tiere!$BN$2:$BN$153,_xlfn.AGGREGATE(15,6,(ROW(Tiere!$BN$2:$BN$153)-1)/(--(SEARCH(BI$2,Tiere!$BN$2:$BN$153)&gt;0)),ROW()-2),1))))))))),"")</f>
        <v>Ochsen, Stiere - Tiefstallmist</v>
      </c>
      <c r="BI14" s="1599"/>
      <c r="BJ14" s="1624" t="str">
        <f>IFERROR(IF($A$18=$BO$1,$BO13,IF($A$18=$BP$1,$BP13,IF($A$18=$BQ$1,$BQ13,IF($A$18=$BR$1,$BR13,IF($A$18=$BS$1,$BS13,IF($A$18=$BT$1,$BT13,IF($A$18=$BU$1,$BU13,IF($A$18="",INDEX(Tiere!$BN$2:$BN$153,_xlfn.AGGREGATE(15,6,(ROW(Tiere!$BN$2:$BN$153)-1)/(--(SEARCH(BK$2,Tiere!$BN$2:$BN$153)&gt;0)),ROW()-2),1))))))))),"")</f>
        <v>Ochsen, Stiere - Tiefstallmist</v>
      </c>
      <c r="BK14" s="1599"/>
      <c r="BL14" s="1624" t="str">
        <f>IFERROR(IF($A$19=$BO$1,$BO13,IF($A$19=$BP$1,$BP13,IF($A$19=$BQ$1,$BQ13,IF($A$19=$BR$1,$BR13,IF($A$19=$BS$1,$BS13,IF($A$19=$BT$1,$BT13,IF($A$19=$BU$1,$BU13,IF($A$19="",INDEX(Tiere!$BN$2:$BN$153,_xlfn.AGGREGATE(15,6,(ROW(Tiere!$BN$2:$BN$153)-1)/(--(SEARCH(BM$2,Tiere!$BN$2:$BN$153)&gt;0)),ROW()-2),1))))))))),"")</f>
        <v>Ochsen, Stiere - Tiefstallmist</v>
      </c>
      <c r="BM14" s="1599"/>
      <c r="BN14" s="1630" t="s">
        <v>554</v>
      </c>
      <c r="BO14" s="1599" t="s">
        <v>554</v>
      </c>
      <c r="BP14" s="1599" t="s">
        <v>708</v>
      </c>
      <c r="BQ14" s="1654"/>
      <c r="BR14" s="1599"/>
      <c r="BS14" s="1599"/>
      <c r="BT14" s="1599" t="s">
        <v>793</v>
      </c>
      <c r="BU14" s="1599" t="s">
        <v>810</v>
      </c>
      <c r="BY14" s="162" t="s">
        <v>1616</v>
      </c>
      <c r="BZ14">
        <f>IF(OR($A14=$BW$2,$A14=""),COUNTIF($BN$2:$BN$153,$B14),IF($A14&lt;&gt;"",COUNTIFS(TiereDropDown[B14],$B14,TiereDropDown[B14],"&lt;&gt;"""),0))</f>
        <v>0</v>
      </c>
      <c r="CD14" s="1911" t="s">
        <v>554</v>
      </c>
    </row>
    <row r="15" spans="1:243" ht="22.5" customHeight="1" thickBot="1">
      <c r="A15" s="1914"/>
      <c r="B15" s="2645"/>
      <c r="C15" s="2646"/>
      <c r="D15" s="2646"/>
      <c r="E15" s="2646"/>
      <c r="F15" s="2646"/>
      <c r="G15" s="2646"/>
      <c r="H15" s="2647"/>
      <c r="I15" s="939"/>
      <c r="J15" s="940">
        <f>IFERROR(Tabelle1!AR15,0)</f>
        <v>0</v>
      </c>
      <c r="K15" s="941"/>
      <c r="L15" s="942"/>
      <c r="M15" s="941"/>
      <c r="N15" s="942"/>
      <c r="O15" s="943">
        <f>IFERROR(Tabelle1!AX15,0)</f>
        <v>0</v>
      </c>
      <c r="P15" s="943">
        <f>IFERROR(Tabelle1!BI15,0)</f>
        <v>0</v>
      </c>
      <c r="Q15" s="943">
        <f>IFERROR(Tabelle1!BO15,0)</f>
        <v>0</v>
      </c>
      <c r="R15" s="944">
        <f>IFERROR(Tabelle1!BB15,0)</f>
        <v>0</v>
      </c>
      <c r="S15" s="944">
        <f>IFERROR(Tabelle1!AY15,0)</f>
        <v>0</v>
      </c>
      <c r="T15" s="944">
        <f>IFERROR(Tabelle1!AZ15,0)</f>
        <v>0</v>
      </c>
      <c r="U15" s="944">
        <f>IFERROR(Tabelle1!BA15,0)</f>
        <v>0</v>
      </c>
      <c r="V15" s="944">
        <f>IFERROR(Tabelle1!CA15,0)</f>
        <v>0</v>
      </c>
      <c r="W15" s="944">
        <f>IFERROR(Tabelle1!CG15,0)</f>
        <v>0</v>
      </c>
      <c r="X15" s="944"/>
      <c r="Y15" s="438"/>
      <c r="Z15" s="172" t="s">
        <v>925</v>
      </c>
      <c r="AF15"/>
      <c r="AG15"/>
      <c r="AH15" s="1602"/>
      <c r="AJ15" s="1624" t="str">
        <f>IFERROR(IF($A$5=$BO$1,$BO14,IF($A$5=$BP$1,$BP14,IF($A$5=$BQ$1,$BQ14,IF($A$5=$BR$1,$BR14,IF($A$5=$BS$1,$BS14,IF($A$5=$BT$1,$BT14,IF($A$5=$BU$1,$BU14,IF($A$5="",INDEX(Tiere!$BN$2:$BN$153,_xlfn.AGGREGATE(15,6,(ROW(Tiere!$BN$2:$BN$153)-1)/(--(SEARCH(AK$2,Tiere!$BN$2:$BN$153)&gt;0)),ROW()-2),1))))))))),"")</f>
        <v>Kalbinnen - Gülle</v>
      </c>
      <c r="AK15" s="1650"/>
      <c r="AL15" s="1624" t="str">
        <f>IFERROR(IF($A$6=$BO$1,$BO14,IF($A$6=$BP$1,$BP14,IF($A$6=$BQ$1,$BQ14,IF($A$6=$BR$1,$BR14,IF($A$6=$BS$1,$BS14,IF($A$6=$BT$1,$BT14,IF($A$6=$BU$1,$BU14,IF($A$6="",INDEX(Tiere!$BN$2:$BN$153,_xlfn.AGGREGATE(15,6,(ROW(Tiere!$BN$2:$BN$153)-1)/(--(SEARCH(AM$2,Tiere!$BN$2:$BN$153)&gt;0)),ROW()-2),1))))))))),"")</f>
        <v>Kalbinnen - Gülle</v>
      </c>
      <c r="AM15" s="1601"/>
      <c r="AN15" s="1624" t="str">
        <f>IFERROR(IF($A$7=$BO$1,$BO14,IF($A$7=$BP$1,$BP14,IF($A$7=$BQ$1,$BQ14,IF($A$7=$BR$1,$BR14,IF($A$7=$BS$1,$BS14,IF($A$7=$BT$1,$BT14,IF($A$7=$BU$1,$BU14,IF($A$7="",INDEX(Tiere!$BN$2:$BN$153,_xlfn.AGGREGATE(15,6,(ROW(Tiere!$BN$2:$BN$153)-1)/(--(SEARCH(AM$2,Tiere!$BN$2:$BN$153)&gt;0)),ROW()-2),1))))))))),"")</f>
        <v>Kalbinnen - Gülle</v>
      </c>
      <c r="AO15" s="1601"/>
      <c r="AP15" s="1624" t="str">
        <f>IFERROR(IF($A$8=$BO$1,$BO14,IF($A$8=$BP$1,$BP14,IF($A$8=$BQ$1,$BQ14,IF($A$8=$BR$1,$BR14,IF($A$8=$BS$1,$BS14,IF($A$8=$BT$1,$BT14,IF($A$8=$BU$1,$BU14,IF($A$8="",INDEX(Tiere!$BN$2:$BN$153,_xlfn.AGGREGATE(15,6,(ROW(Tiere!$BN$2:$BN$153)-1)/(--(SEARCH(AQ$2,Tiere!$BN$2:$BN$153)&gt;0)),ROW()-2),1))))))))),"")</f>
        <v>Kalbinnen - Gülle</v>
      </c>
      <c r="AQ15" s="1601"/>
      <c r="AR15" s="1624" t="str">
        <f>IFERROR(IF($A$9=$BO$1,$BO14,IF($A$9=$BP$1,$BP14,IF($A$9=$BQ$1,$BQ14,IF($A$9=$BR$1,$BR14,IF($A$9=$BS$1,$BS14,IF($A$9=$BT$1,$BT14,IF($A$9=$BU$1,$BU14,IF($A$9="",INDEX(Tiere!$BN$2:$BN$153,_xlfn.AGGREGATE(15,6,(ROW(Tiere!$BN$2:$BN$153)-1)/(--(SEARCH(AS$2,Tiere!$BN$2:$BN$153)&gt;0)),ROW()-2),1))))))))),"")</f>
        <v>Kalbinnen - Gülle</v>
      </c>
      <c r="AS15" s="1601"/>
      <c r="AT15" s="1624" t="str">
        <f>IFERROR(IF($A$10=$BO$1,$BO14,IF($A$10=$BP$1,$BP14,IF($A$10=$BQ$1,$BQ14,IF($A$10=$BR$1,$BR14,IF($A$10=$BS$1,$BS14,IF($A$10=$BT$1,$BT14,IF($A$10=$BU$1,$BU14,IF($A$10="",INDEX(Tiere!$BN$2:$BN$153,_xlfn.AGGREGATE(15,6,(ROW(Tiere!$BN$2:$BN$153)-1)/(--(SEARCH(AU$2,Tiere!$BN$2:$BN$153)&gt;0)),ROW()-2),1))))))))),"")</f>
        <v>Kalbinnen - Gülle</v>
      </c>
      <c r="AU15" s="1601"/>
      <c r="AV15" s="1624" t="str">
        <f>IFERROR(IF($A$11=$BO$1,$BO14,IF($A$11=$BP$1,$BP14,IF($A$11=$BQ$1,$BQ14,IF($A$11=$BR$1,$BR14,IF($A$11=$BS$1,$BS14,IF($A$11=$BT$1,$BT14,IF($A$11=$BU$1,$BU14,IF($A$11="",INDEX(Tiere!$BN$2:$BN$153,_xlfn.AGGREGATE(15,6,(ROW(Tiere!$BN$2:$BN$153)-1)/(--(SEARCH(AW$2,Tiere!$BN$2:$BN$153)&gt;0)),ROW()-2),1))))))))),"")</f>
        <v>Kalbinnen - Gülle</v>
      </c>
      <c r="AW15" s="1601"/>
      <c r="AX15" s="1624" t="str">
        <f>IFERROR(IF($A$12=$BO$1,$BO14,IF($A$12=$BP$1,$BP14,IF($A$12=$BQ$1,$BQ14,IF($A$12=$BR$1,$BR14,IF($A$12=$BS$1,$BS14,IF($A$12=$BT$1,$BT14,IF($A$12=$BU$1,$BU14,IF($A$12="",INDEX(Tiere!$BN$2:$BN$153,_xlfn.AGGREGATE(15,6,(ROW(Tiere!$BN$2:$BN$153)-1)/(--(SEARCH(AY$2,Tiere!$BN$2:$BN$153)&gt;0)),ROW()-2),1))))))))),"")</f>
        <v>Kalbinnen - Gülle</v>
      </c>
      <c r="AY15" s="1601"/>
      <c r="AZ15" s="1624" t="str">
        <f>IFERROR(IF($A$13=$BO$1,$BO14,IF($A$13=$BP$1,$BP14,IF($A$13=$BQ$1,$BQ14,IF($A$13=$BR$1,$BR14,IF($A$13=$BS$1,$BS14,IF($A$13=$BT$1,$BT14,IF($A$13=$BU$1,$BU14,IF($A$13="",INDEX(Tiere!$BN$2:$BN$153,_xlfn.AGGREGATE(15,6,(ROW(Tiere!$BN$2:$BN$153)-1)/(--(SEARCH(BA$2,Tiere!$BN$2:$BN$153)&gt;0)),ROW()-2),1))))))))),"")</f>
        <v>Kalbinnen - Gülle</v>
      </c>
      <c r="BA15" s="1601"/>
      <c r="BB15" s="1624" t="str">
        <f>IFERROR(IF($A$14=$BO$1,$BO14,IF($A$14=$BP$1,$BP14,IF($A$14=$BQ$1,$BQ14,IF($A$14=$BR$1,$BR14,IF($A$14=$BS$1,$BS14,IF($A$14=$BT$1,$BT14,IF($A$14=$BU$1,$BU14,IF($A$14="",INDEX(Tiere!$BN$2:$BN$153,_xlfn.AGGREGATE(15,6,(ROW(Tiere!$BN$2:$BN$153)-1)/(--(SEARCH(BC$2,Tiere!$BN$2:$BN$153)&gt;0)),ROW()-2),1))))))))),"")</f>
        <v>Kalbinnen - Gülle</v>
      </c>
      <c r="BC15" s="1601"/>
      <c r="BD15" s="1624" t="str">
        <f>IFERROR(IF($A$15=$BO$1,$BO14,IF($A$15=$BP$1,$BP14,IF($A$15=$BQ$1,$BQ14,IF($A$15=$BR$1,$BR14,IF($A$15=$BS$1,$BS14,IF($A$15=$BT$1,$BT14,IF($A$15=$BU$1,$BU14,IF($A$15="",INDEX(Tiere!$BN$2:$BN$153,_xlfn.AGGREGATE(15,6,(ROW(Tiere!$BN$2:$BN$153)-1)/(--(SEARCH(BE$2,Tiere!$BN$2:$BN$153)&gt;0)),ROW()-2),1))))))))),"")</f>
        <v>Kalbinnen - Gülle</v>
      </c>
      <c r="BE15" s="1601"/>
      <c r="BF15" s="1624" t="str">
        <f>IFERROR(IF($A$16=$BO$1,$BO14,IF($A$16=$BP$1,$BP14,IF($A$16=$BQ$1,$BQ14,IF($A$16=$BR$1,$BR14,IF($A$16=$BS$1,$BS14,IF($A$16=$BT$1,$BT14,IF($A$16=$BU$1,$BU14,IF($A$16="",INDEX(Tiere!$BN$2:$BN$153,_xlfn.AGGREGATE(15,6,(ROW(Tiere!$BN$2:$BN$153)-1)/(--(SEARCH(BG$2,Tiere!$BN$2:$BN$153)&gt;0)),ROW()-2),1))))))))),"")</f>
        <v>Kalbinnen - Gülle</v>
      </c>
      <c r="BG15" s="1601"/>
      <c r="BH15" s="1624" t="str">
        <f>IFERROR(IF($A$17=$BO$1,$BO14,IF($A$17=$BP$1,$BP14,IF($A$17=$BQ$1,$BQ14,IF($A$17=$BR$1,$BR14,IF($A$17=$BS$1,$BS14,IF($A$17=$BT$1,$BT14,IF($A$17=$BU$1,$BU14,IF($A$17="",INDEX(Tiere!$BN$2:$BN$153,_xlfn.AGGREGATE(15,6,(ROW(Tiere!$BN$2:$BN$153)-1)/(--(SEARCH(BI$2,Tiere!$BN$2:$BN$153)&gt;0)),ROW()-2),1))))))))),"")</f>
        <v>Kalbinnen - Gülle</v>
      </c>
      <c r="BI15" s="1601"/>
      <c r="BJ15" s="1624" t="str">
        <f>IFERROR(IF($A$18=$BO$1,$BO14,IF($A$18=$BP$1,$BP14,IF($A$18=$BQ$1,$BQ14,IF($A$18=$BR$1,$BR14,IF($A$18=$BS$1,$BS14,IF($A$18=$BT$1,$BT14,IF($A$18=$BU$1,$BU14,IF($A$18="",INDEX(Tiere!$BN$2:$BN$153,_xlfn.AGGREGATE(15,6,(ROW(Tiere!$BN$2:$BN$153)-1)/(--(SEARCH(BK$2,Tiere!$BN$2:$BN$153)&gt;0)),ROW()-2),1))))))))),"")</f>
        <v>Kalbinnen - Gülle</v>
      </c>
      <c r="BK15" s="1601"/>
      <c r="BL15" s="1624" t="str">
        <f>IFERROR(IF($A$19=$BO$1,$BO14,IF($A$19=$BP$1,$BP14,IF($A$19=$BQ$1,$BQ14,IF($A$19=$BR$1,$BR14,IF($A$19=$BS$1,$BS14,IF($A$19=$BT$1,$BT14,IF($A$19=$BU$1,$BU14,IF($A$19="",INDEX(Tiere!$BN$2:$BN$153,_xlfn.AGGREGATE(15,6,(ROW(Tiere!$BN$2:$BN$153)-1)/(--(SEARCH(BM$2,Tiere!$BN$2:$BN$153)&gt;0)),ROW()-2),1))))))))),"")</f>
        <v>Kalbinnen - Gülle</v>
      </c>
      <c r="BM15" s="1601"/>
      <c r="BN15" s="1630" t="s">
        <v>556</v>
      </c>
      <c r="BO15" s="1599" t="s">
        <v>556</v>
      </c>
      <c r="BP15" s="1599" t="s">
        <v>711</v>
      </c>
      <c r="BQ15" s="1655"/>
      <c r="BR15" s="1599"/>
      <c r="BS15" s="1599"/>
      <c r="BT15" s="1599" t="s">
        <v>794</v>
      </c>
      <c r="BU15" s="1599" t="s">
        <v>811</v>
      </c>
      <c r="BY15" s="162" t="s">
        <v>1617</v>
      </c>
      <c r="BZ15">
        <f>IF(OR($A15=$BW$2,$A15=""),COUNTIF($BN$2:$BN$153,$B15),IF($A15&lt;&gt;"",COUNTIFS(TiereDropDown[B15],$B15,TiereDropDown[B15],"&lt;&gt;"""),0))</f>
        <v>0</v>
      </c>
      <c r="CD15" s="1911" t="s">
        <v>556</v>
      </c>
    </row>
    <row r="16" spans="1:243" ht="22.5" customHeight="1" thickBot="1">
      <c r="A16" s="1914"/>
      <c r="B16" s="2645"/>
      <c r="C16" s="2646"/>
      <c r="D16" s="2646"/>
      <c r="E16" s="2646"/>
      <c r="F16" s="2646"/>
      <c r="G16" s="2646"/>
      <c r="H16" s="2647"/>
      <c r="I16" s="939"/>
      <c r="J16" s="940">
        <f>IFERROR(Tabelle1!AR16,0)</f>
        <v>0</v>
      </c>
      <c r="K16" s="941"/>
      <c r="L16" s="942"/>
      <c r="M16" s="941"/>
      <c r="N16" s="942"/>
      <c r="O16" s="943">
        <f>IFERROR(Tabelle1!AX16,0)</f>
        <v>0</v>
      </c>
      <c r="P16" s="943">
        <f>IFERROR(Tabelle1!BI16,0)</f>
        <v>0</v>
      </c>
      <c r="Q16" s="943">
        <f>IFERROR(Tabelle1!BO16,0)</f>
        <v>0</v>
      </c>
      <c r="R16" s="944">
        <f>IFERROR(Tabelle1!BB16,0)</f>
        <v>0</v>
      </c>
      <c r="S16" s="944">
        <f>IFERROR(Tabelle1!AY16,0)</f>
        <v>0</v>
      </c>
      <c r="T16" s="944">
        <f>IFERROR(Tabelle1!AZ16,0)</f>
        <v>0</v>
      </c>
      <c r="U16" s="944">
        <f>IFERROR(Tabelle1!BA16,0)</f>
        <v>0</v>
      </c>
      <c r="V16" s="944">
        <f>IFERROR(Tabelle1!CA16,0)</f>
        <v>0</v>
      </c>
      <c r="W16" s="944">
        <f>IFERROR(Tabelle1!CG16,0)</f>
        <v>0</v>
      </c>
      <c r="X16" s="944"/>
      <c r="Y16" s="438"/>
      <c r="Z16" s="169" t="s">
        <v>926</v>
      </c>
      <c r="AF16"/>
      <c r="AG16"/>
      <c r="AH16" s="1602"/>
      <c r="AJ16" s="1624" t="str">
        <f>IFERROR(IF($A$5=$BO$1,$BO15,IF($A$5=$BP$1,$BP15,IF($A$5=$BQ$1,$BQ15,IF($A$5=$BR$1,$BR15,IF($A$5=$BS$1,$BS15,IF($A$5=$BT$1,$BT15,IF($A$5=$BU$1,$BU15,IF($A$5="",INDEX(Tiere!$BN$2:$BN$153,_xlfn.AGGREGATE(15,6,(ROW(Tiere!$BN$2:$BN$153)-1)/(--(SEARCH(AK$2,Tiere!$BN$2:$BN$153)&gt;0)),ROW()-2),1))))))))),"")</f>
        <v>Kalbinnen - Mist/Jauche</v>
      </c>
      <c r="AK16" s="1650"/>
      <c r="AL16" s="1624" t="str">
        <f>IFERROR(IF($A$6=$BO$1,$BO15,IF($A$6=$BP$1,$BP15,IF($A$6=$BQ$1,$BQ15,IF($A$6=$BR$1,$BR15,IF($A$6=$BS$1,$BS15,IF($A$6=$BT$1,$BT15,IF($A$6=$BU$1,$BU15,IF($A$6="",INDEX(Tiere!$BN$2:$BN$153,_xlfn.AGGREGATE(15,6,(ROW(Tiere!$BN$2:$BN$153)-1)/(--(SEARCH(AM$2,Tiere!$BN$2:$BN$153)&gt;0)),ROW()-2),1))))))))),"")</f>
        <v>Kalbinnen - Mist/Jauche</v>
      </c>
      <c r="AM16" s="1599"/>
      <c r="AN16" s="1624" t="str">
        <f>IFERROR(IF($A$7=$BO$1,$BO15,IF($A$7=$BP$1,$BP15,IF($A$7=$BQ$1,$BQ15,IF($A$7=$BR$1,$BR15,IF($A$7=$BS$1,$BS15,IF($A$7=$BT$1,$BT15,IF($A$7=$BU$1,$BU15,IF($A$7="",INDEX(Tiere!$BN$2:$BN$153,_xlfn.AGGREGATE(15,6,(ROW(Tiere!$BN$2:$BN$153)-1)/(--(SEARCH(AM$2,Tiere!$BN$2:$BN$153)&gt;0)),ROW()-2),1))))))))),"")</f>
        <v>Kalbinnen - Mist/Jauche</v>
      </c>
      <c r="AO16" s="1599"/>
      <c r="AP16" s="1624" t="str">
        <f>IFERROR(IF($A$8=$BO$1,$BO15,IF($A$8=$BP$1,$BP15,IF($A$8=$BQ$1,$BQ15,IF($A$8=$BR$1,$BR15,IF($A$8=$BS$1,$BS15,IF($A$8=$BT$1,$BT15,IF($A$8=$BU$1,$BU15,IF($A$8="",INDEX(Tiere!$BN$2:$BN$153,_xlfn.AGGREGATE(15,6,(ROW(Tiere!$BN$2:$BN$153)-1)/(--(SEARCH(AQ$2,Tiere!$BN$2:$BN$153)&gt;0)),ROW()-2),1))))))))),"")</f>
        <v>Kalbinnen - Mist/Jauche</v>
      </c>
      <c r="AQ16" s="1599"/>
      <c r="AR16" s="1624" t="str">
        <f>IFERROR(IF($A$9=$BO$1,$BO15,IF($A$9=$BP$1,$BP15,IF($A$9=$BQ$1,$BQ15,IF($A$9=$BR$1,$BR15,IF($A$9=$BS$1,$BS15,IF($A$9=$BT$1,$BT15,IF($A$9=$BU$1,$BU15,IF($A$9="",INDEX(Tiere!$BN$2:$BN$153,_xlfn.AGGREGATE(15,6,(ROW(Tiere!$BN$2:$BN$153)-1)/(--(SEARCH(AS$2,Tiere!$BN$2:$BN$153)&gt;0)),ROW()-2),1))))))))),"")</f>
        <v>Kalbinnen - Mist/Jauche</v>
      </c>
      <c r="AS16" s="1599"/>
      <c r="AT16" s="1624" t="str">
        <f>IFERROR(IF($A$10=$BO$1,$BO15,IF($A$10=$BP$1,$BP15,IF($A$10=$BQ$1,$BQ15,IF($A$10=$BR$1,$BR15,IF($A$10=$BS$1,$BS15,IF($A$10=$BT$1,$BT15,IF($A$10=$BU$1,$BU15,IF($A$10="",INDEX(Tiere!$BN$2:$BN$153,_xlfn.AGGREGATE(15,6,(ROW(Tiere!$BN$2:$BN$153)-1)/(--(SEARCH(AU$2,Tiere!$BN$2:$BN$153)&gt;0)),ROW()-2),1))))))))),"")</f>
        <v>Kalbinnen - Mist/Jauche</v>
      </c>
      <c r="AU16" s="1599"/>
      <c r="AV16" s="1624" t="str">
        <f>IFERROR(IF($A$11=$BO$1,$BO15,IF($A$11=$BP$1,$BP15,IF($A$11=$BQ$1,$BQ15,IF($A$11=$BR$1,$BR15,IF($A$11=$BS$1,$BS15,IF($A$11=$BT$1,$BT15,IF($A$11=$BU$1,$BU15,IF($A$11="",INDEX(Tiere!$BN$2:$BN$153,_xlfn.AGGREGATE(15,6,(ROW(Tiere!$BN$2:$BN$153)-1)/(--(SEARCH(AW$2,Tiere!$BN$2:$BN$153)&gt;0)),ROW()-2),1))))))))),"")</f>
        <v>Kalbinnen - Mist/Jauche</v>
      </c>
      <c r="AW16" s="1599"/>
      <c r="AX16" s="1624" t="str">
        <f>IFERROR(IF($A$12=$BO$1,$BO15,IF($A$12=$BP$1,$BP15,IF($A$12=$BQ$1,$BQ15,IF($A$12=$BR$1,$BR15,IF($A$12=$BS$1,$BS15,IF($A$12=$BT$1,$BT15,IF($A$12=$BU$1,$BU15,IF($A$12="",INDEX(Tiere!$BN$2:$BN$153,_xlfn.AGGREGATE(15,6,(ROW(Tiere!$BN$2:$BN$153)-1)/(--(SEARCH(AY$2,Tiere!$BN$2:$BN$153)&gt;0)),ROW()-2),1))))))))),"")</f>
        <v>Kalbinnen - Mist/Jauche</v>
      </c>
      <c r="AY16" s="1599"/>
      <c r="AZ16" s="1624" t="str">
        <f>IFERROR(IF($A$13=$BO$1,$BO15,IF($A$13=$BP$1,$BP15,IF($A$13=$BQ$1,$BQ15,IF($A$13=$BR$1,$BR15,IF($A$13=$BS$1,$BS15,IF($A$13=$BT$1,$BT15,IF($A$13=$BU$1,$BU15,IF($A$13="",INDEX(Tiere!$BN$2:$BN$153,_xlfn.AGGREGATE(15,6,(ROW(Tiere!$BN$2:$BN$153)-1)/(--(SEARCH(BA$2,Tiere!$BN$2:$BN$153)&gt;0)),ROW()-2),1))))))))),"")</f>
        <v>Kalbinnen - Mist/Jauche</v>
      </c>
      <c r="BA16" s="1599"/>
      <c r="BB16" s="1624" t="str">
        <f>IFERROR(IF($A$14=$BO$1,$BO15,IF($A$14=$BP$1,$BP15,IF($A$14=$BQ$1,$BQ15,IF($A$14=$BR$1,$BR15,IF($A$14=$BS$1,$BS15,IF($A$14=$BT$1,$BT15,IF($A$14=$BU$1,$BU15,IF($A$14="",INDEX(Tiere!$BN$2:$BN$153,_xlfn.AGGREGATE(15,6,(ROW(Tiere!$BN$2:$BN$153)-1)/(--(SEARCH(BC$2,Tiere!$BN$2:$BN$153)&gt;0)),ROW()-2),1))))))))),"")</f>
        <v>Kalbinnen - Mist/Jauche</v>
      </c>
      <c r="BC16" s="1599"/>
      <c r="BD16" s="1624" t="str">
        <f>IFERROR(IF($A$15=$BO$1,$BO15,IF($A$15=$BP$1,$BP15,IF($A$15=$BQ$1,$BQ15,IF($A$15=$BR$1,$BR15,IF($A$15=$BS$1,$BS15,IF($A$15=$BT$1,$BT15,IF($A$15=$BU$1,$BU15,IF($A$15="",INDEX(Tiere!$BN$2:$BN$153,_xlfn.AGGREGATE(15,6,(ROW(Tiere!$BN$2:$BN$153)-1)/(--(SEARCH(BE$2,Tiere!$BN$2:$BN$153)&gt;0)),ROW()-2),1))))))))),"")</f>
        <v>Kalbinnen - Mist/Jauche</v>
      </c>
      <c r="BE16" s="1599"/>
      <c r="BF16" s="1624" t="str">
        <f>IFERROR(IF($A$16=$BO$1,$BO15,IF($A$16=$BP$1,$BP15,IF($A$16=$BQ$1,$BQ15,IF($A$16=$BR$1,$BR15,IF($A$16=$BS$1,$BS15,IF($A$16=$BT$1,$BT15,IF($A$16=$BU$1,$BU15,IF($A$16="",INDEX(Tiere!$BN$2:$BN$153,_xlfn.AGGREGATE(15,6,(ROW(Tiere!$BN$2:$BN$153)-1)/(--(SEARCH(BG$2,Tiere!$BN$2:$BN$153)&gt;0)),ROW()-2),1))))))))),"")</f>
        <v>Kalbinnen - Mist/Jauche</v>
      </c>
      <c r="BG16" s="1599"/>
      <c r="BH16" s="1624" t="str">
        <f>IFERROR(IF($A$17=$BO$1,$BO15,IF($A$17=$BP$1,$BP15,IF($A$17=$BQ$1,$BQ15,IF($A$17=$BR$1,$BR15,IF($A$17=$BS$1,$BS15,IF($A$17=$BT$1,$BT15,IF($A$17=$BU$1,$BU15,IF($A$17="",INDEX(Tiere!$BN$2:$BN$153,_xlfn.AGGREGATE(15,6,(ROW(Tiere!$BN$2:$BN$153)-1)/(--(SEARCH(BI$2,Tiere!$BN$2:$BN$153)&gt;0)),ROW()-2),1))))))))),"")</f>
        <v>Kalbinnen - Mist/Jauche</v>
      </c>
      <c r="BI16" s="1599"/>
      <c r="BJ16" s="1624" t="str">
        <f>IFERROR(IF($A$18=$BO$1,$BO15,IF($A$18=$BP$1,$BP15,IF($A$18=$BQ$1,$BQ15,IF($A$18=$BR$1,$BR15,IF($A$18=$BS$1,$BS15,IF($A$18=$BT$1,$BT15,IF($A$18=$BU$1,$BU15,IF($A$18="",INDEX(Tiere!$BN$2:$BN$153,_xlfn.AGGREGATE(15,6,(ROW(Tiere!$BN$2:$BN$153)-1)/(--(SEARCH(BK$2,Tiere!$BN$2:$BN$153)&gt;0)),ROW()-2),1))))))))),"")</f>
        <v>Kalbinnen - Mist/Jauche</v>
      </c>
      <c r="BK16" s="1599"/>
      <c r="BL16" s="1624" t="str">
        <f>IFERROR(IF($A$19=$BO$1,$BO15,IF($A$19=$BP$1,$BP15,IF($A$19=$BQ$1,$BQ15,IF($A$19=$BR$1,$BR15,IF($A$19=$BS$1,$BS15,IF($A$19=$BT$1,$BT15,IF($A$19=$BU$1,$BU15,IF($A$19="",INDEX(Tiere!$BN$2:$BN$153,_xlfn.AGGREGATE(15,6,(ROW(Tiere!$BN$2:$BN$153)-1)/(--(SEARCH(BM$2,Tiere!$BN$2:$BN$153)&gt;0)),ROW()-2),1))))))))),"")</f>
        <v>Kalbinnen - Mist/Jauche</v>
      </c>
      <c r="BM16" s="1599"/>
      <c r="BN16" s="1630" t="s">
        <v>558</v>
      </c>
      <c r="BO16" s="1599" t="s">
        <v>558</v>
      </c>
      <c r="BP16" s="1599" t="s">
        <v>713</v>
      </c>
      <c r="BQ16" s="1599"/>
      <c r="BR16" s="1599"/>
      <c r="BS16" s="1599"/>
      <c r="BT16" s="1599" t="s">
        <v>795</v>
      </c>
      <c r="BU16" s="1599" t="s">
        <v>812</v>
      </c>
      <c r="BY16" s="162" t="s">
        <v>1618</v>
      </c>
      <c r="BZ16">
        <f>IF(OR($A16=$BW$2,$A16=""),COUNTIF($BN$2:$BN$153,$B16),IF($A16&lt;&gt;"",COUNTIFS(TiereDropDown[B16],$B16,TiereDropDown[B16],"&lt;&gt;"""),0))</f>
        <v>0</v>
      </c>
      <c r="CD16" s="1911" t="s">
        <v>558</v>
      </c>
    </row>
    <row r="17" spans="1:82" ht="22.5" customHeight="1" thickBot="1">
      <c r="A17" s="1914"/>
      <c r="B17" s="2645"/>
      <c r="C17" s="2646"/>
      <c r="D17" s="2646"/>
      <c r="E17" s="2646"/>
      <c r="F17" s="2646"/>
      <c r="G17" s="2646"/>
      <c r="H17" s="2647"/>
      <c r="I17" s="939"/>
      <c r="J17" s="940">
        <f>IFERROR(Tabelle1!AR17,0)</f>
        <v>0</v>
      </c>
      <c r="K17" s="941"/>
      <c r="L17" s="942"/>
      <c r="M17" s="941"/>
      <c r="N17" s="942"/>
      <c r="O17" s="943">
        <f>IFERROR(Tabelle1!AX17,0)</f>
        <v>0</v>
      </c>
      <c r="P17" s="943">
        <f>IFERROR(Tabelle1!BI17,0)</f>
        <v>0</v>
      </c>
      <c r="Q17" s="943">
        <f>IFERROR(Tabelle1!BO17,0)</f>
        <v>0</v>
      </c>
      <c r="R17" s="944">
        <f>IFERROR(Tabelle1!BB17,0)</f>
        <v>0</v>
      </c>
      <c r="S17" s="944">
        <f>IFERROR(Tabelle1!AY17,0)</f>
        <v>0</v>
      </c>
      <c r="T17" s="944">
        <f>IFERROR(Tabelle1!AZ17,0)</f>
        <v>0</v>
      </c>
      <c r="U17" s="944">
        <f>IFERROR(Tabelle1!BA17,0)</f>
        <v>0</v>
      </c>
      <c r="V17" s="944">
        <f>IFERROR(Tabelle1!CA17,0)</f>
        <v>0</v>
      </c>
      <c r="W17" s="944">
        <f>IFERROR(Tabelle1!CG17,0)</f>
        <v>0</v>
      </c>
      <c r="X17" s="944"/>
      <c r="Y17" s="438"/>
      <c r="Z17" s="165" t="s">
        <v>927</v>
      </c>
      <c r="AH17" s="1602"/>
      <c r="AJ17" s="1624" t="str">
        <f>IFERROR(IF($A$5=$BO$1,$BO16,IF($A$5=$BP$1,$BP16,IF($A$5=$BQ$1,$BQ16,IF($A$5=$BR$1,$BR16,IF($A$5=$BS$1,$BS16,IF($A$5=$BT$1,$BT16,IF($A$5=$BU$1,$BU16,IF($A$5="",INDEX(Tiere!$BN$2:$BN$153,_xlfn.AGGREGATE(15,6,(ROW(Tiere!$BN$2:$BN$153)-1)/(--(SEARCH(AK$2,Tiere!$BN$2:$BN$153)&gt;0)),ROW()-2),1))))))))),"")</f>
        <v>Kalbinnen - Tiefstallmist</v>
      </c>
      <c r="AK17" s="1627"/>
      <c r="AL17" s="1624" t="str">
        <f>IFERROR(IF($A$6=$BO$1,$BO16,IF($A$6=$BP$1,$BP16,IF($A$6=$BQ$1,$BQ16,IF($A$6=$BR$1,$BR16,IF($A$6=$BS$1,$BS16,IF($A$6=$BT$1,$BT16,IF($A$6=$BU$1,$BU16,IF($A$6="",INDEX(Tiere!$BN$2:$BN$153,_xlfn.AGGREGATE(15,6,(ROW(Tiere!$BN$2:$BN$153)-1)/(--(SEARCH(AM$2,Tiere!$BN$2:$BN$153)&gt;0)),ROW()-2),1))))))))),"")</f>
        <v>Kalbinnen - Tiefstallmist</v>
      </c>
      <c r="AM17" s="1601"/>
      <c r="AN17" s="1624" t="str">
        <f>IFERROR(IF($A$7=$BO$1,$BO16,IF($A$7=$BP$1,$BP16,IF($A$7=$BQ$1,$BQ16,IF($A$7=$BR$1,$BR16,IF($A$7=$BS$1,$BS16,IF($A$7=$BT$1,$BT16,IF($A$7=$BU$1,$BU16,IF($A$7="",INDEX(Tiere!$BN$2:$BN$153,_xlfn.AGGREGATE(15,6,(ROW(Tiere!$BN$2:$BN$153)-1)/(--(SEARCH(AM$2,Tiere!$BN$2:$BN$153)&gt;0)),ROW()-2),1))))))))),"")</f>
        <v>Kalbinnen - Tiefstallmist</v>
      </c>
      <c r="AO17" s="1601"/>
      <c r="AP17" s="1624" t="str">
        <f>IFERROR(IF($A$8=$BO$1,$BO16,IF($A$8=$BP$1,$BP16,IF($A$8=$BQ$1,$BQ16,IF($A$8=$BR$1,$BR16,IF($A$8=$BS$1,$BS16,IF($A$8=$BT$1,$BT16,IF($A$8=$BU$1,$BU16,IF($A$8="",INDEX(Tiere!$BN$2:$BN$153,_xlfn.AGGREGATE(15,6,(ROW(Tiere!$BN$2:$BN$153)-1)/(--(SEARCH(AQ$2,Tiere!$BN$2:$BN$153)&gt;0)),ROW()-2),1))))))))),"")</f>
        <v>Kalbinnen - Tiefstallmist</v>
      </c>
      <c r="AQ17" s="1601"/>
      <c r="AR17" s="1624" t="str">
        <f>IFERROR(IF($A$9=$BO$1,$BO16,IF($A$9=$BP$1,$BP16,IF($A$9=$BQ$1,$BQ16,IF($A$9=$BR$1,$BR16,IF($A$9=$BS$1,$BS16,IF($A$9=$BT$1,$BT16,IF($A$9=$BU$1,$BU16,IF($A$9="",INDEX(Tiere!$BN$2:$BN$153,_xlfn.AGGREGATE(15,6,(ROW(Tiere!$BN$2:$BN$153)-1)/(--(SEARCH(AS$2,Tiere!$BN$2:$BN$153)&gt;0)),ROW()-2),1))))))))),"")</f>
        <v>Kalbinnen - Tiefstallmist</v>
      </c>
      <c r="AS17" s="1601"/>
      <c r="AT17" s="1624" t="str">
        <f>IFERROR(IF($A$10=$BO$1,$BO16,IF($A$10=$BP$1,$BP16,IF($A$10=$BQ$1,$BQ16,IF($A$10=$BR$1,$BR16,IF($A$10=$BS$1,$BS16,IF($A$10=$BT$1,$BT16,IF($A$10=$BU$1,$BU16,IF($A$10="",INDEX(Tiere!$BN$2:$BN$153,_xlfn.AGGREGATE(15,6,(ROW(Tiere!$BN$2:$BN$153)-1)/(--(SEARCH(AU$2,Tiere!$BN$2:$BN$153)&gt;0)),ROW()-2),1))))))))),"")</f>
        <v>Kalbinnen - Tiefstallmist</v>
      </c>
      <c r="AU17" s="1601"/>
      <c r="AV17" s="1624" t="str">
        <f>IFERROR(IF($A$11=$BO$1,$BO16,IF($A$11=$BP$1,$BP16,IF($A$11=$BQ$1,$BQ16,IF($A$11=$BR$1,$BR16,IF($A$11=$BS$1,$BS16,IF($A$11=$BT$1,$BT16,IF($A$11=$BU$1,$BU16,IF($A$11="",INDEX(Tiere!$BN$2:$BN$153,_xlfn.AGGREGATE(15,6,(ROW(Tiere!$BN$2:$BN$153)-1)/(--(SEARCH(AW$2,Tiere!$BN$2:$BN$153)&gt;0)),ROW()-2),1))))))))),"")</f>
        <v>Kalbinnen - Tiefstallmist</v>
      </c>
      <c r="AW17" s="1601"/>
      <c r="AX17" s="1624" t="str">
        <f>IFERROR(IF($A$12=$BO$1,$BO16,IF($A$12=$BP$1,$BP16,IF($A$12=$BQ$1,$BQ16,IF($A$12=$BR$1,$BR16,IF($A$12=$BS$1,$BS16,IF($A$12=$BT$1,$BT16,IF($A$12=$BU$1,$BU16,IF($A$12="",INDEX(Tiere!$BN$2:$BN$153,_xlfn.AGGREGATE(15,6,(ROW(Tiere!$BN$2:$BN$153)-1)/(--(SEARCH(AY$2,Tiere!$BN$2:$BN$153)&gt;0)),ROW()-2),1))))))))),"")</f>
        <v>Kalbinnen - Tiefstallmist</v>
      </c>
      <c r="AY17" s="1601"/>
      <c r="AZ17" s="1624" t="str">
        <f>IFERROR(IF($A$13=$BO$1,$BO16,IF($A$13=$BP$1,$BP16,IF($A$13=$BQ$1,$BQ16,IF($A$13=$BR$1,$BR16,IF($A$13=$BS$1,$BS16,IF($A$13=$BT$1,$BT16,IF($A$13=$BU$1,$BU16,IF($A$13="",INDEX(Tiere!$BN$2:$BN$153,_xlfn.AGGREGATE(15,6,(ROW(Tiere!$BN$2:$BN$153)-1)/(--(SEARCH(BA$2,Tiere!$BN$2:$BN$153)&gt;0)),ROW()-2),1))))))))),"")</f>
        <v>Kalbinnen - Tiefstallmist</v>
      </c>
      <c r="BA17" s="1601"/>
      <c r="BB17" s="1624" t="str">
        <f>IFERROR(IF($A$14=$BO$1,$BO16,IF($A$14=$BP$1,$BP16,IF($A$14=$BQ$1,$BQ16,IF($A$14=$BR$1,$BR16,IF($A$14=$BS$1,$BS16,IF($A$14=$BT$1,$BT16,IF($A$14=$BU$1,$BU16,IF($A$14="",INDEX(Tiere!$BN$2:$BN$153,_xlfn.AGGREGATE(15,6,(ROW(Tiere!$BN$2:$BN$153)-1)/(--(SEARCH(BC$2,Tiere!$BN$2:$BN$153)&gt;0)),ROW()-2),1))))))))),"")</f>
        <v>Kalbinnen - Tiefstallmist</v>
      </c>
      <c r="BC17" s="1601"/>
      <c r="BD17" s="1624" t="str">
        <f>IFERROR(IF($A$15=$BO$1,$BO16,IF($A$15=$BP$1,$BP16,IF($A$15=$BQ$1,$BQ16,IF($A$15=$BR$1,$BR16,IF($A$15=$BS$1,$BS16,IF($A$15=$BT$1,$BT16,IF($A$15=$BU$1,$BU16,IF($A$15="",INDEX(Tiere!$BN$2:$BN$153,_xlfn.AGGREGATE(15,6,(ROW(Tiere!$BN$2:$BN$153)-1)/(--(SEARCH(BE$2,Tiere!$BN$2:$BN$153)&gt;0)),ROW()-2),1))))))))),"")</f>
        <v>Kalbinnen - Tiefstallmist</v>
      </c>
      <c r="BE17" s="1601"/>
      <c r="BF17" s="1624" t="str">
        <f>IFERROR(IF($A$16=$BO$1,$BO16,IF($A$16=$BP$1,$BP16,IF($A$16=$BQ$1,$BQ16,IF($A$16=$BR$1,$BR16,IF($A$16=$BS$1,$BS16,IF($A$16=$BT$1,$BT16,IF($A$16=$BU$1,$BU16,IF($A$16="",INDEX(Tiere!$BN$2:$BN$153,_xlfn.AGGREGATE(15,6,(ROW(Tiere!$BN$2:$BN$153)-1)/(--(SEARCH(BG$2,Tiere!$BN$2:$BN$153)&gt;0)),ROW()-2),1))))))))),"")</f>
        <v>Kalbinnen - Tiefstallmist</v>
      </c>
      <c r="BG17" s="1601"/>
      <c r="BH17" s="1624" t="str">
        <f>IFERROR(IF($A$17=$BO$1,$BO16,IF($A$17=$BP$1,$BP16,IF($A$17=$BQ$1,$BQ16,IF($A$17=$BR$1,$BR16,IF($A$17=$BS$1,$BS16,IF($A$17=$BT$1,$BT16,IF($A$17=$BU$1,$BU16,IF($A$17="",INDEX(Tiere!$BN$2:$BN$153,_xlfn.AGGREGATE(15,6,(ROW(Tiere!$BN$2:$BN$153)-1)/(--(SEARCH(BI$2,Tiere!$BN$2:$BN$153)&gt;0)),ROW()-2),1))))))))),"")</f>
        <v>Kalbinnen - Tiefstallmist</v>
      </c>
      <c r="BI17" s="1601"/>
      <c r="BJ17" s="1624" t="str">
        <f>IFERROR(IF($A$18=$BO$1,$BO16,IF($A$18=$BP$1,$BP16,IF($A$18=$BQ$1,$BQ16,IF($A$18=$BR$1,$BR16,IF($A$18=$BS$1,$BS16,IF($A$18=$BT$1,$BT16,IF($A$18=$BU$1,$BU16,IF($A$18="",INDEX(Tiere!$BN$2:$BN$153,_xlfn.AGGREGATE(15,6,(ROW(Tiere!$BN$2:$BN$153)-1)/(--(SEARCH(BK$2,Tiere!$BN$2:$BN$153)&gt;0)),ROW()-2),1))))))))),"")</f>
        <v>Kalbinnen - Tiefstallmist</v>
      </c>
      <c r="BK17" s="1601"/>
      <c r="BL17" s="1624" t="str">
        <f>IFERROR(IF($A$19=$BO$1,$BO16,IF($A$19=$BP$1,$BP16,IF($A$19=$BQ$1,$BQ16,IF($A$19=$BR$1,$BR16,IF($A$19=$BS$1,$BS16,IF($A$19=$BT$1,$BT16,IF($A$19=$BU$1,$BU16,IF($A$19="",INDEX(Tiere!$BN$2:$BN$153,_xlfn.AGGREGATE(15,6,(ROW(Tiere!$BN$2:$BN$153)-1)/(--(SEARCH(BM$2,Tiere!$BN$2:$BN$153)&gt;0)),ROW()-2),1))))))))),"")</f>
        <v>Kalbinnen - Tiefstallmist</v>
      </c>
      <c r="BM17" s="1601"/>
      <c r="BN17" s="1630" t="s">
        <v>562</v>
      </c>
      <c r="BO17" s="1599" t="s">
        <v>562</v>
      </c>
      <c r="BP17" s="1599" t="s">
        <v>716</v>
      </c>
      <c r="BQ17" s="1599"/>
      <c r="BR17" s="1599"/>
      <c r="BS17" s="1599"/>
      <c r="BT17" s="1599" t="s">
        <v>1671</v>
      </c>
      <c r="BU17" s="1599" t="s">
        <v>813</v>
      </c>
      <c r="BY17" t="s">
        <v>1619</v>
      </c>
      <c r="BZ17">
        <f>IF(OR($A17=$BW$2,$A17=""),COUNTIF($BN$2:$BN$153,$B17),IF($A17&lt;&gt;"",COUNTIFS(TiereDropDown[B17],$B17,TiereDropDown[B17],"&lt;&gt;"""),0))</f>
        <v>0</v>
      </c>
      <c r="CD17" s="1911" t="s">
        <v>562</v>
      </c>
    </row>
    <row r="18" spans="1:82" ht="22.5" customHeight="1" thickTop="1" thickBot="1">
      <c r="A18" s="1914"/>
      <c r="B18" s="2645"/>
      <c r="C18" s="2646"/>
      <c r="D18" s="2646"/>
      <c r="E18" s="2646"/>
      <c r="F18" s="2646"/>
      <c r="G18" s="2646"/>
      <c r="H18" s="2647"/>
      <c r="I18" s="939"/>
      <c r="J18" s="940">
        <f>IFERROR(Tabelle1!AR18,0)</f>
        <v>0</v>
      </c>
      <c r="K18" s="941"/>
      <c r="L18" s="942"/>
      <c r="M18" s="941"/>
      <c r="N18" s="942"/>
      <c r="O18" s="943">
        <f>IFERROR(Tabelle1!AX18,0)</f>
        <v>0</v>
      </c>
      <c r="P18" s="943">
        <f>IFERROR(Tabelle1!BI18,0)</f>
        <v>0</v>
      </c>
      <c r="Q18" s="943">
        <f>IFERROR(Tabelle1!BO18,0)</f>
        <v>0</v>
      </c>
      <c r="R18" s="944">
        <f>IFERROR(Tabelle1!BB18,0)</f>
        <v>0</v>
      </c>
      <c r="S18" s="944">
        <f>IFERROR(Tabelle1!AY18,0)</f>
        <v>0</v>
      </c>
      <c r="T18" s="944">
        <f>IFERROR(Tabelle1!AZ18,0)</f>
        <v>0</v>
      </c>
      <c r="U18" s="944">
        <f>IFERROR(Tabelle1!BA18,0)</f>
        <v>0</v>
      </c>
      <c r="V18" s="944">
        <f>IFERROR(Tabelle1!CA18,0)</f>
        <v>0</v>
      </c>
      <c r="W18" s="944">
        <f>IFERROR(Tabelle1!CG18,0)</f>
        <v>0</v>
      </c>
      <c r="X18" s="944"/>
      <c r="Y18" s="438"/>
      <c r="Z18" s="165" t="s">
        <v>332</v>
      </c>
      <c r="AH18" s="1602"/>
      <c r="AJ18" s="1624" t="str">
        <f>IFERROR(IF($A$5=$BO$1,$BO17,IF($A$5=$BP$1,$BP17,IF($A$5=$BQ$1,$BQ17,IF($A$5=$BR$1,$BR17,IF($A$5=$BS$1,$BS17,IF($A$5=$BT$1,$BT17,IF($A$5=$BU$1,$BU17,IF($A$5="",INDEX(Tiere!$BN$2:$BN$153,_xlfn.AGGREGATE(15,6,(ROW(Tiere!$BN$2:$BN$153)-1)/(--(SEARCH(AK$2,Tiere!$BN$2:$BN$153)&gt;0)),ROW()-2),1))))))))),"")</f>
        <v>Milch- bzw. Mutterkühe (3000 kg Milch)  - Gülle</v>
      </c>
      <c r="AK18" s="1599"/>
      <c r="AL18" s="1624" t="str">
        <f>IFERROR(IF($A$6=$BO$1,$BO17,IF($A$6=$BP$1,$BP17,IF($A$6=$BQ$1,$BQ17,IF($A$6=$BR$1,$BR17,IF($A$6=$BS$1,$BS17,IF($A$6=$BT$1,$BT17,IF($A$6=$BU$1,$BU17,IF($A$6="",INDEX(Tiere!$BN$2:$BN$153,_xlfn.AGGREGATE(15,6,(ROW(Tiere!$BN$2:$BN$153)-1)/(--(SEARCH(AM$2,Tiere!$BN$2:$BN$153)&gt;0)),ROW()-2),1))))))))),"")</f>
        <v>Milch- bzw. Mutterkühe (3000 kg Milch)  - Gülle</v>
      </c>
      <c r="AM18" s="1599"/>
      <c r="AN18" s="1624" t="str">
        <f>IFERROR(IF($A$7=$BO$1,$BO17,IF($A$7=$BP$1,$BP17,IF($A$7=$BQ$1,$BQ17,IF($A$7=$BR$1,$BR17,IF($A$7=$BS$1,$BS17,IF($A$7=$BT$1,$BT17,IF($A$7=$BU$1,$BU17,IF($A$7="",INDEX(Tiere!$BN$2:$BN$153,_xlfn.AGGREGATE(15,6,(ROW(Tiere!$BN$2:$BN$153)-1)/(--(SEARCH(AM$2,Tiere!$BN$2:$BN$153)&gt;0)),ROW()-2),1))))))))),"")</f>
        <v>Milch- bzw. Mutterkühe (3000 kg Milch)  - Gülle</v>
      </c>
      <c r="AO18" s="1599"/>
      <c r="AP18" s="1624" t="str">
        <f>IFERROR(IF($A$8=$BO$1,$BO17,IF($A$8=$BP$1,$BP17,IF($A$8=$BQ$1,$BQ17,IF($A$8=$BR$1,$BR17,IF($A$8=$BS$1,$BS17,IF($A$8=$BT$1,$BT17,IF($A$8=$BU$1,$BU17,IF($A$8="",INDEX(Tiere!$BN$2:$BN$153,_xlfn.AGGREGATE(15,6,(ROW(Tiere!$BN$2:$BN$153)-1)/(--(SEARCH(AQ$2,Tiere!$BN$2:$BN$153)&gt;0)),ROW()-2),1))))))))),"")</f>
        <v>Milch- bzw. Mutterkühe (3000 kg Milch)  - Gülle</v>
      </c>
      <c r="AQ18" s="1599"/>
      <c r="AR18" s="1624" t="str">
        <f>IFERROR(IF($A$9=$BO$1,$BO17,IF($A$9=$BP$1,$BP17,IF($A$9=$BQ$1,$BQ17,IF($A$9=$BR$1,$BR17,IF($A$9=$BS$1,$BS17,IF($A$9=$BT$1,$BT17,IF($A$9=$BU$1,$BU17,IF($A$9="",INDEX(Tiere!$BN$2:$BN$153,_xlfn.AGGREGATE(15,6,(ROW(Tiere!$BN$2:$BN$153)-1)/(--(SEARCH(AS$2,Tiere!$BN$2:$BN$153)&gt;0)),ROW()-2),1))))))))),"")</f>
        <v>Milch- bzw. Mutterkühe (3000 kg Milch)  - Gülle</v>
      </c>
      <c r="AS18" s="1599"/>
      <c r="AT18" s="1624" t="str">
        <f>IFERROR(IF($A$10=$BO$1,$BO17,IF($A$10=$BP$1,$BP17,IF($A$10=$BQ$1,$BQ17,IF($A$10=$BR$1,$BR17,IF($A$10=$BS$1,$BS17,IF($A$10=$BT$1,$BT17,IF($A$10=$BU$1,$BU17,IF($A$10="",INDEX(Tiere!$BN$2:$BN$153,_xlfn.AGGREGATE(15,6,(ROW(Tiere!$BN$2:$BN$153)-1)/(--(SEARCH(AU$2,Tiere!$BN$2:$BN$153)&gt;0)),ROW()-2),1))))))))),"")</f>
        <v>Milch- bzw. Mutterkühe (3000 kg Milch)  - Gülle</v>
      </c>
      <c r="AU18" s="1599"/>
      <c r="AV18" s="1624" t="str">
        <f>IFERROR(IF($A$11=$BO$1,$BO17,IF($A$11=$BP$1,$BP17,IF($A$11=$BQ$1,$BQ17,IF($A$11=$BR$1,$BR17,IF($A$11=$BS$1,$BS17,IF($A$11=$BT$1,$BT17,IF($A$11=$BU$1,$BU17,IF($A$11="",INDEX(Tiere!$BN$2:$BN$153,_xlfn.AGGREGATE(15,6,(ROW(Tiere!$BN$2:$BN$153)-1)/(--(SEARCH(AW$2,Tiere!$BN$2:$BN$153)&gt;0)),ROW()-2),1))))))))),"")</f>
        <v>Milch- bzw. Mutterkühe (3000 kg Milch)  - Gülle</v>
      </c>
      <c r="AW18" s="1599"/>
      <c r="AX18" s="1624" t="str">
        <f>IFERROR(IF($A$12=$BO$1,$BO17,IF($A$12=$BP$1,$BP17,IF($A$12=$BQ$1,$BQ17,IF($A$12=$BR$1,$BR17,IF($A$12=$BS$1,$BS17,IF($A$12=$BT$1,$BT17,IF($A$12=$BU$1,$BU17,IF($A$12="",INDEX(Tiere!$BN$2:$BN$153,_xlfn.AGGREGATE(15,6,(ROW(Tiere!$BN$2:$BN$153)-1)/(--(SEARCH(AY$2,Tiere!$BN$2:$BN$153)&gt;0)),ROW()-2),1))))))))),"")</f>
        <v>Milch- bzw. Mutterkühe (3000 kg Milch)  - Gülle</v>
      </c>
      <c r="AY18" s="1599"/>
      <c r="AZ18" s="1624" t="str">
        <f>IFERROR(IF($A$13=$BO$1,$BO17,IF($A$13=$BP$1,$BP17,IF($A$13=$BQ$1,$BQ17,IF($A$13=$BR$1,$BR17,IF($A$13=$BS$1,$BS17,IF($A$13=$BT$1,$BT17,IF($A$13=$BU$1,$BU17,IF($A$13="",INDEX(Tiere!$BN$2:$BN$153,_xlfn.AGGREGATE(15,6,(ROW(Tiere!$BN$2:$BN$153)-1)/(--(SEARCH(BA$2,Tiere!$BN$2:$BN$153)&gt;0)),ROW()-2),1))))))))),"")</f>
        <v>Milch- bzw. Mutterkühe (3000 kg Milch)  - Gülle</v>
      </c>
      <c r="BA18" s="1599"/>
      <c r="BB18" s="1624" t="str">
        <f>IFERROR(IF($A$14=$BO$1,$BO17,IF($A$14=$BP$1,$BP17,IF($A$14=$BQ$1,$BQ17,IF($A$14=$BR$1,$BR17,IF($A$14=$BS$1,$BS17,IF($A$14=$BT$1,$BT17,IF($A$14=$BU$1,$BU17,IF($A$14="",INDEX(Tiere!$BN$2:$BN$153,_xlfn.AGGREGATE(15,6,(ROW(Tiere!$BN$2:$BN$153)-1)/(--(SEARCH(BC$2,Tiere!$BN$2:$BN$153)&gt;0)),ROW()-2),1))))))))),"")</f>
        <v>Milch- bzw. Mutterkühe (3000 kg Milch)  - Gülle</v>
      </c>
      <c r="BC18" s="1599"/>
      <c r="BD18" s="1624" t="str">
        <f>IFERROR(IF($A$15=$BO$1,$BO17,IF($A$15=$BP$1,$BP17,IF($A$15=$BQ$1,$BQ17,IF($A$15=$BR$1,$BR17,IF($A$15=$BS$1,$BS17,IF($A$15=$BT$1,$BT17,IF($A$15=$BU$1,$BU17,IF($A$15="",INDEX(Tiere!$BN$2:$BN$153,_xlfn.AGGREGATE(15,6,(ROW(Tiere!$BN$2:$BN$153)-1)/(--(SEARCH(BE$2,Tiere!$BN$2:$BN$153)&gt;0)),ROW()-2),1))))))))),"")</f>
        <v>Milch- bzw. Mutterkühe (3000 kg Milch)  - Gülle</v>
      </c>
      <c r="BE18" s="1599"/>
      <c r="BF18" s="1624" t="str">
        <f>IFERROR(IF($A$16=$BO$1,$BO17,IF($A$16=$BP$1,$BP17,IF($A$16=$BQ$1,$BQ17,IF($A$16=$BR$1,$BR17,IF($A$16=$BS$1,$BS17,IF($A$16=$BT$1,$BT17,IF($A$16=$BU$1,$BU17,IF($A$16="",INDEX(Tiere!$BN$2:$BN$153,_xlfn.AGGREGATE(15,6,(ROW(Tiere!$BN$2:$BN$153)-1)/(--(SEARCH(BG$2,Tiere!$BN$2:$BN$153)&gt;0)),ROW()-2),1))))))))),"")</f>
        <v>Milch- bzw. Mutterkühe (3000 kg Milch)  - Gülle</v>
      </c>
      <c r="BG18" s="1599"/>
      <c r="BH18" s="1624" t="str">
        <f>IFERROR(IF($A$17=$BO$1,$BO17,IF($A$17=$BP$1,$BP17,IF($A$17=$BQ$1,$BQ17,IF($A$17=$BR$1,$BR17,IF($A$17=$BS$1,$BS17,IF($A$17=$BT$1,$BT17,IF($A$17=$BU$1,$BU17,IF($A$17="",INDEX(Tiere!$BN$2:$BN$153,_xlfn.AGGREGATE(15,6,(ROW(Tiere!$BN$2:$BN$153)-1)/(--(SEARCH(BI$2,Tiere!$BN$2:$BN$153)&gt;0)),ROW()-2),1))))))))),"")</f>
        <v>Milch- bzw. Mutterkühe (3000 kg Milch)  - Gülle</v>
      </c>
      <c r="BI18" s="1599"/>
      <c r="BJ18" s="1624" t="str">
        <f>IFERROR(IF($A$18=$BO$1,$BO17,IF($A$18=$BP$1,$BP17,IF($A$18=$BQ$1,$BQ17,IF($A$18=$BR$1,$BR17,IF($A$18=$BS$1,$BS17,IF($A$18=$BT$1,$BT17,IF($A$18=$BU$1,$BU17,IF($A$18="",INDEX(Tiere!$BN$2:$BN$153,_xlfn.AGGREGATE(15,6,(ROW(Tiere!$BN$2:$BN$153)-1)/(--(SEARCH(BK$2,Tiere!$BN$2:$BN$153)&gt;0)),ROW()-2),1))))))))),"")</f>
        <v>Milch- bzw. Mutterkühe (3000 kg Milch)  - Gülle</v>
      </c>
      <c r="BK18" s="1599"/>
      <c r="BL18" s="1624" t="str">
        <f>IFERROR(IF($A$19=$BO$1,$BO17,IF($A$19=$BP$1,$BP17,IF($A$19=$BQ$1,$BQ17,IF($A$19=$BR$1,$BR17,IF($A$19=$BS$1,$BS17,IF($A$19=$BT$1,$BT17,IF($A$19=$BU$1,$BU17,IF($A$19="",INDEX(Tiere!$BN$2:$BN$153,_xlfn.AGGREGATE(15,6,(ROW(Tiere!$BN$2:$BN$153)-1)/(--(SEARCH(BM$2,Tiere!$BN$2:$BN$153)&gt;0)),ROW()-2),1))))))))),"")</f>
        <v>Milch- bzw. Mutterkühe (3000 kg Milch)  - Gülle</v>
      </c>
      <c r="BM18" s="1599"/>
      <c r="BN18" s="1630" t="s">
        <v>570</v>
      </c>
      <c r="BO18" s="1599" t="s">
        <v>570</v>
      </c>
      <c r="BP18" s="1599" t="s">
        <v>717</v>
      </c>
      <c r="BQ18" s="1599"/>
      <c r="BR18" s="1599"/>
      <c r="BS18" s="1599"/>
      <c r="BT18" s="1901"/>
      <c r="BU18" s="1623" t="s">
        <v>814</v>
      </c>
      <c r="BY18" s="164" t="s">
        <v>2399</v>
      </c>
      <c r="BZ18">
        <f>IF(OR($A18=$BW$2,$A18=""),COUNTIF($BN$2:$BN$153,$B18),IF($A18&lt;&gt;"",COUNTIFS(TiereDropDown[B18],$B18,TiereDropDown[B18],"&lt;&gt;"""),0))</f>
        <v>0</v>
      </c>
      <c r="CD18" s="1911" t="s">
        <v>570</v>
      </c>
    </row>
    <row r="19" spans="1:82" ht="22.5" customHeight="1" thickBot="1">
      <c r="A19" s="1914"/>
      <c r="B19" s="2645"/>
      <c r="C19" s="2646"/>
      <c r="D19" s="2646"/>
      <c r="E19" s="2646"/>
      <c r="F19" s="2646"/>
      <c r="G19" s="2646"/>
      <c r="H19" s="2647"/>
      <c r="I19" s="939"/>
      <c r="J19" s="940">
        <f>IFERROR(Tabelle1!AR19,0)</f>
        <v>0</v>
      </c>
      <c r="K19" s="941"/>
      <c r="L19" s="942"/>
      <c r="M19" s="941"/>
      <c r="N19" s="942"/>
      <c r="O19" s="943">
        <f>IFERROR(Tabelle1!AX19,0)</f>
        <v>0</v>
      </c>
      <c r="P19" s="943">
        <f>IFERROR(Tabelle1!BI19,0)</f>
        <v>0</v>
      </c>
      <c r="Q19" s="943">
        <f>IFERROR(Tabelle1!BO19,0)</f>
        <v>0</v>
      </c>
      <c r="R19" s="944">
        <f>IFERROR(Tabelle1!BB19,0)</f>
        <v>0</v>
      </c>
      <c r="S19" s="944">
        <f>IFERROR(Tabelle1!AY19,0)</f>
        <v>0</v>
      </c>
      <c r="T19" s="944">
        <f>IFERROR(Tabelle1!AZ19,0)</f>
        <v>0</v>
      </c>
      <c r="U19" s="944">
        <f>IFERROR(Tabelle1!BA19,0)</f>
        <v>0</v>
      </c>
      <c r="V19" s="944">
        <f>IFERROR(Tabelle1!CA19,0)</f>
        <v>0</v>
      </c>
      <c r="W19" s="944">
        <f>IFERROR(Tabelle1!CG19,0)</f>
        <v>0</v>
      </c>
      <c r="X19" s="944"/>
      <c r="Y19" s="438"/>
      <c r="Z19" s="165" t="s">
        <v>928</v>
      </c>
      <c r="AH19" s="1602"/>
      <c r="AJ19" s="1624" t="str">
        <f>IFERROR(IF($A$5=$BO$1,$BO18,IF($A$5=$BP$1,$BP18,IF($A$5=$BQ$1,$BQ18,IF($A$5=$BR$1,$BR18,IF($A$5=$BS$1,$BS18,IF($A$5=$BT$1,$BT18,IF($A$5=$BU$1,$BU18,IF($A$5="",INDEX(Tiere!$BN$2:$BN$153,_xlfn.AGGREGATE(15,6,(ROW(Tiere!$BN$2:$BN$153)-1)/(--(SEARCH(AK$2,Tiere!$BN$2:$BN$153)&gt;0)),ROW()-2),1))))))))),"")</f>
        <v>Milch- bzw. Mutterkühe (3000 kg Milch)  - Mist / Jauche</v>
      </c>
      <c r="AK19" s="1601"/>
      <c r="AL19" s="1624" t="str">
        <f>IFERROR(IF($A$6=$BO$1,$BO18,IF($A$6=$BP$1,$BP18,IF($A$6=$BQ$1,$BQ18,IF($A$6=$BR$1,$BR18,IF($A$6=$BS$1,$BS18,IF($A$6=$BT$1,$BT18,IF($A$6=$BU$1,$BU18,IF($A$6="",INDEX(Tiere!$BN$2:$BN$153,_xlfn.AGGREGATE(15,6,(ROW(Tiere!$BN$2:$BN$153)-1)/(--(SEARCH(AM$2,Tiere!$BN$2:$BN$153)&gt;0)),ROW()-2),1))))))))),"")</f>
        <v>Milch- bzw. Mutterkühe (3000 kg Milch)  - Mist / Jauche</v>
      </c>
      <c r="AM19" s="1601"/>
      <c r="AN19" s="1624" t="str">
        <f>IFERROR(IF($A$7=$BO$1,$BO18,IF($A$7=$BP$1,$BP18,IF($A$7=$BQ$1,$BQ18,IF($A$7=$BR$1,$BR18,IF($A$7=$BS$1,$BS18,IF($A$7=$BT$1,$BT18,IF($A$7=$BU$1,$BU18,IF($A$7="",INDEX(Tiere!$BN$2:$BN$153,_xlfn.AGGREGATE(15,6,(ROW(Tiere!$BN$2:$BN$153)-1)/(--(SEARCH(AM$2,Tiere!$BN$2:$BN$153)&gt;0)),ROW()-2),1))))))))),"")</f>
        <v>Milch- bzw. Mutterkühe (3000 kg Milch)  - Mist / Jauche</v>
      </c>
      <c r="AO19" s="1601"/>
      <c r="AP19" s="1624" t="str">
        <f>IFERROR(IF($A$8=$BO$1,$BO18,IF($A$8=$BP$1,$BP18,IF($A$8=$BQ$1,$BQ18,IF($A$8=$BR$1,$BR18,IF($A$8=$BS$1,$BS18,IF($A$8=$BT$1,$BT18,IF($A$8=$BU$1,$BU18,IF($A$8="",INDEX(Tiere!$BN$2:$BN$153,_xlfn.AGGREGATE(15,6,(ROW(Tiere!$BN$2:$BN$153)-1)/(--(SEARCH(AQ$2,Tiere!$BN$2:$BN$153)&gt;0)),ROW()-2),1))))))))),"")</f>
        <v>Milch- bzw. Mutterkühe (3000 kg Milch)  - Mist / Jauche</v>
      </c>
      <c r="AQ19" s="1601"/>
      <c r="AR19" s="1624" t="str">
        <f>IFERROR(IF($A$9=$BO$1,$BO18,IF($A$9=$BP$1,$BP18,IF($A$9=$BQ$1,$BQ18,IF($A$9=$BR$1,$BR18,IF($A$9=$BS$1,$BS18,IF($A$9=$BT$1,$BT18,IF($A$9=$BU$1,$BU18,IF($A$9="",INDEX(Tiere!$BN$2:$BN$153,_xlfn.AGGREGATE(15,6,(ROW(Tiere!$BN$2:$BN$153)-1)/(--(SEARCH(AS$2,Tiere!$BN$2:$BN$153)&gt;0)),ROW()-2),1))))))))),"")</f>
        <v>Milch- bzw. Mutterkühe (3000 kg Milch)  - Mist / Jauche</v>
      </c>
      <c r="AS19" s="1601"/>
      <c r="AT19" s="1624" t="str">
        <f>IFERROR(IF($A$10=$BO$1,$BO18,IF($A$10=$BP$1,$BP18,IF($A$10=$BQ$1,$BQ18,IF($A$10=$BR$1,$BR18,IF($A$10=$BS$1,$BS18,IF($A$10=$BT$1,$BT18,IF($A$10=$BU$1,$BU18,IF($A$10="",INDEX(Tiere!$BN$2:$BN$153,_xlfn.AGGREGATE(15,6,(ROW(Tiere!$BN$2:$BN$153)-1)/(--(SEARCH(AU$2,Tiere!$BN$2:$BN$153)&gt;0)),ROW()-2),1))))))))),"")</f>
        <v>Milch- bzw. Mutterkühe (3000 kg Milch)  - Mist / Jauche</v>
      </c>
      <c r="AU19" s="1601"/>
      <c r="AV19" s="1624" t="str">
        <f>IFERROR(IF($A$11=$BO$1,$BO18,IF($A$11=$BP$1,$BP18,IF($A$11=$BQ$1,$BQ18,IF($A$11=$BR$1,$BR18,IF($A$11=$BS$1,$BS18,IF($A$11=$BT$1,$BT18,IF($A$11=$BU$1,$BU18,IF($A$11="",INDEX(Tiere!$BN$2:$BN$153,_xlfn.AGGREGATE(15,6,(ROW(Tiere!$BN$2:$BN$153)-1)/(--(SEARCH(AW$2,Tiere!$BN$2:$BN$153)&gt;0)),ROW()-2),1))))))))),"")</f>
        <v>Milch- bzw. Mutterkühe (3000 kg Milch)  - Mist / Jauche</v>
      </c>
      <c r="AW19" s="1601"/>
      <c r="AX19" s="1624" t="str">
        <f>IFERROR(IF($A$12=$BO$1,$BO18,IF($A$12=$BP$1,$BP18,IF($A$12=$BQ$1,$BQ18,IF($A$12=$BR$1,$BR18,IF($A$12=$BS$1,$BS18,IF($A$12=$BT$1,$BT18,IF($A$12=$BU$1,$BU18,IF($A$12="",INDEX(Tiere!$BN$2:$BN$153,_xlfn.AGGREGATE(15,6,(ROW(Tiere!$BN$2:$BN$153)-1)/(--(SEARCH(AY$2,Tiere!$BN$2:$BN$153)&gt;0)),ROW()-2),1))))))))),"")</f>
        <v>Milch- bzw. Mutterkühe (3000 kg Milch)  - Mist / Jauche</v>
      </c>
      <c r="AY19" s="1601"/>
      <c r="AZ19" s="1624" t="str">
        <f>IFERROR(IF($A$13=$BO$1,$BO18,IF($A$13=$BP$1,$BP18,IF($A$13=$BQ$1,$BQ18,IF($A$13=$BR$1,$BR18,IF($A$13=$BS$1,$BS18,IF($A$13=$BT$1,$BT18,IF($A$13=$BU$1,$BU18,IF($A$13="",INDEX(Tiere!$BN$2:$BN$153,_xlfn.AGGREGATE(15,6,(ROW(Tiere!$BN$2:$BN$153)-1)/(--(SEARCH(BA$2,Tiere!$BN$2:$BN$153)&gt;0)),ROW()-2),1))))))))),"")</f>
        <v>Milch- bzw. Mutterkühe (3000 kg Milch)  - Mist / Jauche</v>
      </c>
      <c r="BA19" s="1601"/>
      <c r="BB19" s="1624" t="str">
        <f>IFERROR(IF($A$14=$BO$1,$BO18,IF($A$14=$BP$1,$BP18,IF($A$14=$BQ$1,$BQ18,IF($A$14=$BR$1,$BR18,IF($A$14=$BS$1,$BS18,IF($A$14=$BT$1,$BT18,IF($A$14=$BU$1,$BU18,IF($A$14="",INDEX(Tiere!$BN$2:$BN$153,_xlfn.AGGREGATE(15,6,(ROW(Tiere!$BN$2:$BN$153)-1)/(--(SEARCH(BC$2,Tiere!$BN$2:$BN$153)&gt;0)),ROW()-2),1))))))))),"")</f>
        <v>Milch- bzw. Mutterkühe (3000 kg Milch)  - Mist / Jauche</v>
      </c>
      <c r="BC19" s="1601"/>
      <c r="BD19" s="1624" t="str">
        <f>IFERROR(IF($A$15=$BO$1,$BO18,IF($A$15=$BP$1,$BP18,IF($A$15=$BQ$1,$BQ18,IF($A$15=$BR$1,$BR18,IF($A$15=$BS$1,$BS18,IF($A$15=$BT$1,$BT18,IF($A$15=$BU$1,$BU18,IF($A$15="",INDEX(Tiere!$BN$2:$BN$153,_xlfn.AGGREGATE(15,6,(ROW(Tiere!$BN$2:$BN$153)-1)/(--(SEARCH(BE$2,Tiere!$BN$2:$BN$153)&gt;0)),ROW()-2),1))))))))),"")</f>
        <v>Milch- bzw. Mutterkühe (3000 kg Milch)  - Mist / Jauche</v>
      </c>
      <c r="BE19" s="1601"/>
      <c r="BF19" s="1624" t="str">
        <f>IFERROR(IF($A$16=$BO$1,$BO18,IF($A$16=$BP$1,$BP18,IF($A$16=$BQ$1,$BQ18,IF($A$16=$BR$1,$BR18,IF($A$16=$BS$1,$BS18,IF($A$16=$BT$1,$BT18,IF($A$16=$BU$1,$BU18,IF($A$16="",INDEX(Tiere!$BN$2:$BN$153,_xlfn.AGGREGATE(15,6,(ROW(Tiere!$BN$2:$BN$153)-1)/(--(SEARCH(BG$2,Tiere!$BN$2:$BN$153)&gt;0)),ROW()-2),1))))))))),"")</f>
        <v>Milch- bzw. Mutterkühe (3000 kg Milch)  - Mist / Jauche</v>
      </c>
      <c r="BG19" s="1601"/>
      <c r="BH19" s="1624" t="str">
        <f>IFERROR(IF($A$17=$BO$1,$BO18,IF($A$17=$BP$1,$BP18,IF($A$17=$BQ$1,$BQ18,IF($A$17=$BR$1,$BR18,IF($A$17=$BS$1,$BS18,IF($A$17=$BT$1,$BT18,IF($A$17=$BU$1,$BU18,IF($A$17="",INDEX(Tiere!$BN$2:$BN$153,_xlfn.AGGREGATE(15,6,(ROW(Tiere!$BN$2:$BN$153)-1)/(--(SEARCH(BI$2,Tiere!$BN$2:$BN$153)&gt;0)),ROW()-2),1))))))))),"")</f>
        <v>Milch- bzw. Mutterkühe (3000 kg Milch)  - Mist / Jauche</v>
      </c>
      <c r="BI19" s="1601"/>
      <c r="BJ19" s="1624" t="str">
        <f>IFERROR(IF($A$18=$BO$1,$BO18,IF($A$18=$BP$1,$BP18,IF($A$18=$BQ$1,$BQ18,IF($A$18=$BR$1,$BR18,IF($A$18=$BS$1,$BS18,IF($A$18=$BT$1,$BT18,IF($A$18=$BU$1,$BU18,IF($A$18="",INDEX(Tiere!$BN$2:$BN$153,_xlfn.AGGREGATE(15,6,(ROW(Tiere!$BN$2:$BN$153)-1)/(--(SEARCH(BK$2,Tiere!$BN$2:$BN$153)&gt;0)),ROW()-2),1))))))))),"")</f>
        <v>Milch- bzw. Mutterkühe (3000 kg Milch)  - Mist / Jauche</v>
      </c>
      <c r="BK19" s="1601"/>
      <c r="BL19" s="1624" t="str">
        <f>IFERROR(IF($A$19=$BO$1,$BO18,IF($A$19=$BP$1,$BP18,IF($A$19=$BQ$1,$BQ18,IF($A$19=$BR$1,$BR18,IF($A$19=$BS$1,$BS18,IF($A$19=$BT$1,$BT18,IF($A$19=$BU$1,$BU18,IF($A$19="",INDEX(Tiere!$BN$2:$BN$153,_xlfn.AGGREGATE(15,6,(ROW(Tiere!$BN$2:$BN$153)-1)/(--(SEARCH(BM$2,Tiere!$BN$2:$BN$153)&gt;0)),ROW()-2),1))))))))),"")</f>
        <v>Milch- bzw. Mutterkühe (3000 kg Milch)  - Mist / Jauche</v>
      </c>
      <c r="BM19" s="1601"/>
      <c r="BN19" s="1630" t="s">
        <v>578</v>
      </c>
      <c r="BO19" s="1599" t="s">
        <v>578</v>
      </c>
      <c r="BP19" s="1599" t="s">
        <v>719</v>
      </c>
      <c r="BQ19" s="1599"/>
      <c r="BR19" s="1599"/>
      <c r="BS19" s="1599"/>
      <c r="BT19" s="1654"/>
      <c r="BU19" s="1599" t="s">
        <v>815</v>
      </c>
      <c r="BY19" s="162" t="s">
        <v>2400</v>
      </c>
      <c r="BZ19">
        <f>IF(OR($A19=$BW$2,$A19=""),COUNTIF($BN$2:$BN$153,$B19),IF($A19&lt;&gt;"",COUNTIFS(TiereDropDown[B19],$B19,TiereDropDown[B19],"&lt;&gt;"""),0))</f>
        <v>0</v>
      </c>
      <c r="CD19" s="1911" t="s">
        <v>578</v>
      </c>
    </row>
    <row r="20" spans="1:82" ht="22.5" customHeight="1" thickBot="1">
      <c r="A20" s="436"/>
      <c r="B20" s="436"/>
      <c r="C20" s="436"/>
      <c r="D20" s="436"/>
      <c r="E20" s="436"/>
      <c r="F20" s="436"/>
      <c r="G20" s="436"/>
      <c r="H20" s="436"/>
      <c r="I20" s="1120"/>
      <c r="J20" s="1120"/>
      <c r="K20" s="1120"/>
      <c r="L20" s="1120"/>
      <c r="M20" s="1120"/>
      <c r="N20" s="1121" t="s">
        <v>929</v>
      </c>
      <c r="O20" s="1299">
        <f t="shared" ref="O20:W20" si="0">SUM(O5:O19)</f>
        <v>0</v>
      </c>
      <c r="P20" s="1299">
        <f t="shared" si="0"/>
        <v>0</v>
      </c>
      <c r="Q20" s="1299">
        <f t="shared" si="0"/>
        <v>0</v>
      </c>
      <c r="R20" s="1300">
        <f t="shared" si="0"/>
        <v>0</v>
      </c>
      <c r="S20" s="1300">
        <f t="shared" si="0"/>
        <v>0</v>
      </c>
      <c r="T20" s="1300">
        <f t="shared" si="0"/>
        <v>0</v>
      </c>
      <c r="U20" s="1300">
        <f t="shared" si="0"/>
        <v>0</v>
      </c>
      <c r="V20" s="1300">
        <f t="shared" si="0"/>
        <v>0</v>
      </c>
      <c r="W20" s="1300">
        <f t="shared" si="0"/>
        <v>0</v>
      </c>
      <c r="X20" s="1300"/>
      <c r="Y20" s="438"/>
      <c r="Z20" s="165" t="s">
        <v>333</v>
      </c>
      <c r="AH20" s="1602"/>
      <c r="AJ20" s="1624" t="str">
        <f>IFERROR(IF($A$5=$BO$1,$BO19,IF($A$5=$BP$1,$BP19,IF($A$5=$BQ$1,$BQ19,IF($A$5=$BR$1,$BR19,IF($A$5=$BS$1,$BS19,IF($A$5=$BT$1,$BT19,IF($A$5=$BU$1,$BU19,IF($A$5="",INDEX(Tiere!$BN$2:$BN$153,_xlfn.AGGREGATE(15,6,(ROW(Tiere!$BN$2:$BN$153)-1)/(--(SEARCH(AK$2,Tiere!$BN$2:$BN$153)&gt;0)),ROW()-2),1))))))))),"")</f>
        <v>Milch- bzw. Mutterkühe (3000 kg Milch)  - Tiefstallmist</v>
      </c>
      <c r="AK20" s="1599"/>
      <c r="AL20" s="1624" t="str">
        <f>IFERROR(IF($A$6=$BO$1,$BO19,IF($A$6=$BP$1,$BP19,IF($A$6=$BQ$1,$BQ19,IF($A$6=$BR$1,$BR19,IF($A$6=$BS$1,$BS19,IF($A$6=$BT$1,$BT19,IF($A$6=$BU$1,$BU19,IF($A$6="",INDEX(Tiere!$BN$2:$BN$153,_xlfn.AGGREGATE(15,6,(ROW(Tiere!$BN$2:$BN$153)-1)/(--(SEARCH(AM$2,Tiere!$BN$2:$BN$153)&gt;0)),ROW()-2),1))))))))),"")</f>
        <v>Milch- bzw. Mutterkühe (3000 kg Milch)  - Tiefstallmist</v>
      </c>
      <c r="AM20" s="1599"/>
      <c r="AN20" s="1624" t="str">
        <f>IFERROR(IF($A$7=$BO$1,$BO19,IF($A$7=$BP$1,$BP19,IF($A$7=$BQ$1,$BQ19,IF($A$7=$BR$1,$BR19,IF($A$7=$BS$1,$BS19,IF($A$7=$BT$1,$BT19,IF($A$7=$BU$1,$BU19,IF($A$7="",INDEX(Tiere!$BN$2:$BN$153,_xlfn.AGGREGATE(15,6,(ROW(Tiere!$BN$2:$BN$153)-1)/(--(SEARCH(AM$2,Tiere!$BN$2:$BN$153)&gt;0)),ROW()-2),1))))))))),"")</f>
        <v>Milch- bzw. Mutterkühe (3000 kg Milch)  - Tiefstallmist</v>
      </c>
      <c r="AO20" s="1599"/>
      <c r="AP20" s="1624" t="str">
        <f>IFERROR(IF($A$8=$BO$1,$BO19,IF($A$8=$BP$1,$BP19,IF($A$8=$BQ$1,$BQ19,IF($A$8=$BR$1,$BR19,IF($A$8=$BS$1,$BS19,IF($A$8=$BT$1,$BT19,IF($A$8=$BU$1,$BU19,IF($A$8="",INDEX(Tiere!$BN$2:$BN$153,_xlfn.AGGREGATE(15,6,(ROW(Tiere!$BN$2:$BN$153)-1)/(--(SEARCH(AQ$2,Tiere!$BN$2:$BN$153)&gt;0)),ROW()-2),1))))))))),"")</f>
        <v>Milch- bzw. Mutterkühe (3000 kg Milch)  - Tiefstallmist</v>
      </c>
      <c r="AQ20" s="1599"/>
      <c r="AR20" s="1624" t="str">
        <f>IFERROR(IF($A$9=$BO$1,$BO19,IF($A$9=$BP$1,$BP19,IF($A$9=$BQ$1,$BQ19,IF($A$9=$BR$1,$BR19,IF($A$9=$BS$1,$BS19,IF($A$9=$BT$1,$BT19,IF($A$9=$BU$1,$BU19,IF($A$9="",INDEX(Tiere!$BN$2:$BN$153,_xlfn.AGGREGATE(15,6,(ROW(Tiere!$BN$2:$BN$153)-1)/(--(SEARCH(AS$2,Tiere!$BN$2:$BN$153)&gt;0)),ROW()-2),1))))))))),"")</f>
        <v>Milch- bzw. Mutterkühe (3000 kg Milch)  - Tiefstallmist</v>
      </c>
      <c r="AS20" s="1599"/>
      <c r="AT20" s="1624" t="str">
        <f>IFERROR(IF($A$10=$BO$1,$BO19,IF($A$10=$BP$1,$BP19,IF($A$10=$BQ$1,$BQ19,IF($A$10=$BR$1,$BR19,IF($A$10=$BS$1,$BS19,IF($A$10=$BT$1,$BT19,IF($A$10=$BU$1,$BU19,IF($A$10="",INDEX(Tiere!$BN$2:$BN$153,_xlfn.AGGREGATE(15,6,(ROW(Tiere!$BN$2:$BN$153)-1)/(--(SEARCH(AU$2,Tiere!$BN$2:$BN$153)&gt;0)),ROW()-2),1))))))))),"")</f>
        <v>Milch- bzw. Mutterkühe (3000 kg Milch)  - Tiefstallmist</v>
      </c>
      <c r="AU20" s="1599"/>
      <c r="AV20" s="1624" t="str">
        <f>IFERROR(IF($A$11=$BO$1,$BO19,IF($A$11=$BP$1,$BP19,IF($A$11=$BQ$1,$BQ19,IF($A$11=$BR$1,$BR19,IF($A$11=$BS$1,$BS19,IF($A$11=$BT$1,$BT19,IF($A$11=$BU$1,$BU19,IF($A$11="",INDEX(Tiere!$BN$2:$BN$153,_xlfn.AGGREGATE(15,6,(ROW(Tiere!$BN$2:$BN$153)-1)/(--(SEARCH(AW$2,Tiere!$BN$2:$BN$153)&gt;0)),ROW()-2),1))))))))),"")</f>
        <v>Milch- bzw. Mutterkühe (3000 kg Milch)  - Tiefstallmist</v>
      </c>
      <c r="AW20" s="1599"/>
      <c r="AX20" s="1624" t="str">
        <f>IFERROR(IF($A$12=$BO$1,$BO19,IF($A$12=$BP$1,$BP19,IF($A$12=$BQ$1,$BQ19,IF($A$12=$BR$1,$BR19,IF($A$12=$BS$1,$BS19,IF($A$12=$BT$1,$BT19,IF($A$12=$BU$1,$BU19,IF($A$12="",INDEX(Tiere!$BN$2:$BN$153,_xlfn.AGGREGATE(15,6,(ROW(Tiere!$BN$2:$BN$153)-1)/(--(SEARCH(AY$2,Tiere!$BN$2:$BN$153)&gt;0)),ROW()-2),1))))))))),"")</f>
        <v>Milch- bzw. Mutterkühe (3000 kg Milch)  - Tiefstallmist</v>
      </c>
      <c r="AY20" s="1599"/>
      <c r="AZ20" s="1624" t="str">
        <f>IFERROR(IF($A$13=$BO$1,$BO19,IF($A$13=$BP$1,$BP19,IF($A$13=$BQ$1,$BQ19,IF($A$13=$BR$1,$BR19,IF($A$13=$BS$1,$BS19,IF($A$13=$BT$1,$BT19,IF($A$13=$BU$1,$BU19,IF($A$13="",INDEX(Tiere!$BN$2:$BN$153,_xlfn.AGGREGATE(15,6,(ROW(Tiere!$BN$2:$BN$153)-1)/(--(SEARCH(BA$2,Tiere!$BN$2:$BN$153)&gt;0)),ROW()-2),1))))))))),"")</f>
        <v>Milch- bzw. Mutterkühe (3000 kg Milch)  - Tiefstallmist</v>
      </c>
      <c r="BA20" s="1599"/>
      <c r="BB20" s="1624" t="str">
        <f>IFERROR(IF($A$14=$BO$1,$BO19,IF($A$14=$BP$1,$BP19,IF($A$14=$BQ$1,$BQ19,IF($A$14=$BR$1,$BR19,IF($A$14=$BS$1,$BS19,IF($A$14=$BT$1,$BT19,IF($A$14=$BU$1,$BU19,IF($A$14="",INDEX(Tiere!$BN$2:$BN$153,_xlfn.AGGREGATE(15,6,(ROW(Tiere!$BN$2:$BN$153)-1)/(--(SEARCH(BC$2,Tiere!$BN$2:$BN$153)&gt;0)),ROW()-2),1))))))))),"")</f>
        <v>Milch- bzw. Mutterkühe (3000 kg Milch)  - Tiefstallmist</v>
      </c>
      <c r="BC20" s="1599"/>
      <c r="BD20" s="1624" t="str">
        <f>IFERROR(IF($A$15=$BO$1,$BO19,IF($A$15=$BP$1,$BP19,IF($A$15=$BQ$1,$BQ19,IF($A$15=$BR$1,$BR19,IF($A$15=$BS$1,$BS19,IF($A$15=$BT$1,$BT19,IF($A$15=$BU$1,$BU19,IF($A$15="",INDEX(Tiere!$BN$2:$BN$153,_xlfn.AGGREGATE(15,6,(ROW(Tiere!$BN$2:$BN$153)-1)/(--(SEARCH(BE$2,Tiere!$BN$2:$BN$153)&gt;0)),ROW()-2),1))))))))),"")</f>
        <v>Milch- bzw. Mutterkühe (3000 kg Milch)  - Tiefstallmist</v>
      </c>
      <c r="BE20" s="1599"/>
      <c r="BF20" s="1624" t="str">
        <f>IFERROR(IF($A$16=$BO$1,$BO19,IF($A$16=$BP$1,$BP19,IF($A$16=$BQ$1,$BQ19,IF($A$16=$BR$1,$BR19,IF($A$16=$BS$1,$BS19,IF($A$16=$BT$1,$BT19,IF($A$16=$BU$1,$BU19,IF($A$16="",INDEX(Tiere!$BN$2:$BN$153,_xlfn.AGGREGATE(15,6,(ROW(Tiere!$BN$2:$BN$153)-1)/(--(SEARCH(BG$2,Tiere!$BN$2:$BN$153)&gt;0)),ROW()-2),1))))))))),"")</f>
        <v>Milch- bzw. Mutterkühe (3000 kg Milch)  - Tiefstallmist</v>
      </c>
      <c r="BG20" s="1599"/>
      <c r="BH20" s="1624" t="str">
        <f>IFERROR(IF($A$17=$BO$1,$BO19,IF($A$17=$BP$1,$BP19,IF($A$17=$BQ$1,$BQ19,IF($A$17=$BR$1,$BR19,IF($A$17=$BS$1,$BS19,IF($A$17=$BT$1,$BT19,IF($A$17=$BU$1,$BU19,IF($A$17="",INDEX(Tiere!$BN$2:$BN$153,_xlfn.AGGREGATE(15,6,(ROW(Tiere!$BN$2:$BN$153)-1)/(--(SEARCH(BI$2,Tiere!$BN$2:$BN$153)&gt;0)),ROW()-2),1))))))))),"")</f>
        <v>Milch- bzw. Mutterkühe (3000 kg Milch)  - Tiefstallmist</v>
      </c>
      <c r="BI20" s="1599"/>
      <c r="BJ20" s="1624" t="str">
        <f>IFERROR(IF($A$18=$BO$1,$BO19,IF($A$18=$BP$1,$BP19,IF($A$18=$BQ$1,$BQ19,IF($A$18=$BR$1,$BR19,IF($A$18=$BS$1,$BS19,IF($A$18=$BT$1,$BT19,IF($A$18=$BU$1,$BU19,IF($A$18="",INDEX(Tiere!$BN$2:$BN$153,_xlfn.AGGREGATE(15,6,(ROW(Tiere!$BN$2:$BN$153)-1)/(--(SEARCH(BK$2,Tiere!$BN$2:$BN$153)&gt;0)),ROW()-2),1))))))))),"")</f>
        <v>Milch- bzw. Mutterkühe (3000 kg Milch)  - Tiefstallmist</v>
      </c>
      <c r="BK20" s="1599"/>
      <c r="BL20" s="1624" t="str">
        <f>IFERROR(IF($A$19=$BO$1,$BO19,IF($A$19=$BP$1,$BP19,IF($A$19=$BQ$1,$BQ19,IF($A$19=$BR$1,$BR19,IF($A$19=$BS$1,$BS19,IF($A$19=$BT$1,$BT19,IF($A$19=$BU$1,$BU19,IF($A$19="",INDEX(Tiere!$BN$2:$BN$153,_xlfn.AGGREGATE(15,6,(ROW(Tiere!$BN$2:$BN$153)-1)/(--(SEARCH(BM$2,Tiere!$BN$2:$BN$153)&gt;0)),ROW()-2),1))))))))),"")</f>
        <v>Milch- bzw. Mutterkühe (3000 kg Milch)  - Tiefstallmist</v>
      </c>
      <c r="BM20" s="1599"/>
      <c r="BN20" s="1630" t="s">
        <v>603</v>
      </c>
      <c r="BO20" s="1599" t="s">
        <v>603</v>
      </c>
      <c r="BP20" s="1599" t="s">
        <v>720</v>
      </c>
      <c r="BQ20" s="1599"/>
      <c r="BR20" s="1599"/>
      <c r="BS20" s="1599"/>
      <c r="BT20" s="1654"/>
      <c r="BU20" s="1599" t="s">
        <v>816</v>
      </c>
      <c r="CD20" s="1911" t="s">
        <v>603</v>
      </c>
    </row>
    <row r="21" spans="1:82" ht="15" customHeight="1" thickBot="1">
      <c r="A21" s="2639" t="s">
        <v>1376</v>
      </c>
      <c r="B21" s="446" t="s">
        <v>931</v>
      </c>
      <c r="C21" s="445"/>
      <c r="D21" s="445"/>
      <c r="E21" s="445"/>
      <c r="F21" s="445"/>
      <c r="G21" s="445"/>
      <c r="H21" s="445"/>
      <c r="I21" s="445"/>
      <c r="J21" s="445"/>
      <c r="K21" s="445"/>
      <c r="L21" s="445"/>
      <c r="N21" s="438"/>
      <c r="O21" s="438"/>
      <c r="P21" s="438"/>
      <c r="Q21" s="438"/>
      <c r="R21" s="438"/>
      <c r="S21" s="438"/>
      <c r="T21" s="438"/>
      <c r="U21" s="438"/>
      <c r="V21" s="438"/>
      <c r="W21" s="438"/>
      <c r="X21" s="438"/>
      <c r="Y21" s="438"/>
      <c r="Z21" s="165" t="s">
        <v>930</v>
      </c>
      <c r="AH21" s="1602"/>
      <c r="AJ21" s="1624" t="str">
        <f>IFERROR(IF($A$5=$BO$1,$BO20,IF($A$5=$BP$1,$BP20,IF($A$5=$BQ$1,$BQ20,IF($A$5=$BR$1,$BR20,IF($A$5=$BS$1,$BS20,IF($A$5=$BT$1,$BT20,IF($A$5=$BU$1,$BU20,IF($A$5="",INDEX(Tiere!$BN$2:$BN$153,_xlfn.AGGREGATE(15,6,(ROW(Tiere!$BN$2:$BN$153)-1)/(--(SEARCH(AK$2,Tiere!$BN$2:$BN$153)&gt;0)),ROW()-2),1))))))))),"")</f>
        <v>Milch- bzw. Ammenkühe (4000 kg Milch)  - Gülle</v>
      </c>
      <c r="AK21" s="1601"/>
      <c r="AL21" s="1624" t="str">
        <f>IFERROR(IF($A$6=$BO$1,$BO20,IF($A$6=$BP$1,$BP20,IF($A$6=$BQ$1,$BQ20,IF($A$6=$BR$1,$BR20,IF($A$6=$BS$1,$BS20,IF($A$6=$BT$1,$BT20,IF($A$6=$BU$1,$BU20,IF($A$6="",INDEX(Tiere!$BN$2:$BN$153,_xlfn.AGGREGATE(15,6,(ROW(Tiere!$BN$2:$BN$153)-1)/(--(SEARCH(AM$2,Tiere!$BN$2:$BN$153)&gt;0)),ROW()-2),1))))))))),"")</f>
        <v>Milch- bzw. Ammenkühe (4000 kg Milch)  - Gülle</v>
      </c>
      <c r="AM21" s="1601"/>
      <c r="AN21" s="1624" t="str">
        <f>IFERROR(IF($A$7=$BO$1,$BO20,IF($A$7=$BP$1,$BP20,IF($A$7=$BQ$1,$BQ20,IF($A$7=$BR$1,$BR20,IF($A$7=$BS$1,$BS20,IF($A$7=$BT$1,$BT20,IF($A$7=$BU$1,$BU20,IF($A$7="",INDEX(Tiere!$BN$2:$BN$153,_xlfn.AGGREGATE(15,6,(ROW(Tiere!$BN$2:$BN$153)-1)/(--(SEARCH(AM$2,Tiere!$BN$2:$BN$153)&gt;0)),ROW()-2),1))))))))),"")</f>
        <v>Milch- bzw. Ammenkühe (4000 kg Milch)  - Gülle</v>
      </c>
      <c r="AO21" s="1601"/>
      <c r="AP21" s="1624" t="str">
        <f>IFERROR(IF($A$8=$BO$1,$BO20,IF($A$8=$BP$1,$BP20,IF($A$8=$BQ$1,$BQ20,IF($A$8=$BR$1,$BR20,IF($A$8=$BS$1,$BS20,IF($A$8=$BT$1,$BT20,IF($A$8=$BU$1,$BU20,IF($A$8="",INDEX(Tiere!$BN$2:$BN$153,_xlfn.AGGREGATE(15,6,(ROW(Tiere!$BN$2:$BN$153)-1)/(--(SEARCH(AQ$2,Tiere!$BN$2:$BN$153)&gt;0)),ROW()-2),1))))))))),"")</f>
        <v>Milch- bzw. Ammenkühe (4000 kg Milch)  - Gülle</v>
      </c>
      <c r="AQ21" s="1601"/>
      <c r="AR21" s="1624" t="str">
        <f>IFERROR(IF($A$9=$BO$1,$BO20,IF($A$9=$BP$1,$BP20,IF($A$9=$BQ$1,$BQ20,IF($A$9=$BR$1,$BR20,IF($A$9=$BS$1,$BS20,IF($A$9=$BT$1,$BT20,IF($A$9=$BU$1,$BU20,IF($A$9="",INDEX(Tiere!$BN$2:$BN$153,_xlfn.AGGREGATE(15,6,(ROW(Tiere!$BN$2:$BN$153)-1)/(--(SEARCH(AS$2,Tiere!$BN$2:$BN$153)&gt;0)),ROW()-2),1))))))))),"")</f>
        <v>Milch- bzw. Ammenkühe (4000 kg Milch)  - Gülle</v>
      </c>
      <c r="AS21" s="1601"/>
      <c r="AT21" s="1624" t="str">
        <f>IFERROR(IF($A$10=$BO$1,$BO20,IF($A$10=$BP$1,$BP20,IF($A$10=$BQ$1,$BQ20,IF($A$10=$BR$1,$BR20,IF($A$10=$BS$1,$BS20,IF($A$10=$BT$1,$BT20,IF($A$10=$BU$1,$BU20,IF($A$10="",INDEX(Tiere!$BN$2:$BN$153,_xlfn.AGGREGATE(15,6,(ROW(Tiere!$BN$2:$BN$153)-1)/(--(SEARCH(AU$2,Tiere!$BN$2:$BN$153)&gt;0)),ROW()-2),1))))))))),"")</f>
        <v>Milch- bzw. Ammenkühe (4000 kg Milch)  - Gülle</v>
      </c>
      <c r="AU21" s="1601"/>
      <c r="AV21" s="1624" t="str">
        <f>IFERROR(IF($A$11=$BO$1,$BO20,IF($A$11=$BP$1,$BP20,IF($A$11=$BQ$1,$BQ20,IF($A$11=$BR$1,$BR20,IF($A$11=$BS$1,$BS20,IF($A$11=$BT$1,$BT20,IF($A$11=$BU$1,$BU20,IF($A$11="",INDEX(Tiere!$BN$2:$BN$153,_xlfn.AGGREGATE(15,6,(ROW(Tiere!$BN$2:$BN$153)-1)/(--(SEARCH(AW$2,Tiere!$BN$2:$BN$153)&gt;0)),ROW()-2),1))))))))),"")</f>
        <v>Milch- bzw. Ammenkühe (4000 kg Milch)  - Gülle</v>
      </c>
      <c r="AW21" s="1601"/>
      <c r="AX21" s="1624" t="str">
        <f>IFERROR(IF($A$12=$BO$1,$BO20,IF($A$12=$BP$1,$BP20,IF($A$12=$BQ$1,$BQ20,IF($A$12=$BR$1,$BR20,IF($A$12=$BS$1,$BS20,IF($A$12=$BT$1,$BT20,IF($A$12=$BU$1,$BU20,IF($A$12="",INDEX(Tiere!$BN$2:$BN$153,_xlfn.AGGREGATE(15,6,(ROW(Tiere!$BN$2:$BN$153)-1)/(--(SEARCH(AY$2,Tiere!$BN$2:$BN$153)&gt;0)),ROW()-2),1))))))))),"")</f>
        <v>Milch- bzw. Ammenkühe (4000 kg Milch)  - Gülle</v>
      </c>
      <c r="AY21" s="1601"/>
      <c r="AZ21" s="1624" t="str">
        <f>IFERROR(IF($A$13=$BO$1,$BO20,IF($A$13=$BP$1,$BP20,IF($A$13=$BQ$1,$BQ20,IF($A$13=$BR$1,$BR20,IF($A$13=$BS$1,$BS20,IF($A$13=$BT$1,$BT20,IF($A$13=$BU$1,$BU20,IF($A$13="",INDEX(Tiere!$BN$2:$BN$153,_xlfn.AGGREGATE(15,6,(ROW(Tiere!$BN$2:$BN$153)-1)/(--(SEARCH(BA$2,Tiere!$BN$2:$BN$153)&gt;0)),ROW()-2),1))))))))),"")</f>
        <v>Milch- bzw. Ammenkühe (4000 kg Milch)  - Gülle</v>
      </c>
      <c r="BA21" s="1601"/>
      <c r="BB21" s="1624" t="str">
        <f>IFERROR(IF($A$14=$BO$1,$BO20,IF($A$14=$BP$1,$BP20,IF($A$14=$BQ$1,$BQ20,IF($A$14=$BR$1,$BR20,IF($A$14=$BS$1,$BS20,IF($A$14=$BT$1,$BT20,IF($A$14=$BU$1,$BU20,IF($A$14="",INDEX(Tiere!$BN$2:$BN$153,_xlfn.AGGREGATE(15,6,(ROW(Tiere!$BN$2:$BN$153)-1)/(--(SEARCH(BC$2,Tiere!$BN$2:$BN$153)&gt;0)),ROW()-2),1))))))))),"")</f>
        <v>Milch- bzw. Ammenkühe (4000 kg Milch)  - Gülle</v>
      </c>
      <c r="BC21" s="1601"/>
      <c r="BD21" s="1624" t="str">
        <f>IFERROR(IF($A$15=$BO$1,$BO20,IF($A$15=$BP$1,$BP20,IF($A$15=$BQ$1,$BQ20,IF($A$15=$BR$1,$BR20,IF($A$15=$BS$1,$BS20,IF($A$15=$BT$1,$BT20,IF($A$15=$BU$1,$BU20,IF($A$15="",INDEX(Tiere!$BN$2:$BN$153,_xlfn.AGGREGATE(15,6,(ROW(Tiere!$BN$2:$BN$153)-1)/(--(SEARCH(BE$2,Tiere!$BN$2:$BN$153)&gt;0)),ROW()-2),1))))))))),"")</f>
        <v>Milch- bzw. Ammenkühe (4000 kg Milch)  - Gülle</v>
      </c>
      <c r="BE21" s="1601"/>
      <c r="BF21" s="1624" t="str">
        <f>IFERROR(IF($A$16=$BO$1,$BO20,IF($A$16=$BP$1,$BP20,IF($A$16=$BQ$1,$BQ20,IF($A$16=$BR$1,$BR20,IF($A$16=$BS$1,$BS20,IF($A$16=$BT$1,$BT20,IF($A$16=$BU$1,$BU20,IF($A$16="",INDEX(Tiere!$BN$2:$BN$153,_xlfn.AGGREGATE(15,6,(ROW(Tiere!$BN$2:$BN$153)-1)/(--(SEARCH(BG$2,Tiere!$BN$2:$BN$153)&gt;0)),ROW()-2),1))))))))),"")</f>
        <v>Milch- bzw. Ammenkühe (4000 kg Milch)  - Gülle</v>
      </c>
      <c r="BG21" s="1601"/>
      <c r="BH21" s="1624" t="str">
        <f>IFERROR(IF($A$17=$BO$1,$BO20,IF($A$17=$BP$1,$BP20,IF($A$17=$BQ$1,$BQ20,IF($A$17=$BR$1,$BR20,IF($A$17=$BS$1,$BS20,IF($A$17=$BT$1,$BT20,IF($A$17=$BU$1,$BU20,IF($A$17="",INDEX(Tiere!$BN$2:$BN$153,_xlfn.AGGREGATE(15,6,(ROW(Tiere!$BN$2:$BN$153)-1)/(--(SEARCH(BI$2,Tiere!$BN$2:$BN$153)&gt;0)),ROW()-2),1))))))))),"")</f>
        <v>Milch- bzw. Ammenkühe (4000 kg Milch)  - Gülle</v>
      </c>
      <c r="BI21" s="1601"/>
      <c r="BJ21" s="1624" t="str">
        <f>IFERROR(IF($A$18=$BO$1,$BO20,IF($A$18=$BP$1,$BP20,IF($A$18=$BQ$1,$BQ20,IF($A$18=$BR$1,$BR20,IF($A$18=$BS$1,$BS20,IF($A$18=$BT$1,$BT20,IF($A$18=$BU$1,$BU20,IF($A$18="",INDEX(Tiere!$BN$2:$BN$153,_xlfn.AGGREGATE(15,6,(ROW(Tiere!$BN$2:$BN$153)-1)/(--(SEARCH(BK$2,Tiere!$BN$2:$BN$153)&gt;0)),ROW()-2),1))))))))),"")</f>
        <v>Milch- bzw. Ammenkühe (4000 kg Milch)  - Gülle</v>
      </c>
      <c r="BK21" s="1601"/>
      <c r="BL21" s="1624" t="str">
        <f>IFERROR(IF($A$19=$BO$1,$BO20,IF($A$19=$BP$1,$BP20,IF($A$19=$BQ$1,$BQ20,IF($A$19=$BR$1,$BR20,IF($A$19=$BS$1,$BS20,IF($A$19=$BT$1,$BT20,IF($A$19=$BU$1,$BU20,IF($A$19="",INDEX(Tiere!$BN$2:$BN$153,_xlfn.AGGREGATE(15,6,(ROW(Tiere!$BN$2:$BN$153)-1)/(--(SEARCH(BM$2,Tiere!$BN$2:$BN$153)&gt;0)),ROW()-2),1))))))))),"")</f>
        <v>Milch- bzw. Ammenkühe (4000 kg Milch)  - Gülle</v>
      </c>
      <c r="BM21" s="1601"/>
      <c r="BN21" s="1630" t="s">
        <v>607</v>
      </c>
      <c r="BO21" s="1599" t="s">
        <v>607</v>
      </c>
      <c r="BP21" s="1599" t="s">
        <v>722</v>
      </c>
      <c r="BQ21" s="1599"/>
      <c r="BR21" s="1599"/>
      <c r="BS21" s="1599"/>
      <c r="BT21" s="1655"/>
      <c r="BU21" s="1599" t="s">
        <v>817</v>
      </c>
      <c r="CD21" s="1911" t="s">
        <v>607</v>
      </c>
    </row>
    <row r="22" spans="1:82" ht="27.2" customHeight="1" thickBot="1">
      <c r="A22" s="2639"/>
      <c r="B22" s="1282" t="s">
        <v>665</v>
      </c>
      <c r="C22" s="1283" t="s">
        <v>541</v>
      </c>
      <c r="D22" s="1284" t="s">
        <v>542</v>
      </c>
      <c r="E22" s="1283" t="s">
        <v>543</v>
      </c>
      <c r="F22" s="1285" t="s">
        <v>544</v>
      </c>
      <c r="G22" s="1283" t="s">
        <v>545</v>
      </c>
      <c r="H22" s="1286" t="s">
        <v>546</v>
      </c>
      <c r="I22" s="1287" t="s">
        <v>932</v>
      </c>
      <c r="J22" s="1286" t="s">
        <v>547</v>
      </c>
      <c r="K22" s="1286" t="s">
        <v>548</v>
      </c>
      <c r="L22" s="1286" t="s">
        <v>549</v>
      </c>
      <c r="N22" s="441"/>
      <c r="O22" s="2639" t="s">
        <v>933</v>
      </c>
      <c r="P22" s="2639"/>
      <c r="Q22" s="2671"/>
      <c r="R22" s="2642" t="s">
        <v>934</v>
      </c>
      <c r="S22" s="2642"/>
      <c r="T22" s="2642"/>
      <c r="U22" s="1282" t="s">
        <v>656</v>
      </c>
      <c r="V22" s="2642" t="s">
        <v>935</v>
      </c>
      <c r="W22" s="2642"/>
      <c r="X22" s="2642"/>
      <c r="Y22" s="438"/>
      <c r="Z22"/>
      <c r="AH22" s="1602"/>
      <c r="AJ22" s="1624" t="str">
        <f>IFERROR(IF($A$5=$BO$1,$BO21,IF($A$5=$BP$1,$BP21,IF($A$5=$BQ$1,$BQ21,IF($A$5=$BR$1,$BR21,IF($A$5=$BS$1,$BS21,IF($A$5=$BT$1,$BT21,IF($A$5=$BU$1,$BU21,IF($A$5="",INDEX(Tiere!$BN$2:$BN$153,_xlfn.AGGREGATE(15,6,(ROW(Tiere!$BN$2:$BN$153)-1)/(--(SEARCH(AK$2,Tiere!$BN$2:$BN$153)&gt;0)),ROW()-2),1))))))))),"")</f>
        <v>Milch- bzw. Ammenkühe (4000 kg Milch)  - Mist / Jauche</v>
      </c>
      <c r="AK22" s="1599"/>
      <c r="AL22" s="1624" t="str">
        <f>IFERROR(IF($A$6=$BO$1,$BO21,IF($A$6=$BP$1,$BP21,IF($A$6=$BQ$1,$BQ21,IF($A$6=$BR$1,$BR21,IF($A$6=$BS$1,$BS21,IF($A$6=$BT$1,$BT21,IF($A$6=$BU$1,$BU21,IF($A$6="",INDEX(Tiere!$BN$2:$BN$153,_xlfn.AGGREGATE(15,6,(ROW(Tiere!$BN$2:$BN$153)-1)/(--(SEARCH(AM$2,Tiere!$BN$2:$BN$153)&gt;0)),ROW()-2),1))))))))),"")</f>
        <v>Milch- bzw. Ammenkühe (4000 kg Milch)  - Mist / Jauche</v>
      </c>
      <c r="AM22" s="1599"/>
      <c r="AN22" s="1624" t="str">
        <f>IFERROR(IF($A$7=$BO$1,$BO21,IF($A$7=$BP$1,$BP21,IF($A$7=$BQ$1,$BQ21,IF($A$7=$BR$1,$BR21,IF($A$7=$BS$1,$BS21,IF($A$7=$BT$1,$BT21,IF($A$7=$BU$1,$BU21,IF($A$7="",INDEX(Tiere!$BN$2:$BN$153,_xlfn.AGGREGATE(15,6,(ROW(Tiere!$BN$2:$BN$153)-1)/(--(SEARCH(AM$2,Tiere!$BN$2:$BN$153)&gt;0)),ROW()-2),1))))))))),"")</f>
        <v>Milch- bzw. Ammenkühe (4000 kg Milch)  - Mist / Jauche</v>
      </c>
      <c r="AO22" s="1599"/>
      <c r="AP22" s="1624" t="str">
        <f>IFERROR(IF($A$8=$BO$1,$BO21,IF($A$8=$BP$1,$BP21,IF($A$8=$BQ$1,$BQ21,IF($A$8=$BR$1,$BR21,IF($A$8=$BS$1,$BS21,IF($A$8=$BT$1,$BT21,IF($A$8=$BU$1,$BU21,IF($A$8="",INDEX(Tiere!$BN$2:$BN$153,_xlfn.AGGREGATE(15,6,(ROW(Tiere!$BN$2:$BN$153)-1)/(--(SEARCH(AQ$2,Tiere!$BN$2:$BN$153)&gt;0)),ROW()-2),1))))))))),"")</f>
        <v>Milch- bzw. Ammenkühe (4000 kg Milch)  - Mist / Jauche</v>
      </c>
      <c r="AQ22" s="1599"/>
      <c r="AR22" s="1624" t="str">
        <f>IFERROR(IF($A$9=$BO$1,$BO21,IF($A$9=$BP$1,$BP21,IF($A$9=$BQ$1,$BQ21,IF($A$9=$BR$1,$BR21,IF($A$9=$BS$1,$BS21,IF($A$9=$BT$1,$BT21,IF($A$9=$BU$1,$BU21,IF($A$9="",INDEX(Tiere!$BN$2:$BN$153,_xlfn.AGGREGATE(15,6,(ROW(Tiere!$BN$2:$BN$153)-1)/(--(SEARCH(AS$2,Tiere!$BN$2:$BN$153)&gt;0)),ROW()-2),1))))))))),"")</f>
        <v>Milch- bzw. Ammenkühe (4000 kg Milch)  - Mist / Jauche</v>
      </c>
      <c r="AS22" s="1599"/>
      <c r="AT22" s="1624" t="str">
        <f>IFERROR(IF($A$10=$BO$1,$BO21,IF($A$10=$BP$1,$BP21,IF($A$10=$BQ$1,$BQ21,IF($A$10=$BR$1,$BR21,IF($A$10=$BS$1,$BS21,IF($A$10=$BT$1,$BT21,IF($A$10=$BU$1,$BU21,IF($A$10="",INDEX(Tiere!$BN$2:$BN$153,_xlfn.AGGREGATE(15,6,(ROW(Tiere!$BN$2:$BN$153)-1)/(--(SEARCH(AU$2,Tiere!$BN$2:$BN$153)&gt;0)),ROW()-2),1))))))))),"")</f>
        <v>Milch- bzw. Ammenkühe (4000 kg Milch)  - Mist / Jauche</v>
      </c>
      <c r="AU22" s="1599"/>
      <c r="AV22" s="1624" t="str">
        <f>IFERROR(IF($A$11=$BO$1,$BO21,IF($A$11=$BP$1,$BP21,IF($A$11=$BQ$1,$BQ21,IF($A$11=$BR$1,$BR21,IF($A$11=$BS$1,$BS21,IF($A$11=$BT$1,$BT21,IF($A$11=$BU$1,$BU21,IF($A$11="",INDEX(Tiere!$BN$2:$BN$153,_xlfn.AGGREGATE(15,6,(ROW(Tiere!$BN$2:$BN$153)-1)/(--(SEARCH(AW$2,Tiere!$BN$2:$BN$153)&gt;0)),ROW()-2),1))))))))),"")</f>
        <v>Milch- bzw. Ammenkühe (4000 kg Milch)  - Mist / Jauche</v>
      </c>
      <c r="AW22" s="1599"/>
      <c r="AX22" s="1624" t="str">
        <f>IFERROR(IF($A$12=$BO$1,$BO21,IF($A$12=$BP$1,$BP21,IF($A$12=$BQ$1,$BQ21,IF($A$12=$BR$1,$BR21,IF($A$12=$BS$1,$BS21,IF($A$12=$BT$1,$BT21,IF($A$12=$BU$1,$BU21,IF($A$12="",INDEX(Tiere!$BN$2:$BN$153,_xlfn.AGGREGATE(15,6,(ROW(Tiere!$BN$2:$BN$153)-1)/(--(SEARCH(AY$2,Tiere!$BN$2:$BN$153)&gt;0)),ROW()-2),1))))))))),"")</f>
        <v>Milch- bzw. Ammenkühe (4000 kg Milch)  - Mist / Jauche</v>
      </c>
      <c r="AY22" s="1599"/>
      <c r="AZ22" s="1624" t="str">
        <f>IFERROR(IF($A$13=$BO$1,$BO21,IF($A$13=$BP$1,$BP21,IF($A$13=$BQ$1,$BQ21,IF($A$13=$BR$1,$BR21,IF($A$13=$BS$1,$BS21,IF($A$13=$BT$1,$BT21,IF($A$13=$BU$1,$BU21,IF($A$13="",INDEX(Tiere!$BN$2:$BN$153,_xlfn.AGGREGATE(15,6,(ROW(Tiere!$BN$2:$BN$153)-1)/(--(SEARCH(BA$2,Tiere!$BN$2:$BN$153)&gt;0)),ROW()-2),1))))))))),"")</f>
        <v>Milch- bzw. Ammenkühe (4000 kg Milch)  - Mist / Jauche</v>
      </c>
      <c r="BA22" s="1599"/>
      <c r="BB22" s="1624" t="str">
        <f>IFERROR(IF($A$14=$BO$1,$BO21,IF($A$14=$BP$1,$BP21,IF($A$14=$BQ$1,$BQ21,IF($A$14=$BR$1,$BR21,IF($A$14=$BS$1,$BS21,IF($A$14=$BT$1,$BT21,IF($A$14=$BU$1,$BU21,IF($A$14="",INDEX(Tiere!$BN$2:$BN$153,_xlfn.AGGREGATE(15,6,(ROW(Tiere!$BN$2:$BN$153)-1)/(--(SEARCH(BC$2,Tiere!$BN$2:$BN$153)&gt;0)),ROW()-2),1))))))))),"")</f>
        <v>Milch- bzw. Ammenkühe (4000 kg Milch)  - Mist / Jauche</v>
      </c>
      <c r="BC22" s="1599"/>
      <c r="BD22" s="1624" t="str">
        <f>IFERROR(IF($A$15=$BO$1,$BO21,IF($A$15=$BP$1,$BP21,IF($A$15=$BQ$1,$BQ21,IF($A$15=$BR$1,$BR21,IF($A$15=$BS$1,$BS21,IF($A$15=$BT$1,$BT21,IF($A$15=$BU$1,$BU21,IF($A$15="",INDEX(Tiere!$BN$2:$BN$153,_xlfn.AGGREGATE(15,6,(ROW(Tiere!$BN$2:$BN$153)-1)/(--(SEARCH(BE$2,Tiere!$BN$2:$BN$153)&gt;0)),ROW()-2),1))))))))),"")</f>
        <v>Milch- bzw. Ammenkühe (4000 kg Milch)  - Mist / Jauche</v>
      </c>
      <c r="BE22" s="1599"/>
      <c r="BF22" s="1624" t="str">
        <f>IFERROR(IF($A$16=$BO$1,$BO21,IF($A$16=$BP$1,$BP21,IF($A$16=$BQ$1,$BQ21,IF($A$16=$BR$1,$BR21,IF($A$16=$BS$1,$BS21,IF($A$16=$BT$1,$BT21,IF($A$16=$BU$1,$BU21,IF($A$16="",INDEX(Tiere!$BN$2:$BN$153,_xlfn.AGGREGATE(15,6,(ROW(Tiere!$BN$2:$BN$153)-1)/(--(SEARCH(BG$2,Tiere!$BN$2:$BN$153)&gt;0)),ROW()-2),1))))))))),"")</f>
        <v>Milch- bzw. Ammenkühe (4000 kg Milch)  - Mist / Jauche</v>
      </c>
      <c r="BG22" s="1599"/>
      <c r="BH22" s="1624" t="str">
        <f>IFERROR(IF($A$17=$BO$1,$BO21,IF($A$17=$BP$1,$BP21,IF($A$17=$BQ$1,$BQ21,IF($A$17=$BR$1,$BR21,IF($A$17=$BS$1,$BS21,IF($A$17=$BT$1,$BT21,IF($A$17=$BU$1,$BU21,IF($A$17="",INDEX(Tiere!$BN$2:$BN$153,_xlfn.AGGREGATE(15,6,(ROW(Tiere!$BN$2:$BN$153)-1)/(--(SEARCH(BI$2,Tiere!$BN$2:$BN$153)&gt;0)),ROW()-2),1))))))))),"")</f>
        <v>Milch- bzw. Ammenkühe (4000 kg Milch)  - Mist / Jauche</v>
      </c>
      <c r="BI22" s="1599"/>
      <c r="BJ22" s="1624" t="str">
        <f>IFERROR(IF($A$18=$BO$1,$BO21,IF($A$18=$BP$1,$BP21,IF($A$18=$BQ$1,$BQ21,IF($A$18=$BR$1,$BR21,IF($A$18=$BS$1,$BS21,IF($A$18=$BT$1,$BT21,IF($A$18=$BU$1,$BU21,IF($A$18="",INDEX(Tiere!$BN$2:$BN$153,_xlfn.AGGREGATE(15,6,(ROW(Tiere!$BN$2:$BN$153)-1)/(--(SEARCH(BK$2,Tiere!$BN$2:$BN$153)&gt;0)),ROW()-2),1))))))))),"")</f>
        <v>Milch- bzw. Ammenkühe (4000 kg Milch)  - Mist / Jauche</v>
      </c>
      <c r="BK22" s="1599"/>
      <c r="BL22" s="1624" t="str">
        <f>IFERROR(IF($A$19=$BO$1,$BO21,IF($A$19=$BP$1,$BP21,IF($A$19=$BQ$1,$BQ21,IF($A$19=$BR$1,$BR21,IF($A$19=$BS$1,$BS21,IF($A$19=$BT$1,$BT21,IF($A$19=$BU$1,$BU21,IF($A$19="",INDEX(Tiere!$BN$2:$BN$153,_xlfn.AGGREGATE(15,6,(ROW(Tiere!$BN$2:$BN$153)-1)/(--(SEARCH(BM$2,Tiere!$BN$2:$BN$153)&gt;0)),ROW()-2),1))))))))),"")</f>
        <v>Milch- bzw. Ammenkühe (4000 kg Milch)  - Mist / Jauche</v>
      </c>
      <c r="BM22" s="1599"/>
      <c r="BN22" s="1630" t="s">
        <v>610</v>
      </c>
      <c r="BO22" s="1599" t="s">
        <v>610</v>
      </c>
      <c r="BP22" s="1599" t="s">
        <v>725</v>
      </c>
      <c r="BQ22" s="1599"/>
      <c r="BR22" s="1599"/>
      <c r="BS22" s="1599"/>
      <c r="BT22" s="1599"/>
      <c r="BU22" s="1599" t="s">
        <v>818</v>
      </c>
      <c r="CD22" s="1911" t="s">
        <v>610</v>
      </c>
    </row>
    <row r="23" spans="1:82" ht="18" customHeight="1" thickBot="1">
      <c r="A23" s="1897" t="str">
        <f>Tabelle1!C168</f>
        <v>Milchviehgülle</v>
      </c>
      <c r="B23" s="933">
        <f>Hofdung!G13</f>
        <v>0</v>
      </c>
      <c r="C23" s="934">
        <f>IF($B23=0,0,Hofdung!H13)</f>
        <v>0</v>
      </c>
      <c r="D23" s="934">
        <f>IF($B23=0,0,Hofdung!I13)</f>
        <v>0</v>
      </c>
      <c r="E23" s="934">
        <f>IF($B23=0,0,Hofdung!J13)</f>
        <v>0</v>
      </c>
      <c r="F23" s="934">
        <f>IF($B23=0,0,Hofdung!K13)</f>
        <v>0</v>
      </c>
      <c r="G23" s="934">
        <f>IF($B23=0,0,Hofdung!L13)</f>
        <v>0</v>
      </c>
      <c r="H23" s="935">
        <f>Tabelle1!BI43</f>
        <v>0</v>
      </c>
      <c r="I23" s="935">
        <f>Tabelle1!BN43</f>
        <v>0</v>
      </c>
      <c r="J23" s="935">
        <f>Tabelle1!BO43</f>
        <v>0</v>
      </c>
      <c r="K23" s="935">
        <f>Tabelle1!BJ43</f>
        <v>0</v>
      </c>
      <c r="L23" s="935">
        <f>Tabelle1!BK43</f>
        <v>0</v>
      </c>
      <c r="N23" s="437"/>
      <c r="O23" s="2672"/>
      <c r="P23" s="2672"/>
      <c r="Q23" s="2673"/>
      <c r="R23" s="1282" t="s">
        <v>539</v>
      </c>
      <c r="S23" s="1285" t="s">
        <v>540</v>
      </c>
      <c r="T23" s="1282" t="s">
        <v>471</v>
      </c>
      <c r="U23" s="1289" t="s">
        <v>575</v>
      </c>
      <c r="V23" s="1290" t="s">
        <v>539</v>
      </c>
      <c r="W23" s="1291" t="s">
        <v>540</v>
      </c>
      <c r="X23" s="1290" t="s">
        <v>471</v>
      </c>
      <c r="Y23" s="438"/>
      <c r="Z23" s="165" t="s">
        <v>936</v>
      </c>
      <c r="AH23" s="1602"/>
      <c r="AJ23" s="1624" t="str">
        <f>IFERROR(IF($A$5=$BO$1,$BO22,IF($A$5=$BP$1,$BP22,IF($A$5=$BQ$1,$BQ22,IF($A$5=$BR$1,$BR22,IF($A$5=$BS$1,$BS22,IF($A$5=$BT$1,$BT22,IF($A$5=$BU$1,$BU22,IF($A$5="",INDEX(Tiere!$BN$2:$BN$153,_xlfn.AGGREGATE(15,6,(ROW(Tiere!$BN$2:$BN$153)-1)/(--(SEARCH(AK$2,Tiere!$BN$2:$BN$153)&gt;0)),ROW()-2),1))))))))),"")</f>
        <v>Milch- bzw. Ammenkühe (4000 kg Milch)  - Tiefstallmist</v>
      </c>
      <c r="AK23" s="1601"/>
      <c r="AL23" s="1624" t="str">
        <f>IFERROR(IF($A$6=$BO$1,$BO22,IF($A$6=$BP$1,$BP22,IF($A$6=$BQ$1,$BQ22,IF($A$6=$BR$1,$BR22,IF($A$6=$BS$1,$BS22,IF($A$6=$BT$1,$BT22,IF($A$6=$BU$1,$BU22,IF($A$6="",INDEX(Tiere!$BN$2:$BN$153,_xlfn.AGGREGATE(15,6,(ROW(Tiere!$BN$2:$BN$153)-1)/(--(SEARCH(AM$2,Tiere!$BN$2:$BN$153)&gt;0)),ROW()-2),1))))))))),"")</f>
        <v>Milch- bzw. Ammenkühe (4000 kg Milch)  - Tiefstallmist</v>
      </c>
      <c r="AM23" s="1601"/>
      <c r="AN23" s="1624" t="str">
        <f>IFERROR(IF($A$7=$BO$1,$BO22,IF($A$7=$BP$1,$BP22,IF($A$7=$BQ$1,$BQ22,IF($A$7=$BR$1,$BR22,IF($A$7=$BS$1,$BS22,IF($A$7=$BT$1,$BT22,IF($A$7=$BU$1,$BU22,IF($A$7="",INDEX(Tiere!$BN$2:$BN$153,_xlfn.AGGREGATE(15,6,(ROW(Tiere!$BN$2:$BN$153)-1)/(--(SEARCH(AM$2,Tiere!$BN$2:$BN$153)&gt;0)),ROW()-2),1))))))))),"")</f>
        <v>Milch- bzw. Ammenkühe (4000 kg Milch)  - Tiefstallmist</v>
      </c>
      <c r="AO23" s="1601"/>
      <c r="AP23" s="1624" t="str">
        <f>IFERROR(IF($A$8=$BO$1,$BO22,IF($A$8=$BP$1,$BP22,IF($A$8=$BQ$1,$BQ22,IF($A$8=$BR$1,$BR22,IF($A$8=$BS$1,$BS22,IF($A$8=$BT$1,$BT22,IF($A$8=$BU$1,$BU22,IF($A$8="",INDEX(Tiere!$BN$2:$BN$153,_xlfn.AGGREGATE(15,6,(ROW(Tiere!$BN$2:$BN$153)-1)/(--(SEARCH(AQ$2,Tiere!$BN$2:$BN$153)&gt;0)),ROW()-2),1))))))))),"")</f>
        <v>Milch- bzw. Ammenkühe (4000 kg Milch)  - Tiefstallmist</v>
      </c>
      <c r="AQ23" s="1601"/>
      <c r="AR23" s="1624" t="str">
        <f>IFERROR(IF($A$9=$BO$1,$BO22,IF($A$9=$BP$1,$BP22,IF($A$9=$BQ$1,$BQ22,IF($A$9=$BR$1,$BR22,IF($A$9=$BS$1,$BS22,IF($A$9=$BT$1,$BT22,IF($A$9=$BU$1,$BU22,IF($A$9="",INDEX(Tiere!$BN$2:$BN$153,_xlfn.AGGREGATE(15,6,(ROW(Tiere!$BN$2:$BN$153)-1)/(--(SEARCH(AS$2,Tiere!$BN$2:$BN$153)&gt;0)),ROW()-2),1))))))))),"")</f>
        <v>Milch- bzw. Ammenkühe (4000 kg Milch)  - Tiefstallmist</v>
      </c>
      <c r="AS23" s="1601"/>
      <c r="AT23" s="1624" t="str">
        <f>IFERROR(IF($A$10=$BO$1,$BO22,IF($A$10=$BP$1,$BP22,IF($A$10=$BQ$1,$BQ22,IF($A$10=$BR$1,$BR22,IF($A$10=$BS$1,$BS22,IF($A$10=$BT$1,$BT22,IF($A$10=$BU$1,$BU22,IF($A$10="",INDEX(Tiere!$BN$2:$BN$153,_xlfn.AGGREGATE(15,6,(ROW(Tiere!$BN$2:$BN$153)-1)/(--(SEARCH(AU$2,Tiere!$BN$2:$BN$153)&gt;0)),ROW()-2),1))))))))),"")</f>
        <v>Milch- bzw. Ammenkühe (4000 kg Milch)  - Tiefstallmist</v>
      </c>
      <c r="AU23" s="1601"/>
      <c r="AV23" s="1624" t="str">
        <f>IFERROR(IF($A$11=$BO$1,$BO22,IF($A$11=$BP$1,$BP22,IF($A$11=$BQ$1,$BQ22,IF($A$11=$BR$1,$BR22,IF($A$11=$BS$1,$BS22,IF($A$11=$BT$1,$BT22,IF($A$11=$BU$1,$BU22,IF($A$11="",INDEX(Tiere!$BN$2:$BN$153,_xlfn.AGGREGATE(15,6,(ROW(Tiere!$BN$2:$BN$153)-1)/(--(SEARCH(AW$2,Tiere!$BN$2:$BN$153)&gt;0)),ROW()-2),1))))))))),"")</f>
        <v>Milch- bzw. Ammenkühe (4000 kg Milch)  - Tiefstallmist</v>
      </c>
      <c r="AW23" s="1601"/>
      <c r="AX23" s="1624" t="str">
        <f>IFERROR(IF($A$12=$BO$1,$BO22,IF($A$12=$BP$1,$BP22,IF($A$12=$BQ$1,$BQ22,IF($A$12=$BR$1,$BR22,IF($A$12=$BS$1,$BS22,IF($A$12=$BT$1,$BT22,IF($A$12=$BU$1,$BU22,IF($A$12="",INDEX(Tiere!$BN$2:$BN$153,_xlfn.AGGREGATE(15,6,(ROW(Tiere!$BN$2:$BN$153)-1)/(--(SEARCH(AY$2,Tiere!$BN$2:$BN$153)&gt;0)),ROW()-2),1))))))))),"")</f>
        <v>Milch- bzw. Ammenkühe (4000 kg Milch)  - Tiefstallmist</v>
      </c>
      <c r="AY23" s="1601"/>
      <c r="AZ23" s="1624" t="str">
        <f>IFERROR(IF($A$13=$BO$1,$BO22,IF($A$13=$BP$1,$BP22,IF($A$13=$BQ$1,$BQ22,IF($A$13=$BR$1,$BR22,IF($A$13=$BS$1,$BS22,IF($A$13=$BT$1,$BT22,IF($A$13=$BU$1,$BU22,IF($A$13="",INDEX(Tiere!$BN$2:$BN$153,_xlfn.AGGREGATE(15,6,(ROW(Tiere!$BN$2:$BN$153)-1)/(--(SEARCH(BA$2,Tiere!$BN$2:$BN$153)&gt;0)),ROW()-2),1))))))))),"")</f>
        <v>Milch- bzw. Ammenkühe (4000 kg Milch)  - Tiefstallmist</v>
      </c>
      <c r="BA23" s="1601"/>
      <c r="BB23" s="1624" t="str">
        <f>IFERROR(IF($A$14=$BO$1,$BO22,IF($A$14=$BP$1,$BP22,IF($A$14=$BQ$1,$BQ22,IF($A$14=$BR$1,$BR22,IF($A$14=$BS$1,$BS22,IF($A$14=$BT$1,$BT22,IF($A$14=$BU$1,$BU22,IF($A$14="",INDEX(Tiere!$BN$2:$BN$153,_xlfn.AGGREGATE(15,6,(ROW(Tiere!$BN$2:$BN$153)-1)/(--(SEARCH(BC$2,Tiere!$BN$2:$BN$153)&gt;0)),ROW()-2),1))))))))),"")</f>
        <v>Milch- bzw. Ammenkühe (4000 kg Milch)  - Tiefstallmist</v>
      </c>
      <c r="BC23" s="1601"/>
      <c r="BD23" s="1624" t="str">
        <f>IFERROR(IF($A$15=$BO$1,$BO22,IF($A$15=$BP$1,$BP22,IF($A$15=$BQ$1,$BQ22,IF($A$15=$BR$1,$BR22,IF($A$15=$BS$1,$BS22,IF($A$15=$BT$1,$BT22,IF($A$15=$BU$1,$BU22,IF($A$15="",INDEX(Tiere!$BN$2:$BN$153,_xlfn.AGGREGATE(15,6,(ROW(Tiere!$BN$2:$BN$153)-1)/(--(SEARCH(BE$2,Tiere!$BN$2:$BN$153)&gt;0)),ROW()-2),1))))))))),"")</f>
        <v>Milch- bzw. Ammenkühe (4000 kg Milch)  - Tiefstallmist</v>
      </c>
      <c r="BE23" s="1601"/>
      <c r="BF23" s="1624" t="str">
        <f>IFERROR(IF($A$16=$BO$1,$BO22,IF($A$16=$BP$1,$BP22,IF($A$16=$BQ$1,$BQ22,IF($A$16=$BR$1,$BR22,IF($A$16=$BS$1,$BS22,IF($A$16=$BT$1,$BT22,IF($A$16=$BU$1,$BU22,IF($A$16="",INDEX(Tiere!$BN$2:$BN$153,_xlfn.AGGREGATE(15,6,(ROW(Tiere!$BN$2:$BN$153)-1)/(--(SEARCH(BG$2,Tiere!$BN$2:$BN$153)&gt;0)),ROW()-2),1))))))))),"")</f>
        <v>Milch- bzw. Ammenkühe (4000 kg Milch)  - Tiefstallmist</v>
      </c>
      <c r="BG23" s="1601"/>
      <c r="BH23" s="1624" t="str">
        <f>IFERROR(IF($A$17=$BO$1,$BO22,IF($A$17=$BP$1,$BP22,IF($A$17=$BQ$1,$BQ22,IF($A$17=$BR$1,$BR22,IF($A$17=$BS$1,$BS22,IF($A$17=$BT$1,$BT22,IF($A$17=$BU$1,$BU22,IF($A$17="",INDEX(Tiere!$BN$2:$BN$153,_xlfn.AGGREGATE(15,6,(ROW(Tiere!$BN$2:$BN$153)-1)/(--(SEARCH(BI$2,Tiere!$BN$2:$BN$153)&gt;0)),ROW()-2),1))))))))),"")</f>
        <v>Milch- bzw. Ammenkühe (4000 kg Milch)  - Tiefstallmist</v>
      </c>
      <c r="BI23" s="1601"/>
      <c r="BJ23" s="1624" t="str">
        <f>IFERROR(IF($A$18=$BO$1,$BO22,IF($A$18=$BP$1,$BP22,IF($A$18=$BQ$1,$BQ22,IF($A$18=$BR$1,$BR22,IF($A$18=$BS$1,$BS22,IF($A$18=$BT$1,$BT22,IF($A$18=$BU$1,$BU22,IF($A$18="",INDEX(Tiere!$BN$2:$BN$153,_xlfn.AGGREGATE(15,6,(ROW(Tiere!$BN$2:$BN$153)-1)/(--(SEARCH(BK$2,Tiere!$BN$2:$BN$153)&gt;0)),ROW()-2),1))))))))),"")</f>
        <v>Milch- bzw. Ammenkühe (4000 kg Milch)  - Tiefstallmist</v>
      </c>
      <c r="BK23" s="1601"/>
      <c r="BL23" s="1624" t="str">
        <f>IFERROR(IF($A$19=$BO$1,$BO22,IF($A$19=$BP$1,$BP22,IF($A$19=$BQ$1,$BQ22,IF($A$19=$BR$1,$BR22,IF($A$19=$BS$1,$BS22,IF($A$19=$BT$1,$BT22,IF($A$19=$BU$1,$BU22,IF($A$19="",INDEX(Tiere!$BN$2:$BN$153,_xlfn.AGGREGATE(15,6,(ROW(Tiere!$BN$2:$BN$153)-1)/(--(SEARCH(BM$2,Tiere!$BN$2:$BN$153)&gt;0)),ROW()-2),1))))))))),"")</f>
        <v>Milch- bzw. Ammenkühe (4000 kg Milch)  - Tiefstallmist</v>
      </c>
      <c r="BM23" s="1601"/>
      <c r="BN23" s="1630" t="s">
        <v>611</v>
      </c>
      <c r="BO23" s="1599" t="s">
        <v>611</v>
      </c>
      <c r="BP23" s="1599" t="s">
        <v>728</v>
      </c>
      <c r="BQ23" s="1599"/>
      <c r="BR23" s="1599"/>
      <c r="BS23" s="1599"/>
      <c r="BT23" s="1599"/>
      <c r="BU23" s="1599" t="s">
        <v>819</v>
      </c>
      <c r="CD23" s="1911" t="s">
        <v>611</v>
      </c>
    </row>
    <row r="24" spans="1:82" ht="18" customHeight="1" thickBot="1">
      <c r="A24" s="1897" t="str">
        <f>Tabelle1!C169</f>
        <v>Schweinegülle</v>
      </c>
      <c r="B24" s="933">
        <f>Hofdung!G14</f>
        <v>0</v>
      </c>
      <c r="C24" s="934">
        <f>IF($B24=0,0,Hofdung!H14)</f>
        <v>0</v>
      </c>
      <c r="D24" s="934">
        <f>IF($B24=0,0,Hofdung!I14)</f>
        <v>0</v>
      </c>
      <c r="E24" s="934">
        <f>IF($B24=0,0,Hofdung!J14)</f>
        <v>0</v>
      </c>
      <c r="F24" s="934">
        <f>IF($B24=0,0,Hofdung!K14)</f>
        <v>0</v>
      </c>
      <c r="G24" s="934">
        <f>IF($B24=0,0,Hofdung!L14)</f>
        <v>0</v>
      </c>
      <c r="H24" s="935">
        <f>Tabelle1!BI44</f>
        <v>0</v>
      </c>
      <c r="I24" s="935">
        <f>Tabelle1!BN44</f>
        <v>0</v>
      </c>
      <c r="J24" s="935">
        <f>Tabelle1!BO44</f>
        <v>0</v>
      </c>
      <c r="K24" s="935">
        <f>Tabelle1!BJ44</f>
        <v>0</v>
      </c>
      <c r="L24" s="935">
        <f>Tabelle1!BK44</f>
        <v>0</v>
      </c>
      <c r="N24" s="437"/>
      <c r="O24" s="1288" t="s">
        <v>580</v>
      </c>
      <c r="P24" s="1288"/>
      <c r="Q24" s="1288"/>
      <c r="R24" s="1906"/>
      <c r="S24" s="1906"/>
      <c r="T24" s="1906"/>
      <c r="U24" s="937"/>
      <c r="V24" s="938">
        <f t="shared" ref="V24:X28" si="1">$U24*R24</f>
        <v>0</v>
      </c>
      <c r="W24" s="938">
        <f t="shared" si="1"/>
        <v>0</v>
      </c>
      <c r="X24" s="938">
        <f t="shared" si="1"/>
        <v>0</v>
      </c>
      <c r="Y24" s="438"/>
      <c r="Z24" s="173" t="s">
        <v>937</v>
      </c>
      <c r="AH24" s="1602"/>
      <c r="AJ24" s="1624" t="str">
        <f>IFERROR(IF($A$5=$BO$1,$BO23,IF($A$5=$BP$1,$BP23,IF($A$5=$BQ$1,$BQ23,IF($A$5=$BR$1,$BR23,IF($A$5=$BS$1,$BS23,IF($A$5=$BT$1,$BT23,IF($A$5=$BU$1,$BU23,IF($A$5="",INDEX(Tiere!$BN$2:$BN$153,_xlfn.AGGREGATE(15,6,(ROW(Tiere!$BN$2:$BN$153)-1)/(--(SEARCH(AK$2,Tiere!$BN$2:$BN$153)&gt;0)),ROW()-2),1))))))))),"")</f>
        <v>Milchkühe (5000 kg Milch) - Gülle</v>
      </c>
      <c r="AK24" s="1599"/>
      <c r="AL24" s="1624" t="str">
        <f>IFERROR(IF($A$6=$BO$1,$BO23,IF($A$6=$BP$1,$BP23,IF($A$6=$BQ$1,$BQ23,IF($A$6=$BR$1,$BR23,IF($A$6=$BS$1,$BS23,IF($A$6=$BT$1,$BT23,IF($A$6=$BU$1,$BU23,IF($A$6="",INDEX(Tiere!$BN$2:$BN$153,_xlfn.AGGREGATE(15,6,(ROW(Tiere!$BN$2:$BN$153)-1)/(--(SEARCH(AM$2,Tiere!$BN$2:$BN$153)&gt;0)),ROW()-2),1))))))))),"")</f>
        <v>Milchkühe (5000 kg Milch) - Gülle</v>
      </c>
      <c r="AM24" s="1599"/>
      <c r="AN24" s="1624" t="str">
        <f>IFERROR(IF($A$7=$BO$1,$BO23,IF($A$7=$BP$1,$BP23,IF($A$7=$BQ$1,$BQ23,IF($A$7=$BR$1,$BR23,IF($A$7=$BS$1,$BS23,IF($A$7=$BT$1,$BT23,IF($A$7=$BU$1,$BU23,IF($A$7="",INDEX(Tiere!$BN$2:$BN$153,_xlfn.AGGREGATE(15,6,(ROW(Tiere!$BN$2:$BN$153)-1)/(--(SEARCH(AM$2,Tiere!$BN$2:$BN$153)&gt;0)),ROW()-2),1))))))))),"")</f>
        <v>Milchkühe (5000 kg Milch) - Gülle</v>
      </c>
      <c r="AO24" s="1599"/>
      <c r="AP24" s="1624" t="str">
        <f>IFERROR(IF($A$8=$BO$1,$BO23,IF($A$8=$BP$1,$BP23,IF($A$8=$BQ$1,$BQ23,IF($A$8=$BR$1,$BR23,IF($A$8=$BS$1,$BS23,IF($A$8=$BT$1,$BT23,IF($A$8=$BU$1,$BU23,IF($A$8="",INDEX(Tiere!$BN$2:$BN$153,_xlfn.AGGREGATE(15,6,(ROW(Tiere!$BN$2:$BN$153)-1)/(--(SEARCH(AQ$2,Tiere!$BN$2:$BN$153)&gt;0)),ROW()-2),1))))))))),"")</f>
        <v>Milchkühe (5000 kg Milch) - Gülle</v>
      </c>
      <c r="AQ24" s="1599"/>
      <c r="AR24" s="1624" t="str">
        <f>IFERROR(IF($A$9=$BO$1,$BO23,IF($A$9=$BP$1,$BP23,IF($A$9=$BQ$1,$BQ23,IF($A$9=$BR$1,$BR23,IF($A$9=$BS$1,$BS23,IF($A$9=$BT$1,$BT23,IF($A$9=$BU$1,$BU23,IF($A$9="",INDEX(Tiere!$BN$2:$BN$153,_xlfn.AGGREGATE(15,6,(ROW(Tiere!$BN$2:$BN$153)-1)/(--(SEARCH(AS$2,Tiere!$BN$2:$BN$153)&gt;0)),ROW()-2),1))))))))),"")</f>
        <v>Milchkühe (5000 kg Milch) - Gülle</v>
      </c>
      <c r="AS24" s="1599"/>
      <c r="AT24" s="1624" t="str">
        <f>IFERROR(IF($A$10=$BO$1,$BO23,IF($A$10=$BP$1,$BP23,IF($A$10=$BQ$1,$BQ23,IF($A$10=$BR$1,$BR23,IF($A$10=$BS$1,$BS23,IF($A$10=$BT$1,$BT23,IF($A$10=$BU$1,$BU23,IF($A$10="",INDEX(Tiere!$BN$2:$BN$153,_xlfn.AGGREGATE(15,6,(ROW(Tiere!$BN$2:$BN$153)-1)/(--(SEARCH(AU$2,Tiere!$BN$2:$BN$153)&gt;0)),ROW()-2),1))))))))),"")</f>
        <v>Milchkühe (5000 kg Milch) - Gülle</v>
      </c>
      <c r="AU24" s="1599"/>
      <c r="AV24" s="1624" t="str">
        <f>IFERROR(IF($A$11=$BO$1,$BO23,IF($A$11=$BP$1,$BP23,IF($A$11=$BQ$1,$BQ23,IF($A$11=$BR$1,$BR23,IF($A$11=$BS$1,$BS23,IF($A$11=$BT$1,$BT23,IF($A$11=$BU$1,$BU23,IF($A$11="",INDEX(Tiere!$BN$2:$BN$153,_xlfn.AGGREGATE(15,6,(ROW(Tiere!$BN$2:$BN$153)-1)/(--(SEARCH(AW$2,Tiere!$BN$2:$BN$153)&gt;0)),ROW()-2),1))))))))),"")</f>
        <v>Milchkühe (5000 kg Milch) - Gülle</v>
      </c>
      <c r="AW24" s="1599"/>
      <c r="AX24" s="1624" t="str">
        <f>IFERROR(IF($A$12=$BO$1,$BO23,IF($A$12=$BP$1,$BP23,IF($A$12=$BQ$1,$BQ23,IF($A$12=$BR$1,$BR23,IF($A$12=$BS$1,$BS23,IF($A$12=$BT$1,$BT23,IF($A$12=$BU$1,$BU23,IF($A$12="",INDEX(Tiere!$BN$2:$BN$153,_xlfn.AGGREGATE(15,6,(ROW(Tiere!$BN$2:$BN$153)-1)/(--(SEARCH(AY$2,Tiere!$BN$2:$BN$153)&gt;0)),ROW()-2),1))))))))),"")</f>
        <v>Milchkühe (5000 kg Milch) - Gülle</v>
      </c>
      <c r="AY24" s="1599"/>
      <c r="AZ24" s="1624" t="str">
        <f>IFERROR(IF($A$13=$BO$1,$BO23,IF($A$13=$BP$1,$BP23,IF($A$13=$BQ$1,$BQ23,IF($A$13=$BR$1,$BR23,IF($A$13=$BS$1,$BS23,IF($A$13=$BT$1,$BT23,IF($A$13=$BU$1,$BU23,IF($A$13="",INDEX(Tiere!$BN$2:$BN$153,_xlfn.AGGREGATE(15,6,(ROW(Tiere!$BN$2:$BN$153)-1)/(--(SEARCH(BA$2,Tiere!$BN$2:$BN$153)&gt;0)),ROW()-2),1))))))))),"")</f>
        <v>Milchkühe (5000 kg Milch) - Gülle</v>
      </c>
      <c r="BA24" s="1599"/>
      <c r="BB24" s="1624" t="str">
        <f>IFERROR(IF($A$14=$BO$1,$BO23,IF($A$14=$BP$1,$BP23,IF($A$14=$BQ$1,$BQ23,IF($A$14=$BR$1,$BR23,IF($A$14=$BS$1,$BS23,IF($A$14=$BT$1,$BT23,IF($A$14=$BU$1,$BU23,IF($A$14="",INDEX(Tiere!$BN$2:$BN$153,_xlfn.AGGREGATE(15,6,(ROW(Tiere!$BN$2:$BN$153)-1)/(--(SEARCH(BC$2,Tiere!$BN$2:$BN$153)&gt;0)),ROW()-2),1))))))))),"")</f>
        <v>Milchkühe (5000 kg Milch) - Gülle</v>
      </c>
      <c r="BC24" s="1599"/>
      <c r="BD24" s="1624" t="str">
        <f>IFERROR(IF($A$15=$BO$1,$BO23,IF($A$15=$BP$1,$BP23,IF($A$15=$BQ$1,$BQ23,IF($A$15=$BR$1,$BR23,IF($A$15=$BS$1,$BS23,IF($A$15=$BT$1,$BT23,IF($A$15=$BU$1,$BU23,IF($A$15="",INDEX(Tiere!$BN$2:$BN$153,_xlfn.AGGREGATE(15,6,(ROW(Tiere!$BN$2:$BN$153)-1)/(--(SEARCH(BE$2,Tiere!$BN$2:$BN$153)&gt;0)),ROW()-2),1))))))))),"")</f>
        <v>Milchkühe (5000 kg Milch) - Gülle</v>
      </c>
      <c r="BE24" s="1599"/>
      <c r="BF24" s="1624" t="str">
        <f>IFERROR(IF($A$16=$BO$1,$BO23,IF($A$16=$BP$1,$BP23,IF($A$16=$BQ$1,$BQ23,IF($A$16=$BR$1,$BR23,IF($A$16=$BS$1,$BS23,IF($A$16=$BT$1,$BT23,IF($A$16=$BU$1,$BU23,IF($A$16="",INDEX(Tiere!$BN$2:$BN$153,_xlfn.AGGREGATE(15,6,(ROW(Tiere!$BN$2:$BN$153)-1)/(--(SEARCH(BG$2,Tiere!$BN$2:$BN$153)&gt;0)),ROW()-2),1))))))))),"")</f>
        <v>Milchkühe (5000 kg Milch) - Gülle</v>
      </c>
      <c r="BG24" s="1599"/>
      <c r="BH24" s="1624" t="str">
        <f>IFERROR(IF($A$17=$BO$1,$BO23,IF($A$17=$BP$1,$BP23,IF($A$17=$BQ$1,$BQ23,IF($A$17=$BR$1,$BR23,IF($A$17=$BS$1,$BS23,IF($A$17=$BT$1,$BT23,IF($A$17=$BU$1,$BU23,IF($A$17="",INDEX(Tiere!$BN$2:$BN$153,_xlfn.AGGREGATE(15,6,(ROW(Tiere!$BN$2:$BN$153)-1)/(--(SEARCH(BI$2,Tiere!$BN$2:$BN$153)&gt;0)),ROW()-2),1))))))))),"")</f>
        <v>Milchkühe (5000 kg Milch) - Gülle</v>
      </c>
      <c r="BI24" s="1599"/>
      <c r="BJ24" s="1624" t="str">
        <f>IFERROR(IF($A$18=$BO$1,$BO23,IF($A$18=$BP$1,$BP23,IF($A$18=$BQ$1,$BQ23,IF($A$18=$BR$1,$BR23,IF($A$18=$BS$1,$BS23,IF($A$18=$BT$1,$BT23,IF($A$18=$BU$1,$BU23,IF($A$18="",INDEX(Tiere!$BN$2:$BN$153,_xlfn.AGGREGATE(15,6,(ROW(Tiere!$BN$2:$BN$153)-1)/(--(SEARCH(BK$2,Tiere!$BN$2:$BN$153)&gt;0)),ROW()-2),1))))))))),"")</f>
        <v>Milchkühe (5000 kg Milch) - Gülle</v>
      </c>
      <c r="BK24" s="1599"/>
      <c r="BL24" s="1624" t="str">
        <f>IFERROR(IF($A$19=$BO$1,$BO23,IF($A$19=$BP$1,$BP23,IF($A$19=$BQ$1,$BQ23,IF($A$19=$BR$1,$BR23,IF($A$19=$BS$1,$BS23,IF($A$19=$BT$1,$BT23,IF($A$19=$BU$1,$BU23,IF($A$19="",INDEX(Tiere!$BN$2:$BN$153,_xlfn.AGGREGATE(15,6,(ROW(Tiere!$BN$2:$BN$153)-1)/(--(SEARCH(BM$2,Tiere!$BN$2:$BN$153)&gt;0)),ROW()-2),1))))))))),"")</f>
        <v>Milchkühe (5000 kg Milch) - Gülle</v>
      </c>
      <c r="BM24" s="1599"/>
      <c r="BN24" s="1630" t="s">
        <v>614</v>
      </c>
      <c r="BO24" s="1599" t="s">
        <v>614</v>
      </c>
      <c r="BP24" s="1599" t="s">
        <v>731</v>
      </c>
      <c r="BQ24" s="1599"/>
      <c r="BR24" s="1599"/>
      <c r="BS24" s="1599"/>
      <c r="BT24" s="1599"/>
      <c r="BU24" s="1599" t="s">
        <v>820</v>
      </c>
      <c r="CD24" s="1911" t="s">
        <v>614</v>
      </c>
    </row>
    <row r="25" spans="1:82" ht="18" customHeight="1" thickTop="1" thickBot="1">
      <c r="A25" s="1897" t="str">
        <f>Tabelle1!C170</f>
        <v>Geflügelgülle</v>
      </c>
      <c r="B25" s="933">
        <f>Hofdung!G15</f>
        <v>0</v>
      </c>
      <c r="C25" s="934">
        <f>IF($B25=0,0,Hofdung!H15)</f>
        <v>0</v>
      </c>
      <c r="D25" s="934">
        <f>IF($B25=0,0,Hofdung!I15)</f>
        <v>0</v>
      </c>
      <c r="E25" s="934">
        <f>IF($B25=0,0,Hofdung!J15)</f>
        <v>0</v>
      </c>
      <c r="F25" s="934">
        <f>IF($B25=0,0,Hofdung!K15)</f>
        <v>0</v>
      </c>
      <c r="G25" s="934">
        <f>IF($B25=0,0,Hofdung!L15)</f>
        <v>0</v>
      </c>
      <c r="H25" s="935">
        <f>Tabelle1!BI45</f>
        <v>0</v>
      </c>
      <c r="I25" s="935">
        <f>Tabelle1!BN45</f>
        <v>0</v>
      </c>
      <c r="J25" s="935">
        <f>Tabelle1!BO45</f>
        <v>0</v>
      </c>
      <c r="K25" s="935">
        <f>Tabelle1!BJ45</f>
        <v>0</v>
      </c>
      <c r="L25" s="935">
        <f>Tabelle1!BK45</f>
        <v>0</v>
      </c>
      <c r="N25" s="437"/>
      <c r="O25" s="1288" t="s">
        <v>605</v>
      </c>
      <c r="P25" s="1288"/>
      <c r="Q25" s="1288"/>
      <c r="R25" s="1906"/>
      <c r="S25" s="1906"/>
      <c r="T25" s="1906"/>
      <c r="U25" s="937"/>
      <c r="V25" s="938">
        <f t="shared" si="1"/>
        <v>0</v>
      </c>
      <c r="W25" s="938">
        <f t="shared" si="1"/>
        <v>0</v>
      </c>
      <c r="X25" s="938">
        <f t="shared" si="1"/>
        <v>0</v>
      </c>
      <c r="Y25" s="438"/>
      <c r="Z25"/>
      <c r="AH25" s="1602"/>
      <c r="AJ25" s="1624" t="str">
        <f>IFERROR(IF($A$5=$BO$1,$BO24,IF($A$5=$BP$1,$BP24,IF($A$5=$BQ$1,$BQ24,IF($A$5=$BR$1,$BR24,IF($A$5=$BS$1,$BS24,IF($A$5=$BT$1,$BT24,IF($A$5=$BU$1,$BU24,IF($A$5="",INDEX(Tiere!$BN$2:$BN$153,_xlfn.AGGREGATE(15,6,(ROW(Tiere!$BN$2:$BN$153)-1)/(--(SEARCH(AK$2,Tiere!$BN$2:$BN$153)&gt;0)),ROW()-2),1))))))))),"")</f>
        <v>Milchkühe (5000 kg Milch) - Mist/Jauche</v>
      </c>
      <c r="AK25" s="1601"/>
      <c r="AL25" s="1624" t="str">
        <f>IFERROR(IF($A$6=$BO$1,$BO24,IF($A$6=$BP$1,$BP24,IF($A$6=$BQ$1,$BQ24,IF($A$6=$BR$1,$BR24,IF($A$6=$BS$1,$BS24,IF($A$6=$BT$1,$BT24,IF($A$6=$BU$1,$BU24,IF($A$6="",INDEX(Tiere!$BN$2:$BN$153,_xlfn.AGGREGATE(15,6,(ROW(Tiere!$BN$2:$BN$153)-1)/(--(SEARCH(AM$2,Tiere!$BN$2:$BN$153)&gt;0)),ROW()-2),1))))))))),"")</f>
        <v>Milchkühe (5000 kg Milch) - Mist/Jauche</v>
      </c>
      <c r="AM25" s="1601"/>
      <c r="AN25" s="1624" t="str">
        <f>IFERROR(IF($A$7=$BO$1,$BO24,IF($A$7=$BP$1,$BP24,IF($A$7=$BQ$1,$BQ24,IF($A$7=$BR$1,$BR24,IF($A$7=$BS$1,$BS24,IF($A$7=$BT$1,$BT24,IF($A$7=$BU$1,$BU24,IF($A$7="",INDEX(Tiere!$BN$2:$BN$153,_xlfn.AGGREGATE(15,6,(ROW(Tiere!$BN$2:$BN$153)-1)/(--(SEARCH(AM$2,Tiere!$BN$2:$BN$153)&gt;0)),ROW()-2),1))))))))),"")</f>
        <v>Milchkühe (5000 kg Milch) - Mist/Jauche</v>
      </c>
      <c r="AO25" s="1601"/>
      <c r="AP25" s="1624" t="str">
        <f>IFERROR(IF($A$8=$BO$1,$BO24,IF($A$8=$BP$1,$BP24,IF($A$8=$BQ$1,$BQ24,IF($A$8=$BR$1,$BR24,IF($A$8=$BS$1,$BS24,IF($A$8=$BT$1,$BT24,IF($A$8=$BU$1,$BU24,IF($A$8="",INDEX(Tiere!$BN$2:$BN$153,_xlfn.AGGREGATE(15,6,(ROW(Tiere!$BN$2:$BN$153)-1)/(--(SEARCH(AQ$2,Tiere!$BN$2:$BN$153)&gt;0)),ROW()-2),1))))))))),"")</f>
        <v>Milchkühe (5000 kg Milch) - Mist/Jauche</v>
      </c>
      <c r="AQ25" s="1601"/>
      <c r="AR25" s="1624" t="str">
        <f>IFERROR(IF($A$9=$BO$1,$BO24,IF($A$9=$BP$1,$BP24,IF($A$9=$BQ$1,$BQ24,IF($A$9=$BR$1,$BR24,IF($A$9=$BS$1,$BS24,IF($A$9=$BT$1,$BT24,IF($A$9=$BU$1,$BU24,IF($A$9="",INDEX(Tiere!$BN$2:$BN$153,_xlfn.AGGREGATE(15,6,(ROW(Tiere!$BN$2:$BN$153)-1)/(--(SEARCH(AS$2,Tiere!$BN$2:$BN$153)&gt;0)),ROW()-2),1))))))))),"")</f>
        <v>Milchkühe (5000 kg Milch) - Mist/Jauche</v>
      </c>
      <c r="AS25" s="1601"/>
      <c r="AT25" s="1624" t="str">
        <f>IFERROR(IF($A$10=$BO$1,$BO24,IF($A$10=$BP$1,$BP24,IF($A$10=$BQ$1,$BQ24,IF($A$10=$BR$1,$BR24,IF($A$10=$BS$1,$BS24,IF($A$10=$BT$1,$BT24,IF($A$10=$BU$1,$BU24,IF($A$10="",INDEX(Tiere!$BN$2:$BN$153,_xlfn.AGGREGATE(15,6,(ROW(Tiere!$BN$2:$BN$153)-1)/(--(SEARCH(AU$2,Tiere!$BN$2:$BN$153)&gt;0)),ROW()-2),1))))))))),"")</f>
        <v>Milchkühe (5000 kg Milch) - Mist/Jauche</v>
      </c>
      <c r="AU25" s="1601"/>
      <c r="AV25" s="1624" t="str">
        <f>IFERROR(IF($A$11=$BO$1,$BO24,IF($A$11=$BP$1,$BP24,IF($A$11=$BQ$1,$BQ24,IF($A$11=$BR$1,$BR24,IF($A$11=$BS$1,$BS24,IF($A$11=$BT$1,$BT24,IF($A$11=$BU$1,$BU24,IF($A$11="",INDEX(Tiere!$BN$2:$BN$153,_xlfn.AGGREGATE(15,6,(ROW(Tiere!$BN$2:$BN$153)-1)/(--(SEARCH(AW$2,Tiere!$BN$2:$BN$153)&gt;0)),ROW()-2),1))))))))),"")</f>
        <v>Milchkühe (5000 kg Milch) - Mist/Jauche</v>
      </c>
      <c r="AW25" s="1601"/>
      <c r="AX25" s="1624" t="str">
        <f>IFERROR(IF($A$12=$BO$1,$BO24,IF($A$12=$BP$1,$BP24,IF($A$12=$BQ$1,$BQ24,IF($A$12=$BR$1,$BR24,IF($A$12=$BS$1,$BS24,IF($A$12=$BT$1,$BT24,IF($A$12=$BU$1,$BU24,IF($A$12="",INDEX(Tiere!$BN$2:$BN$153,_xlfn.AGGREGATE(15,6,(ROW(Tiere!$BN$2:$BN$153)-1)/(--(SEARCH(AY$2,Tiere!$BN$2:$BN$153)&gt;0)),ROW()-2),1))))))))),"")</f>
        <v>Milchkühe (5000 kg Milch) - Mist/Jauche</v>
      </c>
      <c r="AY25" s="1601"/>
      <c r="AZ25" s="1624" t="str">
        <f>IFERROR(IF($A$13=$BO$1,$BO24,IF($A$13=$BP$1,$BP24,IF($A$13=$BQ$1,$BQ24,IF($A$13=$BR$1,$BR24,IF($A$13=$BS$1,$BS24,IF($A$13=$BT$1,$BT24,IF($A$13=$BU$1,$BU24,IF($A$13="",INDEX(Tiere!$BN$2:$BN$153,_xlfn.AGGREGATE(15,6,(ROW(Tiere!$BN$2:$BN$153)-1)/(--(SEARCH(BA$2,Tiere!$BN$2:$BN$153)&gt;0)),ROW()-2),1))))))))),"")</f>
        <v>Milchkühe (5000 kg Milch) - Mist/Jauche</v>
      </c>
      <c r="BA25" s="1601"/>
      <c r="BB25" s="1624" t="str">
        <f>IFERROR(IF($A$14=$BO$1,$BO24,IF($A$14=$BP$1,$BP24,IF($A$14=$BQ$1,$BQ24,IF($A$14=$BR$1,$BR24,IF($A$14=$BS$1,$BS24,IF($A$14=$BT$1,$BT24,IF($A$14=$BU$1,$BU24,IF($A$14="",INDEX(Tiere!$BN$2:$BN$153,_xlfn.AGGREGATE(15,6,(ROW(Tiere!$BN$2:$BN$153)-1)/(--(SEARCH(BC$2,Tiere!$BN$2:$BN$153)&gt;0)),ROW()-2),1))))))))),"")</f>
        <v>Milchkühe (5000 kg Milch) - Mist/Jauche</v>
      </c>
      <c r="BC25" s="1601"/>
      <c r="BD25" s="1624" t="str">
        <f>IFERROR(IF($A$15=$BO$1,$BO24,IF($A$15=$BP$1,$BP24,IF($A$15=$BQ$1,$BQ24,IF($A$15=$BR$1,$BR24,IF($A$15=$BS$1,$BS24,IF($A$15=$BT$1,$BT24,IF($A$15=$BU$1,$BU24,IF($A$15="",INDEX(Tiere!$BN$2:$BN$153,_xlfn.AGGREGATE(15,6,(ROW(Tiere!$BN$2:$BN$153)-1)/(--(SEARCH(BE$2,Tiere!$BN$2:$BN$153)&gt;0)),ROW()-2),1))))))))),"")</f>
        <v>Milchkühe (5000 kg Milch) - Mist/Jauche</v>
      </c>
      <c r="BE25" s="1601"/>
      <c r="BF25" s="1624" t="str">
        <f>IFERROR(IF($A$16=$BO$1,$BO24,IF($A$16=$BP$1,$BP24,IF($A$16=$BQ$1,$BQ24,IF($A$16=$BR$1,$BR24,IF($A$16=$BS$1,$BS24,IF($A$16=$BT$1,$BT24,IF($A$16=$BU$1,$BU24,IF($A$16="",INDEX(Tiere!$BN$2:$BN$153,_xlfn.AGGREGATE(15,6,(ROW(Tiere!$BN$2:$BN$153)-1)/(--(SEARCH(BG$2,Tiere!$BN$2:$BN$153)&gt;0)),ROW()-2),1))))))))),"")</f>
        <v>Milchkühe (5000 kg Milch) - Mist/Jauche</v>
      </c>
      <c r="BG25" s="1601"/>
      <c r="BH25" s="1624" t="str">
        <f>IFERROR(IF($A$17=$BO$1,$BO24,IF($A$17=$BP$1,$BP24,IF($A$17=$BQ$1,$BQ24,IF($A$17=$BR$1,$BR24,IF($A$17=$BS$1,$BS24,IF($A$17=$BT$1,$BT24,IF($A$17=$BU$1,$BU24,IF($A$17="",INDEX(Tiere!$BN$2:$BN$153,_xlfn.AGGREGATE(15,6,(ROW(Tiere!$BN$2:$BN$153)-1)/(--(SEARCH(BI$2,Tiere!$BN$2:$BN$153)&gt;0)),ROW()-2),1))))))))),"")</f>
        <v>Milchkühe (5000 kg Milch) - Mist/Jauche</v>
      </c>
      <c r="BI25" s="1601"/>
      <c r="BJ25" s="1624" t="str">
        <f>IFERROR(IF($A$18=$BO$1,$BO24,IF($A$18=$BP$1,$BP24,IF($A$18=$BQ$1,$BQ24,IF($A$18=$BR$1,$BR24,IF($A$18=$BS$1,$BS24,IF($A$18=$BT$1,$BT24,IF($A$18=$BU$1,$BU24,IF($A$18="",INDEX(Tiere!$BN$2:$BN$153,_xlfn.AGGREGATE(15,6,(ROW(Tiere!$BN$2:$BN$153)-1)/(--(SEARCH(BK$2,Tiere!$BN$2:$BN$153)&gt;0)),ROW()-2),1))))))))),"")</f>
        <v>Milchkühe (5000 kg Milch) - Mist/Jauche</v>
      </c>
      <c r="BK25" s="1601"/>
      <c r="BL25" s="1624" t="str">
        <f>IFERROR(IF($A$19=$BO$1,$BO24,IF($A$19=$BP$1,$BP24,IF($A$19=$BQ$1,$BQ24,IF($A$19=$BR$1,$BR24,IF($A$19=$BS$1,$BS24,IF($A$19=$BT$1,$BT24,IF($A$19=$BU$1,$BU24,IF($A$19="",INDEX(Tiere!$BN$2:$BN$153,_xlfn.AGGREGATE(15,6,(ROW(Tiere!$BN$2:$BN$153)-1)/(--(SEARCH(BM$2,Tiere!$BN$2:$BN$153)&gt;0)),ROW()-2),1))))))))),"")</f>
        <v>Milchkühe (5000 kg Milch) - Mist/Jauche</v>
      </c>
      <c r="BM25" s="1601"/>
      <c r="BN25" s="1630" t="s">
        <v>617</v>
      </c>
      <c r="BO25" s="1599" t="s">
        <v>617</v>
      </c>
      <c r="BP25" s="1599" t="s">
        <v>733</v>
      </c>
      <c r="BQ25" s="1599"/>
      <c r="BR25" s="1599"/>
      <c r="BS25" s="1599"/>
      <c r="BT25" s="1599"/>
      <c r="BU25" s="1623" t="s">
        <v>821</v>
      </c>
      <c r="CD25" s="1911" t="s">
        <v>617</v>
      </c>
    </row>
    <row r="26" spans="1:82" ht="18" customHeight="1" thickBot="1">
      <c r="A26" s="1897" t="str">
        <f>Tabelle1!C171</f>
        <v>Jauche</v>
      </c>
      <c r="B26" s="933">
        <f>Hofdung!G16</f>
        <v>0</v>
      </c>
      <c r="C26" s="934">
        <f>IF($B26=0,0,Hofdung!H16)</f>
        <v>0</v>
      </c>
      <c r="D26" s="934">
        <f>IF($B26=0,0,Hofdung!I16)</f>
        <v>0</v>
      </c>
      <c r="E26" s="934">
        <f>IF($B26=0,0,Hofdung!J16)</f>
        <v>0</v>
      </c>
      <c r="F26" s="934">
        <f>IF($B26=0,0,Hofdung!K16)</f>
        <v>0</v>
      </c>
      <c r="G26" s="934">
        <f>IF($B26=0,0,Hofdung!L16)</f>
        <v>0</v>
      </c>
      <c r="H26" s="935">
        <f>Tabelle1!BI46</f>
        <v>0</v>
      </c>
      <c r="I26" s="935">
        <f>Tabelle1!BN46</f>
        <v>0</v>
      </c>
      <c r="J26" s="935">
        <f>Tabelle1!BO46</f>
        <v>0</v>
      </c>
      <c r="K26" s="935">
        <f>Tabelle1!BJ46</f>
        <v>0</v>
      </c>
      <c r="L26" s="935">
        <f>Tabelle1!BK46</f>
        <v>0</v>
      </c>
      <c r="N26" s="437"/>
      <c r="O26" s="1288" t="s">
        <v>609</v>
      </c>
      <c r="P26" s="1288"/>
      <c r="Q26" s="1288"/>
      <c r="R26" s="1906"/>
      <c r="S26" s="1906"/>
      <c r="T26" s="1906"/>
      <c r="U26" s="937"/>
      <c r="V26" s="938">
        <f t="shared" si="1"/>
        <v>0</v>
      </c>
      <c r="W26" s="938">
        <f t="shared" si="1"/>
        <v>0</v>
      </c>
      <c r="X26" s="938">
        <f t="shared" si="1"/>
        <v>0</v>
      </c>
      <c r="Y26" s="438"/>
      <c r="Z26" s="174" t="s">
        <v>938</v>
      </c>
      <c r="AH26" s="1602"/>
      <c r="AJ26" s="1624" t="str">
        <f>IFERROR(IF($A$5=$BO$1,$BO25,IF($A$5=$BP$1,$BP25,IF($A$5=$BQ$1,$BQ25,IF($A$5=$BR$1,$BR25,IF($A$5=$BS$1,$BS25,IF($A$5=$BT$1,$BT25,IF($A$5=$BU$1,$BU25,IF($A$5="",INDEX(Tiere!$BN$2:$BN$153,_xlfn.AGGREGATE(15,6,(ROW(Tiere!$BN$2:$BN$153)-1)/(--(SEARCH(AK$2,Tiere!$BN$2:$BN$153)&gt;0)),ROW()-2),1))))))))),"")</f>
        <v>Milchkühe (5000 kg Milch) - Tiefstallmist</v>
      </c>
      <c r="AK26" s="1599"/>
      <c r="AL26" s="1624" t="str">
        <f>IFERROR(IF($A$6=$BO$1,$BO25,IF($A$6=$BP$1,$BP25,IF($A$6=$BQ$1,$BQ25,IF($A$6=$BR$1,$BR25,IF($A$6=$BS$1,$BS25,IF($A$6=$BT$1,$BT25,IF($A$6=$BU$1,$BU25,IF($A$6="",INDEX(Tiere!$BN$2:$BN$153,_xlfn.AGGREGATE(15,6,(ROW(Tiere!$BN$2:$BN$153)-1)/(--(SEARCH(AM$2,Tiere!$BN$2:$BN$153)&gt;0)),ROW()-2),1))))))))),"")</f>
        <v>Milchkühe (5000 kg Milch) - Tiefstallmist</v>
      </c>
      <c r="AM26" s="1599"/>
      <c r="AN26" s="1624" t="str">
        <f>IFERROR(IF($A$7=$BO$1,$BO25,IF($A$7=$BP$1,$BP25,IF($A$7=$BQ$1,$BQ25,IF($A$7=$BR$1,$BR25,IF($A$7=$BS$1,$BS25,IF($A$7=$BT$1,$BT25,IF($A$7=$BU$1,$BU25,IF($A$7="",INDEX(Tiere!$BN$2:$BN$153,_xlfn.AGGREGATE(15,6,(ROW(Tiere!$BN$2:$BN$153)-1)/(--(SEARCH(AM$2,Tiere!$BN$2:$BN$153)&gt;0)),ROW()-2),1))))))))),"")</f>
        <v>Milchkühe (5000 kg Milch) - Tiefstallmist</v>
      </c>
      <c r="AO26" s="1599"/>
      <c r="AP26" s="1624" t="str">
        <f>IFERROR(IF($A$8=$BO$1,$BO25,IF($A$8=$BP$1,$BP25,IF($A$8=$BQ$1,$BQ25,IF($A$8=$BR$1,$BR25,IF($A$8=$BS$1,$BS25,IF($A$8=$BT$1,$BT25,IF($A$8=$BU$1,$BU25,IF($A$8="",INDEX(Tiere!$BN$2:$BN$153,_xlfn.AGGREGATE(15,6,(ROW(Tiere!$BN$2:$BN$153)-1)/(--(SEARCH(AQ$2,Tiere!$BN$2:$BN$153)&gt;0)),ROW()-2),1))))))))),"")</f>
        <v>Milchkühe (5000 kg Milch) - Tiefstallmist</v>
      </c>
      <c r="AQ26" s="1599"/>
      <c r="AR26" s="1624" t="str">
        <f>IFERROR(IF($A$9=$BO$1,$BO25,IF($A$9=$BP$1,$BP25,IF($A$9=$BQ$1,$BQ25,IF($A$9=$BR$1,$BR25,IF($A$9=$BS$1,$BS25,IF($A$9=$BT$1,$BT25,IF($A$9=$BU$1,$BU25,IF($A$9="",INDEX(Tiere!$BN$2:$BN$153,_xlfn.AGGREGATE(15,6,(ROW(Tiere!$BN$2:$BN$153)-1)/(--(SEARCH(AS$2,Tiere!$BN$2:$BN$153)&gt;0)),ROW()-2),1))))))))),"")</f>
        <v>Milchkühe (5000 kg Milch) - Tiefstallmist</v>
      </c>
      <c r="AS26" s="1599"/>
      <c r="AT26" s="1624" t="str">
        <f>IFERROR(IF($A$10=$BO$1,$BO25,IF($A$10=$BP$1,$BP25,IF($A$10=$BQ$1,$BQ25,IF($A$10=$BR$1,$BR25,IF($A$10=$BS$1,$BS25,IF($A$10=$BT$1,$BT25,IF($A$10=$BU$1,$BU25,IF($A$10="",INDEX(Tiere!$BN$2:$BN$153,_xlfn.AGGREGATE(15,6,(ROW(Tiere!$BN$2:$BN$153)-1)/(--(SEARCH(AU$2,Tiere!$BN$2:$BN$153)&gt;0)),ROW()-2),1))))))))),"")</f>
        <v>Milchkühe (5000 kg Milch) - Tiefstallmist</v>
      </c>
      <c r="AU26" s="1599"/>
      <c r="AV26" s="1624" t="str">
        <f>IFERROR(IF($A$11=$BO$1,$BO25,IF($A$11=$BP$1,$BP25,IF($A$11=$BQ$1,$BQ25,IF($A$11=$BR$1,$BR25,IF($A$11=$BS$1,$BS25,IF($A$11=$BT$1,$BT25,IF($A$11=$BU$1,$BU25,IF($A$11="",INDEX(Tiere!$BN$2:$BN$153,_xlfn.AGGREGATE(15,6,(ROW(Tiere!$BN$2:$BN$153)-1)/(--(SEARCH(AW$2,Tiere!$BN$2:$BN$153)&gt;0)),ROW()-2),1))))))))),"")</f>
        <v>Milchkühe (5000 kg Milch) - Tiefstallmist</v>
      </c>
      <c r="AW26" s="1599"/>
      <c r="AX26" s="1624" t="str">
        <f>IFERROR(IF($A$12=$BO$1,$BO25,IF($A$12=$BP$1,$BP25,IF($A$12=$BQ$1,$BQ25,IF($A$12=$BR$1,$BR25,IF($A$12=$BS$1,$BS25,IF($A$12=$BT$1,$BT25,IF($A$12=$BU$1,$BU25,IF($A$12="",INDEX(Tiere!$BN$2:$BN$153,_xlfn.AGGREGATE(15,6,(ROW(Tiere!$BN$2:$BN$153)-1)/(--(SEARCH(AY$2,Tiere!$BN$2:$BN$153)&gt;0)),ROW()-2),1))))))))),"")</f>
        <v>Milchkühe (5000 kg Milch) - Tiefstallmist</v>
      </c>
      <c r="AY26" s="1599"/>
      <c r="AZ26" s="1624" t="str">
        <f>IFERROR(IF($A$13=$BO$1,$BO25,IF($A$13=$BP$1,$BP25,IF($A$13=$BQ$1,$BQ25,IF($A$13=$BR$1,$BR25,IF($A$13=$BS$1,$BS25,IF($A$13=$BT$1,$BT25,IF($A$13=$BU$1,$BU25,IF($A$13="",INDEX(Tiere!$BN$2:$BN$153,_xlfn.AGGREGATE(15,6,(ROW(Tiere!$BN$2:$BN$153)-1)/(--(SEARCH(BA$2,Tiere!$BN$2:$BN$153)&gt;0)),ROW()-2),1))))))))),"")</f>
        <v>Milchkühe (5000 kg Milch) - Tiefstallmist</v>
      </c>
      <c r="BA26" s="1599"/>
      <c r="BB26" s="1624" t="str">
        <f>IFERROR(IF($A$14=$BO$1,$BO25,IF($A$14=$BP$1,$BP25,IF($A$14=$BQ$1,$BQ25,IF($A$14=$BR$1,$BR25,IF($A$14=$BS$1,$BS25,IF($A$14=$BT$1,$BT25,IF($A$14=$BU$1,$BU25,IF($A$14="",INDEX(Tiere!$BN$2:$BN$153,_xlfn.AGGREGATE(15,6,(ROW(Tiere!$BN$2:$BN$153)-1)/(--(SEARCH(BC$2,Tiere!$BN$2:$BN$153)&gt;0)),ROW()-2),1))))))))),"")</f>
        <v>Milchkühe (5000 kg Milch) - Tiefstallmist</v>
      </c>
      <c r="BC26" s="1599"/>
      <c r="BD26" s="1624" t="str">
        <f>IFERROR(IF($A$15=$BO$1,$BO25,IF($A$15=$BP$1,$BP25,IF($A$15=$BQ$1,$BQ25,IF($A$15=$BR$1,$BR25,IF($A$15=$BS$1,$BS25,IF($A$15=$BT$1,$BT25,IF($A$15=$BU$1,$BU25,IF($A$15="",INDEX(Tiere!$BN$2:$BN$153,_xlfn.AGGREGATE(15,6,(ROW(Tiere!$BN$2:$BN$153)-1)/(--(SEARCH(BE$2,Tiere!$BN$2:$BN$153)&gt;0)),ROW()-2),1))))))))),"")</f>
        <v>Milchkühe (5000 kg Milch) - Tiefstallmist</v>
      </c>
      <c r="BE26" s="1599"/>
      <c r="BF26" s="1624" t="str">
        <f>IFERROR(IF($A$16=$BO$1,$BO25,IF($A$16=$BP$1,$BP25,IF($A$16=$BQ$1,$BQ25,IF($A$16=$BR$1,$BR25,IF($A$16=$BS$1,$BS25,IF($A$16=$BT$1,$BT25,IF($A$16=$BU$1,$BU25,IF($A$16="",INDEX(Tiere!$BN$2:$BN$153,_xlfn.AGGREGATE(15,6,(ROW(Tiere!$BN$2:$BN$153)-1)/(--(SEARCH(BG$2,Tiere!$BN$2:$BN$153)&gt;0)),ROW()-2),1))))))))),"")</f>
        <v>Milchkühe (5000 kg Milch) - Tiefstallmist</v>
      </c>
      <c r="BG26" s="1599"/>
      <c r="BH26" s="1624" t="str">
        <f>IFERROR(IF($A$17=$BO$1,$BO25,IF($A$17=$BP$1,$BP25,IF($A$17=$BQ$1,$BQ25,IF($A$17=$BR$1,$BR25,IF($A$17=$BS$1,$BS25,IF($A$17=$BT$1,$BT25,IF($A$17=$BU$1,$BU25,IF($A$17="",INDEX(Tiere!$BN$2:$BN$153,_xlfn.AGGREGATE(15,6,(ROW(Tiere!$BN$2:$BN$153)-1)/(--(SEARCH(BI$2,Tiere!$BN$2:$BN$153)&gt;0)),ROW()-2),1))))))))),"")</f>
        <v>Milchkühe (5000 kg Milch) - Tiefstallmist</v>
      </c>
      <c r="BI26" s="1599"/>
      <c r="BJ26" s="1624" t="str">
        <f>IFERROR(IF($A$18=$BO$1,$BO25,IF($A$18=$BP$1,$BP25,IF($A$18=$BQ$1,$BQ25,IF($A$18=$BR$1,$BR25,IF($A$18=$BS$1,$BS25,IF($A$18=$BT$1,$BT25,IF($A$18=$BU$1,$BU25,IF($A$18="",INDEX(Tiere!$BN$2:$BN$153,_xlfn.AGGREGATE(15,6,(ROW(Tiere!$BN$2:$BN$153)-1)/(--(SEARCH(BK$2,Tiere!$BN$2:$BN$153)&gt;0)),ROW()-2),1))))))))),"")</f>
        <v>Milchkühe (5000 kg Milch) - Tiefstallmist</v>
      </c>
      <c r="BK26" s="1599"/>
      <c r="BL26" s="1624" t="str">
        <f>IFERROR(IF($A$19=$BO$1,$BO25,IF($A$19=$BP$1,$BP25,IF($A$19=$BQ$1,$BQ25,IF($A$19=$BR$1,$BR25,IF($A$19=$BS$1,$BS25,IF($A$19=$BT$1,$BT25,IF($A$19=$BU$1,$BU25,IF($A$19="",INDEX(Tiere!$BN$2:$BN$153,_xlfn.AGGREGATE(15,6,(ROW(Tiere!$BN$2:$BN$153)-1)/(--(SEARCH(BM$2,Tiere!$BN$2:$BN$153)&gt;0)),ROW()-2),1))))))))),"")</f>
        <v>Milchkühe (5000 kg Milch) - Tiefstallmist</v>
      </c>
      <c r="BM26" s="1599"/>
      <c r="BN26" s="1630" t="s">
        <v>621</v>
      </c>
      <c r="BO26" s="1599" t="s">
        <v>621</v>
      </c>
      <c r="BP26" s="1599" t="s">
        <v>2389</v>
      </c>
      <c r="BQ26" s="1599"/>
      <c r="BR26" s="1599"/>
      <c r="BS26" s="1599"/>
      <c r="BT26" s="1599"/>
      <c r="BU26" s="1599" t="s">
        <v>822</v>
      </c>
      <c r="CD26" s="1911" t="s">
        <v>621</v>
      </c>
    </row>
    <row r="27" spans="1:82" ht="18" customHeight="1" thickBot="1">
      <c r="A27" s="1897" t="str">
        <f>Tabelle1!C172</f>
        <v xml:space="preserve">Mist  </v>
      </c>
      <c r="B27" s="933">
        <f>Hofdung!G17</f>
        <v>0</v>
      </c>
      <c r="C27" s="934">
        <f>IF($B27=0,0,Hofdung!H17)</f>
        <v>0</v>
      </c>
      <c r="D27" s="934">
        <f>IF($B27=0,0,Hofdung!I17)</f>
        <v>0</v>
      </c>
      <c r="E27" s="934">
        <f>IF($B27=0,0,Hofdung!J17)</f>
        <v>0</v>
      </c>
      <c r="F27" s="934">
        <f>IF($B27=0,0,Hofdung!K17)</f>
        <v>0</v>
      </c>
      <c r="G27" s="934">
        <f>IF($B27=0,0,Hofdung!L17)</f>
        <v>0</v>
      </c>
      <c r="H27" s="935">
        <f>Tabelle1!BI47</f>
        <v>0</v>
      </c>
      <c r="I27" s="935">
        <f>Tabelle1!BN47</f>
        <v>0</v>
      </c>
      <c r="J27" s="935">
        <f>Tabelle1!BO47</f>
        <v>0</v>
      </c>
      <c r="K27" s="935">
        <f>Tabelle1!BJ47</f>
        <v>0</v>
      </c>
      <c r="L27" s="935">
        <f>Tabelle1!BK47</f>
        <v>0</v>
      </c>
      <c r="N27" s="437"/>
      <c r="O27" s="1288" t="s">
        <v>459</v>
      </c>
      <c r="P27" s="1288"/>
      <c r="Q27" s="1288"/>
      <c r="R27" s="1906"/>
      <c r="S27" s="1906"/>
      <c r="T27" s="1906"/>
      <c r="U27" s="937"/>
      <c r="V27" s="938">
        <f t="shared" si="1"/>
        <v>0</v>
      </c>
      <c r="W27" s="938">
        <f t="shared" si="1"/>
        <v>0</v>
      </c>
      <c r="X27" s="938">
        <f t="shared" si="1"/>
        <v>0</v>
      </c>
      <c r="Y27" s="438"/>
      <c r="Z27"/>
      <c r="AH27" s="1602"/>
      <c r="AJ27" s="1624" t="str">
        <f>IFERROR(IF($A$5=$BO$1,$BO26,IF($A$5=$BP$1,$BP26,IF($A$5=$BQ$1,$BQ26,IF($A$5=$BR$1,$BR26,IF($A$5=$BS$1,$BS26,IF($A$5=$BT$1,$BT26,IF($A$5=$BU$1,$BU26,IF($A$5="",INDEX(Tiere!$BN$2:$BN$153,_xlfn.AGGREGATE(15,6,(ROW(Tiere!$BN$2:$BN$153)-1)/(--(SEARCH(AK$2,Tiere!$BN$2:$BN$153)&gt;0)),ROW()-2),1))))))))),"")</f>
        <v>Milchkühe (6000 kg Milch) - Gülle</v>
      </c>
      <c r="AK27" s="1601"/>
      <c r="AL27" s="1624" t="str">
        <f>IFERROR(IF($A$6=$BO$1,$BO26,IF($A$6=$BP$1,$BP26,IF($A$6=$BQ$1,$BQ26,IF($A$6=$BR$1,$BR26,IF($A$6=$BS$1,$BS26,IF($A$6=$BT$1,$BT26,IF($A$6=$BU$1,$BU26,IF($A$6="",INDEX(Tiere!$BN$2:$BN$153,_xlfn.AGGREGATE(15,6,(ROW(Tiere!$BN$2:$BN$153)-1)/(--(SEARCH(AM$2,Tiere!$BN$2:$BN$153)&gt;0)),ROW()-2),1))))))))),"")</f>
        <v>Milchkühe (6000 kg Milch) - Gülle</v>
      </c>
      <c r="AM27" s="1601"/>
      <c r="AN27" s="1624" t="str">
        <f>IFERROR(IF($A$7=$BO$1,$BO26,IF($A$7=$BP$1,$BP26,IF($A$7=$BQ$1,$BQ26,IF($A$7=$BR$1,$BR26,IF($A$7=$BS$1,$BS26,IF($A$7=$BT$1,$BT26,IF($A$7=$BU$1,$BU26,IF($A$7="",INDEX(Tiere!$BN$2:$BN$153,_xlfn.AGGREGATE(15,6,(ROW(Tiere!$BN$2:$BN$153)-1)/(--(SEARCH(AM$2,Tiere!$BN$2:$BN$153)&gt;0)),ROW()-2),1))))))))),"")</f>
        <v>Milchkühe (6000 kg Milch) - Gülle</v>
      </c>
      <c r="AO27" s="1601"/>
      <c r="AP27" s="1624" t="str">
        <f>IFERROR(IF($A$8=$BO$1,$BO26,IF($A$8=$BP$1,$BP26,IF($A$8=$BQ$1,$BQ26,IF($A$8=$BR$1,$BR26,IF($A$8=$BS$1,$BS26,IF($A$8=$BT$1,$BT26,IF($A$8=$BU$1,$BU26,IF($A$8="",INDEX(Tiere!$BN$2:$BN$153,_xlfn.AGGREGATE(15,6,(ROW(Tiere!$BN$2:$BN$153)-1)/(--(SEARCH(AQ$2,Tiere!$BN$2:$BN$153)&gt;0)),ROW()-2),1))))))))),"")</f>
        <v>Milchkühe (6000 kg Milch) - Gülle</v>
      </c>
      <c r="AQ27" s="1601"/>
      <c r="AR27" s="1624" t="str">
        <f>IFERROR(IF($A$9=$BO$1,$BO26,IF($A$9=$BP$1,$BP26,IF($A$9=$BQ$1,$BQ26,IF($A$9=$BR$1,$BR26,IF($A$9=$BS$1,$BS26,IF($A$9=$BT$1,$BT26,IF($A$9=$BU$1,$BU26,IF($A$9="",INDEX(Tiere!$BN$2:$BN$153,_xlfn.AGGREGATE(15,6,(ROW(Tiere!$BN$2:$BN$153)-1)/(--(SEARCH(AS$2,Tiere!$BN$2:$BN$153)&gt;0)),ROW()-2),1))))))))),"")</f>
        <v>Milchkühe (6000 kg Milch) - Gülle</v>
      </c>
      <c r="AS27" s="1601"/>
      <c r="AT27" s="1624" t="str">
        <f>IFERROR(IF($A$10=$BO$1,$BO26,IF($A$10=$BP$1,$BP26,IF($A$10=$BQ$1,$BQ26,IF($A$10=$BR$1,$BR26,IF($A$10=$BS$1,$BS26,IF($A$10=$BT$1,$BT26,IF($A$10=$BU$1,$BU26,IF($A$10="",INDEX(Tiere!$BN$2:$BN$153,_xlfn.AGGREGATE(15,6,(ROW(Tiere!$BN$2:$BN$153)-1)/(--(SEARCH(AU$2,Tiere!$BN$2:$BN$153)&gt;0)),ROW()-2),1))))))))),"")</f>
        <v>Milchkühe (6000 kg Milch) - Gülle</v>
      </c>
      <c r="AU27" s="1601"/>
      <c r="AV27" s="1624" t="str">
        <f>IFERROR(IF($A$11=$BO$1,$BO26,IF($A$11=$BP$1,$BP26,IF($A$11=$BQ$1,$BQ26,IF($A$11=$BR$1,$BR26,IF($A$11=$BS$1,$BS26,IF($A$11=$BT$1,$BT26,IF($A$11=$BU$1,$BU26,IF($A$11="",INDEX(Tiere!$BN$2:$BN$153,_xlfn.AGGREGATE(15,6,(ROW(Tiere!$BN$2:$BN$153)-1)/(--(SEARCH(AW$2,Tiere!$BN$2:$BN$153)&gt;0)),ROW()-2),1))))))))),"")</f>
        <v>Milchkühe (6000 kg Milch) - Gülle</v>
      </c>
      <c r="AW27" s="1601"/>
      <c r="AX27" s="1624" t="str">
        <f>IFERROR(IF($A$12=$BO$1,$BO26,IF($A$12=$BP$1,$BP26,IF($A$12=$BQ$1,$BQ26,IF($A$12=$BR$1,$BR26,IF($A$12=$BS$1,$BS26,IF($A$12=$BT$1,$BT26,IF($A$12=$BU$1,$BU26,IF($A$12="",INDEX(Tiere!$BN$2:$BN$153,_xlfn.AGGREGATE(15,6,(ROW(Tiere!$BN$2:$BN$153)-1)/(--(SEARCH(AY$2,Tiere!$BN$2:$BN$153)&gt;0)),ROW()-2),1))))))))),"")</f>
        <v>Milchkühe (6000 kg Milch) - Gülle</v>
      </c>
      <c r="AY27" s="1601"/>
      <c r="AZ27" s="1624" t="str">
        <f>IFERROR(IF($A$13=$BO$1,$BO26,IF($A$13=$BP$1,$BP26,IF($A$13=$BQ$1,$BQ26,IF($A$13=$BR$1,$BR26,IF($A$13=$BS$1,$BS26,IF($A$13=$BT$1,$BT26,IF($A$13=$BU$1,$BU26,IF($A$13="",INDEX(Tiere!$BN$2:$BN$153,_xlfn.AGGREGATE(15,6,(ROW(Tiere!$BN$2:$BN$153)-1)/(--(SEARCH(BA$2,Tiere!$BN$2:$BN$153)&gt;0)),ROW()-2),1))))))))),"")</f>
        <v>Milchkühe (6000 kg Milch) - Gülle</v>
      </c>
      <c r="BA27" s="1601"/>
      <c r="BB27" s="1624" t="str">
        <f>IFERROR(IF($A$14=$BO$1,$BO26,IF($A$14=$BP$1,$BP26,IF($A$14=$BQ$1,$BQ26,IF($A$14=$BR$1,$BR26,IF($A$14=$BS$1,$BS26,IF($A$14=$BT$1,$BT26,IF($A$14=$BU$1,$BU26,IF($A$14="",INDEX(Tiere!$BN$2:$BN$153,_xlfn.AGGREGATE(15,6,(ROW(Tiere!$BN$2:$BN$153)-1)/(--(SEARCH(BC$2,Tiere!$BN$2:$BN$153)&gt;0)),ROW()-2),1))))))))),"")</f>
        <v>Milchkühe (6000 kg Milch) - Gülle</v>
      </c>
      <c r="BC27" s="1601"/>
      <c r="BD27" s="1624" t="str">
        <f>IFERROR(IF($A$15=$BO$1,$BO26,IF($A$15=$BP$1,$BP26,IF($A$15=$BQ$1,$BQ26,IF($A$15=$BR$1,$BR26,IF($A$15=$BS$1,$BS26,IF($A$15=$BT$1,$BT26,IF($A$15=$BU$1,$BU26,IF($A$15="",INDEX(Tiere!$BN$2:$BN$153,_xlfn.AGGREGATE(15,6,(ROW(Tiere!$BN$2:$BN$153)-1)/(--(SEARCH(BE$2,Tiere!$BN$2:$BN$153)&gt;0)),ROW()-2),1))))))))),"")</f>
        <v>Milchkühe (6000 kg Milch) - Gülle</v>
      </c>
      <c r="BE27" s="1601"/>
      <c r="BF27" s="1624" t="str">
        <f>IFERROR(IF($A$16=$BO$1,$BO26,IF($A$16=$BP$1,$BP26,IF($A$16=$BQ$1,$BQ26,IF($A$16=$BR$1,$BR26,IF($A$16=$BS$1,$BS26,IF($A$16=$BT$1,$BT26,IF($A$16=$BU$1,$BU26,IF($A$16="",INDEX(Tiere!$BN$2:$BN$153,_xlfn.AGGREGATE(15,6,(ROW(Tiere!$BN$2:$BN$153)-1)/(--(SEARCH(BG$2,Tiere!$BN$2:$BN$153)&gt;0)),ROW()-2),1))))))))),"")</f>
        <v>Milchkühe (6000 kg Milch) - Gülle</v>
      </c>
      <c r="BG27" s="1601"/>
      <c r="BH27" s="1624" t="str">
        <f>IFERROR(IF($A$17=$BO$1,$BO26,IF($A$17=$BP$1,$BP26,IF($A$17=$BQ$1,$BQ26,IF($A$17=$BR$1,$BR26,IF($A$17=$BS$1,$BS26,IF($A$17=$BT$1,$BT26,IF($A$17=$BU$1,$BU26,IF($A$17="",INDEX(Tiere!$BN$2:$BN$153,_xlfn.AGGREGATE(15,6,(ROW(Tiere!$BN$2:$BN$153)-1)/(--(SEARCH(BI$2,Tiere!$BN$2:$BN$153)&gt;0)),ROW()-2),1))))))))),"")</f>
        <v>Milchkühe (6000 kg Milch) - Gülle</v>
      </c>
      <c r="BI27" s="1601"/>
      <c r="BJ27" s="1624" t="str">
        <f>IFERROR(IF($A$18=$BO$1,$BO26,IF($A$18=$BP$1,$BP26,IF($A$18=$BQ$1,$BQ26,IF($A$18=$BR$1,$BR26,IF($A$18=$BS$1,$BS26,IF($A$18=$BT$1,$BT26,IF($A$18=$BU$1,$BU26,IF($A$18="",INDEX(Tiere!$BN$2:$BN$153,_xlfn.AGGREGATE(15,6,(ROW(Tiere!$BN$2:$BN$153)-1)/(--(SEARCH(BK$2,Tiere!$BN$2:$BN$153)&gt;0)),ROW()-2),1))))))))),"")</f>
        <v>Milchkühe (6000 kg Milch) - Gülle</v>
      </c>
      <c r="BK27" s="1601"/>
      <c r="BL27" s="1624" t="str">
        <f>IFERROR(IF($A$19=$BO$1,$BO26,IF($A$19=$BP$1,$BP26,IF($A$19=$BQ$1,$BQ26,IF($A$19=$BR$1,$BR26,IF($A$19=$BS$1,$BS26,IF($A$19=$BT$1,$BT26,IF($A$19=$BU$1,$BU26,IF($A$19="",INDEX(Tiere!$BN$2:$BN$153,_xlfn.AGGREGATE(15,6,(ROW(Tiere!$BN$2:$BN$153)-1)/(--(SEARCH(BM$2,Tiere!$BN$2:$BN$153)&gt;0)),ROW()-2),1))))))))),"")</f>
        <v>Milchkühe (6000 kg Milch) - Gülle</v>
      </c>
      <c r="BM27" s="1601"/>
      <c r="BN27" s="1630" t="s">
        <v>625</v>
      </c>
      <c r="BO27" s="1599" t="s">
        <v>625</v>
      </c>
      <c r="BP27" s="1599" t="s">
        <v>2390</v>
      </c>
      <c r="BQ27" s="1599"/>
      <c r="BR27" s="1599"/>
      <c r="BS27" s="1599"/>
      <c r="BT27" s="1599"/>
      <c r="BU27" s="1599" t="s">
        <v>823</v>
      </c>
      <c r="CD27" s="1911" t="s">
        <v>625</v>
      </c>
    </row>
    <row r="28" spans="1:82" ht="18" customHeight="1" thickBot="1">
      <c r="A28" s="1897" t="str">
        <f>Tabelle1!C173</f>
        <v>Mist 2</v>
      </c>
      <c r="B28" s="933">
        <f>Hofdung!G18</f>
        <v>0</v>
      </c>
      <c r="C28" s="934">
        <f>IF($B28=0,0,Hofdung!H18)</f>
        <v>0</v>
      </c>
      <c r="D28" s="934">
        <f>IF($B28=0,0,Hofdung!I18)</f>
        <v>0</v>
      </c>
      <c r="E28" s="934">
        <f>IF($B28=0,0,Hofdung!J18)</f>
        <v>0</v>
      </c>
      <c r="F28" s="934">
        <f>IF($B28=0,0,Hofdung!K18)</f>
        <v>0</v>
      </c>
      <c r="G28" s="934">
        <f>IF($B28=0,0,Hofdung!L18)</f>
        <v>0</v>
      </c>
      <c r="H28" s="935">
        <f>Tabelle1!BI48</f>
        <v>0</v>
      </c>
      <c r="I28" s="935">
        <f>Tabelle1!BN48</f>
        <v>0</v>
      </c>
      <c r="J28" s="935">
        <f>Tabelle1!BO48</f>
        <v>0</v>
      </c>
      <c r="K28" s="935">
        <f>Tabelle1!BJ48</f>
        <v>0</v>
      </c>
      <c r="L28" s="935">
        <f>Tabelle1!BK48</f>
        <v>0</v>
      </c>
      <c r="N28" s="437"/>
      <c r="O28" s="1288" t="s">
        <v>460</v>
      </c>
      <c r="P28" s="1288"/>
      <c r="Q28" s="1288"/>
      <c r="R28" s="1906"/>
      <c r="S28" s="1906"/>
      <c r="T28" s="1906"/>
      <c r="U28" s="937"/>
      <c r="V28" s="938">
        <f t="shared" si="1"/>
        <v>0</v>
      </c>
      <c r="W28" s="938">
        <f t="shared" si="1"/>
        <v>0</v>
      </c>
      <c r="X28" s="938">
        <f t="shared" si="1"/>
        <v>0</v>
      </c>
      <c r="Y28" s="438"/>
      <c r="Z28" s="175"/>
      <c r="AH28" s="1602"/>
      <c r="AJ28" s="1624" t="str">
        <f>IFERROR(IF($A$5=$BO$1,$BO27,IF($A$5=$BP$1,$BP27,IF($A$5=$BQ$1,$BQ27,IF($A$5=$BR$1,$BR27,IF($A$5=$BS$1,$BS27,IF($A$5=$BT$1,$BT27,IF($A$5=$BU$1,$BU27,IF($A$5="",INDEX(Tiere!$BN$2:$BN$153,_xlfn.AGGREGATE(15,6,(ROW(Tiere!$BN$2:$BN$153)-1)/(--(SEARCH(AK$2,Tiere!$BN$2:$BN$153)&gt;0)),ROW()-2),1))))))))),"")</f>
        <v>Milchkühe (6000 kg Milch) - Mist/Jauche</v>
      </c>
      <c r="AK28" s="1599"/>
      <c r="AL28" s="1624" t="str">
        <f>IFERROR(IF($A$6=$BO$1,$BO27,IF($A$6=$BP$1,$BP27,IF($A$6=$BQ$1,$BQ27,IF($A$6=$BR$1,$BR27,IF($A$6=$BS$1,$BS27,IF($A$6=$BT$1,$BT27,IF($A$6=$BU$1,$BU27,IF($A$6="",INDEX(Tiere!$BN$2:$BN$153,_xlfn.AGGREGATE(15,6,(ROW(Tiere!$BN$2:$BN$153)-1)/(--(SEARCH(AM$2,Tiere!$BN$2:$BN$153)&gt;0)),ROW()-2),1))))))))),"")</f>
        <v>Milchkühe (6000 kg Milch) - Mist/Jauche</v>
      </c>
      <c r="AM28" s="1599"/>
      <c r="AN28" s="1624" t="str">
        <f>IFERROR(IF($A$7=$BO$1,$BO27,IF($A$7=$BP$1,$BP27,IF($A$7=$BQ$1,$BQ27,IF($A$7=$BR$1,$BR27,IF($A$7=$BS$1,$BS27,IF($A$7=$BT$1,$BT27,IF($A$7=$BU$1,$BU27,IF($A$7="",INDEX(Tiere!$BN$2:$BN$153,_xlfn.AGGREGATE(15,6,(ROW(Tiere!$BN$2:$BN$153)-1)/(--(SEARCH(AM$2,Tiere!$BN$2:$BN$153)&gt;0)),ROW()-2),1))))))))),"")</f>
        <v>Milchkühe (6000 kg Milch) - Mist/Jauche</v>
      </c>
      <c r="AO28" s="1599"/>
      <c r="AP28" s="1624" t="str">
        <f>IFERROR(IF($A$8=$BO$1,$BO27,IF($A$8=$BP$1,$BP27,IF($A$8=$BQ$1,$BQ27,IF($A$8=$BR$1,$BR27,IF($A$8=$BS$1,$BS27,IF($A$8=$BT$1,$BT27,IF($A$8=$BU$1,$BU27,IF($A$8="",INDEX(Tiere!$BN$2:$BN$153,_xlfn.AGGREGATE(15,6,(ROW(Tiere!$BN$2:$BN$153)-1)/(--(SEARCH(AQ$2,Tiere!$BN$2:$BN$153)&gt;0)),ROW()-2),1))))))))),"")</f>
        <v>Milchkühe (6000 kg Milch) - Mist/Jauche</v>
      </c>
      <c r="AQ28" s="1599"/>
      <c r="AR28" s="1624" t="str">
        <f>IFERROR(IF($A$9=$BO$1,$BO27,IF($A$9=$BP$1,$BP27,IF($A$9=$BQ$1,$BQ27,IF($A$9=$BR$1,$BR27,IF($A$9=$BS$1,$BS27,IF($A$9=$BT$1,$BT27,IF($A$9=$BU$1,$BU27,IF($A$9="",INDEX(Tiere!$BN$2:$BN$153,_xlfn.AGGREGATE(15,6,(ROW(Tiere!$BN$2:$BN$153)-1)/(--(SEARCH(AS$2,Tiere!$BN$2:$BN$153)&gt;0)),ROW()-2),1))))))))),"")</f>
        <v>Milchkühe (6000 kg Milch) - Mist/Jauche</v>
      </c>
      <c r="AS28" s="1599"/>
      <c r="AT28" s="1624" t="str">
        <f>IFERROR(IF($A$10=$BO$1,$BO27,IF($A$10=$BP$1,$BP27,IF($A$10=$BQ$1,$BQ27,IF($A$10=$BR$1,$BR27,IF($A$10=$BS$1,$BS27,IF($A$10=$BT$1,$BT27,IF($A$10=$BU$1,$BU27,IF($A$10="",INDEX(Tiere!$BN$2:$BN$153,_xlfn.AGGREGATE(15,6,(ROW(Tiere!$BN$2:$BN$153)-1)/(--(SEARCH(AU$2,Tiere!$BN$2:$BN$153)&gt;0)),ROW()-2),1))))))))),"")</f>
        <v>Milchkühe (6000 kg Milch) - Mist/Jauche</v>
      </c>
      <c r="AU28" s="1599"/>
      <c r="AV28" s="1624" t="str">
        <f>IFERROR(IF($A$11=$BO$1,$BO27,IF($A$11=$BP$1,$BP27,IF($A$11=$BQ$1,$BQ27,IF($A$11=$BR$1,$BR27,IF($A$11=$BS$1,$BS27,IF($A$11=$BT$1,$BT27,IF($A$11=$BU$1,$BU27,IF($A$11="",INDEX(Tiere!$BN$2:$BN$153,_xlfn.AGGREGATE(15,6,(ROW(Tiere!$BN$2:$BN$153)-1)/(--(SEARCH(AW$2,Tiere!$BN$2:$BN$153)&gt;0)),ROW()-2),1))))))))),"")</f>
        <v>Milchkühe (6000 kg Milch) - Mist/Jauche</v>
      </c>
      <c r="AW28" s="1599"/>
      <c r="AX28" s="1624" t="str">
        <f>IFERROR(IF($A$12=$BO$1,$BO27,IF($A$12=$BP$1,$BP27,IF($A$12=$BQ$1,$BQ27,IF($A$12=$BR$1,$BR27,IF($A$12=$BS$1,$BS27,IF($A$12=$BT$1,$BT27,IF($A$12=$BU$1,$BU27,IF($A$12="",INDEX(Tiere!$BN$2:$BN$153,_xlfn.AGGREGATE(15,6,(ROW(Tiere!$BN$2:$BN$153)-1)/(--(SEARCH(AY$2,Tiere!$BN$2:$BN$153)&gt;0)),ROW()-2),1))))))))),"")</f>
        <v>Milchkühe (6000 kg Milch) - Mist/Jauche</v>
      </c>
      <c r="AY28" s="1599"/>
      <c r="AZ28" s="1624" t="str">
        <f>IFERROR(IF($A$13=$BO$1,$BO27,IF($A$13=$BP$1,$BP27,IF($A$13=$BQ$1,$BQ27,IF($A$13=$BR$1,$BR27,IF($A$13=$BS$1,$BS27,IF($A$13=$BT$1,$BT27,IF($A$13=$BU$1,$BU27,IF($A$13="",INDEX(Tiere!$BN$2:$BN$153,_xlfn.AGGREGATE(15,6,(ROW(Tiere!$BN$2:$BN$153)-1)/(--(SEARCH(BA$2,Tiere!$BN$2:$BN$153)&gt;0)),ROW()-2),1))))))))),"")</f>
        <v>Milchkühe (6000 kg Milch) - Mist/Jauche</v>
      </c>
      <c r="BA28" s="1599"/>
      <c r="BB28" s="1624" t="str">
        <f>IFERROR(IF($A$14=$BO$1,$BO27,IF($A$14=$BP$1,$BP27,IF($A$14=$BQ$1,$BQ27,IF($A$14=$BR$1,$BR27,IF($A$14=$BS$1,$BS27,IF($A$14=$BT$1,$BT27,IF($A$14=$BU$1,$BU27,IF($A$14="",INDEX(Tiere!$BN$2:$BN$153,_xlfn.AGGREGATE(15,6,(ROW(Tiere!$BN$2:$BN$153)-1)/(--(SEARCH(BC$2,Tiere!$BN$2:$BN$153)&gt;0)),ROW()-2),1))))))))),"")</f>
        <v>Milchkühe (6000 kg Milch) - Mist/Jauche</v>
      </c>
      <c r="BC28" s="1599"/>
      <c r="BD28" s="1624" t="str">
        <f>IFERROR(IF($A$15=$BO$1,$BO27,IF($A$15=$BP$1,$BP27,IF($A$15=$BQ$1,$BQ27,IF($A$15=$BR$1,$BR27,IF($A$15=$BS$1,$BS27,IF($A$15=$BT$1,$BT27,IF($A$15=$BU$1,$BU27,IF($A$15="",INDEX(Tiere!$BN$2:$BN$153,_xlfn.AGGREGATE(15,6,(ROW(Tiere!$BN$2:$BN$153)-1)/(--(SEARCH(BE$2,Tiere!$BN$2:$BN$153)&gt;0)),ROW()-2),1))))))))),"")</f>
        <v>Milchkühe (6000 kg Milch) - Mist/Jauche</v>
      </c>
      <c r="BE28" s="1599"/>
      <c r="BF28" s="1624" t="str">
        <f>IFERROR(IF($A$16=$BO$1,$BO27,IF($A$16=$BP$1,$BP27,IF($A$16=$BQ$1,$BQ27,IF($A$16=$BR$1,$BR27,IF($A$16=$BS$1,$BS27,IF($A$16=$BT$1,$BT27,IF($A$16=$BU$1,$BU27,IF($A$16="",INDEX(Tiere!$BN$2:$BN$153,_xlfn.AGGREGATE(15,6,(ROW(Tiere!$BN$2:$BN$153)-1)/(--(SEARCH(BG$2,Tiere!$BN$2:$BN$153)&gt;0)),ROW()-2),1))))))))),"")</f>
        <v>Milchkühe (6000 kg Milch) - Mist/Jauche</v>
      </c>
      <c r="BG28" s="1599"/>
      <c r="BH28" s="1624" t="str">
        <f>IFERROR(IF($A$17=$BO$1,$BO27,IF($A$17=$BP$1,$BP27,IF($A$17=$BQ$1,$BQ27,IF($A$17=$BR$1,$BR27,IF($A$17=$BS$1,$BS27,IF($A$17=$BT$1,$BT27,IF($A$17=$BU$1,$BU27,IF($A$17="",INDEX(Tiere!$BN$2:$BN$153,_xlfn.AGGREGATE(15,6,(ROW(Tiere!$BN$2:$BN$153)-1)/(--(SEARCH(BI$2,Tiere!$BN$2:$BN$153)&gt;0)),ROW()-2),1))))))))),"")</f>
        <v>Milchkühe (6000 kg Milch) - Mist/Jauche</v>
      </c>
      <c r="BI28" s="1599"/>
      <c r="BJ28" s="1624" t="str">
        <f>IFERROR(IF($A$18=$BO$1,$BO27,IF($A$18=$BP$1,$BP27,IF($A$18=$BQ$1,$BQ27,IF($A$18=$BR$1,$BR27,IF($A$18=$BS$1,$BS27,IF($A$18=$BT$1,$BT27,IF($A$18=$BU$1,$BU27,IF($A$18="",INDEX(Tiere!$BN$2:$BN$153,_xlfn.AGGREGATE(15,6,(ROW(Tiere!$BN$2:$BN$153)-1)/(--(SEARCH(BK$2,Tiere!$BN$2:$BN$153)&gt;0)),ROW()-2),1))))))))),"")</f>
        <v>Milchkühe (6000 kg Milch) - Mist/Jauche</v>
      </c>
      <c r="BK28" s="1599"/>
      <c r="BL28" s="1624" t="str">
        <f>IFERROR(IF($A$19=$BO$1,$BO27,IF($A$19=$BP$1,$BP27,IF($A$19=$BQ$1,$BQ27,IF($A$19=$BR$1,$BR27,IF($A$19=$BS$1,$BS27,IF($A$19=$BT$1,$BT27,IF($A$19=$BU$1,$BU27,IF($A$19="",INDEX(Tiere!$BN$2:$BN$153,_xlfn.AGGREGATE(15,6,(ROW(Tiere!$BN$2:$BN$153)-1)/(--(SEARCH(BM$2,Tiere!$BN$2:$BN$153)&gt;0)),ROW()-2),1))))))))),"")</f>
        <v>Milchkühe (6000 kg Milch) - Mist/Jauche</v>
      </c>
      <c r="BM28" s="1599"/>
      <c r="BN28" s="1630" t="s">
        <v>631</v>
      </c>
      <c r="BO28" s="1599" t="s">
        <v>631</v>
      </c>
      <c r="BP28" s="1599" t="s">
        <v>2391</v>
      </c>
      <c r="BQ28" s="1599"/>
      <c r="BR28" s="1599"/>
      <c r="BS28" s="1599"/>
      <c r="BT28" s="1599"/>
      <c r="BU28" s="1599" t="s">
        <v>824</v>
      </c>
      <c r="CD28" s="1911" t="s">
        <v>631</v>
      </c>
    </row>
    <row r="29" spans="1:82" ht="18" customHeight="1" thickBot="1">
      <c r="A29" s="2638" t="s">
        <v>939</v>
      </c>
      <c r="B29" s="2638"/>
      <c r="C29" s="2638"/>
      <c r="D29" s="2638"/>
      <c r="E29" s="2638"/>
      <c r="F29" s="2638"/>
      <c r="G29" s="936"/>
      <c r="H29" s="936">
        <f>Tabelle1!CG20</f>
        <v>0</v>
      </c>
      <c r="I29" s="936">
        <f>Tabelle1!CG21</f>
        <v>0</v>
      </c>
      <c r="J29" s="936">
        <f>Tabelle1!CG22</f>
        <v>0</v>
      </c>
      <c r="K29" s="936">
        <f>Tabelle1!CS22</f>
        <v>0</v>
      </c>
      <c r="L29" s="936">
        <f>Tabelle1!CX22</f>
        <v>0</v>
      </c>
      <c r="N29" s="437"/>
      <c r="O29" s="437"/>
      <c r="P29" s="437"/>
      <c r="Q29" s="437"/>
      <c r="R29" s="437"/>
      <c r="S29" s="437"/>
      <c r="T29" s="437"/>
      <c r="U29" s="437"/>
      <c r="V29" s="437"/>
      <c r="W29" s="437"/>
      <c r="X29" s="437"/>
      <c r="Y29" s="438"/>
      <c r="Z29" s="404" t="s">
        <v>346</v>
      </c>
      <c r="AA29" s="267"/>
      <c r="AB29" s="267"/>
      <c r="AC29" s="267"/>
      <c r="AD29" s="267"/>
      <c r="AE29" s="267"/>
      <c r="AH29" s="1602"/>
      <c r="AJ29" s="1624" t="str">
        <f>IFERROR(IF($A$5=$BO$1,$BO28,IF($A$5=$BP$1,$BP28,IF($A$5=$BQ$1,$BQ28,IF($A$5=$BR$1,$BR28,IF($A$5=$BS$1,$BS28,IF($A$5=$BT$1,$BT28,IF($A$5=$BU$1,$BU28,IF($A$5="",INDEX(Tiere!$BN$2:$BN$153,_xlfn.AGGREGATE(15,6,(ROW(Tiere!$BN$2:$BN$153)-1)/(--(SEARCH(AK$2,Tiere!$BN$2:$BN$153)&gt;0)),ROW()-2),1))))))))),"")</f>
        <v>Milchkühe (6000 kg Milch) - Tiefstallmist</v>
      </c>
      <c r="AK29" s="1601"/>
      <c r="AL29" s="1624" t="str">
        <f>IFERROR(IF($A$6=$BO$1,$BO28,IF($A$6=$BP$1,$BP28,IF($A$6=$BQ$1,$BQ28,IF($A$6=$BR$1,$BR28,IF($A$6=$BS$1,$BS28,IF($A$6=$BT$1,$BT28,IF($A$6=$BU$1,$BU28,IF($A$6="",INDEX(Tiere!$BN$2:$BN$153,_xlfn.AGGREGATE(15,6,(ROW(Tiere!$BN$2:$BN$153)-1)/(--(SEARCH(AM$2,Tiere!$BN$2:$BN$153)&gt;0)),ROW()-2),1))))))))),"")</f>
        <v>Milchkühe (6000 kg Milch) - Tiefstallmist</v>
      </c>
      <c r="AM29" s="1601"/>
      <c r="AN29" s="1624" t="str">
        <f>IFERROR(IF($A$7=$BO$1,$BO28,IF($A$7=$BP$1,$BP28,IF($A$7=$BQ$1,$BQ28,IF($A$7=$BR$1,$BR28,IF($A$7=$BS$1,$BS28,IF($A$7=$BT$1,$BT28,IF($A$7=$BU$1,$BU28,IF($A$7="",INDEX(Tiere!$BN$2:$BN$153,_xlfn.AGGREGATE(15,6,(ROW(Tiere!$BN$2:$BN$153)-1)/(--(SEARCH(AM$2,Tiere!$BN$2:$BN$153)&gt;0)),ROW()-2),1))))))))),"")</f>
        <v>Milchkühe (6000 kg Milch) - Tiefstallmist</v>
      </c>
      <c r="AO29" s="1601"/>
      <c r="AP29" s="1624" t="str">
        <f>IFERROR(IF($A$8=$BO$1,$BO28,IF($A$8=$BP$1,$BP28,IF($A$8=$BQ$1,$BQ28,IF($A$8=$BR$1,$BR28,IF($A$8=$BS$1,$BS28,IF($A$8=$BT$1,$BT28,IF($A$8=$BU$1,$BU28,IF($A$8="",INDEX(Tiere!$BN$2:$BN$153,_xlfn.AGGREGATE(15,6,(ROW(Tiere!$BN$2:$BN$153)-1)/(--(SEARCH(AQ$2,Tiere!$BN$2:$BN$153)&gt;0)),ROW()-2),1))))))))),"")</f>
        <v>Milchkühe (6000 kg Milch) - Tiefstallmist</v>
      </c>
      <c r="AQ29" s="1601"/>
      <c r="AR29" s="1624" t="str">
        <f>IFERROR(IF($A$9=$BO$1,$BO28,IF($A$9=$BP$1,$BP28,IF($A$9=$BQ$1,$BQ28,IF($A$9=$BR$1,$BR28,IF($A$9=$BS$1,$BS28,IF($A$9=$BT$1,$BT28,IF($A$9=$BU$1,$BU28,IF($A$9="",INDEX(Tiere!$BN$2:$BN$153,_xlfn.AGGREGATE(15,6,(ROW(Tiere!$BN$2:$BN$153)-1)/(--(SEARCH(AS$2,Tiere!$BN$2:$BN$153)&gt;0)),ROW()-2),1))))))))),"")</f>
        <v>Milchkühe (6000 kg Milch) - Tiefstallmist</v>
      </c>
      <c r="AS29" s="1601"/>
      <c r="AT29" s="1624" t="str">
        <f>IFERROR(IF($A$10=$BO$1,$BO28,IF($A$10=$BP$1,$BP28,IF($A$10=$BQ$1,$BQ28,IF($A$10=$BR$1,$BR28,IF($A$10=$BS$1,$BS28,IF($A$10=$BT$1,$BT28,IF($A$10=$BU$1,$BU28,IF($A$10="",INDEX(Tiere!$BN$2:$BN$153,_xlfn.AGGREGATE(15,6,(ROW(Tiere!$BN$2:$BN$153)-1)/(--(SEARCH(AU$2,Tiere!$BN$2:$BN$153)&gt;0)),ROW()-2),1))))))))),"")</f>
        <v>Milchkühe (6000 kg Milch) - Tiefstallmist</v>
      </c>
      <c r="AU29" s="1601"/>
      <c r="AV29" s="1624" t="str">
        <f>IFERROR(IF($A$11=$BO$1,$BO28,IF($A$11=$BP$1,$BP28,IF($A$11=$BQ$1,$BQ28,IF($A$11=$BR$1,$BR28,IF($A$11=$BS$1,$BS28,IF($A$11=$BT$1,$BT28,IF($A$11=$BU$1,$BU28,IF($A$11="",INDEX(Tiere!$BN$2:$BN$153,_xlfn.AGGREGATE(15,6,(ROW(Tiere!$BN$2:$BN$153)-1)/(--(SEARCH(AW$2,Tiere!$BN$2:$BN$153)&gt;0)),ROW()-2),1))))))))),"")</f>
        <v>Milchkühe (6000 kg Milch) - Tiefstallmist</v>
      </c>
      <c r="AW29" s="1601"/>
      <c r="AX29" s="1624" t="str">
        <f>IFERROR(IF($A$12=$BO$1,$BO28,IF($A$12=$BP$1,$BP28,IF($A$12=$BQ$1,$BQ28,IF($A$12=$BR$1,$BR28,IF($A$12=$BS$1,$BS28,IF($A$12=$BT$1,$BT28,IF($A$12=$BU$1,$BU28,IF($A$12="",INDEX(Tiere!$BN$2:$BN$153,_xlfn.AGGREGATE(15,6,(ROW(Tiere!$BN$2:$BN$153)-1)/(--(SEARCH(AY$2,Tiere!$BN$2:$BN$153)&gt;0)),ROW()-2),1))))))))),"")</f>
        <v>Milchkühe (6000 kg Milch) - Tiefstallmist</v>
      </c>
      <c r="AY29" s="1601"/>
      <c r="AZ29" s="1624" t="str">
        <f>IFERROR(IF($A$13=$BO$1,$BO28,IF($A$13=$BP$1,$BP28,IF($A$13=$BQ$1,$BQ28,IF($A$13=$BR$1,$BR28,IF($A$13=$BS$1,$BS28,IF($A$13=$BT$1,$BT28,IF($A$13=$BU$1,$BU28,IF($A$13="",INDEX(Tiere!$BN$2:$BN$153,_xlfn.AGGREGATE(15,6,(ROW(Tiere!$BN$2:$BN$153)-1)/(--(SEARCH(BA$2,Tiere!$BN$2:$BN$153)&gt;0)),ROW()-2),1))))))))),"")</f>
        <v>Milchkühe (6000 kg Milch) - Tiefstallmist</v>
      </c>
      <c r="BA29" s="1601"/>
      <c r="BB29" s="1624" t="str">
        <f>IFERROR(IF($A$14=$BO$1,$BO28,IF($A$14=$BP$1,$BP28,IF($A$14=$BQ$1,$BQ28,IF($A$14=$BR$1,$BR28,IF($A$14=$BS$1,$BS28,IF($A$14=$BT$1,$BT28,IF($A$14=$BU$1,$BU28,IF($A$14="",INDEX(Tiere!$BN$2:$BN$153,_xlfn.AGGREGATE(15,6,(ROW(Tiere!$BN$2:$BN$153)-1)/(--(SEARCH(BC$2,Tiere!$BN$2:$BN$153)&gt;0)),ROW()-2),1))))))))),"")</f>
        <v>Milchkühe (6000 kg Milch) - Tiefstallmist</v>
      </c>
      <c r="BC29" s="1601"/>
      <c r="BD29" s="1624" t="str">
        <f>IFERROR(IF($A$15=$BO$1,$BO28,IF($A$15=$BP$1,$BP28,IF($A$15=$BQ$1,$BQ28,IF($A$15=$BR$1,$BR28,IF($A$15=$BS$1,$BS28,IF($A$15=$BT$1,$BT28,IF($A$15=$BU$1,$BU28,IF($A$15="",INDEX(Tiere!$BN$2:$BN$153,_xlfn.AGGREGATE(15,6,(ROW(Tiere!$BN$2:$BN$153)-1)/(--(SEARCH(BE$2,Tiere!$BN$2:$BN$153)&gt;0)),ROW()-2),1))))))))),"")</f>
        <v>Milchkühe (6000 kg Milch) - Tiefstallmist</v>
      </c>
      <c r="BE29" s="1601"/>
      <c r="BF29" s="1624" t="str">
        <f>IFERROR(IF($A$16=$BO$1,$BO28,IF($A$16=$BP$1,$BP28,IF($A$16=$BQ$1,$BQ28,IF($A$16=$BR$1,$BR28,IF($A$16=$BS$1,$BS28,IF($A$16=$BT$1,$BT28,IF($A$16=$BU$1,$BU28,IF($A$16="",INDEX(Tiere!$BN$2:$BN$153,_xlfn.AGGREGATE(15,6,(ROW(Tiere!$BN$2:$BN$153)-1)/(--(SEARCH(BG$2,Tiere!$BN$2:$BN$153)&gt;0)),ROW()-2),1))))))))),"")</f>
        <v>Milchkühe (6000 kg Milch) - Tiefstallmist</v>
      </c>
      <c r="BG29" s="1601"/>
      <c r="BH29" s="1624" t="str">
        <f>IFERROR(IF($A$17=$BO$1,$BO28,IF($A$17=$BP$1,$BP28,IF($A$17=$BQ$1,$BQ28,IF($A$17=$BR$1,$BR28,IF($A$17=$BS$1,$BS28,IF($A$17=$BT$1,$BT28,IF($A$17=$BU$1,$BU28,IF($A$17="",INDEX(Tiere!$BN$2:$BN$153,_xlfn.AGGREGATE(15,6,(ROW(Tiere!$BN$2:$BN$153)-1)/(--(SEARCH(BI$2,Tiere!$BN$2:$BN$153)&gt;0)),ROW()-2),1))))))))),"")</f>
        <v>Milchkühe (6000 kg Milch) - Tiefstallmist</v>
      </c>
      <c r="BI29" s="1601"/>
      <c r="BJ29" s="1624" t="str">
        <f>IFERROR(IF($A$18=$BO$1,$BO28,IF($A$18=$BP$1,$BP28,IF($A$18=$BQ$1,$BQ28,IF($A$18=$BR$1,$BR28,IF($A$18=$BS$1,$BS28,IF($A$18=$BT$1,$BT28,IF($A$18=$BU$1,$BU28,IF($A$18="",INDEX(Tiere!$BN$2:$BN$153,_xlfn.AGGREGATE(15,6,(ROW(Tiere!$BN$2:$BN$153)-1)/(--(SEARCH(BK$2,Tiere!$BN$2:$BN$153)&gt;0)),ROW()-2),1))))))))),"")</f>
        <v>Milchkühe (6000 kg Milch) - Tiefstallmist</v>
      </c>
      <c r="BK29" s="1601"/>
      <c r="BL29" s="1624" t="str">
        <f>IFERROR(IF($A$19=$BO$1,$BO28,IF($A$19=$BP$1,$BP28,IF($A$19=$BQ$1,$BQ28,IF($A$19=$BR$1,$BR28,IF($A$19=$BS$1,$BS28,IF($A$19=$BT$1,$BT28,IF($A$19=$BU$1,$BU28,IF($A$19="",INDEX(Tiere!$BN$2:$BN$153,_xlfn.AGGREGATE(15,6,(ROW(Tiere!$BN$2:$BN$153)-1)/(--(SEARCH(BM$2,Tiere!$BN$2:$BN$153)&gt;0)),ROW()-2),1))))))))),"")</f>
        <v>Milchkühe (6000 kg Milch) - Tiefstallmist</v>
      </c>
      <c r="BM29" s="1601"/>
      <c r="BN29" s="1630" t="s">
        <v>635</v>
      </c>
      <c r="BO29" s="1599" t="s">
        <v>635</v>
      </c>
      <c r="BP29" s="1599" t="s">
        <v>735</v>
      </c>
      <c r="BQ29" s="1599"/>
      <c r="BR29" s="1599"/>
      <c r="BS29" s="1599"/>
      <c r="BT29" s="1599"/>
      <c r="BU29" s="1599" t="s">
        <v>825</v>
      </c>
      <c r="CD29" s="1911" t="s">
        <v>635</v>
      </c>
    </row>
    <row r="30" spans="1:82" ht="16.5" customHeight="1" thickBot="1">
      <c r="A30" s="438"/>
      <c r="B30" s="437"/>
      <c r="C30" s="437"/>
      <c r="D30" s="437"/>
      <c r="E30" s="437"/>
      <c r="F30" s="437"/>
      <c r="G30" s="437"/>
      <c r="H30" s="437"/>
      <c r="I30" s="437"/>
      <c r="J30" s="437"/>
      <c r="K30" s="437"/>
      <c r="L30" s="442"/>
      <c r="M30" s="437"/>
      <c r="N30" s="437"/>
      <c r="O30" s="437"/>
      <c r="P30" s="438"/>
      <c r="Q30" s="438"/>
      <c r="R30" s="438"/>
      <c r="S30" s="438"/>
      <c r="T30" s="438"/>
      <c r="U30" s="438"/>
      <c r="V30" s="438"/>
      <c r="W30" s="438"/>
      <c r="X30" s="438"/>
      <c r="Y30" s="438"/>
      <c r="Z30" s="2664" t="s">
        <v>345</v>
      </c>
      <c r="AA30" s="403"/>
      <c r="AB30" s="403"/>
      <c r="AC30" s="403"/>
      <c r="AD30" s="403"/>
      <c r="AE30" s="403"/>
      <c r="AH30" s="1602"/>
      <c r="AJ30" s="1624" t="str">
        <f>IFERROR(IF($A$5=$BO$1,$BO29,IF($A$5=$BP$1,$BP29,IF($A$5=$BQ$1,$BQ29,IF($A$5=$BR$1,$BR29,IF($A$5=$BS$1,$BS29,IF($A$5=$BT$1,$BT29,IF($A$5=$BU$1,$BU29,IF($A$5="",INDEX(Tiere!$BN$2:$BN$153,_xlfn.AGGREGATE(15,6,(ROW(Tiere!$BN$2:$BN$153)-1)/(--(SEARCH(AK$2,Tiere!$BN$2:$BN$153)&gt;0)),ROW()-2),1))))))))),"")</f>
        <v>Milchkühe (7000 kg Milch) - Gülle</v>
      </c>
      <c r="AK30" s="1599"/>
      <c r="AL30" s="1624" t="str">
        <f>IFERROR(IF($A$6=$BO$1,$BO29,IF($A$6=$BP$1,$BP29,IF($A$6=$BQ$1,$BQ29,IF($A$6=$BR$1,$BR29,IF($A$6=$BS$1,$BS29,IF($A$6=$BT$1,$BT29,IF($A$6=$BU$1,$BU29,IF($A$6="",INDEX(Tiere!$BN$2:$BN$153,_xlfn.AGGREGATE(15,6,(ROW(Tiere!$BN$2:$BN$153)-1)/(--(SEARCH(AM$2,Tiere!$BN$2:$BN$153)&gt;0)),ROW()-2),1))))))))),"")</f>
        <v>Milchkühe (7000 kg Milch) - Gülle</v>
      </c>
      <c r="AM30" s="1599"/>
      <c r="AN30" s="1624" t="str">
        <f>IFERROR(IF($A$7=$BO$1,$BO29,IF($A$7=$BP$1,$BP29,IF($A$7=$BQ$1,$BQ29,IF($A$7=$BR$1,$BR29,IF($A$7=$BS$1,$BS29,IF($A$7=$BT$1,$BT29,IF($A$7=$BU$1,$BU29,IF($A$7="",INDEX(Tiere!$BN$2:$BN$153,_xlfn.AGGREGATE(15,6,(ROW(Tiere!$BN$2:$BN$153)-1)/(--(SEARCH(AM$2,Tiere!$BN$2:$BN$153)&gt;0)),ROW()-2),1))))))))),"")</f>
        <v>Milchkühe (7000 kg Milch) - Gülle</v>
      </c>
      <c r="AO30" s="1599"/>
      <c r="AP30" s="1624" t="str">
        <f>IFERROR(IF($A$8=$BO$1,$BO29,IF($A$8=$BP$1,$BP29,IF($A$8=$BQ$1,$BQ29,IF($A$8=$BR$1,$BR29,IF($A$8=$BS$1,$BS29,IF($A$8=$BT$1,$BT29,IF($A$8=$BU$1,$BU29,IF($A$8="",INDEX(Tiere!$BN$2:$BN$153,_xlfn.AGGREGATE(15,6,(ROW(Tiere!$BN$2:$BN$153)-1)/(--(SEARCH(AQ$2,Tiere!$BN$2:$BN$153)&gt;0)),ROW()-2),1))))))))),"")</f>
        <v>Milchkühe (7000 kg Milch) - Gülle</v>
      </c>
      <c r="AQ30" s="1599"/>
      <c r="AR30" s="1624" t="str">
        <f>IFERROR(IF($A$9=$BO$1,$BO29,IF($A$9=$BP$1,$BP29,IF($A$9=$BQ$1,$BQ29,IF($A$9=$BR$1,$BR29,IF($A$9=$BS$1,$BS29,IF($A$9=$BT$1,$BT29,IF($A$9=$BU$1,$BU29,IF($A$9="",INDEX(Tiere!$BN$2:$BN$153,_xlfn.AGGREGATE(15,6,(ROW(Tiere!$BN$2:$BN$153)-1)/(--(SEARCH(AS$2,Tiere!$BN$2:$BN$153)&gt;0)),ROW()-2),1))))))))),"")</f>
        <v>Milchkühe (7000 kg Milch) - Gülle</v>
      </c>
      <c r="AS30" s="1599"/>
      <c r="AT30" s="1624" t="str">
        <f>IFERROR(IF($A$10=$BO$1,$BO29,IF($A$10=$BP$1,$BP29,IF($A$10=$BQ$1,$BQ29,IF($A$10=$BR$1,$BR29,IF($A$10=$BS$1,$BS29,IF($A$10=$BT$1,$BT29,IF($A$10=$BU$1,$BU29,IF($A$10="",INDEX(Tiere!$BN$2:$BN$153,_xlfn.AGGREGATE(15,6,(ROW(Tiere!$BN$2:$BN$153)-1)/(--(SEARCH(AU$2,Tiere!$BN$2:$BN$153)&gt;0)),ROW()-2),1))))))))),"")</f>
        <v>Milchkühe (7000 kg Milch) - Gülle</v>
      </c>
      <c r="AU30" s="1599"/>
      <c r="AV30" s="1624" t="str">
        <f>IFERROR(IF($A$11=$BO$1,$BO29,IF($A$11=$BP$1,$BP29,IF($A$11=$BQ$1,$BQ29,IF($A$11=$BR$1,$BR29,IF($A$11=$BS$1,$BS29,IF($A$11=$BT$1,$BT29,IF($A$11=$BU$1,$BU29,IF($A$11="",INDEX(Tiere!$BN$2:$BN$153,_xlfn.AGGREGATE(15,6,(ROW(Tiere!$BN$2:$BN$153)-1)/(--(SEARCH(AW$2,Tiere!$BN$2:$BN$153)&gt;0)),ROW()-2),1))))))))),"")</f>
        <v>Milchkühe (7000 kg Milch) - Gülle</v>
      </c>
      <c r="AW30" s="1599"/>
      <c r="AX30" s="1624" t="str">
        <f>IFERROR(IF($A$12=$BO$1,$BO29,IF($A$12=$BP$1,$BP29,IF($A$12=$BQ$1,$BQ29,IF($A$12=$BR$1,$BR29,IF($A$12=$BS$1,$BS29,IF($A$12=$BT$1,$BT29,IF($A$12=$BU$1,$BU29,IF($A$12="",INDEX(Tiere!$BN$2:$BN$153,_xlfn.AGGREGATE(15,6,(ROW(Tiere!$BN$2:$BN$153)-1)/(--(SEARCH(AY$2,Tiere!$BN$2:$BN$153)&gt;0)),ROW()-2),1))))))))),"")</f>
        <v>Milchkühe (7000 kg Milch) - Gülle</v>
      </c>
      <c r="AY30" s="1599"/>
      <c r="AZ30" s="1624" t="str">
        <f>IFERROR(IF($A$13=$BO$1,$BO29,IF($A$13=$BP$1,$BP29,IF($A$13=$BQ$1,$BQ29,IF($A$13=$BR$1,$BR29,IF($A$13=$BS$1,$BS29,IF($A$13=$BT$1,$BT29,IF($A$13=$BU$1,$BU29,IF($A$13="",INDEX(Tiere!$BN$2:$BN$153,_xlfn.AGGREGATE(15,6,(ROW(Tiere!$BN$2:$BN$153)-1)/(--(SEARCH(BA$2,Tiere!$BN$2:$BN$153)&gt;0)),ROW()-2),1))))))))),"")</f>
        <v>Milchkühe (7000 kg Milch) - Gülle</v>
      </c>
      <c r="BA30" s="1599"/>
      <c r="BB30" s="1624" t="str">
        <f>IFERROR(IF($A$14=$BO$1,$BO29,IF($A$14=$BP$1,$BP29,IF($A$14=$BQ$1,$BQ29,IF($A$14=$BR$1,$BR29,IF($A$14=$BS$1,$BS29,IF($A$14=$BT$1,$BT29,IF($A$14=$BU$1,$BU29,IF($A$14="",INDEX(Tiere!$BN$2:$BN$153,_xlfn.AGGREGATE(15,6,(ROW(Tiere!$BN$2:$BN$153)-1)/(--(SEARCH(BC$2,Tiere!$BN$2:$BN$153)&gt;0)),ROW()-2),1))))))))),"")</f>
        <v>Milchkühe (7000 kg Milch) - Gülle</v>
      </c>
      <c r="BC30" s="1599"/>
      <c r="BD30" s="1624" t="str">
        <f>IFERROR(IF($A$15=$BO$1,$BO29,IF($A$15=$BP$1,$BP29,IF($A$15=$BQ$1,$BQ29,IF($A$15=$BR$1,$BR29,IF($A$15=$BS$1,$BS29,IF($A$15=$BT$1,$BT29,IF($A$15=$BU$1,$BU29,IF($A$15="",INDEX(Tiere!$BN$2:$BN$153,_xlfn.AGGREGATE(15,6,(ROW(Tiere!$BN$2:$BN$153)-1)/(--(SEARCH(BE$2,Tiere!$BN$2:$BN$153)&gt;0)),ROW()-2),1))))))))),"")</f>
        <v>Milchkühe (7000 kg Milch) - Gülle</v>
      </c>
      <c r="BE30" s="1599"/>
      <c r="BF30" s="1624" t="str">
        <f>IFERROR(IF($A$16=$BO$1,$BO29,IF($A$16=$BP$1,$BP29,IF($A$16=$BQ$1,$BQ29,IF($A$16=$BR$1,$BR29,IF($A$16=$BS$1,$BS29,IF($A$16=$BT$1,$BT29,IF($A$16=$BU$1,$BU29,IF($A$16="",INDEX(Tiere!$BN$2:$BN$153,_xlfn.AGGREGATE(15,6,(ROW(Tiere!$BN$2:$BN$153)-1)/(--(SEARCH(BG$2,Tiere!$BN$2:$BN$153)&gt;0)),ROW()-2),1))))))))),"")</f>
        <v>Milchkühe (7000 kg Milch) - Gülle</v>
      </c>
      <c r="BG30" s="1599"/>
      <c r="BH30" s="1624" t="str">
        <f>IFERROR(IF($A$17=$BO$1,$BO29,IF($A$17=$BP$1,$BP29,IF($A$17=$BQ$1,$BQ29,IF($A$17=$BR$1,$BR29,IF($A$17=$BS$1,$BS29,IF($A$17=$BT$1,$BT29,IF($A$17=$BU$1,$BU29,IF($A$17="",INDEX(Tiere!$BN$2:$BN$153,_xlfn.AGGREGATE(15,6,(ROW(Tiere!$BN$2:$BN$153)-1)/(--(SEARCH(BI$2,Tiere!$BN$2:$BN$153)&gt;0)),ROW()-2),1))))))))),"")</f>
        <v>Milchkühe (7000 kg Milch) - Gülle</v>
      </c>
      <c r="BI30" s="1599"/>
      <c r="BJ30" s="1624" t="str">
        <f>IFERROR(IF($A$18=$BO$1,$BO29,IF($A$18=$BP$1,$BP29,IF($A$18=$BQ$1,$BQ29,IF($A$18=$BR$1,$BR29,IF($A$18=$BS$1,$BS29,IF($A$18=$BT$1,$BT29,IF($A$18=$BU$1,$BU29,IF($A$18="",INDEX(Tiere!$BN$2:$BN$153,_xlfn.AGGREGATE(15,6,(ROW(Tiere!$BN$2:$BN$153)-1)/(--(SEARCH(BK$2,Tiere!$BN$2:$BN$153)&gt;0)),ROW()-2),1))))))))),"")</f>
        <v>Milchkühe (7000 kg Milch) - Gülle</v>
      </c>
      <c r="BK30" s="1599"/>
      <c r="BL30" s="1624" t="str">
        <f>IFERROR(IF($A$19=$BO$1,$BO29,IF($A$19=$BP$1,$BP29,IF($A$19=$BQ$1,$BQ29,IF($A$19=$BR$1,$BR29,IF($A$19=$BS$1,$BS29,IF($A$19=$BT$1,$BT29,IF($A$19=$BU$1,$BU29,IF($A$19="",INDEX(Tiere!$BN$2:$BN$153,_xlfn.AGGREGATE(15,6,(ROW(Tiere!$BN$2:$BN$153)-1)/(--(SEARCH(BM$2,Tiere!$BN$2:$BN$153)&gt;0)),ROW()-2),1))))))))),"")</f>
        <v>Milchkühe (7000 kg Milch) - Gülle</v>
      </c>
      <c r="BM30" s="1599"/>
      <c r="BN30" s="1630" t="s">
        <v>639</v>
      </c>
      <c r="BO30" s="1599" t="s">
        <v>639</v>
      </c>
      <c r="BP30" s="1599" t="s">
        <v>737</v>
      </c>
      <c r="BQ30" s="1599"/>
      <c r="BR30" s="1599"/>
      <c r="BS30" s="1599"/>
      <c r="BT30" s="1599"/>
      <c r="BU30" s="1599" t="s">
        <v>826</v>
      </c>
      <c r="CD30" s="1911" t="s">
        <v>639</v>
      </c>
    </row>
    <row r="31" spans="1:82" ht="20.25" customHeight="1" thickBot="1">
      <c r="A31" s="1049" t="s">
        <v>940</v>
      </c>
      <c r="B31" s="1049"/>
      <c r="C31" s="1050"/>
      <c r="D31" s="1050"/>
      <c r="E31" s="1050"/>
      <c r="F31" s="1050" t="s">
        <v>941</v>
      </c>
      <c r="G31" s="1050"/>
      <c r="H31" s="1049"/>
      <c r="I31" s="1051"/>
      <c r="J31" s="1051"/>
      <c r="L31" s="442"/>
      <c r="M31" s="1049" t="s">
        <v>942</v>
      </c>
      <c r="N31" s="1052"/>
      <c r="O31" s="1052"/>
      <c r="P31" s="1053"/>
      <c r="Q31" s="1054"/>
      <c r="R31" s="1050" t="s">
        <v>371</v>
      </c>
      <c r="S31" s="1055"/>
      <c r="T31" s="1055"/>
      <c r="U31" s="1055"/>
      <c r="V31" s="1055"/>
      <c r="W31" s="1055"/>
      <c r="X31" s="1055"/>
      <c r="Y31" s="438"/>
      <c r="Z31" s="2664"/>
      <c r="AA31" s="403"/>
      <c r="AB31" s="403"/>
      <c r="AC31" s="403"/>
      <c r="AD31" s="403"/>
      <c r="AE31" s="403"/>
      <c r="AH31" s="1602"/>
      <c r="AJ31" s="1624" t="str">
        <f>IFERROR(IF($A$5=$BO$1,$BO30,IF($A$5=$BP$1,$BP30,IF($A$5=$BQ$1,$BQ30,IF($A$5=$BR$1,$BR30,IF($A$5=$BS$1,$BS30,IF($A$5=$BT$1,$BT30,IF($A$5=$BU$1,$BU30,IF($A$5="",INDEX(Tiere!$BN$2:$BN$153,_xlfn.AGGREGATE(15,6,(ROW(Tiere!$BN$2:$BN$153)-1)/(--(SEARCH(AK$2,Tiere!$BN$2:$BN$153)&gt;0)),ROW()-2),1))))))))),"")</f>
        <v>Milchkühe (7000 kg Milch) - Mist/Jauche</v>
      </c>
      <c r="AK31" s="1601"/>
      <c r="AL31" s="1624" t="str">
        <f>IFERROR(IF($A$6=$BO$1,$BO30,IF($A$6=$BP$1,$BP30,IF($A$6=$BQ$1,$BQ30,IF($A$6=$BR$1,$BR30,IF($A$6=$BS$1,$BS30,IF($A$6=$BT$1,$BT30,IF($A$6=$BU$1,$BU30,IF($A$6="",INDEX(Tiere!$BN$2:$BN$153,_xlfn.AGGREGATE(15,6,(ROW(Tiere!$BN$2:$BN$153)-1)/(--(SEARCH(AM$2,Tiere!$BN$2:$BN$153)&gt;0)),ROW()-2),1))))))))),"")</f>
        <v>Milchkühe (7000 kg Milch) - Mist/Jauche</v>
      </c>
      <c r="AM31" s="1601"/>
      <c r="AN31" s="1624" t="str">
        <f>IFERROR(IF($A$7=$BO$1,$BO30,IF($A$7=$BP$1,$BP30,IF($A$7=$BQ$1,$BQ30,IF($A$7=$BR$1,$BR30,IF($A$7=$BS$1,$BS30,IF($A$7=$BT$1,$BT30,IF($A$7=$BU$1,$BU30,IF($A$7="",INDEX(Tiere!$BN$2:$BN$153,_xlfn.AGGREGATE(15,6,(ROW(Tiere!$BN$2:$BN$153)-1)/(--(SEARCH(AM$2,Tiere!$BN$2:$BN$153)&gt;0)),ROW()-2),1))))))))),"")</f>
        <v>Milchkühe (7000 kg Milch) - Mist/Jauche</v>
      </c>
      <c r="AO31" s="1601"/>
      <c r="AP31" s="1624" t="str">
        <f>IFERROR(IF($A$8=$BO$1,$BO30,IF($A$8=$BP$1,$BP30,IF($A$8=$BQ$1,$BQ30,IF($A$8=$BR$1,$BR30,IF($A$8=$BS$1,$BS30,IF($A$8=$BT$1,$BT30,IF($A$8=$BU$1,$BU30,IF($A$8="",INDEX(Tiere!$BN$2:$BN$153,_xlfn.AGGREGATE(15,6,(ROW(Tiere!$BN$2:$BN$153)-1)/(--(SEARCH(AQ$2,Tiere!$BN$2:$BN$153)&gt;0)),ROW()-2),1))))))))),"")</f>
        <v>Milchkühe (7000 kg Milch) - Mist/Jauche</v>
      </c>
      <c r="AQ31" s="1601"/>
      <c r="AR31" s="1624" t="str">
        <f>IFERROR(IF($A$9=$BO$1,$BO30,IF($A$9=$BP$1,$BP30,IF($A$9=$BQ$1,$BQ30,IF($A$9=$BR$1,$BR30,IF($A$9=$BS$1,$BS30,IF($A$9=$BT$1,$BT30,IF($A$9=$BU$1,$BU30,IF($A$9="",INDEX(Tiere!$BN$2:$BN$153,_xlfn.AGGREGATE(15,6,(ROW(Tiere!$BN$2:$BN$153)-1)/(--(SEARCH(AS$2,Tiere!$BN$2:$BN$153)&gt;0)),ROW()-2),1))))))))),"")</f>
        <v>Milchkühe (7000 kg Milch) - Mist/Jauche</v>
      </c>
      <c r="AS31" s="1601"/>
      <c r="AT31" s="1624" t="str">
        <f>IFERROR(IF($A$10=$BO$1,$BO30,IF($A$10=$BP$1,$BP30,IF($A$10=$BQ$1,$BQ30,IF($A$10=$BR$1,$BR30,IF($A$10=$BS$1,$BS30,IF($A$10=$BT$1,$BT30,IF($A$10=$BU$1,$BU30,IF($A$10="",INDEX(Tiere!$BN$2:$BN$153,_xlfn.AGGREGATE(15,6,(ROW(Tiere!$BN$2:$BN$153)-1)/(--(SEARCH(AU$2,Tiere!$BN$2:$BN$153)&gt;0)),ROW()-2),1))))))))),"")</f>
        <v>Milchkühe (7000 kg Milch) - Mist/Jauche</v>
      </c>
      <c r="AU31" s="1601"/>
      <c r="AV31" s="1624" t="str">
        <f>IFERROR(IF($A$11=$BO$1,$BO30,IF($A$11=$BP$1,$BP30,IF($A$11=$BQ$1,$BQ30,IF($A$11=$BR$1,$BR30,IF($A$11=$BS$1,$BS30,IF($A$11=$BT$1,$BT30,IF($A$11=$BU$1,$BU30,IF($A$11="",INDEX(Tiere!$BN$2:$BN$153,_xlfn.AGGREGATE(15,6,(ROW(Tiere!$BN$2:$BN$153)-1)/(--(SEARCH(AW$2,Tiere!$BN$2:$BN$153)&gt;0)),ROW()-2),1))))))))),"")</f>
        <v>Milchkühe (7000 kg Milch) - Mist/Jauche</v>
      </c>
      <c r="AW31" s="1601"/>
      <c r="AX31" s="1624" t="str">
        <f>IFERROR(IF($A$12=$BO$1,$BO30,IF($A$12=$BP$1,$BP30,IF($A$12=$BQ$1,$BQ30,IF($A$12=$BR$1,$BR30,IF($A$12=$BS$1,$BS30,IF($A$12=$BT$1,$BT30,IF($A$12=$BU$1,$BU30,IF($A$12="",INDEX(Tiere!$BN$2:$BN$153,_xlfn.AGGREGATE(15,6,(ROW(Tiere!$BN$2:$BN$153)-1)/(--(SEARCH(AY$2,Tiere!$BN$2:$BN$153)&gt;0)),ROW()-2),1))))))))),"")</f>
        <v>Milchkühe (7000 kg Milch) - Mist/Jauche</v>
      </c>
      <c r="AY31" s="1601"/>
      <c r="AZ31" s="1624" t="str">
        <f>IFERROR(IF($A$13=$BO$1,$BO30,IF($A$13=$BP$1,$BP30,IF($A$13=$BQ$1,$BQ30,IF($A$13=$BR$1,$BR30,IF($A$13=$BS$1,$BS30,IF($A$13=$BT$1,$BT30,IF($A$13=$BU$1,$BU30,IF($A$13="",INDEX(Tiere!$BN$2:$BN$153,_xlfn.AGGREGATE(15,6,(ROW(Tiere!$BN$2:$BN$153)-1)/(--(SEARCH(BA$2,Tiere!$BN$2:$BN$153)&gt;0)),ROW()-2),1))))))))),"")</f>
        <v>Milchkühe (7000 kg Milch) - Mist/Jauche</v>
      </c>
      <c r="BA31" s="1601"/>
      <c r="BB31" s="1624" t="str">
        <f>IFERROR(IF($A$14=$BO$1,$BO30,IF($A$14=$BP$1,$BP30,IF($A$14=$BQ$1,$BQ30,IF($A$14=$BR$1,$BR30,IF($A$14=$BS$1,$BS30,IF($A$14=$BT$1,$BT30,IF($A$14=$BU$1,$BU30,IF($A$14="",INDEX(Tiere!$BN$2:$BN$153,_xlfn.AGGREGATE(15,6,(ROW(Tiere!$BN$2:$BN$153)-1)/(--(SEARCH(BC$2,Tiere!$BN$2:$BN$153)&gt;0)),ROW()-2),1))))))))),"")</f>
        <v>Milchkühe (7000 kg Milch) - Mist/Jauche</v>
      </c>
      <c r="BC31" s="1601"/>
      <c r="BD31" s="1624" t="str">
        <f>IFERROR(IF($A$15=$BO$1,$BO30,IF($A$15=$BP$1,$BP30,IF($A$15=$BQ$1,$BQ30,IF($A$15=$BR$1,$BR30,IF($A$15=$BS$1,$BS30,IF($A$15=$BT$1,$BT30,IF($A$15=$BU$1,$BU30,IF($A$15="",INDEX(Tiere!$BN$2:$BN$153,_xlfn.AGGREGATE(15,6,(ROW(Tiere!$BN$2:$BN$153)-1)/(--(SEARCH(BE$2,Tiere!$BN$2:$BN$153)&gt;0)),ROW()-2),1))))))))),"")</f>
        <v>Milchkühe (7000 kg Milch) - Mist/Jauche</v>
      </c>
      <c r="BE31" s="1601"/>
      <c r="BF31" s="1624" t="str">
        <f>IFERROR(IF($A$16=$BO$1,$BO30,IF($A$16=$BP$1,$BP30,IF($A$16=$BQ$1,$BQ30,IF($A$16=$BR$1,$BR30,IF($A$16=$BS$1,$BS30,IF($A$16=$BT$1,$BT30,IF($A$16=$BU$1,$BU30,IF($A$16="",INDEX(Tiere!$BN$2:$BN$153,_xlfn.AGGREGATE(15,6,(ROW(Tiere!$BN$2:$BN$153)-1)/(--(SEARCH(BG$2,Tiere!$BN$2:$BN$153)&gt;0)),ROW()-2),1))))))))),"")</f>
        <v>Milchkühe (7000 kg Milch) - Mist/Jauche</v>
      </c>
      <c r="BG31" s="1601"/>
      <c r="BH31" s="1624" t="str">
        <f>IFERROR(IF($A$17=$BO$1,$BO30,IF($A$17=$BP$1,$BP30,IF($A$17=$BQ$1,$BQ30,IF($A$17=$BR$1,$BR30,IF($A$17=$BS$1,$BS30,IF($A$17=$BT$1,$BT30,IF($A$17=$BU$1,$BU30,IF($A$17="",INDEX(Tiere!$BN$2:$BN$153,_xlfn.AGGREGATE(15,6,(ROW(Tiere!$BN$2:$BN$153)-1)/(--(SEARCH(BI$2,Tiere!$BN$2:$BN$153)&gt;0)),ROW()-2),1))))))))),"")</f>
        <v>Milchkühe (7000 kg Milch) - Mist/Jauche</v>
      </c>
      <c r="BI31" s="1601"/>
      <c r="BJ31" s="1624" t="str">
        <f>IFERROR(IF($A$18=$BO$1,$BO30,IF($A$18=$BP$1,$BP30,IF($A$18=$BQ$1,$BQ30,IF($A$18=$BR$1,$BR30,IF($A$18=$BS$1,$BS30,IF($A$18=$BT$1,$BT30,IF($A$18=$BU$1,$BU30,IF($A$18="",INDEX(Tiere!$BN$2:$BN$153,_xlfn.AGGREGATE(15,6,(ROW(Tiere!$BN$2:$BN$153)-1)/(--(SEARCH(BK$2,Tiere!$BN$2:$BN$153)&gt;0)),ROW()-2),1))))))))),"")</f>
        <v>Milchkühe (7000 kg Milch) - Mist/Jauche</v>
      </c>
      <c r="BK31" s="1601"/>
      <c r="BL31" s="1624" t="str">
        <f>IFERROR(IF($A$19=$BO$1,$BO30,IF($A$19=$BP$1,$BP30,IF($A$19=$BQ$1,$BQ30,IF($A$19=$BR$1,$BR30,IF($A$19=$BS$1,$BS30,IF($A$19=$BT$1,$BT30,IF($A$19=$BU$1,$BU30,IF($A$19="",INDEX(Tiere!$BN$2:$BN$153,_xlfn.AGGREGATE(15,6,(ROW(Tiere!$BN$2:$BN$153)-1)/(--(SEARCH(BM$2,Tiere!$BN$2:$BN$153)&gt;0)),ROW()-2),1))))))))),"")</f>
        <v>Milchkühe (7000 kg Milch) - Mist/Jauche</v>
      </c>
      <c r="BM31" s="1601"/>
      <c r="BN31" s="1630" t="s">
        <v>640</v>
      </c>
      <c r="BO31" s="1599" t="s">
        <v>640</v>
      </c>
      <c r="BP31" s="1599" t="s">
        <v>739</v>
      </c>
      <c r="BQ31" s="1599"/>
      <c r="BR31" s="1599"/>
      <c r="BS31" s="1599"/>
      <c r="BT31" s="1599"/>
      <c r="BU31" s="1599" t="s">
        <v>827</v>
      </c>
      <c r="CD31" s="1911" t="s">
        <v>640</v>
      </c>
    </row>
    <row r="32" spans="1:82" ht="29.25" customHeight="1" thickBot="1">
      <c r="A32" s="2623" t="s">
        <v>943</v>
      </c>
      <c r="B32" s="2624"/>
      <c r="C32" s="2625"/>
      <c r="D32" s="1894">
        <f>R20</f>
        <v>0</v>
      </c>
      <c r="E32" s="1292"/>
      <c r="F32" s="1293">
        <f>IF(Betrieb!D$18=0,0,D32/(Betrieb!D$18))</f>
        <v>0</v>
      </c>
      <c r="G32" s="1283" t="str">
        <f>Tabelle1!DD22</f>
        <v/>
      </c>
      <c r="H32" s="2635"/>
      <c r="I32" s="2636"/>
      <c r="J32" s="2637"/>
      <c r="L32" s="442"/>
      <c r="M32" s="2669" t="s">
        <v>944</v>
      </c>
      <c r="N32" s="2669"/>
      <c r="O32" s="2669"/>
      <c r="P32" s="2670"/>
      <c r="Q32" s="2668" t="s">
        <v>945</v>
      </c>
      <c r="R32" s="2668" t="s">
        <v>946</v>
      </c>
      <c r="S32" s="2668"/>
      <c r="T32" s="2667">
        <f>S20+T20</f>
        <v>0</v>
      </c>
      <c r="U32" s="2668" t="s">
        <v>945</v>
      </c>
      <c r="V32" s="2665" t="str">
        <f>IF(P32=0,"Fehlende Angaben!",IF(P32&gt;=T32,"Bestimmungen eingehalten",IF(P32&lt;T32,"Achtung, für Gülle und Jauche zu gering!",0)))</f>
        <v>Fehlende Angaben!</v>
      </c>
      <c r="W32" s="2665"/>
      <c r="X32" s="2665"/>
      <c r="Y32" s="438"/>
      <c r="Z32" s="1122" t="s">
        <v>344</v>
      </c>
      <c r="AA32" s="267"/>
      <c r="AB32" s="267"/>
      <c r="AC32" s="267"/>
      <c r="AD32" s="267"/>
      <c r="AE32" s="267"/>
      <c r="AH32" s="1602"/>
      <c r="AJ32" s="1624" t="str">
        <f>IFERROR(IF($A$5=$BO$1,$BO31,IF($A$5=$BP$1,$BP31,IF($A$5=$BQ$1,$BQ31,IF($A$5=$BR$1,$BR31,IF($A$5=$BS$1,$BS31,IF($A$5=$BT$1,$BT31,IF($A$5=$BU$1,$BU31,IF($A$5="",INDEX(Tiere!$BN$2:$BN$153,_xlfn.AGGREGATE(15,6,(ROW(Tiere!$BN$2:$BN$153)-1)/(--(SEARCH(AK$2,Tiere!$BN$2:$BN$153)&gt;0)),ROW()-2),1))))))))),"")</f>
        <v>Milchkühe (7000 kg Milch) - Tiefstallmist</v>
      </c>
      <c r="AK32" s="1599"/>
      <c r="AL32" s="1624" t="str">
        <f>IFERROR(IF($A$6=$BO$1,$BO31,IF($A$6=$BP$1,$BP31,IF($A$6=$BQ$1,$BQ31,IF($A$6=$BR$1,$BR31,IF($A$6=$BS$1,$BS31,IF($A$6=$BT$1,$BT31,IF($A$6=$BU$1,$BU31,IF($A$6="",INDEX(Tiere!$BN$2:$BN$153,_xlfn.AGGREGATE(15,6,(ROW(Tiere!$BN$2:$BN$153)-1)/(--(SEARCH(AM$2,Tiere!$BN$2:$BN$153)&gt;0)),ROW()-2),1))))))))),"")</f>
        <v>Milchkühe (7000 kg Milch) - Tiefstallmist</v>
      </c>
      <c r="AM32" s="1599"/>
      <c r="AN32" s="1624" t="str">
        <f>IFERROR(IF($A$7=$BO$1,$BO31,IF($A$7=$BP$1,$BP31,IF($A$7=$BQ$1,$BQ31,IF($A$7=$BR$1,$BR31,IF($A$7=$BS$1,$BS31,IF($A$7=$BT$1,$BT31,IF($A$7=$BU$1,$BU31,IF($A$7="",INDEX(Tiere!$BN$2:$BN$153,_xlfn.AGGREGATE(15,6,(ROW(Tiere!$BN$2:$BN$153)-1)/(--(SEARCH(AM$2,Tiere!$BN$2:$BN$153)&gt;0)),ROW()-2),1))))))))),"")</f>
        <v>Milchkühe (7000 kg Milch) - Tiefstallmist</v>
      </c>
      <c r="AO32" s="1599"/>
      <c r="AP32" s="1624" t="str">
        <f>IFERROR(IF($A$8=$BO$1,$BO31,IF($A$8=$BP$1,$BP31,IF($A$8=$BQ$1,$BQ31,IF($A$8=$BR$1,$BR31,IF($A$8=$BS$1,$BS31,IF($A$8=$BT$1,$BT31,IF($A$8=$BU$1,$BU31,IF($A$8="",INDEX(Tiere!$BN$2:$BN$153,_xlfn.AGGREGATE(15,6,(ROW(Tiere!$BN$2:$BN$153)-1)/(--(SEARCH(AQ$2,Tiere!$BN$2:$BN$153)&gt;0)),ROW()-2),1))))))))),"")</f>
        <v>Milchkühe (7000 kg Milch) - Tiefstallmist</v>
      </c>
      <c r="AQ32" s="1599"/>
      <c r="AR32" s="1624" t="str">
        <f>IFERROR(IF($A$9=$BO$1,$BO31,IF($A$9=$BP$1,$BP31,IF($A$9=$BQ$1,$BQ31,IF($A$9=$BR$1,$BR31,IF($A$9=$BS$1,$BS31,IF($A$9=$BT$1,$BT31,IF($A$9=$BU$1,$BU31,IF($A$9="",INDEX(Tiere!$BN$2:$BN$153,_xlfn.AGGREGATE(15,6,(ROW(Tiere!$BN$2:$BN$153)-1)/(--(SEARCH(AS$2,Tiere!$BN$2:$BN$153)&gt;0)),ROW()-2),1))))))))),"")</f>
        <v>Milchkühe (7000 kg Milch) - Tiefstallmist</v>
      </c>
      <c r="AS32" s="1599"/>
      <c r="AT32" s="1624" t="str">
        <f>IFERROR(IF($A$10=$BO$1,$BO31,IF($A$10=$BP$1,$BP31,IF($A$10=$BQ$1,$BQ31,IF($A$10=$BR$1,$BR31,IF($A$10=$BS$1,$BS31,IF($A$10=$BT$1,$BT31,IF($A$10=$BU$1,$BU31,IF($A$10="",INDEX(Tiere!$BN$2:$BN$153,_xlfn.AGGREGATE(15,6,(ROW(Tiere!$BN$2:$BN$153)-1)/(--(SEARCH(AU$2,Tiere!$BN$2:$BN$153)&gt;0)),ROW()-2),1))))))))),"")</f>
        <v>Milchkühe (7000 kg Milch) - Tiefstallmist</v>
      </c>
      <c r="AU32" s="1599"/>
      <c r="AV32" s="1624" t="str">
        <f>IFERROR(IF($A$11=$BO$1,$BO31,IF($A$11=$BP$1,$BP31,IF($A$11=$BQ$1,$BQ31,IF($A$11=$BR$1,$BR31,IF($A$11=$BS$1,$BS31,IF($A$11=$BT$1,$BT31,IF($A$11=$BU$1,$BU31,IF($A$11="",INDEX(Tiere!$BN$2:$BN$153,_xlfn.AGGREGATE(15,6,(ROW(Tiere!$BN$2:$BN$153)-1)/(--(SEARCH(AW$2,Tiere!$BN$2:$BN$153)&gt;0)),ROW()-2),1))))))))),"")</f>
        <v>Milchkühe (7000 kg Milch) - Tiefstallmist</v>
      </c>
      <c r="AW32" s="1599"/>
      <c r="AX32" s="1624" t="str">
        <f>IFERROR(IF($A$12=$BO$1,$BO31,IF($A$12=$BP$1,$BP31,IF($A$12=$BQ$1,$BQ31,IF($A$12=$BR$1,$BR31,IF($A$12=$BS$1,$BS31,IF($A$12=$BT$1,$BT31,IF($A$12=$BU$1,$BU31,IF($A$12="",INDEX(Tiere!$BN$2:$BN$153,_xlfn.AGGREGATE(15,6,(ROW(Tiere!$BN$2:$BN$153)-1)/(--(SEARCH(AY$2,Tiere!$BN$2:$BN$153)&gt;0)),ROW()-2),1))))))))),"")</f>
        <v>Milchkühe (7000 kg Milch) - Tiefstallmist</v>
      </c>
      <c r="AY32" s="1599"/>
      <c r="AZ32" s="1624" t="str">
        <f>IFERROR(IF($A$13=$BO$1,$BO31,IF($A$13=$BP$1,$BP31,IF($A$13=$BQ$1,$BQ31,IF($A$13=$BR$1,$BR31,IF($A$13=$BS$1,$BS31,IF($A$13=$BT$1,$BT31,IF($A$13=$BU$1,$BU31,IF($A$13="",INDEX(Tiere!$BN$2:$BN$153,_xlfn.AGGREGATE(15,6,(ROW(Tiere!$BN$2:$BN$153)-1)/(--(SEARCH(BA$2,Tiere!$BN$2:$BN$153)&gt;0)),ROW()-2),1))))))))),"")</f>
        <v>Milchkühe (7000 kg Milch) - Tiefstallmist</v>
      </c>
      <c r="BA32" s="1599"/>
      <c r="BB32" s="1624" t="str">
        <f>IFERROR(IF($A$14=$BO$1,$BO31,IF($A$14=$BP$1,$BP31,IF($A$14=$BQ$1,$BQ31,IF($A$14=$BR$1,$BR31,IF($A$14=$BS$1,$BS31,IF($A$14=$BT$1,$BT31,IF($A$14=$BU$1,$BU31,IF($A$14="",INDEX(Tiere!$BN$2:$BN$153,_xlfn.AGGREGATE(15,6,(ROW(Tiere!$BN$2:$BN$153)-1)/(--(SEARCH(BC$2,Tiere!$BN$2:$BN$153)&gt;0)),ROW()-2),1))))))))),"")</f>
        <v>Milchkühe (7000 kg Milch) - Tiefstallmist</v>
      </c>
      <c r="BC32" s="1599"/>
      <c r="BD32" s="1624" t="str">
        <f>IFERROR(IF($A$15=$BO$1,$BO31,IF($A$15=$BP$1,$BP31,IF($A$15=$BQ$1,$BQ31,IF($A$15=$BR$1,$BR31,IF($A$15=$BS$1,$BS31,IF($A$15=$BT$1,$BT31,IF($A$15=$BU$1,$BU31,IF($A$15="",INDEX(Tiere!$BN$2:$BN$153,_xlfn.AGGREGATE(15,6,(ROW(Tiere!$BN$2:$BN$153)-1)/(--(SEARCH(BE$2,Tiere!$BN$2:$BN$153)&gt;0)),ROW()-2),1))))))))),"")</f>
        <v>Milchkühe (7000 kg Milch) - Tiefstallmist</v>
      </c>
      <c r="BE32" s="1599"/>
      <c r="BF32" s="1624" t="str">
        <f>IFERROR(IF($A$16=$BO$1,$BO31,IF($A$16=$BP$1,$BP31,IF($A$16=$BQ$1,$BQ31,IF($A$16=$BR$1,$BR31,IF($A$16=$BS$1,$BS31,IF($A$16=$BT$1,$BT31,IF($A$16=$BU$1,$BU31,IF($A$16="",INDEX(Tiere!$BN$2:$BN$153,_xlfn.AGGREGATE(15,6,(ROW(Tiere!$BN$2:$BN$153)-1)/(--(SEARCH(BG$2,Tiere!$BN$2:$BN$153)&gt;0)),ROW()-2),1))))))))),"")</f>
        <v>Milchkühe (7000 kg Milch) - Tiefstallmist</v>
      </c>
      <c r="BG32" s="1599"/>
      <c r="BH32" s="1624" t="str">
        <f>IFERROR(IF($A$17=$BO$1,$BO31,IF($A$17=$BP$1,$BP31,IF($A$17=$BQ$1,$BQ31,IF($A$17=$BR$1,$BR31,IF($A$17=$BS$1,$BS31,IF($A$17=$BT$1,$BT31,IF($A$17=$BU$1,$BU31,IF($A$17="",INDEX(Tiere!$BN$2:$BN$153,_xlfn.AGGREGATE(15,6,(ROW(Tiere!$BN$2:$BN$153)-1)/(--(SEARCH(BI$2,Tiere!$BN$2:$BN$153)&gt;0)),ROW()-2),1))))))))),"")</f>
        <v>Milchkühe (7000 kg Milch) - Tiefstallmist</v>
      </c>
      <c r="BI32" s="1599"/>
      <c r="BJ32" s="1624" t="str">
        <f>IFERROR(IF($A$18=$BO$1,$BO31,IF($A$18=$BP$1,$BP31,IF($A$18=$BQ$1,$BQ31,IF($A$18=$BR$1,$BR31,IF($A$18=$BS$1,$BS31,IF($A$18=$BT$1,$BT31,IF($A$18=$BU$1,$BU31,IF($A$18="",INDEX(Tiere!$BN$2:$BN$153,_xlfn.AGGREGATE(15,6,(ROW(Tiere!$BN$2:$BN$153)-1)/(--(SEARCH(BK$2,Tiere!$BN$2:$BN$153)&gt;0)),ROW()-2),1))))))))),"")</f>
        <v>Milchkühe (7000 kg Milch) - Tiefstallmist</v>
      </c>
      <c r="BK32" s="1599"/>
      <c r="BL32" s="1624" t="str">
        <f>IFERROR(IF($A$19=$BO$1,$BO31,IF($A$19=$BP$1,$BP31,IF($A$19=$BQ$1,$BQ31,IF($A$19=$BR$1,$BR31,IF($A$19=$BS$1,$BS31,IF($A$19=$BT$1,$BT31,IF($A$19=$BU$1,$BU31,IF($A$19="",INDEX(Tiere!$BN$2:$BN$153,_xlfn.AGGREGATE(15,6,(ROW(Tiere!$BN$2:$BN$153)-1)/(--(SEARCH(BM$2,Tiere!$BN$2:$BN$153)&gt;0)),ROW()-2),1))))))))),"")</f>
        <v>Milchkühe (7000 kg Milch) - Tiefstallmist</v>
      </c>
      <c r="BM32" s="1599"/>
      <c r="BN32" s="1630" t="s">
        <v>643</v>
      </c>
      <c r="BO32" s="1599" t="s">
        <v>643</v>
      </c>
      <c r="BP32" s="1599" t="s">
        <v>742</v>
      </c>
      <c r="BQ32" s="1599"/>
      <c r="BR32" s="1599"/>
      <c r="BS32" s="1599"/>
      <c r="BT32" s="1599"/>
      <c r="BU32" s="1599" t="s">
        <v>828</v>
      </c>
      <c r="CD32" s="1911" t="s">
        <v>643</v>
      </c>
    </row>
    <row r="33" spans="1:82" ht="20.25" customHeight="1" thickBot="1">
      <c r="A33" s="2623" t="s">
        <v>550</v>
      </c>
      <c r="B33" s="2624"/>
      <c r="C33" s="2625"/>
      <c r="D33" s="1294">
        <f>Tabelle1!AX56</f>
        <v>0</v>
      </c>
      <c r="E33" s="1295" t="s">
        <v>947</v>
      </c>
      <c r="F33" s="1894">
        <f>IF(Betrieb!D$18=0,0,D33/Betrieb!D$18)</f>
        <v>0</v>
      </c>
      <c r="G33" s="2626" t="str">
        <f>IF(F33=0,"LN-Angaben fehlen!",IF(AND(Betrieb!$D$18&gt;0,Tiere!F33&lt;=170),"170 kg aus WD ok!",IF(AND(Betrieb!$D$18&gt;0,Tiere!F33&gt;170),"Zuviel Wirtschaftsdünger!",)))</f>
        <v>LN-Angaben fehlen!</v>
      </c>
      <c r="H33" s="2627"/>
      <c r="I33" s="2627"/>
      <c r="J33" s="2628"/>
      <c r="L33" s="442"/>
      <c r="M33" s="2669"/>
      <c r="N33" s="2669"/>
      <c r="O33" s="2669"/>
      <c r="P33" s="2670"/>
      <c r="Q33" s="2668"/>
      <c r="R33" s="2668"/>
      <c r="S33" s="2668"/>
      <c r="T33" s="2667"/>
      <c r="U33" s="2668"/>
      <c r="V33" s="2665"/>
      <c r="W33" s="2665"/>
      <c r="X33" s="2665"/>
      <c r="Y33" s="438"/>
      <c r="AJ33" s="1624" t="str">
        <f>IFERROR(IF($A$5=$BO$1,$BO32,IF($A$5=$BP$1,$BP32,IF($A$5=$BQ$1,$BQ32,IF($A$5=$BR$1,$BR32,IF($A$5=$BS$1,$BS32,IF($A$5=$BT$1,$BT32,IF($A$5=$BU$1,$BU32,IF($A$5="",INDEX(Tiere!$BN$2:$BN$153,_xlfn.AGGREGATE(15,6,(ROW(Tiere!$BN$2:$BN$153)-1)/(--(SEARCH(AK$2,Tiere!$BN$2:$BN$153)&gt;0)),ROW()-2),1))))))))),"")</f>
        <v>Milchkühe (8000 kg Milch) - Gülle</v>
      </c>
      <c r="AK33" s="1601"/>
      <c r="AL33" s="1624" t="str">
        <f>IFERROR(IF($A$6=$BO$1,$BO32,IF($A$6=$BP$1,$BP32,IF($A$6=$BQ$1,$BQ32,IF($A$6=$BR$1,$BR32,IF($A$6=$BS$1,$BS32,IF($A$6=$BT$1,$BT32,IF($A$6=$BU$1,$BU32,IF($A$6="",INDEX(Tiere!$BN$2:$BN$153,_xlfn.AGGREGATE(15,6,(ROW(Tiere!$BN$2:$BN$153)-1)/(--(SEARCH(AM$2,Tiere!$BN$2:$BN$153)&gt;0)),ROW()-2),1))))))))),"")</f>
        <v>Milchkühe (8000 kg Milch) - Gülle</v>
      </c>
      <c r="AM33" s="1601"/>
      <c r="AN33" s="1624" t="str">
        <f>IFERROR(IF($A$7=$BO$1,$BO32,IF($A$7=$BP$1,$BP32,IF($A$7=$BQ$1,$BQ32,IF($A$7=$BR$1,$BR32,IF($A$7=$BS$1,$BS32,IF($A$7=$BT$1,$BT32,IF($A$7=$BU$1,$BU32,IF($A$7="",INDEX(Tiere!$BN$2:$BN$153,_xlfn.AGGREGATE(15,6,(ROW(Tiere!$BN$2:$BN$153)-1)/(--(SEARCH(AM$2,Tiere!$BN$2:$BN$153)&gt;0)),ROW()-2),1))))))))),"")</f>
        <v>Milchkühe (8000 kg Milch) - Gülle</v>
      </c>
      <c r="AO33" s="1601"/>
      <c r="AP33" s="1624" t="str">
        <f>IFERROR(IF($A$8=$BO$1,$BO32,IF($A$8=$BP$1,$BP32,IF($A$8=$BQ$1,$BQ32,IF($A$8=$BR$1,$BR32,IF($A$8=$BS$1,$BS32,IF($A$8=$BT$1,$BT32,IF($A$8=$BU$1,$BU32,IF($A$8="",INDEX(Tiere!$BN$2:$BN$153,_xlfn.AGGREGATE(15,6,(ROW(Tiere!$BN$2:$BN$153)-1)/(--(SEARCH(AQ$2,Tiere!$BN$2:$BN$153)&gt;0)),ROW()-2),1))))))))),"")</f>
        <v>Milchkühe (8000 kg Milch) - Gülle</v>
      </c>
      <c r="AQ33" s="1601"/>
      <c r="AR33" s="1624" t="str">
        <f>IFERROR(IF($A$9=$BO$1,$BO32,IF($A$9=$BP$1,$BP32,IF($A$9=$BQ$1,$BQ32,IF($A$9=$BR$1,$BR32,IF($A$9=$BS$1,$BS32,IF($A$9=$BT$1,$BT32,IF($A$9=$BU$1,$BU32,IF($A$9="",INDEX(Tiere!$BN$2:$BN$153,_xlfn.AGGREGATE(15,6,(ROW(Tiere!$BN$2:$BN$153)-1)/(--(SEARCH(AS$2,Tiere!$BN$2:$BN$153)&gt;0)),ROW()-2),1))))))))),"")</f>
        <v>Milchkühe (8000 kg Milch) - Gülle</v>
      </c>
      <c r="AS33" s="1601"/>
      <c r="AT33" s="1624" t="str">
        <f>IFERROR(IF($A$10=$BO$1,$BO32,IF($A$10=$BP$1,$BP32,IF($A$10=$BQ$1,$BQ32,IF($A$10=$BR$1,$BR32,IF($A$10=$BS$1,$BS32,IF($A$10=$BT$1,$BT32,IF($A$10=$BU$1,$BU32,IF($A$10="",INDEX(Tiere!$BN$2:$BN$153,_xlfn.AGGREGATE(15,6,(ROW(Tiere!$BN$2:$BN$153)-1)/(--(SEARCH(AU$2,Tiere!$BN$2:$BN$153)&gt;0)),ROW()-2),1))))))))),"")</f>
        <v>Milchkühe (8000 kg Milch) - Gülle</v>
      </c>
      <c r="AU33" s="1601"/>
      <c r="AV33" s="1624" t="str">
        <f>IFERROR(IF($A$11=$BO$1,$BO32,IF($A$11=$BP$1,$BP32,IF($A$11=$BQ$1,$BQ32,IF($A$11=$BR$1,$BR32,IF($A$11=$BS$1,$BS32,IF($A$11=$BT$1,$BT32,IF($A$11=$BU$1,$BU32,IF($A$11="",INDEX(Tiere!$BN$2:$BN$153,_xlfn.AGGREGATE(15,6,(ROW(Tiere!$BN$2:$BN$153)-1)/(--(SEARCH(AW$2,Tiere!$BN$2:$BN$153)&gt;0)),ROW()-2),1))))))))),"")</f>
        <v>Milchkühe (8000 kg Milch) - Gülle</v>
      </c>
      <c r="AW33" s="1601"/>
      <c r="AX33" s="1624" t="str">
        <f>IFERROR(IF($A$12=$BO$1,$BO32,IF($A$12=$BP$1,$BP32,IF($A$12=$BQ$1,$BQ32,IF($A$12=$BR$1,$BR32,IF($A$12=$BS$1,$BS32,IF($A$12=$BT$1,$BT32,IF($A$12=$BU$1,$BU32,IF($A$12="",INDEX(Tiere!$BN$2:$BN$153,_xlfn.AGGREGATE(15,6,(ROW(Tiere!$BN$2:$BN$153)-1)/(--(SEARCH(AY$2,Tiere!$BN$2:$BN$153)&gt;0)),ROW()-2),1))))))))),"")</f>
        <v>Milchkühe (8000 kg Milch) - Gülle</v>
      </c>
      <c r="AY33" s="1601"/>
      <c r="AZ33" s="1624" t="str">
        <f>IFERROR(IF($A$13=$BO$1,$BO32,IF($A$13=$BP$1,$BP32,IF($A$13=$BQ$1,$BQ32,IF($A$13=$BR$1,$BR32,IF($A$13=$BS$1,$BS32,IF($A$13=$BT$1,$BT32,IF($A$13=$BU$1,$BU32,IF($A$13="",INDEX(Tiere!$BN$2:$BN$153,_xlfn.AGGREGATE(15,6,(ROW(Tiere!$BN$2:$BN$153)-1)/(--(SEARCH(BA$2,Tiere!$BN$2:$BN$153)&gt;0)),ROW()-2),1))))))))),"")</f>
        <v>Milchkühe (8000 kg Milch) - Gülle</v>
      </c>
      <c r="BA33" s="1601"/>
      <c r="BB33" s="1624" t="str">
        <f>IFERROR(IF($A$14=$BO$1,$BO32,IF($A$14=$BP$1,$BP32,IF($A$14=$BQ$1,$BQ32,IF($A$14=$BR$1,$BR32,IF($A$14=$BS$1,$BS32,IF($A$14=$BT$1,$BT32,IF($A$14=$BU$1,$BU32,IF($A$14="",INDEX(Tiere!$BN$2:$BN$153,_xlfn.AGGREGATE(15,6,(ROW(Tiere!$BN$2:$BN$153)-1)/(--(SEARCH(BC$2,Tiere!$BN$2:$BN$153)&gt;0)),ROW()-2),1))))))))),"")</f>
        <v>Milchkühe (8000 kg Milch) - Gülle</v>
      </c>
      <c r="BC33" s="1601"/>
      <c r="BD33" s="1624" t="str">
        <f>IFERROR(IF($A$15=$BO$1,$BO32,IF($A$15=$BP$1,$BP32,IF($A$15=$BQ$1,$BQ32,IF($A$15=$BR$1,$BR32,IF($A$15=$BS$1,$BS32,IF($A$15=$BT$1,$BT32,IF($A$15=$BU$1,$BU32,IF($A$15="",INDEX(Tiere!$BN$2:$BN$153,_xlfn.AGGREGATE(15,6,(ROW(Tiere!$BN$2:$BN$153)-1)/(--(SEARCH(BE$2,Tiere!$BN$2:$BN$153)&gt;0)),ROW()-2),1))))))))),"")</f>
        <v>Milchkühe (8000 kg Milch) - Gülle</v>
      </c>
      <c r="BE33" s="1601"/>
      <c r="BF33" s="1624" t="str">
        <f>IFERROR(IF($A$16=$BO$1,$BO32,IF($A$16=$BP$1,$BP32,IF($A$16=$BQ$1,$BQ32,IF($A$16=$BR$1,$BR32,IF($A$16=$BS$1,$BS32,IF($A$16=$BT$1,$BT32,IF($A$16=$BU$1,$BU32,IF($A$16="",INDEX(Tiere!$BN$2:$BN$153,_xlfn.AGGREGATE(15,6,(ROW(Tiere!$BN$2:$BN$153)-1)/(--(SEARCH(BG$2,Tiere!$BN$2:$BN$153)&gt;0)),ROW()-2),1))))))))),"")</f>
        <v>Milchkühe (8000 kg Milch) - Gülle</v>
      </c>
      <c r="BG33" s="1601"/>
      <c r="BH33" s="1624" t="str">
        <f>IFERROR(IF($A$17=$BO$1,$BO32,IF($A$17=$BP$1,$BP32,IF($A$17=$BQ$1,$BQ32,IF($A$17=$BR$1,$BR32,IF($A$17=$BS$1,$BS32,IF($A$17=$BT$1,$BT32,IF($A$17=$BU$1,$BU32,IF($A$17="",INDEX(Tiere!$BN$2:$BN$153,_xlfn.AGGREGATE(15,6,(ROW(Tiere!$BN$2:$BN$153)-1)/(--(SEARCH(BI$2,Tiere!$BN$2:$BN$153)&gt;0)),ROW()-2),1))))))))),"")</f>
        <v>Milchkühe (8000 kg Milch) - Gülle</v>
      </c>
      <c r="BI33" s="1601"/>
      <c r="BJ33" s="1624" t="str">
        <f>IFERROR(IF($A$18=$BO$1,$BO32,IF($A$18=$BP$1,$BP32,IF($A$18=$BQ$1,$BQ32,IF($A$18=$BR$1,$BR32,IF($A$18=$BS$1,$BS32,IF($A$18=$BT$1,$BT32,IF($A$18=$BU$1,$BU32,IF($A$18="",INDEX(Tiere!$BN$2:$BN$153,_xlfn.AGGREGATE(15,6,(ROW(Tiere!$BN$2:$BN$153)-1)/(--(SEARCH(BK$2,Tiere!$BN$2:$BN$153)&gt;0)),ROW()-2),1))))))))),"")</f>
        <v>Milchkühe (8000 kg Milch) - Gülle</v>
      </c>
      <c r="BK33" s="1601"/>
      <c r="BL33" s="1624" t="str">
        <f>IFERROR(IF($A$19=$BO$1,$BO32,IF($A$19=$BP$1,$BP32,IF($A$19=$BQ$1,$BQ32,IF($A$19=$BR$1,$BR32,IF($A$19=$BS$1,$BS32,IF($A$19=$BT$1,$BT32,IF($A$19=$BU$1,$BU32,IF($A$19="",INDEX(Tiere!$BN$2:$BN$153,_xlfn.AGGREGATE(15,6,(ROW(Tiere!$BN$2:$BN$153)-1)/(--(SEARCH(BM$2,Tiere!$BN$2:$BN$153)&gt;0)),ROW()-2),1))))))))),"")</f>
        <v>Milchkühe (8000 kg Milch) - Gülle</v>
      </c>
      <c r="BM33" s="1601"/>
      <c r="BN33" s="1630" t="s">
        <v>645</v>
      </c>
      <c r="BO33" s="1599" t="s">
        <v>645</v>
      </c>
      <c r="BP33" s="1599" t="s">
        <v>743</v>
      </c>
      <c r="BQ33" s="1599"/>
      <c r="BR33" s="1599"/>
      <c r="BS33" s="1599"/>
      <c r="BT33" s="1599"/>
      <c r="BU33" s="1599" t="s">
        <v>829</v>
      </c>
      <c r="CD33" s="1911" t="s">
        <v>645</v>
      </c>
    </row>
    <row r="34" spans="1:82" ht="23.25" customHeight="1" thickTop="1" thickBot="1">
      <c r="A34" s="2623" t="s">
        <v>948</v>
      </c>
      <c r="B34" s="2624"/>
      <c r="C34" s="2625"/>
      <c r="D34" s="1296">
        <f>Tabelle1!AX69</f>
        <v>0</v>
      </c>
      <c r="E34" s="1295" t="s">
        <v>947</v>
      </c>
      <c r="F34" s="1894">
        <f>IF(Betrieb!D$18=0,0,D34/Betrieb!D$18)</f>
        <v>0</v>
      </c>
      <c r="G34" s="2629" t="str">
        <f>Tabelle1!AN21</f>
        <v>Wasserrechtsgesetz eingehalten!</v>
      </c>
      <c r="H34" s="2630"/>
      <c r="I34" s="2630"/>
      <c r="J34" s="2631"/>
      <c r="L34" s="442"/>
      <c r="M34" s="1288"/>
      <c r="N34" s="1288"/>
      <c r="O34" s="1297" t="s">
        <v>401</v>
      </c>
      <c r="P34" s="1906"/>
      <c r="Q34" s="1298" t="s">
        <v>949</v>
      </c>
      <c r="R34" s="2666" t="str">
        <f>"Mist-Stapelfläche    (bei "&amp;P35&amp;" m 
Stapelhöhe )"</f>
        <v>Mist-Stapelfläche    (bei 2 m 
Stapelhöhe )</v>
      </c>
      <c r="S34" s="2666"/>
      <c r="T34" s="2667">
        <f>U20/P35</f>
        <v>0</v>
      </c>
      <c r="U34" s="2668" t="s">
        <v>950</v>
      </c>
      <c r="V34" s="2665" t="str">
        <f>IF(P34=0,"Fehlende Angaben!",IF((P34*P35)&gt;=U20,"Bestimmungen eingehalten","Achtung, Lagerraum für Mist zu gering!"))</f>
        <v>Fehlende Angaben!</v>
      </c>
      <c r="W34" s="2665"/>
      <c r="X34" s="2665"/>
      <c r="Y34" s="438"/>
      <c r="AJ34" s="1624" t="str">
        <f>IFERROR(IF($A$5=$BO$1,$BO33,IF($A$5=$BP$1,$BP33,IF($A$5=$BQ$1,$BQ33,IF($A$5=$BR$1,$BR33,IF($A$5=$BS$1,$BS33,IF($A$5=$BT$1,$BT33,IF($A$5=$BU$1,$BU33,IF($A$5="",INDEX(Tiere!$BN$2:$BN$153,_xlfn.AGGREGATE(15,6,(ROW(Tiere!$BN$2:$BN$153)-1)/(--(SEARCH(AK$2,Tiere!$BN$2:$BN$153)&gt;0)),ROW()-2),1))))))))),"")</f>
        <v>Milchkühe (8000 kg Milch) - Mist/Jauche</v>
      </c>
      <c r="AK34" s="1599"/>
      <c r="AL34" s="1624" t="str">
        <f>IFERROR(IF($A$6=$BO$1,$BO33,IF($A$6=$BP$1,$BP33,IF($A$6=$BQ$1,$BQ33,IF($A$6=$BR$1,$BR33,IF($A$6=$BS$1,$BS33,IF($A$6=$BT$1,$BT33,IF($A$6=$BU$1,$BU33,IF($A$6="",INDEX(Tiere!$BN$2:$BN$153,_xlfn.AGGREGATE(15,6,(ROW(Tiere!$BN$2:$BN$153)-1)/(--(SEARCH(AM$2,Tiere!$BN$2:$BN$153)&gt;0)),ROW()-2),1))))))))),"")</f>
        <v>Milchkühe (8000 kg Milch) - Mist/Jauche</v>
      </c>
      <c r="AM34" s="1599"/>
      <c r="AN34" s="1624" t="str">
        <f>IFERROR(IF($A$7=$BO$1,$BO33,IF($A$7=$BP$1,$BP33,IF($A$7=$BQ$1,$BQ33,IF($A$7=$BR$1,$BR33,IF($A$7=$BS$1,$BS33,IF($A$7=$BT$1,$BT33,IF($A$7=$BU$1,$BU33,IF($A$7="",INDEX(Tiere!$BN$2:$BN$153,_xlfn.AGGREGATE(15,6,(ROW(Tiere!$BN$2:$BN$153)-1)/(--(SEARCH(AM$2,Tiere!$BN$2:$BN$153)&gt;0)),ROW()-2),1))))))))),"")</f>
        <v>Milchkühe (8000 kg Milch) - Mist/Jauche</v>
      </c>
      <c r="AO34" s="1599"/>
      <c r="AP34" s="1624" t="str">
        <f>IFERROR(IF($A$8=$BO$1,$BO33,IF($A$8=$BP$1,$BP33,IF($A$8=$BQ$1,$BQ33,IF($A$8=$BR$1,$BR33,IF($A$8=$BS$1,$BS33,IF($A$8=$BT$1,$BT33,IF($A$8=$BU$1,$BU33,IF($A$8="",INDEX(Tiere!$BN$2:$BN$153,_xlfn.AGGREGATE(15,6,(ROW(Tiere!$BN$2:$BN$153)-1)/(--(SEARCH(AQ$2,Tiere!$BN$2:$BN$153)&gt;0)),ROW()-2),1))))))))),"")</f>
        <v>Milchkühe (8000 kg Milch) - Mist/Jauche</v>
      </c>
      <c r="AQ34" s="1599"/>
      <c r="AR34" s="1624" t="str">
        <f>IFERROR(IF($A$9=$BO$1,$BO33,IF($A$9=$BP$1,$BP33,IF($A$9=$BQ$1,$BQ33,IF($A$9=$BR$1,$BR33,IF($A$9=$BS$1,$BS33,IF($A$9=$BT$1,$BT33,IF($A$9=$BU$1,$BU33,IF($A$9="",INDEX(Tiere!$BN$2:$BN$153,_xlfn.AGGREGATE(15,6,(ROW(Tiere!$BN$2:$BN$153)-1)/(--(SEARCH(AS$2,Tiere!$BN$2:$BN$153)&gt;0)),ROW()-2),1))))))))),"")</f>
        <v>Milchkühe (8000 kg Milch) - Mist/Jauche</v>
      </c>
      <c r="AS34" s="1599"/>
      <c r="AT34" s="1624" t="str">
        <f>IFERROR(IF($A$10=$BO$1,$BO33,IF($A$10=$BP$1,$BP33,IF($A$10=$BQ$1,$BQ33,IF($A$10=$BR$1,$BR33,IF($A$10=$BS$1,$BS33,IF($A$10=$BT$1,$BT33,IF($A$10=$BU$1,$BU33,IF($A$10="",INDEX(Tiere!$BN$2:$BN$153,_xlfn.AGGREGATE(15,6,(ROW(Tiere!$BN$2:$BN$153)-1)/(--(SEARCH(AU$2,Tiere!$BN$2:$BN$153)&gt;0)),ROW()-2),1))))))))),"")</f>
        <v>Milchkühe (8000 kg Milch) - Mist/Jauche</v>
      </c>
      <c r="AU34" s="1599"/>
      <c r="AV34" s="1624" t="str">
        <f>IFERROR(IF($A$11=$BO$1,$BO33,IF($A$11=$BP$1,$BP33,IF($A$11=$BQ$1,$BQ33,IF($A$11=$BR$1,$BR33,IF($A$11=$BS$1,$BS33,IF($A$11=$BT$1,$BT33,IF($A$11=$BU$1,$BU33,IF($A$11="",INDEX(Tiere!$BN$2:$BN$153,_xlfn.AGGREGATE(15,6,(ROW(Tiere!$BN$2:$BN$153)-1)/(--(SEARCH(AW$2,Tiere!$BN$2:$BN$153)&gt;0)),ROW()-2),1))))))))),"")</f>
        <v>Milchkühe (8000 kg Milch) - Mist/Jauche</v>
      </c>
      <c r="AW34" s="1599"/>
      <c r="AX34" s="1624" t="str">
        <f>IFERROR(IF($A$12=$BO$1,$BO33,IF($A$12=$BP$1,$BP33,IF($A$12=$BQ$1,$BQ33,IF($A$12=$BR$1,$BR33,IF($A$12=$BS$1,$BS33,IF($A$12=$BT$1,$BT33,IF($A$12=$BU$1,$BU33,IF($A$12="",INDEX(Tiere!$BN$2:$BN$153,_xlfn.AGGREGATE(15,6,(ROW(Tiere!$BN$2:$BN$153)-1)/(--(SEARCH(AY$2,Tiere!$BN$2:$BN$153)&gt;0)),ROW()-2),1))))))))),"")</f>
        <v>Milchkühe (8000 kg Milch) - Mist/Jauche</v>
      </c>
      <c r="AY34" s="1599"/>
      <c r="AZ34" s="1624" t="str">
        <f>IFERROR(IF($A$13=$BO$1,$BO33,IF($A$13=$BP$1,$BP33,IF($A$13=$BQ$1,$BQ33,IF($A$13=$BR$1,$BR33,IF($A$13=$BS$1,$BS33,IF($A$13=$BT$1,$BT33,IF($A$13=$BU$1,$BU33,IF($A$13="",INDEX(Tiere!$BN$2:$BN$153,_xlfn.AGGREGATE(15,6,(ROW(Tiere!$BN$2:$BN$153)-1)/(--(SEARCH(BA$2,Tiere!$BN$2:$BN$153)&gt;0)),ROW()-2),1))))))))),"")</f>
        <v>Milchkühe (8000 kg Milch) - Mist/Jauche</v>
      </c>
      <c r="BA34" s="1599"/>
      <c r="BB34" s="1624" t="str">
        <f>IFERROR(IF($A$14=$BO$1,$BO33,IF($A$14=$BP$1,$BP33,IF($A$14=$BQ$1,$BQ33,IF($A$14=$BR$1,$BR33,IF($A$14=$BS$1,$BS33,IF($A$14=$BT$1,$BT33,IF($A$14=$BU$1,$BU33,IF($A$14="",INDEX(Tiere!$BN$2:$BN$153,_xlfn.AGGREGATE(15,6,(ROW(Tiere!$BN$2:$BN$153)-1)/(--(SEARCH(BC$2,Tiere!$BN$2:$BN$153)&gt;0)),ROW()-2),1))))))))),"")</f>
        <v>Milchkühe (8000 kg Milch) - Mist/Jauche</v>
      </c>
      <c r="BC34" s="1599"/>
      <c r="BD34" s="1624" t="str">
        <f>IFERROR(IF($A$15=$BO$1,$BO33,IF($A$15=$BP$1,$BP33,IF($A$15=$BQ$1,$BQ33,IF($A$15=$BR$1,$BR33,IF($A$15=$BS$1,$BS33,IF($A$15=$BT$1,$BT33,IF($A$15=$BU$1,$BU33,IF($A$15="",INDEX(Tiere!$BN$2:$BN$153,_xlfn.AGGREGATE(15,6,(ROW(Tiere!$BN$2:$BN$153)-1)/(--(SEARCH(BE$2,Tiere!$BN$2:$BN$153)&gt;0)),ROW()-2),1))))))))),"")</f>
        <v>Milchkühe (8000 kg Milch) - Mist/Jauche</v>
      </c>
      <c r="BE34" s="1599"/>
      <c r="BF34" s="1624" t="str">
        <f>IFERROR(IF($A$16=$BO$1,$BO33,IF($A$16=$BP$1,$BP33,IF($A$16=$BQ$1,$BQ33,IF($A$16=$BR$1,$BR33,IF($A$16=$BS$1,$BS33,IF($A$16=$BT$1,$BT33,IF($A$16=$BU$1,$BU33,IF($A$16="",INDEX(Tiere!$BN$2:$BN$153,_xlfn.AGGREGATE(15,6,(ROW(Tiere!$BN$2:$BN$153)-1)/(--(SEARCH(BG$2,Tiere!$BN$2:$BN$153)&gt;0)),ROW()-2),1))))))))),"")</f>
        <v>Milchkühe (8000 kg Milch) - Mist/Jauche</v>
      </c>
      <c r="BG34" s="1599"/>
      <c r="BH34" s="1624" t="str">
        <f>IFERROR(IF($A$17=$BO$1,$BO33,IF($A$17=$BP$1,$BP33,IF($A$17=$BQ$1,$BQ33,IF($A$17=$BR$1,$BR33,IF($A$17=$BS$1,$BS33,IF($A$17=$BT$1,$BT33,IF($A$17=$BU$1,$BU33,IF($A$17="",INDEX(Tiere!$BN$2:$BN$153,_xlfn.AGGREGATE(15,6,(ROW(Tiere!$BN$2:$BN$153)-1)/(--(SEARCH(BI$2,Tiere!$BN$2:$BN$153)&gt;0)),ROW()-2),1))))))))),"")</f>
        <v>Milchkühe (8000 kg Milch) - Mist/Jauche</v>
      </c>
      <c r="BI34" s="1599"/>
      <c r="BJ34" s="1624" t="str">
        <f>IFERROR(IF($A$18=$BO$1,$BO33,IF($A$18=$BP$1,$BP33,IF($A$18=$BQ$1,$BQ33,IF($A$18=$BR$1,$BR33,IF($A$18=$BS$1,$BS33,IF($A$18=$BT$1,$BT33,IF($A$18=$BU$1,$BU33,IF($A$18="",INDEX(Tiere!$BN$2:$BN$153,_xlfn.AGGREGATE(15,6,(ROW(Tiere!$BN$2:$BN$153)-1)/(--(SEARCH(BK$2,Tiere!$BN$2:$BN$153)&gt;0)),ROW()-2),1))))))))),"")</f>
        <v>Milchkühe (8000 kg Milch) - Mist/Jauche</v>
      </c>
      <c r="BK34" s="1599"/>
      <c r="BL34" s="1624" t="str">
        <f>IFERROR(IF($A$19=$BO$1,$BO33,IF($A$19=$BP$1,$BP33,IF($A$19=$BQ$1,$BQ33,IF($A$19=$BR$1,$BR33,IF($A$19=$BS$1,$BS33,IF($A$19=$BT$1,$BT33,IF($A$19=$BU$1,$BU33,IF($A$19="",INDEX(Tiere!$BN$2:$BN$153,_xlfn.AGGREGATE(15,6,(ROW(Tiere!$BN$2:$BN$153)-1)/(--(SEARCH(BM$2,Tiere!$BN$2:$BN$153)&gt;0)),ROW()-2),1))))))))),"")</f>
        <v>Milchkühe (8000 kg Milch) - Mist/Jauche</v>
      </c>
      <c r="BM34" s="1599"/>
      <c r="BN34" s="1630" t="s">
        <v>646</v>
      </c>
      <c r="BO34" s="1599" t="s">
        <v>646</v>
      </c>
      <c r="BP34" s="1599" t="s">
        <v>745</v>
      </c>
      <c r="BQ34" s="1599"/>
      <c r="BR34" s="1599"/>
      <c r="BS34" s="1599"/>
      <c r="BT34" s="1599"/>
      <c r="BU34" s="1623" t="s">
        <v>830</v>
      </c>
      <c r="CD34" s="1911" t="s">
        <v>646</v>
      </c>
    </row>
    <row r="35" spans="1:82" ht="20.25" customHeight="1" thickBot="1">
      <c r="A35" s="2623" t="s">
        <v>951</v>
      </c>
      <c r="B35" s="2624"/>
      <c r="C35" s="2625"/>
      <c r="D35" s="1296">
        <f>N_Bedarf!J67</f>
        <v>0</v>
      </c>
      <c r="E35" s="2632" t="str">
        <f>N_Bedarf!C67</f>
        <v>Der N-Saldo ist ok!</v>
      </c>
      <c r="F35" s="2633"/>
      <c r="G35" s="2633"/>
      <c r="H35" s="2633"/>
      <c r="I35" s="2633"/>
      <c r="J35" s="2634"/>
      <c r="L35" s="442"/>
      <c r="M35" s="1288"/>
      <c r="N35" s="1288"/>
      <c r="O35" s="1297" t="s">
        <v>400</v>
      </c>
      <c r="P35" s="1906">
        <v>2</v>
      </c>
      <c r="Q35" s="1298" t="s">
        <v>952</v>
      </c>
      <c r="R35" s="2666"/>
      <c r="S35" s="2666"/>
      <c r="T35" s="2667"/>
      <c r="U35" s="2668"/>
      <c r="V35" s="2665"/>
      <c r="W35" s="2665"/>
      <c r="X35" s="2665"/>
      <c r="Y35" s="438"/>
      <c r="AJ35" s="1624" t="str">
        <f>IFERROR(IF($A$5=$BO$1,$BO34,IF($A$5=$BP$1,$BP34,IF($A$5=$BQ$1,$BQ34,IF($A$5=$BR$1,$BR34,IF($A$5=$BS$1,$BS34,IF($A$5=$BT$1,$BT34,IF($A$5=$BU$1,$BU34,IF($A$5="",INDEX(Tiere!$BN$2:$BN$153,_xlfn.AGGREGATE(15,6,(ROW(Tiere!$BN$2:$BN$153)-1)/(--(SEARCH(AK$2,Tiere!$BN$2:$BN$153)&gt;0)),ROW()-2),1))))))))),"")</f>
        <v>Milchkühe (8000 kg Milch) - Tiefstallmist</v>
      </c>
      <c r="AK35" s="1601"/>
      <c r="AL35" s="1624" t="str">
        <f>IFERROR(IF($A$6=$BO$1,$BO34,IF($A$6=$BP$1,$BP34,IF($A$6=$BQ$1,$BQ34,IF($A$6=$BR$1,$BR34,IF($A$6=$BS$1,$BS34,IF($A$6=$BT$1,$BT34,IF($A$6=$BU$1,$BU34,IF($A$6="",INDEX(Tiere!$BN$2:$BN$153,_xlfn.AGGREGATE(15,6,(ROW(Tiere!$BN$2:$BN$153)-1)/(--(SEARCH(AM$2,Tiere!$BN$2:$BN$153)&gt;0)),ROW()-2),1))))))))),"")</f>
        <v>Milchkühe (8000 kg Milch) - Tiefstallmist</v>
      </c>
      <c r="AM35" s="1601"/>
      <c r="AN35" s="1624" t="str">
        <f>IFERROR(IF($A$7=$BO$1,$BO34,IF($A$7=$BP$1,$BP34,IF($A$7=$BQ$1,$BQ34,IF($A$7=$BR$1,$BR34,IF($A$7=$BS$1,$BS34,IF($A$7=$BT$1,$BT34,IF($A$7=$BU$1,$BU34,IF($A$7="",INDEX(Tiere!$BN$2:$BN$153,_xlfn.AGGREGATE(15,6,(ROW(Tiere!$BN$2:$BN$153)-1)/(--(SEARCH(AM$2,Tiere!$BN$2:$BN$153)&gt;0)),ROW()-2),1))))))))),"")</f>
        <v>Milchkühe (8000 kg Milch) - Tiefstallmist</v>
      </c>
      <c r="AO35" s="1601"/>
      <c r="AP35" s="1624" t="str">
        <f>IFERROR(IF($A$8=$BO$1,$BO34,IF($A$8=$BP$1,$BP34,IF($A$8=$BQ$1,$BQ34,IF($A$8=$BR$1,$BR34,IF($A$8=$BS$1,$BS34,IF($A$8=$BT$1,$BT34,IF($A$8=$BU$1,$BU34,IF($A$8="",INDEX(Tiere!$BN$2:$BN$153,_xlfn.AGGREGATE(15,6,(ROW(Tiere!$BN$2:$BN$153)-1)/(--(SEARCH(AQ$2,Tiere!$BN$2:$BN$153)&gt;0)),ROW()-2),1))))))))),"")</f>
        <v>Milchkühe (8000 kg Milch) - Tiefstallmist</v>
      </c>
      <c r="AQ35" s="1601"/>
      <c r="AR35" s="1624" t="str">
        <f>IFERROR(IF($A$9=$BO$1,$BO34,IF($A$9=$BP$1,$BP34,IF($A$9=$BQ$1,$BQ34,IF($A$9=$BR$1,$BR34,IF($A$9=$BS$1,$BS34,IF($A$9=$BT$1,$BT34,IF($A$9=$BU$1,$BU34,IF($A$9="",INDEX(Tiere!$BN$2:$BN$153,_xlfn.AGGREGATE(15,6,(ROW(Tiere!$BN$2:$BN$153)-1)/(--(SEARCH(AS$2,Tiere!$BN$2:$BN$153)&gt;0)),ROW()-2),1))))))))),"")</f>
        <v>Milchkühe (8000 kg Milch) - Tiefstallmist</v>
      </c>
      <c r="AS35" s="1601"/>
      <c r="AT35" s="1624" t="str">
        <f>IFERROR(IF($A$10=$BO$1,$BO34,IF($A$10=$BP$1,$BP34,IF($A$10=$BQ$1,$BQ34,IF($A$10=$BR$1,$BR34,IF($A$10=$BS$1,$BS34,IF($A$10=$BT$1,$BT34,IF($A$10=$BU$1,$BU34,IF($A$10="",INDEX(Tiere!$BN$2:$BN$153,_xlfn.AGGREGATE(15,6,(ROW(Tiere!$BN$2:$BN$153)-1)/(--(SEARCH(AU$2,Tiere!$BN$2:$BN$153)&gt;0)),ROW()-2),1))))))))),"")</f>
        <v>Milchkühe (8000 kg Milch) - Tiefstallmist</v>
      </c>
      <c r="AU35" s="1601"/>
      <c r="AV35" s="1624" t="str">
        <f>IFERROR(IF($A$11=$BO$1,$BO34,IF($A$11=$BP$1,$BP34,IF($A$11=$BQ$1,$BQ34,IF($A$11=$BR$1,$BR34,IF($A$11=$BS$1,$BS34,IF($A$11=$BT$1,$BT34,IF($A$11=$BU$1,$BU34,IF($A$11="",INDEX(Tiere!$BN$2:$BN$153,_xlfn.AGGREGATE(15,6,(ROW(Tiere!$BN$2:$BN$153)-1)/(--(SEARCH(AW$2,Tiere!$BN$2:$BN$153)&gt;0)),ROW()-2),1))))))))),"")</f>
        <v>Milchkühe (8000 kg Milch) - Tiefstallmist</v>
      </c>
      <c r="AW35" s="1601"/>
      <c r="AX35" s="1624" t="str">
        <f>IFERROR(IF($A$12=$BO$1,$BO34,IF($A$12=$BP$1,$BP34,IF($A$12=$BQ$1,$BQ34,IF($A$12=$BR$1,$BR34,IF($A$12=$BS$1,$BS34,IF($A$12=$BT$1,$BT34,IF($A$12=$BU$1,$BU34,IF($A$12="",INDEX(Tiere!$BN$2:$BN$153,_xlfn.AGGREGATE(15,6,(ROW(Tiere!$BN$2:$BN$153)-1)/(--(SEARCH(AY$2,Tiere!$BN$2:$BN$153)&gt;0)),ROW()-2),1))))))))),"")</f>
        <v>Milchkühe (8000 kg Milch) - Tiefstallmist</v>
      </c>
      <c r="AY35" s="1601"/>
      <c r="AZ35" s="1624" t="str">
        <f>IFERROR(IF($A$13=$BO$1,$BO34,IF($A$13=$BP$1,$BP34,IF($A$13=$BQ$1,$BQ34,IF($A$13=$BR$1,$BR34,IF($A$13=$BS$1,$BS34,IF($A$13=$BT$1,$BT34,IF($A$13=$BU$1,$BU34,IF($A$13="",INDEX(Tiere!$BN$2:$BN$153,_xlfn.AGGREGATE(15,6,(ROW(Tiere!$BN$2:$BN$153)-1)/(--(SEARCH(BA$2,Tiere!$BN$2:$BN$153)&gt;0)),ROW()-2),1))))))))),"")</f>
        <v>Milchkühe (8000 kg Milch) - Tiefstallmist</v>
      </c>
      <c r="BA35" s="1601"/>
      <c r="BB35" s="1624" t="str">
        <f>IFERROR(IF($A$14=$BO$1,$BO34,IF($A$14=$BP$1,$BP34,IF($A$14=$BQ$1,$BQ34,IF($A$14=$BR$1,$BR34,IF($A$14=$BS$1,$BS34,IF($A$14=$BT$1,$BT34,IF($A$14=$BU$1,$BU34,IF($A$14="",INDEX(Tiere!$BN$2:$BN$153,_xlfn.AGGREGATE(15,6,(ROW(Tiere!$BN$2:$BN$153)-1)/(--(SEARCH(BC$2,Tiere!$BN$2:$BN$153)&gt;0)),ROW()-2),1))))))))),"")</f>
        <v>Milchkühe (8000 kg Milch) - Tiefstallmist</v>
      </c>
      <c r="BC35" s="1601"/>
      <c r="BD35" s="1624" t="str">
        <f>IFERROR(IF($A$15=$BO$1,$BO34,IF($A$15=$BP$1,$BP34,IF($A$15=$BQ$1,$BQ34,IF($A$15=$BR$1,$BR34,IF($A$15=$BS$1,$BS34,IF($A$15=$BT$1,$BT34,IF($A$15=$BU$1,$BU34,IF($A$15="",INDEX(Tiere!$BN$2:$BN$153,_xlfn.AGGREGATE(15,6,(ROW(Tiere!$BN$2:$BN$153)-1)/(--(SEARCH(BE$2,Tiere!$BN$2:$BN$153)&gt;0)),ROW()-2),1))))))))),"")</f>
        <v>Milchkühe (8000 kg Milch) - Tiefstallmist</v>
      </c>
      <c r="BE35" s="1601"/>
      <c r="BF35" s="1624" t="str">
        <f>IFERROR(IF($A$16=$BO$1,$BO34,IF($A$16=$BP$1,$BP34,IF($A$16=$BQ$1,$BQ34,IF($A$16=$BR$1,$BR34,IF($A$16=$BS$1,$BS34,IF($A$16=$BT$1,$BT34,IF($A$16=$BU$1,$BU34,IF($A$16="",INDEX(Tiere!$BN$2:$BN$153,_xlfn.AGGREGATE(15,6,(ROW(Tiere!$BN$2:$BN$153)-1)/(--(SEARCH(BG$2,Tiere!$BN$2:$BN$153)&gt;0)),ROW()-2),1))))))))),"")</f>
        <v>Milchkühe (8000 kg Milch) - Tiefstallmist</v>
      </c>
      <c r="BG35" s="1601"/>
      <c r="BH35" s="1624" t="str">
        <f>IFERROR(IF($A$17=$BO$1,$BO34,IF($A$17=$BP$1,$BP34,IF($A$17=$BQ$1,$BQ34,IF($A$17=$BR$1,$BR34,IF($A$17=$BS$1,$BS34,IF($A$17=$BT$1,$BT34,IF($A$17=$BU$1,$BU34,IF($A$17="",INDEX(Tiere!$BN$2:$BN$153,_xlfn.AGGREGATE(15,6,(ROW(Tiere!$BN$2:$BN$153)-1)/(--(SEARCH(BI$2,Tiere!$BN$2:$BN$153)&gt;0)),ROW()-2),1))))))))),"")</f>
        <v>Milchkühe (8000 kg Milch) - Tiefstallmist</v>
      </c>
      <c r="BI35" s="1601"/>
      <c r="BJ35" s="1624" t="str">
        <f>IFERROR(IF($A$18=$BO$1,$BO34,IF($A$18=$BP$1,$BP34,IF($A$18=$BQ$1,$BQ34,IF($A$18=$BR$1,$BR34,IF($A$18=$BS$1,$BS34,IF($A$18=$BT$1,$BT34,IF($A$18=$BU$1,$BU34,IF($A$18="",INDEX(Tiere!$BN$2:$BN$153,_xlfn.AGGREGATE(15,6,(ROW(Tiere!$BN$2:$BN$153)-1)/(--(SEARCH(BK$2,Tiere!$BN$2:$BN$153)&gt;0)),ROW()-2),1))))))))),"")</f>
        <v>Milchkühe (8000 kg Milch) - Tiefstallmist</v>
      </c>
      <c r="BK35" s="1601"/>
      <c r="BL35" s="1624" t="str">
        <f>IFERROR(IF($A$19=$BO$1,$BO34,IF($A$19=$BP$1,$BP34,IF($A$19=$BQ$1,$BQ34,IF($A$19=$BR$1,$BR34,IF($A$19=$BS$1,$BS34,IF($A$19=$BT$1,$BT34,IF($A$19=$BU$1,$BU34,IF($A$19="",INDEX(Tiere!$BN$2:$BN$153,_xlfn.AGGREGATE(15,6,(ROW(Tiere!$BN$2:$BN$153)-1)/(--(SEARCH(BM$2,Tiere!$BN$2:$BN$153)&gt;0)),ROW()-2),1))))))))),"")</f>
        <v>Milchkühe (8000 kg Milch) - Tiefstallmist</v>
      </c>
      <c r="BM35" s="1601"/>
      <c r="BN35" s="1630" t="s">
        <v>647</v>
      </c>
      <c r="BO35" s="1599" t="s">
        <v>647</v>
      </c>
      <c r="BP35" s="1599" t="s">
        <v>2392</v>
      </c>
      <c r="BQ35" s="1599"/>
      <c r="BR35" s="1599"/>
      <c r="BS35" s="1599"/>
      <c r="BT35" s="1599"/>
      <c r="BU35" s="1599" t="s">
        <v>831</v>
      </c>
      <c r="CD35" s="1911" t="s">
        <v>647</v>
      </c>
    </row>
    <row r="36" spans="1:82" ht="19.5" customHeight="1" thickTop="1" thickBot="1">
      <c r="A36" s="443"/>
      <c r="B36" s="889"/>
      <c r="C36" s="442"/>
      <c r="D36" s="442"/>
      <c r="E36" s="442"/>
      <c r="F36" s="442"/>
      <c r="G36" s="442"/>
      <c r="H36" s="442"/>
      <c r="I36" s="442"/>
      <c r="J36" s="442"/>
      <c r="K36" s="442"/>
      <c r="L36" s="442"/>
      <c r="M36" s="442"/>
      <c r="N36" s="442"/>
      <c r="O36" s="442"/>
      <c r="P36" s="442"/>
      <c r="Q36" s="442"/>
      <c r="R36" s="442"/>
      <c r="S36" s="442"/>
      <c r="T36" s="442"/>
      <c r="U36" s="442"/>
      <c r="V36" s="440"/>
      <c r="W36" s="440"/>
      <c r="X36" s="440"/>
      <c r="Y36" s="440"/>
      <c r="AJ36" s="1624" t="str">
        <f>IFERROR(IF($A$5=$BO$1,$BO35,IF($A$5=$BP$1,$BP35,IF($A$5=$BQ$1,$BQ35,IF($A$5=$BR$1,$BR35,IF($A$5=$BS$1,$BS35,IF($A$5=$BT$1,$BT35,IF($A$5=$BU$1,$BU35,IF($A$5="",INDEX(Tiere!$BN$2:$BN$153,_xlfn.AGGREGATE(15,6,(ROW(Tiere!$BN$2:$BN$153)-1)/(--(SEARCH(AK$2,Tiere!$BN$2:$BN$153)&gt;0)),ROW()-2),1))))))))),"")</f>
        <v>Milchkühe (9000 kg Milch) - Gülle</v>
      </c>
      <c r="AK36" s="1599"/>
      <c r="AL36" s="1624" t="str">
        <f>IFERROR(IF($A$6=$BO$1,$BO35,IF($A$6=$BP$1,$BP35,IF($A$6=$BQ$1,$BQ35,IF($A$6=$BR$1,$BR35,IF($A$6=$BS$1,$BS35,IF($A$6=$BT$1,$BT35,IF($A$6=$BU$1,$BU35,IF($A$6="",INDEX(Tiere!$BN$2:$BN$153,_xlfn.AGGREGATE(15,6,(ROW(Tiere!$BN$2:$BN$153)-1)/(--(SEARCH(AM$2,Tiere!$BN$2:$BN$153)&gt;0)),ROW()-2),1))))))))),"")</f>
        <v>Milchkühe (9000 kg Milch) - Gülle</v>
      </c>
      <c r="AM36" s="1599"/>
      <c r="AN36" s="1624" t="str">
        <f>IFERROR(IF($A$7=$BO$1,$BO35,IF($A$7=$BP$1,$BP35,IF($A$7=$BQ$1,$BQ35,IF($A$7=$BR$1,$BR35,IF($A$7=$BS$1,$BS35,IF($A$7=$BT$1,$BT35,IF($A$7=$BU$1,$BU35,IF($A$7="",INDEX(Tiere!$BN$2:$BN$153,_xlfn.AGGREGATE(15,6,(ROW(Tiere!$BN$2:$BN$153)-1)/(--(SEARCH(AM$2,Tiere!$BN$2:$BN$153)&gt;0)),ROW()-2),1))))))))),"")</f>
        <v>Milchkühe (9000 kg Milch) - Gülle</v>
      </c>
      <c r="AO36" s="1599"/>
      <c r="AP36" s="1624" t="str">
        <f>IFERROR(IF($A$8=$BO$1,$BO35,IF($A$8=$BP$1,$BP35,IF($A$8=$BQ$1,$BQ35,IF($A$8=$BR$1,$BR35,IF($A$8=$BS$1,$BS35,IF($A$8=$BT$1,$BT35,IF($A$8=$BU$1,$BU35,IF($A$8="",INDEX(Tiere!$BN$2:$BN$153,_xlfn.AGGREGATE(15,6,(ROW(Tiere!$BN$2:$BN$153)-1)/(--(SEARCH(AQ$2,Tiere!$BN$2:$BN$153)&gt;0)),ROW()-2),1))))))))),"")</f>
        <v>Milchkühe (9000 kg Milch) - Gülle</v>
      </c>
      <c r="AQ36" s="1599"/>
      <c r="AR36" s="1624" t="str">
        <f>IFERROR(IF($A$9=$BO$1,$BO35,IF($A$9=$BP$1,$BP35,IF($A$9=$BQ$1,$BQ35,IF($A$9=$BR$1,$BR35,IF($A$9=$BS$1,$BS35,IF($A$9=$BT$1,$BT35,IF($A$9=$BU$1,$BU35,IF($A$9="",INDEX(Tiere!$BN$2:$BN$153,_xlfn.AGGREGATE(15,6,(ROW(Tiere!$BN$2:$BN$153)-1)/(--(SEARCH(AS$2,Tiere!$BN$2:$BN$153)&gt;0)),ROW()-2),1))))))))),"")</f>
        <v>Milchkühe (9000 kg Milch) - Gülle</v>
      </c>
      <c r="AS36" s="1599"/>
      <c r="AT36" s="1624" t="str">
        <f>IFERROR(IF($A$10=$BO$1,$BO35,IF($A$10=$BP$1,$BP35,IF($A$10=$BQ$1,$BQ35,IF($A$10=$BR$1,$BR35,IF($A$10=$BS$1,$BS35,IF($A$10=$BT$1,$BT35,IF($A$10=$BU$1,$BU35,IF($A$10="",INDEX(Tiere!$BN$2:$BN$153,_xlfn.AGGREGATE(15,6,(ROW(Tiere!$BN$2:$BN$153)-1)/(--(SEARCH(AU$2,Tiere!$BN$2:$BN$153)&gt;0)),ROW()-2),1))))))))),"")</f>
        <v>Milchkühe (9000 kg Milch) - Gülle</v>
      </c>
      <c r="AU36" s="1599"/>
      <c r="AV36" s="1624" t="str">
        <f>IFERROR(IF($A$11=$BO$1,$BO35,IF($A$11=$BP$1,$BP35,IF($A$11=$BQ$1,$BQ35,IF($A$11=$BR$1,$BR35,IF($A$11=$BS$1,$BS35,IF($A$11=$BT$1,$BT35,IF($A$11=$BU$1,$BU35,IF($A$11="",INDEX(Tiere!$BN$2:$BN$153,_xlfn.AGGREGATE(15,6,(ROW(Tiere!$BN$2:$BN$153)-1)/(--(SEARCH(AW$2,Tiere!$BN$2:$BN$153)&gt;0)),ROW()-2),1))))))))),"")</f>
        <v>Milchkühe (9000 kg Milch) - Gülle</v>
      </c>
      <c r="AW36" s="1599"/>
      <c r="AX36" s="1624" t="str">
        <f>IFERROR(IF($A$12=$BO$1,$BO35,IF($A$12=$BP$1,$BP35,IF($A$12=$BQ$1,$BQ35,IF($A$12=$BR$1,$BR35,IF($A$12=$BS$1,$BS35,IF($A$12=$BT$1,$BT35,IF($A$12=$BU$1,$BU35,IF($A$12="",INDEX(Tiere!$BN$2:$BN$153,_xlfn.AGGREGATE(15,6,(ROW(Tiere!$BN$2:$BN$153)-1)/(--(SEARCH(AY$2,Tiere!$BN$2:$BN$153)&gt;0)),ROW()-2),1))))))))),"")</f>
        <v>Milchkühe (9000 kg Milch) - Gülle</v>
      </c>
      <c r="AY36" s="1599"/>
      <c r="AZ36" s="1624" t="str">
        <f>IFERROR(IF($A$13=$BO$1,$BO35,IF($A$13=$BP$1,$BP35,IF($A$13=$BQ$1,$BQ35,IF($A$13=$BR$1,$BR35,IF($A$13=$BS$1,$BS35,IF($A$13=$BT$1,$BT35,IF($A$13=$BU$1,$BU35,IF($A$13="",INDEX(Tiere!$BN$2:$BN$153,_xlfn.AGGREGATE(15,6,(ROW(Tiere!$BN$2:$BN$153)-1)/(--(SEARCH(BA$2,Tiere!$BN$2:$BN$153)&gt;0)),ROW()-2),1))))))))),"")</f>
        <v>Milchkühe (9000 kg Milch) - Gülle</v>
      </c>
      <c r="BA36" s="1599"/>
      <c r="BB36" s="1624" t="str">
        <f>IFERROR(IF($A$14=$BO$1,$BO35,IF($A$14=$BP$1,$BP35,IF($A$14=$BQ$1,$BQ35,IF($A$14=$BR$1,$BR35,IF($A$14=$BS$1,$BS35,IF($A$14=$BT$1,$BT35,IF($A$14=$BU$1,$BU35,IF($A$14="",INDEX(Tiere!$BN$2:$BN$153,_xlfn.AGGREGATE(15,6,(ROW(Tiere!$BN$2:$BN$153)-1)/(--(SEARCH(BC$2,Tiere!$BN$2:$BN$153)&gt;0)),ROW()-2),1))))))))),"")</f>
        <v>Milchkühe (9000 kg Milch) - Gülle</v>
      </c>
      <c r="BC36" s="1599"/>
      <c r="BD36" s="1624" t="str">
        <f>IFERROR(IF($A$15=$BO$1,$BO35,IF($A$15=$BP$1,$BP35,IF($A$15=$BQ$1,$BQ35,IF($A$15=$BR$1,$BR35,IF($A$15=$BS$1,$BS35,IF($A$15=$BT$1,$BT35,IF($A$15=$BU$1,$BU35,IF($A$15="",INDEX(Tiere!$BN$2:$BN$153,_xlfn.AGGREGATE(15,6,(ROW(Tiere!$BN$2:$BN$153)-1)/(--(SEARCH(BE$2,Tiere!$BN$2:$BN$153)&gt;0)),ROW()-2),1))))))))),"")</f>
        <v>Milchkühe (9000 kg Milch) - Gülle</v>
      </c>
      <c r="BE36" s="1599"/>
      <c r="BF36" s="1624" t="str">
        <f>IFERROR(IF($A$16=$BO$1,$BO35,IF($A$16=$BP$1,$BP35,IF($A$16=$BQ$1,$BQ35,IF($A$16=$BR$1,$BR35,IF($A$16=$BS$1,$BS35,IF($A$16=$BT$1,$BT35,IF($A$16=$BU$1,$BU35,IF($A$16="",INDEX(Tiere!$BN$2:$BN$153,_xlfn.AGGREGATE(15,6,(ROW(Tiere!$BN$2:$BN$153)-1)/(--(SEARCH(BG$2,Tiere!$BN$2:$BN$153)&gt;0)),ROW()-2),1))))))))),"")</f>
        <v>Milchkühe (9000 kg Milch) - Gülle</v>
      </c>
      <c r="BG36" s="1599"/>
      <c r="BH36" s="1624" t="str">
        <f>IFERROR(IF($A$17=$BO$1,$BO35,IF($A$17=$BP$1,$BP35,IF($A$17=$BQ$1,$BQ35,IF($A$17=$BR$1,$BR35,IF($A$17=$BS$1,$BS35,IF($A$17=$BT$1,$BT35,IF($A$17=$BU$1,$BU35,IF($A$17="",INDEX(Tiere!$BN$2:$BN$153,_xlfn.AGGREGATE(15,6,(ROW(Tiere!$BN$2:$BN$153)-1)/(--(SEARCH(BI$2,Tiere!$BN$2:$BN$153)&gt;0)),ROW()-2),1))))))))),"")</f>
        <v>Milchkühe (9000 kg Milch) - Gülle</v>
      </c>
      <c r="BI36" s="1599"/>
      <c r="BJ36" s="1624" t="str">
        <f>IFERROR(IF($A$18=$BO$1,$BO35,IF($A$18=$BP$1,$BP35,IF($A$18=$BQ$1,$BQ35,IF($A$18=$BR$1,$BR35,IF($A$18=$BS$1,$BS35,IF($A$18=$BT$1,$BT35,IF($A$18=$BU$1,$BU35,IF($A$18="",INDEX(Tiere!$BN$2:$BN$153,_xlfn.AGGREGATE(15,6,(ROW(Tiere!$BN$2:$BN$153)-1)/(--(SEARCH(BK$2,Tiere!$BN$2:$BN$153)&gt;0)),ROW()-2),1))))))))),"")</f>
        <v>Milchkühe (9000 kg Milch) - Gülle</v>
      </c>
      <c r="BK36" s="1599"/>
      <c r="BL36" s="1624" t="str">
        <f>IFERROR(IF($A$19=$BO$1,$BO35,IF($A$19=$BP$1,$BP35,IF($A$19=$BQ$1,$BQ35,IF($A$19=$BR$1,$BR35,IF($A$19=$BS$1,$BS35,IF($A$19=$BT$1,$BT35,IF($A$19=$BU$1,$BU35,IF($A$19="",INDEX(Tiere!$BN$2:$BN$153,_xlfn.AGGREGATE(15,6,(ROW(Tiere!$BN$2:$BN$153)-1)/(--(SEARCH(BM$2,Tiere!$BN$2:$BN$153)&gt;0)),ROW()-2),1))))))))),"")</f>
        <v>Milchkühe (9000 kg Milch) - Gülle</v>
      </c>
      <c r="BM36" s="1599"/>
      <c r="BN36" s="1630" t="s">
        <v>649</v>
      </c>
      <c r="BO36" s="1599" t="s">
        <v>649</v>
      </c>
      <c r="BP36" s="1599" t="s">
        <v>2393</v>
      </c>
      <c r="BQ36" s="1599"/>
      <c r="BR36" s="1599"/>
      <c r="BS36" s="1599"/>
      <c r="BT36" s="1599"/>
      <c r="BU36" s="1623" t="s">
        <v>832</v>
      </c>
      <c r="CD36" s="1911" t="s">
        <v>649</v>
      </c>
    </row>
    <row r="37" spans="1:82" ht="21" customHeight="1" thickBot="1">
      <c r="A37" s="443"/>
      <c r="B37" s="444" t="s">
        <v>373</v>
      </c>
      <c r="C37" s="442"/>
      <c r="D37" s="442"/>
      <c r="E37" s="442"/>
      <c r="F37" s="442"/>
      <c r="G37" s="442"/>
      <c r="H37" s="442"/>
      <c r="I37" s="442"/>
      <c r="J37" s="442"/>
      <c r="K37" s="442"/>
      <c r="L37" s="442"/>
      <c r="M37" s="442"/>
      <c r="N37" s="442"/>
      <c r="O37" s="442"/>
      <c r="P37" s="442"/>
      <c r="Q37" s="442"/>
      <c r="R37" s="442"/>
      <c r="S37" s="442"/>
      <c r="T37" s="442"/>
      <c r="U37" s="442"/>
      <c r="V37" s="440"/>
      <c r="W37" s="440"/>
      <c r="X37" s="440"/>
      <c r="Y37" s="440"/>
      <c r="AJ37" s="1624" t="str">
        <f>IFERROR(IF($A$5=$BO$1,$BO36,IF($A$5=$BP$1,$BP36,IF($A$5=$BQ$1,$BQ36,IF($A$5=$BR$1,$BR36,IF($A$5=$BS$1,$BS36,IF($A$5=$BT$1,$BT36,IF($A$5=$BU$1,$BU36,IF($A$5="",INDEX(Tiere!$BN$2:$BN$153,_xlfn.AGGREGATE(15,6,(ROW(Tiere!$BN$2:$BN$153)-1)/(--(SEARCH(AK$2,Tiere!$BN$2:$BN$153)&gt;0)),ROW()-2),1))))))))),"")</f>
        <v>Milchkühe (9000 kg Milch) - Mist/Jauche</v>
      </c>
      <c r="AK37" s="1601"/>
      <c r="AL37" s="1624" t="str">
        <f>IFERROR(IF($A$6=$BO$1,$BO36,IF($A$6=$BP$1,$BP36,IF($A$6=$BQ$1,$BQ36,IF($A$6=$BR$1,$BR36,IF($A$6=$BS$1,$BS36,IF($A$6=$BT$1,$BT36,IF($A$6=$BU$1,$BU36,IF($A$6="",INDEX(Tiere!$BN$2:$BN$153,_xlfn.AGGREGATE(15,6,(ROW(Tiere!$BN$2:$BN$153)-1)/(--(SEARCH(AM$2,Tiere!$BN$2:$BN$153)&gt;0)),ROW()-2),1))))))))),"")</f>
        <v>Milchkühe (9000 kg Milch) - Mist/Jauche</v>
      </c>
      <c r="AM37" s="1601"/>
      <c r="AN37" s="1624" t="str">
        <f>IFERROR(IF($A$7=$BO$1,$BO36,IF($A$7=$BP$1,$BP36,IF($A$7=$BQ$1,$BQ36,IF($A$7=$BR$1,$BR36,IF($A$7=$BS$1,$BS36,IF($A$7=$BT$1,$BT36,IF($A$7=$BU$1,$BU36,IF($A$7="",INDEX(Tiere!$BN$2:$BN$153,_xlfn.AGGREGATE(15,6,(ROW(Tiere!$BN$2:$BN$153)-1)/(--(SEARCH(AM$2,Tiere!$BN$2:$BN$153)&gt;0)),ROW()-2),1))))))))),"")</f>
        <v>Milchkühe (9000 kg Milch) - Mist/Jauche</v>
      </c>
      <c r="AO37" s="1601"/>
      <c r="AP37" s="1624" t="str">
        <f>IFERROR(IF($A$8=$BO$1,$BO36,IF($A$8=$BP$1,$BP36,IF($A$8=$BQ$1,$BQ36,IF($A$8=$BR$1,$BR36,IF($A$8=$BS$1,$BS36,IF($A$8=$BT$1,$BT36,IF($A$8=$BU$1,$BU36,IF($A$8="",INDEX(Tiere!$BN$2:$BN$153,_xlfn.AGGREGATE(15,6,(ROW(Tiere!$BN$2:$BN$153)-1)/(--(SEARCH(AQ$2,Tiere!$BN$2:$BN$153)&gt;0)),ROW()-2),1))))))))),"")</f>
        <v>Milchkühe (9000 kg Milch) - Mist/Jauche</v>
      </c>
      <c r="AQ37" s="1601"/>
      <c r="AR37" s="1624" t="str">
        <f>IFERROR(IF($A$9=$BO$1,$BO36,IF($A$9=$BP$1,$BP36,IF($A$9=$BQ$1,$BQ36,IF($A$9=$BR$1,$BR36,IF($A$9=$BS$1,$BS36,IF($A$9=$BT$1,$BT36,IF($A$9=$BU$1,$BU36,IF($A$9="",INDEX(Tiere!$BN$2:$BN$153,_xlfn.AGGREGATE(15,6,(ROW(Tiere!$BN$2:$BN$153)-1)/(--(SEARCH(AS$2,Tiere!$BN$2:$BN$153)&gt;0)),ROW()-2),1))))))))),"")</f>
        <v>Milchkühe (9000 kg Milch) - Mist/Jauche</v>
      </c>
      <c r="AS37" s="1601"/>
      <c r="AT37" s="1624" t="str">
        <f>IFERROR(IF($A$10=$BO$1,$BO36,IF($A$10=$BP$1,$BP36,IF($A$10=$BQ$1,$BQ36,IF($A$10=$BR$1,$BR36,IF($A$10=$BS$1,$BS36,IF($A$10=$BT$1,$BT36,IF($A$10=$BU$1,$BU36,IF($A$10="",INDEX(Tiere!$BN$2:$BN$153,_xlfn.AGGREGATE(15,6,(ROW(Tiere!$BN$2:$BN$153)-1)/(--(SEARCH(AU$2,Tiere!$BN$2:$BN$153)&gt;0)),ROW()-2),1))))))))),"")</f>
        <v>Milchkühe (9000 kg Milch) - Mist/Jauche</v>
      </c>
      <c r="AU37" s="1601"/>
      <c r="AV37" s="1624" t="str">
        <f>IFERROR(IF($A$11=$BO$1,$BO36,IF($A$11=$BP$1,$BP36,IF($A$11=$BQ$1,$BQ36,IF($A$11=$BR$1,$BR36,IF($A$11=$BS$1,$BS36,IF($A$11=$BT$1,$BT36,IF($A$11=$BU$1,$BU36,IF($A$11="",INDEX(Tiere!$BN$2:$BN$153,_xlfn.AGGREGATE(15,6,(ROW(Tiere!$BN$2:$BN$153)-1)/(--(SEARCH(AW$2,Tiere!$BN$2:$BN$153)&gt;0)),ROW()-2),1))))))))),"")</f>
        <v>Milchkühe (9000 kg Milch) - Mist/Jauche</v>
      </c>
      <c r="AW37" s="1601"/>
      <c r="AX37" s="1624" t="str">
        <f>IFERROR(IF($A$12=$BO$1,$BO36,IF($A$12=$BP$1,$BP36,IF($A$12=$BQ$1,$BQ36,IF($A$12=$BR$1,$BR36,IF($A$12=$BS$1,$BS36,IF($A$12=$BT$1,$BT36,IF($A$12=$BU$1,$BU36,IF($A$12="",INDEX(Tiere!$BN$2:$BN$153,_xlfn.AGGREGATE(15,6,(ROW(Tiere!$BN$2:$BN$153)-1)/(--(SEARCH(AY$2,Tiere!$BN$2:$BN$153)&gt;0)),ROW()-2),1))))))))),"")</f>
        <v>Milchkühe (9000 kg Milch) - Mist/Jauche</v>
      </c>
      <c r="AY37" s="1601"/>
      <c r="AZ37" s="1624" t="str">
        <f>IFERROR(IF($A$13=$BO$1,$BO36,IF($A$13=$BP$1,$BP36,IF($A$13=$BQ$1,$BQ36,IF($A$13=$BR$1,$BR36,IF($A$13=$BS$1,$BS36,IF($A$13=$BT$1,$BT36,IF($A$13=$BU$1,$BU36,IF($A$13="",INDEX(Tiere!$BN$2:$BN$153,_xlfn.AGGREGATE(15,6,(ROW(Tiere!$BN$2:$BN$153)-1)/(--(SEARCH(BA$2,Tiere!$BN$2:$BN$153)&gt;0)),ROW()-2),1))))))))),"")</f>
        <v>Milchkühe (9000 kg Milch) - Mist/Jauche</v>
      </c>
      <c r="BA37" s="1601"/>
      <c r="BB37" s="1624" t="str">
        <f>IFERROR(IF($A$14=$BO$1,$BO36,IF($A$14=$BP$1,$BP36,IF($A$14=$BQ$1,$BQ36,IF($A$14=$BR$1,$BR36,IF($A$14=$BS$1,$BS36,IF($A$14=$BT$1,$BT36,IF($A$14=$BU$1,$BU36,IF($A$14="",INDEX(Tiere!$BN$2:$BN$153,_xlfn.AGGREGATE(15,6,(ROW(Tiere!$BN$2:$BN$153)-1)/(--(SEARCH(BC$2,Tiere!$BN$2:$BN$153)&gt;0)),ROW()-2),1))))))))),"")</f>
        <v>Milchkühe (9000 kg Milch) - Mist/Jauche</v>
      </c>
      <c r="BC37" s="1601"/>
      <c r="BD37" s="1624" t="str">
        <f>IFERROR(IF($A$15=$BO$1,$BO36,IF($A$15=$BP$1,$BP36,IF($A$15=$BQ$1,$BQ36,IF($A$15=$BR$1,$BR36,IF($A$15=$BS$1,$BS36,IF($A$15=$BT$1,$BT36,IF($A$15=$BU$1,$BU36,IF($A$15="",INDEX(Tiere!$BN$2:$BN$153,_xlfn.AGGREGATE(15,6,(ROW(Tiere!$BN$2:$BN$153)-1)/(--(SEARCH(BE$2,Tiere!$BN$2:$BN$153)&gt;0)),ROW()-2),1))))))))),"")</f>
        <v>Milchkühe (9000 kg Milch) - Mist/Jauche</v>
      </c>
      <c r="BE37" s="1601"/>
      <c r="BF37" s="1624" t="str">
        <f>IFERROR(IF($A$16=$BO$1,$BO36,IF($A$16=$BP$1,$BP36,IF($A$16=$BQ$1,$BQ36,IF($A$16=$BR$1,$BR36,IF($A$16=$BS$1,$BS36,IF($A$16=$BT$1,$BT36,IF($A$16=$BU$1,$BU36,IF($A$16="",INDEX(Tiere!$BN$2:$BN$153,_xlfn.AGGREGATE(15,6,(ROW(Tiere!$BN$2:$BN$153)-1)/(--(SEARCH(BG$2,Tiere!$BN$2:$BN$153)&gt;0)),ROW()-2),1))))))))),"")</f>
        <v>Milchkühe (9000 kg Milch) - Mist/Jauche</v>
      </c>
      <c r="BG37" s="1601"/>
      <c r="BH37" s="1624" t="str">
        <f>IFERROR(IF($A$17=$BO$1,$BO36,IF($A$17=$BP$1,$BP36,IF($A$17=$BQ$1,$BQ36,IF($A$17=$BR$1,$BR36,IF($A$17=$BS$1,$BS36,IF($A$17=$BT$1,$BT36,IF($A$17=$BU$1,$BU36,IF($A$17="",INDEX(Tiere!$BN$2:$BN$153,_xlfn.AGGREGATE(15,6,(ROW(Tiere!$BN$2:$BN$153)-1)/(--(SEARCH(BI$2,Tiere!$BN$2:$BN$153)&gt;0)),ROW()-2),1))))))))),"")</f>
        <v>Milchkühe (9000 kg Milch) - Mist/Jauche</v>
      </c>
      <c r="BI37" s="1601"/>
      <c r="BJ37" s="1624" t="str">
        <f>IFERROR(IF($A$18=$BO$1,$BO36,IF($A$18=$BP$1,$BP36,IF($A$18=$BQ$1,$BQ36,IF($A$18=$BR$1,$BR36,IF($A$18=$BS$1,$BS36,IF($A$18=$BT$1,$BT36,IF($A$18=$BU$1,$BU36,IF($A$18="",INDEX(Tiere!$BN$2:$BN$153,_xlfn.AGGREGATE(15,6,(ROW(Tiere!$BN$2:$BN$153)-1)/(--(SEARCH(BK$2,Tiere!$BN$2:$BN$153)&gt;0)),ROW()-2),1))))))))),"")</f>
        <v>Milchkühe (9000 kg Milch) - Mist/Jauche</v>
      </c>
      <c r="BK37" s="1601"/>
      <c r="BL37" s="1624" t="str">
        <f>IFERROR(IF($A$19=$BO$1,$BO36,IF($A$19=$BP$1,$BP36,IF($A$19=$BQ$1,$BQ36,IF($A$19=$BR$1,$BR36,IF($A$19=$BS$1,$BS36,IF($A$19=$BT$1,$BT36,IF($A$19=$BU$1,$BU36,IF($A$19="",INDEX(Tiere!$BN$2:$BN$153,_xlfn.AGGREGATE(15,6,(ROW(Tiere!$BN$2:$BN$153)-1)/(--(SEARCH(BM$2,Tiere!$BN$2:$BN$153)&gt;0)),ROW()-2),1))))))))),"")</f>
        <v>Milchkühe (9000 kg Milch) - Mist/Jauche</v>
      </c>
      <c r="BM37" s="1601"/>
      <c r="BN37" s="1630" t="s">
        <v>657</v>
      </c>
      <c r="BO37" s="1599" t="s">
        <v>657</v>
      </c>
      <c r="BP37" s="1599" t="s">
        <v>2394</v>
      </c>
      <c r="BQ37" s="1599"/>
      <c r="BR37" s="1599"/>
      <c r="BS37" s="1599"/>
      <c r="BT37" s="1599"/>
      <c r="BU37" s="1599" t="s">
        <v>833</v>
      </c>
      <c r="CD37" s="1911" t="s">
        <v>657</v>
      </c>
    </row>
    <row r="38" spans="1:82" ht="13.5" thickBot="1">
      <c r="AJ38" s="1624" t="str">
        <f>IFERROR(IF($A$5=$BO$1,$BO37,IF($A$5=$BP$1,$BP37,IF($A$5=$BQ$1,$BQ37,IF($A$5=$BR$1,$BR37,IF($A$5=$BS$1,$BS37,IF($A$5=$BT$1,$BT37,IF($A$5=$BU$1,$BU37,IF($A$5="",INDEX(Tiere!$BN$2:$BN$153,_xlfn.AGGREGATE(15,6,(ROW(Tiere!$BN$2:$BN$153)-1)/(--(SEARCH(AK$2,Tiere!$BN$2:$BN$153)&gt;0)),ROW()-2),1))))))))),"")</f>
        <v>Milchkühe (9000 kg Milch) - Tiefstallmist</v>
      </c>
      <c r="AK38" s="1599"/>
      <c r="AL38" s="1624" t="str">
        <f>IFERROR(IF($A$6=$BO$1,$BO37,IF($A$6=$BP$1,$BP37,IF($A$6=$BQ$1,$BQ37,IF($A$6=$BR$1,$BR37,IF($A$6=$BS$1,$BS37,IF($A$6=$BT$1,$BT37,IF($A$6=$BU$1,$BU37,IF($A$6="",INDEX(Tiere!$BN$2:$BN$153,_xlfn.AGGREGATE(15,6,(ROW(Tiere!$BN$2:$BN$153)-1)/(--(SEARCH(AM$2,Tiere!$BN$2:$BN$153)&gt;0)),ROW()-2),1))))))))),"")</f>
        <v>Milchkühe (9000 kg Milch) - Tiefstallmist</v>
      </c>
      <c r="AM38" s="1599"/>
      <c r="AN38" s="1624" t="str">
        <f>IFERROR(IF($A$7=$BO$1,$BO37,IF($A$7=$BP$1,$BP37,IF($A$7=$BQ$1,$BQ37,IF($A$7=$BR$1,$BR37,IF($A$7=$BS$1,$BS37,IF($A$7=$BT$1,$BT37,IF($A$7=$BU$1,$BU37,IF($A$7="",INDEX(Tiere!$BN$2:$BN$153,_xlfn.AGGREGATE(15,6,(ROW(Tiere!$BN$2:$BN$153)-1)/(--(SEARCH(AM$2,Tiere!$BN$2:$BN$153)&gt;0)),ROW()-2),1))))))))),"")</f>
        <v>Milchkühe (9000 kg Milch) - Tiefstallmist</v>
      </c>
      <c r="AO38" s="1599"/>
      <c r="AP38" s="1624" t="str">
        <f>IFERROR(IF($A$8=$BO$1,$BO37,IF($A$8=$BP$1,$BP37,IF($A$8=$BQ$1,$BQ37,IF($A$8=$BR$1,$BR37,IF($A$8=$BS$1,$BS37,IF($A$8=$BT$1,$BT37,IF($A$8=$BU$1,$BU37,IF($A$8="",INDEX(Tiere!$BN$2:$BN$153,_xlfn.AGGREGATE(15,6,(ROW(Tiere!$BN$2:$BN$153)-1)/(--(SEARCH(AQ$2,Tiere!$BN$2:$BN$153)&gt;0)),ROW()-2),1))))))))),"")</f>
        <v>Milchkühe (9000 kg Milch) - Tiefstallmist</v>
      </c>
      <c r="AQ38" s="1599"/>
      <c r="AR38" s="1624" t="str">
        <f>IFERROR(IF($A$9=$BO$1,$BO37,IF($A$9=$BP$1,$BP37,IF($A$9=$BQ$1,$BQ37,IF($A$9=$BR$1,$BR37,IF($A$9=$BS$1,$BS37,IF($A$9=$BT$1,$BT37,IF($A$9=$BU$1,$BU37,IF($A$9="",INDEX(Tiere!$BN$2:$BN$153,_xlfn.AGGREGATE(15,6,(ROW(Tiere!$BN$2:$BN$153)-1)/(--(SEARCH(AS$2,Tiere!$BN$2:$BN$153)&gt;0)),ROW()-2),1))))))))),"")</f>
        <v>Milchkühe (9000 kg Milch) - Tiefstallmist</v>
      </c>
      <c r="AS38" s="1599"/>
      <c r="AT38" s="1624" t="str">
        <f>IFERROR(IF($A$10=$BO$1,$BO37,IF($A$10=$BP$1,$BP37,IF($A$10=$BQ$1,$BQ37,IF($A$10=$BR$1,$BR37,IF($A$10=$BS$1,$BS37,IF($A$10=$BT$1,$BT37,IF($A$10=$BU$1,$BU37,IF($A$10="",INDEX(Tiere!$BN$2:$BN$153,_xlfn.AGGREGATE(15,6,(ROW(Tiere!$BN$2:$BN$153)-1)/(--(SEARCH(AU$2,Tiere!$BN$2:$BN$153)&gt;0)),ROW()-2),1))))))))),"")</f>
        <v>Milchkühe (9000 kg Milch) - Tiefstallmist</v>
      </c>
      <c r="AU38" s="1599"/>
      <c r="AV38" s="1624" t="str">
        <f>IFERROR(IF($A$11=$BO$1,$BO37,IF($A$11=$BP$1,$BP37,IF($A$11=$BQ$1,$BQ37,IF($A$11=$BR$1,$BR37,IF($A$11=$BS$1,$BS37,IF($A$11=$BT$1,$BT37,IF($A$11=$BU$1,$BU37,IF($A$11="",INDEX(Tiere!$BN$2:$BN$153,_xlfn.AGGREGATE(15,6,(ROW(Tiere!$BN$2:$BN$153)-1)/(--(SEARCH(AW$2,Tiere!$BN$2:$BN$153)&gt;0)),ROW()-2),1))))))))),"")</f>
        <v>Milchkühe (9000 kg Milch) - Tiefstallmist</v>
      </c>
      <c r="AW38" s="1599"/>
      <c r="AX38" s="1624" t="str">
        <f>IFERROR(IF($A$12=$BO$1,$BO37,IF($A$12=$BP$1,$BP37,IF($A$12=$BQ$1,$BQ37,IF($A$12=$BR$1,$BR37,IF($A$12=$BS$1,$BS37,IF($A$12=$BT$1,$BT37,IF($A$12=$BU$1,$BU37,IF($A$12="",INDEX(Tiere!$BN$2:$BN$153,_xlfn.AGGREGATE(15,6,(ROW(Tiere!$BN$2:$BN$153)-1)/(--(SEARCH(AY$2,Tiere!$BN$2:$BN$153)&gt;0)),ROW()-2),1))))))))),"")</f>
        <v>Milchkühe (9000 kg Milch) - Tiefstallmist</v>
      </c>
      <c r="AY38" s="1599"/>
      <c r="AZ38" s="1624" t="str">
        <f>IFERROR(IF($A$13=$BO$1,$BO37,IF($A$13=$BP$1,$BP37,IF($A$13=$BQ$1,$BQ37,IF($A$13=$BR$1,$BR37,IF($A$13=$BS$1,$BS37,IF($A$13=$BT$1,$BT37,IF($A$13=$BU$1,$BU37,IF($A$13="",INDEX(Tiere!$BN$2:$BN$153,_xlfn.AGGREGATE(15,6,(ROW(Tiere!$BN$2:$BN$153)-1)/(--(SEARCH(BA$2,Tiere!$BN$2:$BN$153)&gt;0)),ROW()-2),1))))))))),"")</f>
        <v>Milchkühe (9000 kg Milch) - Tiefstallmist</v>
      </c>
      <c r="BA38" s="1599"/>
      <c r="BB38" s="1624" t="str">
        <f>IFERROR(IF($A$14=$BO$1,$BO37,IF($A$14=$BP$1,$BP37,IF($A$14=$BQ$1,$BQ37,IF($A$14=$BR$1,$BR37,IF($A$14=$BS$1,$BS37,IF($A$14=$BT$1,$BT37,IF($A$14=$BU$1,$BU37,IF($A$14="",INDEX(Tiere!$BN$2:$BN$153,_xlfn.AGGREGATE(15,6,(ROW(Tiere!$BN$2:$BN$153)-1)/(--(SEARCH(BC$2,Tiere!$BN$2:$BN$153)&gt;0)),ROW()-2),1))))))))),"")</f>
        <v>Milchkühe (9000 kg Milch) - Tiefstallmist</v>
      </c>
      <c r="BC38" s="1599"/>
      <c r="BD38" s="1624" t="str">
        <f>IFERROR(IF($A$15=$BO$1,$BO37,IF($A$15=$BP$1,$BP37,IF($A$15=$BQ$1,$BQ37,IF($A$15=$BR$1,$BR37,IF($A$15=$BS$1,$BS37,IF($A$15=$BT$1,$BT37,IF($A$15=$BU$1,$BU37,IF($A$15="",INDEX(Tiere!$BN$2:$BN$153,_xlfn.AGGREGATE(15,6,(ROW(Tiere!$BN$2:$BN$153)-1)/(--(SEARCH(BE$2,Tiere!$BN$2:$BN$153)&gt;0)),ROW()-2),1))))))))),"")</f>
        <v>Milchkühe (9000 kg Milch) - Tiefstallmist</v>
      </c>
      <c r="BE38" s="1599"/>
      <c r="BF38" s="1624" t="str">
        <f>IFERROR(IF($A$16=$BO$1,$BO37,IF($A$16=$BP$1,$BP37,IF($A$16=$BQ$1,$BQ37,IF($A$16=$BR$1,$BR37,IF($A$16=$BS$1,$BS37,IF($A$16=$BT$1,$BT37,IF($A$16=$BU$1,$BU37,IF($A$16="",INDEX(Tiere!$BN$2:$BN$153,_xlfn.AGGREGATE(15,6,(ROW(Tiere!$BN$2:$BN$153)-1)/(--(SEARCH(BG$2,Tiere!$BN$2:$BN$153)&gt;0)),ROW()-2),1))))))))),"")</f>
        <v>Milchkühe (9000 kg Milch) - Tiefstallmist</v>
      </c>
      <c r="BG38" s="1599"/>
      <c r="BH38" s="1624" t="str">
        <f>IFERROR(IF($A$17=$BO$1,$BO37,IF($A$17=$BP$1,$BP37,IF($A$17=$BQ$1,$BQ37,IF($A$17=$BR$1,$BR37,IF($A$17=$BS$1,$BS37,IF($A$17=$BT$1,$BT37,IF($A$17=$BU$1,$BU37,IF($A$17="",INDEX(Tiere!$BN$2:$BN$153,_xlfn.AGGREGATE(15,6,(ROW(Tiere!$BN$2:$BN$153)-1)/(--(SEARCH(BI$2,Tiere!$BN$2:$BN$153)&gt;0)),ROW()-2),1))))))))),"")</f>
        <v>Milchkühe (9000 kg Milch) - Tiefstallmist</v>
      </c>
      <c r="BI38" s="1599"/>
      <c r="BJ38" s="1624" t="str">
        <f>IFERROR(IF($A$18=$BO$1,$BO37,IF($A$18=$BP$1,$BP37,IF($A$18=$BQ$1,$BQ37,IF($A$18=$BR$1,$BR37,IF($A$18=$BS$1,$BS37,IF($A$18=$BT$1,$BT37,IF($A$18=$BU$1,$BU37,IF($A$18="",INDEX(Tiere!$BN$2:$BN$153,_xlfn.AGGREGATE(15,6,(ROW(Tiere!$BN$2:$BN$153)-1)/(--(SEARCH(BK$2,Tiere!$BN$2:$BN$153)&gt;0)),ROW()-2),1))))))))),"")</f>
        <v>Milchkühe (9000 kg Milch) - Tiefstallmist</v>
      </c>
      <c r="BK38" s="1599"/>
      <c r="BL38" s="1624" t="str">
        <f>IFERROR(IF($A$19=$BO$1,$BO37,IF($A$19=$BP$1,$BP37,IF($A$19=$BQ$1,$BQ37,IF($A$19=$BR$1,$BR37,IF($A$19=$BS$1,$BS37,IF($A$19=$BT$1,$BT37,IF($A$19=$BU$1,$BU37,IF($A$19="",INDEX(Tiere!$BN$2:$BN$153,_xlfn.AGGREGATE(15,6,(ROW(Tiere!$BN$2:$BN$153)-1)/(--(SEARCH(BM$2,Tiere!$BN$2:$BN$153)&gt;0)),ROW()-2),1))))))))),"")</f>
        <v>Milchkühe (9000 kg Milch) - Tiefstallmist</v>
      </c>
      <c r="BM38" s="1599"/>
      <c r="BN38" s="1630" t="s">
        <v>662</v>
      </c>
      <c r="BO38" s="1599" t="s">
        <v>662</v>
      </c>
      <c r="BP38" s="1901"/>
      <c r="BQ38" s="1599"/>
      <c r="BR38" s="1599"/>
      <c r="BS38" s="1599"/>
      <c r="BT38" s="1599"/>
      <c r="BU38" s="1599" t="s">
        <v>834</v>
      </c>
      <c r="CD38" s="1911" t="s">
        <v>662</v>
      </c>
    </row>
    <row r="39" spans="1:82" ht="13.5" thickBot="1">
      <c r="AJ39" s="1624" t="str">
        <f>IFERROR(IF($A$5=$BO$1,$BO38,IF($A$5=$BP$1,$BP38,IF($A$5=$BQ$1,$BQ38,IF($A$5=$BR$1,$BR38,IF($A$5=$BS$1,$BS38,IF($A$5=$BT$1,$BT38,IF($A$5=$BU$1,$BU38,IF($A$5="",INDEX(Tiere!$BN$2:$BN$153,_xlfn.AGGREGATE(15,6,(ROW(Tiere!$BN$2:$BN$153)-1)/(--(SEARCH(AK$2,Tiere!$BN$2:$BN$153)&gt;0)),ROW()-2),1))))))))),"")</f>
        <v>Milchkühe (&gt; 10.000 kg Milch) - Gülle</v>
      </c>
      <c r="AK39" s="1601"/>
      <c r="AL39" s="1624" t="str">
        <f>IFERROR(IF($A$6=$BO$1,$BO38,IF($A$6=$BP$1,$BP38,IF($A$6=$BQ$1,$BQ38,IF($A$6=$BR$1,$BR38,IF($A$6=$BS$1,$BS38,IF($A$6=$BT$1,$BT38,IF($A$6=$BU$1,$BU38,IF($A$6="",INDEX(Tiere!$BN$2:$BN$153,_xlfn.AGGREGATE(15,6,(ROW(Tiere!$BN$2:$BN$153)-1)/(--(SEARCH(AM$2,Tiere!$BN$2:$BN$153)&gt;0)),ROW()-2),1))))))))),"")</f>
        <v>Milchkühe (&gt; 10.000 kg Milch) - Gülle</v>
      </c>
      <c r="AM39" s="1601"/>
      <c r="AN39" s="1624" t="str">
        <f>IFERROR(IF($A$7=$BO$1,$BO38,IF($A$7=$BP$1,$BP38,IF($A$7=$BQ$1,$BQ38,IF($A$7=$BR$1,$BR38,IF($A$7=$BS$1,$BS38,IF($A$7=$BT$1,$BT38,IF($A$7=$BU$1,$BU38,IF($A$7="",INDEX(Tiere!$BN$2:$BN$153,_xlfn.AGGREGATE(15,6,(ROW(Tiere!$BN$2:$BN$153)-1)/(--(SEARCH(AM$2,Tiere!$BN$2:$BN$153)&gt;0)),ROW()-2),1))))))))),"")</f>
        <v>Milchkühe (&gt; 10.000 kg Milch) - Gülle</v>
      </c>
      <c r="AO39" s="1601"/>
      <c r="AP39" s="1624" t="str">
        <f>IFERROR(IF($A$8=$BO$1,$BO38,IF($A$8=$BP$1,$BP38,IF($A$8=$BQ$1,$BQ38,IF($A$8=$BR$1,$BR38,IF($A$8=$BS$1,$BS38,IF($A$8=$BT$1,$BT38,IF($A$8=$BU$1,$BU38,IF($A$8="",INDEX(Tiere!$BN$2:$BN$153,_xlfn.AGGREGATE(15,6,(ROW(Tiere!$BN$2:$BN$153)-1)/(--(SEARCH(AQ$2,Tiere!$BN$2:$BN$153)&gt;0)),ROW()-2),1))))))))),"")</f>
        <v>Milchkühe (&gt; 10.000 kg Milch) - Gülle</v>
      </c>
      <c r="AQ39" s="1601"/>
      <c r="AR39" s="1624" t="str">
        <f>IFERROR(IF($A$9=$BO$1,$BO38,IF($A$9=$BP$1,$BP38,IF($A$9=$BQ$1,$BQ38,IF($A$9=$BR$1,$BR38,IF($A$9=$BS$1,$BS38,IF($A$9=$BT$1,$BT38,IF($A$9=$BU$1,$BU38,IF($A$9="",INDEX(Tiere!$BN$2:$BN$153,_xlfn.AGGREGATE(15,6,(ROW(Tiere!$BN$2:$BN$153)-1)/(--(SEARCH(AS$2,Tiere!$BN$2:$BN$153)&gt;0)),ROW()-2),1))))))))),"")</f>
        <v>Milchkühe (&gt; 10.000 kg Milch) - Gülle</v>
      </c>
      <c r="AS39" s="1601"/>
      <c r="AT39" s="1624" t="str">
        <f>IFERROR(IF($A$10=$BO$1,$BO38,IF($A$10=$BP$1,$BP38,IF($A$10=$BQ$1,$BQ38,IF($A$10=$BR$1,$BR38,IF($A$10=$BS$1,$BS38,IF($A$10=$BT$1,$BT38,IF($A$10=$BU$1,$BU38,IF($A$10="",INDEX(Tiere!$BN$2:$BN$153,_xlfn.AGGREGATE(15,6,(ROW(Tiere!$BN$2:$BN$153)-1)/(--(SEARCH(AU$2,Tiere!$BN$2:$BN$153)&gt;0)),ROW()-2),1))))))))),"")</f>
        <v>Milchkühe (&gt; 10.000 kg Milch) - Gülle</v>
      </c>
      <c r="AU39" s="1601"/>
      <c r="AV39" s="1624" t="str">
        <f>IFERROR(IF($A$11=$BO$1,$BO38,IF($A$11=$BP$1,$BP38,IF($A$11=$BQ$1,$BQ38,IF($A$11=$BR$1,$BR38,IF($A$11=$BS$1,$BS38,IF($A$11=$BT$1,$BT38,IF($A$11=$BU$1,$BU38,IF($A$11="",INDEX(Tiere!$BN$2:$BN$153,_xlfn.AGGREGATE(15,6,(ROW(Tiere!$BN$2:$BN$153)-1)/(--(SEARCH(AW$2,Tiere!$BN$2:$BN$153)&gt;0)),ROW()-2),1))))))))),"")</f>
        <v>Milchkühe (&gt; 10.000 kg Milch) - Gülle</v>
      </c>
      <c r="AW39" s="1601"/>
      <c r="AX39" s="1624" t="str">
        <f>IFERROR(IF($A$12=$BO$1,$BO38,IF($A$12=$BP$1,$BP38,IF($A$12=$BQ$1,$BQ38,IF($A$12=$BR$1,$BR38,IF($A$12=$BS$1,$BS38,IF($A$12=$BT$1,$BT38,IF($A$12=$BU$1,$BU38,IF($A$12="",INDEX(Tiere!$BN$2:$BN$153,_xlfn.AGGREGATE(15,6,(ROW(Tiere!$BN$2:$BN$153)-1)/(--(SEARCH(AY$2,Tiere!$BN$2:$BN$153)&gt;0)),ROW()-2),1))))))))),"")</f>
        <v>Milchkühe (&gt; 10.000 kg Milch) - Gülle</v>
      </c>
      <c r="AY39" s="1601"/>
      <c r="AZ39" s="1624" t="str">
        <f>IFERROR(IF($A$13=$BO$1,$BO38,IF($A$13=$BP$1,$BP38,IF($A$13=$BQ$1,$BQ38,IF($A$13=$BR$1,$BR38,IF($A$13=$BS$1,$BS38,IF($A$13=$BT$1,$BT38,IF($A$13=$BU$1,$BU38,IF($A$13="",INDEX(Tiere!$BN$2:$BN$153,_xlfn.AGGREGATE(15,6,(ROW(Tiere!$BN$2:$BN$153)-1)/(--(SEARCH(BA$2,Tiere!$BN$2:$BN$153)&gt;0)),ROW()-2),1))))))))),"")</f>
        <v>Milchkühe (&gt; 10.000 kg Milch) - Gülle</v>
      </c>
      <c r="BA39" s="1601"/>
      <c r="BB39" s="1624" t="str">
        <f>IFERROR(IF($A$14=$BO$1,$BO38,IF($A$14=$BP$1,$BP38,IF($A$14=$BQ$1,$BQ38,IF($A$14=$BR$1,$BR38,IF($A$14=$BS$1,$BS38,IF($A$14=$BT$1,$BT38,IF($A$14=$BU$1,$BU38,IF($A$14="",INDEX(Tiere!$BN$2:$BN$153,_xlfn.AGGREGATE(15,6,(ROW(Tiere!$BN$2:$BN$153)-1)/(--(SEARCH(BC$2,Tiere!$BN$2:$BN$153)&gt;0)),ROW()-2),1))))))))),"")</f>
        <v>Milchkühe (&gt; 10.000 kg Milch) - Gülle</v>
      </c>
      <c r="BC39" s="1601"/>
      <c r="BD39" s="1624" t="str">
        <f>IFERROR(IF($A$15=$BO$1,$BO38,IF($A$15=$BP$1,$BP38,IF($A$15=$BQ$1,$BQ38,IF($A$15=$BR$1,$BR38,IF($A$15=$BS$1,$BS38,IF($A$15=$BT$1,$BT38,IF($A$15=$BU$1,$BU38,IF($A$15="",INDEX(Tiere!$BN$2:$BN$153,_xlfn.AGGREGATE(15,6,(ROW(Tiere!$BN$2:$BN$153)-1)/(--(SEARCH(BE$2,Tiere!$BN$2:$BN$153)&gt;0)),ROW()-2),1))))))))),"")</f>
        <v>Milchkühe (&gt; 10.000 kg Milch) - Gülle</v>
      </c>
      <c r="BE39" s="1601"/>
      <c r="BF39" s="1624" t="str">
        <f>IFERROR(IF($A$16=$BO$1,$BO38,IF($A$16=$BP$1,$BP38,IF($A$16=$BQ$1,$BQ38,IF($A$16=$BR$1,$BR38,IF($A$16=$BS$1,$BS38,IF($A$16=$BT$1,$BT38,IF($A$16=$BU$1,$BU38,IF($A$16="",INDEX(Tiere!$BN$2:$BN$153,_xlfn.AGGREGATE(15,6,(ROW(Tiere!$BN$2:$BN$153)-1)/(--(SEARCH(BG$2,Tiere!$BN$2:$BN$153)&gt;0)),ROW()-2),1))))))))),"")</f>
        <v>Milchkühe (&gt; 10.000 kg Milch) - Gülle</v>
      </c>
      <c r="BG39" s="1601"/>
      <c r="BH39" s="1624" t="str">
        <f>IFERROR(IF($A$17=$BO$1,$BO38,IF($A$17=$BP$1,$BP38,IF($A$17=$BQ$1,$BQ38,IF($A$17=$BR$1,$BR38,IF($A$17=$BS$1,$BS38,IF($A$17=$BT$1,$BT38,IF($A$17=$BU$1,$BU38,IF($A$17="",INDEX(Tiere!$BN$2:$BN$153,_xlfn.AGGREGATE(15,6,(ROW(Tiere!$BN$2:$BN$153)-1)/(--(SEARCH(BI$2,Tiere!$BN$2:$BN$153)&gt;0)),ROW()-2),1))))))))),"")</f>
        <v>Milchkühe (&gt; 10.000 kg Milch) - Gülle</v>
      </c>
      <c r="BI39" s="1601"/>
      <c r="BJ39" s="1624" t="str">
        <f>IFERROR(IF($A$18=$BO$1,$BO38,IF($A$18=$BP$1,$BP38,IF($A$18=$BQ$1,$BQ38,IF($A$18=$BR$1,$BR38,IF($A$18=$BS$1,$BS38,IF($A$18=$BT$1,$BT38,IF($A$18=$BU$1,$BU38,IF($A$18="",INDEX(Tiere!$BN$2:$BN$153,_xlfn.AGGREGATE(15,6,(ROW(Tiere!$BN$2:$BN$153)-1)/(--(SEARCH(BK$2,Tiere!$BN$2:$BN$153)&gt;0)),ROW()-2),1))))))))),"")</f>
        <v>Milchkühe (&gt; 10.000 kg Milch) - Gülle</v>
      </c>
      <c r="BK39" s="1601"/>
      <c r="BL39" s="1624" t="str">
        <f>IFERROR(IF($A$19=$BO$1,$BO38,IF($A$19=$BP$1,$BP38,IF($A$19=$BQ$1,$BQ38,IF($A$19=$BR$1,$BR38,IF($A$19=$BS$1,$BS38,IF($A$19=$BT$1,$BT38,IF($A$19=$BU$1,$BU38,IF($A$19="",INDEX(Tiere!$BN$2:$BN$153,_xlfn.AGGREGATE(15,6,(ROW(Tiere!$BN$2:$BN$153)-1)/(--(SEARCH(BM$2,Tiere!$BN$2:$BN$153)&gt;0)),ROW()-2),1))))))))),"")</f>
        <v>Milchkühe (&gt; 10.000 kg Milch) - Gülle</v>
      </c>
      <c r="BM39" s="1601"/>
      <c r="BN39" s="1630" t="s">
        <v>672</v>
      </c>
      <c r="BO39" s="1599" t="s">
        <v>672</v>
      </c>
      <c r="BP39" s="1599"/>
      <c r="BQ39" s="1599"/>
      <c r="BR39" s="1599"/>
      <c r="BS39" s="1599"/>
      <c r="BT39" s="1599"/>
      <c r="BU39" s="1599" t="s">
        <v>835</v>
      </c>
      <c r="CD39" s="1911" t="s">
        <v>672</v>
      </c>
    </row>
    <row r="40" spans="1:82" ht="13.5" thickBot="1">
      <c r="AJ40" s="1624" t="str">
        <f>IFERROR(IF($A$5=$BO$1,$BO39,IF($A$5=$BP$1,$BP39,IF($A$5=$BQ$1,$BQ39,IF($A$5=$BR$1,$BR39,IF($A$5=$BS$1,$BS39,IF($A$5=$BT$1,$BT39,IF($A$5=$BU$1,$BU39,IF($A$5="",INDEX(Tiere!$BN$2:$BN$153,_xlfn.AGGREGATE(15,6,(ROW(Tiere!$BN$2:$BN$153)-1)/(--(SEARCH(AK$2,Tiere!$BN$2:$BN$153)&gt;0)),ROW()-2),1))))))))),"")</f>
        <v>Milchkühe (&gt; 10.000 kg Milch) - Mist/Jauche</v>
      </c>
      <c r="AK40" s="1599"/>
      <c r="AL40" s="1624" t="str">
        <f>IFERROR(IF($A$6=$BO$1,$BO39,IF($A$6=$BP$1,$BP39,IF($A$6=$BQ$1,$BQ39,IF($A$6=$BR$1,$BR39,IF($A$6=$BS$1,$BS39,IF($A$6=$BT$1,$BT39,IF($A$6=$BU$1,$BU39,IF($A$6="",INDEX(Tiere!$BN$2:$BN$153,_xlfn.AGGREGATE(15,6,(ROW(Tiere!$BN$2:$BN$153)-1)/(--(SEARCH(AM$2,Tiere!$BN$2:$BN$153)&gt;0)),ROW()-2),1))))))))),"")</f>
        <v>Milchkühe (&gt; 10.000 kg Milch) - Mist/Jauche</v>
      </c>
      <c r="AM40" s="1599"/>
      <c r="AN40" s="1624" t="str">
        <f>IFERROR(IF($A$7=$BO$1,$BO39,IF($A$7=$BP$1,$BP39,IF($A$7=$BQ$1,$BQ39,IF($A$7=$BR$1,$BR39,IF($A$7=$BS$1,$BS39,IF($A$7=$BT$1,$BT39,IF($A$7=$BU$1,$BU39,IF($A$7="",INDEX(Tiere!$BN$2:$BN$153,_xlfn.AGGREGATE(15,6,(ROW(Tiere!$BN$2:$BN$153)-1)/(--(SEARCH(AM$2,Tiere!$BN$2:$BN$153)&gt;0)),ROW()-2),1))))))))),"")</f>
        <v>Milchkühe (&gt; 10.000 kg Milch) - Mist/Jauche</v>
      </c>
      <c r="AO40" s="1599"/>
      <c r="AP40" s="1624" t="str">
        <f>IFERROR(IF($A$8=$BO$1,$BO39,IF($A$8=$BP$1,$BP39,IF($A$8=$BQ$1,$BQ39,IF($A$8=$BR$1,$BR39,IF($A$8=$BS$1,$BS39,IF($A$8=$BT$1,$BT39,IF($A$8=$BU$1,$BU39,IF($A$8="",INDEX(Tiere!$BN$2:$BN$153,_xlfn.AGGREGATE(15,6,(ROW(Tiere!$BN$2:$BN$153)-1)/(--(SEARCH(AQ$2,Tiere!$BN$2:$BN$153)&gt;0)),ROW()-2),1))))))))),"")</f>
        <v>Milchkühe (&gt; 10.000 kg Milch) - Mist/Jauche</v>
      </c>
      <c r="AQ40" s="1599"/>
      <c r="AR40" s="1624" t="str">
        <f>IFERROR(IF($A$9=$BO$1,$BO39,IF($A$9=$BP$1,$BP39,IF($A$9=$BQ$1,$BQ39,IF($A$9=$BR$1,$BR39,IF($A$9=$BS$1,$BS39,IF($A$9=$BT$1,$BT39,IF($A$9=$BU$1,$BU39,IF($A$9="",INDEX(Tiere!$BN$2:$BN$153,_xlfn.AGGREGATE(15,6,(ROW(Tiere!$BN$2:$BN$153)-1)/(--(SEARCH(AS$2,Tiere!$BN$2:$BN$153)&gt;0)),ROW()-2),1))))))))),"")</f>
        <v>Milchkühe (&gt; 10.000 kg Milch) - Mist/Jauche</v>
      </c>
      <c r="AS40" s="1599"/>
      <c r="AT40" s="1624" t="str">
        <f>IFERROR(IF($A$10=$BO$1,$BO39,IF($A$10=$BP$1,$BP39,IF($A$10=$BQ$1,$BQ39,IF($A$10=$BR$1,$BR39,IF($A$10=$BS$1,$BS39,IF($A$10=$BT$1,$BT39,IF($A$10=$BU$1,$BU39,IF($A$10="",INDEX(Tiere!$BN$2:$BN$153,_xlfn.AGGREGATE(15,6,(ROW(Tiere!$BN$2:$BN$153)-1)/(--(SEARCH(AU$2,Tiere!$BN$2:$BN$153)&gt;0)),ROW()-2),1))))))))),"")</f>
        <v>Milchkühe (&gt; 10.000 kg Milch) - Mist/Jauche</v>
      </c>
      <c r="AU40" s="1599"/>
      <c r="AV40" s="1624" t="str">
        <f>IFERROR(IF($A$11=$BO$1,$BO39,IF($A$11=$BP$1,$BP39,IF($A$11=$BQ$1,$BQ39,IF($A$11=$BR$1,$BR39,IF($A$11=$BS$1,$BS39,IF($A$11=$BT$1,$BT39,IF($A$11=$BU$1,$BU39,IF($A$11="",INDEX(Tiere!$BN$2:$BN$153,_xlfn.AGGREGATE(15,6,(ROW(Tiere!$BN$2:$BN$153)-1)/(--(SEARCH(AW$2,Tiere!$BN$2:$BN$153)&gt;0)),ROW()-2),1))))))))),"")</f>
        <v>Milchkühe (&gt; 10.000 kg Milch) - Mist/Jauche</v>
      </c>
      <c r="AW40" s="1599"/>
      <c r="AX40" s="1624" t="str">
        <f>IFERROR(IF($A$12=$BO$1,$BO39,IF($A$12=$BP$1,$BP39,IF($A$12=$BQ$1,$BQ39,IF($A$12=$BR$1,$BR39,IF($A$12=$BS$1,$BS39,IF($A$12=$BT$1,$BT39,IF($A$12=$BU$1,$BU39,IF($A$12="",INDEX(Tiere!$BN$2:$BN$153,_xlfn.AGGREGATE(15,6,(ROW(Tiere!$BN$2:$BN$153)-1)/(--(SEARCH(AY$2,Tiere!$BN$2:$BN$153)&gt;0)),ROW()-2),1))))))))),"")</f>
        <v>Milchkühe (&gt; 10.000 kg Milch) - Mist/Jauche</v>
      </c>
      <c r="AY40" s="1599"/>
      <c r="AZ40" s="1624" t="str">
        <f>IFERROR(IF($A$13=$BO$1,$BO39,IF($A$13=$BP$1,$BP39,IF($A$13=$BQ$1,$BQ39,IF($A$13=$BR$1,$BR39,IF($A$13=$BS$1,$BS39,IF($A$13=$BT$1,$BT39,IF($A$13=$BU$1,$BU39,IF($A$13="",INDEX(Tiere!$BN$2:$BN$153,_xlfn.AGGREGATE(15,6,(ROW(Tiere!$BN$2:$BN$153)-1)/(--(SEARCH(BA$2,Tiere!$BN$2:$BN$153)&gt;0)),ROW()-2),1))))))))),"")</f>
        <v>Milchkühe (&gt; 10.000 kg Milch) - Mist/Jauche</v>
      </c>
      <c r="BA40" s="1599"/>
      <c r="BB40" s="1624" t="str">
        <f>IFERROR(IF($A$14=$BO$1,$BO39,IF($A$14=$BP$1,$BP39,IF($A$14=$BQ$1,$BQ39,IF($A$14=$BR$1,$BR39,IF($A$14=$BS$1,$BS39,IF($A$14=$BT$1,$BT39,IF($A$14=$BU$1,$BU39,IF($A$14="",INDEX(Tiere!$BN$2:$BN$153,_xlfn.AGGREGATE(15,6,(ROW(Tiere!$BN$2:$BN$153)-1)/(--(SEARCH(BC$2,Tiere!$BN$2:$BN$153)&gt;0)),ROW()-2),1))))))))),"")</f>
        <v>Milchkühe (&gt; 10.000 kg Milch) - Mist/Jauche</v>
      </c>
      <c r="BC40" s="1599"/>
      <c r="BD40" s="1624" t="str">
        <f>IFERROR(IF($A$15=$BO$1,$BO39,IF($A$15=$BP$1,$BP39,IF($A$15=$BQ$1,$BQ39,IF($A$15=$BR$1,$BR39,IF($A$15=$BS$1,$BS39,IF($A$15=$BT$1,$BT39,IF($A$15=$BU$1,$BU39,IF($A$15="",INDEX(Tiere!$BN$2:$BN$153,_xlfn.AGGREGATE(15,6,(ROW(Tiere!$BN$2:$BN$153)-1)/(--(SEARCH(BE$2,Tiere!$BN$2:$BN$153)&gt;0)),ROW()-2),1))))))))),"")</f>
        <v>Milchkühe (&gt; 10.000 kg Milch) - Mist/Jauche</v>
      </c>
      <c r="BE40" s="1599"/>
      <c r="BF40" s="1624" t="str">
        <f>IFERROR(IF($A$16=$BO$1,$BO39,IF($A$16=$BP$1,$BP39,IF($A$16=$BQ$1,$BQ39,IF($A$16=$BR$1,$BR39,IF($A$16=$BS$1,$BS39,IF($A$16=$BT$1,$BT39,IF($A$16=$BU$1,$BU39,IF($A$16="",INDEX(Tiere!$BN$2:$BN$153,_xlfn.AGGREGATE(15,6,(ROW(Tiere!$BN$2:$BN$153)-1)/(--(SEARCH(BG$2,Tiere!$BN$2:$BN$153)&gt;0)),ROW()-2),1))))))))),"")</f>
        <v>Milchkühe (&gt; 10.000 kg Milch) - Mist/Jauche</v>
      </c>
      <c r="BG40" s="1599"/>
      <c r="BH40" s="1624" t="str">
        <f>IFERROR(IF($A$17=$BO$1,$BO39,IF($A$17=$BP$1,$BP39,IF($A$17=$BQ$1,$BQ39,IF($A$17=$BR$1,$BR39,IF($A$17=$BS$1,$BS39,IF($A$17=$BT$1,$BT39,IF($A$17=$BU$1,$BU39,IF($A$17="",INDEX(Tiere!$BN$2:$BN$153,_xlfn.AGGREGATE(15,6,(ROW(Tiere!$BN$2:$BN$153)-1)/(--(SEARCH(BI$2,Tiere!$BN$2:$BN$153)&gt;0)),ROW()-2),1))))))))),"")</f>
        <v>Milchkühe (&gt; 10.000 kg Milch) - Mist/Jauche</v>
      </c>
      <c r="BI40" s="1599"/>
      <c r="BJ40" s="1624" t="str">
        <f>IFERROR(IF($A$18=$BO$1,$BO39,IF($A$18=$BP$1,$BP39,IF($A$18=$BQ$1,$BQ39,IF($A$18=$BR$1,$BR39,IF($A$18=$BS$1,$BS39,IF($A$18=$BT$1,$BT39,IF($A$18=$BU$1,$BU39,IF($A$18="",INDEX(Tiere!$BN$2:$BN$153,_xlfn.AGGREGATE(15,6,(ROW(Tiere!$BN$2:$BN$153)-1)/(--(SEARCH(BK$2,Tiere!$BN$2:$BN$153)&gt;0)),ROW()-2),1))))))))),"")</f>
        <v>Milchkühe (&gt; 10.000 kg Milch) - Mist/Jauche</v>
      </c>
      <c r="BK40" s="1599"/>
      <c r="BL40" s="1624" t="str">
        <f>IFERROR(IF($A$19=$BO$1,$BO39,IF($A$19=$BP$1,$BP39,IF($A$19=$BQ$1,$BQ39,IF($A$19=$BR$1,$BR39,IF($A$19=$BS$1,$BS39,IF($A$19=$BT$1,$BT39,IF($A$19=$BU$1,$BU39,IF($A$19="",INDEX(Tiere!$BN$2:$BN$153,_xlfn.AGGREGATE(15,6,(ROW(Tiere!$BN$2:$BN$153)-1)/(--(SEARCH(BM$2,Tiere!$BN$2:$BN$153)&gt;0)),ROW()-2),1))))))))),"")</f>
        <v>Milchkühe (&gt; 10.000 kg Milch) - Mist/Jauche</v>
      </c>
      <c r="BM40" s="1599"/>
      <c r="BN40" s="1630" t="s">
        <v>675</v>
      </c>
      <c r="BO40" s="1599" t="s">
        <v>675</v>
      </c>
      <c r="BP40" s="1599"/>
      <c r="BQ40" s="1599"/>
      <c r="BR40" s="1599"/>
      <c r="BS40" s="1599"/>
      <c r="BT40" s="1599"/>
      <c r="BU40" s="1599" t="s">
        <v>836</v>
      </c>
      <c r="CD40" s="1911" t="s">
        <v>675</v>
      </c>
    </row>
    <row r="41" spans="1:82" ht="13.5" thickBot="1">
      <c r="AJ41" s="1624" t="str">
        <f>IFERROR(IF($A$5=$BO$1,$BO40,IF($A$5=$BP$1,$BP40,IF($A$5=$BQ$1,$BQ40,IF($A$5=$BR$1,$BR40,IF($A$5=$BS$1,$BS40,IF($A$5=$BT$1,$BT40,IF($A$5=$BU$1,$BU40,IF($A$5="",INDEX(Tiere!$BN$2:$BN$153,_xlfn.AGGREGATE(15,6,(ROW(Tiere!$BN$2:$BN$153)-1)/(--(SEARCH(AK$2,Tiere!$BN$2:$BN$153)&gt;0)),ROW()-2),1))))))))),"")</f>
        <v>Milchkühe (&gt; 10.000 kg Milch) - Tiefstallmist</v>
      </c>
      <c r="AK41" s="1601"/>
      <c r="AL41" s="1624" t="str">
        <f>IFERROR(IF($A$6=$BO$1,$BO40,IF($A$6=$BP$1,$BP40,IF($A$6=$BQ$1,$BQ40,IF($A$6=$BR$1,$BR40,IF($A$6=$BS$1,$BS40,IF($A$6=$BT$1,$BT40,IF($A$6=$BU$1,$BU40,IF($A$6="",INDEX(Tiere!$BN$2:$BN$153,_xlfn.AGGREGATE(15,6,(ROW(Tiere!$BN$2:$BN$153)-1)/(--(SEARCH(AM$2,Tiere!$BN$2:$BN$153)&gt;0)),ROW()-2),1))))))))),"")</f>
        <v>Milchkühe (&gt; 10.000 kg Milch) - Tiefstallmist</v>
      </c>
      <c r="AM41" s="1601"/>
      <c r="AN41" s="1624" t="str">
        <f>IFERROR(IF($A$7=$BO$1,$BO40,IF($A$7=$BP$1,$BP40,IF($A$7=$BQ$1,$BQ40,IF($A$7=$BR$1,$BR40,IF($A$7=$BS$1,$BS40,IF($A$7=$BT$1,$BT40,IF($A$7=$BU$1,$BU40,IF($A$7="",INDEX(Tiere!$BN$2:$BN$153,_xlfn.AGGREGATE(15,6,(ROW(Tiere!$BN$2:$BN$153)-1)/(--(SEARCH(AM$2,Tiere!$BN$2:$BN$153)&gt;0)),ROW()-2),1))))))))),"")</f>
        <v>Milchkühe (&gt; 10.000 kg Milch) - Tiefstallmist</v>
      </c>
      <c r="AO41" s="1601"/>
      <c r="AP41" s="1624" t="str">
        <f>IFERROR(IF($A$8=$BO$1,$BO40,IF($A$8=$BP$1,$BP40,IF($A$8=$BQ$1,$BQ40,IF($A$8=$BR$1,$BR40,IF($A$8=$BS$1,$BS40,IF($A$8=$BT$1,$BT40,IF($A$8=$BU$1,$BU40,IF($A$8="",INDEX(Tiere!$BN$2:$BN$153,_xlfn.AGGREGATE(15,6,(ROW(Tiere!$BN$2:$BN$153)-1)/(--(SEARCH(AQ$2,Tiere!$BN$2:$BN$153)&gt;0)),ROW()-2),1))))))))),"")</f>
        <v>Milchkühe (&gt; 10.000 kg Milch) - Tiefstallmist</v>
      </c>
      <c r="AQ41" s="1601"/>
      <c r="AR41" s="1624" t="str">
        <f>IFERROR(IF($A$9=$BO$1,$BO40,IF($A$9=$BP$1,$BP40,IF($A$9=$BQ$1,$BQ40,IF($A$9=$BR$1,$BR40,IF($A$9=$BS$1,$BS40,IF($A$9=$BT$1,$BT40,IF($A$9=$BU$1,$BU40,IF($A$9="",INDEX(Tiere!$BN$2:$BN$153,_xlfn.AGGREGATE(15,6,(ROW(Tiere!$BN$2:$BN$153)-1)/(--(SEARCH(AS$2,Tiere!$BN$2:$BN$153)&gt;0)),ROW()-2),1))))))))),"")</f>
        <v>Milchkühe (&gt; 10.000 kg Milch) - Tiefstallmist</v>
      </c>
      <c r="AS41" s="1601"/>
      <c r="AT41" s="1624" t="str">
        <f>IFERROR(IF($A$10=$BO$1,$BO40,IF($A$10=$BP$1,$BP40,IF($A$10=$BQ$1,$BQ40,IF($A$10=$BR$1,$BR40,IF($A$10=$BS$1,$BS40,IF($A$10=$BT$1,$BT40,IF($A$10=$BU$1,$BU40,IF($A$10="",INDEX(Tiere!$BN$2:$BN$153,_xlfn.AGGREGATE(15,6,(ROW(Tiere!$BN$2:$BN$153)-1)/(--(SEARCH(AU$2,Tiere!$BN$2:$BN$153)&gt;0)),ROW()-2),1))))))))),"")</f>
        <v>Milchkühe (&gt; 10.000 kg Milch) - Tiefstallmist</v>
      </c>
      <c r="AU41" s="1601"/>
      <c r="AV41" s="1624" t="str">
        <f>IFERROR(IF($A$11=$BO$1,$BO40,IF($A$11=$BP$1,$BP40,IF($A$11=$BQ$1,$BQ40,IF($A$11=$BR$1,$BR40,IF($A$11=$BS$1,$BS40,IF($A$11=$BT$1,$BT40,IF($A$11=$BU$1,$BU40,IF($A$11="",INDEX(Tiere!$BN$2:$BN$153,_xlfn.AGGREGATE(15,6,(ROW(Tiere!$BN$2:$BN$153)-1)/(--(SEARCH(AW$2,Tiere!$BN$2:$BN$153)&gt;0)),ROW()-2),1))))))))),"")</f>
        <v>Milchkühe (&gt; 10.000 kg Milch) - Tiefstallmist</v>
      </c>
      <c r="AW41" s="1601"/>
      <c r="AX41" s="1624" t="str">
        <f>IFERROR(IF($A$12=$BO$1,$BO40,IF($A$12=$BP$1,$BP40,IF($A$12=$BQ$1,$BQ40,IF($A$12=$BR$1,$BR40,IF($A$12=$BS$1,$BS40,IF($A$12=$BT$1,$BT40,IF($A$12=$BU$1,$BU40,IF($A$12="",INDEX(Tiere!$BN$2:$BN$153,_xlfn.AGGREGATE(15,6,(ROW(Tiere!$BN$2:$BN$153)-1)/(--(SEARCH(AY$2,Tiere!$BN$2:$BN$153)&gt;0)),ROW()-2),1))))))))),"")</f>
        <v>Milchkühe (&gt; 10.000 kg Milch) - Tiefstallmist</v>
      </c>
      <c r="AY41" s="1601"/>
      <c r="AZ41" s="1624" t="str">
        <f>IFERROR(IF($A$13=$BO$1,$BO40,IF($A$13=$BP$1,$BP40,IF($A$13=$BQ$1,$BQ40,IF($A$13=$BR$1,$BR40,IF($A$13=$BS$1,$BS40,IF($A$13=$BT$1,$BT40,IF($A$13=$BU$1,$BU40,IF($A$13="",INDEX(Tiere!$BN$2:$BN$153,_xlfn.AGGREGATE(15,6,(ROW(Tiere!$BN$2:$BN$153)-1)/(--(SEARCH(BA$2,Tiere!$BN$2:$BN$153)&gt;0)),ROW()-2),1))))))))),"")</f>
        <v>Milchkühe (&gt; 10.000 kg Milch) - Tiefstallmist</v>
      </c>
      <c r="BA41" s="1601"/>
      <c r="BB41" s="1624" t="str">
        <f>IFERROR(IF($A$14=$BO$1,$BO40,IF($A$14=$BP$1,$BP40,IF($A$14=$BQ$1,$BQ40,IF($A$14=$BR$1,$BR40,IF($A$14=$BS$1,$BS40,IF($A$14=$BT$1,$BT40,IF($A$14=$BU$1,$BU40,IF($A$14="",INDEX(Tiere!$BN$2:$BN$153,_xlfn.AGGREGATE(15,6,(ROW(Tiere!$BN$2:$BN$153)-1)/(--(SEARCH(BC$2,Tiere!$BN$2:$BN$153)&gt;0)),ROW()-2),1))))))))),"")</f>
        <v>Milchkühe (&gt; 10.000 kg Milch) - Tiefstallmist</v>
      </c>
      <c r="BC41" s="1601"/>
      <c r="BD41" s="1624" t="str">
        <f>IFERROR(IF($A$15=$BO$1,$BO40,IF($A$15=$BP$1,$BP40,IF($A$15=$BQ$1,$BQ40,IF($A$15=$BR$1,$BR40,IF($A$15=$BS$1,$BS40,IF($A$15=$BT$1,$BT40,IF($A$15=$BU$1,$BU40,IF($A$15="",INDEX(Tiere!$BN$2:$BN$153,_xlfn.AGGREGATE(15,6,(ROW(Tiere!$BN$2:$BN$153)-1)/(--(SEARCH(BE$2,Tiere!$BN$2:$BN$153)&gt;0)),ROW()-2),1))))))))),"")</f>
        <v>Milchkühe (&gt; 10.000 kg Milch) - Tiefstallmist</v>
      </c>
      <c r="BE41" s="1601"/>
      <c r="BF41" s="1624" t="str">
        <f>IFERROR(IF($A$16=$BO$1,$BO40,IF($A$16=$BP$1,$BP40,IF($A$16=$BQ$1,$BQ40,IF($A$16=$BR$1,$BR40,IF($A$16=$BS$1,$BS40,IF($A$16=$BT$1,$BT40,IF($A$16=$BU$1,$BU40,IF($A$16="",INDEX(Tiere!$BN$2:$BN$153,_xlfn.AGGREGATE(15,6,(ROW(Tiere!$BN$2:$BN$153)-1)/(--(SEARCH(BG$2,Tiere!$BN$2:$BN$153)&gt;0)),ROW()-2),1))))))))),"")</f>
        <v>Milchkühe (&gt; 10.000 kg Milch) - Tiefstallmist</v>
      </c>
      <c r="BG41" s="1601"/>
      <c r="BH41" s="1624" t="str">
        <f>IFERROR(IF($A$17=$BO$1,$BO40,IF($A$17=$BP$1,$BP40,IF($A$17=$BQ$1,$BQ40,IF($A$17=$BR$1,$BR40,IF($A$17=$BS$1,$BS40,IF($A$17=$BT$1,$BT40,IF($A$17=$BU$1,$BU40,IF($A$17="",INDEX(Tiere!$BN$2:$BN$153,_xlfn.AGGREGATE(15,6,(ROW(Tiere!$BN$2:$BN$153)-1)/(--(SEARCH(BI$2,Tiere!$BN$2:$BN$153)&gt;0)),ROW()-2),1))))))))),"")</f>
        <v>Milchkühe (&gt; 10.000 kg Milch) - Tiefstallmist</v>
      </c>
      <c r="BI41" s="1601"/>
      <c r="BJ41" s="1624" t="str">
        <f>IFERROR(IF($A$18=$BO$1,$BO40,IF($A$18=$BP$1,$BP40,IF($A$18=$BQ$1,$BQ40,IF($A$18=$BR$1,$BR40,IF($A$18=$BS$1,$BS40,IF($A$18=$BT$1,$BT40,IF($A$18=$BU$1,$BU40,IF($A$18="",INDEX(Tiere!$BN$2:$BN$153,_xlfn.AGGREGATE(15,6,(ROW(Tiere!$BN$2:$BN$153)-1)/(--(SEARCH(BK$2,Tiere!$BN$2:$BN$153)&gt;0)),ROW()-2),1))))))))),"")</f>
        <v>Milchkühe (&gt; 10.000 kg Milch) - Tiefstallmist</v>
      </c>
      <c r="BK41" s="1601"/>
      <c r="BL41" s="1624" t="str">
        <f>IFERROR(IF($A$19=$BO$1,$BO40,IF($A$19=$BP$1,$BP40,IF($A$19=$BQ$1,$BQ40,IF($A$19=$BR$1,$BR40,IF($A$19=$BS$1,$BS40,IF($A$19=$BT$1,$BT40,IF($A$19=$BU$1,$BU40,IF($A$19="",INDEX(Tiere!$BN$2:$BN$153,_xlfn.AGGREGATE(15,6,(ROW(Tiere!$BN$2:$BN$153)-1)/(--(SEARCH(BM$2,Tiere!$BN$2:$BN$153)&gt;0)),ROW()-2),1))))))))),"")</f>
        <v>Milchkühe (&gt; 10.000 kg Milch) - Tiefstallmist</v>
      </c>
      <c r="BM41" s="1601"/>
      <c r="BN41" s="1630" t="s">
        <v>681</v>
      </c>
      <c r="BO41" s="1901"/>
      <c r="BP41" s="1599"/>
      <c r="BQ41" s="1599"/>
      <c r="BR41" s="1599"/>
      <c r="BS41" s="1599"/>
      <c r="BT41" s="1599"/>
      <c r="BU41" s="1901"/>
      <c r="CD41" s="1911" t="s">
        <v>681</v>
      </c>
    </row>
    <row r="42" spans="1:82" ht="14.25" thickTop="1" thickBot="1">
      <c r="AJ42" s="1624" t="str">
        <f>IFERROR(IF($A$5=$BO$1,$BO41,IF($A$5=$BP$1,$BP41,IF($A$5=$BQ$1,$BQ41,IF($A$5=$BR$1,$BR41,IF($A$5=$BS$1,$BS41,IF($A$5=$BT$1,$BT41,IF($A$5=$BU$1,$BU41,IF($A$5="",INDEX(Tiere!$BN$2:$BN$153,_xlfn.AGGREGATE(15,6,(ROW(Tiere!$BN$2:$BN$153)-1)/(--(SEARCH(AK$2,Tiere!$BN$2:$BN$153)&gt;0)),ROW()-2),1))))))))),"")</f>
        <v>Ferkel 8 bis 32 kg Lebendgewicht (LG) Standard-Fütterung - Gülle</v>
      </c>
      <c r="AK42" s="1599"/>
      <c r="AL42" s="1624" t="str">
        <f>IFERROR(IF($A$6=$BO$1,$BO41,IF($A$6=$BP$1,$BP41,IF($A$6=$BQ$1,$BQ41,IF($A$6=$BR$1,$BR41,IF($A$6=$BS$1,$BS41,IF($A$6=$BT$1,$BT41,IF($A$6=$BU$1,$BU41,IF($A$6="",INDEX(Tiere!$BN$2:$BN$153,_xlfn.AGGREGATE(15,6,(ROW(Tiere!$BN$2:$BN$153)-1)/(--(SEARCH(AM$2,Tiere!$BN$2:$BN$153)&gt;0)),ROW()-2),1))))))))),"")</f>
        <v>Ferkel 8 bis 32 kg Lebendgewicht (LG) Standard-Fütterung - Gülle</v>
      </c>
      <c r="AM42" s="1599"/>
      <c r="AN42" s="1624" t="str">
        <f>IFERROR(IF($A$7=$BO$1,$BO41,IF($A$7=$BP$1,$BP41,IF($A$7=$BQ$1,$BQ41,IF($A$7=$BR$1,$BR41,IF($A$7=$BS$1,$BS41,IF($A$7=$BT$1,$BT41,IF($A$7=$BU$1,$BU41,IF($A$7="",INDEX(Tiere!$BN$2:$BN$153,_xlfn.AGGREGATE(15,6,(ROW(Tiere!$BN$2:$BN$153)-1)/(--(SEARCH(AM$2,Tiere!$BN$2:$BN$153)&gt;0)),ROW()-2),1))))))))),"")</f>
        <v>Ferkel 8 bis 32 kg Lebendgewicht (LG) Standard-Fütterung - Gülle</v>
      </c>
      <c r="AO42" s="1599"/>
      <c r="AP42" s="1624" t="str">
        <f>IFERROR(IF($A$8=$BO$1,$BO41,IF($A$8=$BP$1,$BP41,IF($A$8=$BQ$1,$BQ41,IF($A$8=$BR$1,$BR41,IF($A$8=$BS$1,$BS41,IF($A$8=$BT$1,$BT41,IF($A$8=$BU$1,$BU41,IF($A$8="",INDEX(Tiere!$BN$2:$BN$153,_xlfn.AGGREGATE(15,6,(ROW(Tiere!$BN$2:$BN$153)-1)/(--(SEARCH(AQ$2,Tiere!$BN$2:$BN$153)&gt;0)),ROW()-2),1))))))))),"")</f>
        <v>Ferkel 8 bis 32 kg Lebendgewicht (LG) Standard-Fütterung - Gülle</v>
      </c>
      <c r="AQ42" s="1599"/>
      <c r="AR42" s="1624" t="str">
        <f>IFERROR(IF($A$9=$BO$1,$BO41,IF($A$9=$BP$1,$BP41,IF($A$9=$BQ$1,$BQ41,IF($A$9=$BR$1,$BR41,IF($A$9=$BS$1,$BS41,IF($A$9=$BT$1,$BT41,IF($A$9=$BU$1,$BU41,IF($A$9="",INDEX(Tiere!$BN$2:$BN$153,_xlfn.AGGREGATE(15,6,(ROW(Tiere!$BN$2:$BN$153)-1)/(--(SEARCH(AS$2,Tiere!$BN$2:$BN$153)&gt;0)),ROW()-2),1))))))))),"")</f>
        <v>Ferkel 8 bis 32 kg Lebendgewicht (LG) Standard-Fütterung - Gülle</v>
      </c>
      <c r="AS42" s="1599"/>
      <c r="AT42" s="1624" t="str">
        <f>IFERROR(IF($A$10=$BO$1,$BO41,IF($A$10=$BP$1,$BP41,IF($A$10=$BQ$1,$BQ41,IF($A$10=$BR$1,$BR41,IF($A$10=$BS$1,$BS41,IF($A$10=$BT$1,$BT41,IF($A$10=$BU$1,$BU41,IF($A$10="",INDEX(Tiere!$BN$2:$BN$153,_xlfn.AGGREGATE(15,6,(ROW(Tiere!$BN$2:$BN$153)-1)/(--(SEARCH(AU$2,Tiere!$BN$2:$BN$153)&gt;0)),ROW()-2),1))))))))),"")</f>
        <v>Ferkel 8 bis 32 kg Lebendgewicht (LG) Standard-Fütterung - Gülle</v>
      </c>
      <c r="AU42" s="1599"/>
      <c r="AV42" s="1624" t="str">
        <f>IFERROR(IF($A$11=$BO$1,$BO41,IF($A$11=$BP$1,$BP41,IF($A$11=$BQ$1,$BQ41,IF($A$11=$BR$1,$BR41,IF($A$11=$BS$1,$BS41,IF($A$11=$BT$1,$BT41,IF($A$11=$BU$1,$BU41,IF($A$11="",INDEX(Tiere!$BN$2:$BN$153,_xlfn.AGGREGATE(15,6,(ROW(Tiere!$BN$2:$BN$153)-1)/(--(SEARCH(AW$2,Tiere!$BN$2:$BN$153)&gt;0)),ROW()-2),1))))))))),"")</f>
        <v>Ferkel 8 bis 32 kg Lebendgewicht (LG) Standard-Fütterung - Gülle</v>
      </c>
      <c r="AW42" s="1599"/>
      <c r="AX42" s="1624" t="str">
        <f>IFERROR(IF($A$12=$BO$1,$BO41,IF($A$12=$BP$1,$BP41,IF($A$12=$BQ$1,$BQ41,IF($A$12=$BR$1,$BR41,IF($A$12=$BS$1,$BS41,IF($A$12=$BT$1,$BT41,IF($A$12=$BU$1,$BU41,IF($A$12="",INDEX(Tiere!$BN$2:$BN$153,_xlfn.AGGREGATE(15,6,(ROW(Tiere!$BN$2:$BN$153)-1)/(--(SEARCH(AY$2,Tiere!$BN$2:$BN$153)&gt;0)),ROW()-2),1))))))))),"")</f>
        <v>Ferkel 8 bis 32 kg Lebendgewicht (LG) Standard-Fütterung - Gülle</v>
      </c>
      <c r="AY42" s="1599"/>
      <c r="AZ42" s="1624" t="str">
        <f>IFERROR(IF($A$13=$BO$1,$BO41,IF($A$13=$BP$1,$BP41,IF($A$13=$BQ$1,$BQ41,IF($A$13=$BR$1,$BR41,IF($A$13=$BS$1,$BS41,IF($A$13=$BT$1,$BT41,IF($A$13=$BU$1,$BU41,IF($A$13="",INDEX(Tiere!$BN$2:$BN$153,_xlfn.AGGREGATE(15,6,(ROW(Tiere!$BN$2:$BN$153)-1)/(--(SEARCH(BA$2,Tiere!$BN$2:$BN$153)&gt;0)),ROW()-2),1))))))))),"")</f>
        <v>Ferkel 8 bis 32 kg Lebendgewicht (LG) Standard-Fütterung - Gülle</v>
      </c>
      <c r="BA42" s="1599"/>
      <c r="BB42" s="1624" t="str">
        <f>IFERROR(IF($A$14=$BO$1,$BO41,IF($A$14=$BP$1,$BP41,IF($A$14=$BQ$1,$BQ41,IF($A$14=$BR$1,$BR41,IF($A$14=$BS$1,$BS41,IF($A$14=$BT$1,$BT41,IF($A$14=$BU$1,$BU41,IF($A$14="",INDEX(Tiere!$BN$2:$BN$153,_xlfn.AGGREGATE(15,6,(ROW(Tiere!$BN$2:$BN$153)-1)/(--(SEARCH(BC$2,Tiere!$BN$2:$BN$153)&gt;0)),ROW()-2),1))))))))),"")</f>
        <v>Ferkel 8 bis 32 kg Lebendgewicht (LG) Standard-Fütterung - Gülle</v>
      </c>
      <c r="BC42" s="1599"/>
      <c r="BD42" s="1624" t="str">
        <f>IFERROR(IF($A$15=$BO$1,$BO41,IF($A$15=$BP$1,$BP41,IF($A$15=$BQ$1,$BQ41,IF($A$15=$BR$1,$BR41,IF($A$15=$BS$1,$BS41,IF($A$15=$BT$1,$BT41,IF($A$15=$BU$1,$BU41,IF($A$15="",INDEX(Tiere!$BN$2:$BN$153,_xlfn.AGGREGATE(15,6,(ROW(Tiere!$BN$2:$BN$153)-1)/(--(SEARCH(BE$2,Tiere!$BN$2:$BN$153)&gt;0)),ROW()-2),1))))))))),"")</f>
        <v>Ferkel 8 bis 32 kg Lebendgewicht (LG) Standard-Fütterung - Gülle</v>
      </c>
      <c r="BE42" s="1599"/>
      <c r="BF42" s="1624" t="str">
        <f>IFERROR(IF($A$16=$BO$1,$BO41,IF($A$16=$BP$1,$BP41,IF($A$16=$BQ$1,$BQ41,IF($A$16=$BR$1,$BR41,IF($A$16=$BS$1,$BS41,IF($A$16=$BT$1,$BT41,IF($A$16=$BU$1,$BU41,IF($A$16="",INDEX(Tiere!$BN$2:$BN$153,_xlfn.AGGREGATE(15,6,(ROW(Tiere!$BN$2:$BN$153)-1)/(--(SEARCH(BG$2,Tiere!$BN$2:$BN$153)&gt;0)),ROW()-2),1))))))))),"")</f>
        <v>Ferkel 8 bis 32 kg Lebendgewicht (LG) Standard-Fütterung - Gülle</v>
      </c>
      <c r="BG42" s="1599"/>
      <c r="BH42" s="1624" t="str">
        <f>IFERROR(IF($A$17=$BO$1,$BO41,IF($A$17=$BP$1,$BP41,IF($A$17=$BQ$1,$BQ41,IF($A$17=$BR$1,$BR41,IF($A$17=$BS$1,$BS41,IF($A$17=$BT$1,$BT41,IF($A$17=$BU$1,$BU41,IF($A$17="",INDEX(Tiere!$BN$2:$BN$153,_xlfn.AGGREGATE(15,6,(ROW(Tiere!$BN$2:$BN$153)-1)/(--(SEARCH(BI$2,Tiere!$BN$2:$BN$153)&gt;0)),ROW()-2),1))))))))),"")</f>
        <v>Ferkel 8 bis 32 kg Lebendgewicht (LG) Standard-Fütterung - Gülle</v>
      </c>
      <c r="BI42" s="1599"/>
      <c r="BJ42" s="1624" t="str">
        <f>IFERROR(IF($A$18=$BO$1,$BO41,IF($A$18=$BP$1,$BP41,IF($A$18=$BQ$1,$BQ41,IF($A$18=$BR$1,$BR41,IF($A$18=$BS$1,$BS41,IF($A$18=$BT$1,$BT41,IF($A$18=$BU$1,$BU41,IF($A$18="",INDEX(Tiere!$BN$2:$BN$153,_xlfn.AGGREGATE(15,6,(ROW(Tiere!$BN$2:$BN$153)-1)/(--(SEARCH(BK$2,Tiere!$BN$2:$BN$153)&gt;0)),ROW()-2),1))))))))),"")</f>
        <v>Ferkel 8 bis 32 kg Lebendgewicht (LG) Standard-Fütterung - Gülle</v>
      </c>
      <c r="BK42" s="1599"/>
      <c r="BL42" s="1624" t="str">
        <f>IFERROR(IF($A$19=$BO$1,$BO41,IF($A$19=$BP$1,$BP41,IF($A$19=$BQ$1,$BQ41,IF($A$19=$BR$1,$BR41,IF($A$19=$BS$1,$BS41,IF($A$19=$BT$1,$BT41,IF($A$19=$BU$1,$BU41,IF($A$19="",INDEX(Tiere!$BN$2:$BN$153,_xlfn.AGGREGATE(15,6,(ROW(Tiere!$BN$2:$BN$153)-1)/(--(SEARCH(BM$2,Tiere!$BN$2:$BN$153)&gt;0)),ROW()-2),1))))))))),"")</f>
        <v>Ferkel 8 bis 32 kg Lebendgewicht (LG) Standard-Fütterung - Gülle</v>
      </c>
      <c r="BM42" s="1599"/>
      <c r="BN42" s="1632" t="s">
        <v>685</v>
      </c>
      <c r="BO42" s="1654"/>
      <c r="BP42" s="1599"/>
      <c r="BQ42" s="1599"/>
      <c r="BR42" s="1599"/>
      <c r="BS42" s="1599"/>
      <c r="BT42" s="1599"/>
      <c r="BU42" s="1654"/>
      <c r="CD42" s="1912" t="s">
        <v>685</v>
      </c>
    </row>
    <row r="43" spans="1:82" ht="13.5" thickBot="1">
      <c r="AJ43" s="1624" t="str">
        <f>IFERROR(IF($A$5=$BO$1,$BO42,IF($A$5=$BP$1,$BP42,IF($A$5=$BQ$1,$BQ42,IF($A$5=$BR$1,$BR42,IF($A$5=$BS$1,$BS42,IF($A$5=$BT$1,$BT42,IF($A$5=$BU$1,$BU42,IF($A$5="",INDEX(Tiere!$BN$2:$BN$153,_xlfn.AGGREGATE(15,6,(ROW(Tiere!$BN$2:$BN$153)-1)/(--(SEARCH(AK$2,Tiere!$BN$2:$BN$153)&gt;0)),ROW()-2),1))))))))),"")</f>
        <v>Ferkel 8 bis 32 kg Lebendgewicht (LG) Standard-Fütterung - Mist/Jauche</v>
      </c>
      <c r="AK43" s="1601"/>
      <c r="AL43" s="1624" t="str">
        <f>IFERROR(IF($A$6=$BO$1,$BO42,IF($A$6=$BP$1,$BP42,IF($A$6=$BQ$1,$BQ42,IF($A$6=$BR$1,$BR42,IF($A$6=$BS$1,$BS42,IF($A$6=$BT$1,$BT42,IF($A$6=$BU$1,$BU42,IF($A$6="",INDEX(Tiere!$BN$2:$BN$153,_xlfn.AGGREGATE(15,6,(ROW(Tiere!$BN$2:$BN$153)-1)/(--(SEARCH(AM$2,Tiere!$BN$2:$BN$153)&gt;0)),ROW()-2),1))))))))),"")</f>
        <v>Ferkel 8 bis 32 kg Lebendgewicht (LG) Standard-Fütterung - Mist/Jauche</v>
      </c>
      <c r="AM43" s="1601"/>
      <c r="AN43" s="1624" t="str">
        <f>IFERROR(IF($A$7=$BO$1,$BO42,IF($A$7=$BP$1,$BP42,IF($A$7=$BQ$1,$BQ42,IF($A$7=$BR$1,$BR42,IF($A$7=$BS$1,$BS42,IF($A$7=$BT$1,$BT42,IF($A$7=$BU$1,$BU42,IF($A$7="",INDEX(Tiere!$BN$2:$BN$153,_xlfn.AGGREGATE(15,6,(ROW(Tiere!$BN$2:$BN$153)-1)/(--(SEARCH(AM$2,Tiere!$BN$2:$BN$153)&gt;0)),ROW()-2),1))))))))),"")</f>
        <v>Ferkel 8 bis 32 kg Lebendgewicht (LG) Standard-Fütterung - Mist/Jauche</v>
      </c>
      <c r="AO43" s="1601"/>
      <c r="AP43" s="1624" t="str">
        <f>IFERROR(IF($A$8=$BO$1,$BO42,IF($A$8=$BP$1,$BP42,IF($A$8=$BQ$1,$BQ42,IF($A$8=$BR$1,$BR42,IF($A$8=$BS$1,$BS42,IF($A$8=$BT$1,$BT42,IF($A$8=$BU$1,$BU42,IF($A$8="",INDEX(Tiere!$BN$2:$BN$153,_xlfn.AGGREGATE(15,6,(ROW(Tiere!$BN$2:$BN$153)-1)/(--(SEARCH(AQ$2,Tiere!$BN$2:$BN$153)&gt;0)),ROW()-2),1))))))))),"")</f>
        <v>Ferkel 8 bis 32 kg Lebendgewicht (LG) Standard-Fütterung - Mist/Jauche</v>
      </c>
      <c r="AQ43" s="1601"/>
      <c r="AR43" s="1624" t="str">
        <f>IFERROR(IF($A$9=$BO$1,$BO42,IF($A$9=$BP$1,$BP42,IF($A$9=$BQ$1,$BQ42,IF($A$9=$BR$1,$BR42,IF($A$9=$BS$1,$BS42,IF($A$9=$BT$1,$BT42,IF($A$9=$BU$1,$BU42,IF($A$9="",INDEX(Tiere!$BN$2:$BN$153,_xlfn.AGGREGATE(15,6,(ROW(Tiere!$BN$2:$BN$153)-1)/(--(SEARCH(AS$2,Tiere!$BN$2:$BN$153)&gt;0)),ROW()-2),1))))))))),"")</f>
        <v>Ferkel 8 bis 32 kg Lebendgewicht (LG) Standard-Fütterung - Mist/Jauche</v>
      </c>
      <c r="AS43" s="1601"/>
      <c r="AT43" s="1624" t="str">
        <f>IFERROR(IF($A$10=$BO$1,$BO42,IF($A$10=$BP$1,$BP42,IF($A$10=$BQ$1,$BQ42,IF($A$10=$BR$1,$BR42,IF($A$10=$BS$1,$BS42,IF($A$10=$BT$1,$BT42,IF($A$10=$BU$1,$BU42,IF($A$10="",INDEX(Tiere!$BN$2:$BN$153,_xlfn.AGGREGATE(15,6,(ROW(Tiere!$BN$2:$BN$153)-1)/(--(SEARCH(AU$2,Tiere!$BN$2:$BN$153)&gt;0)),ROW()-2),1))))))))),"")</f>
        <v>Ferkel 8 bis 32 kg Lebendgewicht (LG) Standard-Fütterung - Mist/Jauche</v>
      </c>
      <c r="AU43" s="1601"/>
      <c r="AV43" s="1624" t="str">
        <f>IFERROR(IF($A$11=$BO$1,$BO42,IF($A$11=$BP$1,$BP42,IF($A$11=$BQ$1,$BQ42,IF($A$11=$BR$1,$BR42,IF($A$11=$BS$1,$BS42,IF($A$11=$BT$1,$BT42,IF($A$11=$BU$1,$BU42,IF($A$11="",INDEX(Tiere!$BN$2:$BN$153,_xlfn.AGGREGATE(15,6,(ROW(Tiere!$BN$2:$BN$153)-1)/(--(SEARCH(AW$2,Tiere!$BN$2:$BN$153)&gt;0)),ROW()-2),1))))))))),"")</f>
        <v>Ferkel 8 bis 32 kg Lebendgewicht (LG) Standard-Fütterung - Mist/Jauche</v>
      </c>
      <c r="AW43" s="1601"/>
      <c r="AX43" s="1624" t="str">
        <f>IFERROR(IF($A$12=$BO$1,$BO42,IF($A$12=$BP$1,$BP42,IF($A$12=$BQ$1,$BQ42,IF($A$12=$BR$1,$BR42,IF($A$12=$BS$1,$BS42,IF($A$12=$BT$1,$BT42,IF($A$12=$BU$1,$BU42,IF($A$12="",INDEX(Tiere!$BN$2:$BN$153,_xlfn.AGGREGATE(15,6,(ROW(Tiere!$BN$2:$BN$153)-1)/(--(SEARCH(AY$2,Tiere!$BN$2:$BN$153)&gt;0)),ROW()-2),1))))))))),"")</f>
        <v>Ferkel 8 bis 32 kg Lebendgewicht (LG) Standard-Fütterung - Mist/Jauche</v>
      </c>
      <c r="AY43" s="1601"/>
      <c r="AZ43" s="1624" t="str">
        <f>IFERROR(IF($A$13=$BO$1,$BO42,IF($A$13=$BP$1,$BP42,IF($A$13=$BQ$1,$BQ42,IF($A$13=$BR$1,$BR42,IF($A$13=$BS$1,$BS42,IF($A$13=$BT$1,$BT42,IF($A$13=$BU$1,$BU42,IF($A$13="",INDEX(Tiere!$BN$2:$BN$153,_xlfn.AGGREGATE(15,6,(ROW(Tiere!$BN$2:$BN$153)-1)/(--(SEARCH(BA$2,Tiere!$BN$2:$BN$153)&gt;0)),ROW()-2),1))))))))),"")</f>
        <v>Ferkel 8 bis 32 kg Lebendgewicht (LG) Standard-Fütterung - Mist/Jauche</v>
      </c>
      <c r="BA43" s="1601"/>
      <c r="BB43" s="1624" t="str">
        <f>IFERROR(IF($A$14=$BO$1,$BO42,IF($A$14=$BP$1,$BP42,IF($A$14=$BQ$1,$BQ42,IF($A$14=$BR$1,$BR42,IF($A$14=$BS$1,$BS42,IF($A$14=$BT$1,$BT42,IF($A$14=$BU$1,$BU42,IF($A$14="",INDEX(Tiere!$BN$2:$BN$153,_xlfn.AGGREGATE(15,6,(ROW(Tiere!$BN$2:$BN$153)-1)/(--(SEARCH(BC$2,Tiere!$BN$2:$BN$153)&gt;0)),ROW()-2),1))))))))),"")</f>
        <v>Ferkel 8 bis 32 kg Lebendgewicht (LG) Standard-Fütterung - Mist/Jauche</v>
      </c>
      <c r="BC43" s="1601"/>
      <c r="BD43" s="1624" t="str">
        <f>IFERROR(IF($A$15=$BO$1,$BO42,IF($A$15=$BP$1,$BP42,IF($A$15=$BQ$1,$BQ42,IF($A$15=$BR$1,$BR42,IF($A$15=$BS$1,$BS42,IF($A$15=$BT$1,$BT42,IF($A$15=$BU$1,$BU42,IF($A$15="",INDEX(Tiere!$BN$2:$BN$153,_xlfn.AGGREGATE(15,6,(ROW(Tiere!$BN$2:$BN$153)-1)/(--(SEARCH(BE$2,Tiere!$BN$2:$BN$153)&gt;0)),ROW()-2),1))))))))),"")</f>
        <v>Ferkel 8 bis 32 kg Lebendgewicht (LG) Standard-Fütterung - Mist/Jauche</v>
      </c>
      <c r="BE43" s="1601"/>
      <c r="BF43" s="1624" t="str">
        <f>IFERROR(IF($A$16=$BO$1,$BO42,IF($A$16=$BP$1,$BP42,IF($A$16=$BQ$1,$BQ42,IF($A$16=$BR$1,$BR42,IF($A$16=$BS$1,$BS42,IF($A$16=$BT$1,$BT42,IF($A$16=$BU$1,$BU42,IF($A$16="",INDEX(Tiere!$BN$2:$BN$153,_xlfn.AGGREGATE(15,6,(ROW(Tiere!$BN$2:$BN$153)-1)/(--(SEARCH(BG$2,Tiere!$BN$2:$BN$153)&gt;0)),ROW()-2),1))))))))),"")</f>
        <v>Ferkel 8 bis 32 kg Lebendgewicht (LG) Standard-Fütterung - Mist/Jauche</v>
      </c>
      <c r="BG43" s="1601"/>
      <c r="BH43" s="1624" t="str">
        <f>IFERROR(IF($A$17=$BO$1,$BO42,IF($A$17=$BP$1,$BP42,IF($A$17=$BQ$1,$BQ42,IF($A$17=$BR$1,$BR42,IF($A$17=$BS$1,$BS42,IF($A$17=$BT$1,$BT42,IF($A$17=$BU$1,$BU42,IF($A$17="",INDEX(Tiere!$BN$2:$BN$153,_xlfn.AGGREGATE(15,6,(ROW(Tiere!$BN$2:$BN$153)-1)/(--(SEARCH(BI$2,Tiere!$BN$2:$BN$153)&gt;0)),ROW()-2),1))))))))),"")</f>
        <v>Ferkel 8 bis 32 kg Lebendgewicht (LG) Standard-Fütterung - Mist/Jauche</v>
      </c>
      <c r="BI43" s="1601"/>
      <c r="BJ43" s="1624" t="str">
        <f>IFERROR(IF($A$18=$BO$1,$BO42,IF($A$18=$BP$1,$BP42,IF($A$18=$BQ$1,$BQ42,IF($A$18=$BR$1,$BR42,IF($A$18=$BS$1,$BS42,IF($A$18=$BT$1,$BT42,IF($A$18=$BU$1,$BU42,IF($A$18="",INDEX(Tiere!$BN$2:$BN$153,_xlfn.AGGREGATE(15,6,(ROW(Tiere!$BN$2:$BN$153)-1)/(--(SEARCH(BK$2,Tiere!$BN$2:$BN$153)&gt;0)),ROW()-2),1))))))))),"")</f>
        <v>Ferkel 8 bis 32 kg Lebendgewicht (LG) Standard-Fütterung - Mist/Jauche</v>
      </c>
      <c r="BK43" s="1601"/>
      <c r="BL43" s="1624" t="str">
        <f>IFERROR(IF($A$19=$BO$1,$BO42,IF($A$19=$BP$1,$BP42,IF($A$19=$BQ$1,$BQ42,IF($A$19=$BR$1,$BR42,IF($A$19=$BS$1,$BS42,IF($A$19=$BT$1,$BT42,IF($A$19=$BU$1,$BU42,IF($A$19="",INDEX(Tiere!$BN$2:$BN$153,_xlfn.AGGREGATE(15,6,(ROW(Tiere!$BN$2:$BN$153)-1)/(--(SEARCH(BM$2,Tiere!$BN$2:$BN$153)&gt;0)),ROW()-2),1))))))))),"")</f>
        <v>Ferkel 8 bis 32 kg Lebendgewicht (LG) Standard-Fütterung - Mist/Jauche</v>
      </c>
      <c r="BM43" s="1601"/>
      <c r="BN43" s="1630" t="s">
        <v>691</v>
      </c>
      <c r="BO43" s="1654"/>
      <c r="BP43" s="1599"/>
      <c r="BQ43" s="1599"/>
      <c r="BR43" s="1599"/>
      <c r="BS43" s="1599"/>
      <c r="BT43" s="1599"/>
      <c r="BU43" s="1654"/>
      <c r="CD43" s="1911" t="s">
        <v>691</v>
      </c>
    </row>
    <row r="44" spans="1:82" ht="13.5" thickBot="1">
      <c r="AJ44" s="1624" t="str">
        <f>IFERROR(IF($A$5=$BO$1,$BO43,IF($A$5=$BP$1,$BP43,IF($A$5=$BQ$1,$BQ43,IF($A$5=$BR$1,$BR43,IF($A$5=$BS$1,$BS43,IF($A$5=$BT$1,$BT43,IF($A$5=$BU$1,$BU43,IF($A$5="",INDEX(Tiere!$BN$2:$BN$153,_xlfn.AGGREGATE(15,6,(ROW(Tiere!$BN$2:$BN$153)-1)/(--(SEARCH(AK$2,Tiere!$BN$2:$BN$153)&gt;0)),ROW()-2),1))))))))),"")</f>
        <v>Ferkel 8 bis 32 kg Lebendgewicht (LG) Standard-Fütterung - Tiefstallmist</v>
      </c>
      <c r="AK44" s="1599"/>
      <c r="AL44" s="1624" t="str">
        <f>IFERROR(IF($A$6=$BO$1,$BO43,IF($A$6=$BP$1,$BP43,IF($A$6=$BQ$1,$BQ43,IF($A$6=$BR$1,$BR43,IF($A$6=$BS$1,$BS43,IF($A$6=$BT$1,$BT43,IF($A$6=$BU$1,$BU43,IF($A$6="",INDEX(Tiere!$BN$2:$BN$153,_xlfn.AGGREGATE(15,6,(ROW(Tiere!$BN$2:$BN$153)-1)/(--(SEARCH(AM$2,Tiere!$BN$2:$BN$153)&gt;0)),ROW()-2),1))))))))),"")</f>
        <v>Ferkel 8 bis 32 kg Lebendgewicht (LG) Standard-Fütterung - Tiefstallmist</v>
      </c>
      <c r="AM44" s="1599"/>
      <c r="AN44" s="1624" t="str">
        <f>IFERROR(IF($A$7=$BO$1,$BO43,IF($A$7=$BP$1,$BP43,IF($A$7=$BQ$1,$BQ43,IF($A$7=$BR$1,$BR43,IF($A$7=$BS$1,$BS43,IF($A$7=$BT$1,$BT43,IF($A$7=$BU$1,$BU43,IF($A$7="",INDEX(Tiere!$BN$2:$BN$153,_xlfn.AGGREGATE(15,6,(ROW(Tiere!$BN$2:$BN$153)-1)/(--(SEARCH(AM$2,Tiere!$BN$2:$BN$153)&gt;0)),ROW()-2),1))))))))),"")</f>
        <v>Ferkel 8 bis 32 kg Lebendgewicht (LG) Standard-Fütterung - Tiefstallmist</v>
      </c>
      <c r="AO44" s="1599"/>
      <c r="AP44" s="1624" t="str">
        <f>IFERROR(IF($A$8=$BO$1,$BO43,IF($A$8=$BP$1,$BP43,IF($A$8=$BQ$1,$BQ43,IF($A$8=$BR$1,$BR43,IF($A$8=$BS$1,$BS43,IF($A$8=$BT$1,$BT43,IF($A$8=$BU$1,$BU43,IF($A$8="",INDEX(Tiere!$BN$2:$BN$153,_xlfn.AGGREGATE(15,6,(ROW(Tiere!$BN$2:$BN$153)-1)/(--(SEARCH(AQ$2,Tiere!$BN$2:$BN$153)&gt;0)),ROW()-2),1))))))))),"")</f>
        <v>Ferkel 8 bis 32 kg Lebendgewicht (LG) Standard-Fütterung - Tiefstallmist</v>
      </c>
      <c r="AQ44" s="1599"/>
      <c r="AR44" s="1624" t="str">
        <f>IFERROR(IF($A$9=$BO$1,$BO43,IF($A$9=$BP$1,$BP43,IF($A$9=$BQ$1,$BQ43,IF($A$9=$BR$1,$BR43,IF($A$9=$BS$1,$BS43,IF($A$9=$BT$1,$BT43,IF($A$9=$BU$1,$BU43,IF($A$9="",INDEX(Tiere!$BN$2:$BN$153,_xlfn.AGGREGATE(15,6,(ROW(Tiere!$BN$2:$BN$153)-1)/(--(SEARCH(AS$2,Tiere!$BN$2:$BN$153)&gt;0)),ROW()-2),1))))))))),"")</f>
        <v>Ferkel 8 bis 32 kg Lebendgewicht (LG) Standard-Fütterung - Tiefstallmist</v>
      </c>
      <c r="AS44" s="1599"/>
      <c r="AT44" s="1624" t="str">
        <f>IFERROR(IF($A$10=$BO$1,$BO43,IF($A$10=$BP$1,$BP43,IF($A$10=$BQ$1,$BQ43,IF($A$10=$BR$1,$BR43,IF($A$10=$BS$1,$BS43,IF($A$10=$BT$1,$BT43,IF($A$10=$BU$1,$BU43,IF($A$10="",INDEX(Tiere!$BN$2:$BN$153,_xlfn.AGGREGATE(15,6,(ROW(Tiere!$BN$2:$BN$153)-1)/(--(SEARCH(AU$2,Tiere!$BN$2:$BN$153)&gt;0)),ROW()-2),1))))))))),"")</f>
        <v>Ferkel 8 bis 32 kg Lebendgewicht (LG) Standard-Fütterung - Tiefstallmist</v>
      </c>
      <c r="AU44" s="1599"/>
      <c r="AV44" s="1624" t="str">
        <f>IFERROR(IF($A$11=$BO$1,$BO43,IF($A$11=$BP$1,$BP43,IF($A$11=$BQ$1,$BQ43,IF($A$11=$BR$1,$BR43,IF($A$11=$BS$1,$BS43,IF($A$11=$BT$1,$BT43,IF($A$11=$BU$1,$BU43,IF($A$11="",INDEX(Tiere!$BN$2:$BN$153,_xlfn.AGGREGATE(15,6,(ROW(Tiere!$BN$2:$BN$153)-1)/(--(SEARCH(AW$2,Tiere!$BN$2:$BN$153)&gt;0)),ROW()-2),1))))))))),"")</f>
        <v>Ferkel 8 bis 32 kg Lebendgewicht (LG) Standard-Fütterung - Tiefstallmist</v>
      </c>
      <c r="AW44" s="1599"/>
      <c r="AX44" s="1624" t="str">
        <f>IFERROR(IF($A$12=$BO$1,$BO43,IF($A$12=$BP$1,$BP43,IF($A$12=$BQ$1,$BQ43,IF($A$12=$BR$1,$BR43,IF($A$12=$BS$1,$BS43,IF($A$12=$BT$1,$BT43,IF($A$12=$BU$1,$BU43,IF($A$12="",INDEX(Tiere!$BN$2:$BN$153,_xlfn.AGGREGATE(15,6,(ROW(Tiere!$BN$2:$BN$153)-1)/(--(SEARCH(AY$2,Tiere!$BN$2:$BN$153)&gt;0)),ROW()-2),1))))))))),"")</f>
        <v>Ferkel 8 bis 32 kg Lebendgewicht (LG) Standard-Fütterung - Tiefstallmist</v>
      </c>
      <c r="AY44" s="1599"/>
      <c r="AZ44" s="1624" t="str">
        <f>IFERROR(IF($A$13=$BO$1,$BO43,IF($A$13=$BP$1,$BP43,IF($A$13=$BQ$1,$BQ43,IF($A$13=$BR$1,$BR43,IF($A$13=$BS$1,$BS43,IF($A$13=$BT$1,$BT43,IF($A$13=$BU$1,$BU43,IF($A$13="",INDEX(Tiere!$BN$2:$BN$153,_xlfn.AGGREGATE(15,6,(ROW(Tiere!$BN$2:$BN$153)-1)/(--(SEARCH(BA$2,Tiere!$BN$2:$BN$153)&gt;0)),ROW()-2),1))))))))),"")</f>
        <v>Ferkel 8 bis 32 kg Lebendgewicht (LG) Standard-Fütterung - Tiefstallmist</v>
      </c>
      <c r="BA44" s="1599"/>
      <c r="BB44" s="1624" t="str">
        <f>IFERROR(IF($A$14=$BO$1,$BO43,IF($A$14=$BP$1,$BP43,IF($A$14=$BQ$1,$BQ43,IF($A$14=$BR$1,$BR43,IF($A$14=$BS$1,$BS43,IF($A$14=$BT$1,$BT43,IF($A$14=$BU$1,$BU43,IF($A$14="",INDEX(Tiere!$BN$2:$BN$153,_xlfn.AGGREGATE(15,6,(ROW(Tiere!$BN$2:$BN$153)-1)/(--(SEARCH(BC$2,Tiere!$BN$2:$BN$153)&gt;0)),ROW()-2),1))))))))),"")</f>
        <v>Ferkel 8 bis 32 kg Lebendgewicht (LG) Standard-Fütterung - Tiefstallmist</v>
      </c>
      <c r="BC44" s="1599"/>
      <c r="BD44" s="1624" t="str">
        <f>IFERROR(IF($A$15=$BO$1,$BO43,IF($A$15=$BP$1,$BP43,IF($A$15=$BQ$1,$BQ43,IF($A$15=$BR$1,$BR43,IF($A$15=$BS$1,$BS43,IF($A$15=$BT$1,$BT43,IF($A$15=$BU$1,$BU43,IF($A$15="",INDEX(Tiere!$BN$2:$BN$153,_xlfn.AGGREGATE(15,6,(ROW(Tiere!$BN$2:$BN$153)-1)/(--(SEARCH(BE$2,Tiere!$BN$2:$BN$153)&gt;0)),ROW()-2),1))))))))),"")</f>
        <v>Ferkel 8 bis 32 kg Lebendgewicht (LG) Standard-Fütterung - Tiefstallmist</v>
      </c>
      <c r="BE44" s="1599"/>
      <c r="BF44" s="1624" t="str">
        <f>IFERROR(IF($A$16=$BO$1,$BO43,IF($A$16=$BP$1,$BP43,IF($A$16=$BQ$1,$BQ43,IF($A$16=$BR$1,$BR43,IF($A$16=$BS$1,$BS43,IF($A$16=$BT$1,$BT43,IF($A$16=$BU$1,$BU43,IF($A$16="",INDEX(Tiere!$BN$2:$BN$153,_xlfn.AGGREGATE(15,6,(ROW(Tiere!$BN$2:$BN$153)-1)/(--(SEARCH(BG$2,Tiere!$BN$2:$BN$153)&gt;0)),ROW()-2),1))))))))),"")</f>
        <v>Ferkel 8 bis 32 kg Lebendgewicht (LG) Standard-Fütterung - Tiefstallmist</v>
      </c>
      <c r="BG44" s="1599"/>
      <c r="BH44" s="1624" t="str">
        <f>IFERROR(IF($A$17=$BO$1,$BO43,IF($A$17=$BP$1,$BP43,IF($A$17=$BQ$1,$BQ43,IF($A$17=$BR$1,$BR43,IF($A$17=$BS$1,$BS43,IF($A$17=$BT$1,$BT43,IF($A$17=$BU$1,$BU43,IF($A$17="",INDEX(Tiere!$BN$2:$BN$153,_xlfn.AGGREGATE(15,6,(ROW(Tiere!$BN$2:$BN$153)-1)/(--(SEARCH(BI$2,Tiere!$BN$2:$BN$153)&gt;0)),ROW()-2),1))))))))),"")</f>
        <v>Ferkel 8 bis 32 kg Lebendgewicht (LG) Standard-Fütterung - Tiefstallmist</v>
      </c>
      <c r="BI44" s="1599"/>
      <c r="BJ44" s="1624" t="str">
        <f>IFERROR(IF($A$18=$BO$1,$BO43,IF($A$18=$BP$1,$BP43,IF($A$18=$BQ$1,$BQ43,IF($A$18=$BR$1,$BR43,IF($A$18=$BS$1,$BS43,IF($A$18=$BT$1,$BT43,IF($A$18=$BU$1,$BU43,IF($A$18="",INDEX(Tiere!$BN$2:$BN$153,_xlfn.AGGREGATE(15,6,(ROW(Tiere!$BN$2:$BN$153)-1)/(--(SEARCH(BK$2,Tiere!$BN$2:$BN$153)&gt;0)),ROW()-2),1))))))))),"")</f>
        <v>Ferkel 8 bis 32 kg Lebendgewicht (LG) Standard-Fütterung - Tiefstallmist</v>
      </c>
      <c r="BK44" s="1599"/>
      <c r="BL44" s="1624" t="str">
        <f>IFERROR(IF($A$19=$BO$1,$BO43,IF($A$19=$BP$1,$BP43,IF($A$19=$BQ$1,$BQ43,IF($A$19=$BR$1,$BR43,IF($A$19=$BS$1,$BS43,IF($A$19=$BT$1,$BT43,IF($A$19=$BU$1,$BU43,IF($A$19="",INDEX(Tiere!$BN$2:$BN$153,_xlfn.AGGREGATE(15,6,(ROW(Tiere!$BN$2:$BN$153)-1)/(--(SEARCH(BM$2,Tiere!$BN$2:$BN$153)&gt;0)),ROW()-2),1))))))))),"")</f>
        <v>Ferkel 8 bis 32 kg Lebendgewicht (LG) Standard-Fütterung - Tiefstallmist</v>
      </c>
      <c r="BM44" s="1599"/>
      <c r="BN44" s="1630" t="s">
        <v>695</v>
      </c>
      <c r="BO44" s="1655"/>
      <c r="BP44" s="1599"/>
      <c r="BQ44" s="1599"/>
      <c r="BR44" s="1599"/>
      <c r="BS44" s="1599"/>
      <c r="BT44" s="1599"/>
      <c r="BU44" s="1655"/>
      <c r="CD44" s="1911" t="s">
        <v>695</v>
      </c>
    </row>
    <row r="45" spans="1:82" ht="13.5" thickBot="1">
      <c r="AJ45" s="1624" t="str">
        <f>IFERROR(IF($A$5=$BO$1,$BO44,IF($A$5=$BP$1,$BP44,IF($A$5=$BQ$1,$BQ44,IF($A$5=$BR$1,$BR44,IF($A$5=$BS$1,$BS44,IF($A$5=$BT$1,$BT44,IF($A$5=$BU$1,$BU44,IF($A$5="",INDEX(Tiere!$BN$2:$BN$153,_xlfn.AGGREGATE(15,6,(ROW(Tiere!$BN$2:$BN$153)-1)/(--(SEARCH(AK$2,Tiere!$BN$2:$BN$153)&gt;0)),ROW()-2),1))))))))),"")</f>
        <v>Ferkel 8 bis 32 kg Lebendgewicht (LG) N-reduzierte-Fütterung - Gülle</v>
      </c>
      <c r="AK45" s="1601"/>
      <c r="AL45" s="1624" t="str">
        <f>IFERROR(IF($A$6=$BO$1,$BO44,IF($A$6=$BP$1,$BP44,IF($A$6=$BQ$1,$BQ44,IF($A$6=$BR$1,$BR44,IF($A$6=$BS$1,$BS44,IF($A$6=$BT$1,$BT44,IF($A$6=$BU$1,$BU44,IF($A$6="",INDEX(Tiere!$BN$2:$BN$153,_xlfn.AGGREGATE(15,6,(ROW(Tiere!$BN$2:$BN$153)-1)/(--(SEARCH(AM$2,Tiere!$BN$2:$BN$153)&gt;0)),ROW()-2),1))))))))),"")</f>
        <v>Ferkel 8 bis 32 kg Lebendgewicht (LG) N-reduzierte-Fütterung - Gülle</v>
      </c>
      <c r="AM45" s="1601"/>
      <c r="AN45" s="1624" t="str">
        <f>IFERROR(IF($A$7=$BO$1,$BO44,IF($A$7=$BP$1,$BP44,IF($A$7=$BQ$1,$BQ44,IF($A$7=$BR$1,$BR44,IF($A$7=$BS$1,$BS44,IF($A$7=$BT$1,$BT44,IF($A$7=$BU$1,$BU44,IF($A$7="",INDEX(Tiere!$BN$2:$BN$153,_xlfn.AGGREGATE(15,6,(ROW(Tiere!$BN$2:$BN$153)-1)/(--(SEARCH(AM$2,Tiere!$BN$2:$BN$153)&gt;0)),ROW()-2),1))))))))),"")</f>
        <v>Ferkel 8 bis 32 kg Lebendgewicht (LG) N-reduzierte-Fütterung - Gülle</v>
      </c>
      <c r="AO45" s="1601"/>
      <c r="AP45" s="1624" t="str">
        <f>IFERROR(IF($A$8=$BO$1,$BO44,IF($A$8=$BP$1,$BP44,IF($A$8=$BQ$1,$BQ44,IF($A$8=$BR$1,$BR44,IF($A$8=$BS$1,$BS44,IF($A$8=$BT$1,$BT44,IF($A$8=$BU$1,$BU44,IF($A$8="",INDEX(Tiere!$BN$2:$BN$153,_xlfn.AGGREGATE(15,6,(ROW(Tiere!$BN$2:$BN$153)-1)/(--(SEARCH(AQ$2,Tiere!$BN$2:$BN$153)&gt;0)),ROW()-2),1))))))))),"")</f>
        <v>Ferkel 8 bis 32 kg Lebendgewicht (LG) N-reduzierte-Fütterung - Gülle</v>
      </c>
      <c r="AQ45" s="1601"/>
      <c r="AR45" s="1624" t="str">
        <f>IFERROR(IF($A$9=$BO$1,$BO44,IF($A$9=$BP$1,$BP44,IF($A$9=$BQ$1,$BQ44,IF($A$9=$BR$1,$BR44,IF($A$9=$BS$1,$BS44,IF($A$9=$BT$1,$BT44,IF($A$9=$BU$1,$BU44,IF($A$9="",INDEX(Tiere!$BN$2:$BN$153,_xlfn.AGGREGATE(15,6,(ROW(Tiere!$BN$2:$BN$153)-1)/(--(SEARCH(AS$2,Tiere!$BN$2:$BN$153)&gt;0)),ROW()-2),1))))))))),"")</f>
        <v>Ferkel 8 bis 32 kg Lebendgewicht (LG) N-reduzierte-Fütterung - Gülle</v>
      </c>
      <c r="AS45" s="1601"/>
      <c r="AT45" s="1624" t="str">
        <f>IFERROR(IF($A$10=$BO$1,$BO44,IF($A$10=$BP$1,$BP44,IF($A$10=$BQ$1,$BQ44,IF($A$10=$BR$1,$BR44,IF($A$10=$BS$1,$BS44,IF($A$10=$BT$1,$BT44,IF($A$10=$BU$1,$BU44,IF($A$10="",INDEX(Tiere!$BN$2:$BN$153,_xlfn.AGGREGATE(15,6,(ROW(Tiere!$BN$2:$BN$153)-1)/(--(SEARCH(AU$2,Tiere!$BN$2:$BN$153)&gt;0)),ROW()-2),1))))))))),"")</f>
        <v>Ferkel 8 bis 32 kg Lebendgewicht (LG) N-reduzierte-Fütterung - Gülle</v>
      </c>
      <c r="AU45" s="1601"/>
      <c r="AV45" s="1624" t="str">
        <f>IFERROR(IF($A$11=$BO$1,$BO44,IF($A$11=$BP$1,$BP44,IF($A$11=$BQ$1,$BQ44,IF($A$11=$BR$1,$BR44,IF($A$11=$BS$1,$BS44,IF($A$11=$BT$1,$BT44,IF($A$11=$BU$1,$BU44,IF($A$11="",INDEX(Tiere!$BN$2:$BN$153,_xlfn.AGGREGATE(15,6,(ROW(Tiere!$BN$2:$BN$153)-1)/(--(SEARCH(AW$2,Tiere!$BN$2:$BN$153)&gt;0)),ROW()-2),1))))))))),"")</f>
        <v>Ferkel 8 bis 32 kg Lebendgewicht (LG) N-reduzierte-Fütterung - Gülle</v>
      </c>
      <c r="AW45" s="1601"/>
      <c r="AX45" s="1624" t="str">
        <f>IFERROR(IF($A$12=$BO$1,$BO44,IF($A$12=$BP$1,$BP44,IF($A$12=$BQ$1,$BQ44,IF($A$12=$BR$1,$BR44,IF($A$12=$BS$1,$BS44,IF($A$12=$BT$1,$BT44,IF($A$12=$BU$1,$BU44,IF($A$12="",INDEX(Tiere!$BN$2:$BN$153,_xlfn.AGGREGATE(15,6,(ROW(Tiere!$BN$2:$BN$153)-1)/(--(SEARCH(AY$2,Tiere!$BN$2:$BN$153)&gt;0)),ROW()-2),1))))))))),"")</f>
        <v>Ferkel 8 bis 32 kg Lebendgewicht (LG) N-reduzierte-Fütterung - Gülle</v>
      </c>
      <c r="AY45" s="1601"/>
      <c r="AZ45" s="1624" t="str">
        <f>IFERROR(IF($A$13=$BO$1,$BO44,IF($A$13=$BP$1,$BP44,IF($A$13=$BQ$1,$BQ44,IF($A$13=$BR$1,$BR44,IF($A$13=$BS$1,$BS44,IF($A$13=$BT$1,$BT44,IF($A$13=$BU$1,$BU44,IF($A$13="",INDEX(Tiere!$BN$2:$BN$153,_xlfn.AGGREGATE(15,6,(ROW(Tiere!$BN$2:$BN$153)-1)/(--(SEARCH(BA$2,Tiere!$BN$2:$BN$153)&gt;0)),ROW()-2),1))))))))),"")</f>
        <v>Ferkel 8 bis 32 kg Lebendgewicht (LG) N-reduzierte-Fütterung - Gülle</v>
      </c>
      <c r="BA45" s="1601"/>
      <c r="BB45" s="1624" t="str">
        <f>IFERROR(IF($A$14=$BO$1,$BO44,IF($A$14=$BP$1,$BP44,IF($A$14=$BQ$1,$BQ44,IF($A$14=$BR$1,$BR44,IF($A$14=$BS$1,$BS44,IF($A$14=$BT$1,$BT44,IF($A$14=$BU$1,$BU44,IF($A$14="",INDEX(Tiere!$BN$2:$BN$153,_xlfn.AGGREGATE(15,6,(ROW(Tiere!$BN$2:$BN$153)-1)/(--(SEARCH(BC$2,Tiere!$BN$2:$BN$153)&gt;0)),ROW()-2),1))))))))),"")</f>
        <v>Ferkel 8 bis 32 kg Lebendgewicht (LG) N-reduzierte-Fütterung - Gülle</v>
      </c>
      <c r="BC45" s="1601"/>
      <c r="BD45" s="1624" t="str">
        <f>IFERROR(IF($A$15=$BO$1,$BO44,IF($A$15=$BP$1,$BP44,IF($A$15=$BQ$1,$BQ44,IF($A$15=$BR$1,$BR44,IF($A$15=$BS$1,$BS44,IF($A$15=$BT$1,$BT44,IF($A$15=$BU$1,$BU44,IF($A$15="",INDEX(Tiere!$BN$2:$BN$153,_xlfn.AGGREGATE(15,6,(ROW(Tiere!$BN$2:$BN$153)-1)/(--(SEARCH(BE$2,Tiere!$BN$2:$BN$153)&gt;0)),ROW()-2),1))))))))),"")</f>
        <v>Ferkel 8 bis 32 kg Lebendgewicht (LG) N-reduzierte-Fütterung - Gülle</v>
      </c>
      <c r="BE45" s="1601"/>
      <c r="BF45" s="1624" t="str">
        <f>IFERROR(IF($A$16=$BO$1,$BO44,IF($A$16=$BP$1,$BP44,IF($A$16=$BQ$1,$BQ44,IF($A$16=$BR$1,$BR44,IF($A$16=$BS$1,$BS44,IF($A$16=$BT$1,$BT44,IF($A$16=$BU$1,$BU44,IF($A$16="",INDEX(Tiere!$BN$2:$BN$153,_xlfn.AGGREGATE(15,6,(ROW(Tiere!$BN$2:$BN$153)-1)/(--(SEARCH(BG$2,Tiere!$BN$2:$BN$153)&gt;0)),ROW()-2),1))))))))),"")</f>
        <v>Ferkel 8 bis 32 kg Lebendgewicht (LG) N-reduzierte-Fütterung - Gülle</v>
      </c>
      <c r="BG45" s="1601"/>
      <c r="BH45" s="1624" t="str">
        <f>IFERROR(IF($A$17=$BO$1,$BO44,IF($A$17=$BP$1,$BP44,IF($A$17=$BQ$1,$BQ44,IF($A$17=$BR$1,$BR44,IF($A$17=$BS$1,$BS44,IF($A$17=$BT$1,$BT44,IF($A$17=$BU$1,$BU44,IF($A$17="",INDEX(Tiere!$BN$2:$BN$153,_xlfn.AGGREGATE(15,6,(ROW(Tiere!$BN$2:$BN$153)-1)/(--(SEARCH(BI$2,Tiere!$BN$2:$BN$153)&gt;0)),ROW()-2),1))))))))),"")</f>
        <v>Ferkel 8 bis 32 kg Lebendgewicht (LG) N-reduzierte-Fütterung - Gülle</v>
      </c>
      <c r="BI45" s="1601"/>
      <c r="BJ45" s="1624" t="str">
        <f>IFERROR(IF($A$18=$BO$1,$BO44,IF($A$18=$BP$1,$BP44,IF($A$18=$BQ$1,$BQ44,IF($A$18=$BR$1,$BR44,IF($A$18=$BS$1,$BS44,IF($A$18=$BT$1,$BT44,IF($A$18=$BU$1,$BU44,IF($A$18="",INDEX(Tiere!$BN$2:$BN$153,_xlfn.AGGREGATE(15,6,(ROW(Tiere!$BN$2:$BN$153)-1)/(--(SEARCH(BK$2,Tiere!$BN$2:$BN$153)&gt;0)),ROW()-2),1))))))))),"")</f>
        <v>Ferkel 8 bis 32 kg Lebendgewicht (LG) N-reduzierte-Fütterung - Gülle</v>
      </c>
      <c r="BK45" s="1601"/>
      <c r="BL45" s="1624" t="str">
        <f>IFERROR(IF($A$19=$BO$1,$BO44,IF($A$19=$BP$1,$BP44,IF($A$19=$BQ$1,$BQ44,IF($A$19=$BR$1,$BR44,IF($A$19=$BS$1,$BS44,IF($A$19=$BT$1,$BT44,IF($A$19=$BU$1,$BU44,IF($A$19="",INDEX(Tiere!$BN$2:$BN$153,_xlfn.AGGREGATE(15,6,(ROW(Tiere!$BN$2:$BN$153)-1)/(--(SEARCH(BM$2,Tiere!$BN$2:$BN$153)&gt;0)),ROW()-2),1))))))))),"")</f>
        <v>Ferkel 8 bis 32 kg Lebendgewicht (LG) N-reduzierte-Fütterung - Gülle</v>
      </c>
      <c r="BM45" s="1601"/>
      <c r="BN45" s="1630" t="s">
        <v>697</v>
      </c>
      <c r="BO45" s="1599"/>
      <c r="BP45" s="1599"/>
      <c r="BQ45" s="1599"/>
      <c r="BR45" s="1599"/>
      <c r="BS45" s="1599"/>
      <c r="BT45" s="1599"/>
      <c r="BU45" s="1599"/>
      <c r="CD45" s="1911" t="s">
        <v>697</v>
      </c>
    </row>
    <row r="46" spans="1:82" ht="13.5" thickBot="1">
      <c r="AJ46" s="1624" t="str">
        <f>IFERROR(IF($A$5=$BO$1,$BO45,IF($A$5=$BP$1,$BP45,IF($A$5=$BQ$1,$BQ45,IF($A$5=$BR$1,$BR45,IF($A$5=$BS$1,$BS45,IF($A$5=$BT$1,$BT45,IF($A$5=$BU$1,$BU45,IF($A$5="",INDEX(Tiere!$BN$2:$BN$153,_xlfn.AGGREGATE(15,6,(ROW(Tiere!$BN$2:$BN$153)-1)/(--(SEARCH(AK$2,Tiere!$BN$2:$BN$153)&gt;0)),ROW()-2),1))))))))),"")</f>
        <v>Ferkel 8 bis 32 kg Lebendgewicht (LG) N-reduzierte-Fütterung - Mist/Jauche</v>
      </c>
      <c r="AK46" s="1599"/>
      <c r="AL46" s="1624" t="str">
        <f>IFERROR(IF($A$6=$BO$1,$BO45,IF($A$6=$BP$1,$BP45,IF($A$6=$BQ$1,$BQ45,IF($A$6=$BR$1,$BR45,IF($A$6=$BS$1,$BS45,IF($A$6=$BT$1,$BT45,IF($A$6=$BU$1,$BU45,IF($A$6="",INDEX(Tiere!$BN$2:$BN$153,_xlfn.AGGREGATE(15,6,(ROW(Tiere!$BN$2:$BN$153)-1)/(--(SEARCH(AM$2,Tiere!$BN$2:$BN$153)&gt;0)),ROW()-2),1))))))))),"")</f>
        <v>Ferkel 8 bis 32 kg Lebendgewicht (LG) N-reduzierte-Fütterung - Mist/Jauche</v>
      </c>
      <c r="AM46" s="1599"/>
      <c r="AN46" s="1624" t="str">
        <f>IFERROR(IF($A$7=$BO$1,$BO45,IF($A$7=$BP$1,$BP45,IF($A$7=$BQ$1,$BQ45,IF($A$7=$BR$1,$BR45,IF($A$7=$BS$1,$BS45,IF($A$7=$BT$1,$BT45,IF($A$7=$BU$1,$BU45,IF($A$7="",INDEX(Tiere!$BN$2:$BN$153,_xlfn.AGGREGATE(15,6,(ROW(Tiere!$BN$2:$BN$153)-1)/(--(SEARCH(AM$2,Tiere!$BN$2:$BN$153)&gt;0)),ROW()-2),1))))))))),"")</f>
        <v>Ferkel 8 bis 32 kg Lebendgewicht (LG) N-reduzierte-Fütterung - Mist/Jauche</v>
      </c>
      <c r="AO46" s="1599"/>
      <c r="AP46" s="1624" t="str">
        <f>IFERROR(IF($A$8=$BO$1,$BO45,IF($A$8=$BP$1,$BP45,IF($A$8=$BQ$1,$BQ45,IF($A$8=$BR$1,$BR45,IF($A$8=$BS$1,$BS45,IF($A$8=$BT$1,$BT45,IF($A$8=$BU$1,$BU45,IF($A$8="",INDEX(Tiere!$BN$2:$BN$153,_xlfn.AGGREGATE(15,6,(ROW(Tiere!$BN$2:$BN$153)-1)/(--(SEARCH(AQ$2,Tiere!$BN$2:$BN$153)&gt;0)),ROW()-2),1))))))))),"")</f>
        <v>Ferkel 8 bis 32 kg Lebendgewicht (LG) N-reduzierte-Fütterung - Mist/Jauche</v>
      </c>
      <c r="AQ46" s="1599"/>
      <c r="AR46" s="1624" t="str">
        <f>IFERROR(IF($A$9=$BO$1,$BO45,IF($A$9=$BP$1,$BP45,IF($A$9=$BQ$1,$BQ45,IF($A$9=$BR$1,$BR45,IF($A$9=$BS$1,$BS45,IF($A$9=$BT$1,$BT45,IF($A$9=$BU$1,$BU45,IF($A$9="",INDEX(Tiere!$BN$2:$BN$153,_xlfn.AGGREGATE(15,6,(ROW(Tiere!$BN$2:$BN$153)-1)/(--(SEARCH(AS$2,Tiere!$BN$2:$BN$153)&gt;0)),ROW()-2),1))))))))),"")</f>
        <v>Ferkel 8 bis 32 kg Lebendgewicht (LG) N-reduzierte-Fütterung - Mist/Jauche</v>
      </c>
      <c r="AS46" s="1599"/>
      <c r="AT46" s="1624" t="str">
        <f>IFERROR(IF($A$10=$BO$1,$BO45,IF($A$10=$BP$1,$BP45,IF($A$10=$BQ$1,$BQ45,IF($A$10=$BR$1,$BR45,IF($A$10=$BS$1,$BS45,IF($A$10=$BT$1,$BT45,IF($A$10=$BU$1,$BU45,IF($A$10="",INDEX(Tiere!$BN$2:$BN$153,_xlfn.AGGREGATE(15,6,(ROW(Tiere!$BN$2:$BN$153)-1)/(--(SEARCH(AU$2,Tiere!$BN$2:$BN$153)&gt;0)),ROW()-2),1))))))))),"")</f>
        <v>Ferkel 8 bis 32 kg Lebendgewicht (LG) N-reduzierte-Fütterung - Mist/Jauche</v>
      </c>
      <c r="AU46" s="1599"/>
      <c r="AV46" s="1624" t="str">
        <f>IFERROR(IF($A$11=$BO$1,$BO45,IF($A$11=$BP$1,$BP45,IF($A$11=$BQ$1,$BQ45,IF($A$11=$BR$1,$BR45,IF($A$11=$BS$1,$BS45,IF($A$11=$BT$1,$BT45,IF($A$11=$BU$1,$BU45,IF($A$11="",INDEX(Tiere!$BN$2:$BN$153,_xlfn.AGGREGATE(15,6,(ROW(Tiere!$BN$2:$BN$153)-1)/(--(SEARCH(AW$2,Tiere!$BN$2:$BN$153)&gt;0)),ROW()-2),1))))))))),"")</f>
        <v>Ferkel 8 bis 32 kg Lebendgewicht (LG) N-reduzierte-Fütterung - Mist/Jauche</v>
      </c>
      <c r="AW46" s="1599"/>
      <c r="AX46" s="1624" t="str">
        <f>IFERROR(IF($A$12=$BO$1,$BO45,IF($A$12=$BP$1,$BP45,IF($A$12=$BQ$1,$BQ45,IF($A$12=$BR$1,$BR45,IF($A$12=$BS$1,$BS45,IF($A$12=$BT$1,$BT45,IF($A$12=$BU$1,$BU45,IF($A$12="",INDEX(Tiere!$BN$2:$BN$153,_xlfn.AGGREGATE(15,6,(ROW(Tiere!$BN$2:$BN$153)-1)/(--(SEARCH(AY$2,Tiere!$BN$2:$BN$153)&gt;0)),ROW()-2),1))))))))),"")</f>
        <v>Ferkel 8 bis 32 kg Lebendgewicht (LG) N-reduzierte-Fütterung - Mist/Jauche</v>
      </c>
      <c r="AY46" s="1599"/>
      <c r="AZ46" s="1624" t="str">
        <f>IFERROR(IF($A$13=$BO$1,$BO45,IF($A$13=$BP$1,$BP45,IF($A$13=$BQ$1,$BQ45,IF($A$13=$BR$1,$BR45,IF($A$13=$BS$1,$BS45,IF($A$13=$BT$1,$BT45,IF($A$13=$BU$1,$BU45,IF($A$13="",INDEX(Tiere!$BN$2:$BN$153,_xlfn.AGGREGATE(15,6,(ROW(Tiere!$BN$2:$BN$153)-1)/(--(SEARCH(BA$2,Tiere!$BN$2:$BN$153)&gt;0)),ROW()-2),1))))))))),"")</f>
        <v>Ferkel 8 bis 32 kg Lebendgewicht (LG) N-reduzierte-Fütterung - Mist/Jauche</v>
      </c>
      <c r="BA46" s="1599"/>
      <c r="BB46" s="1624" t="str">
        <f>IFERROR(IF($A$14=$BO$1,$BO45,IF($A$14=$BP$1,$BP45,IF($A$14=$BQ$1,$BQ45,IF($A$14=$BR$1,$BR45,IF($A$14=$BS$1,$BS45,IF($A$14=$BT$1,$BT45,IF($A$14=$BU$1,$BU45,IF($A$14="",INDEX(Tiere!$BN$2:$BN$153,_xlfn.AGGREGATE(15,6,(ROW(Tiere!$BN$2:$BN$153)-1)/(--(SEARCH(BC$2,Tiere!$BN$2:$BN$153)&gt;0)),ROW()-2),1))))))))),"")</f>
        <v>Ferkel 8 bis 32 kg Lebendgewicht (LG) N-reduzierte-Fütterung - Mist/Jauche</v>
      </c>
      <c r="BC46" s="1599"/>
      <c r="BD46" s="1624" t="str">
        <f>IFERROR(IF($A$15=$BO$1,$BO45,IF($A$15=$BP$1,$BP45,IF($A$15=$BQ$1,$BQ45,IF($A$15=$BR$1,$BR45,IF($A$15=$BS$1,$BS45,IF($A$15=$BT$1,$BT45,IF($A$15=$BU$1,$BU45,IF($A$15="",INDEX(Tiere!$BN$2:$BN$153,_xlfn.AGGREGATE(15,6,(ROW(Tiere!$BN$2:$BN$153)-1)/(--(SEARCH(BE$2,Tiere!$BN$2:$BN$153)&gt;0)),ROW()-2),1))))))))),"")</f>
        <v>Ferkel 8 bis 32 kg Lebendgewicht (LG) N-reduzierte-Fütterung - Mist/Jauche</v>
      </c>
      <c r="BE46" s="1599"/>
      <c r="BF46" s="1624" t="str">
        <f>IFERROR(IF($A$16=$BO$1,$BO45,IF($A$16=$BP$1,$BP45,IF($A$16=$BQ$1,$BQ45,IF($A$16=$BR$1,$BR45,IF($A$16=$BS$1,$BS45,IF($A$16=$BT$1,$BT45,IF($A$16=$BU$1,$BU45,IF($A$16="",INDEX(Tiere!$BN$2:$BN$153,_xlfn.AGGREGATE(15,6,(ROW(Tiere!$BN$2:$BN$153)-1)/(--(SEARCH(BG$2,Tiere!$BN$2:$BN$153)&gt;0)),ROW()-2),1))))))))),"")</f>
        <v>Ferkel 8 bis 32 kg Lebendgewicht (LG) N-reduzierte-Fütterung - Mist/Jauche</v>
      </c>
      <c r="BG46" s="1599"/>
      <c r="BH46" s="1624" t="str">
        <f>IFERROR(IF($A$17=$BO$1,$BO45,IF($A$17=$BP$1,$BP45,IF($A$17=$BQ$1,$BQ45,IF($A$17=$BR$1,$BR45,IF($A$17=$BS$1,$BS45,IF($A$17=$BT$1,$BT45,IF($A$17=$BU$1,$BU45,IF($A$17="",INDEX(Tiere!$BN$2:$BN$153,_xlfn.AGGREGATE(15,6,(ROW(Tiere!$BN$2:$BN$153)-1)/(--(SEARCH(BI$2,Tiere!$BN$2:$BN$153)&gt;0)),ROW()-2),1))))))))),"")</f>
        <v>Ferkel 8 bis 32 kg Lebendgewicht (LG) N-reduzierte-Fütterung - Mist/Jauche</v>
      </c>
      <c r="BI46" s="1599"/>
      <c r="BJ46" s="1624" t="str">
        <f>IFERROR(IF($A$18=$BO$1,$BO45,IF($A$18=$BP$1,$BP45,IF($A$18=$BQ$1,$BQ45,IF($A$18=$BR$1,$BR45,IF($A$18=$BS$1,$BS45,IF($A$18=$BT$1,$BT45,IF($A$18=$BU$1,$BU45,IF($A$18="",INDEX(Tiere!$BN$2:$BN$153,_xlfn.AGGREGATE(15,6,(ROW(Tiere!$BN$2:$BN$153)-1)/(--(SEARCH(BK$2,Tiere!$BN$2:$BN$153)&gt;0)),ROW()-2),1))))))))),"")</f>
        <v>Ferkel 8 bis 32 kg Lebendgewicht (LG) N-reduzierte-Fütterung - Mist/Jauche</v>
      </c>
      <c r="BK46" s="1599"/>
      <c r="BL46" s="1624" t="str">
        <f>IFERROR(IF($A$19=$BO$1,$BO45,IF($A$19=$BP$1,$BP45,IF($A$19=$BQ$1,$BQ45,IF($A$19=$BR$1,$BR45,IF($A$19=$BS$1,$BS45,IF($A$19=$BT$1,$BT45,IF($A$19=$BU$1,$BU45,IF($A$19="",INDEX(Tiere!$BN$2:$BN$153,_xlfn.AGGREGATE(15,6,(ROW(Tiere!$BN$2:$BN$153)-1)/(--(SEARCH(BM$2,Tiere!$BN$2:$BN$153)&gt;0)),ROW()-2),1))))))))),"")</f>
        <v>Ferkel 8 bis 32 kg Lebendgewicht (LG) N-reduzierte-Fütterung - Mist/Jauche</v>
      </c>
      <c r="BM46" s="1599"/>
      <c r="BN46" s="1630" t="s">
        <v>699</v>
      </c>
      <c r="BO46" s="1599"/>
      <c r="BP46" s="1599"/>
      <c r="BQ46" s="1599"/>
      <c r="BR46" s="1599"/>
      <c r="BS46" s="1599"/>
      <c r="BT46" s="1599"/>
      <c r="BU46" s="1599"/>
      <c r="CD46" s="1911" t="s">
        <v>699</v>
      </c>
    </row>
    <row r="47" spans="1:82" ht="13.5" thickBot="1">
      <c r="AJ47" s="1624" t="str">
        <f>IFERROR(IF($A$5=$BO$1,$BO46,IF($A$5=$BP$1,$BP46,IF($A$5=$BQ$1,$BQ46,IF($A$5=$BR$1,$BR46,IF($A$5=$BS$1,$BS46,IF($A$5=$BT$1,$BT46,IF($A$5=$BU$1,$BU46,IF($A$5="",INDEX(Tiere!$BN$2:$BN$153,_xlfn.AGGREGATE(15,6,(ROW(Tiere!$BN$2:$BN$153)-1)/(--(SEARCH(AK$2,Tiere!$BN$2:$BN$153)&gt;0)),ROW()-2),1))))))))),"")</f>
        <v>Ferkel 8 bis 32 kg Lebendgewicht (LG) N-reduzierte-Fütterung - Tiefstallmist</v>
      </c>
      <c r="AK47" s="1601"/>
      <c r="AL47" s="1624" t="str">
        <f>IFERROR(IF($A$6=$BO$1,$BO46,IF($A$6=$BP$1,$BP46,IF($A$6=$BQ$1,$BQ46,IF($A$6=$BR$1,$BR46,IF($A$6=$BS$1,$BS46,IF($A$6=$BT$1,$BT46,IF($A$6=$BU$1,$BU46,IF($A$6="",INDEX(Tiere!$BN$2:$BN$153,_xlfn.AGGREGATE(15,6,(ROW(Tiere!$BN$2:$BN$153)-1)/(--(SEARCH(AM$2,Tiere!$BN$2:$BN$153)&gt;0)),ROW()-2),1))))))))),"")</f>
        <v>Ferkel 8 bis 32 kg Lebendgewicht (LG) N-reduzierte-Fütterung - Tiefstallmist</v>
      </c>
      <c r="AM47" s="1601"/>
      <c r="AN47" s="1624" t="str">
        <f>IFERROR(IF($A$7=$BO$1,$BO46,IF($A$7=$BP$1,$BP46,IF($A$7=$BQ$1,$BQ46,IF($A$7=$BR$1,$BR46,IF($A$7=$BS$1,$BS46,IF($A$7=$BT$1,$BT46,IF($A$7=$BU$1,$BU46,IF($A$7="",INDEX(Tiere!$BN$2:$BN$153,_xlfn.AGGREGATE(15,6,(ROW(Tiere!$BN$2:$BN$153)-1)/(--(SEARCH(AM$2,Tiere!$BN$2:$BN$153)&gt;0)),ROW()-2),1))))))))),"")</f>
        <v>Ferkel 8 bis 32 kg Lebendgewicht (LG) N-reduzierte-Fütterung - Tiefstallmist</v>
      </c>
      <c r="AO47" s="1601"/>
      <c r="AP47" s="1624" t="str">
        <f>IFERROR(IF($A$8=$BO$1,$BO46,IF($A$8=$BP$1,$BP46,IF($A$8=$BQ$1,$BQ46,IF($A$8=$BR$1,$BR46,IF($A$8=$BS$1,$BS46,IF($A$8=$BT$1,$BT46,IF($A$8=$BU$1,$BU46,IF($A$8="",INDEX(Tiere!$BN$2:$BN$153,_xlfn.AGGREGATE(15,6,(ROW(Tiere!$BN$2:$BN$153)-1)/(--(SEARCH(AQ$2,Tiere!$BN$2:$BN$153)&gt;0)),ROW()-2),1))))))))),"")</f>
        <v>Ferkel 8 bis 32 kg Lebendgewicht (LG) N-reduzierte-Fütterung - Tiefstallmist</v>
      </c>
      <c r="AQ47" s="1601"/>
      <c r="AR47" s="1624" t="str">
        <f>IFERROR(IF($A$9=$BO$1,$BO46,IF($A$9=$BP$1,$BP46,IF($A$9=$BQ$1,$BQ46,IF($A$9=$BR$1,$BR46,IF($A$9=$BS$1,$BS46,IF($A$9=$BT$1,$BT46,IF($A$9=$BU$1,$BU46,IF($A$9="",INDEX(Tiere!$BN$2:$BN$153,_xlfn.AGGREGATE(15,6,(ROW(Tiere!$BN$2:$BN$153)-1)/(--(SEARCH(AS$2,Tiere!$BN$2:$BN$153)&gt;0)),ROW()-2),1))))))))),"")</f>
        <v>Ferkel 8 bis 32 kg Lebendgewicht (LG) N-reduzierte-Fütterung - Tiefstallmist</v>
      </c>
      <c r="AS47" s="1601"/>
      <c r="AT47" s="1624" t="str">
        <f>IFERROR(IF($A$10=$BO$1,$BO46,IF($A$10=$BP$1,$BP46,IF($A$10=$BQ$1,$BQ46,IF($A$10=$BR$1,$BR46,IF($A$10=$BS$1,$BS46,IF($A$10=$BT$1,$BT46,IF($A$10=$BU$1,$BU46,IF($A$10="",INDEX(Tiere!$BN$2:$BN$153,_xlfn.AGGREGATE(15,6,(ROW(Tiere!$BN$2:$BN$153)-1)/(--(SEARCH(AU$2,Tiere!$BN$2:$BN$153)&gt;0)),ROW()-2),1))))))))),"")</f>
        <v>Ferkel 8 bis 32 kg Lebendgewicht (LG) N-reduzierte-Fütterung - Tiefstallmist</v>
      </c>
      <c r="AU47" s="1601"/>
      <c r="AV47" s="1624" t="str">
        <f>IFERROR(IF($A$11=$BO$1,$BO46,IF($A$11=$BP$1,$BP46,IF($A$11=$BQ$1,$BQ46,IF($A$11=$BR$1,$BR46,IF($A$11=$BS$1,$BS46,IF($A$11=$BT$1,$BT46,IF($A$11=$BU$1,$BU46,IF($A$11="",INDEX(Tiere!$BN$2:$BN$153,_xlfn.AGGREGATE(15,6,(ROW(Tiere!$BN$2:$BN$153)-1)/(--(SEARCH(AW$2,Tiere!$BN$2:$BN$153)&gt;0)),ROW()-2),1))))))))),"")</f>
        <v>Ferkel 8 bis 32 kg Lebendgewicht (LG) N-reduzierte-Fütterung - Tiefstallmist</v>
      </c>
      <c r="AW47" s="1601"/>
      <c r="AX47" s="1624" t="str">
        <f>IFERROR(IF($A$12=$BO$1,$BO46,IF($A$12=$BP$1,$BP46,IF($A$12=$BQ$1,$BQ46,IF($A$12=$BR$1,$BR46,IF($A$12=$BS$1,$BS46,IF($A$12=$BT$1,$BT46,IF($A$12=$BU$1,$BU46,IF($A$12="",INDEX(Tiere!$BN$2:$BN$153,_xlfn.AGGREGATE(15,6,(ROW(Tiere!$BN$2:$BN$153)-1)/(--(SEARCH(AY$2,Tiere!$BN$2:$BN$153)&gt;0)),ROW()-2),1))))))))),"")</f>
        <v>Ferkel 8 bis 32 kg Lebendgewicht (LG) N-reduzierte-Fütterung - Tiefstallmist</v>
      </c>
      <c r="AY47" s="1601"/>
      <c r="AZ47" s="1624" t="str">
        <f>IFERROR(IF($A$13=$BO$1,$BO46,IF($A$13=$BP$1,$BP46,IF($A$13=$BQ$1,$BQ46,IF($A$13=$BR$1,$BR46,IF($A$13=$BS$1,$BS46,IF($A$13=$BT$1,$BT46,IF($A$13=$BU$1,$BU46,IF($A$13="",INDEX(Tiere!$BN$2:$BN$153,_xlfn.AGGREGATE(15,6,(ROW(Tiere!$BN$2:$BN$153)-1)/(--(SEARCH(BA$2,Tiere!$BN$2:$BN$153)&gt;0)),ROW()-2),1))))))))),"")</f>
        <v>Ferkel 8 bis 32 kg Lebendgewicht (LG) N-reduzierte-Fütterung - Tiefstallmist</v>
      </c>
      <c r="BA47" s="1601"/>
      <c r="BB47" s="1624" t="str">
        <f>IFERROR(IF($A$14=$BO$1,$BO46,IF($A$14=$BP$1,$BP46,IF($A$14=$BQ$1,$BQ46,IF($A$14=$BR$1,$BR46,IF($A$14=$BS$1,$BS46,IF($A$14=$BT$1,$BT46,IF($A$14=$BU$1,$BU46,IF($A$14="",INDEX(Tiere!$BN$2:$BN$153,_xlfn.AGGREGATE(15,6,(ROW(Tiere!$BN$2:$BN$153)-1)/(--(SEARCH(BC$2,Tiere!$BN$2:$BN$153)&gt;0)),ROW()-2),1))))))))),"")</f>
        <v>Ferkel 8 bis 32 kg Lebendgewicht (LG) N-reduzierte-Fütterung - Tiefstallmist</v>
      </c>
      <c r="BC47" s="1601"/>
      <c r="BD47" s="1624" t="str">
        <f>IFERROR(IF($A$15=$BO$1,$BO46,IF($A$15=$BP$1,$BP46,IF($A$15=$BQ$1,$BQ46,IF($A$15=$BR$1,$BR46,IF($A$15=$BS$1,$BS46,IF($A$15=$BT$1,$BT46,IF($A$15=$BU$1,$BU46,IF($A$15="",INDEX(Tiere!$BN$2:$BN$153,_xlfn.AGGREGATE(15,6,(ROW(Tiere!$BN$2:$BN$153)-1)/(--(SEARCH(BE$2,Tiere!$BN$2:$BN$153)&gt;0)),ROW()-2),1))))))))),"")</f>
        <v>Ferkel 8 bis 32 kg Lebendgewicht (LG) N-reduzierte-Fütterung - Tiefstallmist</v>
      </c>
      <c r="BE47" s="1601"/>
      <c r="BF47" s="1624" t="str">
        <f>IFERROR(IF($A$16=$BO$1,$BO46,IF($A$16=$BP$1,$BP46,IF($A$16=$BQ$1,$BQ46,IF($A$16=$BR$1,$BR46,IF($A$16=$BS$1,$BS46,IF($A$16=$BT$1,$BT46,IF($A$16=$BU$1,$BU46,IF($A$16="",INDEX(Tiere!$BN$2:$BN$153,_xlfn.AGGREGATE(15,6,(ROW(Tiere!$BN$2:$BN$153)-1)/(--(SEARCH(BG$2,Tiere!$BN$2:$BN$153)&gt;0)),ROW()-2),1))))))))),"")</f>
        <v>Ferkel 8 bis 32 kg Lebendgewicht (LG) N-reduzierte-Fütterung - Tiefstallmist</v>
      </c>
      <c r="BG47" s="1601"/>
      <c r="BH47" s="1624" t="str">
        <f>IFERROR(IF($A$17=$BO$1,$BO46,IF($A$17=$BP$1,$BP46,IF($A$17=$BQ$1,$BQ46,IF($A$17=$BR$1,$BR46,IF($A$17=$BS$1,$BS46,IF($A$17=$BT$1,$BT46,IF($A$17=$BU$1,$BU46,IF($A$17="",INDEX(Tiere!$BN$2:$BN$153,_xlfn.AGGREGATE(15,6,(ROW(Tiere!$BN$2:$BN$153)-1)/(--(SEARCH(BI$2,Tiere!$BN$2:$BN$153)&gt;0)),ROW()-2),1))))))))),"")</f>
        <v>Ferkel 8 bis 32 kg Lebendgewicht (LG) N-reduzierte-Fütterung - Tiefstallmist</v>
      </c>
      <c r="BI47" s="1601"/>
      <c r="BJ47" s="1624" t="str">
        <f>IFERROR(IF($A$18=$BO$1,$BO46,IF($A$18=$BP$1,$BP46,IF($A$18=$BQ$1,$BQ46,IF($A$18=$BR$1,$BR46,IF($A$18=$BS$1,$BS46,IF($A$18=$BT$1,$BT46,IF($A$18=$BU$1,$BU46,IF($A$18="",INDEX(Tiere!$BN$2:$BN$153,_xlfn.AGGREGATE(15,6,(ROW(Tiere!$BN$2:$BN$153)-1)/(--(SEARCH(BK$2,Tiere!$BN$2:$BN$153)&gt;0)),ROW()-2),1))))))))),"")</f>
        <v>Ferkel 8 bis 32 kg Lebendgewicht (LG) N-reduzierte-Fütterung - Tiefstallmist</v>
      </c>
      <c r="BK47" s="1601"/>
      <c r="BL47" s="1624" t="str">
        <f>IFERROR(IF($A$19=$BO$1,$BO46,IF($A$19=$BP$1,$BP46,IF($A$19=$BQ$1,$BQ46,IF($A$19=$BR$1,$BR46,IF($A$19=$BS$1,$BS46,IF($A$19=$BT$1,$BT46,IF($A$19=$BU$1,$BU46,IF($A$19="",INDEX(Tiere!$BN$2:$BN$153,_xlfn.AGGREGATE(15,6,(ROW(Tiere!$BN$2:$BN$153)-1)/(--(SEARCH(BM$2,Tiere!$BN$2:$BN$153)&gt;0)),ROW()-2),1))))))))),"")</f>
        <v>Ferkel 8 bis 32 kg Lebendgewicht (LG) N-reduzierte-Fütterung - Tiefstallmist</v>
      </c>
      <c r="BM47" s="1601"/>
      <c r="BN47" s="1630" t="s">
        <v>2395</v>
      </c>
      <c r="BO47" s="1599"/>
      <c r="BP47" s="1599"/>
      <c r="BQ47" s="1599"/>
      <c r="BR47" s="1599"/>
      <c r="BS47" s="1599"/>
      <c r="BT47" s="1599"/>
      <c r="BU47" s="1599"/>
      <c r="CD47" s="1911" t="s">
        <v>2395</v>
      </c>
    </row>
    <row r="48" spans="1:82" ht="14.25" thickTop="1" thickBot="1">
      <c r="AJ48" s="1624" t="str">
        <f>IFERROR(IF($A$5=$BO$1,$BO47,IF($A$5=$BP$1,$BP47,IF($A$5=$BQ$1,$BQ47,IF($A$5=$BR$1,$BR47,IF($A$5=$BS$1,$BS47,IF($A$5=$BT$1,$BT47,IF($A$5=$BU$1,$BU47,IF($A$5="",INDEX(Tiere!$BN$2:$BN$153,_xlfn.AGGREGATE(15,6,(ROW(Tiere!$BN$2:$BN$153)-1)/(--(SEARCH(AK$2,Tiere!$BN$2:$BN$153)&gt;0)),ROW()-2),1))))))))),"")</f>
        <v>Ferkel 8 bis 32 kg Lebendgewicht (LG) - stark-N-reduzierte-Fütterung - Gülle</v>
      </c>
      <c r="AK48" s="1599"/>
      <c r="AL48" s="1624" t="str">
        <f>IFERROR(IF($A$6=$BO$1,$BO47,IF($A$6=$BP$1,$BP47,IF($A$6=$BQ$1,$BQ47,IF($A$6=$BR$1,$BR47,IF($A$6=$BS$1,$BS47,IF($A$6=$BT$1,$BT47,IF($A$6=$BU$1,$BU47,IF($A$6="",INDEX(Tiere!$BN$2:$BN$153,_xlfn.AGGREGATE(15,6,(ROW(Tiere!$BN$2:$BN$153)-1)/(--(SEARCH(AM$2,Tiere!$BN$2:$BN$153)&gt;0)),ROW()-2),1))))))))),"")</f>
        <v>Ferkel 8 bis 32 kg Lebendgewicht (LG) - stark-N-reduzierte-Fütterung - Gülle</v>
      </c>
      <c r="AM48" s="1599"/>
      <c r="AN48" s="1624" t="str">
        <f>IFERROR(IF($A$7=$BO$1,$BO47,IF($A$7=$BP$1,$BP47,IF($A$7=$BQ$1,$BQ47,IF($A$7=$BR$1,$BR47,IF($A$7=$BS$1,$BS47,IF($A$7=$BT$1,$BT47,IF($A$7=$BU$1,$BU47,IF($A$7="",INDEX(Tiere!$BN$2:$BN$153,_xlfn.AGGREGATE(15,6,(ROW(Tiere!$BN$2:$BN$153)-1)/(--(SEARCH(AM$2,Tiere!$BN$2:$BN$153)&gt;0)),ROW()-2),1))))))))),"")</f>
        <v>Ferkel 8 bis 32 kg Lebendgewicht (LG) - stark-N-reduzierte-Fütterung - Gülle</v>
      </c>
      <c r="AO48" s="1599"/>
      <c r="AP48" s="1624" t="str">
        <f>IFERROR(IF($A$8=$BO$1,$BO47,IF($A$8=$BP$1,$BP47,IF($A$8=$BQ$1,$BQ47,IF($A$8=$BR$1,$BR47,IF($A$8=$BS$1,$BS47,IF($A$8=$BT$1,$BT47,IF($A$8=$BU$1,$BU47,IF($A$8="",INDEX(Tiere!$BN$2:$BN$153,_xlfn.AGGREGATE(15,6,(ROW(Tiere!$BN$2:$BN$153)-1)/(--(SEARCH(AQ$2,Tiere!$BN$2:$BN$153)&gt;0)),ROW()-2),1))))))))),"")</f>
        <v>Ferkel 8 bis 32 kg Lebendgewicht (LG) - stark-N-reduzierte-Fütterung - Gülle</v>
      </c>
      <c r="AQ48" s="1599"/>
      <c r="AR48" s="1624" t="str">
        <f>IFERROR(IF($A$9=$BO$1,$BO47,IF($A$9=$BP$1,$BP47,IF($A$9=$BQ$1,$BQ47,IF($A$9=$BR$1,$BR47,IF($A$9=$BS$1,$BS47,IF($A$9=$BT$1,$BT47,IF($A$9=$BU$1,$BU47,IF($A$9="",INDEX(Tiere!$BN$2:$BN$153,_xlfn.AGGREGATE(15,6,(ROW(Tiere!$BN$2:$BN$153)-1)/(--(SEARCH(AS$2,Tiere!$BN$2:$BN$153)&gt;0)),ROW()-2),1))))))))),"")</f>
        <v>Ferkel 8 bis 32 kg Lebendgewicht (LG) - stark-N-reduzierte-Fütterung - Gülle</v>
      </c>
      <c r="AS48" s="1599"/>
      <c r="AT48" s="1624" t="str">
        <f>IFERROR(IF($A$10=$BO$1,$BO47,IF($A$10=$BP$1,$BP47,IF($A$10=$BQ$1,$BQ47,IF($A$10=$BR$1,$BR47,IF($A$10=$BS$1,$BS47,IF($A$10=$BT$1,$BT47,IF($A$10=$BU$1,$BU47,IF($A$10="",INDEX(Tiere!$BN$2:$BN$153,_xlfn.AGGREGATE(15,6,(ROW(Tiere!$BN$2:$BN$153)-1)/(--(SEARCH(AU$2,Tiere!$BN$2:$BN$153)&gt;0)),ROW()-2),1))))))))),"")</f>
        <v>Ferkel 8 bis 32 kg Lebendgewicht (LG) - stark-N-reduzierte-Fütterung - Gülle</v>
      </c>
      <c r="AU48" s="1599"/>
      <c r="AV48" s="1624" t="str">
        <f>IFERROR(IF($A$11=$BO$1,$BO47,IF($A$11=$BP$1,$BP47,IF($A$11=$BQ$1,$BQ47,IF($A$11=$BR$1,$BR47,IF($A$11=$BS$1,$BS47,IF($A$11=$BT$1,$BT47,IF($A$11=$BU$1,$BU47,IF($A$11="",INDEX(Tiere!$BN$2:$BN$153,_xlfn.AGGREGATE(15,6,(ROW(Tiere!$BN$2:$BN$153)-1)/(--(SEARCH(AW$2,Tiere!$BN$2:$BN$153)&gt;0)),ROW()-2),1))))))))),"")</f>
        <v>Ferkel 8 bis 32 kg Lebendgewicht (LG) - stark-N-reduzierte-Fütterung - Gülle</v>
      </c>
      <c r="AW48" s="1599"/>
      <c r="AX48" s="1624" t="str">
        <f>IFERROR(IF($A$12=$BO$1,$BO47,IF($A$12=$BP$1,$BP47,IF($A$12=$BQ$1,$BQ47,IF($A$12=$BR$1,$BR47,IF($A$12=$BS$1,$BS47,IF($A$12=$BT$1,$BT47,IF($A$12=$BU$1,$BU47,IF($A$12="",INDEX(Tiere!$BN$2:$BN$153,_xlfn.AGGREGATE(15,6,(ROW(Tiere!$BN$2:$BN$153)-1)/(--(SEARCH(AY$2,Tiere!$BN$2:$BN$153)&gt;0)),ROW()-2),1))))))))),"")</f>
        <v>Ferkel 8 bis 32 kg Lebendgewicht (LG) - stark-N-reduzierte-Fütterung - Gülle</v>
      </c>
      <c r="AY48" s="1599"/>
      <c r="AZ48" s="1624" t="str">
        <f>IFERROR(IF($A$13=$BO$1,$BO47,IF($A$13=$BP$1,$BP47,IF($A$13=$BQ$1,$BQ47,IF($A$13=$BR$1,$BR47,IF($A$13=$BS$1,$BS47,IF($A$13=$BT$1,$BT47,IF($A$13=$BU$1,$BU47,IF($A$13="",INDEX(Tiere!$BN$2:$BN$153,_xlfn.AGGREGATE(15,6,(ROW(Tiere!$BN$2:$BN$153)-1)/(--(SEARCH(BA$2,Tiere!$BN$2:$BN$153)&gt;0)),ROW()-2),1))))))))),"")</f>
        <v>Ferkel 8 bis 32 kg Lebendgewicht (LG) - stark-N-reduzierte-Fütterung - Gülle</v>
      </c>
      <c r="BA48" s="1599"/>
      <c r="BB48" s="1624" t="str">
        <f>IFERROR(IF($A$14=$BO$1,$BO47,IF($A$14=$BP$1,$BP47,IF($A$14=$BQ$1,$BQ47,IF($A$14=$BR$1,$BR47,IF($A$14=$BS$1,$BS47,IF($A$14=$BT$1,$BT47,IF($A$14=$BU$1,$BU47,IF($A$14="",INDEX(Tiere!$BN$2:$BN$153,_xlfn.AGGREGATE(15,6,(ROW(Tiere!$BN$2:$BN$153)-1)/(--(SEARCH(BC$2,Tiere!$BN$2:$BN$153)&gt;0)),ROW()-2),1))))))))),"")</f>
        <v>Ferkel 8 bis 32 kg Lebendgewicht (LG) - stark-N-reduzierte-Fütterung - Gülle</v>
      </c>
      <c r="BC48" s="1599"/>
      <c r="BD48" s="1624" t="str">
        <f>IFERROR(IF($A$15=$BO$1,$BO47,IF($A$15=$BP$1,$BP47,IF($A$15=$BQ$1,$BQ47,IF($A$15=$BR$1,$BR47,IF($A$15=$BS$1,$BS47,IF($A$15=$BT$1,$BT47,IF($A$15=$BU$1,$BU47,IF($A$15="",INDEX(Tiere!$BN$2:$BN$153,_xlfn.AGGREGATE(15,6,(ROW(Tiere!$BN$2:$BN$153)-1)/(--(SEARCH(BE$2,Tiere!$BN$2:$BN$153)&gt;0)),ROW()-2),1))))))))),"")</f>
        <v>Ferkel 8 bis 32 kg Lebendgewicht (LG) - stark-N-reduzierte-Fütterung - Gülle</v>
      </c>
      <c r="BE48" s="1599"/>
      <c r="BF48" s="1624" t="str">
        <f>IFERROR(IF($A$16=$BO$1,$BO47,IF($A$16=$BP$1,$BP47,IF($A$16=$BQ$1,$BQ47,IF($A$16=$BR$1,$BR47,IF($A$16=$BS$1,$BS47,IF($A$16=$BT$1,$BT47,IF($A$16=$BU$1,$BU47,IF($A$16="",INDEX(Tiere!$BN$2:$BN$153,_xlfn.AGGREGATE(15,6,(ROW(Tiere!$BN$2:$BN$153)-1)/(--(SEARCH(BG$2,Tiere!$BN$2:$BN$153)&gt;0)),ROW()-2),1))))))))),"")</f>
        <v>Ferkel 8 bis 32 kg Lebendgewicht (LG) - stark-N-reduzierte-Fütterung - Gülle</v>
      </c>
      <c r="BG48" s="1599"/>
      <c r="BH48" s="1624" t="str">
        <f>IFERROR(IF($A$17=$BO$1,$BO47,IF($A$17=$BP$1,$BP47,IF($A$17=$BQ$1,$BQ47,IF($A$17=$BR$1,$BR47,IF($A$17=$BS$1,$BS47,IF($A$17=$BT$1,$BT47,IF($A$17=$BU$1,$BU47,IF($A$17="",INDEX(Tiere!$BN$2:$BN$153,_xlfn.AGGREGATE(15,6,(ROW(Tiere!$BN$2:$BN$153)-1)/(--(SEARCH(BI$2,Tiere!$BN$2:$BN$153)&gt;0)),ROW()-2),1))))))))),"")</f>
        <v>Ferkel 8 bis 32 kg Lebendgewicht (LG) - stark-N-reduzierte-Fütterung - Gülle</v>
      </c>
      <c r="BI48" s="1599"/>
      <c r="BJ48" s="1624" t="str">
        <f>IFERROR(IF($A$18=$BO$1,$BO47,IF($A$18=$BP$1,$BP47,IF($A$18=$BQ$1,$BQ47,IF($A$18=$BR$1,$BR47,IF($A$18=$BS$1,$BS47,IF($A$18=$BT$1,$BT47,IF($A$18=$BU$1,$BU47,IF($A$18="",INDEX(Tiere!$BN$2:$BN$153,_xlfn.AGGREGATE(15,6,(ROW(Tiere!$BN$2:$BN$153)-1)/(--(SEARCH(BK$2,Tiere!$BN$2:$BN$153)&gt;0)),ROW()-2),1))))))))),"")</f>
        <v>Ferkel 8 bis 32 kg Lebendgewicht (LG) - stark-N-reduzierte-Fütterung - Gülle</v>
      </c>
      <c r="BK48" s="1599"/>
      <c r="BL48" s="1624" t="str">
        <f>IFERROR(IF($A$19=$BO$1,$BO47,IF($A$19=$BP$1,$BP47,IF($A$19=$BQ$1,$BQ47,IF($A$19=$BR$1,$BR47,IF($A$19=$BS$1,$BS47,IF($A$19=$BT$1,$BT47,IF($A$19=$BU$1,$BU47,IF($A$19="",INDEX(Tiere!$BN$2:$BN$153,_xlfn.AGGREGATE(15,6,(ROW(Tiere!$BN$2:$BN$153)-1)/(--(SEARCH(BM$2,Tiere!$BN$2:$BN$153)&gt;0)),ROW()-2),1))))))))),"")</f>
        <v>Ferkel 8 bis 32 kg Lebendgewicht (LG) - stark-N-reduzierte-Fütterung - Gülle</v>
      </c>
      <c r="BM48" s="1599"/>
      <c r="BN48" s="1630" t="s">
        <v>2396</v>
      </c>
      <c r="BO48" s="1599"/>
      <c r="BP48" s="1599"/>
      <c r="BQ48" s="1599"/>
      <c r="BR48" s="1599"/>
      <c r="BS48" s="1599"/>
      <c r="BT48" s="1599"/>
      <c r="BU48" s="1623"/>
      <c r="CD48" s="1911" t="s">
        <v>2396</v>
      </c>
    </row>
    <row r="49" spans="36:82" ht="13.5" thickBot="1">
      <c r="AJ49" s="1624" t="str">
        <f>IFERROR(IF($A$5=$BO$1,$BO48,IF($A$5=$BP$1,$BP48,IF($A$5=$BQ$1,$BQ48,IF($A$5=$BR$1,$BR48,IF($A$5=$BS$1,$BS48,IF($A$5=$BT$1,$BT48,IF($A$5=$BU$1,$BU48,IF($A$5="",INDEX(Tiere!$BN$2:$BN$153,_xlfn.AGGREGATE(15,6,(ROW(Tiere!$BN$2:$BN$153)-1)/(--(SEARCH(AK$2,Tiere!$BN$2:$BN$153)&gt;0)),ROW()-2),1))))))))),"")</f>
        <v>Ferkel 8 bis 32 kg Lebendgewicht (LG) - stark-N-reduzierte-Fütterung - Mist/Jauche</v>
      </c>
      <c r="AK49" s="1601"/>
      <c r="AL49" s="1624" t="str">
        <f>IFERROR(IF($A$6=$BO$1,$BO48,IF($A$6=$BP$1,$BP48,IF($A$6=$BQ$1,$BQ48,IF($A$6=$BR$1,$BR48,IF($A$6=$BS$1,$BS48,IF($A$6=$BT$1,$BT48,IF($A$6=$BU$1,$BU48,IF($A$6="",INDEX(Tiere!$BN$2:$BN$153,_xlfn.AGGREGATE(15,6,(ROW(Tiere!$BN$2:$BN$153)-1)/(--(SEARCH(AM$2,Tiere!$BN$2:$BN$153)&gt;0)),ROW()-2),1))))))))),"")</f>
        <v>Ferkel 8 bis 32 kg Lebendgewicht (LG) - stark-N-reduzierte-Fütterung - Mist/Jauche</v>
      </c>
      <c r="AM49" s="1601"/>
      <c r="AN49" s="1624" t="str">
        <f>IFERROR(IF($A$7=$BO$1,$BO48,IF($A$7=$BP$1,$BP48,IF($A$7=$BQ$1,$BQ48,IF($A$7=$BR$1,$BR48,IF($A$7=$BS$1,$BS48,IF($A$7=$BT$1,$BT48,IF($A$7=$BU$1,$BU48,IF($A$7="",INDEX(Tiere!$BN$2:$BN$153,_xlfn.AGGREGATE(15,6,(ROW(Tiere!$BN$2:$BN$153)-1)/(--(SEARCH(AM$2,Tiere!$BN$2:$BN$153)&gt;0)),ROW()-2),1))))))))),"")</f>
        <v>Ferkel 8 bis 32 kg Lebendgewicht (LG) - stark-N-reduzierte-Fütterung - Mist/Jauche</v>
      </c>
      <c r="AO49" s="1601"/>
      <c r="AP49" s="1624" t="str">
        <f>IFERROR(IF($A$8=$BO$1,$BO48,IF($A$8=$BP$1,$BP48,IF($A$8=$BQ$1,$BQ48,IF($A$8=$BR$1,$BR48,IF($A$8=$BS$1,$BS48,IF($A$8=$BT$1,$BT48,IF($A$8=$BU$1,$BU48,IF($A$8="",INDEX(Tiere!$BN$2:$BN$153,_xlfn.AGGREGATE(15,6,(ROW(Tiere!$BN$2:$BN$153)-1)/(--(SEARCH(AQ$2,Tiere!$BN$2:$BN$153)&gt;0)),ROW()-2),1))))))))),"")</f>
        <v>Ferkel 8 bis 32 kg Lebendgewicht (LG) - stark-N-reduzierte-Fütterung - Mist/Jauche</v>
      </c>
      <c r="AQ49" s="1601"/>
      <c r="AR49" s="1624" t="str">
        <f>IFERROR(IF($A$9=$BO$1,$BO48,IF($A$9=$BP$1,$BP48,IF($A$9=$BQ$1,$BQ48,IF($A$9=$BR$1,$BR48,IF($A$9=$BS$1,$BS48,IF($A$9=$BT$1,$BT48,IF($A$9=$BU$1,$BU48,IF($A$9="",INDEX(Tiere!$BN$2:$BN$153,_xlfn.AGGREGATE(15,6,(ROW(Tiere!$BN$2:$BN$153)-1)/(--(SEARCH(AS$2,Tiere!$BN$2:$BN$153)&gt;0)),ROW()-2),1))))))))),"")</f>
        <v>Ferkel 8 bis 32 kg Lebendgewicht (LG) - stark-N-reduzierte-Fütterung - Mist/Jauche</v>
      </c>
      <c r="AS49" s="1601"/>
      <c r="AT49" s="1624" t="str">
        <f>IFERROR(IF($A$10=$BO$1,$BO48,IF($A$10=$BP$1,$BP48,IF($A$10=$BQ$1,$BQ48,IF($A$10=$BR$1,$BR48,IF($A$10=$BS$1,$BS48,IF($A$10=$BT$1,$BT48,IF($A$10=$BU$1,$BU48,IF($A$10="",INDEX(Tiere!$BN$2:$BN$153,_xlfn.AGGREGATE(15,6,(ROW(Tiere!$BN$2:$BN$153)-1)/(--(SEARCH(AU$2,Tiere!$BN$2:$BN$153)&gt;0)),ROW()-2),1))))))))),"")</f>
        <v>Ferkel 8 bis 32 kg Lebendgewicht (LG) - stark-N-reduzierte-Fütterung - Mist/Jauche</v>
      </c>
      <c r="AU49" s="1601"/>
      <c r="AV49" s="1624" t="str">
        <f>IFERROR(IF($A$11=$BO$1,$BO48,IF($A$11=$BP$1,$BP48,IF($A$11=$BQ$1,$BQ48,IF($A$11=$BR$1,$BR48,IF($A$11=$BS$1,$BS48,IF($A$11=$BT$1,$BT48,IF($A$11=$BU$1,$BU48,IF($A$11="",INDEX(Tiere!$BN$2:$BN$153,_xlfn.AGGREGATE(15,6,(ROW(Tiere!$BN$2:$BN$153)-1)/(--(SEARCH(AW$2,Tiere!$BN$2:$BN$153)&gt;0)),ROW()-2),1))))))))),"")</f>
        <v>Ferkel 8 bis 32 kg Lebendgewicht (LG) - stark-N-reduzierte-Fütterung - Mist/Jauche</v>
      </c>
      <c r="AW49" s="1601"/>
      <c r="AX49" s="1624" t="str">
        <f>IFERROR(IF($A$12=$BO$1,$BO48,IF($A$12=$BP$1,$BP48,IF($A$12=$BQ$1,$BQ48,IF($A$12=$BR$1,$BR48,IF($A$12=$BS$1,$BS48,IF($A$12=$BT$1,$BT48,IF($A$12=$BU$1,$BU48,IF($A$12="",INDEX(Tiere!$BN$2:$BN$153,_xlfn.AGGREGATE(15,6,(ROW(Tiere!$BN$2:$BN$153)-1)/(--(SEARCH(AY$2,Tiere!$BN$2:$BN$153)&gt;0)),ROW()-2),1))))))))),"")</f>
        <v>Ferkel 8 bis 32 kg Lebendgewicht (LG) - stark-N-reduzierte-Fütterung - Mist/Jauche</v>
      </c>
      <c r="AY49" s="1601"/>
      <c r="AZ49" s="1624" t="str">
        <f>IFERROR(IF($A$13=$BO$1,$BO48,IF($A$13=$BP$1,$BP48,IF($A$13=$BQ$1,$BQ48,IF($A$13=$BR$1,$BR48,IF($A$13=$BS$1,$BS48,IF($A$13=$BT$1,$BT48,IF($A$13=$BU$1,$BU48,IF($A$13="",INDEX(Tiere!$BN$2:$BN$153,_xlfn.AGGREGATE(15,6,(ROW(Tiere!$BN$2:$BN$153)-1)/(--(SEARCH(BA$2,Tiere!$BN$2:$BN$153)&gt;0)),ROW()-2),1))))))))),"")</f>
        <v>Ferkel 8 bis 32 kg Lebendgewicht (LG) - stark-N-reduzierte-Fütterung - Mist/Jauche</v>
      </c>
      <c r="BA49" s="1601"/>
      <c r="BB49" s="1624" t="str">
        <f>IFERROR(IF($A$14=$BO$1,$BO48,IF($A$14=$BP$1,$BP48,IF($A$14=$BQ$1,$BQ48,IF($A$14=$BR$1,$BR48,IF($A$14=$BS$1,$BS48,IF($A$14=$BT$1,$BT48,IF($A$14=$BU$1,$BU48,IF($A$14="",INDEX(Tiere!$BN$2:$BN$153,_xlfn.AGGREGATE(15,6,(ROW(Tiere!$BN$2:$BN$153)-1)/(--(SEARCH(BC$2,Tiere!$BN$2:$BN$153)&gt;0)),ROW()-2),1))))))))),"")</f>
        <v>Ferkel 8 bis 32 kg Lebendgewicht (LG) - stark-N-reduzierte-Fütterung - Mist/Jauche</v>
      </c>
      <c r="BC49" s="1601"/>
      <c r="BD49" s="1624" t="str">
        <f>IFERROR(IF($A$15=$BO$1,$BO48,IF($A$15=$BP$1,$BP48,IF($A$15=$BQ$1,$BQ48,IF($A$15=$BR$1,$BR48,IF($A$15=$BS$1,$BS48,IF($A$15=$BT$1,$BT48,IF($A$15=$BU$1,$BU48,IF($A$15="",INDEX(Tiere!$BN$2:$BN$153,_xlfn.AGGREGATE(15,6,(ROW(Tiere!$BN$2:$BN$153)-1)/(--(SEARCH(BE$2,Tiere!$BN$2:$BN$153)&gt;0)),ROW()-2),1))))))))),"")</f>
        <v>Ferkel 8 bis 32 kg Lebendgewicht (LG) - stark-N-reduzierte-Fütterung - Mist/Jauche</v>
      </c>
      <c r="BE49" s="1601"/>
      <c r="BF49" s="1624" t="str">
        <f>IFERROR(IF($A$16=$BO$1,$BO48,IF($A$16=$BP$1,$BP48,IF($A$16=$BQ$1,$BQ48,IF($A$16=$BR$1,$BR48,IF($A$16=$BS$1,$BS48,IF($A$16=$BT$1,$BT48,IF($A$16=$BU$1,$BU48,IF($A$16="",INDEX(Tiere!$BN$2:$BN$153,_xlfn.AGGREGATE(15,6,(ROW(Tiere!$BN$2:$BN$153)-1)/(--(SEARCH(BG$2,Tiere!$BN$2:$BN$153)&gt;0)),ROW()-2),1))))))))),"")</f>
        <v>Ferkel 8 bis 32 kg Lebendgewicht (LG) - stark-N-reduzierte-Fütterung - Mist/Jauche</v>
      </c>
      <c r="BG49" s="1601"/>
      <c r="BH49" s="1624" t="str">
        <f>IFERROR(IF($A$17=$BO$1,$BO48,IF($A$17=$BP$1,$BP48,IF($A$17=$BQ$1,$BQ48,IF($A$17=$BR$1,$BR48,IF($A$17=$BS$1,$BS48,IF($A$17=$BT$1,$BT48,IF($A$17=$BU$1,$BU48,IF($A$17="",INDEX(Tiere!$BN$2:$BN$153,_xlfn.AGGREGATE(15,6,(ROW(Tiere!$BN$2:$BN$153)-1)/(--(SEARCH(BI$2,Tiere!$BN$2:$BN$153)&gt;0)),ROW()-2),1))))))))),"")</f>
        <v>Ferkel 8 bis 32 kg Lebendgewicht (LG) - stark-N-reduzierte-Fütterung - Mist/Jauche</v>
      </c>
      <c r="BI49" s="1601"/>
      <c r="BJ49" s="1624" t="str">
        <f>IFERROR(IF($A$18=$BO$1,$BO48,IF($A$18=$BP$1,$BP48,IF($A$18=$BQ$1,$BQ48,IF($A$18=$BR$1,$BR48,IF($A$18=$BS$1,$BS48,IF($A$18=$BT$1,$BT48,IF($A$18=$BU$1,$BU48,IF($A$18="",INDEX(Tiere!$BN$2:$BN$153,_xlfn.AGGREGATE(15,6,(ROW(Tiere!$BN$2:$BN$153)-1)/(--(SEARCH(BK$2,Tiere!$BN$2:$BN$153)&gt;0)),ROW()-2),1))))))))),"")</f>
        <v>Ferkel 8 bis 32 kg Lebendgewicht (LG) - stark-N-reduzierte-Fütterung - Mist/Jauche</v>
      </c>
      <c r="BK49" s="1601"/>
      <c r="BL49" s="1624" t="str">
        <f>IFERROR(IF($A$19=$BO$1,$BO48,IF($A$19=$BP$1,$BP48,IF($A$19=$BQ$1,$BQ48,IF($A$19=$BR$1,$BR48,IF($A$19=$BS$1,$BS48,IF($A$19=$BT$1,$BT48,IF($A$19=$BU$1,$BU48,IF($A$19="",INDEX(Tiere!$BN$2:$BN$153,_xlfn.AGGREGATE(15,6,(ROW(Tiere!$BN$2:$BN$153)-1)/(--(SEARCH(BM$2,Tiere!$BN$2:$BN$153)&gt;0)),ROW()-2),1))))))))),"")</f>
        <v>Ferkel 8 bis 32 kg Lebendgewicht (LG) - stark-N-reduzierte-Fütterung - Mist/Jauche</v>
      </c>
      <c r="BM49" s="1601"/>
      <c r="BN49" s="1630" t="s">
        <v>2397</v>
      </c>
      <c r="BO49" s="1599"/>
      <c r="BP49" s="1599"/>
      <c r="BQ49" s="1599"/>
      <c r="BR49" s="1599"/>
      <c r="BS49" s="1599"/>
      <c r="BT49" s="1599"/>
      <c r="BU49" s="1599"/>
      <c r="CD49" s="1911" t="s">
        <v>2397</v>
      </c>
    </row>
    <row r="50" spans="36:82" ht="13.5" thickBot="1">
      <c r="AJ50" s="1624" t="str">
        <f>IFERROR(IF($A$5=$BO$1,$BO49,IF($A$5=$BP$1,$BP49,IF($A$5=$BQ$1,$BQ49,IF($A$5=$BR$1,$BR49,IF($A$5=$BS$1,$BS49,IF($A$5=$BT$1,$BT49,IF($A$5=$BU$1,$BU49,IF($A$5="",INDEX(Tiere!$BN$2:$BN$153,_xlfn.AGGREGATE(15,6,(ROW(Tiere!$BN$2:$BN$153)-1)/(--(SEARCH(AK$2,Tiere!$BN$2:$BN$153)&gt;0)),ROW()-2),1))))))))),"")</f>
        <v>Ferkel 8 bis 32 kg Lebendgewicht (LG) - stark-N-reduzierte-Fütterung - Tiefstallmist</v>
      </c>
      <c r="AK50" s="1599"/>
      <c r="AL50" s="1624" t="str">
        <f>IFERROR(IF($A$6=$BO$1,$BO49,IF($A$6=$BP$1,$BP49,IF($A$6=$BQ$1,$BQ49,IF($A$6=$BR$1,$BR49,IF($A$6=$BS$1,$BS49,IF($A$6=$BT$1,$BT49,IF($A$6=$BU$1,$BU49,IF($A$6="",INDEX(Tiere!$BN$2:$BN$153,_xlfn.AGGREGATE(15,6,(ROW(Tiere!$BN$2:$BN$153)-1)/(--(SEARCH(AM$2,Tiere!$BN$2:$BN$153)&gt;0)),ROW()-2),1))))))))),"")</f>
        <v>Ferkel 8 bis 32 kg Lebendgewicht (LG) - stark-N-reduzierte-Fütterung - Tiefstallmist</v>
      </c>
      <c r="AM50" s="1599"/>
      <c r="AN50" s="1624" t="str">
        <f>IFERROR(IF($A$7=$BO$1,$BO49,IF($A$7=$BP$1,$BP49,IF($A$7=$BQ$1,$BQ49,IF($A$7=$BR$1,$BR49,IF($A$7=$BS$1,$BS49,IF($A$7=$BT$1,$BT49,IF($A$7=$BU$1,$BU49,IF($A$7="",INDEX(Tiere!$BN$2:$BN$153,_xlfn.AGGREGATE(15,6,(ROW(Tiere!$BN$2:$BN$153)-1)/(--(SEARCH(AM$2,Tiere!$BN$2:$BN$153)&gt;0)),ROW()-2),1))))))))),"")</f>
        <v>Ferkel 8 bis 32 kg Lebendgewicht (LG) - stark-N-reduzierte-Fütterung - Tiefstallmist</v>
      </c>
      <c r="AO50" s="1599"/>
      <c r="AP50" s="1624" t="str">
        <f>IFERROR(IF($A$8=$BO$1,$BO49,IF($A$8=$BP$1,$BP49,IF($A$8=$BQ$1,$BQ49,IF($A$8=$BR$1,$BR49,IF($A$8=$BS$1,$BS49,IF($A$8=$BT$1,$BT49,IF($A$8=$BU$1,$BU49,IF($A$8="",INDEX(Tiere!$BN$2:$BN$153,_xlfn.AGGREGATE(15,6,(ROW(Tiere!$BN$2:$BN$153)-1)/(--(SEARCH(AQ$2,Tiere!$BN$2:$BN$153)&gt;0)),ROW()-2),1))))))))),"")</f>
        <v>Ferkel 8 bis 32 kg Lebendgewicht (LG) - stark-N-reduzierte-Fütterung - Tiefstallmist</v>
      </c>
      <c r="AQ50" s="1599"/>
      <c r="AR50" s="1624" t="str">
        <f>IFERROR(IF($A$9=$BO$1,$BO49,IF($A$9=$BP$1,$BP49,IF($A$9=$BQ$1,$BQ49,IF($A$9=$BR$1,$BR49,IF($A$9=$BS$1,$BS49,IF($A$9=$BT$1,$BT49,IF($A$9=$BU$1,$BU49,IF($A$9="",INDEX(Tiere!$BN$2:$BN$153,_xlfn.AGGREGATE(15,6,(ROW(Tiere!$BN$2:$BN$153)-1)/(--(SEARCH(AS$2,Tiere!$BN$2:$BN$153)&gt;0)),ROW()-2),1))))))))),"")</f>
        <v>Ferkel 8 bis 32 kg Lebendgewicht (LG) - stark-N-reduzierte-Fütterung - Tiefstallmist</v>
      </c>
      <c r="AS50" s="1599"/>
      <c r="AT50" s="1624" t="str">
        <f>IFERROR(IF($A$10=$BO$1,$BO49,IF($A$10=$BP$1,$BP49,IF($A$10=$BQ$1,$BQ49,IF($A$10=$BR$1,$BR49,IF($A$10=$BS$1,$BS49,IF($A$10=$BT$1,$BT49,IF($A$10=$BU$1,$BU49,IF($A$10="",INDEX(Tiere!$BN$2:$BN$153,_xlfn.AGGREGATE(15,6,(ROW(Tiere!$BN$2:$BN$153)-1)/(--(SEARCH(AU$2,Tiere!$BN$2:$BN$153)&gt;0)),ROW()-2),1))))))))),"")</f>
        <v>Ferkel 8 bis 32 kg Lebendgewicht (LG) - stark-N-reduzierte-Fütterung - Tiefstallmist</v>
      </c>
      <c r="AU50" s="1599"/>
      <c r="AV50" s="1624" t="str">
        <f>IFERROR(IF($A$11=$BO$1,$BO49,IF($A$11=$BP$1,$BP49,IF($A$11=$BQ$1,$BQ49,IF($A$11=$BR$1,$BR49,IF($A$11=$BS$1,$BS49,IF($A$11=$BT$1,$BT49,IF($A$11=$BU$1,$BU49,IF($A$11="",INDEX(Tiere!$BN$2:$BN$153,_xlfn.AGGREGATE(15,6,(ROW(Tiere!$BN$2:$BN$153)-1)/(--(SEARCH(AW$2,Tiere!$BN$2:$BN$153)&gt;0)),ROW()-2),1))))))))),"")</f>
        <v>Ferkel 8 bis 32 kg Lebendgewicht (LG) - stark-N-reduzierte-Fütterung - Tiefstallmist</v>
      </c>
      <c r="AW50" s="1599"/>
      <c r="AX50" s="1624" t="str">
        <f>IFERROR(IF($A$12=$BO$1,$BO49,IF($A$12=$BP$1,$BP49,IF($A$12=$BQ$1,$BQ49,IF($A$12=$BR$1,$BR49,IF($A$12=$BS$1,$BS49,IF($A$12=$BT$1,$BT49,IF($A$12=$BU$1,$BU49,IF($A$12="",INDEX(Tiere!$BN$2:$BN$153,_xlfn.AGGREGATE(15,6,(ROW(Tiere!$BN$2:$BN$153)-1)/(--(SEARCH(AY$2,Tiere!$BN$2:$BN$153)&gt;0)),ROW()-2),1))))))))),"")</f>
        <v>Ferkel 8 bis 32 kg Lebendgewicht (LG) - stark-N-reduzierte-Fütterung - Tiefstallmist</v>
      </c>
      <c r="AY50" s="1599"/>
      <c r="AZ50" s="1624" t="str">
        <f>IFERROR(IF($A$13=$BO$1,$BO49,IF($A$13=$BP$1,$BP49,IF($A$13=$BQ$1,$BQ49,IF($A$13=$BR$1,$BR49,IF($A$13=$BS$1,$BS49,IF($A$13=$BT$1,$BT49,IF($A$13=$BU$1,$BU49,IF($A$13="",INDEX(Tiere!$BN$2:$BN$153,_xlfn.AGGREGATE(15,6,(ROW(Tiere!$BN$2:$BN$153)-1)/(--(SEARCH(BA$2,Tiere!$BN$2:$BN$153)&gt;0)),ROW()-2),1))))))))),"")</f>
        <v>Ferkel 8 bis 32 kg Lebendgewicht (LG) - stark-N-reduzierte-Fütterung - Tiefstallmist</v>
      </c>
      <c r="BA50" s="1599"/>
      <c r="BB50" s="1624" t="str">
        <f>IFERROR(IF($A$14=$BO$1,$BO49,IF($A$14=$BP$1,$BP49,IF($A$14=$BQ$1,$BQ49,IF($A$14=$BR$1,$BR49,IF($A$14=$BS$1,$BS49,IF($A$14=$BT$1,$BT49,IF($A$14=$BU$1,$BU49,IF($A$14="",INDEX(Tiere!$BN$2:$BN$153,_xlfn.AGGREGATE(15,6,(ROW(Tiere!$BN$2:$BN$153)-1)/(--(SEARCH(BC$2,Tiere!$BN$2:$BN$153)&gt;0)),ROW()-2),1))))))))),"")</f>
        <v>Ferkel 8 bis 32 kg Lebendgewicht (LG) - stark-N-reduzierte-Fütterung - Tiefstallmist</v>
      </c>
      <c r="BC50" s="1599"/>
      <c r="BD50" s="1624" t="str">
        <f>IFERROR(IF($A$15=$BO$1,$BO49,IF($A$15=$BP$1,$BP49,IF($A$15=$BQ$1,$BQ49,IF($A$15=$BR$1,$BR49,IF($A$15=$BS$1,$BS49,IF($A$15=$BT$1,$BT49,IF($A$15=$BU$1,$BU49,IF($A$15="",INDEX(Tiere!$BN$2:$BN$153,_xlfn.AGGREGATE(15,6,(ROW(Tiere!$BN$2:$BN$153)-1)/(--(SEARCH(BE$2,Tiere!$BN$2:$BN$153)&gt;0)),ROW()-2),1))))))))),"")</f>
        <v>Ferkel 8 bis 32 kg Lebendgewicht (LG) - stark-N-reduzierte-Fütterung - Tiefstallmist</v>
      </c>
      <c r="BE50" s="1599"/>
      <c r="BF50" s="1624" t="str">
        <f>IFERROR(IF($A$16=$BO$1,$BO49,IF($A$16=$BP$1,$BP49,IF($A$16=$BQ$1,$BQ49,IF($A$16=$BR$1,$BR49,IF($A$16=$BS$1,$BS49,IF($A$16=$BT$1,$BT49,IF($A$16=$BU$1,$BU49,IF($A$16="",INDEX(Tiere!$BN$2:$BN$153,_xlfn.AGGREGATE(15,6,(ROW(Tiere!$BN$2:$BN$153)-1)/(--(SEARCH(BG$2,Tiere!$BN$2:$BN$153)&gt;0)),ROW()-2),1))))))))),"")</f>
        <v>Ferkel 8 bis 32 kg Lebendgewicht (LG) - stark-N-reduzierte-Fütterung - Tiefstallmist</v>
      </c>
      <c r="BG50" s="1599"/>
      <c r="BH50" s="1624" t="str">
        <f>IFERROR(IF($A$17=$BO$1,$BO49,IF($A$17=$BP$1,$BP49,IF($A$17=$BQ$1,$BQ49,IF($A$17=$BR$1,$BR49,IF($A$17=$BS$1,$BS49,IF($A$17=$BT$1,$BT49,IF($A$17=$BU$1,$BU49,IF($A$17="",INDEX(Tiere!$BN$2:$BN$153,_xlfn.AGGREGATE(15,6,(ROW(Tiere!$BN$2:$BN$153)-1)/(--(SEARCH(BI$2,Tiere!$BN$2:$BN$153)&gt;0)),ROW()-2),1))))))))),"")</f>
        <v>Ferkel 8 bis 32 kg Lebendgewicht (LG) - stark-N-reduzierte-Fütterung - Tiefstallmist</v>
      </c>
      <c r="BI50" s="1599"/>
      <c r="BJ50" s="1624" t="str">
        <f>IFERROR(IF($A$18=$BO$1,$BO49,IF($A$18=$BP$1,$BP49,IF($A$18=$BQ$1,$BQ49,IF($A$18=$BR$1,$BR49,IF($A$18=$BS$1,$BS49,IF($A$18=$BT$1,$BT49,IF($A$18=$BU$1,$BU49,IF($A$18="",INDEX(Tiere!$BN$2:$BN$153,_xlfn.AGGREGATE(15,6,(ROW(Tiere!$BN$2:$BN$153)-1)/(--(SEARCH(BK$2,Tiere!$BN$2:$BN$153)&gt;0)),ROW()-2),1))))))))),"")</f>
        <v>Ferkel 8 bis 32 kg Lebendgewicht (LG) - stark-N-reduzierte-Fütterung - Tiefstallmist</v>
      </c>
      <c r="BK50" s="1599"/>
      <c r="BL50" s="1624" t="str">
        <f>IFERROR(IF($A$19=$BO$1,$BO49,IF($A$19=$BP$1,$BP49,IF($A$19=$BQ$1,$BQ49,IF($A$19=$BR$1,$BR49,IF($A$19=$BS$1,$BS49,IF($A$19=$BT$1,$BT49,IF($A$19=$BU$1,$BU49,IF($A$19="",INDEX(Tiere!$BN$2:$BN$153,_xlfn.AGGREGATE(15,6,(ROW(Tiere!$BN$2:$BN$153)-1)/(--(SEARCH(BM$2,Tiere!$BN$2:$BN$153)&gt;0)),ROW()-2),1))))))))),"")</f>
        <v>Ferkel 8 bis 32 kg Lebendgewicht (LG) - stark-N-reduzierte-Fütterung - Tiefstallmist</v>
      </c>
      <c r="BM50" s="1599"/>
      <c r="BN50" s="1630" t="s">
        <v>701</v>
      </c>
      <c r="BO50" s="1599"/>
      <c r="BP50" s="1599"/>
      <c r="BQ50" s="1599"/>
      <c r="BR50" s="1599"/>
      <c r="BS50" s="1599"/>
      <c r="BT50" s="1599"/>
      <c r="BU50" s="1599"/>
      <c r="CD50" s="1911" t="s">
        <v>701</v>
      </c>
    </row>
    <row r="51" spans="36:82" ht="13.5" thickBot="1">
      <c r="AJ51" s="1624" t="str">
        <f>IFERROR(IF($A$5=$BO$1,$BO50,IF($A$5=$BP$1,$BP50,IF($A$5=$BQ$1,$BQ50,IF($A$5=$BR$1,$BR50,IF($A$5=$BS$1,$BS50,IF($A$5=$BT$1,$BT50,IF($A$5=$BU$1,$BU50,IF($A$5="",INDEX(Tiere!$BN$2:$BN$153,_xlfn.AGGREGATE(15,6,(ROW(Tiere!$BN$2:$BN$153)-1)/(--(SEARCH(AK$2,Tiere!$BN$2:$BN$153)&gt;0)),ROW()-2),1))))))))),"")</f>
        <v xml:space="preserve">MS + JS ab 32 kg LG bis Mastende/Belegung - Gülle </v>
      </c>
      <c r="AK51" s="1601"/>
      <c r="AL51" s="1624" t="str">
        <f>IFERROR(IF($A$6=$BO$1,$BO50,IF($A$6=$BP$1,$BP50,IF($A$6=$BQ$1,$BQ50,IF($A$6=$BR$1,$BR50,IF($A$6=$BS$1,$BS50,IF($A$6=$BT$1,$BT50,IF($A$6=$BU$1,$BU50,IF($A$6="",INDEX(Tiere!$BN$2:$BN$153,_xlfn.AGGREGATE(15,6,(ROW(Tiere!$BN$2:$BN$153)-1)/(--(SEARCH(AM$2,Tiere!$BN$2:$BN$153)&gt;0)),ROW()-2),1))))))))),"")</f>
        <v xml:space="preserve">MS + JS ab 32 kg LG bis Mastende/Belegung - Gülle </v>
      </c>
      <c r="AM51" s="1601"/>
      <c r="AN51" s="1624" t="str">
        <f>IFERROR(IF($A$7=$BO$1,$BO50,IF($A$7=$BP$1,$BP50,IF($A$7=$BQ$1,$BQ50,IF($A$7=$BR$1,$BR50,IF($A$7=$BS$1,$BS50,IF($A$7=$BT$1,$BT50,IF($A$7=$BU$1,$BU50,IF($A$7="",INDEX(Tiere!$BN$2:$BN$153,_xlfn.AGGREGATE(15,6,(ROW(Tiere!$BN$2:$BN$153)-1)/(--(SEARCH(AM$2,Tiere!$BN$2:$BN$153)&gt;0)),ROW()-2),1))))))))),"")</f>
        <v xml:space="preserve">MS + JS ab 32 kg LG bis Mastende/Belegung - Gülle </v>
      </c>
      <c r="AO51" s="1601"/>
      <c r="AP51" s="1624" t="str">
        <f>IFERROR(IF($A$8=$BO$1,$BO50,IF($A$8=$BP$1,$BP50,IF($A$8=$BQ$1,$BQ50,IF($A$8=$BR$1,$BR50,IF($A$8=$BS$1,$BS50,IF($A$8=$BT$1,$BT50,IF($A$8=$BU$1,$BU50,IF($A$8="",INDEX(Tiere!$BN$2:$BN$153,_xlfn.AGGREGATE(15,6,(ROW(Tiere!$BN$2:$BN$153)-1)/(--(SEARCH(AQ$2,Tiere!$BN$2:$BN$153)&gt;0)),ROW()-2),1))))))))),"")</f>
        <v xml:space="preserve">MS + JS ab 32 kg LG bis Mastende/Belegung - Gülle </v>
      </c>
      <c r="AQ51" s="1601"/>
      <c r="AR51" s="1624" t="str">
        <f>IFERROR(IF($A$9=$BO$1,$BO50,IF($A$9=$BP$1,$BP50,IF($A$9=$BQ$1,$BQ50,IF($A$9=$BR$1,$BR50,IF($A$9=$BS$1,$BS50,IF($A$9=$BT$1,$BT50,IF($A$9=$BU$1,$BU50,IF($A$9="",INDEX(Tiere!$BN$2:$BN$153,_xlfn.AGGREGATE(15,6,(ROW(Tiere!$BN$2:$BN$153)-1)/(--(SEARCH(AS$2,Tiere!$BN$2:$BN$153)&gt;0)),ROW()-2),1))))))))),"")</f>
        <v xml:space="preserve">MS + JS ab 32 kg LG bis Mastende/Belegung - Gülle </v>
      </c>
      <c r="AS51" s="1601"/>
      <c r="AT51" s="1624" t="str">
        <f>IFERROR(IF($A$10=$BO$1,$BO50,IF($A$10=$BP$1,$BP50,IF($A$10=$BQ$1,$BQ50,IF($A$10=$BR$1,$BR50,IF($A$10=$BS$1,$BS50,IF($A$10=$BT$1,$BT50,IF($A$10=$BU$1,$BU50,IF($A$10="",INDEX(Tiere!$BN$2:$BN$153,_xlfn.AGGREGATE(15,6,(ROW(Tiere!$BN$2:$BN$153)-1)/(--(SEARCH(AU$2,Tiere!$BN$2:$BN$153)&gt;0)),ROW()-2),1))))))))),"")</f>
        <v xml:space="preserve">MS + JS ab 32 kg LG bis Mastende/Belegung - Gülle </v>
      </c>
      <c r="AU51" s="1601"/>
      <c r="AV51" s="1624" t="str">
        <f>IFERROR(IF($A$11=$BO$1,$BO50,IF($A$11=$BP$1,$BP50,IF($A$11=$BQ$1,$BQ50,IF($A$11=$BR$1,$BR50,IF($A$11=$BS$1,$BS50,IF($A$11=$BT$1,$BT50,IF($A$11=$BU$1,$BU50,IF($A$11="",INDEX(Tiere!$BN$2:$BN$153,_xlfn.AGGREGATE(15,6,(ROW(Tiere!$BN$2:$BN$153)-1)/(--(SEARCH(AW$2,Tiere!$BN$2:$BN$153)&gt;0)),ROW()-2),1))))))))),"")</f>
        <v xml:space="preserve">MS + JS ab 32 kg LG bis Mastende/Belegung - Gülle </v>
      </c>
      <c r="AW51" s="1601"/>
      <c r="AX51" s="1624" t="str">
        <f>IFERROR(IF($A$12=$BO$1,$BO50,IF($A$12=$BP$1,$BP50,IF($A$12=$BQ$1,$BQ50,IF($A$12=$BR$1,$BR50,IF($A$12=$BS$1,$BS50,IF($A$12=$BT$1,$BT50,IF($A$12=$BU$1,$BU50,IF($A$12="",INDEX(Tiere!$BN$2:$BN$153,_xlfn.AGGREGATE(15,6,(ROW(Tiere!$BN$2:$BN$153)-1)/(--(SEARCH(AY$2,Tiere!$BN$2:$BN$153)&gt;0)),ROW()-2),1))))))))),"")</f>
        <v xml:space="preserve">MS + JS ab 32 kg LG bis Mastende/Belegung - Gülle </v>
      </c>
      <c r="AY51" s="1601"/>
      <c r="AZ51" s="1624" t="str">
        <f>IFERROR(IF($A$13=$BO$1,$BO50,IF($A$13=$BP$1,$BP50,IF($A$13=$BQ$1,$BQ50,IF($A$13=$BR$1,$BR50,IF($A$13=$BS$1,$BS50,IF($A$13=$BT$1,$BT50,IF($A$13=$BU$1,$BU50,IF($A$13="",INDEX(Tiere!$BN$2:$BN$153,_xlfn.AGGREGATE(15,6,(ROW(Tiere!$BN$2:$BN$153)-1)/(--(SEARCH(BA$2,Tiere!$BN$2:$BN$153)&gt;0)),ROW()-2),1))))))))),"")</f>
        <v xml:space="preserve">MS + JS ab 32 kg LG bis Mastende/Belegung - Gülle </v>
      </c>
      <c r="BA51" s="1601"/>
      <c r="BB51" s="1624" t="str">
        <f>IFERROR(IF($A$14=$BO$1,$BO50,IF($A$14=$BP$1,$BP50,IF($A$14=$BQ$1,$BQ50,IF($A$14=$BR$1,$BR50,IF($A$14=$BS$1,$BS50,IF($A$14=$BT$1,$BT50,IF($A$14=$BU$1,$BU50,IF($A$14="",INDEX(Tiere!$BN$2:$BN$153,_xlfn.AGGREGATE(15,6,(ROW(Tiere!$BN$2:$BN$153)-1)/(--(SEARCH(BC$2,Tiere!$BN$2:$BN$153)&gt;0)),ROW()-2),1))))))))),"")</f>
        <v xml:space="preserve">MS + JS ab 32 kg LG bis Mastende/Belegung - Gülle </v>
      </c>
      <c r="BC51" s="1601"/>
      <c r="BD51" s="1624" t="str">
        <f>IFERROR(IF($A$15=$BO$1,$BO50,IF($A$15=$BP$1,$BP50,IF($A$15=$BQ$1,$BQ50,IF($A$15=$BR$1,$BR50,IF($A$15=$BS$1,$BS50,IF($A$15=$BT$1,$BT50,IF($A$15=$BU$1,$BU50,IF($A$15="",INDEX(Tiere!$BN$2:$BN$153,_xlfn.AGGREGATE(15,6,(ROW(Tiere!$BN$2:$BN$153)-1)/(--(SEARCH(BE$2,Tiere!$BN$2:$BN$153)&gt;0)),ROW()-2),1))))))))),"")</f>
        <v xml:space="preserve">MS + JS ab 32 kg LG bis Mastende/Belegung - Gülle </v>
      </c>
      <c r="BE51" s="1601"/>
      <c r="BF51" s="1624" t="str">
        <f>IFERROR(IF($A$16=$BO$1,$BO50,IF($A$16=$BP$1,$BP50,IF($A$16=$BQ$1,$BQ50,IF($A$16=$BR$1,$BR50,IF($A$16=$BS$1,$BS50,IF($A$16=$BT$1,$BT50,IF($A$16=$BU$1,$BU50,IF($A$16="",INDEX(Tiere!$BN$2:$BN$153,_xlfn.AGGREGATE(15,6,(ROW(Tiere!$BN$2:$BN$153)-1)/(--(SEARCH(BG$2,Tiere!$BN$2:$BN$153)&gt;0)),ROW()-2),1))))))))),"")</f>
        <v xml:space="preserve">MS + JS ab 32 kg LG bis Mastende/Belegung - Gülle </v>
      </c>
      <c r="BG51" s="1601"/>
      <c r="BH51" s="1624" t="str">
        <f>IFERROR(IF($A$17=$BO$1,$BO50,IF($A$17=$BP$1,$BP50,IF($A$17=$BQ$1,$BQ50,IF($A$17=$BR$1,$BR50,IF($A$17=$BS$1,$BS50,IF($A$17=$BT$1,$BT50,IF($A$17=$BU$1,$BU50,IF($A$17="",INDEX(Tiere!$BN$2:$BN$153,_xlfn.AGGREGATE(15,6,(ROW(Tiere!$BN$2:$BN$153)-1)/(--(SEARCH(BI$2,Tiere!$BN$2:$BN$153)&gt;0)),ROW()-2),1))))))))),"")</f>
        <v xml:space="preserve">MS + JS ab 32 kg LG bis Mastende/Belegung - Gülle </v>
      </c>
      <c r="BI51" s="1601"/>
      <c r="BJ51" s="1624" t="str">
        <f>IFERROR(IF($A$18=$BO$1,$BO50,IF($A$18=$BP$1,$BP50,IF($A$18=$BQ$1,$BQ50,IF($A$18=$BR$1,$BR50,IF($A$18=$BS$1,$BS50,IF($A$18=$BT$1,$BT50,IF($A$18=$BU$1,$BU50,IF($A$18="",INDEX(Tiere!$BN$2:$BN$153,_xlfn.AGGREGATE(15,6,(ROW(Tiere!$BN$2:$BN$153)-1)/(--(SEARCH(BK$2,Tiere!$BN$2:$BN$153)&gt;0)),ROW()-2),1))))))))),"")</f>
        <v xml:space="preserve">MS + JS ab 32 kg LG bis Mastende/Belegung - Gülle </v>
      </c>
      <c r="BK51" s="1601"/>
      <c r="BL51" s="1624" t="str">
        <f>IFERROR(IF($A$19=$BO$1,$BO50,IF($A$19=$BP$1,$BP50,IF($A$19=$BQ$1,$BQ50,IF($A$19=$BR$1,$BR50,IF($A$19=$BS$1,$BS50,IF($A$19=$BT$1,$BT50,IF($A$19=$BU$1,$BU50,IF($A$19="",INDEX(Tiere!$BN$2:$BN$153,_xlfn.AGGREGATE(15,6,(ROW(Tiere!$BN$2:$BN$153)-1)/(--(SEARCH(BM$2,Tiere!$BN$2:$BN$153)&gt;0)),ROW()-2),1))))))))),"")</f>
        <v xml:space="preserve">MS + JS ab 32 kg LG bis Mastende/Belegung - Gülle </v>
      </c>
      <c r="BM51" s="1601"/>
      <c r="BN51" s="1630" t="s">
        <v>703</v>
      </c>
      <c r="BO51" s="1599"/>
      <c r="BP51" s="1599"/>
      <c r="BQ51" s="1599"/>
      <c r="BR51" s="1599"/>
      <c r="BS51" s="1599"/>
      <c r="BT51" s="1599"/>
      <c r="BU51" s="1599"/>
      <c r="CD51" s="1911" t="s">
        <v>703</v>
      </c>
    </row>
    <row r="52" spans="36:82" ht="13.5" thickBot="1">
      <c r="AJ52" s="1624" t="str">
        <f>IFERROR(IF($A$5=$BO$1,$BO51,IF($A$5=$BP$1,$BP51,IF($A$5=$BQ$1,$BQ51,IF($A$5=$BR$1,$BR51,IF($A$5=$BS$1,$BS51,IF($A$5=$BT$1,$BT51,IF($A$5=$BU$1,$BU51,IF($A$5="",INDEX(Tiere!$BN$2:$BN$153,_xlfn.AGGREGATE(15,6,(ROW(Tiere!$BN$2:$BN$153)-1)/(--(SEARCH(AK$2,Tiere!$BN$2:$BN$153)&gt;0)),ROW()-2),1))))))))),"")</f>
        <v xml:space="preserve">MS + JS ab 32 kg LG bis Mastende/Belegung - Mist/Jauche </v>
      </c>
      <c r="AK52" s="1599"/>
      <c r="AL52" s="1624" t="str">
        <f>IFERROR(IF($A$6=$BO$1,$BO51,IF($A$6=$BP$1,$BP51,IF($A$6=$BQ$1,$BQ51,IF($A$6=$BR$1,$BR51,IF($A$6=$BS$1,$BS51,IF($A$6=$BT$1,$BT51,IF($A$6=$BU$1,$BU51,IF($A$6="",INDEX(Tiere!$BN$2:$BN$153,_xlfn.AGGREGATE(15,6,(ROW(Tiere!$BN$2:$BN$153)-1)/(--(SEARCH(AM$2,Tiere!$BN$2:$BN$153)&gt;0)),ROW()-2),1))))))))),"")</f>
        <v xml:space="preserve">MS + JS ab 32 kg LG bis Mastende/Belegung - Mist/Jauche </v>
      </c>
      <c r="AM52" s="1599"/>
      <c r="AN52" s="1624" t="str">
        <f>IFERROR(IF($A$7=$BO$1,$BO51,IF($A$7=$BP$1,$BP51,IF($A$7=$BQ$1,$BQ51,IF($A$7=$BR$1,$BR51,IF($A$7=$BS$1,$BS51,IF($A$7=$BT$1,$BT51,IF($A$7=$BU$1,$BU51,IF($A$7="",INDEX(Tiere!$BN$2:$BN$153,_xlfn.AGGREGATE(15,6,(ROW(Tiere!$BN$2:$BN$153)-1)/(--(SEARCH(AM$2,Tiere!$BN$2:$BN$153)&gt;0)),ROW()-2),1))))))))),"")</f>
        <v xml:space="preserve">MS + JS ab 32 kg LG bis Mastende/Belegung - Mist/Jauche </v>
      </c>
      <c r="AO52" s="1599"/>
      <c r="AP52" s="1624" t="str">
        <f>IFERROR(IF($A$8=$BO$1,$BO51,IF($A$8=$BP$1,$BP51,IF($A$8=$BQ$1,$BQ51,IF($A$8=$BR$1,$BR51,IF($A$8=$BS$1,$BS51,IF($A$8=$BT$1,$BT51,IF($A$8=$BU$1,$BU51,IF($A$8="",INDEX(Tiere!$BN$2:$BN$153,_xlfn.AGGREGATE(15,6,(ROW(Tiere!$BN$2:$BN$153)-1)/(--(SEARCH(AQ$2,Tiere!$BN$2:$BN$153)&gt;0)),ROW()-2),1))))))))),"")</f>
        <v xml:space="preserve">MS + JS ab 32 kg LG bis Mastende/Belegung - Mist/Jauche </v>
      </c>
      <c r="AQ52" s="1599"/>
      <c r="AR52" s="1624" t="str">
        <f>IFERROR(IF($A$9=$BO$1,$BO51,IF($A$9=$BP$1,$BP51,IF($A$9=$BQ$1,$BQ51,IF($A$9=$BR$1,$BR51,IF($A$9=$BS$1,$BS51,IF($A$9=$BT$1,$BT51,IF($A$9=$BU$1,$BU51,IF($A$9="",INDEX(Tiere!$BN$2:$BN$153,_xlfn.AGGREGATE(15,6,(ROW(Tiere!$BN$2:$BN$153)-1)/(--(SEARCH(AS$2,Tiere!$BN$2:$BN$153)&gt;0)),ROW()-2),1))))))))),"")</f>
        <v xml:space="preserve">MS + JS ab 32 kg LG bis Mastende/Belegung - Mist/Jauche </v>
      </c>
      <c r="AS52" s="1599"/>
      <c r="AT52" s="1624" t="str">
        <f>IFERROR(IF($A$10=$BO$1,$BO51,IF($A$10=$BP$1,$BP51,IF($A$10=$BQ$1,$BQ51,IF($A$10=$BR$1,$BR51,IF($A$10=$BS$1,$BS51,IF($A$10=$BT$1,$BT51,IF($A$10=$BU$1,$BU51,IF($A$10="",INDEX(Tiere!$BN$2:$BN$153,_xlfn.AGGREGATE(15,6,(ROW(Tiere!$BN$2:$BN$153)-1)/(--(SEARCH(AU$2,Tiere!$BN$2:$BN$153)&gt;0)),ROW()-2),1))))))))),"")</f>
        <v xml:space="preserve">MS + JS ab 32 kg LG bis Mastende/Belegung - Mist/Jauche </v>
      </c>
      <c r="AU52" s="1599"/>
      <c r="AV52" s="1624" t="str">
        <f>IFERROR(IF($A$11=$BO$1,$BO51,IF($A$11=$BP$1,$BP51,IF($A$11=$BQ$1,$BQ51,IF($A$11=$BR$1,$BR51,IF($A$11=$BS$1,$BS51,IF($A$11=$BT$1,$BT51,IF($A$11=$BU$1,$BU51,IF($A$11="",INDEX(Tiere!$BN$2:$BN$153,_xlfn.AGGREGATE(15,6,(ROW(Tiere!$BN$2:$BN$153)-1)/(--(SEARCH(AW$2,Tiere!$BN$2:$BN$153)&gt;0)),ROW()-2),1))))))))),"")</f>
        <v xml:space="preserve">MS + JS ab 32 kg LG bis Mastende/Belegung - Mist/Jauche </v>
      </c>
      <c r="AW52" s="1599"/>
      <c r="AX52" s="1624" t="str">
        <f>IFERROR(IF($A$12=$BO$1,$BO51,IF($A$12=$BP$1,$BP51,IF($A$12=$BQ$1,$BQ51,IF($A$12=$BR$1,$BR51,IF($A$12=$BS$1,$BS51,IF($A$12=$BT$1,$BT51,IF($A$12=$BU$1,$BU51,IF($A$12="",INDEX(Tiere!$BN$2:$BN$153,_xlfn.AGGREGATE(15,6,(ROW(Tiere!$BN$2:$BN$153)-1)/(--(SEARCH(AY$2,Tiere!$BN$2:$BN$153)&gt;0)),ROW()-2),1))))))))),"")</f>
        <v xml:space="preserve">MS + JS ab 32 kg LG bis Mastende/Belegung - Mist/Jauche </v>
      </c>
      <c r="AY52" s="1599"/>
      <c r="AZ52" s="1624" t="str">
        <f>IFERROR(IF($A$13=$BO$1,$BO51,IF($A$13=$BP$1,$BP51,IF($A$13=$BQ$1,$BQ51,IF($A$13=$BR$1,$BR51,IF($A$13=$BS$1,$BS51,IF($A$13=$BT$1,$BT51,IF($A$13=$BU$1,$BU51,IF($A$13="",INDEX(Tiere!$BN$2:$BN$153,_xlfn.AGGREGATE(15,6,(ROW(Tiere!$BN$2:$BN$153)-1)/(--(SEARCH(BA$2,Tiere!$BN$2:$BN$153)&gt;0)),ROW()-2),1))))))))),"")</f>
        <v xml:space="preserve">MS + JS ab 32 kg LG bis Mastende/Belegung - Mist/Jauche </v>
      </c>
      <c r="BA52" s="1599"/>
      <c r="BB52" s="1624" t="str">
        <f>IFERROR(IF($A$14=$BO$1,$BO51,IF($A$14=$BP$1,$BP51,IF($A$14=$BQ$1,$BQ51,IF($A$14=$BR$1,$BR51,IF($A$14=$BS$1,$BS51,IF($A$14=$BT$1,$BT51,IF($A$14=$BU$1,$BU51,IF($A$14="",INDEX(Tiere!$BN$2:$BN$153,_xlfn.AGGREGATE(15,6,(ROW(Tiere!$BN$2:$BN$153)-1)/(--(SEARCH(BC$2,Tiere!$BN$2:$BN$153)&gt;0)),ROW()-2),1))))))))),"")</f>
        <v xml:space="preserve">MS + JS ab 32 kg LG bis Mastende/Belegung - Mist/Jauche </v>
      </c>
      <c r="BC52" s="1599"/>
      <c r="BD52" s="1624" t="str">
        <f>IFERROR(IF($A$15=$BO$1,$BO51,IF($A$15=$BP$1,$BP51,IF($A$15=$BQ$1,$BQ51,IF($A$15=$BR$1,$BR51,IF($A$15=$BS$1,$BS51,IF($A$15=$BT$1,$BT51,IF($A$15=$BU$1,$BU51,IF($A$15="",INDEX(Tiere!$BN$2:$BN$153,_xlfn.AGGREGATE(15,6,(ROW(Tiere!$BN$2:$BN$153)-1)/(--(SEARCH(BE$2,Tiere!$BN$2:$BN$153)&gt;0)),ROW()-2),1))))))))),"")</f>
        <v xml:space="preserve">MS + JS ab 32 kg LG bis Mastende/Belegung - Mist/Jauche </v>
      </c>
      <c r="BE52" s="1599"/>
      <c r="BF52" s="1624" t="str">
        <f>IFERROR(IF($A$16=$BO$1,$BO51,IF($A$16=$BP$1,$BP51,IF($A$16=$BQ$1,$BQ51,IF($A$16=$BR$1,$BR51,IF($A$16=$BS$1,$BS51,IF($A$16=$BT$1,$BT51,IF($A$16=$BU$1,$BU51,IF($A$16="",INDEX(Tiere!$BN$2:$BN$153,_xlfn.AGGREGATE(15,6,(ROW(Tiere!$BN$2:$BN$153)-1)/(--(SEARCH(BG$2,Tiere!$BN$2:$BN$153)&gt;0)),ROW()-2),1))))))))),"")</f>
        <v xml:space="preserve">MS + JS ab 32 kg LG bis Mastende/Belegung - Mist/Jauche </v>
      </c>
      <c r="BG52" s="1599"/>
      <c r="BH52" s="1624" t="str">
        <f>IFERROR(IF($A$17=$BO$1,$BO51,IF($A$17=$BP$1,$BP51,IF($A$17=$BQ$1,$BQ51,IF($A$17=$BR$1,$BR51,IF($A$17=$BS$1,$BS51,IF($A$17=$BT$1,$BT51,IF($A$17=$BU$1,$BU51,IF($A$17="",INDEX(Tiere!$BN$2:$BN$153,_xlfn.AGGREGATE(15,6,(ROW(Tiere!$BN$2:$BN$153)-1)/(--(SEARCH(BI$2,Tiere!$BN$2:$BN$153)&gt;0)),ROW()-2),1))))))))),"")</f>
        <v xml:space="preserve">MS + JS ab 32 kg LG bis Mastende/Belegung - Mist/Jauche </v>
      </c>
      <c r="BI52" s="1599"/>
      <c r="BJ52" s="1624" t="str">
        <f>IFERROR(IF($A$18=$BO$1,$BO51,IF($A$18=$BP$1,$BP51,IF($A$18=$BQ$1,$BQ51,IF($A$18=$BR$1,$BR51,IF($A$18=$BS$1,$BS51,IF($A$18=$BT$1,$BT51,IF($A$18=$BU$1,$BU51,IF($A$18="",INDEX(Tiere!$BN$2:$BN$153,_xlfn.AGGREGATE(15,6,(ROW(Tiere!$BN$2:$BN$153)-1)/(--(SEARCH(BK$2,Tiere!$BN$2:$BN$153)&gt;0)),ROW()-2),1))))))))),"")</f>
        <v xml:space="preserve">MS + JS ab 32 kg LG bis Mastende/Belegung - Mist/Jauche </v>
      </c>
      <c r="BK52" s="1599"/>
      <c r="BL52" s="1624" t="str">
        <f>IFERROR(IF($A$19=$BO$1,$BO51,IF($A$19=$BP$1,$BP51,IF($A$19=$BQ$1,$BQ51,IF($A$19=$BR$1,$BR51,IF($A$19=$BS$1,$BS51,IF($A$19=$BT$1,$BT51,IF($A$19=$BU$1,$BU51,IF($A$19="",INDEX(Tiere!$BN$2:$BN$153,_xlfn.AGGREGATE(15,6,(ROW(Tiere!$BN$2:$BN$153)-1)/(--(SEARCH(BM$2,Tiere!$BN$2:$BN$153)&gt;0)),ROW()-2),1))))))))),"")</f>
        <v xml:space="preserve">MS + JS ab 32 kg LG bis Mastende/Belegung - Mist/Jauche </v>
      </c>
      <c r="BM52" s="1599"/>
      <c r="BN52" s="1630" t="s">
        <v>705</v>
      </c>
      <c r="BO52" s="1599"/>
      <c r="BP52" s="1599"/>
      <c r="BQ52" s="1599"/>
      <c r="BR52" s="1599"/>
      <c r="BS52" s="1599"/>
      <c r="BT52" s="1599"/>
      <c r="BU52" s="1599"/>
      <c r="CD52" s="1911" t="s">
        <v>705</v>
      </c>
    </row>
    <row r="53" spans="36:82" ht="13.5" thickBot="1">
      <c r="AJ53" s="1624" t="str">
        <f>IFERROR(IF($A$5=$BO$1,$BO52,IF($A$5=$BP$1,$BP52,IF($A$5=$BQ$1,$BQ52,IF($A$5=$BR$1,$BR52,IF($A$5=$BS$1,$BS52,IF($A$5=$BT$1,$BT52,IF($A$5=$BU$1,$BU52,IF($A$5="",INDEX(Tiere!$BN$2:$BN$153,_xlfn.AGGREGATE(15,6,(ROW(Tiere!$BN$2:$BN$153)-1)/(--(SEARCH(AK$2,Tiere!$BN$2:$BN$153)&gt;0)),ROW()-2),1))))))))),"")</f>
        <v xml:space="preserve">MS + JS ab 32 kg LG bis Mastende/Belegung - Tiefstallmist </v>
      </c>
      <c r="AK53" s="1601"/>
      <c r="AL53" s="1624" t="str">
        <f>IFERROR(IF($A$6=$BO$1,$BO52,IF($A$6=$BP$1,$BP52,IF($A$6=$BQ$1,$BQ52,IF($A$6=$BR$1,$BR52,IF($A$6=$BS$1,$BS52,IF($A$6=$BT$1,$BT52,IF($A$6=$BU$1,$BU52,IF($A$6="",INDEX(Tiere!$BN$2:$BN$153,_xlfn.AGGREGATE(15,6,(ROW(Tiere!$BN$2:$BN$153)-1)/(--(SEARCH(AM$2,Tiere!$BN$2:$BN$153)&gt;0)),ROW()-2),1))))))))),"")</f>
        <v xml:space="preserve">MS + JS ab 32 kg LG bis Mastende/Belegung - Tiefstallmist </v>
      </c>
      <c r="AM53" s="1601"/>
      <c r="AN53" s="1624" t="str">
        <f>IFERROR(IF($A$7=$BO$1,$BO52,IF($A$7=$BP$1,$BP52,IF($A$7=$BQ$1,$BQ52,IF($A$7=$BR$1,$BR52,IF($A$7=$BS$1,$BS52,IF($A$7=$BT$1,$BT52,IF($A$7=$BU$1,$BU52,IF($A$7="",INDEX(Tiere!$BN$2:$BN$153,_xlfn.AGGREGATE(15,6,(ROW(Tiere!$BN$2:$BN$153)-1)/(--(SEARCH(AM$2,Tiere!$BN$2:$BN$153)&gt;0)),ROW()-2),1))))))))),"")</f>
        <v xml:space="preserve">MS + JS ab 32 kg LG bis Mastende/Belegung - Tiefstallmist </v>
      </c>
      <c r="AO53" s="1601"/>
      <c r="AP53" s="1624" t="str">
        <f>IFERROR(IF($A$8=$BO$1,$BO52,IF($A$8=$BP$1,$BP52,IF($A$8=$BQ$1,$BQ52,IF($A$8=$BR$1,$BR52,IF($A$8=$BS$1,$BS52,IF($A$8=$BT$1,$BT52,IF($A$8=$BU$1,$BU52,IF($A$8="",INDEX(Tiere!$BN$2:$BN$153,_xlfn.AGGREGATE(15,6,(ROW(Tiere!$BN$2:$BN$153)-1)/(--(SEARCH(AQ$2,Tiere!$BN$2:$BN$153)&gt;0)),ROW()-2),1))))))))),"")</f>
        <v xml:space="preserve">MS + JS ab 32 kg LG bis Mastende/Belegung - Tiefstallmist </v>
      </c>
      <c r="AQ53" s="1601"/>
      <c r="AR53" s="1624" t="str">
        <f>IFERROR(IF($A$9=$BO$1,$BO52,IF($A$9=$BP$1,$BP52,IF($A$9=$BQ$1,$BQ52,IF($A$9=$BR$1,$BR52,IF($A$9=$BS$1,$BS52,IF($A$9=$BT$1,$BT52,IF($A$9=$BU$1,$BU52,IF($A$9="",INDEX(Tiere!$BN$2:$BN$153,_xlfn.AGGREGATE(15,6,(ROW(Tiere!$BN$2:$BN$153)-1)/(--(SEARCH(AS$2,Tiere!$BN$2:$BN$153)&gt;0)),ROW()-2),1))))))))),"")</f>
        <v xml:space="preserve">MS + JS ab 32 kg LG bis Mastende/Belegung - Tiefstallmist </v>
      </c>
      <c r="AS53" s="1601"/>
      <c r="AT53" s="1624" t="str">
        <f>IFERROR(IF($A$10=$BO$1,$BO52,IF($A$10=$BP$1,$BP52,IF($A$10=$BQ$1,$BQ52,IF($A$10=$BR$1,$BR52,IF($A$10=$BS$1,$BS52,IF($A$10=$BT$1,$BT52,IF($A$10=$BU$1,$BU52,IF($A$10="",INDEX(Tiere!$BN$2:$BN$153,_xlfn.AGGREGATE(15,6,(ROW(Tiere!$BN$2:$BN$153)-1)/(--(SEARCH(AU$2,Tiere!$BN$2:$BN$153)&gt;0)),ROW()-2),1))))))))),"")</f>
        <v xml:space="preserve">MS + JS ab 32 kg LG bis Mastende/Belegung - Tiefstallmist </v>
      </c>
      <c r="AU53" s="1601"/>
      <c r="AV53" s="1624" t="str">
        <f>IFERROR(IF($A$11=$BO$1,$BO52,IF($A$11=$BP$1,$BP52,IF($A$11=$BQ$1,$BQ52,IF($A$11=$BR$1,$BR52,IF($A$11=$BS$1,$BS52,IF($A$11=$BT$1,$BT52,IF($A$11=$BU$1,$BU52,IF($A$11="",INDEX(Tiere!$BN$2:$BN$153,_xlfn.AGGREGATE(15,6,(ROW(Tiere!$BN$2:$BN$153)-1)/(--(SEARCH(AW$2,Tiere!$BN$2:$BN$153)&gt;0)),ROW()-2),1))))))))),"")</f>
        <v xml:space="preserve">MS + JS ab 32 kg LG bis Mastende/Belegung - Tiefstallmist </v>
      </c>
      <c r="AW53" s="1601"/>
      <c r="AX53" s="1624" t="str">
        <f>IFERROR(IF($A$12=$BO$1,$BO52,IF($A$12=$BP$1,$BP52,IF($A$12=$BQ$1,$BQ52,IF($A$12=$BR$1,$BR52,IF($A$12=$BS$1,$BS52,IF($A$12=$BT$1,$BT52,IF($A$12=$BU$1,$BU52,IF($A$12="",INDEX(Tiere!$BN$2:$BN$153,_xlfn.AGGREGATE(15,6,(ROW(Tiere!$BN$2:$BN$153)-1)/(--(SEARCH(AY$2,Tiere!$BN$2:$BN$153)&gt;0)),ROW()-2),1))))))))),"")</f>
        <v xml:space="preserve">MS + JS ab 32 kg LG bis Mastende/Belegung - Tiefstallmist </v>
      </c>
      <c r="AY53" s="1601"/>
      <c r="AZ53" s="1624" t="str">
        <f>IFERROR(IF($A$13=$BO$1,$BO52,IF($A$13=$BP$1,$BP52,IF($A$13=$BQ$1,$BQ52,IF($A$13=$BR$1,$BR52,IF($A$13=$BS$1,$BS52,IF($A$13=$BT$1,$BT52,IF($A$13=$BU$1,$BU52,IF($A$13="",INDEX(Tiere!$BN$2:$BN$153,_xlfn.AGGREGATE(15,6,(ROW(Tiere!$BN$2:$BN$153)-1)/(--(SEARCH(BA$2,Tiere!$BN$2:$BN$153)&gt;0)),ROW()-2),1))))))))),"")</f>
        <v xml:space="preserve">MS + JS ab 32 kg LG bis Mastende/Belegung - Tiefstallmist </v>
      </c>
      <c r="BA53" s="1601"/>
      <c r="BB53" s="1624" t="str">
        <f>IFERROR(IF($A$14=$BO$1,$BO52,IF($A$14=$BP$1,$BP52,IF($A$14=$BQ$1,$BQ52,IF($A$14=$BR$1,$BR52,IF($A$14=$BS$1,$BS52,IF($A$14=$BT$1,$BT52,IF($A$14=$BU$1,$BU52,IF($A$14="",INDEX(Tiere!$BN$2:$BN$153,_xlfn.AGGREGATE(15,6,(ROW(Tiere!$BN$2:$BN$153)-1)/(--(SEARCH(BC$2,Tiere!$BN$2:$BN$153)&gt;0)),ROW()-2),1))))))))),"")</f>
        <v xml:space="preserve">MS + JS ab 32 kg LG bis Mastende/Belegung - Tiefstallmist </v>
      </c>
      <c r="BC53" s="1601"/>
      <c r="BD53" s="1624" t="str">
        <f>IFERROR(IF($A$15=$BO$1,$BO52,IF($A$15=$BP$1,$BP52,IF($A$15=$BQ$1,$BQ52,IF($A$15=$BR$1,$BR52,IF($A$15=$BS$1,$BS52,IF($A$15=$BT$1,$BT52,IF($A$15=$BU$1,$BU52,IF($A$15="",INDEX(Tiere!$BN$2:$BN$153,_xlfn.AGGREGATE(15,6,(ROW(Tiere!$BN$2:$BN$153)-1)/(--(SEARCH(BE$2,Tiere!$BN$2:$BN$153)&gt;0)),ROW()-2),1))))))))),"")</f>
        <v xml:space="preserve">MS + JS ab 32 kg LG bis Mastende/Belegung - Tiefstallmist </v>
      </c>
      <c r="BE53" s="1601"/>
      <c r="BF53" s="1624" t="str">
        <f>IFERROR(IF($A$16=$BO$1,$BO52,IF($A$16=$BP$1,$BP52,IF($A$16=$BQ$1,$BQ52,IF($A$16=$BR$1,$BR52,IF($A$16=$BS$1,$BS52,IF($A$16=$BT$1,$BT52,IF($A$16=$BU$1,$BU52,IF($A$16="",INDEX(Tiere!$BN$2:$BN$153,_xlfn.AGGREGATE(15,6,(ROW(Tiere!$BN$2:$BN$153)-1)/(--(SEARCH(BG$2,Tiere!$BN$2:$BN$153)&gt;0)),ROW()-2),1))))))))),"")</f>
        <v xml:space="preserve">MS + JS ab 32 kg LG bis Mastende/Belegung - Tiefstallmist </v>
      </c>
      <c r="BG53" s="1601"/>
      <c r="BH53" s="1624" t="str">
        <f>IFERROR(IF($A$17=$BO$1,$BO52,IF($A$17=$BP$1,$BP52,IF($A$17=$BQ$1,$BQ52,IF($A$17=$BR$1,$BR52,IF($A$17=$BS$1,$BS52,IF($A$17=$BT$1,$BT52,IF($A$17=$BU$1,$BU52,IF($A$17="",INDEX(Tiere!$BN$2:$BN$153,_xlfn.AGGREGATE(15,6,(ROW(Tiere!$BN$2:$BN$153)-1)/(--(SEARCH(BI$2,Tiere!$BN$2:$BN$153)&gt;0)),ROW()-2),1))))))))),"")</f>
        <v xml:space="preserve">MS + JS ab 32 kg LG bis Mastende/Belegung - Tiefstallmist </v>
      </c>
      <c r="BI53" s="1601"/>
      <c r="BJ53" s="1624" t="str">
        <f>IFERROR(IF($A$18=$BO$1,$BO52,IF($A$18=$BP$1,$BP52,IF($A$18=$BQ$1,$BQ52,IF($A$18=$BR$1,$BR52,IF($A$18=$BS$1,$BS52,IF($A$18=$BT$1,$BT52,IF($A$18=$BU$1,$BU52,IF($A$18="",INDEX(Tiere!$BN$2:$BN$153,_xlfn.AGGREGATE(15,6,(ROW(Tiere!$BN$2:$BN$153)-1)/(--(SEARCH(BK$2,Tiere!$BN$2:$BN$153)&gt;0)),ROW()-2),1))))))))),"")</f>
        <v xml:space="preserve">MS + JS ab 32 kg LG bis Mastende/Belegung - Tiefstallmist </v>
      </c>
      <c r="BK53" s="1601"/>
      <c r="BL53" s="1624" t="str">
        <f>IFERROR(IF($A$19=$BO$1,$BO52,IF($A$19=$BP$1,$BP52,IF($A$19=$BQ$1,$BQ52,IF($A$19=$BR$1,$BR52,IF($A$19=$BS$1,$BS52,IF($A$19=$BT$1,$BT52,IF($A$19=$BU$1,$BU52,IF($A$19="",INDEX(Tiere!$BN$2:$BN$153,_xlfn.AGGREGATE(15,6,(ROW(Tiere!$BN$2:$BN$153)-1)/(--(SEARCH(BM$2,Tiere!$BN$2:$BN$153)&gt;0)),ROW()-2),1))))))))),"")</f>
        <v xml:space="preserve">MS + JS ab 32 kg LG bis Mastende/Belegung - Tiefstallmist </v>
      </c>
      <c r="BM53" s="1601"/>
      <c r="BN53" s="1630" t="s">
        <v>708</v>
      </c>
      <c r="BO53" s="1599"/>
      <c r="BP53" s="1599"/>
      <c r="BQ53" s="1599"/>
      <c r="BR53" s="1599"/>
      <c r="BS53" s="1599"/>
      <c r="BT53" s="1599"/>
      <c r="BU53" s="1599"/>
      <c r="CD53" s="1911" t="s">
        <v>708</v>
      </c>
    </row>
    <row r="54" spans="36:82" ht="13.5" thickBot="1">
      <c r="AJ54" s="1624" t="str">
        <f>IFERROR(IF($A$5=$BO$1,$BO53,IF($A$5=$BP$1,$BP53,IF($A$5=$BQ$1,$BQ53,IF($A$5=$BR$1,$BR53,IF($A$5=$BS$1,$BS53,IF($A$5=$BT$1,$BT53,IF($A$5=$BU$1,$BU53,IF($A$5="",INDEX(Tiere!$BN$2:$BN$153,_xlfn.AGGREGATE(15,6,(ROW(Tiere!$BN$2:$BN$153)-1)/(--(SEARCH(AK$2,Tiere!$BN$2:$BN$153)&gt;0)),ROW()-2),1))))))))),"")</f>
        <v xml:space="preserve">MS + JS ab 32 kg LG bis Mastende/Belegung -N-reduzierte-Fütterung - Gülle </v>
      </c>
      <c r="AK54" s="1599"/>
      <c r="AL54" s="1624" t="str">
        <f>IFERROR(IF($A$6=$BO$1,$BO53,IF($A$6=$BP$1,$BP53,IF($A$6=$BQ$1,$BQ53,IF($A$6=$BR$1,$BR53,IF($A$6=$BS$1,$BS53,IF($A$6=$BT$1,$BT53,IF($A$6=$BU$1,$BU53,IF($A$6="",INDEX(Tiere!$BN$2:$BN$153,_xlfn.AGGREGATE(15,6,(ROW(Tiere!$BN$2:$BN$153)-1)/(--(SEARCH(AM$2,Tiere!$BN$2:$BN$153)&gt;0)),ROW()-2),1))))))))),"")</f>
        <v xml:space="preserve">MS + JS ab 32 kg LG bis Mastende/Belegung -N-reduzierte-Fütterung - Gülle </v>
      </c>
      <c r="AM54" s="1599"/>
      <c r="AN54" s="1624" t="str">
        <f>IFERROR(IF($A$7=$BO$1,$BO53,IF($A$7=$BP$1,$BP53,IF($A$7=$BQ$1,$BQ53,IF($A$7=$BR$1,$BR53,IF($A$7=$BS$1,$BS53,IF($A$7=$BT$1,$BT53,IF($A$7=$BU$1,$BU53,IF($A$7="",INDEX(Tiere!$BN$2:$BN$153,_xlfn.AGGREGATE(15,6,(ROW(Tiere!$BN$2:$BN$153)-1)/(--(SEARCH(AM$2,Tiere!$BN$2:$BN$153)&gt;0)),ROW()-2),1))))))))),"")</f>
        <v xml:space="preserve">MS + JS ab 32 kg LG bis Mastende/Belegung -N-reduzierte-Fütterung - Gülle </v>
      </c>
      <c r="AO54" s="1599"/>
      <c r="AP54" s="1624" t="str">
        <f>IFERROR(IF($A$8=$BO$1,$BO53,IF($A$8=$BP$1,$BP53,IF($A$8=$BQ$1,$BQ53,IF($A$8=$BR$1,$BR53,IF($A$8=$BS$1,$BS53,IF($A$8=$BT$1,$BT53,IF($A$8=$BU$1,$BU53,IF($A$8="",INDEX(Tiere!$BN$2:$BN$153,_xlfn.AGGREGATE(15,6,(ROW(Tiere!$BN$2:$BN$153)-1)/(--(SEARCH(AQ$2,Tiere!$BN$2:$BN$153)&gt;0)),ROW()-2),1))))))))),"")</f>
        <v xml:space="preserve">MS + JS ab 32 kg LG bis Mastende/Belegung -N-reduzierte-Fütterung - Gülle </v>
      </c>
      <c r="AQ54" s="1599"/>
      <c r="AR54" s="1624" t="str">
        <f>IFERROR(IF($A$9=$BO$1,$BO53,IF($A$9=$BP$1,$BP53,IF($A$9=$BQ$1,$BQ53,IF($A$9=$BR$1,$BR53,IF($A$9=$BS$1,$BS53,IF($A$9=$BT$1,$BT53,IF($A$9=$BU$1,$BU53,IF($A$9="",INDEX(Tiere!$BN$2:$BN$153,_xlfn.AGGREGATE(15,6,(ROW(Tiere!$BN$2:$BN$153)-1)/(--(SEARCH(AS$2,Tiere!$BN$2:$BN$153)&gt;0)),ROW()-2),1))))))))),"")</f>
        <v xml:space="preserve">MS + JS ab 32 kg LG bis Mastende/Belegung -N-reduzierte-Fütterung - Gülle </v>
      </c>
      <c r="AS54" s="1599"/>
      <c r="AT54" s="1624" t="str">
        <f>IFERROR(IF($A$10=$BO$1,$BO53,IF($A$10=$BP$1,$BP53,IF($A$10=$BQ$1,$BQ53,IF($A$10=$BR$1,$BR53,IF($A$10=$BS$1,$BS53,IF($A$10=$BT$1,$BT53,IF($A$10=$BU$1,$BU53,IF($A$10="",INDEX(Tiere!$BN$2:$BN$153,_xlfn.AGGREGATE(15,6,(ROW(Tiere!$BN$2:$BN$153)-1)/(--(SEARCH(AU$2,Tiere!$BN$2:$BN$153)&gt;0)),ROW()-2),1))))))))),"")</f>
        <v xml:space="preserve">MS + JS ab 32 kg LG bis Mastende/Belegung -N-reduzierte-Fütterung - Gülle </v>
      </c>
      <c r="AU54" s="1599"/>
      <c r="AV54" s="1624" t="str">
        <f>IFERROR(IF($A$11=$BO$1,$BO53,IF($A$11=$BP$1,$BP53,IF($A$11=$BQ$1,$BQ53,IF($A$11=$BR$1,$BR53,IF($A$11=$BS$1,$BS53,IF($A$11=$BT$1,$BT53,IF($A$11=$BU$1,$BU53,IF($A$11="",INDEX(Tiere!$BN$2:$BN$153,_xlfn.AGGREGATE(15,6,(ROW(Tiere!$BN$2:$BN$153)-1)/(--(SEARCH(AW$2,Tiere!$BN$2:$BN$153)&gt;0)),ROW()-2),1))))))))),"")</f>
        <v xml:space="preserve">MS + JS ab 32 kg LG bis Mastende/Belegung -N-reduzierte-Fütterung - Gülle </v>
      </c>
      <c r="AW54" s="1599"/>
      <c r="AX54" s="1624" t="str">
        <f>IFERROR(IF($A$12=$BO$1,$BO53,IF($A$12=$BP$1,$BP53,IF($A$12=$BQ$1,$BQ53,IF($A$12=$BR$1,$BR53,IF($A$12=$BS$1,$BS53,IF($A$12=$BT$1,$BT53,IF($A$12=$BU$1,$BU53,IF($A$12="",INDEX(Tiere!$BN$2:$BN$153,_xlfn.AGGREGATE(15,6,(ROW(Tiere!$BN$2:$BN$153)-1)/(--(SEARCH(AY$2,Tiere!$BN$2:$BN$153)&gt;0)),ROW()-2),1))))))))),"")</f>
        <v xml:space="preserve">MS + JS ab 32 kg LG bis Mastende/Belegung -N-reduzierte-Fütterung - Gülle </v>
      </c>
      <c r="AY54" s="1599"/>
      <c r="AZ54" s="1624" t="str">
        <f>IFERROR(IF($A$13=$BO$1,$BO53,IF($A$13=$BP$1,$BP53,IF($A$13=$BQ$1,$BQ53,IF($A$13=$BR$1,$BR53,IF($A$13=$BS$1,$BS53,IF($A$13=$BT$1,$BT53,IF($A$13=$BU$1,$BU53,IF($A$13="",INDEX(Tiere!$BN$2:$BN$153,_xlfn.AGGREGATE(15,6,(ROW(Tiere!$BN$2:$BN$153)-1)/(--(SEARCH(BA$2,Tiere!$BN$2:$BN$153)&gt;0)),ROW()-2),1))))))))),"")</f>
        <v xml:space="preserve">MS + JS ab 32 kg LG bis Mastende/Belegung -N-reduzierte-Fütterung - Gülle </v>
      </c>
      <c r="BA54" s="1599"/>
      <c r="BB54" s="1624" t="str">
        <f>IFERROR(IF($A$14=$BO$1,$BO53,IF($A$14=$BP$1,$BP53,IF($A$14=$BQ$1,$BQ53,IF($A$14=$BR$1,$BR53,IF($A$14=$BS$1,$BS53,IF($A$14=$BT$1,$BT53,IF($A$14=$BU$1,$BU53,IF($A$14="",INDEX(Tiere!$BN$2:$BN$153,_xlfn.AGGREGATE(15,6,(ROW(Tiere!$BN$2:$BN$153)-1)/(--(SEARCH(BC$2,Tiere!$BN$2:$BN$153)&gt;0)),ROW()-2),1))))))))),"")</f>
        <v xml:space="preserve">MS + JS ab 32 kg LG bis Mastende/Belegung -N-reduzierte-Fütterung - Gülle </v>
      </c>
      <c r="BC54" s="1599"/>
      <c r="BD54" s="1624" t="str">
        <f>IFERROR(IF($A$15=$BO$1,$BO53,IF($A$15=$BP$1,$BP53,IF($A$15=$BQ$1,$BQ53,IF($A$15=$BR$1,$BR53,IF($A$15=$BS$1,$BS53,IF($A$15=$BT$1,$BT53,IF($A$15=$BU$1,$BU53,IF($A$15="",INDEX(Tiere!$BN$2:$BN$153,_xlfn.AGGREGATE(15,6,(ROW(Tiere!$BN$2:$BN$153)-1)/(--(SEARCH(BE$2,Tiere!$BN$2:$BN$153)&gt;0)),ROW()-2),1))))))))),"")</f>
        <v xml:space="preserve">MS + JS ab 32 kg LG bis Mastende/Belegung -N-reduzierte-Fütterung - Gülle </v>
      </c>
      <c r="BE54" s="1599"/>
      <c r="BF54" s="1624" t="str">
        <f>IFERROR(IF($A$16=$BO$1,$BO53,IF($A$16=$BP$1,$BP53,IF($A$16=$BQ$1,$BQ53,IF($A$16=$BR$1,$BR53,IF($A$16=$BS$1,$BS53,IF($A$16=$BT$1,$BT53,IF($A$16=$BU$1,$BU53,IF($A$16="",INDEX(Tiere!$BN$2:$BN$153,_xlfn.AGGREGATE(15,6,(ROW(Tiere!$BN$2:$BN$153)-1)/(--(SEARCH(BG$2,Tiere!$BN$2:$BN$153)&gt;0)),ROW()-2),1))))))))),"")</f>
        <v xml:space="preserve">MS + JS ab 32 kg LG bis Mastende/Belegung -N-reduzierte-Fütterung - Gülle </v>
      </c>
      <c r="BG54" s="1599"/>
      <c r="BH54" s="1624" t="str">
        <f>IFERROR(IF($A$17=$BO$1,$BO53,IF($A$17=$BP$1,$BP53,IF($A$17=$BQ$1,$BQ53,IF($A$17=$BR$1,$BR53,IF($A$17=$BS$1,$BS53,IF($A$17=$BT$1,$BT53,IF($A$17=$BU$1,$BU53,IF($A$17="",INDEX(Tiere!$BN$2:$BN$153,_xlfn.AGGREGATE(15,6,(ROW(Tiere!$BN$2:$BN$153)-1)/(--(SEARCH(BI$2,Tiere!$BN$2:$BN$153)&gt;0)),ROW()-2),1))))))))),"")</f>
        <v xml:space="preserve">MS + JS ab 32 kg LG bis Mastende/Belegung -N-reduzierte-Fütterung - Gülle </v>
      </c>
      <c r="BI54" s="1599"/>
      <c r="BJ54" s="1624" t="str">
        <f>IFERROR(IF($A$18=$BO$1,$BO53,IF($A$18=$BP$1,$BP53,IF($A$18=$BQ$1,$BQ53,IF($A$18=$BR$1,$BR53,IF($A$18=$BS$1,$BS53,IF($A$18=$BT$1,$BT53,IF($A$18=$BU$1,$BU53,IF($A$18="",INDEX(Tiere!$BN$2:$BN$153,_xlfn.AGGREGATE(15,6,(ROW(Tiere!$BN$2:$BN$153)-1)/(--(SEARCH(BK$2,Tiere!$BN$2:$BN$153)&gt;0)),ROW()-2),1))))))))),"")</f>
        <v xml:space="preserve">MS + JS ab 32 kg LG bis Mastende/Belegung -N-reduzierte-Fütterung - Gülle </v>
      </c>
      <c r="BK54" s="1599"/>
      <c r="BL54" s="1624" t="str">
        <f>IFERROR(IF($A$19=$BO$1,$BO53,IF($A$19=$BP$1,$BP53,IF($A$19=$BQ$1,$BQ53,IF($A$19=$BR$1,$BR53,IF($A$19=$BS$1,$BS53,IF($A$19=$BT$1,$BT53,IF($A$19=$BU$1,$BU53,IF($A$19="",INDEX(Tiere!$BN$2:$BN$153,_xlfn.AGGREGATE(15,6,(ROW(Tiere!$BN$2:$BN$153)-1)/(--(SEARCH(BM$2,Tiere!$BN$2:$BN$153)&gt;0)),ROW()-2),1))))))))),"")</f>
        <v xml:space="preserve">MS + JS ab 32 kg LG bis Mastende/Belegung -N-reduzierte-Fütterung - Gülle </v>
      </c>
      <c r="BM54" s="1599"/>
      <c r="BN54" s="1630" t="s">
        <v>711</v>
      </c>
      <c r="BO54" s="1599"/>
      <c r="BP54" s="1599"/>
      <c r="BQ54" s="1599"/>
      <c r="BR54" s="1599"/>
      <c r="BS54" s="1599"/>
      <c r="BT54" s="1599"/>
      <c r="BU54" s="1599"/>
      <c r="CD54" s="1911" t="s">
        <v>711</v>
      </c>
    </row>
    <row r="55" spans="36:82" ht="13.5" thickBot="1">
      <c r="AJ55" s="1624" t="str">
        <f>IFERROR(IF($A$5=$BO$1,$BO54,IF($A$5=$BP$1,$BP54,IF($A$5=$BQ$1,$BQ54,IF($A$5=$BR$1,$BR54,IF($A$5=$BS$1,$BS54,IF($A$5=$BT$1,$BT54,IF($A$5=$BU$1,$BU54,IF($A$5="",INDEX(Tiere!$BN$2:$BN$153,_xlfn.AGGREGATE(15,6,(ROW(Tiere!$BN$2:$BN$153)-1)/(--(SEARCH(AK$2,Tiere!$BN$2:$BN$153)&gt;0)),ROW()-2),1))))))))),"")</f>
        <v xml:space="preserve">MS + JS ab 32 kg LG bis Mastende/Belegung -N-reduzierte-Fütterung - Mist/Jauche </v>
      </c>
      <c r="AK55" s="1601"/>
      <c r="AL55" s="1624" t="str">
        <f>IFERROR(IF($A$6=$BO$1,$BO54,IF($A$6=$BP$1,$BP54,IF($A$6=$BQ$1,$BQ54,IF($A$6=$BR$1,$BR54,IF($A$6=$BS$1,$BS54,IF($A$6=$BT$1,$BT54,IF($A$6=$BU$1,$BU54,IF($A$6="",INDEX(Tiere!$BN$2:$BN$153,_xlfn.AGGREGATE(15,6,(ROW(Tiere!$BN$2:$BN$153)-1)/(--(SEARCH(AM$2,Tiere!$BN$2:$BN$153)&gt;0)),ROW()-2),1))))))))),"")</f>
        <v xml:space="preserve">MS + JS ab 32 kg LG bis Mastende/Belegung -N-reduzierte-Fütterung - Mist/Jauche </v>
      </c>
      <c r="AM55" s="1601"/>
      <c r="AN55" s="1624" t="str">
        <f>IFERROR(IF($A$7=$BO$1,$BO54,IF($A$7=$BP$1,$BP54,IF($A$7=$BQ$1,$BQ54,IF($A$7=$BR$1,$BR54,IF($A$7=$BS$1,$BS54,IF($A$7=$BT$1,$BT54,IF($A$7=$BU$1,$BU54,IF($A$7="",INDEX(Tiere!$BN$2:$BN$153,_xlfn.AGGREGATE(15,6,(ROW(Tiere!$BN$2:$BN$153)-1)/(--(SEARCH(AM$2,Tiere!$BN$2:$BN$153)&gt;0)),ROW()-2),1))))))))),"")</f>
        <v xml:space="preserve">MS + JS ab 32 kg LG bis Mastende/Belegung -N-reduzierte-Fütterung - Mist/Jauche </v>
      </c>
      <c r="AO55" s="1601"/>
      <c r="AP55" s="1624" t="str">
        <f>IFERROR(IF($A$8=$BO$1,$BO54,IF($A$8=$BP$1,$BP54,IF($A$8=$BQ$1,$BQ54,IF($A$8=$BR$1,$BR54,IF($A$8=$BS$1,$BS54,IF($A$8=$BT$1,$BT54,IF($A$8=$BU$1,$BU54,IF($A$8="",INDEX(Tiere!$BN$2:$BN$153,_xlfn.AGGREGATE(15,6,(ROW(Tiere!$BN$2:$BN$153)-1)/(--(SEARCH(AQ$2,Tiere!$BN$2:$BN$153)&gt;0)),ROW()-2),1))))))))),"")</f>
        <v xml:space="preserve">MS + JS ab 32 kg LG bis Mastende/Belegung -N-reduzierte-Fütterung - Mist/Jauche </v>
      </c>
      <c r="AQ55" s="1601"/>
      <c r="AR55" s="1624" t="str">
        <f>IFERROR(IF($A$9=$BO$1,$BO54,IF($A$9=$BP$1,$BP54,IF($A$9=$BQ$1,$BQ54,IF($A$9=$BR$1,$BR54,IF($A$9=$BS$1,$BS54,IF($A$9=$BT$1,$BT54,IF($A$9=$BU$1,$BU54,IF($A$9="",INDEX(Tiere!$BN$2:$BN$153,_xlfn.AGGREGATE(15,6,(ROW(Tiere!$BN$2:$BN$153)-1)/(--(SEARCH(AS$2,Tiere!$BN$2:$BN$153)&gt;0)),ROW()-2),1))))))))),"")</f>
        <v xml:space="preserve">MS + JS ab 32 kg LG bis Mastende/Belegung -N-reduzierte-Fütterung - Mist/Jauche </v>
      </c>
      <c r="AS55" s="1601"/>
      <c r="AT55" s="1624" t="str">
        <f>IFERROR(IF($A$10=$BO$1,$BO54,IF($A$10=$BP$1,$BP54,IF($A$10=$BQ$1,$BQ54,IF($A$10=$BR$1,$BR54,IF($A$10=$BS$1,$BS54,IF($A$10=$BT$1,$BT54,IF($A$10=$BU$1,$BU54,IF($A$10="",INDEX(Tiere!$BN$2:$BN$153,_xlfn.AGGREGATE(15,6,(ROW(Tiere!$BN$2:$BN$153)-1)/(--(SEARCH(AU$2,Tiere!$BN$2:$BN$153)&gt;0)),ROW()-2),1))))))))),"")</f>
        <v xml:space="preserve">MS + JS ab 32 kg LG bis Mastende/Belegung -N-reduzierte-Fütterung - Mist/Jauche </v>
      </c>
      <c r="AU55" s="1601"/>
      <c r="AV55" s="1624" t="str">
        <f>IFERROR(IF($A$11=$BO$1,$BO54,IF($A$11=$BP$1,$BP54,IF($A$11=$BQ$1,$BQ54,IF($A$11=$BR$1,$BR54,IF($A$11=$BS$1,$BS54,IF($A$11=$BT$1,$BT54,IF($A$11=$BU$1,$BU54,IF($A$11="",INDEX(Tiere!$BN$2:$BN$153,_xlfn.AGGREGATE(15,6,(ROW(Tiere!$BN$2:$BN$153)-1)/(--(SEARCH(AW$2,Tiere!$BN$2:$BN$153)&gt;0)),ROW()-2),1))))))))),"")</f>
        <v xml:space="preserve">MS + JS ab 32 kg LG bis Mastende/Belegung -N-reduzierte-Fütterung - Mist/Jauche </v>
      </c>
      <c r="AW55" s="1601"/>
      <c r="AX55" s="1624" t="str">
        <f>IFERROR(IF($A$12=$BO$1,$BO54,IF($A$12=$BP$1,$BP54,IF($A$12=$BQ$1,$BQ54,IF($A$12=$BR$1,$BR54,IF($A$12=$BS$1,$BS54,IF($A$12=$BT$1,$BT54,IF($A$12=$BU$1,$BU54,IF($A$12="",INDEX(Tiere!$BN$2:$BN$153,_xlfn.AGGREGATE(15,6,(ROW(Tiere!$BN$2:$BN$153)-1)/(--(SEARCH(AY$2,Tiere!$BN$2:$BN$153)&gt;0)),ROW()-2),1))))))))),"")</f>
        <v xml:space="preserve">MS + JS ab 32 kg LG bis Mastende/Belegung -N-reduzierte-Fütterung - Mist/Jauche </v>
      </c>
      <c r="AY55" s="1601"/>
      <c r="AZ55" s="1624" t="str">
        <f>IFERROR(IF($A$13=$BO$1,$BO54,IF($A$13=$BP$1,$BP54,IF($A$13=$BQ$1,$BQ54,IF($A$13=$BR$1,$BR54,IF($A$13=$BS$1,$BS54,IF($A$13=$BT$1,$BT54,IF($A$13=$BU$1,$BU54,IF($A$13="",INDEX(Tiere!$BN$2:$BN$153,_xlfn.AGGREGATE(15,6,(ROW(Tiere!$BN$2:$BN$153)-1)/(--(SEARCH(BA$2,Tiere!$BN$2:$BN$153)&gt;0)),ROW()-2),1))))))))),"")</f>
        <v xml:space="preserve">MS + JS ab 32 kg LG bis Mastende/Belegung -N-reduzierte-Fütterung - Mist/Jauche </v>
      </c>
      <c r="BA55" s="1601"/>
      <c r="BB55" s="1624" t="str">
        <f>IFERROR(IF($A$14=$BO$1,$BO54,IF($A$14=$BP$1,$BP54,IF($A$14=$BQ$1,$BQ54,IF($A$14=$BR$1,$BR54,IF($A$14=$BS$1,$BS54,IF($A$14=$BT$1,$BT54,IF($A$14=$BU$1,$BU54,IF($A$14="",INDEX(Tiere!$BN$2:$BN$153,_xlfn.AGGREGATE(15,6,(ROW(Tiere!$BN$2:$BN$153)-1)/(--(SEARCH(BC$2,Tiere!$BN$2:$BN$153)&gt;0)),ROW()-2),1))))))))),"")</f>
        <v xml:space="preserve">MS + JS ab 32 kg LG bis Mastende/Belegung -N-reduzierte-Fütterung - Mist/Jauche </v>
      </c>
      <c r="BC55" s="1601"/>
      <c r="BD55" s="1624" t="str">
        <f>IFERROR(IF($A$15=$BO$1,$BO54,IF($A$15=$BP$1,$BP54,IF($A$15=$BQ$1,$BQ54,IF($A$15=$BR$1,$BR54,IF($A$15=$BS$1,$BS54,IF($A$15=$BT$1,$BT54,IF($A$15=$BU$1,$BU54,IF($A$15="",INDEX(Tiere!$BN$2:$BN$153,_xlfn.AGGREGATE(15,6,(ROW(Tiere!$BN$2:$BN$153)-1)/(--(SEARCH(BE$2,Tiere!$BN$2:$BN$153)&gt;0)),ROW()-2),1))))))))),"")</f>
        <v xml:space="preserve">MS + JS ab 32 kg LG bis Mastende/Belegung -N-reduzierte-Fütterung - Mist/Jauche </v>
      </c>
      <c r="BE55" s="1601"/>
      <c r="BF55" s="1624" t="str">
        <f>IFERROR(IF($A$16=$BO$1,$BO54,IF($A$16=$BP$1,$BP54,IF($A$16=$BQ$1,$BQ54,IF($A$16=$BR$1,$BR54,IF($A$16=$BS$1,$BS54,IF($A$16=$BT$1,$BT54,IF($A$16=$BU$1,$BU54,IF($A$16="",INDEX(Tiere!$BN$2:$BN$153,_xlfn.AGGREGATE(15,6,(ROW(Tiere!$BN$2:$BN$153)-1)/(--(SEARCH(BG$2,Tiere!$BN$2:$BN$153)&gt;0)),ROW()-2),1))))))))),"")</f>
        <v xml:space="preserve">MS + JS ab 32 kg LG bis Mastende/Belegung -N-reduzierte-Fütterung - Mist/Jauche </v>
      </c>
      <c r="BG55" s="1601"/>
      <c r="BH55" s="1624" t="str">
        <f>IFERROR(IF($A$17=$BO$1,$BO54,IF($A$17=$BP$1,$BP54,IF($A$17=$BQ$1,$BQ54,IF($A$17=$BR$1,$BR54,IF($A$17=$BS$1,$BS54,IF($A$17=$BT$1,$BT54,IF($A$17=$BU$1,$BU54,IF($A$17="",INDEX(Tiere!$BN$2:$BN$153,_xlfn.AGGREGATE(15,6,(ROW(Tiere!$BN$2:$BN$153)-1)/(--(SEARCH(BI$2,Tiere!$BN$2:$BN$153)&gt;0)),ROW()-2),1))))))))),"")</f>
        <v xml:space="preserve">MS + JS ab 32 kg LG bis Mastende/Belegung -N-reduzierte-Fütterung - Mist/Jauche </v>
      </c>
      <c r="BI55" s="1601"/>
      <c r="BJ55" s="1624" t="str">
        <f>IFERROR(IF($A$18=$BO$1,$BO54,IF($A$18=$BP$1,$BP54,IF($A$18=$BQ$1,$BQ54,IF($A$18=$BR$1,$BR54,IF($A$18=$BS$1,$BS54,IF($A$18=$BT$1,$BT54,IF($A$18=$BU$1,$BU54,IF($A$18="",INDEX(Tiere!$BN$2:$BN$153,_xlfn.AGGREGATE(15,6,(ROW(Tiere!$BN$2:$BN$153)-1)/(--(SEARCH(BK$2,Tiere!$BN$2:$BN$153)&gt;0)),ROW()-2),1))))))))),"")</f>
        <v xml:space="preserve">MS + JS ab 32 kg LG bis Mastende/Belegung -N-reduzierte-Fütterung - Mist/Jauche </v>
      </c>
      <c r="BK55" s="1601"/>
      <c r="BL55" s="1624" t="str">
        <f>IFERROR(IF($A$19=$BO$1,$BO54,IF($A$19=$BP$1,$BP54,IF($A$19=$BQ$1,$BQ54,IF($A$19=$BR$1,$BR54,IF($A$19=$BS$1,$BS54,IF($A$19=$BT$1,$BT54,IF($A$19=$BU$1,$BU54,IF($A$19="",INDEX(Tiere!$BN$2:$BN$153,_xlfn.AGGREGATE(15,6,(ROW(Tiere!$BN$2:$BN$153)-1)/(--(SEARCH(BM$2,Tiere!$BN$2:$BN$153)&gt;0)),ROW()-2),1))))))))),"")</f>
        <v xml:space="preserve">MS + JS ab 32 kg LG bis Mastende/Belegung -N-reduzierte-Fütterung - Mist/Jauche </v>
      </c>
      <c r="BM55" s="1601"/>
      <c r="BN55" s="1630" t="s">
        <v>713</v>
      </c>
      <c r="BO55" s="1599"/>
      <c r="BP55" s="1599"/>
      <c r="BQ55" s="1599"/>
      <c r="BR55" s="1599"/>
      <c r="BS55" s="1599"/>
      <c r="BT55" s="1599"/>
      <c r="BU55" s="1599"/>
      <c r="CD55" s="1911" t="s">
        <v>713</v>
      </c>
    </row>
    <row r="56" spans="36:82" ht="13.5" thickBot="1">
      <c r="AJ56" s="1624" t="str">
        <f>IFERROR(IF($A$5=$BO$1,$BO55,IF($A$5=$BP$1,$BP55,IF($A$5=$BQ$1,$BQ55,IF($A$5=$BR$1,$BR55,IF($A$5=$BS$1,$BS55,IF($A$5=$BT$1,$BT55,IF($A$5=$BU$1,$BU55,IF($A$5="",INDEX(Tiere!$BN$2:$BN$153,_xlfn.AGGREGATE(15,6,(ROW(Tiere!$BN$2:$BN$153)-1)/(--(SEARCH(AK$2,Tiere!$BN$2:$BN$153)&gt;0)),ROW()-2),1))))))))),"")</f>
        <v xml:space="preserve">MS + JS ab 32 kg LG bis Mastende/Belegung -N-reduzierte-Fütterung - Tiefstallmist </v>
      </c>
      <c r="AK56" s="1599"/>
      <c r="AL56" s="1624" t="str">
        <f>IFERROR(IF($A$6=$BO$1,$BO55,IF($A$6=$BP$1,$BP55,IF($A$6=$BQ$1,$BQ55,IF($A$6=$BR$1,$BR55,IF($A$6=$BS$1,$BS55,IF($A$6=$BT$1,$BT55,IF($A$6=$BU$1,$BU55,IF($A$6="",INDEX(Tiere!$BN$2:$BN$153,_xlfn.AGGREGATE(15,6,(ROW(Tiere!$BN$2:$BN$153)-1)/(--(SEARCH(AM$2,Tiere!$BN$2:$BN$153)&gt;0)),ROW()-2),1))))))))),"")</f>
        <v xml:space="preserve">MS + JS ab 32 kg LG bis Mastende/Belegung -N-reduzierte-Fütterung - Tiefstallmist </v>
      </c>
      <c r="AM56" s="1599"/>
      <c r="AN56" s="1624" t="str">
        <f>IFERROR(IF($A$7=$BO$1,$BO55,IF($A$7=$BP$1,$BP55,IF($A$7=$BQ$1,$BQ55,IF($A$7=$BR$1,$BR55,IF($A$7=$BS$1,$BS55,IF($A$7=$BT$1,$BT55,IF($A$7=$BU$1,$BU55,IF($A$7="",INDEX(Tiere!$BN$2:$BN$153,_xlfn.AGGREGATE(15,6,(ROW(Tiere!$BN$2:$BN$153)-1)/(--(SEARCH(AM$2,Tiere!$BN$2:$BN$153)&gt;0)),ROW()-2),1))))))))),"")</f>
        <v xml:space="preserve">MS + JS ab 32 kg LG bis Mastende/Belegung -N-reduzierte-Fütterung - Tiefstallmist </v>
      </c>
      <c r="AO56" s="1599"/>
      <c r="AP56" s="1624" t="str">
        <f>IFERROR(IF($A$8=$BO$1,$BO55,IF($A$8=$BP$1,$BP55,IF($A$8=$BQ$1,$BQ55,IF($A$8=$BR$1,$BR55,IF($A$8=$BS$1,$BS55,IF($A$8=$BT$1,$BT55,IF($A$8=$BU$1,$BU55,IF($A$8="",INDEX(Tiere!$BN$2:$BN$153,_xlfn.AGGREGATE(15,6,(ROW(Tiere!$BN$2:$BN$153)-1)/(--(SEARCH(AQ$2,Tiere!$BN$2:$BN$153)&gt;0)),ROW()-2),1))))))))),"")</f>
        <v xml:space="preserve">MS + JS ab 32 kg LG bis Mastende/Belegung -N-reduzierte-Fütterung - Tiefstallmist </v>
      </c>
      <c r="AQ56" s="1599"/>
      <c r="AR56" s="1624" t="str">
        <f>IFERROR(IF($A$9=$BO$1,$BO55,IF($A$9=$BP$1,$BP55,IF($A$9=$BQ$1,$BQ55,IF($A$9=$BR$1,$BR55,IF($A$9=$BS$1,$BS55,IF($A$9=$BT$1,$BT55,IF($A$9=$BU$1,$BU55,IF($A$9="",INDEX(Tiere!$BN$2:$BN$153,_xlfn.AGGREGATE(15,6,(ROW(Tiere!$BN$2:$BN$153)-1)/(--(SEARCH(AS$2,Tiere!$BN$2:$BN$153)&gt;0)),ROW()-2),1))))))))),"")</f>
        <v xml:space="preserve">MS + JS ab 32 kg LG bis Mastende/Belegung -N-reduzierte-Fütterung - Tiefstallmist </v>
      </c>
      <c r="AS56" s="1599"/>
      <c r="AT56" s="1624" t="str">
        <f>IFERROR(IF($A$10=$BO$1,$BO55,IF($A$10=$BP$1,$BP55,IF($A$10=$BQ$1,$BQ55,IF($A$10=$BR$1,$BR55,IF($A$10=$BS$1,$BS55,IF($A$10=$BT$1,$BT55,IF($A$10=$BU$1,$BU55,IF($A$10="",INDEX(Tiere!$BN$2:$BN$153,_xlfn.AGGREGATE(15,6,(ROW(Tiere!$BN$2:$BN$153)-1)/(--(SEARCH(AU$2,Tiere!$BN$2:$BN$153)&gt;0)),ROW()-2),1))))))))),"")</f>
        <v xml:space="preserve">MS + JS ab 32 kg LG bis Mastende/Belegung -N-reduzierte-Fütterung - Tiefstallmist </v>
      </c>
      <c r="AU56" s="1599"/>
      <c r="AV56" s="1624" t="str">
        <f>IFERROR(IF($A$11=$BO$1,$BO55,IF($A$11=$BP$1,$BP55,IF($A$11=$BQ$1,$BQ55,IF($A$11=$BR$1,$BR55,IF($A$11=$BS$1,$BS55,IF($A$11=$BT$1,$BT55,IF($A$11=$BU$1,$BU55,IF($A$11="",INDEX(Tiere!$BN$2:$BN$153,_xlfn.AGGREGATE(15,6,(ROW(Tiere!$BN$2:$BN$153)-1)/(--(SEARCH(AW$2,Tiere!$BN$2:$BN$153)&gt;0)),ROW()-2),1))))))))),"")</f>
        <v xml:space="preserve">MS + JS ab 32 kg LG bis Mastende/Belegung -N-reduzierte-Fütterung - Tiefstallmist </v>
      </c>
      <c r="AW56" s="1599"/>
      <c r="AX56" s="1624" t="str">
        <f>IFERROR(IF($A$12=$BO$1,$BO55,IF($A$12=$BP$1,$BP55,IF($A$12=$BQ$1,$BQ55,IF($A$12=$BR$1,$BR55,IF($A$12=$BS$1,$BS55,IF($A$12=$BT$1,$BT55,IF($A$12=$BU$1,$BU55,IF($A$12="",INDEX(Tiere!$BN$2:$BN$153,_xlfn.AGGREGATE(15,6,(ROW(Tiere!$BN$2:$BN$153)-1)/(--(SEARCH(AY$2,Tiere!$BN$2:$BN$153)&gt;0)),ROW()-2),1))))))))),"")</f>
        <v xml:space="preserve">MS + JS ab 32 kg LG bis Mastende/Belegung -N-reduzierte-Fütterung - Tiefstallmist </v>
      </c>
      <c r="AY56" s="1599"/>
      <c r="AZ56" s="1624" t="str">
        <f>IFERROR(IF($A$13=$BO$1,$BO55,IF($A$13=$BP$1,$BP55,IF($A$13=$BQ$1,$BQ55,IF($A$13=$BR$1,$BR55,IF($A$13=$BS$1,$BS55,IF($A$13=$BT$1,$BT55,IF($A$13=$BU$1,$BU55,IF($A$13="",INDEX(Tiere!$BN$2:$BN$153,_xlfn.AGGREGATE(15,6,(ROW(Tiere!$BN$2:$BN$153)-1)/(--(SEARCH(BA$2,Tiere!$BN$2:$BN$153)&gt;0)),ROW()-2),1))))))))),"")</f>
        <v xml:space="preserve">MS + JS ab 32 kg LG bis Mastende/Belegung -N-reduzierte-Fütterung - Tiefstallmist </v>
      </c>
      <c r="BA56" s="1599"/>
      <c r="BB56" s="1624" t="str">
        <f>IFERROR(IF($A$14=$BO$1,$BO55,IF($A$14=$BP$1,$BP55,IF($A$14=$BQ$1,$BQ55,IF($A$14=$BR$1,$BR55,IF($A$14=$BS$1,$BS55,IF($A$14=$BT$1,$BT55,IF($A$14=$BU$1,$BU55,IF($A$14="",INDEX(Tiere!$BN$2:$BN$153,_xlfn.AGGREGATE(15,6,(ROW(Tiere!$BN$2:$BN$153)-1)/(--(SEARCH(BC$2,Tiere!$BN$2:$BN$153)&gt;0)),ROW()-2),1))))))))),"")</f>
        <v xml:space="preserve">MS + JS ab 32 kg LG bis Mastende/Belegung -N-reduzierte-Fütterung - Tiefstallmist </v>
      </c>
      <c r="BC56" s="1599"/>
      <c r="BD56" s="1624" t="str">
        <f>IFERROR(IF($A$15=$BO$1,$BO55,IF($A$15=$BP$1,$BP55,IF($A$15=$BQ$1,$BQ55,IF($A$15=$BR$1,$BR55,IF($A$15=$BS$1,$BS55,IF($A$15=$BT$1,$BT55,IF($A$15=$BU$1,$BU55,IF($A$15="",INDEX(Tiere!$BN$2:$BN$153,_xlfn.AGGREGATE(15,6,(ROW(Tiere!$BN$2:$BN$153)-1)/(--(SEARCH(BE$2,Tiere!$BN$2:$BN$153)&gt;0)),ROW()-2),1))))))))),"")</f>
        <v xml:space="preserve">MS + JS ab 32 kg LG bis Mastende/Belegung -N-reduzierte-Fütterung - Tiefstallmist </v>
      </c>
      <c r="BE56" s="1599"/>
      <c r="BF56" s="1624" t="str">
        <f>IFERROR(IF($A$16=$BO$1,$BO55,IF($A$16=$BP$1,$BP55,IF($A$16=$BQ$1,$BQ55,IF($A$16=$BR$1,$BR55,IF($A$16=$BS$1,$BS55,IF($A$16=$BT$1,$BT55,IF($A$16=$BU$1,$BU55,IF($A$16="",INDEX(Tiere!$BN$2:$BN$153,_xlfn.AGGREGATE(15,6,(ROW(Tiere!$BN$2:$BN$153)-1)/(--(SEARCH(BG$2,Tiere!$BN$2:$BN$153)&gt;0)),ROW()-2),1))))))))),"")</f>
        <v xml:space="preserve">MS + JS ab 32 kg LG bis Mastende/Belegung -N-reduzierte-Fütterung - Tiefstallmist </v>
      </c>
      <c r="BG56" s="1599"/>
      <c r="BH56" s="1624" t="str">
        <f>IFERROR(IF($A$17=$BO$1,$BO55,IF($A$17=$BP$1,$BP55,IF($A$17=$BQ$1,$BQ55,IF($A$17=$BR$1,$BR55,IF($A$17=$BS$1,$BS55,IF($A$17=$BT$1,$BT55,IF($A$17=$BU$1,$BU55,IF($A$17="",INDEX(Tiere!$BN$2:$BN$153,_xlfn.AGGREGATE(15,6,(ROW(Tiere!$BN$2:$BN$153)-1)/(--(SEARCH(BI$2,Tiere!$BN$2:$BN$153)&gt;0)),ROW()-2),1))))))))),"")</f>
        <v xml:space="preserve">MS + JS ab 32 kg LG bis Mastende/Belegung -N-reduzierte-Fütterung - Tiefstallmist </v>
      </c>
      <c r="BI56" s="1599"/>
      <c r="BJ56" s="1624" t="str">
        <f>IFERROR(IF($A$18=$BO$1,$BO55,IF($A$18=$BP$1,$BP55,IF($A$18=$BQ$1,$BQ55,IF($A$18=$BR$1,$BR55,IF($A$18=$BS$1,$BS55,IF($A$18=$BT$1,$BT55,IF($A$18=$BU$1,$BU55,IF($A$18="",INDEX(Tiere!$BN$2:$BN$153,_xlfn.AGGREGATE(15,6,(ROW(Tiere!$BN$2:$BN$153)-1)/(--(SEARCH(BK$2,Tiere!$BN$2:$BN$153)&gt;0)),ROW()-2),1))))))))),"")</f>
        <v xml:space="preserve">MS + JS ab 32 kg LG bis Mastende/Belegung -N-reduzierte-Fütterung - Tiefstallmist </v>
      </c>
      <c r="BK56" s="1599"/>
      <c r="BL56" s="1624" t="str">
        <f>IFERROR(IF($A$19=$BO$1,$BO55,IF($A$19=$BP$1,$BP55,IF($A$19=$BQ$1,$BQ55,IF($A$19=$BR$1,$BR55,IF($A$19=$BS$1,$BS55,IF($A$19=$BT$1,$BT55,IF($A$19=$BU$1,$BU55,IF($A$19="",INDEX(Tiere!$BN$2:$BN$153,_xlfn.AGGREGATE(15,6,(ROW(Tiere!$BN$2:$BN$153)-1)/(--(SEARCH(BM$2,Tiere!$BN$2:$BN$153)&gt;0)),ROW()-2),1))))))))),"")</f>
        <v xml:space="preserve">MS + JS ab 32 kg LG bis Mastende/Belegung -N-reduzierte-Fütterung - Tiefstallmist </v>
      </c>
      <c r="BM56" s="1599"/>
      <c r="BN56" s="1630" t="s">
        <v>716</v>
      </c>
      <c r="BO56" s="1599"/>
      <c r="BP56" s="1599"/>
      <c r="BQ56" s="1599"/>
      <c r="BR56" s="1599"/>
      <c r="BS56" s="1599"/>
      <c r="BT56" s="1599"/>
      <c r="BU56" s="1599"/>
      <c r="CD56" s="1911" t="s">
        <v>716</v>
      </c>
    </row>
    <row r="57" spans="36:82" ht="14.25" thickTop="1" thickBot="1">
      <c r="AJ57" s="1624" t="str">
        <f>IFERROR(IF($A$5=$BO$1,$BO56,IF($A$5=$BP$1,$BP56,IF($A$5=$BQ$1,$BQ56,IF($A$5=$BR$1,$BR56,IF($A$5=$BS$1,$BS56,IF($A$5=$BT$1,$BT56,IF($A$5=$BU$1,$BU56,IF($A$5="",INDEX(Tiere!$BN$2:$BN$153,_xlfn.AGGREGATE(15,6,(ROW(Tiere!$BN$2:$BN$153)-1)/(--(SEARCH(AK$2,Tiere!$BN$2:$BN$153)&gt;0)),ROW()-2),1))))))))),"")</f>
        <v xml:space="preserve">MS + JS ab 32 kg LG bis Mastende/Belegung - stark-N-reduzierte-Fütterung - Gülle </v>
      </c>
      <c r="AK57" s="1601"/>
      <c r="AL57" s="1624" t="str">
        <f>IFERROR(IF($A$6=$BO$1,$BO56,IF($A$6=$BP$1,$BP56,IF($A$6=$BQ$1,$BQ56,IF($A$6=$BR$1,$BR56,IF($A$6=$BS$1,$BS56,IF($A$6=$BT$1,$BT56,IF($A$6=$BU$1,$BU56,IF($A$6="",INDEX(Tiere!$BN$2:$BN$153,_xlfn.AGGREGATE(15,6,(ROW(Tiere!$BN$2:$BN$153)-1)/(--(SEARCH(AM$2,Tiere!$BN$2:$BN$153)&gt;0)),ROW()-2),1))))))))),"")</f>
        <v xml:space="preserve">MS + JS ab 32 kg LG bis Mastende/Belegung - stark-N-reduzierte-Fütterung - Gülle </v>
      </c>
      <c r="AM57" s="1601"/>
      <c r="AN57" s="1624" t="str">
        <f>IFERROR(IF($A$7=$BO$1,$BO56,IF($A$7=$BP$1,$BP56,IF($A$7=$BQ$1,$BQ56,IF($A$7=$BR$1,$BR56,IF($A$7=$BS$1,$BS56,IF($A$7=$BT$1,$BT56,IF($A$7=$BU$1,$BU56,IF($A$7="",INDEX(Tiere!$BN$2:$BN$153,_xlfn.AGGREGATE(15,6,(ROW(Tiere!$BN$2:$BN$153)-1)/(--(SEARCH(AM$2,Tiere!$BN$2:$BN$153)&gt;0)),ROW()-2),1))))))))),"")</f>
        <v xml:space="preserve">MS + JS ab 32 kg LG bis Mastende/Belegung - stark-N-reduzierte-Fütterung - Gülle </v>
      </c>
      <c r="AO57" s="1601"/>
      <c r="AP57" s="1624" t="str">
        <f>IFERROR(IF($A$8=$BO$1,$BO56,IF($A$8=$BP$1,$BP56,IF($A$8=$BQ$1,$BQ56,IF($A$8=$BR$1,$BR56,IF($A$8=$BS$1,$BS56,IF($A$8=$BT$1,$BT56,IF($A$8=$BU$1,$BU56,IF($A$8="",INDEX(Tiere!$BN$2:$BN$153,_xlfn.AGGREGATE(15,6,(ROW(Tiere!$BN$2:$BN$153)-1)/(--(SEARCH(AQ$2,Tiere!$BN$2:$BN$153)&gt;0)),ROW()-2),1))))))))),"")</f>
        <v xml:space="preserve">MS + JS ab 32 kg LG bis Mastende/Belegung - stark-N-reduzierte-Fütterung - Gülle </v>
      </c>
      <c r="AQ57" s="1601"/>
      <c r="AR57" s="1624" t="str">
        <f>IFERROR(IF($A$9=$BO$1,$BO56,IF($A$9=$BP$1,$BP56,IF($A$9=$BQ$1,$BQ56,IF($A$9=$BR$1,$BR56,IF($A$9=$BS$1,$BS56,IF($A$9=$BT$1,$BT56,IF($A$9=$BU$1,$BU56,IF($A$9="",INDEX(Tiere!$BN$2:$BN$153,_xlfn.AGGREGATE(15,6,(ROW(Tiere!$BN$2:$BN$153)-1)/(--(SEARCH(AS$2,Tiere!$BN$2:$BN$153)&gt;0)),ROW()-2),1))))))))),"")</f>
        <v xml:space="preserve">MS + JS ab 32 kg LG bis Mastende/Belegung - stark-N-reduzierte-Fütterung - Gülle </v>
      </c>
      <c r="AS57" s="1601"/>
      <c r="AT57" s="1624" t="str">
        <f>IFERROR(IF($A$10=$BO$1,$BO56,IF($A$10=$BP$1,$BP56,IF($A$10=$BQ$1,$BQ56,IF($A$10=$BR$1,$BR56,IF($A$10=$BS$1,$BS56,IF($A$10=$BT$1,$BT56,IF($A$10=$BU$1,$BU56,IF($A$10="",INDEX(Tiere!$BN$2:$BN$153,_xlfn.AGGREGATE(15,6,(ROW(Tiere!$BN$2:$BN$153)-1)/(--(SEARCH(AU$2,Tiere!$BN$2:$BN$153)&gt;0)),ROW()-2),1))))))))),"")</f>
        <v xml:space="preserve">MS + JS ab 32 kg LG bis Mastende/Belegung - stark-N-reduzierte-Fütterung - Gülle </v>
      </c>
      <c r="AU57" s="1601"/>
      <c r="AV57" s="1624" t="str">
        <f>IFERROR(IF($A$11=$BO$1,$BO56,IF($A$11=$BP$1,$BP56,IF($A$11=$BQ$1,$BQ56,IF($A$11=$BR$1,$BR56,IF($A$11=$BS$1,$BS56,IF($A$11=$BT$1,$BT56,IF($A$11=$BU$1,$BU56,IF($A$11="",INDEX(Tiere!$BN$2:$BN$153,_xlfn.AGGREGATE(15,6,(ROW(Tiere!$BN$2:$BN$153)-1)/(--(SEARCH(AW$2,Tiere!$BN$2:$BN$153)&gt;0)),ROW()-2),1))))))))),"")</f>
        <v xml:space="preserve">MS + JS ab 32 kg LG bis Mastende/Belegung - stark-N-reduzierte-Fütterung - Gülle </v>
      </c>
      <c r="AW57" s="1601"/>
      <c r="AX57" s="1624" t="str">
        <f>IFERROR(IF($A$12=$BO$1,$BO56,IF($A$12=$BP$1,$BP56,IF($A$12=$BQ$1,$BQ56,IF($A$12=$BR$1,$BR56,IF($A$12=$BS$1,$BS56,IF($A$12=$BT$1,$BT56,IF($A$12=$BU$1,$BU56,IF($A$12="",INDEX(Tiere!$BN$2:$BN$153,_xlfn.AGGREGATE(15,6,(ROW(Tiere!$BN$2:$BN$153)-1)/(--(SEARCH(AY$2,Tiere!$BN$2:$BN$153)&gt;0)),ROW()-2),1))))))))),"")</f>
        <v xml:space="preserve">MS + JS ab 32 kg LG bis Mastende/Belegung - stark-N-reduzierte-Fütterung - Gülle </v>
      </c>
      <c r="AY57" s="1601"/>
      <c r="AZ57" s="1624" t="str">
        <f>IFERROR(IF($A$13=$BO$1,$BO56,IF($A$13=$BP$1,$BP56,IF($A$13=$BQ$1,$BQ56,IF($A$13=$BR$1,$BR56,IF($A$13=$BS$1,$BS56,IF($A$13=$BT$1,$BT56,IF($A$13=$BU$1,$BU56,IF($A$13="",INDEX(Tiere!$BN$2:$BN$153,_xlfn.AGGREGATE(15,6,(ROW(Tiere!$BN$2:$BN$153)-1)/(--(SEARCH(BA$2,Tiere!$BN$2:$BN$153)&gt;0)),ROW()-2),1))))))))),"")</f>
        <v xml:space="preserve">MS + JS ab 32 kg LG bis Mastende/Belegung - stark-N-reduzierte-Fütterung - Gülle </v>
      </c>
      <c r="BA57" s="1601"/>
      <c r="BB57" s="1624" t="str">
        <f>IFERROR(IF($A$14=$BO$1,$BO56,IF($A$14=$BP$1,$BP56,IF($A$14=$BQ$1,$BQ56,IF($A$14=$BR$1,$BR56,IF($A$14=$BS$1,$BS56,IF($A$14=$BT$1,$BT56,IF($A$14=$BU$1,$BU56,IF($A$14="",INDEX(Tiere!$BN$2:$BN$153,_xlfn.AGGREGATE(15,6,(ROW(Tiere!$BN$2:$BN$153)-1)/(--(SEARCH(BC$2,Tiere!$BN$2:$BN$153)&gt;0)),ROW()-2),1))))))))),"")</f>
        <v xml:space="preserve">MS + JS ab 32 kg LG bis Mastende/Belegung - stark-N-reduzierte-Fütterung - Gülle </v>
      </c>
      <c r="BC57" s="1601"/>
      <c r="BD57" s="1624" t="str">
        <f>IFERROR(IF($A$15=$BO$1,$BO56,IF($A$15=$BP$1,$BP56,IF($A$15=$BQ$1,$BQ56,IF($A$15=$BR$1,$BR56,IF($A$15=$BS$1,$BS56,IF($A$15=$BT$1,$BT56,IF($A$15=$BU$1,$BU56,IF($A$15="",INDEX(Tiere!$BN$2:$BN$153,_xlfn.AGGREGATE(15,6,(ROW(Tiere!$BN$2:$BN$153)-1)/(--(SEARCH(BE$2,Tiere!$BN$2:$BN$153)&gt;0)),ROW()-2),1))))))))),"")</f>
        <v xml:space="preserve">MS + JS ab 32 kg LG bis Mastende/Belegung - stark-N-reduzierte-Fütterung - Gülle </v>
      </c>
      <c r="BE57" s="1601"/>
      <c r="BF57" s="1624" t="str">
        <f>IFERROR(IF($A$16=$BO$1,$BO56,IF($A$16=$BP$1,$BP56,IF($A$16=$BQ$1,$BQ56,IF($A$16=$BR$1,$BR56,IF($A$16=$BS$1,$BS56,IF($A$16=$BT$1,$BT56,IF($A$16=$BU$1,$BU56,IF($A$16="",INDEX(Tiere!$BN$2:$BN$153,_xlfn.AGGREGATE(15,6,(ROW(Tiere!$BN$2:$BN$153)-1)/(--(SEARCH(BG$2,Tiere!$BN$2:$BN$153)&gt;0)),ROW()-2),1))))))))),"")</f>
        <v xml:space="preserve">MS + JS ab 32 kg LG bis Mastende/Belegung - stark-N-reduzierte-Fütterung - Gülle </v>
      </c>
      <c r="BG57" s="1601"/>
      <c r="BH57" s="1624" t="str">
        <f>IFERROR(IF($A$17=$BO$1,$BO56,IF($A$17=$BP$1,$BP56,IF($A$17=$BQ$1,$BQ56,IF($A$17=$BR$1,$BR56,IF($A$17=$BS$1,$BS56,IF($A$17=$BT$1,$BT56,IF($A$17=$BU$1,$BU56,IF($A$17="",INDEX(Tiere!$BN$2:$BN$153,_xlfn.AGGREGATE(15,6,(ROW(Tiere!$BN$2:$BN$153)-1)/(--(SEARCH(BI$2,Tiere!$BN$2:$BN$153)&gt;0)),ROW()-2),1))))))))),"")</f>
        <v xml:space="preserve">MS + JS ab 32 kg LG bis Mastende/Belegung - stark-N-reduzierte-Fütterung - Gülle </v>
      </c>
      <c r="BI57" s="1601"/>
      <c r="BJ57" s="1624" t="str">
        <f>IFERROR(IF($A$18=$BO$1,$BO56,IF($A$18=$BP$1,$BP56,IF($A$18=$BQ$1,$BQ56,IF($A$18=$BR$1,$BR56,IF($A$18=$BS$1,$BS56,IF($A$18=$BT$1,$BT56,IF($A$18=$BU$1,$BU56,IF($A$18="",INDEX(Tiere!$BN$2:$BN$153,_xlfn.AGGREGATE(15,6,(ROW(Tiere!$BN$2:$BN$153)-1)/(--(SEARCH(BK$2,Tiere!$BN$2:$BN$153)&gt;0)),ROW()-2),1))))))))),"")</f>
        <v xml:space="preserve">MS + JS ab 32 kg LG bis Mastende/Belegung - stark-N-reduzierte-Fütterung - Gülle </v>
      </c>
      <c r="BK57" s="1601"/>
      <c r="BL57" s="1624" t="str">
        <f>IFERROR(IF($A$19=$BO$1,$BO56,IF($A$19=$BP$1,$BP56,IF($A$19=$BQ$1,$BQ56,IF($A$19=$BR$1,$BR56,IF($A$19=$BS$1,$BS56,IF($A$19=$BT$1,$BT56,IF($A$19=$BU$1,$BU56,IF($A$19="",INDEX(Tiere!$BN$2:$BN$153,_xlfn.AGGREGATE(15,6,(ROW(Tiere!$BN$2:$BN$153)-1)/(--(SEARCH(BM$2,Tiere!$BN$2:$BN$153)&gt;0)),ROW()-2),1))))))))),"")</f>
        <v xml:space="preserve">MS + JS ab 32 kg LG bis Mastende/Belegung - stark-N-reduzierte-Fütterung - Gülle </v>
      </c>
      <c r="BM57" s="1601"/>
      <c r="BN57" s="1630" t="s">
        <v>717</v>
      </c>
      <c r="BO57" s="1599"/>
      <c r="BP57" s="1599"/>
      <c r="BQ57" s="1599"/>
      <c r="BR57" s="1599"/>
      <c r="BS57" s="1599"/>
      <c r="BT57" s="1599"/>
      <c r="BU57" s="1623"/>
      <c r="CD57" s="1911" t="s">
        <v>717</v>
      </c>
    </row>
    <row r="58" spans="36:82" ht="13.5" thickBot="1">
      <c r="AJ58" s="1624" t="str">
        <f>IFERROR(IF($A$5=$BO$1,$BO57,IF($A$5=$BP$1,$BP57,IF($A$5=$BQ$1,$BQ57,IF($A$5=$BR$1,$BR57,IF($A$5=$BS$1,$BS57,IF($A$5=$BT$1,$BT57,IF($A$5=$BU$1,$BU57,IF($A$5="",INDEX(Tiere!$BN$2:$BN$153,_xlfn.AGGREGATE(15,6,(ROW(Tiere!$BN$2:$BN$153)-1)/(--(SEARCH(AK$2,Tiere!$BN$2:$BN$153)&gt;0)),ROW()-2),1))))))))),"")</f>
        <v xml:space="preserve">MS + JS ab 32 kg LG bis Mastende/Belegung - stark-N-reduzierte-Fütterung - Mist/Jauche </v>
      </c>
      <c r="AK58" s="1599"/>
      <c r="AL58" s="1624" t="str">
        <f>IFERROR(IF($A$6=$BO$1,$BO57,IF($A$6=$BP$1,$BP57,IF($A$6=$BQ$1,$BQ57,IF($A$6=$BR$1,$BR57,IF($A$6=$BS$1,$BS57,IF($A$6=$BT$1,$BT57,IF($A$6=$BU$1,$BU57,IF($A$6="",INDEX(Tiere!$BN$2:$BN$153,_xlfn.AGGREGATE(15,6,(ROW(Tiere!$BN$2:$BN$153)-1)/(--(SEARCH(AM$2,Tiere!$BN$2:$BN$153)&gt;0)),ROW()-2),1))))))))),"")</f>
        <v xml:space="preserve">MS + JS ab 32 kg LG bis Mastende/Belegung - stark-N-reduzierte-Fütterung - Mist/Jauche </v>
      </c>
      <c r="AM58" s="1599"/>
      <c r="AN58" s="1624" t="str">
        <f>IFERROR(IF($A$7=$BO$1,$BO57,IF($A$7=$BP$1,$BP57,IF($A$7=$BQ$1,$BQ57,IF($A$7=$BR$1,$BR57,IF($A$7=$BS$1,$BS57,IF($A$7=$BT$1,$BT57,IF($A$7=$BU$1,$BU57,IF($A$7="",INDEX(Tiere!$BN$2:$BN$153,_xlfn.AGGREGATE(15,6,(ROW(Tiere!$BN$2:$BN$153)-1)/(--(SEARCH(AM$2,Tiere!$BN$2:$BN$153)&gt;0)),ROW()-2),1))))))))),"")</f>
        <v xml:space="preserve">MS + JS ab 32 kg LG bis Mastende/Belegung - stark-N-reduzierte-Fütterung - Mist/Jauche </v>
      </c>
      <c r="AO58" s="1599"/>
      <c r="AP58" s="1624" t="str">
        <f>IFERROR(IF($A$8=$BO$1,$BO57,IF($A$8=$BP$1,$BP57,IF($A$8=$BQ$1,$BQ57,IF($A$8=$BR$1,$BR57,IF($A$8=$BS$1,$BS57,IF($A$8=$BT$1,$BT57,IF($A$8=$BU$1,$BU57,IF($A$8="",INDEX(Tiere!$BN$2:$BN$153,_xlfn.AGGREGATE(15,6,(ROW(Tiere!$BN$2:$BN$153)-1)/(--(SEARCH(AQ$2,Tiere!$BN$2:$BN$153)&gt;0)),ROW()-2),1))))))))),"")</f>
        <v xml:space="preserve">MS + JS ab 32 kg LG bis Mastende/Belegung - stark-N-reduzierte-Fütterung - Mist/Jauche </v>
      </c>
      <c r="AQ58" s="1599"/>
      <c r="AR58" s="1624" t="str">
        <f>IFERROR(IF($A$9=$BO$1,$BO57,IF($A$9=$BP$1,$BP57,IF($A$9=$BQ$1,$BQ57,IF($A$9=$BR$1,$BR57,IF($A$9=$BS$1,$BS57,IF($A$9=$BT$1,$BT57,IF($A$9=$BU$1,$BU57,IF($A$9="",INDEX(Tiere!$BN$2:$BN$153,_xlfn.AGGREGATE(15,6,(ROW(Tiere!$BN$2:$BN$153)-1)/(--(SEARCH(AS$2,Tiere!$BN$2:$BN$153)&gt;0)),ROW()-2),1))))))))),"")</f>
        <v xml:space="preserve">MS + JS ab 32 kg LG bis Mastende/Belegung - stark-N-reduzierte-Fütterung - Mist/Jauche </v>
      </c>
      <c r="AS58" s="1599"/>
      <c r="AT58" s="1624" t="str">
        <f>IFERROR(IF($A$10=$BO$1,$BO57,IF($A$10=$BP$1,$BP57,IF($A$10=$BQ$1,$BQ57,IF($A$10=$BR$1,$BR57,IF($A$10=$BS$1,$BS57,IF($A$10=$BT$1,$BT57,IF($A$10=$BU$1,$BU57,IF($A$10="",INDEX(Tiere!$BN$2:$BN$153,_xlfn.AGGREGATE(15,6,(ROW(Tiere!$BN$2:$BN$153)-1)/(--(SEARCH(AU$2,Tiere!$BN$2:$BN$153)&gt;0)),ROW()-2),1))))))))),"")</f>
        <v xml:space="preserve">MS + JS ab 32 kg LG bis Mastende/Belegung - stark-N-reduzierte-Fütterung - Mist/Jauche </v>
      </c>
      <c r="AU58" s="1599"/>
      <c r="AV58" s="1624" t="str">
        <f>IFERROR(IF($A$11=$BO$1,$BO57,IF($A$11=$BP$1,$BP57,IF($A$11=$BQ$1,$BQ57,IF($A$11=$BR$1,$BR57,IF($A$11=$BS$1,$BS57,IF($A$11=$BT$1,$BT57,IF($A$11=$BU$1,$BU57,IF($A$11="",INDEX(Tiere!$BN$2:$BN$153,_xlfn.AGGREGATE(15,6,(ROW(Tiere!$BN$2:$BN$153)-1)/(--(SEARCH(AW$2,Tiere!$BN$2:$BN$153)&gt;0)),ROW()-2),1))))))))),"")</f>
        <v xml:space="preserve">MS + JS ab 32 kg LG bis Mastende/Belegung - stark-N-reduzierte-Fütterung - Mist/Jauche </v>
      </c>
      <c r="AW58" s="1599"/>
      <c r="AX58" s="1624" t="str">
        <f>IFERROR(IF($A$12=$BO$1,$BO57,IF($A$12=$BP$1,$BP57,IF($A$12=$BQ$1,$BQ57,IF($A$12=$BR$1,$BR57,IF($A$12=$BS$1,$BS57,IF($A$12=$BT$1,$BT57,IF($A$12=$BU$1,$BU57,IF($A$12="",INDEX(Tiere!$BN$2:$BN$153,_xlfn.AGGREGATE(15,6,(ROW(Tiere!$BN$2:$BN$153)-1)/(--(SEARCH(AY$2,Tiere!$BN$2:$BN$153)&gt;0)),ROW()-2),1))))))))),"")</f>
        <v xml:space="preserve">MS + JS ab 32 kg LG bis Mastende/Belegung - stark-N-reduzierte-Fütterung - Mist/Jauche </v>
      </c>
      <c r="AY58" s="1599"/>
      <c r="AZ58" s="1624" t="str">
        <f>IFERROR(IF($A$13=$BO$1,$BO57,IF($A$13=$BP$1,$BP57,IF($A$13=$BQ$1,$BQ57,IF($A$13=$BR$1,$BR57,IF($A$13=$BS$1,$BS57,IF($A$13=$BT$1,$BT57,IF($A$13=$BU$1,$BU57,IF($A$13="",INDEX(Tiere!$BN$2:$BN$153,_xlfn.AGGREGATE(15,6,(ROW(Tiere!$BN$2:$BN$153)-1)/(--(SEARCH(BA$2,Tiere!$BN$2:$BN$153)&gt;0)),ROW()-2),1))))))))),"")</f>
        <v xml:space="preserve">MS + JS ab 32 kg LG bis Mastende/Belegung - stark-N-reduzierte-Fütterung - Mist/Jauche </v>
      </c>
      <c r="BA58" s="1599"/>
      <c r="BB58" s="1624" t="str">
        <f>IFERROR(IF($A$14=$BO$1,$BO57,IF($A$14=$BP$1,$BP57,IF($A$14=$BQ$1,$BQ57,IF($A$14=$BR$1,$BR57,IF($A$14=$BS$1,$BS57,IF($A$14=$BT$1,$BT57,IF($A$14=$BU$1,$BU57,IF($A$14="",INDEX(Tiere!$BN$2:$BN$153,_xlfn.AGGREGATE(15,6,(ROW(Tiere!$BN$2:$BN$153)-1)/(--(SEARCH(BC$2,Tiere!$BN$2:$BN$153)&gt;0)),ROW()-2),1))))))))),"")</f>
        <v xml:space="preserve">MS + JS ab 32 kg LG bis Mastende/Belegung - stark-N-reduzierte-Fütterung - Mist/Jauche </v>
      </c>
      <c r="BC58" s="1599"/>
      <c r="BD58" s="1624" t="str">
        <f>IFERROR(IF($A$15=$BO$1,$BO57,IF($A$15=$BP$1,$BP57,IF($A$15=$BQ$1,$BQ57,IF($A$15=$BR$1,$BR57,IF($A$15=$BS$1,$BS57,IF($A$15=$BT$1,$BT57,IF($A$15=$BU$1,$BU57,IF($A$15="",INDEX(Tiere!$BN$2:$BN$153,_xlfn.AGGREGATE(15,6,(ROW(Tiere!$BN$2:$BN$153)-1)/(--(SEARCH(BE$2,Tiere!$BN$2:$BN$153)&gt;0)),ROW()-2),1))))))))),"")</f>
        <v xml:space="preserve">MS + JS ab 32 kg LG bis Mastende/Belegung - stark-N-reduzierte-Fütterung - Mist/Jauche </v>
      </c>
      <c r="BE58" s="1599"/>
      <c r="BF58" s="1624" t="str">
        <f>IFERROR(IF($A$16=$BO$1,$BO57,IF($A$16=$BP$1,$BP57,IF($A$16=$BQ$1,$BQ57,IF($A$16=$BR$1,$BR57,IF($A$16=$BS$1,$BS57,IF($A$16=$BT$1,$BT57,IF($A$16=$BU$1,$BU57,IF($A$16="",INDEX(Tiere!$BN$2:$BN$153,_xlfn.AGGREGATE(15,6,(ROW(Tiere!$BN$2:$BN$153)-1)/(--(SEARCH(BG$2,Tiere!$BN$2:$BN$153)&gt;0)),ROW()-2),1))))))))),"")</f>
        <v xml:space="preserve">MS + JS ab 32 kg LG bis Mastende/Belegung - stark-N-reduzierte-Fütterung - Mist/Jauche </v>
      </c>
      <c r="BG58" s="1599"/>
      <c r="BH58" s="1624" t="str">
        <f>IFERROR(IF($A$17=$BO$1,$BO57,IF($A$17=$BP$1,$BP57,IF($A$17=$BQ$1,$BQ57,IF($A$17=$BR$1,$BR57,IF($A$17=$BS$1,$BS57,IF($A$17=$BT$1,$BT57,IF($A$17=$BU$1,$BU57,IF($A$17="",INDEX(Tiere!$BN$2:$BN$153,_xlfn.AGGREGATE(15,6,(ROW(Tiere!$BN$2:$BN$153)-1)/(--(SEARCH(BI$2,Tiere!$BN$2:$BN$153)&gt;0)),ROW()-2),1))))))))),"")</f>
        <v xml:space="preserve">MS + JS ab 32 kg LG bis Mastende/Belegung - stark-N-reduzierte-Fütterung - Mist/Jauche </v>
      </c>
      <c r="BI58" s="1599"/>
      <c r="BJ58" s="1624" t="str">
        <f>IFERROR(IF($A$18=$BO$1,$BO57,IF($A$18=$BP$1,$BP57,IF($A$18=$BQ$1,$BQ57,IF($A$18=$BR$1,$BR57,IF($A$18=$BS$1,$BS57,IF($A$18=$BT$1,$BT57,IF($A$18=$BU$1,$BU57,IF($A$18="",INDEX(Tiere!$BN$2:$BN$153,_xlfn.AGGREGATE(15,6,(ROW(Tiere!$BN$2:$BN$153)-1)/(--(SEARCH(BK$2,Tiere!$BN$2:$BN$153)&gt;0)),ROW()-2),1))))))))),"")</f>
        <v xml:space="preserve">MS + JS ab 32 kg LG bis Mastende/Belegung - stark-N-reduzierte-Fütterung - Mist/Jauche </v>
      </c>
      <c r="BK58" s="1599"/>
      <c r="BL58" s="1624" t="str">
        <f>IFERROR(IF($A$19=$BO$1,$BO57,IF($A$19=$BP$1,$BP57,IF($A$19=$BQ$1,$BQ57,IF($A$19=$BR$1,$BR57,IF($A$19=$BS$1,$BS57,IF($A$19=$BT$1,$BT57,IF($A$19=$BU$1,$BU57,IF($A$19="",INDEX(Tiere!$BN$2:$BN$153,_xlfn.AGGREGATE(15,6,(ROW(Tiere!$BN$2:$BN$153)-1)/(--(SEARCH(BM$2,Tiere!$BN$2:$BN$153)&gt;0)),ROW()-2),1))))))))),"")</f>
        <v xml:space="preserve">MS + JS ab 32 kg LG bis Mastende/Belegung - stark-N-reduzierte-Fütterung - Mist/Jauche </v>
      </c>
      <c r="BM58" s="1599"/>
      <c r="BN58" s="1630" t="s">
        <v>719</v>
      </c>
      <c r="BO58" s="1599"/>
      <c r="BP58" s="1599"/>
      <c r="BQ58" s="1599"/>
      <c r="BR58" s="1599"/>
      <c r="BS58" s="1599"/>
      <c r="BT58" s="1599"/>
      <c r="BU58" s="1599"/>
      <c r="CD58" s="1911" t="s">
        <v>719</v>
      </c>
    </row>
    <row r="59" spans="36:82" ht="14.25" thickTop="1" thickBot="1">
      <c r="AJ59" s="1624" t="str">
        <f>IFERROR(IF($A$5=$BO$1,$BO58,IF($A$5=$BP$1,$BP58,IF($A$5=$BQ$1,$BQ58,IF($A$5=$BR$1,$BR58,IF($A$5=$BS$1,$BS58,IF($A$5=$BT$1,$BT58,IF($A$5=$BU$1,$BU58,IF($A$5="",INDEX(Tiere!$BN$2:$BN$153,_xlfn.AGGREGATE(15,6,(ROW(Tiere!$BN$2:$BN$153)-1)/(--(SEARCH(AK$2,Tiere!$BN$2:$BN$153)&gt;0)),ROW()-2),1))))))))),"")</f>
        <v xml:space="preserve">MS + JS ab 32 kg LG bis Mastende/Belegung - stark-N-reduzierte-Fütterung - Tiefstallmist </v>
      </c>
      <c r="AK59" s="1601"/>
      <c r="AL59" s="1624" t="str">
        <f>IFERROR(IF($A$6=$BO$1,$BO58,IF($A$6=$BP$1,$BP58,IF($A$6=$BQ$1,$BQ58,IF($A$6=$BR$1,$BR58,IF($A$6=$BS$1,$BS58,IF($A$6=$BT$1,$BT58,IF($A$6=$BU$1,$BU58,IF($A$6="",INDEX(Tiere!$BN$2:$BN$153,_xlfn.AGGREGATE(15,6,(ROW(Tiere!$BN$2:$BN$153)-1)/(--(SEARCH(AM$2,Tiere!$BN$2:$BN$153)&gt;0)),ROW()-2),1))))))))),"")</f>
        <v xml:space="preserve">MS + JS ab 32 kg LG bis Mastende/Belegung - stark-N-reduzierte-Fütterung - Tiefstallmist </v>
      </c>
      <c r="AM59" s="1601"/>
      <c r="AN59" s="1624" t="str">
        <f>IFERROR(IF($A$7=$BO$1,$BO58,IF($A$7=$BP$1,$BP58,IF($A$7=$BQ$1,$BQ58,IF($A$7=$BR$1,$BR58,IF($A$7=$BS$1,$BS58,IF($A$7=$BT$1,$BT58,IF($A$7=$BU$1,$BU58,IF($A$7="",INDEX(Tiere!$BN$2:$BN$153,_xlfn.AGGREGATE(15,6,(ROW(Tiere!$BN$2:$BN$153)-1)/(--(SEARCH(AM$2,Tiere!$BN$2:$BN$153)&gt;0)),ROW()-2),1))))))))),"")</f>
        <v xml:space="preserve">MS + JS ab 32 kg LG bis Mastende/Belegung - stark-N-reduzierte-Fütterung - Tiefstallmist </v>
      </c>
      <c r="AO59" s="1601"/>
      <c r="AP59" s="1624" t="str">
        <f>IFERROR(IF($A$8=$BO$1,$BO58,IF($A$8=$BP$1,$BP58,IF($A$8=$BQ$1,$BQ58,IF($A$8=$BR$1,$BR58,IF($A$8=$BS$1,$BS58,IF($A$8=$BT$1,$BT58,IF($A$8=$BU$1,$BU58,IF($A$8="",INDEX(Tiere!$BN$2:$BN$153,_xlfn.AGGREGATE(15,6,(ROW(Tiere!$BN$2:$BN$153)-1)/(--(SEARCH(AQ$2,Tiere!$BN$2:$BN$153)&gt;0)),ROW()-2),1))))))))),"")</f>
        <v xml:space="preserve">MS + JS ab 32 kg LG bis Mastende/Belegung - stark-N-reduzierte-Fütterung - Tiefstallmist </v>
      </c>
      <c r="AQ59" s="1601"/>
      <c r="AR59" s="1624" t="str">
        <f>IFERROR(IF($A$9=$BO$1,$BO58,IF($A$9=$BP$1,$BP58,IF($A$9=$BQ$1,$BQ58,IF($A$9=$BR$1,$BR58,IF($A$9=$BS$1,$BS58,IF($A$9=$BT$1,$BT58,IF($A$9=$BU$1,$BU58,IF($A$9="",INDEX(Tiere!$BN$2:$BN$153,_xlfn.AGGREGATE(15,6,(ROW(Tiere!$BN$2:$BN$153)-1)/(--(SEARCH(AS$2,Tiere!$BN$2:$BN$153)&gt;0)),ROW()-2),1))))))))),"")</f>
        <v xml:space="preserve">MS + JS ab 32 kg LG bis Mastende/Belegung - stark-N-reduzierte-Fütterung - Tiefstallmist </v>
      </c>
      <c r="AS59" s="1601"/>
      <c r="AT59" s="1624" t="str">
        <f>IFERROR(IF($A$10=$BO$1,$BO58,IF($A$10=$BP$1,$BP58,IF($A$10=$BQ$1,$BQ58,IF($A$10=$BR$1,$BR58,IF($A$10=$BS$1,$BS58,IF($A$10=$BT$1,$BT58,IF($A$10=$BU$1,$BU58,IF($A$10="",INDEX(Tiere!$BN$2:$BN$153,_xlfn.AGGREGATE(15,6,(ROW(Tiere!$BN$2:$BN$153)-1)/(--(SEARCH(AU$2,Tiere!$BN$2:$BN$153)&gt;0)),ROW()-2),1))))))))),"")</f>
        <v xml:space="preserve">MS + JS ab 32 kg LG bis Mastende/Belegung - stark-N-reduzierte-Fütterung - Tiefstallmist </v>
      </c>
      <c r="AU59" s="1601"/>
      <c r="AV59" s="1624" t="str">
        <f>IFERROR(IF($A$11=$BO$1,$BO58,IF($A$11=$BP$1,$BP58,IF($A$11=$BQ$1,$BQ58,IF($A$11=$BR$1,$BR58,IF($A$11=$BS$1,$BS58,IF($A$11=$BT$1,$BT58,IF($A$11=$BU$1,$BU58,IF($A$11="",INDEX(Tiere!$BN$2:$BN$153,_xlfn.AGGREGATE(15,6,(ROW(Tiere!$BN$2:$BN$153)-1)/(--(SEARCH(AW$2,Tiere!$BN$2:$BN$153)&gt;0)),ROW()-2),1))))))))),"")</f>
        <v xml:space="preserve">MS + JS ab 32 kg LG bis Mastende/Belegung - stark-N-reduzierte-Fütterung - Tiefstallmist </v>
      </c>
      <c r="AW59" s="1601"/>
      <c r="AX59" s="1624" t="str">
        <f>IFERROR(IF($A$12=$BO$1,$BO58,IF($A$12=$BP$1,$BP58,IF($A$12=$BQ$1,$BQ58,IF($A$12=$BR$1,$BR58,IF($A$12=$BS$1,$BS58,IF($A$12=$BT$1,$BT58,IF($A$12=$BU$1,$BU58,IF($A$12="",INDEX(Tiere!$BN$2:$BN$153,_xlfn.AGGREGATE(15,6,(ROW(Tiere!$BN$2:$BN$153)-1)/(--(SEARCH(AY$2,Tiere!$BN$2:$BN$153)&gt;0)),ROW()-2),1))))))))),"")</f>
        <v xml:space="preserve">MS + JS ab 32 kg LG bis Mastende/Belegung - stark-N-reduzierte-Fütterung - Tiefstallmist </v>
      </c>
      <c r="AY59" s="1601"/>
      <c r="AZ59" s="1624" t="str">
        <f>IFERROR(IF($A$13=$BO$1,$BO58,IF($A$13=$BP$1,$BP58,IF($A$13=$BQ$1,$BQ58,IF($A$13=$BR$1,$BR58,IF($A$13=$BS$1,$BS58,IF($A$13=$BT$1,$BT58,IF($A$13=$BU$1,$BU58,IF($A$13="",INDEX(Tiere!$BN$2:$BN$153,_xlfn.AGGREGATE(15,6,(ROW(Tiere!$BN$2:$BN$153)-1)/(--(SEARCH(BA$2,Tiere!$BN$2:$BN$153)&gt;0)),ROW()-2),1))))))))),"")</f>
        <v xml:space="preserve">MS + JS ab 32 kg LG bis Mastende/Belegung - stark-N-reduzierte-Fütterung - Tiefstallmist </v>
      </c>
      <c r="BA59" s="1601"/>
      <c r="BB59" s="1624" t="str">
        <f>IFERROR(IF($A$14=$BO$1,$BO58,IF($A$14=$BP$1,$BP58,IF($A$14=$BQ$1,$BQ58,IF($A$14=$BR$1,$BR58,IF($A$14=$BS$1,$BS58,IF($A$14=$BT$1,$BT58,IF($A$14=$BU$1,$BU58,IF($A$14="",INDEX(Tiere!$BN$2:$BN$153,_xlfn.AGGREGATE(15,6,(ROW(Tiere!$BN$2:$BN$153)-1)/(--(SEARCH(BC$2,Tiere!$BN$2:$BN$153)&gt;0)),ROW()-2),1))))))))),"")</f>
        <v xml:space="preserve">MS + JS ab 32 kg LG bis Mastende/Belegung - stark-N-reduzierte-Fütterung - Tiefstallmist </v>
      </c>
      <c r="BC59" s="1601"/>
      <c r="BD59" s="1624" t="str">
        <f>IFERROR(IF($A$15=$BO$1,$BO58,IF($A$15=$BP$1,$BP58,IF($A$15=$BQ$1,$BQ58,IF($A$15=$BR$1,$BR58,IF($A$15=$BS$1,$BS58,IF($A$15=$BT$1,$BT58,IF($A$15=$BU$1,$BU58,IF($A$15="",INDEX(Tiere!$BN$2:$BN$153,_xlfn.AGGREGATE(15,6,(ROW(Tiere!$BN$2:$BN$153)-1)/(--(SEARCH(BE$2,Tiere!$BN$2:$BN$153)&gt;0)),ROW()-2),1))))))))),"")</f>
        <v xml:space="preserve">MS + JS ab 32 kg LG bis Mastende/Belegung - stark-N-reduzierte-Fütterung - Tiefstallmist </v>
      </c>
      <c r="BE59" s="1601"/>
      <c r="BF59" s="1624" t="str">
        <f>IFERROR(IF($A$16=$BO$1,$BO58,IF($A$16=$BP$1,$BP58,IF($A$16=$BQ$1,$BQ58,IF($A$16=$BR$1,$BR58,IF($A$16=$BS$1,$BS58,IF($A$16=$BT$1,$BT58,IF($A$16=$BU$1,$BU58,IF($A$16="",INDEX(Tiere!$BN$2:$BN$153,_xlfn.AGGREGATE(15,6,(ROW(Tiere!$BN$2:$BN$153)-1)/(--(SEARCH(BG$2,Tiere!$BN$2:$BN$153)&gt;0)),ROW()-2),1))))))))),"")</f>
        <v xml:space="preserve">MS + JS ab 32 kg LG bis Mastende/Belegung - stark-N-reduzierte-Fütterung - Tiefstallmist </v>
      </c>
      <c r="BG59" s="1601"/>
      <c r="BH59" s="1624" t="str">
        <f>IFERROR(IF($A$17=$BO$1,$BO58,IF($A$17=$BP$1,$BP58,IF($A$17=$BQ$1,$BQ58,IF($A$17=$BR$1,$BR58,IF($A$17=$BS$1,$BS58,IF($A$17=$BT$1,$BT58,IF($A$17=$BU$1,$BU58,IF($A$17="",INDEX(Tiere!$BN$2:$BN$153,_xlfn.AGGREGATE(15,6,(ROW(Tiere!$BN$2:$BN$153)-1)/(--(SEARCH(BI$2,Tiere!$BN$2:$BN$153)&gt;0)),ROW()-2),1))))))))),"")</f>
        <v xml:space="preserve">MS + JS ab 32 kg LG bis Mastende/Belegung - stark-N-reduzierte-Fütterung - Tiefstallmist </v>
      </c>
      <c r="BI59" s="1601"/>
      <c r="BJ59" s="1624" t="str">
        <f>IFERROR(IF($A$18=$BO$1,$BO58,IF($A$18=$BP$1,$BP58,IF($A$18=$BQ$1,$BQ58,IF($A$18=$BR$1,$BR58,IF($A$18=$BS$1,$BS58,IF($A$18=$BT$1,$BT58,IF($A$18=$BU$1,$BU58,IF($A$18="",INDEX(Tiere!$BN$2:$BN$153,_xlfn.AGGREGATE(15,6,(ROW(Tiere!$BN$2:$BN$153)-1)/(--(SEARCH(BK$2,Tiere!$BN$2:$BN$153)&gt;0)),ROW()-2),1))))))))),"")</f>
        <v xml:space="preserve">MS + JS ab 32 kg LG bis Mastende/Belegung - stark-N-reduzierte-Fütterung - Tiefstallmist </v>
      </c>
      <c r="BK59" s="1601"/>
      <c r="BL59" s="1624" t="str">
        <f>IFERROR(IF($A$19=$BO$1,$BO58,IF($A$19=$BP$1,$BP58,IF($A$19=$BQ$1,$BQ58,IF($A$19=$BR$1,$BR58,IF($A$19=$BS$1,$BS58,IF($A$19=$BT$1,$BT58,IF($A$19=$BU$1,$BU58,IF($A$19="",INDEX(Tiere!$BN$2:$BN$153,_xlfn.AGGREGATE(15,6,(ROW(Tiere!$BN$2:$BN$153)-1)/(--(SEARCH(BM$2,Tiere!$BN$2:$BN$153)&gt;0)),ROW()-2),1))))))))),"")</f>
        <v xml:space="preserve">MS + JS ab 32 kg LG bis Mastende/Belegung - stark-N-reduzierte-Fütterung - Tiefstallmist </v>
      </c>
      <c r="BM59" s="1601"/>
      <c r="BN59" s="1630" t="s">
        <v>720</v>
      </c>
      <c r="BO59" s="1599"/>
      <c r="BP59" s="1599"/>
      <c r="BQ59" s="1599"/>
      <c r="BR59" s="1599"/>
      <c r="BS59" s="1599"/>
      <c r="BT59" s="1599"/>
      <c r="BU59" s="1623"/>
      <c r="CD59" s="1911" t="s">
        <v>720</v>
      </c>
    </row>
    <row r="60" spans="36:82" ht="13.5" thickBot="1">
      <c r="AJ60" s="1624" t="str">
        <f>IFERROR(IF($A$5=$BO$1,$BO59,IF($A$5=$BP$1,$BP59,IF($A$5=$BQ$1,$BQ59,IF($A$5=$BR$1,$BR59,IF($A$5=$BS$1,$BS59,IF($A$5=$BT$1,$BT59,IF($A$5=$BU$1,$BU59,IF($A$5="",INDEX(Tiere!$BN$2:$BN$153,_xlfn.AGGREGATE(15,6,(ROW(Tiere!$BN$2:$BN$153)-1)/(--(SEARCH(AK$2,Tiere!$BN$2:$BN$153)&gt;0)),ROW()-2),1))))))))),"")</f>
        <v>Zuchtschweine - Standard-Fütterung - Gülle</v>
      </c>
      <c r="AK60" s="1599"/>
      <c r="AL60" s="1624" t="str">
        <f>IFERROR(IF($A$6=$BO$1,$BO59,IF($A$6=$BP$1,$BP59,IF($A$6=$BQ$1,$BQ59,IF($A$6=$BR$1,$BR59,IF($A$6=$BS$1,$BS59,IF($A$6=$BT$1,$BT59,IF($A$6=$BU$1,$BU59,IF($A$6="",INDEX(Tiere!$BN$2:$BN$153,_xlfn.AGGREGATE(15,6,(ROW(Tiere!$BN$2:$BN$153)-1)/(--(SEARCH(AM$2,Tiere!$BN$2:$BN$153)&gt;0)),ROW()-2),1))))))))),"")</f>
        <v>Zuchtschweine - Standard-Fütterung - Gülle</v>
      </c>
      <c r="AM60" s="1599"/>
      <c r="AN60" s="1624" t="str">
        <f>IFERROR(IF($A$7=$BO$1,$BO59,IF($A$7=$BP$1,$BP59,IF($A$7=$BQ$1,$BQ59,IF($A$7=$BR$1,$BR59,IF($A$7=$BS$1,$BS59,IF($A$7=$BT$1,$BT59,IF($A$7=$BU$1,$BU59,IF($A$7="",INDEX(Tiere!$BN$2:$BN$153,_xlfn.AGGREGATE(15,6,(ROW(Tiere!$BN$2:$BN$153)-1)/(--(SEARCH(AM$2,Tiere!$BN$2:$BN$153)&gt;0)),ROW()-2),1))))))))),"")</f>
        <v>Zuchtschweine - Standard-Fütterung - Gülle</v>
      </c>
      <c r="AO60" s="1599"/>
      <c r="AP60" s="1624" t="str">
        <f>IFERROR(IF($A$8=$BO$1,$BO59,IF($A$8=$BP$1,$BP59,IF($A$8=$BQ$1,$BQ59,IF($A$8=$BR$1,$BR59,IF($A$8=$BS$1,$BS59,IF($A$8=$BT$1,$BT59,IF($A$8=$BU$1,$BU59,IF($A$8="",INDEX(Tiere!$BN$2:$BN$153,_xlfn.AGGREGATE(15,6,(ROW(Tiere!$BN$2:$BN$153)-1)/(--(SEARCH(AQ$2,Tiere!$BN$2:$BN$153)&gt;0)),ROW()-2),1))))))))),"")</f>
        <v>Zuchtschweine - Standard-Fütterung - Gülle</v>
      </c>
      <c r="AQ60" s="1599"/>
      <c r="AR60" s="1624" t="str">
        <f>IFERROR(IF($A$9=$BO$1,$BO59,IF($A$9=$BP$1,$BP59,IF($A$9=$BQ$1,$BQ59,IF($A$9=$BR$1,$BR59,IF($A$9=$BS$1,$BS59,IF($A$9=$BT$1,$BT59,IF($A$9=$BU$1,$BU59,IF($A$9="",INDEX(Tiere!$BN$2:$BN$153,_xlfn.AGGREGATE(15,6,(ROW(Tiere!$BN$2:$BN$153)-1)/(--(SEARCH(AS$2,Tiere!$BN$2:$BN$153)&gt;0)),ROW()-2),1))))))))),"")</f>
        <v>Zuchtschweine - Standard-Fütterung - Gülle</v>
      </c>
      <c r="AS60" s="1599"/>
      <c r="AT60" s="1624" t="str">
        <f>IFERROR(IF($A$10=$BO$1,$BO59,IF($A$10=$BP$1,$BP59,IF($A$10=$BQ$1,$BQ59,IF($A$10=$BR$1,$BR59,IF($A$10=$BS$1,$BS59,IF($A$10=$BT$1,$BT59,IF($A$10=$BU$1,$BU59,IF($A$10="",INDEX(Tiere!$BN$2:$BN$153,_xlfn.AGGREGATE(15,6,(ROW(Tiere!$BN$2:$BN$153)-1)/(--(SEARCH(AU$2,Tiere!$BN$2:$BN$153)&gt;0)),ROW()-2),1))))))))),"")</f>
        <v>Zuchtschweine - Standard-Fütterung - Gülle</v>
      </c>
      <c r="AU60" s="1599"/>
      <c r="AV60" s="1624" t="str">
        <f>IFERROR(IF($A$11=$BO$1,$BO59,IF($A$11=$BP$1,$BP59,IF($A$11=$BQ$1,$BQ59,IF($A$11=$BR$1,$BR59,IF($A$11=$BS$1,$BS59,IF($A$11=$BT$1,$BT59,IF($A$11=$BU$1,$BU59,IF($A$11="",INDEX(Tiere!$BN$2:$BN$153,_xlfn.AGGREGATE(15,6,(ROW(Tiere!$BN$2:$BN$153)-1)/(--(SEARCH(AW$2,Tiere!$BN$2:$BN$153)&gt;0)),ROW()-2),1))))))))),"")</f>
        <v>Zuchtschweine - Standard-Fütterung - Gülle</v>
      </c>
      <c r="AW60" s="1599"/>
      <c r="AX60" s="1624" t="str">
        <f>IFERROR(IF($A$12=$BO$1,$BO59,IF($A$12=$BP$1,$BP59,IF($A$12=$BQ$1,$BQ59,IF($A$12=$BR$1,$BR59,IF($A$12=$BS$1,$BS59,IF($A$12=$BT$1,$BT59,IF($A$12=$BU$1,$BU59,IF($A$12="",INDEX(Tiere!$BN$2:$BN$153,_xlfn.AGGREGATE(15,6,(ROW(Tiere!$BN$2:$BN$153)-1)/(--(SEARCH(AY$2,Tiere!$BN$2:$BN$153)&gt;0)),ROW()-2),1))))))))),"")</f>
        <v>Zuchtschweine - Standard-Fütterung - Gülle</v>
      </c>
      <c r="AY60" s="1599"/>
      <c r="AZ60" s="1624" t="str">
        <f>IFERROR(IF($A$13=$BO$1,$BO59,IF($A$13=$BP$1,$BP59,IF($A$13=$BQ$1,$BQ59,IF($A$13=$BR$1,$BR59,IF($A$13=$BS$1,$BS59,IF($A$13=$BT$1,$BT59,IF($A$13=$BU$1,$BU59,IF($A$13="",INDEX(Tiere!$BN$2:$BN$153,_xlfn.AGGREGATE(15,6,(ROW(Tiere!$BN$2:$BN$153)-1)/(--(SEARCH(BA$2,Tiere!$BN$2:$BN$153)&gt;0)),ROW()-2),1))))))))),"")</f>
        <v>Zuchtschweine - Standard-Fütterung - Gülle</v>
      </c>
      <c r="BA60" s="1599"/>
      <c r="BB60" s="1624" t="str">
        <f>IFERROR(IF($A$14=$BO$1,$BO59,IF($A$14=$BP$1,$BP59,IF($A$14=$BQ$1,$BQ59,IF($A$14=$BR$1,$BR59,IF($A$14=$BS$1,$BS59,IF($A$14=$BT$1,$BT59,IF($A$14=$BU$1,$BU59,IF($A$14="",INDEX(Tiere!$BN$2:$BN$153,_xlfn.AGGREGATE(15,6,(ROW(Tiere!$BN$2:$BN$153)-1)/(--(SEARCH(BC$2,Tiere!$BN$2:$BN$153)&gt;0)),ROW()-2),1))))))))),"")</f>
        <v>Zuchtschweine - Standard-Fütterung - Gülle</v>
      </c>
      <c r="BC60" s="1599"/>
      <c r="BD60" s="1624" t="str">
        <f>IFERROR(IF($A$15=$BO$1,$BO59,IF($A$15=$BP$1,$BP59,IF($A$15=$BQ$1,$BQ59,IF($A$15=$BR$1,$BR59,IF($A$15=$BS$1,$BS59,IF($A$15=$BT$1,$BT59,IF($A$15=$BU$1,$BU59,IF($A$15="",INDEX(Tiere!$BN$2:$BN$153,_xlfn.AGGREGATE(15,6,(ROW(Tiere!$BN$2:$BN$153)-1)/(--(SEARCH(BE$2,Tiere!$BN$2:$BN$153)&gt;0)),ROW()-2),1))))))))),"")</f>
        <v>Zuchtschweine - Standard-Fütterung - Gülle</v>
      </c>
      <c r="BE60" s="1599"/>
      <c r="BF60" s="1624" t="str">
        <f>IFERROR(IF($A$16=$BO$1,$BO59,IF($A$16=$BP$1,$BP59,IF($A$16=$BQ$1,$BQ59,IF($A$16=$BR$1,$BR59,IF($A$16=$BS$1,$BS59,IF($A$16=$BT$1,$BT59,IF($A$16=$BU$1,$BU59,IF($A$16="",INDEX(Tiere!$BN$2:$BN$153,_xlfn.AGGREGATE(15,6,(ROW(Tiere!$BN$2:$BN$153)-1)/(--(SEARCH(BG$2,Tiere!$BN$2:$BN$153)&gt;0)),ROW()-2),1))))))))),"")</f>
        <v>Zuchtschweine - Standard-Fütterung - Gülle</v>
      </c>
      <c r="BG60" s="1599"/>
      <c r="BH60" s="1624" t="str">
        <f>IFERROR(IF($A$17=$BO$1,$BO59,IF($A$17=$BP$1,$BP59,IF($A$17=$BQ$1,$BQ59,IF($A$17=$BR$1,$BR59,IF($A$17=$BS$1,$BS59,IF($A$17=$BT$1,$BT59,IF($A$17=$BU$1,$BU59,IF($A$17="",INDEX(Tiere!$BN$2:$BN$153,_xlfn.AGGREGATE(15,6,(ROW(Tiere!$BN$2:$BN$153)-1)/(--(SEARCH(BI$2,Tiere!$BN$2:$BN$153)&gt;0)),ROW()-2),1))))))))),"")</f>
        <v>Zuchtschweine - Standard-Fütterung - Gülle</v>
      </c>
      <c r="BI60" s="1599"/>
      <c r="BJ60" s="1624" t="str">
        <f>IFERROR(IF($A$18=$BO$1,$BO59,IF($A$18=$BP$1,$BP59,IF($A$18=$BQ$1,$BQ59,IF($A$18=$BR$1,$BR59,IF($A$18=$BS$1,$BS59,IF($A$18=$BT$1,$BT59,IF($A$18=$BU$1,$BU59,IF($A$18="",INDEX(Tiere!$BN$2:$BN$153,_xlfn.AGGREGATE(15,6,(ROW(Tiere!$BN$2:$BN$153)-1)/(--(SEARCH(BK$2,Tiere!$BN$2:$BN$153)&gt;0)),ROW()-2),1))))))))),"")</f>
        <v>Zuchtschweine - Standard-Fütterung - Gülle</v>
      </c>
      <c r="BK60" s="1599"/>
      <c r="BL60" s="1624" t="str">
        <f>IFERROR(IF($A$19=$BO$1,$BO59,IF($A$19=$BP$1,$BP59,IF($A$19=$BQ$1,$BQ59,IF($A$19=$BR$1,$BR59,IF($A$19=$BS$1,$BS59,IF($A$19=$BT$1,$BT59,IF($A$19=$BU$1,$BU59,IF($A$19="",INDEX(Tiere!$BN$2:$BN$153,_xlfn.AGGREGATE(15,6,(ROW(Tiere!$BN$2:$BN$153)-1)/(--(SEARCH(BM$2,Tiere!$BN$2:$BN$153)&gt;0)),ROW()-2),1))))))))),"")</f>
        <v>Zuchtschweine - Standard-Fütterung - Gülle</v>
      </c>
      <c r="BM60" s="1599"/>
      <c r="BN60" s="1630" t="s">
        <v>722</v>
      </c>
      <c r="BO60" s="1599"/>
      <c r="BP60" s="1599"/>
      <c r="BQ60" s="1599"/>
      <c r="BR60" s="1599"/>
      <c r="BS60" s="1599"/>
      <c r="BT60" s="1599"/>
      <c r="BU60" s="1599"/>
      <c r="CD60" s="1911" t="s">
        <v>722</v>
      </c>
    </row>
    <row r="61" spans="36:82" ht="13.5" thickBot="1">
      <c r="AJ61" s="1624" t="str">
        <f>IFERROR(IF($A$5=$BO$1,$BO60,IF($A$5=$BP$1,$BP60,IF($A$5=$BQ$1,$BQ60,IF($A$5=$BR$1,$BR60,IF($A$5=$BS$1,$BS60,IF($A$5=$BT$1,$BT60,IF($A$5=$BU$1,$BU60,IF($A$5="",INDEX(Tiere!$BN$2:$BN$153,_xlfn.AGGREGATE(15,6,(ROW(Tiere!$BN$2:$BN$153)-1)/(--(SEARCH(AK$2,Tiere!$BN$2:$BN$153)&gt;0)),ROW()-2),1))))))))),"")</f>
        <v>Zuchtschweine - Standard-Fütterung - Mist/Jauche</v>
      </c>
      <c r="AK61" s="1601"/>
      <c r="AL61" s="1624" t="str">
        <f>IFERROR(IF($A$6=$BO$1,$BO60,IF($A$6=$BP$1,$BP60,IF($A$6=$BQ$1,$BQ60,IF($A$6=$BR$1,$BR60,IF($A$6=$BS$1,$BS60,IF($A$6=$BT$1,$BT60,IF($A$6=$BU$1,$BU60,IF($A$6="",INDEX(Tiere!$BN$2:$BN$153,_xlfn.AGGREGATE(15,6,(ROW(Tiere!$BN$2:$BN$153)-1)/(--(SEARCH(AM$2,Tiere!$BN$2:$BN$153)&gt;0)),ROW()-2),1))))))))),"")</f>
        <v>Zuchtschweine - Standard-Fütterung - Mist/Jauche</v>
      </c>
      <c r="AM61" s="1601"/>
      <c r="AN61" s="1624" t="str">
        <f>IFERROR(IF($A$7=$BO$1,$BO60,IF($A$7=$BP$1,$BP60,IF($A$7=$BQ$1,$BQ60,IF($A$7=$BR$1,$BR60,IF($A$7=$BS$1,$BS60,IF($A$7=$BT$1,$BT60,IF($A$7=$BU$1,$BU60,IF($A$7="",INDEX(Tiere!$BN$2:$BN$153,_xlfn.AGGREGATE(15,6,(ROW(Tiere!$BN$2:$BN$153)-1)/(--(SEARCH(AM$2,Tiere!$BN$2:$BN$153)&gt;0)),ROW()-2),1))))))))),"")</f>
        <v>Zuchtschweine - Standard-Fütterung - Mist/Jauche</v>
      </c>
      <c r="AO61" s="1601"/>
      <c r="AP61" s="1624" t="str">
        <f>IFERROR(IF($A$8=$BO$1,$BO60,IF($A$8=$BP$1,$BP60,IF($A$8=$BQ$1,$BQ60,IF($A$8=$BR$1,$BR60,IF($A$8=$BS$1,$BS60,IF($A$8=$BT$1,$BT60,IF($A$8=$BU$1,$BU60,IF($A$8="",INDEX(Tiere!$BN$2:$BN$153,_xlfn.AGGREGATE(15,6,(ROW(Tiere!$BN$2:$BN$153)-1)/(--(SEARCH(AQ$2,Tiere!$BN$2:$BN$153)&gt;0)),ROW()-2),1))))))))),"")</f>
        <v>Zuchtschweine - Standard-Fütterung - Mist/Jauche</v>
      </c>
      <c r="AQ61" s="1601"/>
      <c r="AR61" s="1624" t="str">
        <f>IFERROR(IF($A$9=$BO$1,$BO60,IF($A$9=$BP$1,$BP60,IF($A$9=$BQ$1,$BQ60,IF($A$9=$BR$1,$BR60,IF($A$9=$BS$1,$BS60,IF($A$9=$BT$1,$BT60,IF($A$9=$BU$1,$BU60,IF($A$9="",INDEX(Tiere!$BN$2:$BN$153,_xlfn.AGGREGATE(15,6,(ROW(Tiere!$BN$2:$BN$153)-1)/(--(SEARCH(AS$2,Tiere!$BN$2:$BN$153)&gt;0)),ROW()-2),1))))))))),"")</f>
        <v>Zuchtschweine - Standard-Fütterung - Mist/Jauche</v>
      </c>
      <c r="AS61" s="1601"/>
      <c r="AT61" s="1624" t="str">
        <f>IFERROR(IF($A$10=$BO$1,$BO60,IF($A$10=$BP$1,$BP60,IF($A$10=$BQ$1,$BQ60,IF($A$10=$BR$1,$BR60,IF($A$10=$BS$1,$BS60,IF($A$10=$BT$1,$BT60,IF($A$10=$BU$1,$BU60,IF($A$10="",INDEX(Tiere!$BN$2:$BN$153,_xlfn.AGGREGATE(15,6,(ROW(Tiere!$BN$2:$BN$153)-1)/(--(SEARCH(AU$2,Tiere!$BN$2:$BN$153)&gt;0)),ROW()-2),1))))))))),"")</f>
        <v>Zuchtschweine - Standard-Fütterung - Mist/Jauche</v>
      </c>
      <c r="AU61" s="1601"/>
      <c r="AV61" s="1624" t="str">
        <f>IFERROR(IF($A$11=$BO$1,$BO60,IF($A$11=$BP$1,$BP60,IF($A$11=$BQ$1,$BQ60,IF($A$11=$BR$1,$BR60,IF($A$11=$BS$1,$BS60,IF($A$11=$BT$1,$BT60,IF($A$11=$BU$1,$BU60,IF($A$11="",INDEX(Tiere!$BN$2:$BN$153,_xlfn.AGGREGATE(15,6,(ROW(Tiere!$BN$2:$BN$153)-1)/(--(SEARCH(AW$2,Tiere!$BN$2:$BN$153)&gt;0)),ROW()-2),1))))))))),"")</f>
        <v>Zuchtschweine - Standard-Fütterung - Mist/Jauche</v>
      </c>
      <c r="AW61" s="1601"/>
      <c r="AX61" s="1624" t="str">
        <f>IFERROR(IF($A$12=$BO$1,$BO60,IF($A$12=$BP$1,$BP60,IF($A$12=$BQ$1,$BQ60,IF($A$12=$BR$1,$BR60,IF($A$12=$BS$1,$BS60,IF($A$12=$BT$1,$BT60,IF($A$12=$BU$1,$BU60,IF($A$12="",INDEX(Tiere!$BN$2:$BN$153,_xlfn.AGGREGATE(15,6,(ROW(Tiere!$BN$2:$BN$153)-1)/(--(SEARCH(AY$2,Tiere!$BN$2:$BN$153)&gt;0)),ROW()-2),1))))))))),"")</f>
        <v>Zuchtschweine - Standard-Fütterung - Mist/Jauche</v>
      </c>
      <c r="AY61" s="1601"/>
      <c r="AZ61" s="1624" t="str">
        <f>IFERROR(IF($A$13=$BO$1,$BO60,IF($A$13=$BP$1,$BP60,IF($A$13=$BQ$1,$BQ60,IF($A$13=$BR$1,$BR60,IF($A$13=$BS$1,$BS60,IF($A$13=$BT$1,$BT60,IF($A$13=$BU$1,$BU60,IF($A$13="",INDEX(Tiere!$BN$2:$BN$153,_xlfn.AGGREGATE(15,6,(ROW(Tiere!$BN$2:$BN$153)-1)/(--(SEARCH(BA$2,Tiere!$BN$2:$BN$153)&gt;0)),ROW()-2),1))))))))),"")</f>
        <v>Zuchtschweine - Standard-Fütterung - Mist/Jauche</v>
      </c>
      <c r="BA61" s="1601"/>
      <c r="BB61" s="1624" t="str">
        <f>IFERROR(IF($A$14=$BO$1,$BO60,IF($A$14=$BP$1,$BP60,IF($A$14=$BQ$1,$BQ60,IF($A$14=$BR$1,$BR60,IF($A$14=$BS$1,$BS60,IF($A$14=$BT$1,$BT60,IF($A$14=$BU$1,$BU60,IF($A$14="",INDEX(Tiere!$BN$2:$BN$153,_xlfn.AGGREGATE(15,6,(ROW(Tiere!$BN$2:$BN$153)-1)/(--(SEARCH(BC$2,Tiere!$BN$2:$BN$153)&gt;0)),ROW()-2),1))))))))),"")</f>
        <v>Zuchtschweine - Standard-Fütterung - Mist/Jauche</v>
      </c>
      <c r="BC61" s="1601"/>
      <c r="BD61" s="1624" t="str">
        <f>IFERROR(IF($A$15=$BO$1,$BO60,IF($A$15=$BP$1,$BP60,IF($A$15=$BQ$1,$BQ60,IF($A$15=$BR$1,$BR60,IF($A$15=$BS$1,$BS60,IF($A$15=$BT$1,$BT60,IF($A$15=$BU$1,$BU60,IF($A$15="",INDEX(Tiere!$BN$2:$BN$153,_xlfn.AGGREGATE(15,6,(ROW(Tiere!$BN$2:$BN$153)-1)/(--(SEARCH(BE$2,Tiere!$BN$2:$BN$153)&gt;0)),ROW()-2),1))))))))),"")</f>
        <v>Zuchtschweine - Standard-Fütterung - Mist/Jauche</v>
      </c>
      <c r="BE61" s="1601"/>
      <c r="BF61" s="1624" t="str">
        <f>IFERROR(IF($A$16=$BO$1,$BO60,IF($A$16=$BP$1,$BP60,IF($A$16=$BQ$1,$BQ60,IF($A$16=$BR$1,$BR60,IF($A$16=$BS$1,$BS60,IF($A$16=$BT$1,$BT60,IF($A$16=$BU$1,$BU60,IF($A$16="",INDEX(Tiere!$BN$2:$BN$153,_xlfn.AGGREGATE(15,6,(ROW(Tiere!$BN$2:$BN$153)-1)/(--(SEARCH(BG$2,Tiere!$BN$2:$BN$153)&gt;0)),ROW()-2),1))))))))),"")</f>
        <v>Zuchtschweine - Standard-Fütterung - Mist/Jauche</v>
      </c>
      <c r="BG61" s="1601"/>
      <c r="BH61" s="1624" t="str">
        <f>IFERROR(IF($A$17=$BO$1,$BO60,IF($A$17=$BP$1,$BP60,IF($A$17=$BQ$1,$BQ60,IF($A$17=$BR$1,$BR60,IF($A$17=$BS$1,$BS60,IF($A$17=$BT$1,$BT60,IF($A$17=$BU$1,$BU60,IF($A$17="",INDEX(Tiere!$BN$2:$BN$153,_xlfn.AGGREGATE(15,6,(ROW(Tiere!$BN$2:$BN$153)-1)/(--(SEARCH(BI$2,Tiere!$BN$2:$BN$153)&gt;0)),ROW()-2),1))))))))),"")</f>
        <v>Zuchtschweine - Standard-Fütterung - Mist/Jauche</v>
      </c>
      <c r="BI61" s="1601"/>
      <c r="BJ61" s="1624" t="str">
        <f>IFERROR(IF($A$18=$BO$1,$BO60,IF($A$18=$BP$1,$BP60,IF($A$18=$BQ$1,$BQ60,IF($A$18=$BR$1,$BR60,IF($A$18=$BS$1,$BS60,IF($A$18=$BT$1,$BT60,IF($A$18=$BU$1,$BU60,IF($A$18="",INDEX(Tiere!$BN$2:$BN$153,_xlfn.AGGREGATE(15,6,(ROW(Tiere!$BN$2:$BN$153)-1)/(--(SEARCH(BK$2,Tiere!$BN$2:$BN$153)&gt;0)),ROW()-2),1))))))))),"")</f>
        <v>Zuchtschweine - Standard-Fütterung - Mist/Jauche</v>
      </c>
      <c r="BK61" s="1601"/>
      <c r="BL61" s="1624" t="str">
        <f>IFERROR(IF($A$19=$BO$1,$BO60,IF($A$19=$BP$1,$BP60,IF($A$19=$BQ$1,$BQ60,IF($A$19=$BR$1,$BR60,IF($A$19=$BS$1,$BS60,IF($A$19=$BT$1,$BT60,IF($A$19=$BU$1,$BU60,IF($A$19="",INDEX(Tiere!$BN$2:$BN$153,_xlfn.AGGREGATE(15,6,(ROW(Tiere!$BN$2:$BN$153)-1)/(--(SEARCH(BM$2,Tiere!$BN$2:$BN$153)&gt;0)),ROW()-2),1))))))))),"")</f>
        <v>Zuchtschweine - Standard-Fütterung - Mist/Jauche</v>
      </c>
      <c r="BM61" s="1601"/>
      <c r="BN61" s="1630" t="s">
        <v>725</v>
      </c>
      <c r="BO61" s="1599"/>
      <c r="BP61" s="1599"/>
      <c r="BQ61" s="1599"/>
      <c r="BR61" s="1599"/>
      <c r="BS61" s="1599"/>
      <c r="BT61" s="1599"/>
      <c r="BU61" s="1599"/>
      <c r="CD61" s="1911" t="s">
        <v>725</v>
      </c>
    </row>
    <row r="62" spans="36:82" ht="13.5" thickBot="1">
      <c r="AJ62" s="1624" t="str">
        <f>IFERROR(IF($A$5=$BO$1,$BO61,IF($A$5=$BP$1,$BP61,IF($A$5=$BQ$1,$BQ61,IF($A$5=$BR$1,$BR61,IF($A$5=$BS$1,$BS61,IF($A$5=$BT$1,$BT61,IF($A$5=$BU$1,$BU61,IF($A$5="",INDEX(Tiere!$BN$2:$BN$153,_xlfn.AGGREGATE(15,6,(ROW(Tiere!$BN$2:$BN$153)-1)/(--(SEARCH(AK$2,Tiere!$BN$2:$BN$153)&gt;0)),ROW()-2),1))))))))),"")</f>
        <v>Zuchtschweine - Standard-Fütterung - Tiefstallmist</v>
      </c>
      <c r="AK62" s="1599"/>
      <c r="AL62" s="1624" t="str">
        <f>IFERROR(IF($A$6=$BO$1,$BO61,IF($A$6=$BP$1,$BP61,IF($A$6=$BQ$1,$BQ61,IF($A$6=$BR$1,$BR61,IF($A$6=$BS$1,$BS61,IF($A$6=$BT$1,$BT61,IF($A$6=$BU$1,$BU61,IF($A$6="",INDEX(Tiere!$BN$2:$BN$153,_xlfn.AGGREGATE(15,6,(ROW(Tiere!$BN$2:$BN$153)-1)/(--(SEARCH(AM$2,Tiere!$BN$2:$BN$153)&gt;0)),ROW()-2),1))))))))),"")</f>
        <v>Zuchtschweine - Standard-Fütterung - Tiefstallmist</v>
      </c>
      <c r="AM62" s="1599"/>
      <c r="AN62" s="1624" t="str">
        <f>IFERROR(IF($A$7=$BO$1,$BO61,IF($A$7=$BP$1,$BP61,IF($A$7=$BQ$1,$BQ61,IF($A$7=$BR$1,$BR61,IF($A$7=$BS$1,$BS61,IF($A$7=$BT$1,$BT61,IF($A$7=$BU$1,$BU61,IF($A$7="",INDEX(Tiere!$BN$2:$BN$153,_xlfn.AGGREGATE(15,6,(ROW(Tiere!$BN$2:$BN$153)-1)/(--(SEARCH(AM$2,Tiere!$BN$2:$BN$153)&gt;0)),ROW()-2),1))))))))),"")</f>
        <v>Zuchtschweine - Standard-Fütterung - Tiefstallmist</v>
      </c>
      <c r="AO62" s="1599"/>
      <c r="AP62" s="1624" t="str">
        <f>IFERROR(IF($A$8=$BO$1,$BO61,IF($A$8=$BP$1,$BP61,IF($A$8=$BQ$1,$BQ61,IF($A$8=$BR$1,$BR61,IF($A$8=$BS$1,$BS61,IF($A$8=$BT$1,$BT61,IF($A$8=$BU$1,$BU61,IF($A$8="",INDEX(Tiere!$BN$2:$BN$153,_xlfn.AGGREGATE(15,6,(ROW(Tiere!$BN$2:$BN$153)-1)/(--(SEARCH(AQ$2,Tiere!$BN$2:$BN$153)&gt;0)),ROW()-2),1))))))))),"")</f>
        <v>Zuchtschweine - Standard-Fütterung - Tiefstallmist</v>
      </c>
      <c r="AQ62" s="1599"/>
      <c r="AR62" s="1624" t="str">
        <f>IFERROR(IF($A$9=$BO$1,$BO61,IF($A$9=$BP$1,$BP61,IF($A$9=$BQ$1,$BQ61,IF($A$9=$BR$1,$BR61,IF($A$9=$BS$1,$BS61,IF($A$9=$BT$1,$BT61,IF($A$9=$BU$1,$BU61,IF($A$9="",INDEX(Tiere!$BN$2:$BN$153,_xlfn.AGGREGATE(15,6,(ROW(Tiere!$BN$2:$BN$153)-1)/(--(SEARCH(AS$2,Tiere!$BN$2:$BN$153)&gt;0)),ROW()-2),1))))))))),"")</f>
        <v>Zuchtschweine - Standard-Fütterung - Tiefstallmist</v>
      </c>
      <c r="AS62" s="1599"/>
      <c r="AT62" s="1624" t="str">
        <f>IFERROR(IF($A$10=$BO$1,$BO61,IF($A$10=$BP$1,$BP61,IF($A$10=$BQ$1,$BQ61,IF($A$10=$BR$1,$BR61,IF($A$10=$BS$1,$BS61,IF($A$10=$BT$1,$BT61,IF($A$10=$BU$1,$BU61,IF($A$10="",INDEX(Tiere!$BN$2:$BN$153,_xlfn.AGGREGATE(15,6,(ROW(Tiere!$BN$2:$BN$153)-1)/(--(SEARCH(AU$2,Tiere!$BN$2:$BN$153)&gt;0)),ROW()-2),1))))))))),"")</f>
        <v>Zuchtschweine - Standard-Fütterung - Tiefstallmist</v>
      </c>
      <c r="AU62" s="1599"/>
      <c r="AV62" s="1624" t="str">
        <f>IFERROR(IF($A$11=$BO$1,$BO61,IF($A$11=$BP$1,$BP61,IF($A$11=$BQ$1,$BQ61,IF($A$11=$BR$1,$BR61,IF($A$11=$BS$1,$BS61,IF($A$11=$BT$1,$BT61,IF($A$11=$BU$1,$BU61,IF($A$11="",INDEX(Tiere!$BN$2:$BN$153,_xlfn.AGGREGATE(15,6,(ROW(Tiere!$BN$2:$BN$153)-1)/(--(SEARCH(AW$2,Tiere!$BN$2:$BN$153)&gt;0)),ROW()-2),1))))))))),"")</f>
        <v>Zuchtschweine - Standard-Fütterung - Tiefstallmist</v>
      </c>
      <c r="AW62" s="1599"/>
      <c r="AX62" s="1624" t="str">
        <f>IFERROR(IF($A$12=$BO$1,$BO61,IF($A$12=$BP$1,$BP61,IF($A$12=$BQ$1,$BQ61,IF($A$12=$BR$1,$BR61,IF($A$12=$BS$1,$BS61,IF($A$12=$BT$1,$BT61,IF($A$12=$BU$1,$BU61,IF($A$12="",INDEX(Tiere!$BN$2:$BN$153,_xlfn.AGGREGATE(15,6,(ROW(Tiere!$BN$2:$BN$153)-1)/(--(SEARCH(AY$2,Tiere!$BN$2:$BN$153)&gt;0)),ROW()-2),1))))))))),"")</f>
        <v>Zuchtschweine - Standard-Fütterung - Tiefstallmist</v>
      </c>
      <c r="AY62" s="1599"/>
      <c r="AZ62" s="1624" t="str">
        <f>IFERROR(IF($A$13=$BO$1,$BO61,IF($A$13=$BP$1,$BP61,IF($A$13=$BQ$1,$BQ61,IF($A$13=$BR$1,$BR61,IF($A$13=$BS$1,$BS61,IF($A$13=$BT$1,$BT61,IF($A$13=$BU$1,$BU61,IF($A$13="",INDEX(Tiere!$BN$2:$BN$153,_xlfn.AGGREGATE(15,6,(ROW(Tiere!$BN$2:$BN$153)-1)/(--(SEARCH(BA$2,Tiere!$BN$2:$BN$153)&gt;0)),ROW()-2),1))))))))),"")</f>
        <v>Zuchtschweine - Standard-Fütterung - Tiefstallmist</v>
      </c>
      <c r="BA62" s="1599"/>
      <c r="BB62" s="1624" t="str">
        <f>IFERROR(IF($A$14=$BO$1,$BO61,IF($A$14=$BP$1,$BP61,IF($A$14=$BQ$1,$BQ61,IF($A$14=$BR$1,$BR61,IF($A$14=$BS$1,$BS61,IF($A$14=$BT$1,$BT61,IF($A$14=$BU$1,$BU61,IF($A$14="",INDEX(Tiere!$BN$2:$BN$153,_xlfn.AGGREGATE(15,6,(ROW(Tiere!$BN$2:$BN$153)-1)/(--(SEARCH(BC$2,Tiere!$BN$2:$BN$153)&gt;0)),ROW()-2),1))))))))),"")</f>
        <v>Zuchtschweine - Standard-Fütterung - Tiefstallmist</v>
      </c>
      <c r="BC62" s="1599"/>
      <c r="BD62" s="1624" t="str">
        <f>IFERROR(IF($A$15=$BO$1,$BO61,IF($A$15=$BP$1,$BP61,IF($A$15=$BQ$1,$BQ61,IF($A$15=$BR$1,$BR61,IF($A$15=$BS$1,$BS61,IF($A$15=$BT$1,$BT61,IF($A$15=$BU$1,$BU61,IF($A$15="",INDEX(Tiere!$BN$2:$BN$153,_xlfn.AGGREGATE(15,6,(ROW(Tiere!$BN$2:$BN$153)-1)/(--(SEARCH(BE$2,Tiere!$BN$2:$BN$153)&gt;0)),ROW()-2),1))))))))),"")</f>
        <v>Zuchtschweine - Standard-Fütterung - Tiefstallmist</v>
      </c>
      <c r="BE62" s="1599"/>
      <c r="BF62" s="1624" t="str">
        <f>IFERROR(IF($A$16=$BO$1,$BO61,IF($A$16=$BP$1,$BP61,IF($A$16=$BQ$1,$BQ61,IF($A$16=$BR$1,$BR61,IF($A$16=$BS$1,$BS61,IF($A$16=$BT$1,$BT61,IF($A$16=$BU$1,$BU61,IF($A$16="",INDEX(Tiere!$BN$2:$BN$153,_xlfn.AGGREGATE(15,6,(ROW(Tiere!$BN$2:$BN$153)-1)/(--(SEARCH(BG$2,Tiere!$BN$2:$BN$153)&gt;0)),ROW()-2),1))))))))),"")</f>
        <v>Zuchtschweine - Standard-Fütterung - Tiefstallmist</v>
      </c>
      <c r="BG62" s="1599"/>
      <c r="BH62" s="1624" t="str">
        <f>IFERROR(IF($A$17=$BO$1,$BO61,IF($A$17=$BP$1,$BP61,IF($A$17=$BQ$1,$BQ61,IF($A$17=$BR$1,$BR61,IF($A$17=$BS$1,$BS61,IF($A$17=$BT$1,$BT61,IF($A$17=$BU$1,$BU61,IF($A$17="",INDEX(Tiere!$BN$2:$BN$153,_xlfn.AGGREGATE(15,6,(ROW(Tiere!$BN$2:$BN$153)-1)/(--(SEARCH(BI$2,Tiere!$BN$2:$BN$153)&gt;0)),ROW()-2),1))))))))),"")</f>
        <v>Zuchtschweine - Standard-Fütterung - Tiefstallmist</v>
      </c>
      <c r="BI62" s="1599"/>
      <c r="BJ62" s="1624" t="str">
        <f>IFERROR(IF($A$18=$BO$1,$BO61,IF($A$18=$BP$1,$BP61,IF($A$18=$BQ$1,$BQ61,IF($A$18=$BR$1,$BR61,IF($A$18=$BS$1,$BS61,IF($A$18=$BT$1,$BT61,IF($A$18=$BU$1,$BU61,IF($A$18="",INDEX(Tiere!$BN$2:$BN$153,_xlfn.AGGREGATE(15,6,(ROW(Tiere!$BN$2:$BN$153)-1)/(--(SEARCH(BK$2,Tiere!$BN$2:$BN$153)&gt;0)),ROW()-2),1))))))))),"")</f>
        <v>Zuchtschweine - Standard-Fütterung - Tiefstallmist</v>
      </c>
      <c r="BK62" s="1599"/>
      <c r="BL62" s="1624" t="str">
        <f>IFERROR(IF($A$19=$BO$1,$BO61,IF($A$19=$BP$1,$BP61,IF($A$19=$BQ$1,$BQ61,IF($A$19=$BR$1,$BR61,IF($A$19=$BS$1,$BS61,IF($A$19=$BT$1,$BT61,IF($A$19=$BU$1,$BU61,IF($A$19="",INDEX(Tiere!$BN$2:$BN$153,_xlfn.AGGREGATE(15,6,(ROW(Tiere!$BN$2:$BN$153)-1)/(--(SEARCH(BM$2,Tiere!$BN$2:$BN$153)&gt;0)),ROW()-2),1))))))))),"")</f>
        <v>Zuchtschweine - Standard-Fütterung - Tiefstallmist</v>
      </c>
      <c r="BM62" s="1599"/>
      <c r="BN62" s="1630" t="s">
        <v>728</v>
      </c>
      <c r="BO62" s="1599"/>
      <c r="BP62" s="1599"/>
      <c r="BQ62" s="1599"/>
      <c r="BR62" s="1599"/>
      <c r="BS62" s="1599"/>
      <c r="BT62" s="1599"/>
      <c r="BU62" s="1599"/>
      <c r="CD62" s="1911" t="s">
        <v>728</v>
      </c>
    </row>
    <row r="63" spans="36:82" ht="13.5" thickBot="1">
      <c r="AJ63" s="1624" t="str">
        <f>IFERROR(IF($A$5=$BO$1,$BO62,IF($A$5=$BP$1,$BP62,IF($A$5=$BQ$1,$BQ62,IF($A$5=$BR$1,$BR62,IF($A$5=$BS$1,$BS62,IF($A$5=$BT$1,$BT62,IF($A$5=$BU$1,$BU62,IF($A$5="",INDEX(Tiere!$BN$2:$BN$153,_xlfn.AGGREGATE(15,6,(ROW(Tiere!$BN$2:$BN$153)-1)/(--(SEARCH(AK$2,Tiere!$BN$2:$BN$153)&gt;0)),ROW()-2),1))))))))),"")</f>
        <v>Zuchtschweine - N-reduzierte Fütterung - Gülle</v>
      </c>
      <c r="AK63" s="1601"/>
      <c r="AL63" s="1624" t="str">
        <f>IFERROR(IF($A$6=$BO$1,$BO62,IF($A$6=$BP$1,$BP62,IF($A$6=$BQ$1,$BQ62,IF($A$6=$BR$1,$BR62,IF($A$6=$BS$1,$BS62,IF($A$6=$BT$1,$BT62,IF($A$6=$BU$1,$BU62,IF($A$6="",INDEX(Tiere!$BN$2:$BN$153,_xlfn.AGGREGATE(15,6,(ROW(Tiere!$BN$2:$BN$153)-1)/(--(SEARCH(AM$2,Tiere!$BN$2:$BN$153)&gt;0)),ROW()-2),1))))))))),"")</f>
        <v>Zuchtschweine - N-reduzierte Fütterung - Gülle</v>
      </c>
      <c r="AM63" s="1601"/>
      <c r="AN63" s="1624" t="str">
        <f>IFERROR(IF($A$7=$BO$1,$BO62,IF($A$7=$BP$1,$BP62,IF($A$7=$BQ$1,$BQ62,IF($A$7=$BR$1,$BR62,IF($A$7=$BS$1,$BS62,IF($A$7=$BT$1,$BT62,IF($A$7=$BU$1,$BU62,IF($A$7="",INDEX(Tiere!$BN$2:$BN$153,_xlfn.AGGREGATE(15,6,(ROW(Tiere!$BN$2:$BN$153)-1)/(--(SEARCH(AM$2,Tiere!$BN$2:$BN$153)&gt;0)),ROW()-2),1))))))))),"")</f>
        <v>Zuchtschweine - N-reduzierte Fütterung - Gülle</v>
      </c>
      <c r="AO63" s="1601"/>
      <c r="AP63" s="1624" t="str">
        <f>IFERROR(IF($A$8=$BO$1,$BO62,IF($A$8=$BP$1,$BP62,IF($A$8=$BQ$1,$BQ62,IF($A$8=$BR$1,$BR62,IF($A$8=$BS$1,$BS62,IF($A$8=$BT$1,$BT62,IF($A$8=$BU$1,$BU62,IF($A$8="",INDEX(Tiere!$BN$2:$BN$153,_xlfn.AGGREGATE(15,6,(ROW(Tiere!$BN$2:$BN$153)-1)/(--(SEARCH(AQ$2,Tiere!$BN$2:$BN$153)&gt;0)),ROW()-2),1))))))))),"")</f>
        <v>Zuchtschweine - N-reduzierte Fütterung - Gülle</v>
      </c>
      <c r="AQ63" s="1601"/>
      <c r="AR63" s="1624" t="str">
        <f>IFERROR(IF($A$9=$BO$1,$BO62,IF($A$9=$BP$1,$BP62,IF($A$9=$BQ$1,$BQ62,IF($A$9=$BR$1,$BR62,IF($A$9=$BS$1,$BS62,IF($A$9=$BT$1,$BT62,IF($A$9=$BU$1,$BU62,IF($A$9="",INDEX(Tiere!$BN$2:$BN$153,_xlfn.AGGREGATE(15,6,(ROW(Tiere!$BN$2:$BN$153)-1)/(--(SEARCH(AS$2,Tiere!$BN$2:$BN$153)&gt;0)),ROW()-2),1))))))))),"")</f>
        <v>Zuchtschweine - N-reduzierte Fütterung - Gülle</v>
      </c>
      <c r="AS63" s="1601"/>
      <c r="AT63" s="1624" t="str">
        <f>IFERROR(IF($A$10=$BO$1,$BO62,IF($A$10=$BP$1,$BP62,IF($A$10=$BQ$1,$BQ62,IF($A$10=$BR$1,$BR62,IF($A$10=$BS$1,$BS62,IF($A$10=$BT$1,$BT62,IF($A$10=$BU$1,$BU62,IF($A$10="",INDEX(Tiere!$BN$2:$BN$153,_xlfn.AGGREGATE(15,6,(ROW(Tiere!$BN$2:$BN$153)-1)/(--(SEARCH(AU$2,Tiere!$BN$2:$BN$153)&gt;0)),ROW()-2),1))))))))),"")</f>
        <v>Zuchtschweine - N-reduzierte Fütterung - Gülle</v>
      </c>
      <c r="AU63" s="1601"/>
      <c r="AV63" s="1624" t="str">
        <f>IFERROR(IF($A$11=$BO$1,$BO62,IF($A$11=$BP$1,$BP62,IF($A$11=$BQ$1,$BQ62,IF($A$11=$BR$1,$BR62,IF($A$11=$BS$1,$BS62,IF($A$11=$BT$1,$BT62,IF($A$11=$BU$1,$BU62,IF($A$11="",INDEX(Tiere!$BN$2:$BN$153,_xlfn.AGGREGATE(15,6,(ROW(Tiere!$BN$2:$BN$153)-1)/(--(SEARCH(AW$2,Tiere!$BN$2:$BN$153)&gt;0)),ROW()-2),1))))))))),"")</f>
        <v>Zuchtschweine - N-reduzierte Fütterung - Gülle</v>
      </c>
      <c r="AW63" s="1601"/>
      <c r="AX63" s="1624" t="str">
        <f>IFERROR(IF($A$12=$BO$1,$BO62,IF($A$12=$BP$1,$BP62,IF($A$12=$BQ$1,$BQ62,IF($A$12=$BR$1,$BR62,IF($A$12=$BS$1,$BS62,IF($A$12=$BT$1,$BT62,IF($A$12=$BU$1,$BU62,IF($A$12="",INDEX(Tiere!$BN$2:$BN$153,_xlfn.AGGREGATE(15,6,(ROW(Tiere!$BN$2:$BN$153)-1)/(--(SEARCH(AY$2,Tiere!$BN$2:$BN$153)&gt;0)),ROW()-2),1))))))))),"")</f>
        <v>Zuchtschweine - N-reduzierte Fütterung - Gülle</v>
      </c>
      <c r="AY63" s="1601"/>
      <c r="AZ63" s="1624" t="str">
        <f>IFERROR(IF($A$13=$BO$1,$BO62,IF($A$13=$BP$1,$BP62,IF($A$13=$BQ$1,$BQ62,IF($A$13=$BR$1,$BR62,IF($A$13=$BS$1,$BS62,IF($A$13=$BT$1,$BT62,IF($A$13=$BU$1,$BU62,IF($A$13="",INDEX(Tiere!$BN$2:$BN$153,_xlfn.AGGREGATE(15,6,(ROW(Tiere!$BN$2:$BN$153)-1)/(--(SEARCH(BA$2,Tiere!$BN$2:$BN$153)&gt;0)),ROW()-2),1))))))))),"")</f>
        <v>Zuchtschweine - N-reduzierte Fütterung - Gülle</v>
      </c>
      <c r="BA63" s="1601"/>
      <c r="BB63" s="1624" t="str">
        <f>IFERROR(IF($A$14=$BO$1,$BO62,IF($A$14=$BP$1,$BP62,IF($A$14=$BQ$1,$BQ62,IF($A$14=$BR$1,$BR62,IF($A$14=$BS$1,$BS62,IF($A$14=$BT$1,$BT62,IF($A$14=$BU$1,$BU62,IF($A$14="",INDEX(Tiere!$BN$2:$BN$153,_xlfn.AGGREGATE(15,6,(ROW(Tiere!$BN$2:$BN$153)-1)/(--(SEARCH(BC$2,Tiere!$BN$2:$BN$153)&gt;0)),ROW()-2),1))))))))),"")</f>
        <v>Zuchtschweine - N-reduzierte Fütterung - Gülle</v>
      </c>
      <c r="BC63" s="1601"/>
      <c r="BD63" s="1624" t="str">
        <f>IFERROR(IF($A$15=$BO$1,$BO62,IF($A$15=$BP$1,$BP62,IF($A$15=$BQ$1,$BQ62,IF($A$15=$BR$1,$BR62,IF($A$15=$BS$1,$BS62,IF($A$15=$BT$1,$BT62,IF($A$15=$BU$1,$BU62,IF($A$15="",INDEX(Tiere!$BN$2:$BN$153,_xlfn.AGGREGATE(15,6,(ROW(Tiere!$BN$2:$BN$153)-1)/(--(SEARCH(BE$2,Tiere!$BN$2:$BN$153)&gt;0)),ROW()-2),1))))))))),"")</f>
        <v>Zuchtschweine - N-reduzierte Fütterung - Gülle</v>
      </c>
      <c r="BE63" s="1601"/>
      <c r="BF63" s="1624" t="str">
        <f>IFERROR(IF($A$16=$BO$1,$BO62,IF($A$16=$BP$1,$BP62,IF($A$16=$BQ$1,$BQ62,IF($A$16=$BR$1,$BR62,IF($A$16=$BS$1,$BS62,IF($A$16=$BT$1,$BT62,IF($A$16=$BU$1,$BU62,IF($A$16="",INDEX(Tiere!$BN$2:$BN$153,_xlfn.AGGREGATE(15,6,(ROW(Tiere!$BN$2:$BN$153)-1)/(--(SEARCH(BG$2,Tiere!$BN$2:$BN$153)&gt;0)),ROW()-2),1))))))))),"")</f>
        <v>Zuchtschweine - N-reduzierte Fütterung - Gülle</v>
      </c>
      <c r="BG63" s="1601"/>
      <c r="BH63" s="1624" t="str">
        <f>IFERROR(IF($A$17=$BO$1,$BO62,IF($A$17=$BP$1,$BP62,IF($A$17=$BQ$1,$BQ62,IF($A$17=$BR$1,$BR62,IF($A$17=$BS$1,$BS62,IF($A$17=$BT$1,$BT62,IF($A$17=$BU$1,$BU62,IF($A$17="",INDEX(Tiere!$BN$2:$BN$153,_xlfn.AGGREGATE(15,6,(ROW(Tiere!$BN$2:$BN$153)-1)/(--(SEARCH(BI$2,Tiere!$BN$2:$BN$153)&gt;0)),ROW()-2),1))))))))),"")</f>
        <v>Zuchtschweine - N-reduzierte Fütterung - Gülle</v>
      </c>
      <c r="BI63" s="1601"/>
      <c r="BJ63" s="1624" t="str">
        <f>IFERROR(IF($A$18=$BO$1,$BO62,IF($A$18=$BP$1,$BP62,IF($A$18=$BQ$1,$BQ62,IF($A$18=$BR$1,$BR62,IF($A$18=$BS$1,$BS62,IF($A$18=$BT$1,$BT62,IF($A$18=$BU$1,$BU62,IF($A$18="",INDEX(Tiere!$BN$2:$BN$153,_xlfn.AGGREGATE(15,6,(ROW(Tiere!$BN$2:$BN$153)-1)/(--(SEARCH(BK$2,Tiere!$BN$2:$BN$153)&gt;0)),ROW()-2),1))))))))),"")</f>
        <v>Zuchtschweine - N-reduzierte Fütterung - Gülle</v>
      </c>
      <c r="BK63" s="1601"/>
      <c r="BL63" s="1624" t="str">
        <f>IFERROR(IF($A$19=$BO$1,$BO62,IF($A$19=$BP$1,$BP62,IF($A$19=$BQ$1,$BQ62,IF($A$19=$BR$1,$BR62,IF($A$19=$BS$1,$BS62,IF($A$19=$BT$1,$BT62,IF($A$19=$BU$1,$BU62,IF($A$19="",INDEX(Tiere!$BN$2:$BN$153,_xlfn.AGGREGATE(15,6,(ROW(Tiere!$BN$2:$BN$153)-1)/(--(SEARCH(BM$2,Tiere!$BN$2:$BN$153)&gt;0)),ROW()-2),1))))))))),"")</f>
        <v>Zuchtschweine - N-reduzierte Fütterung - Gülle</v>
      </c>
      <c r="BM63" s="1601"/>
      <c r="BN63" s="1630" t="s">
        <v>731</v>
      </c>
      <c r="BO63" s="1599"/>
      <c r="BP63" s="1599"/>
      <c r="BQ63" s="1599"/>
      <c r="BR63" s="1599"/>
      <c r="BS63" s="1599"/>
      <c r="BT63" s="1599"/>
      <c r="BU63" s="1599"/>
      <c r="CD63" s="1911" t="s">
        <v>731</v>
      </c>
    </row>
    <row r="64" spans="36:82" ht="14.25" thickTop="1" thickBot="1">
      <c r="AJ64" s="1624" t="str">
        <f>IFERROR(IF($A$5=$BO$1,$BO63,IF($A$5=$BP$1,$BP63,IF($A$5=$BQ$1,$BQ63,IF($A$5=$BR$1,$BR63,IF($A$5=$BS$1,$BS63,IF($A$5=$BT$1,$BT63,IF($A$5=$BU$1,$BU63,IF($A$5="",INDEX(Tiere!$BN$2:$BN$153,_xlfn.AGGREGATE(15,6,(ROW(Tiere!$BN$2:$BN$153)-1)/(--(SEARCH(AK$2,Tiere!$BN$2:$BN$153)&gt;0)),ROW()-2),1))))))))),"")</f>
        <v>Zuchtschweine - N-reduzierte Fütterung - Mist/Jauche</v>
      </c>
      <c r="AK64" s="1599"/>
      <c r="AL64" s="1624" t="str">
        <f>IFERROR(IF($A$6=$BO$1,$BO63,IF($A$6=$BP$1,$BP63,IF($A$6=$BQ$1,$BQ63,IF($A$6=$BR$1,$BR63,IF($A$6=$BS$1,$BS63,IF($A$6=$BT$1,$BT63,IF($A$6=$BU$1,$BU63,IF($A$6="",INDEX(Tiere!$BN$2:$BN$153,_xlfn.AGGREGATE(15,6,(ROW(Tiere!$BN$2:$BN$153)-1)/(--(SEARCH(AM$2,Tiere!$BN$2:$BN$153)&gt;0)),ROW()-2),1))))))))),"")</f>
        <v>Zuchtschweine - N-reduzierte Fütterung - Mist/Jauche</v>
      </c>
      <c r="AM64" s="1599"/>
      <c r="AN64" s="1624" t="str">
        <f>IFERROR(IF($A$7=$BO$1,$BO63,IF($A$7=$BP$1,$BP63,IF($A$7=$BQ$1,$BQ63,IF($A$7=$BR$1,$BR63,IF($A$7=$BS$1,$BS63,IF($A$7=$BT$1,$BT63,IF($A$7=$BU$1,$BU63,IF($A$7="",INDEX(Tiere!$BN$2:$BN$153,_xlfn.AGGREGATE(15,6,(ROW(Tiere!$BN$2:$BN$153)-1)/(--(SEARCH(AM$2,Tiere!$BN$2:$BN$153)&gt;0)),ROW()-2),1))))))))),"")</f>
        <v>Zuchtschweine - N-reduzierte Fütterung - Mist/Jauche</v>
      </c>
      <c r="AO64" s="1599"/>
      <c r="AP64" s="1624" t="str">
        <f>IFERROR(IF($A$8=$BO$1,$BO63,IF($A$8=$BP$1,$BP63,IF($A$8=$BQ$1,$BQ63,IF($A$8=$BR$1,$BR63,IF($A$8=$BS$1,$BS63,IF($A$8=$BT$1,$BT63,IF($A$8=$BU$1,$BU63,IF($A$8="",INDEX(Tiere!$BN$2:$BN$153,_xlfn.AGGREGATE(15,6,(ROW(Tiere!$BN$2:$BN$153)-1)/(--(SEARCH(AQ$2,Tiere!$BN$2:$BN$153)&gt;0)),ROW()-2),1))))))))),"")</f>
        <v>Zuchtschweine - N-reduzierte Fütterung - Mist/Jauche</v>
      </c>
      <c r="AQ64" s="1599"/>
      <c r="AR64" s="1624" t="str">
        <f>IFERROR(IF($A$9=$BO$1,$BO63,IF($A$9=$BP$1,$BP63,IF($A$9=$BQ$1,$BQ63,IF($A$9=$BR$1,$BR63,IF($A$9=$BS$1,$BS63,IF($A$9=$BT$1,$BT63,IF($A$9=$BU$1,$BU63,IF($A$9="",INDEX(Tiere!$BN$2:$BN$153,_xlfn.AGGREGATE(15,6,(ROW(Tiere!$BN$2:$BN$153)-1)/(--(SEARCH(AS$2,Tiere!$BN$2:$BN$153)&gt;0)),ROW()-2),1))))))))),"")</f>
        <v>Zuchtschweine - N-reduzierte Fütterung - Mist/Jauche</v>
      </c>
      <c r="AS64" s="1599"/>
      <c r="AT64" s="1624" t="str">
        <f>IFERROR(IF($A$10=$BO$1,$BO63,IF($A$10=$BP$1,$BP63,IF($A$10=$BQ$1,$BQ63,IF($A$10=$BR$1,$BR63,IF($A$10=$BS$1,$BS63,IF($A$10=$BT$1,$BT63,IF($A$10=$BU$1,$BU63,IF($A$10="",INDEX(Tiere!$BN$2:$BN$153,_xlfn.AGGREGATE(15,6,(ROW(Tiere!$BN$2:$BN$153)-1)/(--(SEARCH(AU$2,Tiere!$BN$2:$BN$153)&gt;0)),ROW()-2),1))))))))),"")</f>
        <v>Zuchtschweine - N-reduzierte Fütterung - Mist/Jauche</v>
      </c>
      <c r="AU64" s="1599"/>
      <c r="AV64" s="1624" t="str">
        <f>IFERROR(IF($A$11=$BO$1,$BO63,IF($A$11=$BP$1,$BP63,IF($A$11=$BQ$1,$BQ63,IF($A$11=$BR$1,$BR63,IF($A$11=$BS$1,$BS63,IF($A$11=$BT$1,$BT63,IF($A$11=$BU$1,$BU63,IF($A$11="",INDEX(Tiere!$BN$2:$BN$153,_xlfn.AGGREGATE(15,6,(ROW(Tiere!$BN$2:$BN$153)-1)/(--(SEARCH(AW$2,Tiere!$BN$2:$BN$153)&gt;0)),ROW()-2),1))))))))),"")</f>
        <v>Zuchtschweine - N-reduzierte Fütterung - Mist/Jauche</v>
      </c>
      <c r="AW64" s="1599"/>
      <c r="AX64" s="1624" t="str">
        <f>IFERROR(IF($A$12=$BO$1,$BO63,IF($A$12=$BP$1,$BP63,IF($A$12=$BQ$1,$BQ63,IF($A$12=$BR$1,$BR63,IF($A$12=$BS$1,$BS63,IF($A$12=$BT$1,$BT63,IF($A$12=$BU$1,$BU63,IF($A$12="",INDEX(Tiere!$BN$2:$BN$153,_xlfn.AGGREGATE(15,6,(ROW(Tiere!$BN$2:$BN$153)-1)/(--(SEARCH(AY$2,Tiere!$BN$2:$BN$153)&gt;0)),ROW()-2),1))))))))),"")</f>
        <v>Zuchtschweine - N-reduzierte Fütterung - Mist/Jauche</v>
      </c>
      <c r="AY64" s="1599"/>
      <c r="AZ64" s="1624" t="str">
        <f>IFERROR(IF($A$13=$BO$1,$BO63,IF($A$13=$BP$1,$BP63,IF($A$13=$BQ$1,$BQ63,IF($A$13=$BR$1,$BR63,IF($A$13=$BS$1,$BS63,IF($A$13=$BT$1,$BT63,IF($A$13=$BU$1,$BU63,IF($A$13="",INDEX(Tiere!$BN$2:$BN$153,_xlfn.AGGREGATE(15,6,(ROW(Tiere!$BN$2:$BN$153)-1)/(--(SEARCH(BA$2,Tiere!$BN$2:$BN$153)&gt;0)),ROW()-2),1))))))))),"")</f>
        <v>Zuchtschweine - N-reduzierte Fütterung - Mist/Jauche</v>
      </c>
      <c r="BA64" s="1599"/>
      <c r="BB64" s="1624" t="str">
        <f>IFERROR(IF($A$14=$BO$1,$BO63,IF($A$14=$BP$1,$BP63,IF($A$14=$BQ$1,$BQ63,IF($A$14=$BR$1,$BR63,IF($A$14=$BS$1,$BS63,IF($A$14=$BT$1,$BT63,IF($A$14=$BU$1,$BU63,IF($A$14="",INDEX(Tiere!$BN$2:$BN$153,_xlfn.AGGREGATE(15,6,(ROW(Tiere!$BN$2:$BN$153)-1)/(--(SEARCH(BC$2,Tiere!$BN$2:$BN$153)&gt;0)),ROW()-2),1))))))))),"")</f>
        <v>Zuchtschweine - N-reduzierte Fütterung - Mist/Jauche</v>
      </c>
      <c r="BC64" s="1599"/>
      <c r="BD64" s="1624" t="str">
        <f>IFERROR(IF($A$15=$BO$1,$BO63,IF($A$15=$BP$1,$BP63,IF($A$15=$BQ$1,$BQ63,IF($A$15=$BR$1,$BR63,IF($A$15=$BS$1,$BS63,IF($A$15=$BT$1,$BT63,IF($A$15=$BU$1,$BU63,IF($A$15="",INDEX(Tiere!$BN$2:$BN$153,_xlfn.AGGREGATE(15,6,(ROW(Tiere!$BN$2:$BN$153)-1)/(--(SEARCH(BE$2,Tiere!$BN$2:$BN$153)&gt;0)),ROW()-2),1))))))))),"")</f>
        <v>Zuchtschweine - N-reduzierte Fütterung - Mist/Jauche</v>
      </c>
      <c r="BE64" s="1599"/>
      <c r="BF64" s="1624" t="str">
        <f>IFERROR(IF($A$16=$BO$1,$BO63,IF($A$16=$BP$1,$BP63,IF($A$16=$BQ$1,$BQ63,IF($A$16=$BR$1,$BR63,IF($A$16=$BS$1,$BS63,IF($A$16=$BT$1,$BT63,IF($A$16=$BU$1,$BU63,IF($A$16="",INDEX(Tiere!$BN$2:$BN$153,_xlfn.AGGREGATE(15,6,(ROW(Tiere!$BN$2:$BN$153)-1)/(--(SEARCH(BG$2,Tiere!$BN$2:$BN$153)&gt;0)),ROW()-2),1))))))))),"")</f>
        <v>Zuchtschweine - N-reduzierte Fütterung - Mist/Jauche</v>
      </c>
      <c r="BG64" s="1599"/>
      <c r="BH64" s="1624" t="str">
        <f>IFERROR(IF($A$17=$BO$1,$BO63,IF($A$17=$BP$1,$BP63,IF($A$17=$BQ$1,$BQ63,IF($A$17=$BR$1,$BR63,IF($A$17=$BS$1,$BS63,IF($A$17=$BT$1,$BT63,IF($A$17=$BU$1,$BU63,IF($A$17="",INDEX(Tiere!$BN$2:$BN$153,_xlfn.AGGREGATE(15,6,(ROW(Tiere!$BN$2:$BN$153)-1)/(--(SEARCH(BI$2,Tiere!$BN$2:$BN$153)&gt;0)),ROW()-2),1))))))))),"")</f>
        <v>Zuchtschweine - N-reduzierte Fütterung - Mist/Jauche</v>
      </c>
      <c r="BI64" s="1599"/>
      <c r="BJ64" s="1624" t="str">
        <f>IFERROR(IF($A$18=$BO$1,$BO63,IF($A$18=$BP$1,$BP63,IF($A$18=$BQ$1,$BQ63,IF($A$18=$BR$1,$BR63,IF($A$18=$BS$1,$BS63,IF($A$18=$BT$1,$BT63,IF($A$18=$BU$1,$BU63,IF($A$18="",INDEX(Tiere!$BN$2:$BN$153,_xlfn.AGGREGATE(15,6,(ROW(Tiere!$BN$2:$BN$153)-1)/(--(SEARCH(BK$2,Tiere!$BN$2:$BN$153)&gt;0)),ROW()-2),1))))))))),"")</f>
        <v>Zuchtschweine - N-reduzierte Fütterung - Mist/Jauche</v>
      </c>
      <c r="BK64" s="1599"/>
      <c r="BL64" s="1624" t="str">
        <f>IFERROR(IF($A$19=$BO$1,$BO63,IF($A$19=$BP$1,$BP63,IF($A$19=$BQ$1,$BQ63,IF($A$19=$BR$1,$BR63,IF($A$19=$BS$1,$BS63,IF($A$19=$BT$1,$BT63,IF($A$19=$BU$1,$BU63,IF($A$19="",INDEX(Tiere!$BN$2:$BN$153,_xlfn.AGGREGATE(15,6,(ROW(Tiere!$BN$2:$BN$153)-1)/(--(SEARCH(BM$2,Tiere!$BN$2:$BN$153)&gt;0)),ROW()-2),1))))))))),"")</f>
        <v>Zuchtschweine - N-reduzierte Fütterung - Mist/Jauche</v>
      </c>
      <c r="BM64" s="1599"/>
      <c r="BN64" s="1630" t="s">
        <v>733</v>
      </c>
      <c r="BO64" s="1599"/>
      <c r="BP64" s="1599"/>
      <c r="BQ64" s="1599"/>
      <c r="BR64" s="1599"/>
      <c r="BS64" s="1599"/>
      <c r="BT64" s="1599"/>
      <c r="BU64" s="1623"/>
      <c r="CD64" s="1911" t="s">
        <v>733</v>
      </c>
    </row>
    <row r="65" spans="36:82" ht="13.5" thickBot="1">
      <c r="AJ65" s="1624" t="str">
        <f>IFERROR(IF($A$5=$BO$1,$BO64,IF($A$5=$BP$1,$BP64,IF($A$5=$BQ$1,$BQ64,IF($A$5=$BR$1,$BR64,IF($A$5=$BS$1,$BS64,IF($A$5=$BT$1,$BT64,IF($A$5=$BU$1,$BU64,IF($A$5="",INDEX(Tiere!$BN$2:$BN$153,_xlfn.AGGREGATE(15,6,(ROW(Tiere!$BN$2:$BN$153)-1)/(--(SEARCH(AK$2,Tiere!$BN$2:$BN$153)&gt;0)),ROW()-2),1))))))))),"")</f>
        <v>Zuchtschweine - N-reduzierte Fütterung - Tiefstallmist</v>
      </c>
      <c r="AK65" s="1601"/>
      <c r="AL65" s="1624" t="str">
        <f>IFERROR(IF($A$6=$BO$1,$BO64,IF($A$6=$BP$1,$BP64,IF($A$6=$BQ$1,$BQ64,IF($A$6=$BR$1,$BR64,IF($A$6=$BS$1,$BS64,IF($A$6=$BT$1,$BT64,IF($A$6=$BU$1,$BU64,IF($A$6="",INDEX(Tiere!$BN$2:$BN$153,_xlfn.AGGREGATE(15,6,(ROW(Tiere!$BN$2:$BN$153)-1)/(--(SEARCH(AM$2,Tiere!$BN$2:$BN$153)&gt;0)),ROW()-2),1))))))))),"")</f>
        <v>Zuchtschweine - N-reduzierte Fütterung - Tiefstallmist</v>
      </c>
      <c r="AM65" s="1601"/>
      <c r="AN65" s="1624" t="str">
        <f>IFERROR(IF($A$7=$BO$1,$BO64,IF($A$7=$BP$1,$BP64,IF($A$7=$BQ$1,$BQ64,IF($A$7=$BR$1,$BR64,IF($A$7=$BS$1,$BS64,IF($A$7=$BT$1,$BT64,IF($A$7=$BU$1,$BU64,IF($A$7="",INDEX(Tiere!$BN$2:$BN$153,_xlfn.AGGREGATE(15,6,(ROW(Tiere!$BN$2:$BN$153)-1)/(--(SEARCH(AM$2,Tiere!$BN$2:$BN$153)&gt;0)),ROW()-2),1))))))))),"")</f>
        <v>Zuchtschweine - N-reduzierte Fütterung - Tiefstallmist</v>
      </c>
      <c r="AO65" s="1601"/>
      <c r="AP65" s="1624" t="str">
        <f>IFERROR(IF($A$8=$BO$1,$BO64,IF($A$8=$BP$1,$BP64,IF($A$8=$BQ$1,$BQ64,IF($A$8=$BR$1,$BR64,IF($A$8=$BS$1,$BS64,IF($A$8=$BT$1,$BT64,IF($A$8=$BU$1,$BU64,IF($A$8="",INDEX(Tiere!$BN$2:$BN$153,_xlfn.AGGREGATE(15,6,(ROW(Tiere!$BN$2:$BN$153)-1)/(--(SEARCH(AQ$2,Tiere!$BN$2:$BN$153)&gt;0)),ROW()-2),1))))))))),"")</f>
        <v>Zuchtschweine - N-reduzierte Fütterung - Tiefstallmist</v>
      </c>
      <c r="AQ65" s="1601"/>
      <c r="AR65" s="1624" t="str">
        <f>IFERROR(IF($A$9=$BO$1,$BO64,IF($A$9=$BP$1,$BP64,IF($A$9=$BQ$1,$BQ64,IF($A$9=$BR$1,$BR64,IF($A$9=$BS$1,$BS64,IF($A$9=$BT$1,$BT64,IF($A$9=$BU$1,$BU64,IF($A$9="",INDEX(Tiere!$BN$2:$BN$153,_xlfn.AGGREGATE(15,6,(ROW(Tiere!$BN$2:$BN$153)-1)/(--(SEARCH(AS$2,Tiere!$BN$2:$BN$153)&gt;0)),ROW()-2),1))))))))),"")</f>
        <v>Zuchtschweine - N-reduzierte Fütterung - Tiefstallmist</v>
      </c>
      <c r="AS65" s="1601"/>
      <c r="AT65" s="1624" t="str">
        <f>IFERROR(IF($A$10=$BO$1,$BO64,IF($A$10=$BP$1,$BP64,IF($A$10=$BQ$1,$BQ64,IF($A$10=$BR$1,$BR64,IF($A$10=$BS$1,$BS64,IF($A$10=$BT$1,$BT64,IF($A$10=$BU$1,$BU64,IF($A$10="",INDEX(Tiere!$BN$2:$BN$153,_xlfn.AGGREGATE(15,6,(ROW(Tiere!$BN$2:$BN$153)-1)/(--(SEARCH(AU$2,Tiere!$BN$2:$BN$153)&gt;0)),ROW()-2),1))))))))),"")</f>
        <v>Zuchtschweine - N-reduzierte Fütterung - Tiefstallmist</v>
      </c>
      <c r="AU65" s="1601"/>
      <c r="AV65" s="1624" t="str">
        <f>IFERROR(IF($A$11=$BO$1,$BO64,IF($A$11=$BP$1,$BP64,IF($A$11=$BQ$1,$BQ64,IF($A$11=$BR$1,$BR64,IF($A$11=$BS$1,$BS64,IF($A$11=$BT$1,$BT64,IF($A$11=$BU$1,$BU64,IF($A$11="",INDEX(Tiere!$BN$2:$BN$153,_xlfn.AGGREGATE(15,6,(ROW(Tiere!$BN$2:$BN$153)-1)/(--(SEARCH(AW$2,Tiere!$BN$2:$BN$153)&gt;0)),ROW()-2),1))))))))),"")</f>
        <v>Zuchtschweine - N-reduzierte Fütterung - Tiefstallmist</v>
      </c>
      <c r="AW65" s="1601"/>
      <c r="AX65" s="1624" t="str">
        <f>IFERROR(IF($A$12=$BO$1,$BO64,IF($A$12=$BP$1,$BP64,IF($A$12=$BQ$1,$BQ64,IF($A$12=$BR$1,$BR64,IF($A$12=$BS$1,$BS64,IF($A$12=$BT$1,$BT64,IF($A$12=$BU$1,$BU64,IF($A$12="",INDEX(Tiere!$BN$2:$BN$153,_xlfn.AGGREGATE(15,6,(ROW(Tiere!$BN$2:$BN$153)-1)/(--(SEARCH(AY$2,Tiere!$BN$2:$BN$153)&gt;0)),ROW()-2),1))))))))),"")</f>
        <v>Zuchtschweine - N-reduzierte Fütterung - Tiefstallmist</v>
      </c>
      <c r="AY65" s="1601"/>
      <c r="AZ65" s="1624" t="str">
        <f>IFERROR(IF($A$13=$BO$1,$BO64,IF($A$13=$BP$1,$BP64,IF($A$13=$BQ$1,$BQ64,IF($A$13=$BR$1,$BR64,IF($A$13=$BS$1,$BS64,IF($A$13=$BT$1,$BT64,IF($A$13=$BU$1,$BU64,IF($A$13="",INDEX(Tiere!$BN$2:$BN$153,_xlfn.AGGREGATE(15,6,(ROW(Tiere!$BN$2:$BN$153)-1)/(--(SEARCH(BA$2,Tiere!$BN$2:$BN$153)&gt;0)),ROW()-2),1))))))))),"")</f>
        <v>Zuchtschweine - N-reduzierte Fütterung - Tiefstallmist</v>
      </c>
      <c r="BA65" s="1601"/>
      <c r="BB65" s="1624" t="str">
        <f>IFERROR(IF($A$14=$BO$1,$BO64,IF($A$14=$BP$1,$BP64,IF($A$14=$BQ$1,$BQ64,IF($A$14=$BR$1,$BR64,IF($A$14=$BS$1,$BS64,IF($A$14=$BT$1,$BT64,IF($A$14=$BU$1,$BU64,IF($A$14="",INDEX(Tiere!$BN$2:$BN$153,_xlfn.AGGREGATE(15,6,(ROW(Tiere!$BN$2:$BN$153)-1)/(--(SEARCH(BC$2,Tiere!$BN$2:$BN$153)&gt;0)),ROW()-2),1))))))))),"")</f>
        <v>Zuchtschweine - N-reduzierte Fütterung - Tiefstallmist</v>
      </c>
      <c r="BC65" s="1601"/>
      <c r="BD65" s="1624" t="str">
        <f>IFERROR(IF($A$15=$BO$1,$BO64,IF($A$15=$BP$1,$BP64,IF($A$15=$BQ$1,$BQ64,IF($A$15=$BR$1,$BR64,IF($A$15=$BS$1,$BS64,IF($A$15=$BT$1,$BT64,IF($A$15=$BU$1,$BU64,IF($A$15="",INDEX(Tiere!$BN$2:$BN$153,_xlfn.AGGREGATE(15,6,(ROW(Tiere!$BN$2:$BN$153)-1)/(--(SEARCH(BE$2,Tiere!$BN$2:$BN$153)&gt;0)),ROW()-2),1))))))))),"")</f>
        <v>Zuchtschweine - N-reduzierte Fütterung - Tiefstallmist</v>
      </c>
      <c r="BE65" s="1601"/>
      <c r="BF65" s="1624" t="str">
        <f>IFERROR(IF($A$16=$BO$1,$BO64,IF($A$16=$BP$1,$BP64,IF($A$16=$BQ$1,$BQ64,IF($A$16=$BR$1,$BR64,IF($A$16=$BS$1,$BS64,IF($A$16=$BT$1,$BT64,IF($A$16=$BU$1,$BU64,IF($A$16="",INDEX(Tiere!$BN$2:$BN$153,_xlfn.AGGREGATE(15,6,(ROW(Tiere!$BN$2:$BN$153)-1)/(--(SEARCH(BG$2,Tiere!$BN$2:$BN$153)&gt;0)),ROW()-2),1))))))))),"")</f>
        <v>Zuchtschweine - N-reduzierte Fütterung - Tiefstallmist</v>
      </c>
      <c r="BG65" s="1601"/>
      <c r="BH65" s="1624" t="str">
        <f>IFERROR(IF($A$17=$BO$1,$BO64,IF($A$17=$BP$1,$BP64,IF($A$17=$BQ$1,$BQ64,IF($A$17=$BR$1,$BR64,IF($A$17=$BS$1,$BS64,IF($A$17=$BT$1,$BT64,IF($A$17=$BU$1,$BU64,IF($A$17="",INDEX(Tiere!$BN$2:$BN$153,_xlfn.AGGREGATE(15,6,(ROW(Tiere!$BN$2:$BN$153)-1)/(--(SEARCH(BI$2,Tiere!$BN$2:$BN$153)&gt;0)),ROW()-2),1))))))))),"")</f>
        <v>Zuchtschweine - N-reduzierte Fütterung - Tiefstallmist</v>
      </c>
      <c r="BI65" s="1601"/>
      <c r="BJ65" s="1624" t="str">
        <f>IFERROR(IF($A$18=$BO$1,$BO64,IF($A$18=$BP$1,$BP64,IF($A$18=$BQ$1,$BQ64,IF($A$18=$BR$1,$BR64,IF($A$18=$BS$1,$BS64,IF($A$18=$BT$1,$BT64,IF($A$18=$BU$1,$BU64,IF($A$18="",INDEX(Tiere!$BN$2:$BN$153,_xlfn.AGGREGATE(15,6,(ROW(Tiere!$BN$2:$BN$153)-1)/(--(SEARCH(BK$2,Tiere!$BN$2:$BN$153)&gt;0)),ROW()-2),1))))))))),"")</f>
        <v>Zuchtschweine - N-reduzierte Fütterung - Tiefstallmist</v>
      </c>
      <c r="BK65" s="1601"/>
      <c r="BL65" s="1624" t="str">
        <f>IFERROR(IF($A$19=$BO$1,$BO64,IF($A$19=$BP$1,$BP64,IF($A$19=$BQ$1,$BQ64,IF($A$19=$BR$1,$BR64,IF($A$19=$BS$1,$BS64,IF($A$19=$BT$1,$BT64,IF($A$19=$BU$1,$BU64,IF($A$19="",INDEX(Tiere!$BN$2:$BN$153,_xlfn.AGGREGATE(15,6,(ROW(Tiere!$BN$2:$BN$153)-1)/(--(SEARCH(BM$2,Tiere!$BN$2:$BN$153)&gt;0)),ROW()-2),1))))))))),"")</f>
        <v>Zuchtschweine - N-reduzierte Fütterung - Tiefstallmist</v>
      </c>
      <c r="BM65" s="1601"/>
      <c r="BN65" s="1630" t="s">
        <v>2389</v>
      </c>
      <c r="BO65" s="1599"/>
      <c r="BP65" s="1599"/>
      <c r="BQ65" s="1599"/>
      <c r="BR65" s="1599"/>
      <c r="BS65" s="1599"/>
      <c r="BT65" s="1599"/>
      <c r="BU65" s="1599"/>
      <c r="CD65" s="1911" t="s">
        <v>2389</v>
      </c>
    </row>
    <row r="66" spans="36:82" ht="13.5" thickBot="1">
      <c r="AJ66" s="1624" t="str">
        <f>IFERROR(IF($A$5=$BO$1,$BO65,IF($A$5=$BP$1,$BP65,IF($A$5=$BQ$1,$BQ65,IF($A$5=$BR$1,$BR65,IF($A$5=$BS$1,$BS65,IF($A$5=$BT$1,$BT65,IF($A$5=$BU$1,$BU65,IF($A$5="",INDEX(Tiere!$BN$2:$BN$153,_xlfn.AGGREGATE(15,6,(ROW(Tiere!$BN$2:$BN$153)-1)/(--(SEARCH(AK$2,Tiere!$BN$2:$BN$153)&gt;0)),ROW()-2),1))))))))),"")</f>
        <v>Zuchtschweine - stark-N-reduzierte Fütterung - Gülle</v>
      </c>
      <c r="AK66" s="1599"/>
      <c r="AL66" s="1624" t="str">
        <f>IFERROR(IF($A$6=$BO$1,$BO65,IF($A$6=$BP$1,$BP65,IF($A$6=$BQ$1,$BQ65,IF($A$6=$BR$1,$BR65,IF($A$6=$BS$1,$BS65,IF($A$6=$BT$1,$BT65,IF($A$6=$BU$1,$BU65,IF($A$6="",INDEX(Tiere!$BN$2:$BN$153,_xlfn.AGGREGATE(15,6,(ROW(Tiere!$BN$2:$BN$153)-1)/(--(SEARCH(AM$2,Tiere!$BN$2:$BN$153)&gt;0)),ROW()-2),1))))))))),"")</f>
        <v>Zuchtschweine - stark-N-reduzierte Fütterung - Gülle</v>
      </c>
      <c r="AM66" s="1599"/>
      <c r="AN66" s="1624" t="str">
        <f>IFERROR(IF($A$7=$BO$1,$BO65,IF($A$7=$BP$1,$BP65,IF($A$7=$BQ$1,$BQ65,IF($A$7=$BR$1,$BR65,IF($A$7=$BS$1,$BS65,IF($A$7=$BT$1,$BT65,IF($A$7=$BU$1,$BU65,IF($A$7="",INDEX(Tiere!$BN$2:$BN$153,_xlfn.AGGREGATE(15,6,(ROW(Tiere!$BN$2:$BN$153)-1)/(--(SEARCH(AM$2,Tiere!$BN$2:$BN$153)&gt;0)),ROW()-2),1))))))))),"")</f>
        <v>Zuchtschweine - stark-N-reduzierte Fütterung - Gülle</v>
      </c>
      <c r="AO66" s="1599"/>
      <c r="AP66" s="1624" t="str">
        <f>IFERROR(IF($A$8=$BO$1,$BO65,IF($A$8=$BP$1,$BP65,IF($A$8=$BQ$1,$BQ65,IF($A$8=$BR$1,$BR65,IF($A$8=$BS$1,$BS65,IF($A$8=$BT$1,$BT65,IF($A$8=$BU$1,$BU65,IF($A$8="",INDEX(Tiere!$BN$2:$BN$153,_xlfn.AGGREGATE(15,6,(ROW(Tiere!$BN$2:$BN$153)-1)/(--(SEARCH(AQ$2,Tiere!$BN$2:$BN$153)&gt;0)),ROW()-2),1))))))))),"")</f>
        <v>Zuchtschweine - stark-N-reduzierte Fütterung - Gülle</v>
      </c>
      <c r="AQ66" s="1599"/>
      <c r="AR66" s="1624" t="str">
        <f>IFERROR(IF($A$9=$BO$1,$BO65,IF($A$9=$BP$1,$BP65,IF($A$9=$BQ$1,$BQ65,IF($A$9=$BR$1,$BR65,IF($A$9=$BS$1,$BS65,IF($A$9=$BT$1,$BT65,IF($A$9=$BU$1,$BU65,IF($A$9="",INDEX(Tiere!$BN$2:$BN$153,_xlfn.AGGREGATE(15,6,(ROW(Tiere!$BN$2:$BN$153)-1)/(--(SEARCH(AS$2,Tiere!$BN$2:$BN$153)&gt;0)),ROW()-2),1))))))))),"")</f>
        <v>Zuchtschweine - stark-N-reduzierte Fütterung - Gülle</v>
      </c>
      <c r="AS66" s="1599"/>
      <c r="AT66" s="1624" t="str">
        <f>IFERROR(IF($A$10=$BO$1,$BO65,IF($A$10=$BP$1,$BP65,IF($A$10=$BQ$1,$BQ65,IF($A$10=$BR$1,$BR65,IF($A$10=$BS$1,$BS65,IF($A$10=$BT$1,$BT65,IF($A$10=$BU$1,$BU65,IF($A$10="",INDEX(Tiere!$BN$2:$BN$153,_xlfn.AGGREGATE(15,6,(ROW(Tiere!$BN$2:$BN$153)-1)/(--(SEARCH(AU$2,Tiere!$BN$2:$BN$153)&gt;0)),ROW()-2),1))))))))),"")</f>
        <v>Zuchtschweine - stark-N-reduzierte Fütterung - Gülle</v>
      </c>
      <c r="AU66" s="1599"/>
      <c r="AV66" s="1624" t="str">
        <f>IFERROR(IF($A$11=$BO$1,$BO65,IF($A$11=$BP$1,$BP65,IF($A$11=$BQ$1,$BQ65,IF($A$11=$BR$1,$BR65,IF($A$11=$BS$1,$BS65,IF($A$11=$BT$1,$BT65,IF($A$11=$BU$1,$BU65,IF($A$11="",INDEX(Tiere!$BN$2:$BN$153,_xlfn.AGGREGATE(15,6,(ROW(Tiere!$BN$2:$BN$153)-1)/(--(SEARCH(AW$2,Tiere!$BN$2:$BN$153)&gt;0)),ROW()-2),1))))))))),"")</f>
        <v>Zuchtschweine - stark-N-reduzierte Fütterung - Gülle</v>
      </c>
      <c r="AW66" s="1599"/>
      <c r="AX66" s="1624" t="str">
        <f>IFERROR(IF($A$12=$BO$1,$BO65,IF($A$12=$BP$1,$BP65,IF($A$12=$BQ$1,$BQ65,IF($A$12=$BR$1,$BR65,IF($A$12=$BS$1,$BS65,IF($A$12=$BT$1,$BT65,IF($A$12=$BU$1,$BU65,IF($A$12="",INDEX(Tiere!$BN$2:$BN$153,_xlfn.AGGREGATE(15,6,(ROW(Tiere!$BN$2:$BN$153)-1)/(--(SEARCH(AY$2,Tiere!$BN$2:$BN$153)&gt;0)),ROW()-2),1))))))))),"")</f>
        <v>Zuchtschweine - stark-N-reduzierte Fütterung - Gülle</v>
      </c>
      <c r="AY66" s="1599"/>
      <c r="AZ66" s="1624" t="str">
        <f>IFERROR(IF($A$13=$BO$1,$BO65,IF($A$13=$BP$1,$BP65,IF($A$13=$BQ$1,$BQ65,IF($A$13=$BR$1,$BR65,IF($A$13=$BS$1,$BS65,IF($A$13=$BT$1,$BT65,IF($A$13=$BU$1,$BU65,IF($A$13="",INDEX(Tiere!$BN$2:$BN$153,_xlfn.AGGREGATE(15,6,(ROW(Tiere!$BN$2:$BN$153)-1)/(--(SEARCH(BA$2,Tiere!$BN$2:$BN$153)&gt;0)),ROW()-2),1))))))))),"")</f>
        <v>Zuchtschweine - stark-N-reduzierte Fütterung - Gülle</v>
      </c>
      <c r="BA66" s="1599"/>
      <c r="BB66" s="1624" t="str">
        <f>IFERROR(IF($A$14=$BO$1,$BO65,IF($A$14=$BP$1,$BP65,IF($A$14=$BQ$1,$BQ65,IF($A$14=$BR$1,$BR65,IF($A$14=$BS$1,$BS65,IF($A$14=$BT$1,$BT65,IF($A$14=$BU$1,$BU65,IF($A$14="",INDEX(Tiere!$BN$2:$BN$153,_xlfn.AGGREGATE(15,6,(ROW(Tiere!$BN$2:$BN$153)-1)/(--(SEARCH(BC$2,Tiere!$BN$2:$BN$153)&gt;0)),ROW()-2),1))))))))),"")</f>
        <v>Zuchtschweine - stark-N-reduzierte Fütterung - Gülle</v>
      </c>
      <c r="BC66" s="1599"/>
      <c r="BD66" s="1624" t="str">
        <f>IFERROR(IF($A$15=$BO$1,$BO65,IF($A$15=$BP$1,$BP65,IF($A$15=$BQ$1,$BQ65,IF($A$15=$BR$1,$BR65,IF($A$15=$BS$1,$BS65,IF($A$15=$BT$1,$BT65,IF($A$15=$BU$1,$BU65,IF($A$15="",INDEX(Tiere!$BN$2:$BN$153,_xlfn.AGGREGATE(15,6,(ROW(Tiere!$BN$2:$BN$153)-1)/(--(SEARCH(BE$2,Tiere!$BN$2:$BN$153)&gt;0)),ROW()-2),1))))))))),"")</f>
        <v>Zuchtschweine - stark-N-reduzierte Fütterung - Gülle</v>
      </c>
      <c r="BE66" s="1599"/>
      <c r="BF66" s="1624" t="str">
        <f>IFERROR(IF($A$16=$BO$1,$BO65,IF($A$16=$BP$1,$BP65,IF($A$16=$BQ$1,$BQ65,IF($A$16=$BR$1,$BR65,IF($A$16=$BS$1,$BS65,IF($A$16=$BT$1,$BT65,IF($A$16=$BU$1,$BU65,IF($A$16="",INDEX(Tiere!$BN$2:$BN$153,_xlfn.AGGREGATE(15,6,(ROW(Tiere!$BN$2:$BN$153)-1)/(--(SEARCH(BG$2,Tiere!$BN$2:$BN$153)&gt;0)),ROW()-2),1))))))))),"")</f>
        <v>Zuchtschweine - stark-N-reduzierte Fütterung - Gülle</v>
      </c>
      <c r="BG66" s="1599"/>
      <c r="BH66" s="1624" t="str">
        <f>IFERROR(IF($A$17=$BO$1,$BO65,IF($A$17=$BP$1,$BP65,IF($A$17=$BQ$1,$BQ65,IF($A$17=$BR$1,$BR65,IF($A$17=$BS$1,$BS65,IF($A$17=$BT$1,$BT65,IF($A$17=$BU$1,$BU65,IF($A$17="",INDEX(Tiere!$BN$2:$BN$153,_xlfn.AGGREGATE(15,6,(ROW(Tiere!$BN$2:$BN$153)-1)/(--(SEARCH(BI$2,Tiere!$BN$2:$BN$153)&gt;0)),ROW()-2),1))))))))),"")</f>
        <v>Zuchtschweine - stark-N-reduzierte Fütterung - Gülle</v>
      </c>
      <c r="BI66" s="1599"/>
      <c r="BJ66" s="1624" t="str">
        <f>IFERROR(IF($A$18=$BO$1,$BO65,IF($A$18=$BP$1,$BP65,IF($A$18=$BQ$1,$BQ65,IF($A$18=$BR$1,$BR65,IF($A$18=$BS$1,$BS65,IF($A$18=$BT$1,$BT65,IF($A$18=$BU$1,$BU65,IF($A$18="",INDEX(Tiere!$BN$2:$BN$153,_xlfn.AGGREGATE(15,6,(ROW(Tiere!$BN$2:$BN$153)-1)/(--(SEARCH(BK$2,Tiere!$BN$2:$BN$153)&gt;0)),ROW()-2),1))))))))),"")</f>
        <v>Zuchtschweine - stark-N-reduzierte Fütterung - Gülle</v>
      </c>
      <c r="BK66" s="1599"/>
      <c r="BL66" s="1624" t="str">
        <f>IFERROR(IF($A$19=$BO$1,$BO65,IF($A$19=$BP$1,$BP65,IF($A$19=$BQ$1,$BQ65,IF($A$19=$BR$1,$BR65,IF($A$19=$BS$1,$BS65,IF($A$19=$BT$1,$BT65,IF($A$19=$BU$1,$BU65,IF($A$19="",INDEX(Tiere!$BN$2:$BN$153,_xlfn.AGGREGATE(15,6,(ROW(Tiere!$BN$2:$BN$153)-1)/(--(SEARCH(BM$2,Tiere!$BN$2:$BN$153)&gt;0)),ROW()-2),1))))))))),"")</f>
        <v>Zuchtschweine - stark-N-reduzierte Fütterung - Gülle</v>
      </c>
      <c r="BM66" s="1599"/>
      <c r="BN66" s="1630" t="s">
        <v>2390</v>
      </c>
      <c r="BO66" s="1599"/>
      <c r="BP66" s="1599"/>
      <c r="BQ66" s="1599"/>
      <c r="BR66" s="1599"/>
      <c r="BS66" s="1599"/>
      <c r="BT66" s="1599"/>
      <c r="BU66" s="1599"/>
      <c r="CD66" s="1911" t="s">
        <v>2390</v>
      </c>
    </row>
    <row r="67" spans="36:82" ht="13.5" thickBot="1">
      <c r="AJ67" s="1624" t="str">
        <f>IFERROR(IF($A$5=$BO$1,$BO66,IF($A$5=$BP$1,$BP66,IF($A$5=$BQ$1,$BQ66,IF($A$5=$BR$1,$BR66,IF($A$5=$BS$1,$BS66,IF($A$5=$BT$1,$BT66,IF($A$5=$BU$1,$BU66,IF($A$5="",INDEX(Tiere!$BN$2:$BN$153,_xlfn.AGGREGATE(15,6,(ROW(Tiere!$BN$2:$BN$153)-1)/(--(SEARCH(AK$2,Tiere!$BN$2:$BN$153)&gt;0)),ROW()-2),1))))))))),"")</f>
        <v>Zuchtschweine - stark-N-reduzierte Fütterung - Mist/Jauche</v>
      </c>
      <c r="AK67" s="1601"/>
      <c r="AL67" s="1624" t="str">
        <f>IFERROR(IF($A$6=$BO$1,$BO66,IF($A$6=$BP$1,$BP66,IF($A$6=$BQ$1,$BQ66,IF($A$6=$BR$1,$BR66,IF($A$6=$BS$1,$BS66,IF($A$6=$BT$1,$BT66,IF($A$6=$BU$1,$BU66,IF($A$6="",INDEX(Tiere!$BN$2:$BN$153,_xlfn.AGGREGATE(15,6,(ROW(Tiere!$BN$2:$BN$153)-1)/(--(SEARCH(AM$2,Tiere!$BN$2:$BN$153)&gt;0)),ROW()-2),1))))))))),"")</f>
        <v>Zuchtschweine - stark-N-reduzierte Fütterung - Mist/Jauche</v>
      </c>
      <c r="AM67" s="1601"/>
      <c r="AN67" s="1624" t="str">
        <f>IFERROR(IF($A$7=$BO$1,$BO66,IF($A$7=$BP$1,$BP66,IF($A$7=$BQ$1,$BQ66,IF($A$7=$BR$1,$BR66,IF($A$7=$BS$1,$BS66,IF($A$7=$BT$1,$BT66,IF($A$7=$BU$1,$BU66,IF($A$7="",INDEX(Tiere!$BN$2:$BN$153,_xlfn.AGGREGATE(15,6,(ROW(Tiere!$BN$2:$BN$153)-1)/(--(SEARCH(AM$2,Tiere!$BN$2:$BN$153)&gt;0)),ROW()-2),1))))))))),"")</f>
        <v>Zuchtschweine - stark-N-reduzierte Fütterung - Mist/Jauche</v>
      </c>
      <c r="AO67" s="1601"/>
      <c r="AP67" s="1624" t="str">
        <f>IFERROR(IF($A$8=$BO$1,$BO66,IF($A$8=$BP$1,$BP66,IF($A$8=$BQ$1,$BQ66,IF($A$8=$BR$1,$BR66,IF($A$8=$BS$1,$BS66,IF($A$8=$BT$1,$BT66,IF($A$8=$BU$1,$BU66,IF($A$8="",INDEX(Tiere!$BN$2:$BN$153,_xlfn.AGGREGATE(15,6,(ROW(Tiere!$BN$2:$BN$153)-1)/(--(SEARCH(AQ$2,Tiere!$BN$2:$BN$153)&gt;0)),ROW()-2),1))))))))),"")</f>
        <v>Zuchtschweine - stark-N-reduzierte Fütterung - Mist/Jauche</v>
      </c>
      <c r="AQ67" s="1601"/>
      <c r="AR67" s="1624" t="str">
        <f>IFERROR(IF($A$9=$BO$1,$BO66,IF($A$9=$BP$1,$BP66,IF($A$9=$BQ$1,$BQ66,IF($A$9=$BR$1,$BR66,IF($A$9=$BS$1,$BS66,IF($A$9=$BT$1,$BT66,IF($A$9=$BU$1,$BU66,IF($A$9="",INDEX(Tiere!$BN$2:$BN$153,_xlfn.AGGREGATE(15,6,(ROW(Tiere!$BN$2:$BN$153)-1)/(--(SEARCH(AS$2,Tiere!$BN$2:$BN$153)&gt;0)),ROW()-2),1))))))))),"")</f>
        <v>Zuchtschweine - stark-N-reduzierte Fütterung - Mist/Jauche</v>
      </c>
      <c r="AS67" s="1601"/>
      <c r="AT67" s="1624" t="str">
        <f>IFERROR(IF($A$10=$BO$1,$BO66,IF($A$10=$BP$1,$BP66,IF($A$10=$BQ$1,$BQ66,IF($A$10=$BR$1,$BR66,IF($A$10=$BS$1,$BS66,IF($A$10=$BT$1,$BT66,IF($A$10=$BU$1,$BU66,IF($A$10="",INDEX(Tiere!$BN$2:$BN$153,_xlfn.AGGREGATE(15,6,(ROW(Tiere!$BN$2:$BN$153)-1)/(--(SEARCH(AU$2,Tiere!$BN$2:$BN$153)&gt;0)),ROW()-2),1))))))))),"")</f>
        <v>Zuchtschweine - stark-N-reduzierte Fütterung - Mist/Jauche</v>
      </c>
      <c r="AU67" s="1601"/>
      <c r="AV67" s="1624" t="str">
        <f>IFERROR(IF($A$11=$BO$1,$BO66,IF($A$11=$BP$1,$BP66,IF($A$11=$BQ$1,$BQ66,IF($A$11=$BR$1,$BR66,IF($A$11=$BS$1,$BS66,IF($A$11=$BT$1,$BT66,IF($A$11=$BU$1,$BU66,IF($A$11="",INDEX(Tiere!$BN$2:$BN$153,_xlfn.AGGREGATE(15,6,(ROW(Tiere!$BN$2:$BN$153)-1)/(--(SEARCH(AW$2,Tiere!$BN$2:$BN$153)&gt;0)),ROW()-2),1))))))))),"")</f>
        <v>Zuchtschweine - stark-N-reduzierte Fütterung - Mist/Jauche</v>
      </c>
      <c r="AW67" s="1601"/>
      <c r="AX67" s="1624" t="str">
        <f>IFERROR(IF($A$12=$BO$1,$BO66,IF($A$12=$BP$1,$BP66,IF($A$12=$BQ$1,$BQ66,IF($A$12=$BR$1,$BR66,IF($A$12=$BS$1,$BS66,IF($A$12=$BT$1,$BT66,IF($A$12=$BU$1,$BU66,IF($A$12="",INDEX(Tiere!$BN$2:$BN$153,_xlfn.AGGREGATE(15,6,(ROW(Tiere!$BN$2:$BN$153)-1)/(--(SEARCH(AY$2,Tiere!$BN$2:$BN$153)&gt;0)),ROW()-2),1))))))))),"")</f>
        <v>Zuchtschweine - stark-N-reduzierte Fütterung - Mist/Jauche</v>
      </c>
      <c r="AY67" s="1601"/>
      <c r="AZ67" s="1624" t="str">
        <f>IFERROR(IF($A$13=$BO$1,$BO66,IF($A$13=$BP$1,$BP66,IF($A$13=$BQ$1,$BQ66,IF($A$13=$BR$1,$BR66,IF($A$13=$BS$1,$BS66,IF($A$13=$BT$1,$BT66,IF($A$13=$BU$1,$BU66,IF($A$13="",INDEX(Tiere!$BN$2:$BN$153,_xlfn.AGGREGATE(15,6,(ROW(Tiere!$BN$2:$BN$153)-1)/(--(SEARCH(BA$2,Tiere!$BN$2:$BN$153)&gt;0)),ROW()-2),1))))))))),"")</f>
        <v>Zuchtschweine - stark-N-reduzierte Fütterung - Mist/Jauche</v>
      </c>
      <c r="BA67" s="1601"/>
      <c r="BB67" s="1624" t="str">
        <f>IFERROR(IF($A$14=$BO$1,$BO66,IF($A$14=$BP$1,$BP66,IF($A$14=$BQ$1,$BQ66,IF($A$14=$BR$1,$BR66,IF($A$14=$BS$1,$BS66,IF($A$14=$BT$1,$BT66,IF($A$14=$BU$1,$BU66,IF($A$14="",INDEX(Tiere!$BN$2:$BN$153,_xlfn.AGGREGATE(15,6,(ROW(Tiere!$BN$2:$BN$153)-1)/(--(SEARCH(BC$2,Tiere!$BN$2:$BN$153)&gt;0)),ROW()-2),1))))))))),"")</f>
        <v>Zuchtschweine - stark-N-reduzierte Fütterung - Mist/Jauche</v>
      </c>
      <c r="BC67" s="1601"/>
      <c r="BD67" s="1624" t="str">
        <f>IFERROR(IF($A$15=$BO$1,$BO66,IF($A$15=$BP$1,$BP66,IF($A$15=$BQ$1,$BQ66,IF($A$15=$BR$1,$BR66,IF($A$15=$BS$1,$BS66,IF($A$15=$BT$1,$BT66,IF($A$15=$BU$1,$BU66,IF($A$15="",INDEX(Tiere!$BN$2:$BN$153,_xlfn.AGGREGATE(15,6,(ROW(Tiere!$BN$2:$BN$153)-1)/(--(SEARCH(BE$2,Tiere!$BN$2:$BN$153)&gt;0)),ROW()-2),1))))))))),"")</f>
        <v>Zuchtschweine - stark-N-reduzierte Fütterung - Mist/Jauche</v>
      </c>
      <c r="BE67" s="1601"/>
      <c r="BF67" s="1624" t="str">
        <f>IFERROR(IF($A$16=$BO$1,$BO66,IF($A$16=$BP$1,$BP66,IF($A$16=$BQ$1,$BQ66,IF($A$16=$BR$1,$BR66,IF($A$16=$BS$1,$BS66,IF($A$16=$BT$1,$BT66,IF($A$16=$BU$1,$BU66,IF($A$16="",INDEX(Tiere!$BN$2:$BN$153,_xlfn.AGGREGATE(15,6,(ROW(Tiere!$BN$2:$BN$153)-1)/(--(SEARCH(BG$2,Tiere!$BN$2:$BN$153)&gt;0)),ROW()-2),1))))))))),"")</f>
        <v>Zuchtschweine - stark-N-reduzierte Fütterung - Mist/Jauche</v>
      </c>
      <c r="BG67" s="1601"/>
      <c r="BH67" s="1624" t="str">
        <f>IFERROR(IF($A$17=$BO$1,$BO66,IF($A$17=$BP$1,$BP66,IF($A$17=$BQ$1,$BQ66,IF($A$17=$BR$1,$BR66,IF($A$17=$BS$1,$BS66,IF($A$17=$BT$1,$BT66,IF($A$17=$BU$1,$BU66,IF($A$17="",INDEX(Tiere!$BN$2:$BN$153,_xlfn.AGGREGATE(15,6,(ROW(Tiere!$BN$2:$BN$153)-1)/(--(SEARCH(BI$2,Tiere!$BN$2:$BN$153)&gt;0)),ROW()-2),1))))))))),"")</f>
        <v>Zuchtschweine - stark-N-reduzierte Fütterung - Mist/Jauche</v>
      </c>
      <c r="BI67" s="1601"/>
      <c r="BJ67" s="1624" t="str">
        <f>IFERROR(IF($A$18=$BO$1,$BO66,IF($A$18=$BP$1,$BP66,IF($A$18=$BQ$1,$BQ66,IF($A$18=$BR$1,$BR66,IF($A$18=$BS$1,$BS66,IF($A$18=$BT$1,$BT66,IF($A$18=$BU$1,$BU66,IF($A$18="",INDEX(Tiere!$BN$2:$BN$153,_xlfn.AGGREGATE(15,6,(ROW(Tiere!$BN$2:$BN$153)-1)/(--(SEARCH(BK$2,Tiere!$BN$2:$BN$153)&gt;0)),ROW()-2),1))))))))),"")</f>
        <v>Zuchtschweine - stark-N-reduzierte Fütterung - Mist/Jauche</v>
      </c>
      <c r="BK67" s="1601"/>
      <c r="BL67" s="1624" t="str">
        <f>IFERROR(IF($A$19=$BO$1,$BO66,IF($A$19=$BP$1,$BP66,IF($A$19=$BQ$1,$BQ66,IF($A$19=$BR$1,$BR66,IF($A$19=$BS$1,$BS66,IF($A$19=$BT$1,$BT66,IF($A$19=$BU$1,$BU66,IF($A$19="",INDEX(Tiere!$BN$2:$BN$153,_xlfn.AGGREGATE(15,6,(ROW(Tiere!$BN$2:$BN$153)-1)/(--(SEARCH(BM$2,Tiere!$BN$2:$BN$153)&gt;0)),ROW()-2),1))))))))),"")</f>
        <v>Zuchtschweine - stark-N-reduzierte Fütterung - Mist/Jauche</v>
      </c>
      <c r="BM67" s="1601"/>
      <c r="BN67" s="1630" t="s">
        <v>2391</v>
      </c>
      <c r="BO67" s="1599"/>
      <c r="BP67" s="1599"/>
      <c r="BQ67" s="1599"/>
      <c r="BR67" s="1599"/>
      <c r="BS67" s="1599"/>
      <c r="BT67" s="1599"/>
      <c r="BU67" s="1599"/>
      <c r="CD67" s="1911" t="s">
        <v>2391</v>
      </c>
    </row>
    <row r="68" spans="36:82" ht="13.5" thickBot="1">
      <c r="AJ68" s="1624" t="str">
        <f>IFERROR(IF($A$5=$BO$1,$BO67,IF($A$5=$BP$1,$BP67,IF($A$5=$BQ$1,$BQ67,IF($A$5=$BR$1,$BR67,IF($A$5=$BS$1,$BS67,IF($A$5=$BT$1,$BT67,IF($A$5=$BU$1,$BU67,IF($A$5="",INDEX(Tiere!$BN$2:$BN$153,_xlfn.AGGREGATE(15,6,(ROW(Tiere!$BN$2:$BN$153)-1)/(--(SEARCH(AK$2,Tiere!$BN$2:$BN$153)&gt;0)),ROW()-2),1))))))))),"")</f>
        <v>Zuchtschweine - stark-N-reduzierte Fütterung - Tiefstallmist</v>
      </c>
      <c r="AK68" s="1599"/>
      <c r="AL68" s="1624" t="str">
        <f>IFERROR(IF($A$6=$BO$1,$BO67,IF($A$6=$BP$1,$BP67,IF($A$6=$BQ$1,$BQ67,IF($A$6=$BR$1,$BR67,IF($A$6=$BS$1,$BS67,IF($A$6=$BT$1,$BT67,IF($A$6=$BU$1,$BU67,IF($A$6="",INDEX(Tiere!$BN$2:$BN$153,_xlfn.AGGREGATE(15,6,(ROW(Tiere!$BN$2:$BN$153)-1)/(--(SEARCH(AM$2,Tiere!$BN$2:$BN$153)&gt;0)),ROW()-2),1))))))))),"")</f>
        <v>Zuchtschweine - stark-N-reduzierte Fütterung - Tiefstallmist</v>
      </c>
      <c r="AM68" s="1599"/>
      <c r="AN68" s="1624" t="str">
        <f>IFERROR(IF($A$7=$BO$1,$BO67,IF($A$7=$BP$1,$BP67,IF($A$7=$BQ$1,$BQ67,IF($A$7=$BR$1,$BR67,IF($A$7=$BS$1,$BS67,IF($A$7=$BT$1,$BT67,IF($A$7=$BU$1,$BU67,IF($A$7="",INDEX(Tiere!$BN$2:$BN$153,_xlfn.AGGREGATE(15,6,(ROW(Tiere!$BN$2:$BN$153)-1)/(--(SEARCH(AM$2,Tiere!$BN$2:$BN$153)&gt;0)),ROW()-2),1))))))))),"")</f>
        <v>Zuchtschweine - stark-N-reduzierte Fütterung - Tiefstallmist</v>
      </c>
      <c r="AO68" s="1599"/>
      <c r="AP68" s="1624" t="str">
        <f>IFERROR(IF($A$8=$BO$1,$BO67,IF($A$8=$BP$1,$BP67,IF($A$8=$BQ$1,$BQ67,IF($A$8=$BR$1,$BR67,IF($A$8=$BS$1,$BS67,IF($A$8=$BT$1,$BT67,IF($A$8=$BU$1,$BU67,IF($A$8="",INDEX(Tiere!$BN$2:$BN$153,_xlfn.AGGREGATE(15,6,(ROW(Tiere!$BN$2:$BN$153)-1)/(--(SEARCH(AQ$2,Tiere!$BN$2:$BN$153)&gt;0)),ROW()-2),1))))))))),"")</f>
        <v>Zuchtschweine - stark-N-reduzierte Fütterung - Tiefstallmist</v>
      </c>
      <c r="AQ68" s="1599"/>
      <c r="AR68" s="1624" t="str">
        <f>IFERROR(IF($A$9=$BO$1,$BO67,IF($A$9=$BP$1,$BP67,IF($A$9=$BQ$1,$BQ67,IF($A$9=$BR$1,$BR67,IF($A$9=$BS$1,$BS67,IF($A$9=$BT$1,$BT67,IF($A$9=$BU$1,$BU67,IF($A$9="",INDEX(Tiere!$BN$2:$BN$153,_xlfn.AGGREGATE(15,6,(ROW(Tiere!$BN$2:$BN$153)-1)/(--(SEARCH(AS$2,Tiere!$BN$2:$BN$153)&gt;0)),ROW()-2),1))))))))),"")</f>
        <v>Zuchtschweine - stark-N-reduzierte Fütterung - Tiefstallmist</v>
      </c>
      <c r="AS68" s="1599"/>
      <c r="AT68" s="1624" t="str">
        <f>IFERROR(IF($A$10=$BO$1,$BO67,IF($A$10=$BP$1,$BP67,IF($A$10=$BQ$1,$BQ67,IF($A$10=$BR$1,$BR67,IF($A$10=$BS$1,$BS67,IF($A$10=$BT$1,$BT67,IF($A$10=$BU$1,$BU67,IF($A$10="",INDEX(Tiere!$BN$2:$BN$153,_xlfn.AGGREGATE(15,6,(ROW(Tiere!$BN$2:$BN$153)-1)/(--(SEARCH(AU$2,Tiere!$BN$2:$BN$153)&gt;0)),ROW()-2),1))))))))),"")</f>
        <v>Zuchtschweine - stark-N-reduzierte Fütterung - Tiefstallmist</v>
      </c>
      <c r="AU68" s="1599"/>
      <c r="AV68" s="1624" t="str">
        <f>IFERROR(IF($A$11=$BO$1,$BO67,IF($A$11=$BP$1,$BP67,IF($A$11=$BQ$1,$BQ67,IF($A$11=$BR$1,$BR67,IF($A$11=$BS$1,$BS67,IF($A$11=$BT$1,$BT67,IF($A$11=$BU$1,$BU67,IF($A$11="",INDEX(Tiere!$BN$2:$BN$153,_xlfn.AGGREGATE(15,6,(ROW(Tiere!$BN$2:$BN$153)-1)/(--(SEARCH(AW$2,Tiere!$BN$2:$BN$153)&gt;0)),ROW()-2),1))))))))),"")</f>
        <v>Zuchtschweine - stark-N-reduzierte Fütterung - Tiefstallmist</v>
      </c>
      <c r="AW68" s="1599"/>
      <c r="AX68" s="1624" t="str">
        <f>IFERROR(IF($A$12=$BO$1,$BO67,IF($A$12=$BP$1,$BP67,IF($A$12=$BQ$1,$BQ67,IF($A$12=$BR$1,$BR67,IF($A$12=$BS$1,$BS67,IF($A$12=$BT$1,$BT67,IF($A$12=$BU$1,$BU67,IF($A$12="",INDEX(Tiere!$BN$2:$BN$153,_xlfn.AGGREGATE(15,6,(ROW(Tiere!$BN$2:$BN$153)-1)/(--(SEARCH(AY$2,Tiere!$BN$2:$BN$153)&gt;0)),ROW()-2),1))))))))),"")</f>
        <v>Zuchtschweine - stark-N-reduzierte Fütterung - Tiefstallmist</v>
      </c>
      <c r="AY68" s="1599"/>
      <c r="AZ68" s="1624" t="str">
        <f>IFERROR(IF($A$13=$BO$1,$BO67,IF($A$13=$BP$1,$BP67,IF($A$13=$BQ$1,$BQ67,IF($A$13=$BR$1,$BR67,IF($A$13=$BS$1,$BS67,IF($A$13=$BT$1,$BT67,IF($A$13=$BU$1,$BU67,IF($A$13="",INDEX(Tiere!$BN$2:$BN$153,_xlfn.AGGREGATE(15,6,(ROW(Tiere!$BN$2:$BN$153)-1)/(--(SEARCH(BA$2,Tiere!$BN$2:$BN$153)&gt;0)),ROW()-2),1))))))))),"")</f>
        <v>Zuchtschweine - stark-N-reduzierte Fütterung - Tiefstallmist</v>
      </c>
      <c r="BA68" s="1599"/>
      <c r="BB68" s="1624" t="str">
        <f>IFERROR(IF($A$14=$BO$1,$BO67,IF($A$14=$BP$1,$BP67,IF($A$14=$BQ$1,$BQ67,IF($A$14=$BR$1,$BR67,IF($A$14=$BS$1,$BS67,IF($A$14=$BT$1,$BT67,IF($A$14=$BU$1,$BU67,IF($A$14="",INDEX(Tiere!$BN$2:$BN$153,_xlfn.AGGREGATE(15,6,(ROW(Tiere!$BN$2:$BN$153)-1)/(--(SEARCH(BC$2,Tiere!$BN$2:$BN$153)&gt;0)),ROW()-2),1))))))))),"")</f>
        <v>Zuchtschweine - stark-N-reduzierte Fütterung - Tiefstallmist</v>
      </c>
      <c r="BC68" s="1599"/>
      <c r="BD68" s="1624" t="str">
        <f>IFERROR(IF($A$15=$BO$1,$BO67,IF($A$15=$BP$1,$BP67,IF($A$15=$BQ$1,$BQ67,IF($A$15=$BR$1,$BR67,IF($A$15=$BS$1,$BS67,IF($A$15=$BT$1,$BT67,IF($A$15=$BU$1,$BU67,IF($A$15="",INDEX(Tiere!$BN$2:$BN$153,_xlfn.AGGREGATE(15,6,(ROW(Tiere!$BN$2:$BN$153)-1)/(--(SEARCH(BE$2,Tiere!$BN$2:$BN$153)&gt;0)),ROW()-2),1))))))))),"")</f>
        <v>Zuchtschweine - stark-N-reduzierte Fütterung - Tiefstallmist</v>
      </c>
      <c r="BE68" s="1599"/>
      <c r="BF68" s="1624" t="str">
        <f>IFERROR(IF($A$16=$BO$1,$BO67,IF($A$16=$BP$1,$BP67,IF($A$16=$BQ$1,$BQ67,IF($A$16=$BR$1,$BR67,IF($A$16=$BS$1,$BS67,IF($A$16=$BT$1,$BT67,IF($A$16=$BU$1,$BU67,IF($A$16="",INDEX(Tiere!$BN$2:$BN$153,_xlfn.AGGREGATE(15,6,(ROW(Tiere!$BN$2:$BN$153)-1)/(--(SEARCH(BG$2,Tiere!$BN$2:$BN$153)&gt;0)),ROW()-2),1))))))))),"")</f>
        <v>Zuchtschweine - stark-N-reduzierte Fütterung - Tiefstallmist</v>
      </c>
      <c r="BG68" s="1599"/>
      <c r="BH68" s="1624" t="str">
        <f>IFERROR(IF($A$17=$BO$1,$BO67,IF($A$17=$BP$1,$BP67,IF($A$17=$BQ$1,$BQ67,IF($A$17=$BR$1,$BR67,IF($A$17=$BS$1,$BS67,IF($A$17=$BT$1,$BT67,IF($A$17=$BU$1,$BU67,IF($A$17="",INDEX(Tiere!$BN$2:$BN$153,_xlfn.AGGREGATE(15,6,(ROW(Tiere!$BN$2:$BN$153)-1)/(--(SEARCH(BI$2,Tiere!$BN$2:$BN$153)&gt;0)),ROW()-2),1))))))))),"")</f>
        <v>Zuchtschweine - stark-N-reduzierte Fütterung - Tiefstallmist</v>
      </c>
      <c r="BI68" s="1599"/>
      <c r="BJ68" s="1624" t="str">
        <f>IFERROR(IF($A$18=$BO$1,$BO67,IF($A$18=$BP$1,$BP67,IF($A$18=$BQ$1,$BQ67,IF($A$18=$BR$1,$BR67,IF($A$18=$BS$1,$BS67,IF($A$18=$BT$1,$BT67,IF($A$18=$BU$1,$BU67,IF($A$18="",INDEX(Tiere!$BN$2:$BN$153,_xlfn.AGGREGATE(15,6,(ROW(Tiere!$BN$2:$BN$153)-1)/(--(SEARCH(BK$2,Tiere!$BN$2:$BN$153)&gt;0)),ROW()-2),1))))))))),"")</f>
        <v>Zuchtschweine - stark-N-reduzierte Fütterung - Tiefstallmist</v>
      </c>
      <c r="BK68" s="1599"/>
      <c r="BL68" s="1624" t="str">
        <f>IFERROR(IF($A$19=$BO$1,$BO67,IF($A$19=$BP$1,$BP67,IF($A$19=$BQ$1,$BQ67,IF($A$19=$BR$1,$BR67,IF($A$19=$BS$1,$BS67,IF($A$19=$BT$1,$BT67,IF($A$19=$BU$1,$BU67,IF($A$19="",INDEX(Tiere!$BN$2:$BN$153,_xlfn.AGGREGATE(15,6,(ROW(Tiere!$BN$2:$BN$153)-1)/(--(SEARCH(BM$2,Tiere!$BN$2:$BN$153)&gt;0)),ROW()-2),1))))))))),"")</f>
        <v>Zuchtschweine - stark-N-reduzierte Fütterung - Tiefstallmist</v>
      </c>
      <c r="BM68" s="1599"/>
      <c r="BN68" s="1630" t="s">
        <v>735</v>
      </c>
      <c r="BO68" s="1599"/>
      <c r="BP68" s="1599"/>
      <c r="BQ68" s="1599"/>
      <c r="BR68" s="1599"/>
      <c r="BS68" s="1599"/>
      <c r="BT68" s="1599"/>
      <c r="BU68" s="1599"/>
      <c r="CD68" s="1911" t="s">
        <v>735</v>
      </c>
    </row>
    <row r="69" spans="36:82" ht="13.5" thickBot="1">
      <c r="AJ69" s="1624" t="str">
        <f>IFERROR(IF($A$5=$BO$1,$BO68,IF($A$5=$BP$1,$BP68,IF($A$5=$BQ$1,$BQ68,IF($A$5=$BR$1,$BR68,IF($A$5=$BS$1,$BS68,IF($A$5=$BT$1,$BT68,IF($A$5=$BU$1,$BU68,IF($A$5="",INDEX(Tiere!$BN$2:$BN$153,_xlfn.AGGREGATE(15,6,(ROW(Tiere!$BN$2:$BN$153)-1)/(--(SEARCH(AK$2,Tiere!$BN$2:$BN$153)&gt;0)),ROW()-2),1))))))))),"")</f>
        <v>Zuchteber - Standard-Fütterung - Gülle</v>
      </c>
      <c r="AK69" s="1601"/>
      <c r="AL69" s="1624" t="str">
        <f>IFERROR(IF($A$6=$BO$1,$BO68,IF($A$6=$BP$1,$BP68,IF($A$6=$BQ$1,$BQ68,IF($A$6=$BR$1,$BR68,IF($A$6=$BS$1,$BS68,IF($A$6=$BT$1,$BT68,IF($A$6=$BU$1,$BU68,IF($A$6="",INDEX(Tiere!$BN$2:$BN$153,_xlfn.AGGREGATE(15,6,(ROW(Tiere!$BN$2:$BN$153)-1)/(--(SEARCH(AM$2,Tiere!$BN$2:$BN$153)&gt;0)),ROW()-2),1))))))))),"")</f>
        <v>Zuchteber - Standard-Fütterung - Gülle</v>
      </c>
      <c r="AM69" s="1601"/>
      <c r="AN69" s="1624" t="str">
        <f>IFERROR(IF($A$7=$BO$1,$BO68,IF($A$7=$BP$1,$BP68,IF($A$7=$BQ$1,$BQ68,IF($A$7=$BR$1,$BR68,IF($A$7=$BS$1,$BS68,IF($A$7=$BT$1,$BT68,IF($A$7=$BU$1,$BU68,IF($A$7="",INDEX(Tiere!$BN$2:$BN$153,_xlfn.AGGREGATE(15,6,(ROW(Tiere!$BN$2:$BN$153)-1)/(--(SEARCH(AM$2,Tiere!$BN$2:$BN$153)&gt;0)),ROW()-2),1))))))))),"")</f>
        <v>Zuchteber - Standard-Fütterung - Gülle</v>
      </c>
      <c r="AO69" s="1601"/>
      <c r="AP69" s="1624" t="str">
        <f>IFERROR(IF($A$8=$BO$1,$BO68,IF($A$8=$BP$1,$BP68,IF($A$8=$BQ$1,$BQ68,IF($A$8=$BR$1,$BR68,IF($A$8=$BS$1,$BS68,IF($A$8=$BT$1,$BT68,IF($A$8=$BU$1,$BU68,IF($A$8="",INDEX(Tiere!$BN$2:$BN$153,_xlfn.AGGREGATE(15,6,(ROW(Tiere!$BN$2:$BN$153)-1)/(--(SEARCH(AQ$2,Tiere!$BN$2:$BN$153)&gt;0)),ROW()-2),1))))))))),"")</f>
        <v>Zuchteber - Standard-Fütterung - Gülle</v>
      </c>
      <c r="AQ69" s="1601"/>
      <c r="AR69" s="1624" t="str">
        <f>IFERROR(IF($A$9=$BO$1,$BO68,IF($A$9=$BP$1,$BP68,IF($A$9=$BQ$1,$BQ68,IF($A$9=$BR$1,$BR68,IF($A$9=$BS$1,$BS68,IF($A$9=$BT$1,$BT68,IF($A$9=$BU$1,$BU68,IF($A$9="",INDEX(Tiere!$BN$2:$BN$153,_xlfn.AGGREGATE(15,6,(ROW(Tiere!$BN$2:$BN$153)-1)/(--(SEARCH(AS$2,Tiere!$BN$2:$BN$153)&gt;0)),ROW()-2),1))))))))),"")</f>
        <v>Zuchteber - Standard-Fütterung - Gülle</v>
      </c>
      <c r="AS69" s="1601"/>
      <c r="AT69" s="1624" t="str">
        <f>IFERROR(IF($A$10=$BO$1,$BO68,IF($A$10=$BP$1,$BP68,IF($A$10=$BQ$1,$BQ68,IF($A$10=$BR$1,$BR68,IF($A$10=$BS$1,$BS68,IF($A$10=$BT$1,$BT68,IF($A$10=$BU$1,$BU68,IF($A$10="",INDEX(Tiere!$BN$2:$BN$153,_xlfn.AGGREGATE(15,6,(ROW(Tiere!$BN$2:$BN$153)-1)/(--(SEARCH(AU$2,Tiere!$BN$2:$BN$153)&gt;0)),ROW()-2),1))))))))),"")</f>
        <v>Zuchteber - Standard-Fütterung - Gülle</v>
      </c>
      <c r="AU69" s="1601"/>
      <c r="AV69" s="1624" t="str">
        <f>IFERROR(IF($A$11=$BO$1,$BO68,IF($A$11=$BP$1,$BP68,IF($A$11=$BQ$1,$BQ68,IF($A$11=$BR$1,$BR68,IF($A$11=$BS$1,$BS68,IF($A$11=$BT$1,$BT68,IF($A$11=$BU$1,$BU68,IF($A$11="",INDEX(Tiere!$BN$2:$BN$153,_xlfn.AGGREGATE(15,6,(ROW(Tiere!$BN$2:$BN$153)-1)/(--(SEARCH(AW$2,Tiere!$BN$2:$BN$153)&gt;0)),ROW()-2),1))))))))),"")</f>
        <v>Zuchteber - Standard-Fütterung - Gülle</v>
      </c>
      <c r="AW69" s="1601"/>
      <c r="AX69" s="1624" t="str">
        <f>IFERROR(IF($A$12=$BO$1,$BO68,IF($A$12=$BP$1,$BP68,IF($A$12=$BQ$1,$BQ68,IF($A$12=$BR$1,$BR68,IF($A$12=$BS$1,$BS68,IF($A$12=$BT$1,$BT68,IF($A$12=$BU$1,$BU68,IF($A$12="",INDEX(Tiere!$BN$2:$BN$153,_xlfn.AGGREGATE(15,6,(ROW(Tiere!$BN$2:$BN$153)-1)/(--(SEARCH(AY$2,Tiere!$BN$2:$BN$153)&gt;0)),ROW()-2),1))))))))),"")</f>
        <v>Zuchteber - Standard-Fütterung - Gülle</v>
      </c>
      <c r="AY69" s="1601"/>
      <c r="AZ69" s="1624" t="str">
        <f>IFERROR(IF($A$13=$BO$1,$BO68,IF($A$13=$BP$1,$BP68,IF($A$13=$BQ$1,$BQ68,IF($A$13=$BR$1,$BR68,IF($A$13=$BS$1,$BS68,IF($A$13=$BT$1,$BT68,IF($A$13=$BU$1,$BU68,IF($A$13="",INDEX(Tiere!$BN$2:$BN$153,_xlfn.AGGREGATE(15,6,(ROW(Tiere!$BN$2:$BN$153)-1)/(--(SEARCH(BA$2,Tiere!$BN$2:$BN$153)&gt;0)),ROW()-2),1))))))))),"")</f>
        <v>Zuchteber - Standard-Fütterung - Gülle</v>
      </c>
      <c r="BA69" s="1601"/>
      <c r="BB69" s="1624" t="str">
        <f>IFERROR(IF($A$14=$BO$1,$BO68,IF($A$14=$BP$1,$BP68,IF($A$14=$BQ$1,$BQ68,IF($A$14=$BR$1,$BR68,IF($A$14=$BS$1,$BS68,IF($A$14=$BT$1,$BT68,IF($A$14=$BU$1,$BU68,IF($A$14="",INDEX(Tiere!$BN$2:$BN$153,_xlfn.AGGREGATE(15,6,(ROW(Tiere!$BN$2:$BN$153)-1)/(--(SEARCH(BC$2,Tiere!$BN$2:$BN$153)&gt;0)),ROW()-2),1))))))))),"")</f>
        <v>Zuchteber - Standard-Fütterung - Gülle</v>
      </c>
      <c r="BC69" s="1601"/>
      <c r="BD69" s="1624" t="str">
        <f>IFERROR(IF($A$15=$BO$1,$BO68,IF($A$15=$BP$1,$BP68,IF($A$15=$BQ$1,$BQ68,IF($A$15=$BR$1,$BR68,IF($A$15=$BS$1,$BS68,IF($A$15=$BT$1,$BT68,IF($A$15=$BU$1,$BU68,IF($A$15="",INDEX(Tiere!$BN$2:$BN$153,_xlfn.AGGREGATE(15,6,(ROW(Tiere!$BN$2:$BN$153)-1)/(--(SEARCH(BE$2,Tiere!$BN$2:$BN$153)&gt;0)),ROW()-2),1))))))))),"")</f>
        <v>Zuchteber - Standard-Fütterung - Gülle</v>
      </c>
      <c r="BE69" s="1601"/>
      <c r="BF69" s="1624" t="str">
        <f>IFERROR(IF($A$16=$BO$1,$BO68,IF($A$16=$BP$1,$BP68,IF($A$16=$BQ$1,$BQ68,IF($A$16=$BR$1,$BR68,IF($A$16=$BS$1,$BS68,IF($A$16=$BT$1,$BT68,IF($A$16=$BU$1,$BU68,IF($A$16="",INDEX(Tiere!$BN$2:$BN$153,_xlfn.AGGREGATE(15,6,(ROW(Tiere!$BN$2:$BN$153)-1)/(--(SEARCH(BG$2,Tiere!$BN$2:$BN$153)&gt;0)),ROW()-2),1))))))))),"")</f>
        <v>Zuchteber - Standard-Fütterung - Gülle</v>
      </c>
      <c r="BG69" s="1601"/>
      <c r="BH69" s="1624" t="str">
        <f>IFERROR(IF($A$17=$BO$1,$BO68,IF($A$17=$BP$1,$BP68,IF($A$17=$BQ$1,$BQ68,IF($A$17=$BR$1,$BR68,IF($A$17=$BS$1,$BS68,IF($A$17=$BT$1,$BT68,IF($A$17=$BU$1,$BU68,IF($A$17="",INDEX(Tiere!$BN$2:$BN$153,_xlfn.AGGREGATE(15,6,(ROW(Tiere!$BN$2:$BN$153)-1)/(--(SEARCH(BI$2,Tiere!$BN$2:$BN$153)&gt;0)),ROW()-2),1))))))))),"")</f>
        <v>Zuchteber - Standard-Fütterung - Gülle</v>
      </c>
      <c r="BI69" s="1601"/>
      <c r="BJ69" s="1624" t="str">
        <f>IFERROR(IF($A$18=$BO$1,$BO68,IF($A$18=$BP$1,$BP68,IF($A$18=$BQ$1,$BQ68,IF($A$18=$BR$1,$BR68,IF($A$18=$BS$1,$BS68,IF($A$18=$BT$1,$BT68,IF($A$18=$BU$1,$BU68,IF($A$18="",INDEX(Tiere!$BN$2:$BN$153,_xlfn.AGGREGATE(15,6,(ROW(Tiere!$BN$2:$BN$153)-1)/(--(SEARCH(BK$2,Tiere!$BN$2:$BN$153)&gt;0)),ROW()-2),1))))))))),"")</f>
        <v>Zuchteber - Standard-Fütterung - Gülle</v>
      </c>
      <c r="BK69" s="1601"/>
      <c r="BL69" s="1624" t="str">
        <f>IFERROR(IF($A$19=$BO$1,$BO68,IF($A$19=$BP$1,$BP68,IF($A$19=$BQ$1,$BQ68,IF($A$19=$BR$1,$BR68,IF($A$19=$BS$1,$BS68,IF($A$19=$BT$1,$BT68,IF($A$19=$BU$1,$BU68,IF($A$19="",INDEX(Tiere!$BN$2:$BN$153,_xlfn.AGGREGATE(15,6,(ROW(Tiere!$BN$2:$BN$153)-1)/(--(SEARCH(BM$2,Tiere!$BN$2:$BN$153)&gt;0)),ROW()-2),1))))))))),"")</f>
        <v>Zuchteber - Standard-Fütterung - Gülle</v>
      </c>
      <c r="BM69" s="1601"/>
      <c r="BN69" s="1630" t="s">
        <v>737</v>
      </c>
      <c r="BO69" s="1599"/>
      <c r="BP69" s="1599"/>
      <c r="BQ69" s="1599"/>
      <c r="BR69" s="1599"/>
      <c r="BS69" s="1599"/>
      <c r="BT69" s="1599"/>
      <c r="BU69" s="1599"/>
      <c r="CD69" s="1911" t="s">
        <v>737</v>
      </c>
    </row>
    <row r="70" spans="36:82" ht="13.5" thickBot="1">
      <c r="AJ70" s="1624" t="str">
        <f>IFERROR(IF($A$5=$BO$1,$BO69,IF($A$5=$BP$1,$BP69,IF($A$5=$BQ$1,$BQ69,IF($A$5=$BR$1,$BR69,IF($A$5=$BS$1,$BS69,IF($A$5=$BT$1,$BT69,IF($A$5=$BU$1,$BU69,IF($A$5="",INDEX(Tiere!$BN$2:$BN$153,_xlfn.AGGREGATE(15,6,(ROW(Tiere!$BN$2:$BN$153)-1)/(--(SEARCH(AK$2,Tiere!$BN$2:$BN$153)&gt;0)),ROW()-2),1))))))))),"")</f>
        <v>Zuchteber - Standard-Fütterung - Mist/Jauche</v>
      </c>
      <c r="AK70" s="1599"/>
      <c r="AL70" s="1624" t="str">
        <f>IFERROR(IF($A$6=$BO$1,$BO69,IF($A$6=$BP$1,$BP69,IF($A$6=$BQ$1,$BQ69,IF($A$6=$BR$1,$BR69,IF($A$6=$BS$1,$BS69,IF($A$6=$BT$1,$BT69,IF($A$6=$BU$1,$BU69,IF($A$6="",INDEX(Tiere!$BN$2:$BN$153,_xlfn.AGGREGATE(15,6,(ROW(Tiere!$BN$2:$BN$153)-1)/(--(SEARCH(AM$2,Tiere!$BN$2:$BN$153)&gt;0)),ROW()-2),1))))))))),"")</f>
        <v>Zuchteber - Standard-Fütterung - Mist/Jauche</v>
      </c>
      <c r="AM70" s="1599"/>
      <c r="AN70" s="1624" t="str">
        <f>IFERROR(IF($A$7=$BO$1,$BO69,IF($A$7=$BP$1,$BP69,IF($A$7=$BQ$1,$BQ69,IF($A$7=$BR$1,$BR69,IF($A$7=$BS$1,$BS69,IF($A$7=$BT$1,$BT69,IF($A$7=$BU$1,$BU69,IF($A$7="",INDEX(Tiere!$BN$2:$BN$153,_xlfn.AGGREGATE(15,6,(ROW(Tiere!$BN$2:$BN$153)-1)/(--(SEARCH(AM$2,Tiere!$BN$2:$BN$153)&gt;0)),ROW()-2),1))))))))),"")</f>
        <v>Zuchteber - Standard-Fütterung - Mist/Jauche</v>
      </c>
      <c r="AO70" s="1599"/>
      <c r="AP70" s="1624" t="str">
        <f>IFERROR(IF($A$8=$BO$1,$BO69,IF($A$8=$BP$1,$BP69,IF($A$8=$BQ$1,$BQ69,IF($A$8=$BR$1,$BR69,IF($A$8=$BS$1,$BS69,IF($A$8=$BT$1,$BT69,IF($A$8=$BU$1,$BU69,IF($A$8="",INDEX(Tiere!$BN$2:$BN$153,_xlfn.AGGREGATE(15,6,(ROW(Tiere!$BN$2:$BN$153)-1)/(--(SEARCH(AQ$2,Tiere!$BN$2:$BN$153)&gt;0)),ROW()-2),1))))))))),"")</f>
        <v>Zuchteber - Standard-Fütterung - Mist/Jauche</v>
      </c>
      <c r="AQ70" s="1599"/>
      <c r="AR70" s="1624" t="str">
        <f>IFERROR(IF($A$9=$BO$1,$BO69,IF($A$9=$BP$1,$BP69,IF($A$9=$BQ$1,$BQ69,IF($A$9=$BR$1,$BR69,IF($A$9=$BS$1,$BS69,IF($A$9=$BT$1,$BT69,IF($A$9=$BU$1,$BU69,IF($A$9="",INDEX(Tiere!$BN$2:$BN$153,_xlfn.AGGREGATE(15,6,(ROW(Tiere!$BN$2:$BN$153)-1)/(--(SEARCH(AS$2,Tiere!$BN$2:$BN$153)&gt;0)),ROW()-2),1))))))))),"")</f>
        <v>Zuchteber - Standard-Fütterung - Mist/Jauche</v>
      </c>
      <c r="AS70" s="1599"/>
      <c r="AT70" s="1624" t="str">
        <f>IFERROR(IF($A$10=$BO$1,$BO69,IF($A$10=$BP$1,$BP69,IF($A$10=$BQ$1,$BQ69,IF($A$10=$BR$1,$BR69,IF($A$10=$BS$1,$BS69,IF($A$10=$BT$1,$BT69,IF($A$10=$BU$1,$BU69,IF($A$10="",INDEX(Tiere!$BN$2:$BN$153,_xlfn.AGGREGATE(15,6,(ROW(Tiere!$BN$2:$BN$153)-1)/(--(SEARCH(AU$2,Tiere!$BN$2:$BN$153)&gt;0)),ROW()-2),1))))))))),"")</f>
        <v>Zuchteber - Standard-Fütterung - Mist/Jauche</v>
      </c>
      <c r="AU70" s="1599"/>
      <c r="AV70" s="1624" t="str">
        <f>IFERROR(IF($A$11=$BO$1,$BO69,IF($A$11=$BP$1,$BP69,IF($A$11=$BQ$1,$BQ69,IF($A$11=$BR$1,$BR69,IF($A$11=$BS$1,$BS69,IF($A$11=$BT$1,$BT69,IF($A$11=$BU$1,$BU69,IF($A$11="",INDEX(Tiere!$BN$2:$BN$153,_xlfn.AGGREGATE(15,6,(ROW(Tiere!$BN$2:$BN$153)-1)/(--(SEARCH(AW$2,Tiere!$BN$2:$BN$153)&gt;0)),ROW()-2),1))))))))),"")</f>
        <v>Zuchteber - Standard-Fütterung - Mist/Jauche</v>
      </c>
      <c r="AW70" s="1599"/>
      <c r="AX70" s="1624" t="str">
        <f>IFERROR(IF($A$12=$BO$1,$BO69,IF($A$12=$BP$1,$BP69,IF($A$12=$BQ$1,$BQ69,IF($A$12=$BR$1,$BR69,IF($A$12=$BS$1,$BS69,IF($A$12=$BT$1,$BT69,IF($A$12=$BU$1,$BU69,IF($A$12="",INDEX(Tiere!$BN$2:$BN$153,_xlfn.AGGREGATE(15,6,(ROW(Tiere!$BN$2:$BN$153)-1)/(--(SEARCH(AY$2,Tiere!$BN$2:$BN$153)&gt;0)),ROW()-2),1))))))))),"")</f>
        <v>Zuchteber - Standard-Fütterung - Mist/Jauche</v>
      </c>
      <c r="AY70" s="1599"/>
      <c r="AZ70" s="1624" t="str">
        <f>IFERROR(IF($A$13=$BO$1,$BO69,IF($A$13=$BP$1,$BP69,IF($A$13=$BQ$1,$BQ69,IF($A$13=$BR$1,$BR69,IF($A$13=$BS$1,$BS69,IF($A$13=$BT$1,$BT69,IF($A$13=$BU$1,$BU69,IF($A$13="",INDEX(Tiere!$BN$2:$BN$153,_xlfn.AGGREGATE(15,6,(ROW(Tiere!$BN$2:$BN$153)-1)/(--(SEARCH(BA$2,Tiere!$BN$2:$BN$153)&gt;0)),ROW()-2),1))))))))),"")</f>
        <v>Zuchteber - Standard-Fütterung - Mist/Jauche</v>
      </c>
      <c r="BA70" s="1599"/>
      <c r="BB70" s="1624" t="str">
        <f>IFERROR(IF($A$14=$BO$1,$BO69,IF($A$14=$BP$1,$BP69,IF($A$14=$BQ$1,$BQ69,IF($A$14=$BR$1,$BR69,IF($A$14=$BS$1,$BS69,IF($A$14=$BT$1,$BT69,IF($A$14=$BU$1,$BU69,IF($A$14="",INDEX(Tiere!$BN$2:$BN$153,_xlfn.AGGREGATE(15,6,(ROW(Tiere!$BN$2:$BN$153)-1)/(--(SEARCH(BC$2,Tiere!$BN$2:$BN$153)&gt;0)),ROW()-2),1))))))))),"")</f>
        <v>Zuchteber - Standard-Fütterung - Mist/Jauche</v>
      </c>
      <c r="BC70" s="1599"/>
      <c r="BD70" s="1624" t="str">
        <f>IFERROR(IF($A$15=$BO$1,$BO69,IF($A$15=$BP$1,$BP69,IF($A$15=$BQ$1,$BQ69,IF($A$15=$BR$1,$BR69,IF($A$15=$BS$1,$BS69,IF($A$15=$BT$1,$BT69,IF($A$15=$BU$1,$BU69,IF($A$15="",INDEX(Tiere!$BN$2:$BN$153,_xlfn.AGGREGATE(15,6,(ROW(Tiere!$BN$2:$BN$153)-1)/(--(SEARCH(BE$2,Tiere!$BN$2:$BN$153)&gt;0)),ROW()-2),1))))))))),"")</f>
        <v>Zuchteber - Standard-Fütterung - Mist/Jauche</v>
      </c>
      <c r="BE70" s="1599"/>
      <c r="BF70" s="1624" t="str">
        <f>IFERROR(IF($A$16=$BO$1,$BO69,IF($A$16=$BP$1,$BP69,IF($A$16=$BQ$1,$BQ69,IF($A$16=$BR$1,$BR69,IF($A$16=$BS$1,$BS69,IF($A$16=$BT$1,$BT69,IF($A$16=$BU$1,$BU69,IF($A$16="",INDEX(Tiere!$BN$2:$BN$153,_xlfn.AGGREGATE(15,6,(ROW(Tiere!$BN$2:$BN$153)-1)/(--(SEARCH(BG$2,Tiere!$BN$2:$BN$153)&gt;0)),ROW()-2),1))))))))),"")</f>
        <v>Zuchteber - Standard-Fütterung - Mist/Jauche</v>
      </c>
      <c r="BG70" s="1599"/>
      <c r="BH70" s="1624" t="str">
        <f>IFERROR(IF($A$17=$BO$1,$BO69,IF($A$17=$BP$1,$BP69,IF($A$17=$BQ$1,$BQ69,IF($A$17=$BR$1,$BR69,IF($A$17=$BS$1,$BS69,IF($A$17=$BT$1,$BT69,IF($A$17=$BU$1,$BU69,IF($A$17="",INDEX(Tiere!$BN$2:$BN$153,_xlfn.AGGREGATE(15,6,(ROW(Tiere!$BN$2:$BN$153)-1)/(--(SEARCH(BI$2,Tiere!$BN$2:$BN$153)&gt;0)),ROW()-2),1))))))))),"")</f>
        <v>Zuchteber - Standard-Fütterung - Mist/Jauche</v>
      </c>
      <c r="BI70" s="1599"/>
      <c r="BJ70" s="1624" t="str">
        <f>IFERROR(IF($A$18=$BO$1,$BO69,IF($A$18=$BP$1,$BP69,IF($A$18=$BQ$1,$BQ69,IF($A$18=$BR$1,$BR69,IF($A$18=$BS$1,$BS69,IF($A$18=$BT$1,$BT69,IF($A$18=$BU$1,$BU69,IF($A$18="",INDEX(Tiere!$BN$2:$BN$153,_xlfn.AGGREGATE(15,6,(ROW(Tiere!$BN$2:$BN$153)-1)/(--(SEARCH(BK$2,Tiere!$BN$2:$BN$153)&gt;0)),ROW()-2),1))))))))),"")</f>
        <v>Zuchteber - Standard-Fütterung - Mist/Jauche</v>
      </c>
      <c r="BK70" s="1599"/>
      <c r="BL70" s="1624" t="str">
        <f>IFERROR(IF($A$19=$BO$1,$BO69,IF($A$19=$BP$1,$BP69,IF($A$19=$BQ$1,$BQ69,IF($A$19=$BR$1,$BR69,IF($A$19=$BS$1,$BS69,IF($A$19=$BT$1,$BT69,IF($A$19=$BU$1,$BU69,IF($A$19="",INDEX(Tiere!$BN$2:$BN$153,_xlfn.AGGREGATE(15,6,(ROW(Tiere!$BN$2:$BN$153)-1)/(--(SEARCH(BM$2,Tiere!$BN$2:$BN$153)&gt;0)),ROW()-2),1))))))))),"")</f>
        <v>Zuchteber - Standard-Fütterung - Mist/Jauche</v>
      </c>
      <c r="BM70" s="1599"/>
      <c r="BN70" s="1630" t="s">
        <v>739</v>
      </c>
      <c r="BO70" s="1599"/>
      <c r="BP70" s="1599"/>
      <c r="BQ70" s="1599"/>
      <c r="BR70" s="1599"/>
      <c r="BS70" s="1599"/>
      <c r="BT70" s="1599"/>
      <c r="BU70" s="1599"/>
      <c r="CD70" s="1911" t="s">
        <v>739</v>
      </c>
    </row>
    <row r="71" spans="36:82" ht="14.25" thickTop="1" thickBot="1">
      <c r="AJ71" s="1624" t="str">
        <f>IFERROR(IF($A$5=$BO$1,$BO70,IF($A$5=$BP$1,$BP70,IF($A$5=$BQ$1,$BQ70,IF($A$5=$BR$1,$BR70,IF($A$5=$BS$1,$BS70,IF($A$5=$BT$1,$BT70,IF($A$5=$BU$1,$BU70,IF($A$5="",INDEX(Tiere!$BN$2:$BN$153,_xlfn.AGGREGATE(15,6,(ROW(Tiere!$BN$2:$BN$153)-1)/(--(SEARCH(AK$2,Tiere!$BN$2:$BN$153)&gt;0)),ROW()-2),1))))))))),"")</f>
        <v>Zuchteber - Standard-Fütterung - Tiefstallmist</v>
      </c>
      <c r="AK71" s="1601"/>
      <c r="AL71" s="1624" t="str">
        <f>IFERROR(IF($A$6=$BO$1,$BO70,IF($A$6=$BP$1,$BP70,IF($A$6=$BQ$1,$BQ70,IF($A$6=$BR$1,$BR70,IF($A$6=$BS$1,$BS70,IF($A$6=$BT$1,$BT70,IF($A$6=$BU$1,$BU70,IF($A$6="",INDEX(Tiere!$BN$2:$BN$153,_xlfn.AGGREGATE(15,6,(ROW(Tiere!$BN$2:$BN$153)-1)/(--(SEARCH(AM$2,Tiere!$BN$2:$BN$153)&gt;0)),ROW()-2),1))))))))),"")</f>
        <v>Zuchteber - Standard-Fütterung - Tiefstallmist</v>
      </c>
      <c r="AM71" s="1601"/>
      <c r="AN71" s="1624" t="str">
        <f>IFERROR(IF($A$7=$BO$1,$BO70,IF($A$7=$BP$1,$BP70,IF($A$7=$BQ$1,$BQ70,IF($A$7=$BR$1,$BR70,IF($A$7=$BS$1,$BS70,IF($A$7=$BT$1,$BT70,IF($A$7=$BU$1,$BU70,IF($A$7="",INDEX(Tiere!$BN$2:$BN$153,_xlfn.AGGREGATE(15,6,(ROW(Tiere!$BN$2:$BN$153)-1)/(--(SEARCH(AM$2,Tiere!$BN$2:$BN$153)&gt;0)),ROW()-2),1))))))))),"")</f>
        <v>Zuchteber - Standard-Fütterung - Tiefstallmist</v>
      </c>
      <c r="AO71" s="1601"/>
      <c r="AP71" s="1624" t="str">
        <f>IFERROR(IF($A$8=$BO$1,$BO70,IF($A$8=$BP$1,$BP70,IF($A$8=$BQ$1,$BQ70,IF($A$8=$BR$1,$BR70,IF($A$8=$BS$1,$BS70,IF($A$8=$BT$1,$BT70,IF($A$8=$BU$1,$BU70,IF($A$8="",INDEX(Tiere!$BN$2:$BN$153,_xlfn.AGGREGATE(15,6,(ROW(Tiere!$BN$2:$BN$153)-1)/(--(SEARCH(AQ$2,Tiere!$BN$2:$BN$153)&gt;0)),ROW()-2),1))))))))),"")</f>
        <v>Zuchteber - Standard-Fütterung - Tiefstallmist</v>
      </c>
      <c r="AQ71" s="1601"/>
      <c r="AR71" s="1624" t="str">
        <f>IFERROR(IF($A$9=$BO$1,$BO70,IF($A$9=$BP$1,$BP70,IF($A$9=$BQ$1,$BQ70,IF($A$9=$BR$1,$BR70,IF($A$9=$BS$1,$BS70,IF($A$9=$BT$1,$BT70,IF($A$9=$BU$1,$BU70,IF($A$9="",INDEX(Tiere!$BN$2:$BN$153,_xlfn.AGGREGATE(15,6,(ROW(Tiere!$BN$2:$BN$153)-1)/(--(SEARCH(AS$2,Tiere!$BN$2:$BN$153)&gt;0)),ROW()-2),1))))))))),"")</f>
        <v>Zuchteber - Standard-Fütterung - Tiefstallmist</v>
      </c>
      <c r="AS71" s="1601"/>
      <c r="AT71" s="1624" t="str">
        <f>IFERROR(IF($A$10=$BO$1,$BO70,IF($A$10=$BP$1,$BP70,IF($A$10=$BQ$1,$BQ70,IF($A$10=$BR$1,$BR70,IF($A$10=$BS$1,$BS70,IF($A$10=$BT$1,$BT70,IF($A$10=$BU$1,$BU70,IF($A$10="",INDEX(Tiere!$BN$2:$BN$153,_xlfn.AGGREGATE(15,6,(ROW(Tiere!$BN$2:$BN$153)-1)/(--(SEARCH(AU$2,Tiere!$BN$2:$BN$153)&gt;0)),ROW()-2),1))))))))),"")</f>
        <v>Zuchteber - Standard-Fütterung - Tiefstallmist</v>
      </c>
      <c r="AU71" s="1601"/>
      <c r="AV71" s="1624" t="str">
        <f>IFERROR(IF($A$11=$BO$1,$BO70,IF($A$11=$BP$1,$BP70,IF($A$11=$BQ$1,$BQ70,IF($A$11=$BR$1,$BR70,IF($A$11=$BS$1,$BS70,IF($A$11=$BT$1,$BT70,IF($A$11=$BU$1,$BU70,IF($A$11="",INDEX(Tiere!$BN$2:$BN$153,_xlfn.AGGREGATE(15,6,(ROW(Tiere!$BN$2:$BN$153)-1)/(--(SEARCH(AW$2,Tiere!$BN$2:$BN$153)&gt;0)),ROW()-2),1))))))))),"")</f>
        <v>Zuchteber - Standard-Fütterung - Tiefstallmist</v>
      </c>
      <c r="AW71" s="1601"/>
      <c r="AX71" s="1624" t="str">
        <f>IFERROR(IF($A$12=$BO$1,$BO70,IF($A$12=$BP$1,$BP70,IF($A$12=$BQ$1,$BQ70,IF($A$12=$BR$1,$BR70,IF($A$12=$BS$1,$BS70,IF($A$12=$BT$1,$BT70,IF($A$12=$BU$1,$BU70,IF($A$12="",INDEX(Tiere!$BN$2:$BN$153,_xlfn.AGGREGATE(15,6,(ROW(Tiere!$BN$2:$BN$153)-1)/(--(SEARCH(AY$2,Tiere!$BN$2:$BN$153)&gt;0)),ROW()-2),1))))))))),"")</f>
        <v>Zuchteber - Standard-Fütterung - Tiefstallmist</v>
      </c>
      <c r="AY71" s="1601"/>
      <c r="AZ71" s="1624" t="str">
        <f>IFERROR(IF($A$13=$BO$1,$BO70,IF($A$13=$BP$1,$BP70,IF($A$13=$BQ$1,$BQ70,IF($A$13=$BR$1,$BR70,IF($A$13=$BS$1,$BS70,IF($A$13=$BT$1,$BT70,IF($A$13=$BU$1,$BU70,IF($A$13="",INDEX(Tiere!$BN$2:$BN$153,_xlfn.AGGREGATE(15,6,(ROW(Tiere!$BN$2:$BN$153)-1)/(--(SEARCH(BA$2,Tiere!$BN$2:$BN$153)&gt;0)),ROW()-2),1))))))))),"")</f>
        <v>Zuchteber - Standard-Fütterung - Tiefstallmist</v>
      </c>
      <c r="BA71" s="1601"/>
      <c r="BB71" s="1624" t="str">
        <f>IFERROR(IF($A$14=$BO$1,$BO70,IF($A$14=$BP$1,$BP70,IF($A$14=$BQ$1,$BQ70,IF($A$14=$BR$1,$BR70,IF($A$14=$BS$1,$BS70,IF($A$14=$BT$1,$BT70,IF($A$14=$BU$1,$BU70,IF($A$14="",INDEX(Tiere!$BN$2:$BN$153,_xlfn.AGGREGATE(15,6,(ROW(Tiere!$BN$2:$BN$153)-1)/(--(SEARCH(BC$2,Tiere!$BN$2:$BN$153)&gt;0)),ROW()-2),1))))))))),"")</f>
        <v>Zuchteber - Standard-Fütterung - Tiefstallmist</v>
      </c>
      <c r="BC71" s="1601"/>
      <c r="BD71" s="1624" t="str">
        <f>IFERROR(IF($A$15=$BO$1,$BO70,IF($A$15=$BP$1,$BP70,IF($A$15=$BQ$1,$BQ70,IF($A$15=$BR$1,$BR70,IF($A$15=$BS$1,$BS70,IF($A$15=$BT$1,$BT70,IF($A$15=$BU$1,$BU70,IF($A$15="",INDEX(Tiere!$BN$2:$BN$153,_xlfn.AGGREGATE(15,6,(ROW(Tiere!$BN$2:$BN$153)-1)/(--(SEARCH(BE$2,Tiere!$BN$2:$BN$153)&gt;0)),ROW()-2),1))))))))),"")</f>
        <v>Zuchteber - Standard-Fütterung - Tiefstallmist</v>
      </c>
      <c r="BE71" s="1601"/>
      <c r="BF71" s="1624" t="str">
        <f>IFERROR(IF($A$16=$BO$1,$BO70,IF($A$16=$BP$1,$BP70,IF($A$16=$BQ$1,$BQ70,IF($A$16=$BR$1,$BR70,IF($A$16=$BS$1,$BS70,IF($A$16=$BT$1,$BT70,IF($A$16=$BU$1,$BU70,IF($A$16="",INDEX(Tiere!$BN$2:$BN$153,_xlfn.AGGREGATE(15,6,(ROW(Tiere!$BN$2:$BN$153)-1)/(--(SEARCH(BG$2,Tiere!$BN$2:$BN$153)&gt;0)),ROW()-2),1))))))))),"")</f>
        <v>Zuchteber - Standard-Fütterung - Tiefstallmist</v>
      </c>
      <c r="BG71" s="1601"/>
      <c r="BH71" s="1624" t="str">
        <f>IFERROR(IF($A$17=$BO$1,$BO70,IF($A$17=$BP$1,$BP70,IF($A$17=$BQ$1,$BQ70,IF($A$17=$BR$1,$BR70,IF($A$17=$BS$1,$BS70,IF($A$17=$BT$1,$BT70,IF($A$17=$BU$1,$BU70,IF($A$17="",INDEX(Tiere!$BN$2:$BN$153,_xlfn.AGGREGATE(15,6,(ROW(Tiere!$BN$2:$BN$153)-1)/(--(SEARCH(BI$2,Tiere!$BN$2:$BN$153)&gt;0)),ROW()-2),1))))))))),"")</f>
        <v>Zuchteber - Standard-Fütterung - Tiefstallmist</v>
      </c>
      <c r="BI71" s="1601"/>
      <c r="BJ71" s="1624" t="str">
        <f>IFERROR(IF($A$18=$BO$1,$BO70,IF($A$18=$BP$1,$BP70,IF($A$18=$BQ$1,$BQ70,IF($A$18=$BR$1,$BR70,IF($A$18=$BS$1,$BS70,IF($A$18=$BT$1,$BT70,IF($A$18=$BU$1,$BU70,IF($A$18="",INDEX(Tiere!$BN$2:$BN$153,_xlfn.AGGREGATE(15,6,(ROW(Tiere!$BN$2:$BN$153)-1)/(--(SEARCH(BK$2,Tiere!$BN$2:$BN$153)&gt;0)),ROW()-2),1))))))))),"")</f>
        <v>Zuchteber - Standard-Fütterung - Tiefstallmist</v>
      </c>
      <c r="BK71" s="1601"/>
      <c r="BL71" s="1624" t="str">
        <f>IFERROR(IF($A$19=$BO$1,$BO70,IF($A$19=$BP$1,$BP70,IF($A$19=$BQ$1,$BQ70,IF($A$19=$BR$1,$BR70,IF($A$19=$BS$1,$BS70,IF($A$19=$BT$1,$BT70,IF($A$19=$BU$1,$BU70,IF($A$19="",INDEX(Tiere!$BN$2:$BN$153,_xlfn.AGGREGATE(15,6,(ROW(Tiere!$BN$2:$BN$153)-1)/(--(SEARCH(BM$2,Tiere!$BN$2:$BN$153)&gt;0)),ROW()-2),1))))))))),"")</f>
        <v>Zuchteber - Standard-Fütterung - Tiefstallmist</v>
      </c>
      <c r="BM71" s="1601"/>
      <c r="BN71" s="1630" t="s">
        <v>742</v>
      </c>
      <c r="BO71" s="1599"/>
      <c r="BP71" s="1599"/>
      <c r="BQ71" s="1599"/>
      <c r="BR71" s="1599"/>
      <c r="BS71" s="1599"/>
      <c r="BT71" s="1599"/>
      <c r="BU71" s="1623"/>
      <c r="CD71" s="1911" t="s">
        <v>742</v>
      </c>
    </row>
    <row r="72" spans="36:82" ht="13.5" thickBot="1">
      <c r="AJ72" s="1624" t="str">
        <f>IFERROR(IF($A$5=$BO$1,$BO71,IF($A$5=$BP$1,$BP71,IF($A$5=$BQ$1,$BQ71,IF($A$5=$BR$1,$BR71,IF($A$5=$BS$1,$BS71,IF($A$5=$BT$1,$BT71,IF($A$5=$BU$1,$BU71,IF($A$5="",INDEX(Tiere!$BN$2:$BN$153,_xlfn.AGGREGATE(15,6,(ROW(Tiere!$BN$2:$BN$153)-1)/(--(SEARCH(AK$2,Tiere!$BN$2:$BN$153)&gt;0)),ROW()-2),1))))))))),"")</f>
        <v>Zuchteber - N-reduzierte Fütterung - Gülle</v>
      </c>
      <c r="AK72" s="1599"/>
      <c r="AL72" s="1624" t="str">
        <f>IFERROR(IF($A$6=$BO$1,$BO71,IF($A$6=$BP$1,$BP71,IF($A$6=$BQ$1,$BQ71,IF($A$6=$BR$1,$BR71,IF($A$6=$BS$1,$BS71,IF($A$6=$BT$1,$BT71,IF($A$6=$BU$1,$BU71,IF($A$6="",INDEX(Tiere!$BN$2:$BN$153,_xlfn.AGGREGATE(15,6,(ROW(Tiere!$BN$2:$BN$153)-1)/(--(SEARCH(AM$2,Tiere!$BN$2:$BN$153)&gt;0)),ROW()-2),1))))))))),"")</f>
        <v>Zuchteber - N-reduzierte Fütterung - Gülle</v>
      </c>
      <c r="AM72" s="1599"/>
      <c r="AN72" s="1624" t="str">
        <f>IFERROR(IF($A$7=$BO$1,$BO71,IF($A$7=$BP$1,$BP71,IF($A$7=$BQ$1,$BQ71,IF($A$7=$BR$1,$BR71,IF($A$7=$BS$1,$BS71,IF($A$7=$BT$1,$BT71,IF($A$7=$BU$1,$BU71,IF($A$7="",INDEX(Tiere!$BN$2:$BN$153,_xlfn.AGGREGATE(15,6,(ROW(Tiere!$BN$2:$BN$153)-1)/(--(SEARCH(AM$2,Tiere!$BN$2:$BN$153)&gt;0)),ROW()-2),1))))))))),"")</f>
        <v>Zuchteber - N-reduzierte Fütterung - Gülle</v>
      </c>
      <c r="AO72" s="1599"/>
      <c r="AP72" s="1624" t="str">
        <f>IFERROR(IF($A$8=$BO$1,$BO71,IF($A$8=$BP$1,$BP71,IF($A$8=$BQ$1,$BQ71,IF($A$8=$BR$1,$BR71,IF($A$8=$BS$1,$BS71,IF($A$8=$BT$1,$BT71,IF($A$8=$BU$1,$BU71,IF($A$8="",INDEX(Tiere!$BN$2:$BN$153,_xlfn.AGGREGATE(15,6,(ROW(Tiere!$BN$2:$BN$153)-1)/(--(SEARCH(AQ$2,Tiere!$BN$2:$BN$153)&gt;0)),ROW()-2),1))))))))),"")</f>
        <v>Zuchteber - N-reduzierte Fütterung - Gülle</v>
      </c>
      <c r="AQ72" s="1599"/>
      <c r="AR72" s="1624" t="str">
        <f>IFERROR(IF($A$9=$BO$1,$BO71,IF($A$9=$BP$1,$BP71,IF($A$9=$BQ$1,$BQ71,IF($A$9=$BR$1,$BR71,IF($A$9=$BS$1,$BS71,IF($A$9=$BT$1,$BT71,IF($A$9=$BU$1,$BU71,IF($A$9="",INDEX(Tiere!$BN$2:$BN$153,_xlfn.AGGREGATE(15,6,(ROW(Tiere!$BN$2:$BN$153)-1)/(--(SEARCH(AS$2,Tiere!$BN$2:$BN$153)&gt;0)),ROW()-2),1))))))))),"")</f>
        <v>Zuchteber - N-reduzierte Fütterung - Gülle</v>
      </c>
      <c r="AS72" s="1599"/>
      <c r="AT72" s="1624" t="str">
        <f>IFERROR(IF($A$10=$BO$1,$BO71,IF($A$10=$BP$1,$BP71,IF($A$10=$BQ$1,$BQ71,IF($A$10=$BR$1,$BR71,IF($A$10=$BS$1,$BS71,IF($A$10=$BT$1,$BT71,IF($A$10=$BU$1,$BU71,IF($A$10="",INDEX(Tiere!$BN$2:$BN$153,_xlfn.AGGREGATE(15,6,(ROW(Tiere!$BN$2:$BN$153)-1)/(--(SEARCH(AU$2,Tiere!$BN$2:$BN$153)&gt;0)),ROW()-2),1))))))))),"")</f>
        <v>Zuchteber - N-reduzierte Fütterung - Gülle</v>
      </c>
      <c r="AU72" s="1599"/>
      <c r="AV72" s="1624" t="str">
        <f>IFERROR(IF($A$11=$BO$1,$BO71,IF($A$11=$BP$1,$BP71,IF($A$11=$BQ$1,$BQ71,IF($A$11=$BR$1,$BR71,IF($A$11=$BS$1,$BS71,IF($A$11=$BT$1,$BT71,IF($A$11=$BU$1,$BU71,IF($A$11="",INDEX(Tiere!$BN$2:$BN$153,_xlfn.AGGREGATE(15,6,(ROW(Tiere!$BN$2:$BN$153)-1)/(--(SEARCH(AW$2,Tiere!$BN$2:$BN$153)&gt;0)),ROW()-2),1))))))))),"")</f>
        <v>Zuchteber - N-reduzierte Fütterung - Gülle</v>
      </c>
      <c r="AW72" s="1599"/>
      <c r="AX72" s="1624" t="str">
        <f>IFERROR(IF($A$12=$BO$1,$BO71,IF($A$12=$BP$1,$BP71,IF($A$12=$BQ$1,$BQ71,IF($A$12=$BR$1,$BR71,IF($A$12=$BS$1,$BS71,IF($A$12=$BT$1,$BT71,IF($A$12=$BU$1,$BU71,IF($A$12="",INDEX(Tiere!$BN$2:$BN$153,_xlfn.AGGREGATE(15,6,(ROW(Tiere!$BN$2:$BN$153)-1)/(--(SEARCH(AY$2,Tiere!$BN$2:$BN$153)&gt;0)),ROW()-2),1))))))))),"")</f>
        <v>Zuchteber - N-reduzierte Fütterung - Gülle</v>
      </c>
      <c r="AY72" s="1599"/>
      <c r="AZ72" s="1624" t="str">
        <f>IFERROR(IF($A$13=$BO$1,$BO71,IF($A$13=$BP$1,$BP71,IF($A$13=$BQ$1,$BQ71,IF($A$13=$BR$1,$BR71,IF($A$13=$BS$1,$BS71,IF($A$13=$BT$1,$BT71,IF($A$13=$BU$1,$BU71,IF($A$13="",INDEX(Tiere!$BN$2:$BN$153,_xlfn.AGGREGATE(15,6,(ROW(Tiere!$BN$2:$BN$153)-1)/(--(SEARCH(BA$2,Tiere!$BN$2:$BN$153)&gt;0)),ROW()-2),1))))))))),"")</f>
        <v>Zuchteber - N-reduzierte Fütterung - Gülle</v>
      </c>
      <c r="BA72" s="1599"/>
      <c r="BB72" s="1624" t="str">
        <f>IFERROR(IF($A$14=$BO$1,$BO71,IF($A$14=$BP$1,$BP71,IF($A$14=$BQ$1,$BQ71,IF($A$14=$BR$1,$BR71,IF($A$14=$BS$1,$BS71,IF($A$14=$BT$1,$BT71,IF($A$14=$BU$1,$BU71,IF($A$14="",INDEX(Tiere!$BN$2:$BN$153,_xlfn.AGGREGATE(15,6,(ROW(Tiere!$BN$2:$BN$153)-1)/(--(SEARCH(BC$2,Tiere!$BN$2:$BN$153)&gt;0)),ROW()-2),1))))))))),"")</f>
        <v>Zuchteber - N-reduzierte Fütterung - Gülle</v>
      </c>
      <c r="BC72" s="1599"/>
      <c r="BD72" s="1624" t="str">
        <f>IFERROR(IF($A$15=$BO$1,$BO71,IF($A$15=$BP$1,$BP71,IF($A$15=$BQ$1,$BQ71,IF($A$15=$BR$1,$BR71,IF($A$15=$BS$1,$BS71,IF($A$15=$BT$1,$BT71,IF($A$15=$BU$1,$BU71,IF($A$15="",INDEX(Tiere!$BN$2:$BN$153,_xlfn.AGGREGATE(15,6,(ROW(Tiere!$BN$2:$BN$153)-1)/(--(SEARCH(BE$2,Tiere!$BN$2:$BN$153)&gt;0)),ROW()-2),1))))))))),"")</f>
        <v>Zuchteber - N-reduzierte Fütterung - Gülle</v>
      </c>
      <c r="BE72" s="1599"/>
      <c r="BF72" s="1624" t="str">
        <f>IFERROR(IF($A$16=$BO$1,$BO71,IF($A$16=$BP$1,$BP71,IF($A$16=$BQ$1,$BQ71,IF($A$16=$BR$1,$BR71,IF($A$16=$BS$1,$BS71,IF($A$16=$BT$1,$BT71,IF($A$16=$BU$1,$BU71,IF($A$16="",INDEX(Tiere!$BN$2:$BN$153,_xlfn.AGGREGATE(15,6,(ROW(Tiere!$BN$2:$BN$153)-1)/(--(SEARCH(BG$2,Tiere!$BN$2:$BN$153)&gt;0)),ROW()-2),1))))))))),"")</f>
        <v>Zuchteber - N-reduzierte Fütterung - Gülle</v>
      </c>
      <c r="BG72" s="1599"/>
      <c r="BH72" s="1624" t="str">
        <f>IFERROR(IF($A$17=$BO$1,$BO71,IF($A$17=$BP$1,$BP71,IF($A$17=$BQ$1,$BQ71,IF($A$17=$BR$1,$BR71,IF($A$17=$BS$1,$BS71,IF($A$17=$BT$1,$BT71,IF($A$17=$BU$1,$BU71,IF($A$17="",INDEX(Tiere!$BN$2:$BN$153,_xlfn.AGGREGATE(15,6,(ROW(Tiere!$BN$2:$BN$153)-1)/(--(SEARCH(BI$2,Tiere!$BN$2:$BN$153)&gt;0)),ROW()-2),1))))))))),"")</f>
        <v>Zuchteber - N-reduzierte Fütterung - Gülle</v>
      </c>
      <c r="BI72" s="1599"/>
      <c r="BJ72" s="1624" t="str">
        <f>IFERROR(IF($A$18=$BO$1,$BO71,IF($A$18=$BP$1,$BP71,IF($A$18=$BQ$1,$BQ71,IF($A$18=$BR$1,$BR71,IF($A$18=$BS$1,$BS71,IF($A$18=$BT$1,$BT71,IF($A$18=$BU$1,$BU71,IF($A$18="",INDEX(Tiere!$BN$2:$BN$153,_xlfn.AGGREGATE(15,6,(ROW(Tiere!$BN$2:$BN$153)-1)/(--(SEARCH(BK$2,Tiere!$BN$2:$BN$153)&gt;0)),ROW()-2),1))))))))),"")</f>
        <v>Zuchteber - N-reduzierte Fütterung - Gülle</v>
      </c>
      <c r="BK72" s="1599"/>
      <c r="BL72" s="1624" t="str">
        <f>IFERROR(IF($A$19=$BO$1,$BO71,IF($A$19=$BP$1,$BP71,IF($A$19=$BQ$1,$BQ71,IF($A$19=$BR$1,$BR71,IF($A$19=$BS$1,$BS71,IF($A$19=$BT$1,$BT71,IF($A$19=$BU$1,$BU71,IF($A$19="",INDEX(Tiere!$BN$2:$BN$153,_xlfn.AGGREGATE(15,6,(ROW(Tiere!$BN$2:$BN$153)-1)/(--(SEARCH(BM$2,Tiere!$BN$2:$BN$153)&gt;0)),ROW()-2),1))))))))),"")</f>
        <v>Zuchteber - N-reduzierte Fütterung - Gülle</v>
      </c>
      <c r="BM72" s="1599"/>
      <c r="BN72" s="1630" t="s">
        <v>743</v>
      </c>
      <c r="BO72" s="1599"/>
      <c r="BP72" s="1599"/>
      <c r="BQ72" s="1599"/>
      <c r="BR72" s="1599"/>
      <c r="BS72" s="1599"/>
      <c r="BT72" s="1599"/>
      <c r="BU72" s="1599"/>
      <c r="CD72" s="1911" t="s">
        <v>743</v>
      </c>
    </row>
    <row r="73" spans="36:82" ht="13.5" thickBot="1">
      <c r="AJ73" s="1624" t="str">
        <f>IFERROR(IF($A$5=$BO$1,$BO72,IF($A$5=$BP$1,$BP72,IF($A$5=$BQ$1,$BQ72,IF($A$5=$BR$1,$BR72,IF($A$5=$BS$1,$BS72,IF($A$5=$BT$1,$BT72,IF($A$5=$BU$1,$BU72,IF($A$5="",INDEX(Tiere!$BN$2:$BN$153,_xlfn.AGGREGATE(15,6,(ROW(Tiere!$BN$2:$BN$153)-1)/(--(SEARCH(AK$2,Tiere!$BN$2:$BN$153)&gt;0)),ROW()-2),1))))))))),"")</f>
        <v>Zuchteber - N-reduzierte Fütterung - Mist/Jauche</v>
      </c>
      <c r="AK73" s="1601"/>
      <c r="AL73" s="1624" t="str">
        <f>IFERROR(IF($A$6=$BO$1,$BO72,IF($A$6=$BP$1,$BP72,IF($A$6=$BQ$1,$BQ72,IF($A$6=$BR$1,$BR72,IF($A$6=$BS$1,$BS72,IF($A$6=$BT$1,$BT72,IF($A$6=$BU$1,$BU72,IF($A$6="",INDEX(Tiere!$BN$2:$BN$153,_xlfn.AGGREGATE(15,6,(ROW(Tiere!$BN$2:$BN$153)-1)/(--(SEARCH(AM$2,Tiere!$BN$2:$BN$153)&gt;0)),ROW()-2),1))))))))),"")</f>
        <v>Zuchteber - N-reduzierte Fütterung - Mist/Jauche</v>
      </c>
      <c r="AM73" s="1601"/>
      <c r="AN73" s="1624" t="str">
        <f>IFERROR(IF($A$7=$BO$1,$BO72,IF($A$7=$BP$1,$BP72,IF($A$7=$BQ$1,$BQ72,IF($A$7=$BR$1,$BR72,IF($A$7=$BS$1,$BS72,IF($A$7=$BT$1,$BT72,IF($A$7=$BU$1,$BU72,IF($A$7="",INDEX(Tiere!$BN$2:$BN$153,_xlfn.AGGREGATE(15,6,(ROW(Tiere!$BN$2:$BN$153)-1)/(--(SEARCH(AM$2,Tiere!$BN$2:$BN$153)&gt;0)),ROW()-2),1))))))))),"")</f>
        <v>Zuchteber - N-reduzierte Fütterung - Mist/Jauche</v>
      </c>
      <c r="AO73" s="1601"/>
      <c r="AP73" s="1624" t="str">
        <f>IFERROR(IF($A$8=$BO$1,$BO72,IF($A$8=$BP$1,$BP72,IF($A$8=$BQ$1,$BQ72,IF($A$8=$BR$1,$BR72,IF($A$8=$BS$1,$BS72,IF($A$8=$BT$1,$BT72,IF($A$8=$BU$1,$BU72,IF($A$8="",INDEX(Tiere!$BN$2:$BN$153,_xlfn.AGGREGATE(15,6,(ROW(Tiere!$BN$2:$BN$153)-1)/(--(SEARCH(AQ$2,Tiere!$BN$2:$BN$153)&gt;0)),ROW()-2),1))))))))),"")</f>
        <v>Zuchteber - N-reduzierte Fütterung - Mist/Jauche</v>
      </c>
      <c r="AQ73" s="1601"/>
      <c r="AR73" s="1624" t="str">
        <f>IFERROR(IF($A$9=$BO$1,$BO72,IF($A$9=$BP$1,$BP72,IF($A$9=$BQ$1,$BQ72,IF($A$9=$BR$1,$BR72,IF($A$9=$BS$1,$BS72,IF($A$9=$BT$1,$BT72,IF($A$9=$BU$1,$BU72,IF($A$9="",INDEX(Tiere!$BN$2:$BN$153,_xlfn.AGGREGATE(15,6,(ROW(Tiere!$BN$2:$BN$153)-1)/(--(SEARCH(AS$2,Tiere!$BN$2:$BN$153)&gt;0)),ROW()-2),1))))))))),"")</f>
        <v>Zuchteber - N-reduzierte Fütterung - Mist/Jauche</v>
      </c>
      <c r="AS73" s="1601"/>
      <c r="AT73" s="1624" t="str">
        <f>IFERROR(IF($A$10=$BO$1,$BO72,IF($A$10=$BP$1,$BP72,IF($A$10=$BQ$1,$BQ72,IF($A$10=$BR$1,$BR72,IF($A$10=$BS$1,$BS72,IF($A$10=$BT$1,$BT72,IF($A$10=$BU$1,$BU72,IF($A$10="",INDEX(Tiere!$BN$2:$BN$153,_xlfn.AGGREGATE(15,6,(ROW(Tiere!$BN$2:$BN$153)-1)/(--(SEARCH(AU$2,Tiere!$BN$2:$BN$153)&gt;0)),ROW()-2),1))))))))),"")</f>
        <v>Zuchteber - N-reduzierte Fütterung - Mist/Jauche</v>
      </c>
      <c r="AU73" s="1601"/>
      <c r="AV73" s="1624" t="str">
        <f>IFERROR(IF($A$11=$BO$1,$BO72,IF($A$11=$BP$1,$BP72,IF($A$11=$BQ$1,$BQ72,IF($A$11=$BR$1,$BR72,IF($A$11=$BS$1,$BS72,IF($A$11=$BT$1,$BT72,IF($A$11=$BU$1,$BU72,IF($A$11="",INDEX(Tiere!$BN$2:$BN$153,_xlfn.AGGREGATE(15,6,(ROW(Tiere!$BN$2:$BN$153)-1)/(--(SEARCH(AW$2,Tiere!$BN$2:$BN$153)&gt;0)),ROW()-2),1))))))))),"")</f>
        <v>Zuchteber - N-reduzierte Fütterung - Mist/Jauche</v>
      </c>
      <c r="AW73" s="1601"/>
      <c r="AX73" s="1624" t="str">
        <f>IFERROR(IF($A$12=$BO$1,$BO72,IF($A$12=$BP$1,$BP72,IF($A$12=$BQ$1,$BQ72,IF($A$12=$BR$1,$BR72,IF($A$12=$BS$1,$BS72,IF($A$12=$BT$1,$BT72,IF($A$12=$BU$1,$BU72,IF($A$12="",INDEX(Tiere!$BN$2:$BN$153,_xlfn.AGGREGATE(15,6,(ROW(Tiere!$BN$2:$BN$153)-1)/(--(SEARCH(AY$2,Tiere!$BN$2:$BN$153)&gt;0)),ROW()-2),1))))))))),"")</f>
        <v>Zuchteber - N-reduzierte Fütterung - Mist/Jauche</v>
      </c>
      <c r="AY73" s="1601"/>
      <c r="AZ73" s="1624" t="str">
        <f>IFERROR(IF($A$13=$BO$1,$BO72,IF($A$13=$BP$1,$BP72,IF($A$13=$BQ$1,$BQ72,IF($A$13=$BR$1,$BR72,IF($A$13=$BS$1,$BS72,IF($A$13=$BT$1,$BT72,IF($A$13=$BU$1,$BU72,IF($A$13="",INDEX(Tiere!$BN$2:$BN$153,_xlfn.AGGREGATE(15,6,(ROW(Tiere!$BN$2:$BN$153)-1)/(--(SEARCH(BA$2,Tiere!$BN$2:$BN$153)&gt;0)),ROW()-2),1))))))))),"")</f>
        <v>Zuchteber - N-reduzierte Fütterung - Mist/Jauche</v>
      </c>
      <c r="BA73" s="1601"/>
      <c r="BB73" s="1624" t="str">
        <f>IFERROR(IF($A$14=$BO$1,$BO72,IF($A$14=$BP$1,$BP72,IF($A$14=$BQ$1,$BQ72,IF($A$14=$BR$1,$BR72,IF($A$14=$BS$1,$BS72,IF($A$14=$BT$1,$BT72,IF($A$14=$BU$1,$BU72,IF($A$14="",INDEX(Tiere!$BN$2:$BN$153,_xlfn.AGGREGATE(15,6,(ROW(Tiere!$BN$2:$BN$153)-1)/(--(SEARCH(BC$2,Tiere!$BN$2:$BN$153)&gt;0)),ROW()-2),1))))))))),"")</f>
        <v>Zuchteber - N-reduzierte Fütterung - Mist/Jauche</v>
      </c>
      <c r="BC73" s="1601"/>
      <c r="BD73" s="1624" t="str">
        <f>IFERROR(IF($A$15=$BO$1,$BO72,IF($A$15=$BP$1,$BP72,IF($A$15=$BQ$1,$BQ72,IF($A$15=$BR$1,$BR72,IF($A$15=$BS$1,$BS72,IF($A$15=$BT$1,$BT72,IF($A$15=$BU$1,$BU72,IF($A$15="",INDEX(Tiere!$BN$2:$BN$153,_xlfn.AGGREGATE(15,6,(ROW(Tiere!$BN$2:$BN$153)-1)/(--(SEARCH(BE$2,Tiere!$BN$2:$BN$153)&gt;0)),ROW()-2),1))))))))),"")</f>
        <v>Zuchteber - N-reduzierte Fütterung - Mist/Jauche</v>
      </c>
      <c r="BE73" s="1601"/>
      <c r="BF73" s="1624" t="str">
        <f>IFERROR(IF($A$16=$BO$1,$BO72,IF($A$16=$BP$1,$BP72,IF($A$16=$BQ$1,$BQ72,IF($A$16=$BR$1,$BR72,IF($A$16=$BS$1,$BS72,IF($A$16=$BT$1,$BT72,IF($A$16=$BU$1,$BU72,IF($A$16="",INDEX(Tiere!$BN$2:$BN$153,_xlfn.AGGREGATE(15,6,(ROW(Tiere!$BN$2:$BN$153)-1)/(--(SEARCH(BG$2,Tiere!$BN$2:$BN$153)&gt;0)),ROW()-2),1))))))))),"")</f>
        <v>Zuchteber - N-reduzierte Fütterung - Mist/Jauche</v>
      </c>
      <c r="BG73" s="1601"/>
      <c r="BH73" s="1624" t="str">
        <f>IFERROR(IF($A$17=$BO$1,$BO72,IF($A$17=$BP$1,$BP72,IF($A$17=$BQ$1,$BQ72,IF($A$17=$BR$1,$BR72,IF($A$17=$BS$1,$BS72,IF($A$17=$BT$1,$BT72,IF($A$17=$BU$1,$BU72,IF($A$17="",INDEX(Tiere!$BN$2:$BN$153,_xlfn.AGGREGATE(15,6,(ROW(Tiere!$BN$2:$BN$153)-1)/(--(SEARCH(BI$2,Tiere!$BN$2:$BN$153)&gt;0)),ROW()-2),1))))))))),"")</f>
        <v>Zuchteber - N-reduzierte Fütterung - Mist/Jauche</v>
      </c>
      <c r="BI73" s="1601"/>
      <c r="BJ73" s="1624" t="str">
        <f>IFERROR(IF($A$18=$BO$1,$BO72,IF($A$18=$BP$1,$BP72,IF($A$18=$BQ$1,$BQ72,IF($A$18=$BR$1,$BR72,IF($A$18=$BS$1,$BS72,IF($A$18=$BT$1,$BT72,IF($A$18=$BU$1,$BU72,IF($A$18="",INDEX(Tiere!$BN$2:$BN$153,_xlfn.AGGREGATE(15,6,(ROW(Tiere!$BN$2:$BN$153)-1)/(--(SEARCH(BK$2,Tiere!$BN$2:$BN$153)&gt;0)),ROW()-2),1))))))))),"")</f>
        <v>Zuchteber - N-reduzierte Fütterung - Mist/Jauche</v>
      </c>
      <c r="BK73" s="1601"/>
      <c r="BL73" s="1624" t="str">
        <f>IFERROR(IF($A$19=$BO$1,$BO72,IF($A$19=$BP$1,$BP72,IF($A$19=$BQ$1,$BQ72,IF($A$19=$BR$1,$BR72,IF($A$19=$BS$1,$BS72,IF($A$19=$BT$1,$BT72,IF($A$19=$BU$1,$BU72,IF($A$19="",INDEX(Tiere!$BN$2:$BN$153,_xlfn.AGGREGATE(15,6,(ROW(Tiere!$BN$2:$BN$153)-1)/(--(SEARCH(BM$2,Tiere!$BN$2:$BN$153)&gt;0)),ROW()-2),1))))))))),"")</f>
        <v>Zuchteber - N-reduzierte Fütterung - Mist/Jauche</v>
      </c>
      <c r="BM73" s="1601"/>
      <c r="BN73" s="1630" t="s">
        <v>745</v>
      </c>
      <c r="BO73" s="1599"/>
      <c r="BP73" s="1599"/>
      <c r="BQ73" s="1599"/>
      <c r="BR73" s="1599"/>
      <c r="BS73" s="1599"/>
      <c r="BT73" s="1599"/>
      <c r="BU73" s="1599"/>
      <c r="CD73" s="1911" t="s">
        <v>745</v>
      </c>
    </row>
    <row r="74" spans="36:82" ht="13.5" thickBot="1">
      <c r="AJ74" s="1624" t="str">
        <f>IFERROR(IF($A$5=$BO$1,$BO73,IF($A$5=$BP$1,$BP73,IF($A$5=$BQ$1,$BQ73,IF($A$5=$BR$1,$BR73,IF($A$5=$BS$1,$BS73,IF($A$5=$BT$1,$BT73,IF($A$5=$BU$1,$BU73,IF($A$5="",INDEX(Tiere!$BN$2:$BN$153,_xlfn.AGGREGATE(15,6,(ROW(Tiere!$BN$2:$BN$153)-1)/(--(SEARCH(AK$2,Tiere!$BN$2:$BN$153)&gt;0)),ROW()-2),1))))))))),"")</f>
        <v>Zuchteber - N-reduzierte Fütterung - Tiefstallmist</v>
      </c>
      <c r="AK74" s="1599"/>
      <c r="AL74" s="1624" t="str">
        <f>IFERROR(IF($A$6=$BO$1,$BO73,IF($A$6=$BP$1,$BP73,IF($A$6=$BQ$1,$BQ73,IF($A$6=$BR$1,$BR73,IF($A$6=$BS$1,$BS73,IF($A$6=$BT$1,$BT73,IF($A$6=$BU$1,$BU73,IF($A$6="",INDEX(Tiere!$BN$2:$BN$153,_xlfn.AGGREGATE(15,6,(ROW(Tiere!$BN$2:$BN$153)-1)/(--(SEARCH(AM$2,Tiere!$BN$2:$BN$153)&gt;0)),ROW()-2),1))))))))),"")</f>
        <v>Zuchteber - N-reduzierte Fütterung - Tiefstallmist</v>
      </c>
      <c r="AM74" s="1599"/>
      <c r="AN74" s="1624" t="str">
        <f>IFERROR(IF($A$7=$BO$1,$BO73,IF($A$7=$BP$1,$BP73,IF($A$7=$BQ$1,$BQ73,IF($A$7=$BR$1,$BR73,IF($A$7=$BS$1,$BS73,IF($A$7=$BT$1,$BT73,IF($A$7=$BU$1,$BU73,IF($A$7="",INDEX(Tiere!$BN$2:$BN$153,_xlfn.AGGREGATE(15,6,(ROW(Tiere!$BN$2:$BN$153)-1)/(--(SEARCH(AM$2,Tiere!$BN$2:$BN$153)&gt;0)),ROW()-2),1))))))))),"")</f>
        <v>Zuchteber - N-reduzierte Fütterung - Tiefstallmist</v>
      </c>
      <c r="AO74" s="1599"/>
      <c r="AP74" s="1624" t="str">
        <f>IFERROR(IF($A$8=$BO$1,$BO73,IF($A$8=$BP$1,$BP73,IF($A$8=$BQ$1,$BQ73,IF($A$8=$BR$1,$BR73,IF($A$8=$BS$1,$BS73,IF($A$8=$BT$1,$BT73,IF($A$8=$BU$1,$BU73,IF($A$8="",INDEX(Tiere!$BN$2:$BN$153,_xlfn.AGGREGATE(15,6,(ROW(Tiere!$BN$2:$BN$153)-1)/(--(SEARCH(AQ$2,Tiere!$BN$2:$BN$153)&gt;0)),ROW()-2),1))))))))),"")</f>
        <v>Zuchteber - N-reduzierte Fütterung - Tiefstallmist</v>
      </c>
      <c r="AQ74" s="1599"/>
      <c r="AR74" s="1624" t="str">
        <f>IFERROR(IF($A$9=$BO$1,$BO73,IF($A$9=$BP$1,$BP73,IF($A$9=$BQ$1,$BQ73,IF($A$9=$BR$1,$BR73,IF($A$9=$BS$1,$BS73,IF($A$9=$BT$1,$BT73,IF($A$9=$BU$1,$BU73,IF($A$9="",INDEX(Tiere!$BN$2:$BN$153,_xlfn.AGGREGATE(15,6,(ROW(Tiere!$BN$2:$BN$153)-1)/(--(SEARCH(AS$2,Tiere!$BN$2:$BN$153)&gt;0)),ROW()-2),1))))))))),"")</f>
        <v>Zuchteber - N-reduzierte Fütterung - Tiefstallmist</v>
      </c>
      <c r="AS74" s="1599"/>
      <c r="AT74" s="1624" t="str">
        <f>IFERROR(IF($A$10=$BO$1,$BO73,IF($A$10=$BP$1,$BP73,IF($A$10=$BQ$1,$BQ73,IF($A$10=$BR$1,$BR73,IF($A$10=$BS$1,$BS73,IF($A$10=$BT$1,$BT73,IF($A$10=$BU$1,$BU73,IF($A$10="",INDEX(Tiere!$BN$2:$BN$153,_xlfn.AGGREGATE(15,6,(ROW(Tiere!$BN$2:$BN$153)-1)/(--(SEARCH(AU$2,Tiere!$BN$2:$BN$153)&gt;0)),ROW()-2),1))))))))),"")</f>
        <v>Zuchteber - N-reduzierte Fütterung - Tiefstallmist</v>
      </c>
      <c r="AU74" s="1599"/>
      <c r="AV74" s="1624" t="str">
        <f>IFERROR(IF($A$11=$BO$1,$BO73,IF($A$11=$BP$1,$BP73,IF($A$11=$BQ$1,$BQ73,IF($A$11=$BR$1,$BR73,IF($A$11=$BS$1,$BS73,IF($A$11=$BT$1,$BT73,IF($A$11=$BU$1,$BU73,IF($A$11="",INDEX(Tiere!$BN$2:$BN$153,_xlfn.AGGREGATE(15,6,(ROW(Tiere!$BN$2:$BN$153)-1)/(--(SEARCH(AW$2,Tiere!$BN$2:$BN$153)&gt;0)),ROW()-2),1))))))))),"")</f>
        <v>Zuchteber - N-reduzierte Fütterung - Tiefstallmist</v>
      </c>
      <c r="AW74" s="1599"/>
      <c r="AX74" s="1624" t="str">
        <f>IFERROR(IF($A$12=$BO$1,$BO73,IF($A$12=$BP$1,$BP73,IF($A$12=$BQ$1,$BQ73,IF($A$12=$BR$1,$BR73,IF($A$12=$BS$1,$BS73,IF($A$12=$BT$1,$BT73,IF($A$12=$BU$1,$BU73,IF($A$12="",INDEX(Tiere!$BN$2:$BN$153,_xlfn.AGGREGATE(15,6,(ROW(Tiere!$BN$2:$BN$153)-1)/(--(SEARCH(AY$2,Tiere!$BN$2:$BN$153)&gt;0)),ROW()-2),1))))))))),"")</f>
        <v>Zuchteber - N-reduzierte Fütterung - Tiefstallmist</v>
      </c>
      <c r="AY74" s="1599"/>
      <c r="AZ74" s="1624" t="str">
        <f>IFERROR(IF($A$13=$BO$1,$BO73,IF($A$13=$BP$1,$BP73,IF($A$13=$BQ$1,$BQ73,IF($A$13=$BR$1,$BR73,IF($A$13=$BS$1,$BS73,IF($A$13=$BT$1,$BT73,IF($A$13=$BU$1,$BU73,IF($A$13="",INDEX(Tiere!$BN$2:$BN$153,_xlfn.AGGREGATE(15,6,(ROW(Tiere!$BN$2:$BN$153)-1)/(--(SEARCH(BA$2,Tiere!$BN$2:$BN$153)&gt;0)),ROW()-2),1))))))))),"")</f>
        <v>Zuchteber - N-reduzierte Fütterung - Tiefstallmist</v>
      </c>
      <c r="BA74" s="1599"/>
      <c r="BB74" s="1624" t="str">
        <f>IFERROR(IF($A$14=$BO$1,$BO73,IF($A$14=$BP$1,$BP73,IF($A$14=$BQ$1,$BQ73,IF($A$14=$BR$1,$BR73,IF($A$14=$BS$1,$BS73,IF($A$14=$BT$1,$BT73,IF($A$14=$BU$1,$BU73,IF($A$14="",INDEX(Tiere!$BN$2:$BN$153,_xlfn.AGGREGATE(15,6,(ROW(Tiere!$BN$2:$BN$153)-1)/(--(SEARCH(BC$2,Tiere!$BN$2:$BN$153)&gt;0)),ROW()-2),1))))))))),"")</f>
        <v>Zuchteber - N-reduzierte Fütterung - Tiefstallmist</v>
      </c>
      <c r="BC74" s="1599"/>
      <c r="BD74" s="1624" t="str">
        <f>IFERROR(IF($A$15=$BO$1,$BO73,IF($A$15=$BP$1,$BP73,IF($A$15=$BQ$1,$BQ73,IF($A$15=$BR$1,$BR73,IF($A$15=$BS$1,$BS73,IF($A$15=$BT$1,$BT73,IF($A$15=$BU$1,$BU73,IF($A$15="",INDEX(Tiere!$BN$2:$BN$153,_xlfn.AGGREGATE(15,6,(ROW(Tiere!$BN$2:$BN$153)-1)/(--(SEARCH(BE$2,Tiere!$BN$2:$BN$153)&gt;0)),ROW()-2),1))))))))),"")</f>
        <v>Zuchteber - N-reduzierte Fütterung - Tiefstallmist</v>
      </c>
      <c r="BE74" s="1599"/>
      <c r="BF74" s="1624" t="str">
        <f>IFERROR(IF($A$16=$BO$1,$BO73,IF($A$16=$BP$1,$BP73,IF($A$16=$BQ$1,$BQ73,IF($A$16=$BR$1,$BR73,IF($A$16=$BS$1,$BS73,IF($A$16=$BT$1,$BT73,IF($A$16=$BU$1,$BU73,IF($A$16="",INDEX(Tiere!$BN$2:$BN$153,_xlfn.AGGREGATE(15,6,(ROW(Tiere!$BN$2:$BN$153)-1)/(--(SEARCH(BG$2,Tiere!$BN$2:$BN$153)&gt;0)),ROW()-2),1))))))))),"")</f>
        <v>Zuchteber - N-reduzierte Fütterung - Tiefstallmist</v>
      </c>
      <c r="BG74" s="1599"/>
      <c r="BH74" s="1624" t="str">
        <f>IFERROR(IF($A$17=$BO$1,$BO73,IF($A$17=$BP$1,$BP73,IF($A$17=$BQ$1,$BQ73,IF($A$17=$BR$1,$BR73,IF($A$17=$BS$1,$BS73,IF($A$17=$BT$1,$BT73,IF($A$17=$BU$1,$BU73,IF($A$17="",INDEX(Tiere!$BN$2:$BN$153,_xlfn.AGGREGATE(15,6,(ROW(Tiere!$BN$2:$BN$153)-1)/(--(SEARCH(BI$2,Tiere!$BN$2:$BN$153)&gt;0)),ROW()-2),1))))))))),"")</f>
        <v>Zuchteber - N-reduzierte Fütterung - Tiefstallmist</v>
      </c>
      <c r="BI74" s="1599"/>
      <c r="BJ74" s="1624" t="str">
        <f>IFERROR(IF($A$18=$BO$1,$BO73,IF($A$18=$BP$1,$BP73,IF($A$18=$BQ$1,$BQ73,IF($A$18=$BR$1,$BR73,IF($A$18=$BS$1,$BS73,IF($A$18=$BT$1,$BT73,IF($A$18=$BU$1,$BU73,IF($A$18="",INDEX(Tiere!$BN$2:$BN$153,_xlfn.AGGREGATE(15,6,(ROW(Tiere!$BN$2:$BN$153)-1)/(--(SEARCH(BK$2,Tiere!$BN$2:$BN$153)&gt;0)),ROW()-2),1))))))))),"")</f>
        <v>Zuchteber - N-reduzierte Fütterung - Tiefstallmist</v>
      </c>
      <c r="BK74" s="1599"/>
      <c r="BL74" s="1624" t="str">
        <f>IFERROR(IF($A$19=$BO$1,$BO73,IF($A$19=$BP$1,$BP73,IF($A$19=$BQ$1,$BQ73,IF($A$19=$BR$1,$BR73,IF($A$19=$BS$1,$BS73,IF($A$19=$BT$1,$BT73,IF($A$19=$BU$1,$BU73,IF($A$19="",INDEX(Tiere!$BN$2:$BN$153,_xlfn.AGGREGATE(15,6,(ROW(Tiere!$BN$2:$BN$153)-1)/(--(SEARCH(BM$2,Tiere!$BN$2:$BN$153)&gt;0)),ROW()-2),1))))))))),"")</f>
        <v>Zuchteber - N-reduzierte Fütterung - Tiefstallmist</v>
      </c>
      <c r="BM74" s="1599"/>
      <c r="BN74" s="1630" t="s">
        <v>2392</v>
      </c>
      <c r="BO74" s="1599"/>
      <c r="BP74" s="1599"/>
      <c r="BQ74" s="1599"/>
      <c r="BR74" s="1599"/>
      <c r="BS74" s="1599"/>
      <c r="BT74" s="1599"/>
      <c r="BU74" s="1599"/>
      <c r="CD74" s="1911" t="s">
        <v>2392</v>
      </c>
    </row>
    <row r="75" spans="36:82" ht="13.5" thickBot="1">
      <c r="AJ75" s="1624" t="str">
        <f>IFERROR(IF($A$5=$BO$1,$BO74,IF($A$5=$BP$1,$BP74,IF($A$5=$BQ$1,$BQ74,IF($A$5=$BR$1,$BR74,IF($A$5=$BS$1,$BS74,IF($A$5=$BT$1,$BT74,IF($A$5=$BU$1,$BU74,IF($A$5="",INDEX(Tiere!$BN$2:$BN$153,_xlfn.AGGREGATE(15,6,(ROW(Tiere!$BN$2:$BN$153)-1)/(--(SEARCH(AK$2,Tiere!$BN$2:$BN$153)&gt;0)),ROW()-2),1))))))))),"")</f>
        <v>Zuchteber - stark-N-reduzierte Fütterung - Gülle</v>
      </c>
      <c r="AK75" s="1601"/>
      <c r="AL75" s="1624" t="str">
        <f>IFERROR(IF($A$6=$BO$1,$BO74,IF($A$6=$BP$1,$BP74,IF($A$6=$BQ$1,$BQ74,IF($A$6=$BR$1,$BR74,IF($A$6=$BS$1,$BS74,IF($A$6=$BT$1,$BT74,IF($A$6=$BU$1,$BU74,IF($A$6="",INDEX(Tiere!$BN$2:$BN$153,_xlfn.AGGREGATE(15,6,(ROW(Tiere!$BN$2:$BN$153)-1)/(--(SEARCH(AM$2,Tiere!$BN$2:$BN$153)&gt;0)),ROW()-2),1))))))))),"")</f>
        <v>Zuchteber - stark-N-reduzierte Fütterung - Gülle</v>
      </c>
      <c r="AM75" s="1601"/>
      <c r="AN75" s="1624" t="str">
        <f>IFERROR(IF($A$7=$BO$1,$BO74,IF($A$7=$BP$1,$BP74,IF($A$7=$BQ$1,$BQ74,IF($A$7=$BR$1,$BR74,IF($A$7=$BS$1,$BS74,IF($A$7=$BT$1,$BT74,IF($A$7=$BU$1,$BU74,IF($A$7="",INDEX(Tiere!$BN$2:$BN$153,_xlfn.AGGREGATE(15,6,(ROW(Tiere!$BN$2:$BN$153)-1)/(--(SEARCH(AM$2,Tiere!$BN$2:$BN$153)&gt;0)),ROW()-2),1))))))))),"")</f>
        <v>Zuchteber - stark-N-reduzierte Fütterung - Gülle</v>
      </c>
      <c r="AO75" s="1601"/>
      <c r="AP75" s="1624" t="str">
        <f>IFERROR(IF($A$8=$BO$1,$BO74,IF($A$8=$BP$1,$BP74,IF($A$8=$BQ$1,$BQ74,IF($A$8=$BR$1,$BR74,IF($A$8=$BS$1,$BS74,IF($A$8=$BT$1,$BT74,IF($A$8=$BU$1,$BU74,IF($A$8="",INDEX(Tiere!$BN$2:$BN$153,_xlfn.AGGREGATE(15,6,(ROW(Tiere!$BN$2:$BN$153)-1)/(--(SEARCH(AQ$2,Tiere!$BN$2:$BN$153)&gt;0)),ROW()-2),1))))))))),"")</f>
        <v>Zuchteber - stark-N-reduzierte Fütterung - Gülle</v>
      </c>
      <c r="AQ75" s="1601"/>
      <c r="AR75" s="1624" t="str">
        <f>IFERROR(IF($A$9=$BO$1,$BO74,IF($A$9=$BP$1,$BP74,IF($A$9=$BQ$1,$BQ74,IF($A$9=$BR$1,$BR74,IF($A$9=$BS$1,$BS74,IF($A$9=$BT$1,$BT74,IF($A$9=$BU$1,$BU74,IF($A$9="",INDEX(Tiere!$BN$2:$BN$153,_xlfn.AGGREGATE(15,6,(ROW(Tiere!$BN$2:$BN$153)-1)/(--(SEARCH(AS$2,Tiere!$BN$2:$BN$153)&gt;0)),ROW()-2),1))))))))),"")</f>
        <v>Zuchteber - stark-N-reduzierte Fütterung - Gülle</v>
      </c>
      <c r="AS75" s="1601"/>
      <c r="AT75" s="1624" t="str">
        <f>IFERROR(IF($A$10=$BO$1,$BO74,IF($A$10=$BP$1,$BP74,IF($A$10=$BQ$1,$BQ74,IF($A$10=$BR$1,$BR74,IF($A$10=$BS$1,$BS74,IF($A$10=$BT$1,$BT74,IF($A$10=$BU$1,$BU74,IF($A$10="",INDEX(Tiere!$BN$2:$BN$153,_xlfn.AGGREGATE(15,6,(ROW(Tiere!$BN$2:$BN$153)-1)/(--(SEARCH(AU$2,Tiere!$BN$2:$BN$153)&gt;0)),ROW()-2),1))))))))),"")</f>
        <v>Zuchteber - stark-N-reduzierte Fütterung - Gülle</v>
      </c>
      <c r="AU75" s="1601"/>
      <c r="AV75" s="1624" t="str">
        <f>IFERROR(IF($A$11=$BO$1,$BO74,IF($A$11=$BP$1,$BP74,IF($A$11=$BQ$1,$BQ74,IF($A$11=$BR$1,$BR74,IF($A$11=$BS$1,$BS74,IF($A$11=$BT$1,$BT74,IF($A$11=$BU$1,$BU74,IF($A$11="",INDEX(Tiere!$BN$2:$BN$153,_xlfn.AGGREGATE(15,6,(ROW(Tiere!$BN$2:$BN$153)-1)/(--(SEARCH(AW$2,Tiere!$BN$2:$BN$153)&gt;0)),ROW()-2),1))))))))),"")</f>
        <v>Zuchteber - stark-N-reduzierte Fütterung - Gülle</v>
      </c>
      <c r="AW75" s="1601"/>
      <c r="AX75" s="1624" t="str">
        <f>IFERROR(IF($A$12=$BO$1,$BO74,IF($A$12=$BP$1,$BP74,IF($A$12=$BQ$1,$BQ74,IF($A$12=$BR$1,$BR74,IF($A$12=$BS$1,$BS74,IF($A$12=$BT$1,$BT74,IF($A$12=$BU$1,$BU74,IF($A$12="",INDEX(Tiere!$BN$2:$BN$153,_xlfn.AGGREGATE(15,6,(ROW(Tiere!$BN$2:$BN$153)-1)/(--(SEARCH(AY$2,Tiere!$BN$2:$BN$153)&gt;0)),ROW()-2),1))))))))),"")</f>
        <v>Zuchteber - stark-N-reduzierte Fütterung - Gülle</v>
      </c>
      <c r="AY75" s="1601"/>
      <c r="AZ75" s="1624" t="str">
        <f>IFERROR(IF($A$13=$BO$1,$BO74,IF($A$13=$BP$1,$BP74,IF($A$13=$BQ$1,$BQ74,IF($A$13=$BR$1,$BR74,IF($A$13=$BS$1,$BS74,IF($A$13=$BT$1,$BT74,IF($A$13=$BU$1,$BU74,IF($A$13="",INDEX(Tiere!$BN$2:$BN$153,_xlfn.AGGREGATE(15,6,(ROW(Tiere!$BN$2:$BN$153)-1)/(--(SEARCH(BA$2,Tiere!$BN$2:$BN$153)&gt;0)),ROW()-2),1))))))))),"")</f>
        <v>Zuchteber - stark-N-reduzierte Fütterung - Gülle</v>
      </c>
      <c r="BA75" s="1601"/>
      <c r="BB75" s="1624" t="str">
        <f>IFERROR(IF($A$14=$BO$1,$BO74,IF($A$14=$BP$1,$BP74,IF($A$14=$BQ$1,$BQ74,IF($A$14=$BR$1,$BR74,IF($A$14=$BS$1,$BS74,IF($A$14=$BT$1,$BT74,IF($A$14=$BU$1,$BU74,IF($A$14="",INDEX(Tiere!$BN$2:$BN$153,_xlfn.AGGREGATE(15,6,(ROW(Tiere!$BN$2:$BN$153)-1)/(--(SEARCH(BC$2,Tiere!$BN$2:$BN$153)&gt;0)),ROW()-2),1))))))))),"")</f>
        <v>Zuchteber - stark-N-reduzierte Fütterung - Gülle</v>
      </c>
      <c r="BC75" s="1601"/>
      <c r="BD75" s="1624" t="str">
        <f>IFERROR(IF($A$15=$BO$1,$BO74,IF($A$15=$BP$1,$BP74,IF($A$15=$BQ$1,$BQ74,IF($A$15=$BR$1,$BR74,IF($A$15=$BS$1,$BS74,IF($A$15=$BT$1,$BT74,IF($A$15=$BU$1,$BU74,IF($A$15="",INDEX(Tiere!$BN$2:$BN$153,_xlfn.AGGREGATE(15,6,(ROW(Tiere!$BN$2:$BN$153)-1)/(--(SEARCH(BE$2,Tiere!$BN$2:$BN$153)&gt;0)),ROW()-2),1))))))))),"")</f>
        <v>Zuchteber - stark-N-reduzierte Fütterung - Gülle</v>
      </c>
      <c r="BE75" s="1601"/>
      <c r="BF75" s="1624" t="str">
        <f>IFERROR(IF($A$16=$BO$1,$BO74,IF($A$16=$BP$1,$BP74,IF($A$16=$BQ$1,$BQ74,IF($A$16=$BR$1,$BR74,IF($A$16=$BS$1,$BS74,IF($A$16=$BT$1,$BT74,IF($A$16=$BU$1,$BU74,IF($A$16="",INDEX(Tiere!$BN$2:$BN$153,_xlfn.AGGREGATE(15,6,(ROW(Tiere!$BN$2:$BN$153)-1)/(--(SEARCH(BG$2,Tiere!$BN$2:$BN$153)&gt;0)),ROW()-2),1))))))))),"")</f>
        <v>Zuchteber - stark-N-reduzierte Fütterung - Gülle</v>
      </c>
      <c r="BG75" s="1601"/>
      <c r="BH75" s="1624" t="str">
        <f>IFERROR(IF($A$17=$BO$1,$BO74,IF($A$17=$BP$1,$BP74,IF($A$17=$BQ$1,$BQ74,IF($A$17=$BR$1,$BR74,IF($A$17=$BS$1,$BS74,IF($A$17=$BT$1,$BT74,IF($A$17=$BU$1,$BU74,IF($A$17="",INDEX(Tiere!$BN$2:$BN$153,_xlfn.AGGREGATE(15,6,(ROW(Tiere!$BN$2:$BN$153)-1)/(--(SEARCH(BI$2,Tiere!$BN$2:$BN$153)&gt;0)),ROW()-2),1))))))))),"")</f>
        <v>Zuchteber - stark-N-reduzierte Fütterung - Gülle</v>
      </c>
      <c r="BI75" s="1601"/>
      <c r="BJ75" s="1624" t="str">
        <f>IFERROR(IF($A$18=$BO$1,$BO74,IF($A$18=$BP$1,$BP74,IF($A$18=$BQ$1,$BQ74,IF($A$18=$BR$1,$BR74,IF($A$18=$BS$1,$BS74,IF($A$18=$BT$1,$BT74,IF($A$18=$BU$1,$BU74,IF($A$18="",INDEX(Tiere!$BN$2:$BN$153,_xlfn.AGGREGATE(15,6,(ROW(Tiere!$BN$2:$BN$153)-1)/(--(SEARCH(BK$2,Tiere!$BN$2:$BN$153)&gt;0)),ROW()-2),1))))))))),"")</f>
        <v>Zuchteber - stark-N-reduzierte Fütterung - Gülle</v>
      </c>
      <c r="BK75" s="1601"/>
      <c r="BL75" s="1624" t="str">
        <f>IFERROR(IF($A$19=$BO$1,$BO74,IF($A$19=$BP$1,$BP74,IF($A$19=$BQ$1,$BQ74,IF($A$19=$BR$1,$BR74,IF($A$19=$BS$1,$BS74,IF($A$19=$BT$1,$BT74,IF($A$19=$BU$1,$BU74,IF($A$19="",INDEX(Tiere!$BN$2:$BN$153,_xlfn.AGGREGATE(15,6,(ROW(Tiere!$BN$2:$BN$153)-1)/(--(SEARCH(BM$2,Tiere!$BN$2:$BN$153)&gt;0)),ROW()-2),1))))))))),"")</f>
        <v>Zuchteber - stark-N-reduzierte Fütterung - Gülle</v>
      </c>
      <c r="BM75" s="1601"/>
      <c r="BN75" s="1630" t="s">
        <v>2393</v>
      </c>
      <c r="BO75" s="1599"/>
      <c r="BP75" s="1599"/>
      <c r="BQ75" s="1599"/>
      <c r="BR75" s="1599"/>
      <c r="BS75" s="1599"/>
      <c r="BT75" s="1599"/>
      <c r="BU75" s="1599"/>
      <c r="CD75" s="1911" t="s">
        <v>2393</v>
      </c>
    </row>
    <row r="76" spans="36:82" ht="13.5" thickBot="1">
      <c r="AJ76" s="1624" t="str">
        <f>IFERROR(IF($A$5=$BO$1,$BO75,IF($A$5=$BP$1,$BP75,IF($A$5=$BQ$1,$BQ75,IF($A$5=$BR$1,$BR75,IF($A$5=$BS$1,$BS75,IF($A$5=$BT$1,$BT75,IF($A$5=$BU$1,$BU75,IF($A$5="",INDEX(Tiere!$BN$2:$BN$153,_xlfn.AGGREGATE(15,6,(ROW(Tiere!$BN$2:$BN$153)-1)/(--(SEARCH(AK$2,Tiere!$BN$2:$BN$153)&gt;0)),ROW()-2),1))))))))),"")</f>
        <v>Zuchteber - stark-N-reduzierte Fütterung - Mist/Jauche</v>
      </c>
      <c r="AK76" s="1599"/>
      <c r="AL76" s="1624" t="str">
        <f>IFERROR(IF($A$6=$BO$1,$BO75,IF($A$6=$BP$1,$BP75,IF($A$6=$BQ$1,$BQ75,IF($A$6=$BR$1,$BR75,IF($A$6=$BS$1,$BS75,IF($A$6=$BT$1,$BT75,IF($A$6=$BU$1,$BU75,IF($A$6="",INDEX(Tiere!$BN$2:$BN$153,_xlfn.AGGREGATE(15,6,(ROW(Tiere!$BN$2:$BN$153)-1)/(--(SEARCH(AM$2,Tiere!$BN$2:$BN$153)&gt;0)),ROW()-2),1))))))))),"")</f>
        <v>Zuchteber - stark-N-reduzierte Fütterung - Mist/Jauche</v>
      </c>
      <c r="AM76" s="1599"/>
      <c r="AN76" s="1624" t="str">
        <f>IFERROR(IF($A$7=$BO$1,$BO75,IF($A$7=$BP$1,$BP75,IF($A$7=$BQ$1,$BQ75,IF($A$7=$BR$1,$BR75,IF($A$7=$BS$1,$BS75,IF($A$7=$BT$1,$BT75,IF($A$7=$BU$1,$BU75,IF($A$7="",INDEX(Tiere!$BN$2:$BN$153,_xlfn.AGGREGATE(15,6,(ROW(Tiere!$BN$2:$BN$153)-1)/(--(SEARCH(AM$2,Tiere!$BN$2:$BN$153)&gt;0)),ROW()-2),1))))))))),"")</f>
        <v>Zuchteber - stark-N-reduzierte Fütterung - Mist/Jauche</v>
      </c>
      <c r="AO76" s="1599"/>
      <c r="AP76" s="1624" t="str">
        <f>IFERROR(IF($A$8=$BO$1,$BO75,IF($A$8=$BP$1,$BP75,IF($A$8=$BQ$1,$BQ75,IF($A$8=$BR$1,$BR75,IF($A$8=$BS$1,$BS75,IF($A$8=$BT$1,$BT75,IF($A$8=$BU$1,$BU75,IF($A$8="",INDEX(Tiere!$BN$2:$BN$153,_xlfn.AGGREGATE(15,6,(ROW(Tiere!$BN$2:$BN$153)-1)/(--(SEARCH(AQ$2,Tiere!$BN$2:$BN$153)&gt;0)),ROW()-2),1))))))))),"")</f>
        <v>Zuchteber - stark-N-reduzierte Fütterung - Mist/Jauche</v>
      </c>
      <c r="AQ76" s="1599"/>
      <c r="AR76" s="1624" t="str">
        <f>IFERROR(IF($A$9=$BO$1,$BO75,IF($A$9=$BP$1,$BP75,IF($A$9=$BQ$1,$BQ75,IF($A$9=$BR$1,$BR75,IF($A$9=$BS$1,$BS75,IF($A$9=$BT$1,$BT75,IF($A$9=$BU$1,$BU75,IF($A$9="",INDEX(Tiere!$BN$2:$BN$153,_xlfn.AGGREGATE(15,6,(ROW(Tiere!$BN$2:$BN$153)-1)/(--(SEARCH(AS$2,Tiere!$BN$2:$BN$153)&gt;0)),ROW()-2),1))))))))),"")</f>
        <v>Zuchteber - stark-N-reduzierte Fütterung - Mist/Jauche</v>
      </c>
      <c r="AS76" s="1599"/>
      <c r="AT76" s="1624" t="str">
        <f>IFERROR(IF($A$10=$BO$1,$BO75,IF($A$10=$BP$1,$BP75,IF($A$10=$BQ$1,$BQ75,IF($A$10=$BR$1,$BR75,IF($A$10=$BS$1,$BS75,IF($A$10=$BT$1,$BT75,IF($A$10=$BU$1,$BU75,IF($A$10="",INDEX(Tiere!$BN$2:$BN$153,_xlfn.AGGREGATE(15,6,(ROW(Tiere!$BN$2:$BN$153)-1)/(--(SEARCH(AU$2,Tiere!$BN$2:$BN$153)&gt;0)),ROW()-2),1))))))))),"")</f>
        <v>Zuchteber - stark-N-reduzierte Fütterung - Mist/Jauche</v>
      </c>
      <c r="AU76" s="1599"/>
      <c r="AV76" s="1624" t="str">
        <f>IFERROR(IF($A$11=$BO$1,$BO75,IF($A$11=$BP$1,$BP75,IF($A$11=$BQ$1,$BQ75,IF($A$11=$BR$1,$BR75,IF($A$11=$BS$1,$BS75,IF($A$11=$BT$1,$BT75,IF($A$11=$BU$1,$BU75,IF($A$11="",INDEX(Tiere!$BN$2:$BN$153,_xlfn.AGGREGATE(15,6,(ROW(Tiere!$BN$2:$BN$153)-1)/(--(SEARCH(AW$2,Tiere!$BN$2:$BN$153)&gt;0)),ROW()-2),1))))))))),"")</f>
        <v>Zuchteber - stark-N-reduzierte Fütterung - Mist/Jauche</v>
      </c>
      <c r="AW76" s="1599"/>
      <c r="AX76" s="1624" t="str">
        <f>IFERROR(IF($A$12=$BO$1,$BO75,IF($A$12=$BP$1,$BP75,IF($A$12=$BQ$1,$BQ75,IF($A$12=$BR$1,$BR75,IF($A$12=$BS$1,$BS75,IF($A$12=$BT$1,$BT75,IF($A$12=$BU$1,$BU75,IF($A$12="",INDEX(Tiere!$BN$2:$BN$153,_xlfn.AGGREGATE(15,6,(ROW(Tiere!$BN$2:$BN$153)-1)/(--(SEARCH(AY$2,Tiere!$BN$2:$BN$153)&gt;0)),ROW()-2),1))))))))),"")</f>
        <v>Zuchteber - stark-N-reduzierte Fütterung - Mist/Jauche</v>
      </c>
      <c r="AY76" s="1599"/>
      <c r="AZ76" s="1624" t="str">
        <f>IFERROR(IF($A$13=$BO$1,$BO75,IF($A$13=$BP$1,$BP75,IF($A$13=$BQ$1,$BQ75,IF($A$13=$BR$1,$BR75,IF($A$13=$BS$1,$BS75,IF($A$13=$BT$1,$BT75,IF($A$13=$BU$1,$BU75,IF($A$13="",INDEX(Tiere!$BN$2:$BN$153,_xlfn.AGGREGATE(15,6,(ROW(Tiere!$BN$2:$BN$153)-1)/(--(SEARCH(BA$2,Tiere!$BN$2:$BN$153)&gt;0)),ROW()-2),1))))))))),"")</f>
        <v>Zuchteber - stark-N-reduzierte Fütterung - Mist/Jauche</v>
      </c>
      <c r="BA76" s="1599"/>
      <c r="BB76" s="1624" t="str">
        <f>IFERROR(IF($A$14=$BO$1,$BO75,IF($A$14=$BP$1,$BP75,IF($A$14=$BQ$1,$BQ75,IF($A$14=$BR$1,$BR75,IF($A$14=$BS$1,$BS75,IF($A$14=$BT$1,$BT75,IF($A$14=$BU$1,$BU75,IF($A$14="",INDEX(Tiere!$BN$2:$BN$153,_xlfn.AGGREGATE(15,6,(ROW(Tiere!$BN$2:$BN$153)-1)/(--(SEARCH(BC$2,Tiere!$BN$2:$BN$153)&gt;0)),ROW()-2),1))))))))),"")</f>
        <v>Zuchteber - stark-N-reduzierte Fütterung - Mist/Jauche</v>
      </c>
      <c r="BC76" s="1599"/>
      <c r="BD76" s="1624" t="str">
        <f>IFERROR(IF($A$15=$BO$1,$BO75,IF($A$15=$BP$1,$BP75,IF($A$15=$BQ$1,$BQ75,IF($A$15=$BR$1,$BR75,IF($A$15=$BS$1,$BS75,IF($A$15=$BT$1,$BT75,IF($A$15=$BU$1,$BU75,IF($A$15="",INDEX(Tiere!$BN$2:$BN$153,_xlfn.AGGREGATE(15,6,(ROW(Tiere!$BN$2:$BN$153)-1)/(--(SEARCH(BE$2,Tiere!$BN$2:$BN$153)&gt;0)),ROW()-2),1))))))))),"")</f>
        <v>Zuchteber - stark-N-reduzierte Fütterung - Mist/Jauche</v>
      </c>
      <c r="BE76" s="1599"/>
      <c r="BF76" s="1624" t="str">
        <f>IFERROR(IF($A$16=$BO$1,$BO75,IF($A$16=$BP$1,$BP75,IF($A$16=$BQ$1,$BQ75,IF($A$16=$BR$1,$BR75,IF($A$16=$BS$1,$BS75,IF($A$16=$BT$1,$BT75,IF($A$16=$BU$1,$BU75,IF($A$16="",INDEX(Tiere!$BN$2:$BN$153,_xlfn.AGGREGATE(15,6,(ROW(Tiere!$BN$2:$BN$153)-1)/(--(SEARCH(BG$2,Tiere!$BN$2:$BN$153)&gt;0)),ROW()-2),1))))))))),"")</f>
        <v>Zuchteber - stark-N-reduzierte Fütterung - Mist/Jauche</v>
      </c>
      <c r="BG76" s="1599"/>
      <c r="BH76" s="1624" t="str">
        <f>IFERROR(IF($A$17=$BO$1,$BO75,IF($A$17=$BP$1,$BP75,IF($A$17=$BQ$1,$BQ75,IF($A$17=$BR$1,$BR75,IF($A$17=$BS$1,$BS75,IF($A$17=$BT$1,$BT75,IF($A$17=$BU$1,$BU75,IF($A$17="",INDEX(Tiere!$BN$2:$BN$153,_xlfn.AGGREGATE(15,6,(ROW(Tiere!$BN$2:$BN$153)-1)/(--(SEARCH(BI$2,Tiere!$BN$2:$BN$153)&gt;0)),ROW()-2),1))))))))),"")</f>
        <v>Zuchteber - stark-N-reduzierte Fütterung - Mist/Jauche</v>
      </c>
      <c r="BI76" s="1599"/>
      <c r="BJ76" s="1624" t="str">
        <f>IFERROR(IF($A$18=$BO$1,$BO75,IF($A$18=$BP$1,$BP75,IF($A$18=$BQ$1,$BQ75,IF($A$18=$BR$1,$BR75,IF($A$18=$BS$1,$BS75,IF($A$18=$BT$1,$BT75,IF($A$18=$BU$1,$BU75,IF($A$18="",INDEX(Tiere!$BN$2:$BN$153,_xlfn.AGGREGATE(15,6,(ROW(Tiere!$BN$2:$BN$153)-1)/(--(SEARCH(BK$2,Tiere!$BN$2:$BN$153)&gt;0)),ROW()-2),1))))))))),"")</f>
        <v>Zuchteber - stark-N-reduzierte Fütterung - Mist/Jauche</v>
      </c>
      <c r="BK76" s="1599"/>
      <c r="BL76" s="1624" t="str">
        <f>IFERROR(IF($A$19=$BO$1,$BO75,IF($A$19=$BP$1,$BP75,IF($A$19=$BQ$1,$BQ75,IF($A$19=$BR$1,$BR75,IF($A$19=$BS$1,$BS75,IF($A$19=$BT$1,$BT75,IF($A$19=$BU$1,$BU75,IF($A$19="",INDEX(Tiere!$BN$2:$BN$153,_xlfn.AGGREGATE(15,6,(ROW(Tiere!$BN$2:$BN$153)-1)/(--(SEARCH(BM$2,Tiere!$BN$2:$BN$153)&gt;0)),ROW()-2),1))))))))),"")</f>
        <v>Zuchteber - stark-N-reduzierte Fütterung - Mist/Jauche</v>
      </c>
      <c r="BM76" s="1599"/>
      <c r="BN76" s="1630" t="s">
        <v>2394</v>
      </c>
      <c r="BO76" s="1599"/>
      <c r="BP76" s="1599"/>
      <c r="BQ76" s="1599"/>
      <c r="BR76" s="1599"/>
      <c r="BS76" s="1599"/>
      <c r="BT76" s="1599"/>
      <c r="BU76" s="1599"/>
      <c r="CD76" s="1911" t="s">
        <v>2394</v>
      </c>
    </row>
    <row r="77" spans="36:82" ht="13.5" thickBot="1">
      <c r="AJ77" s="1624" t="str">
        <f>IFERROR(IF($A$5=$BO$1,$BO76,IF($A$5=$BP$1,$BP76,IF($A$5=$BQ$1,$BQ76,IF($A$5=$BR$1,$BR76,IF($A$5=$BS$1,$BS76,IF($A$5=$BT$1,$BT76,IF($A$5=$BU$1,$BU76,IF($A$5="",INDEX(Tiere!$BN$2:$BN$153,_xlfn.AGGREGATE(15,6,(ROW(Tiere!$BN$2:$BN$153)-1)/(--(SEARCH(AK$2,Tiere!$BN$2:$BN$153)&gt;0)),ROW()-2),1))))))))),"")</f>
        <v>Zuchteber - stark-N-reduzierte Fütterung - Tiefstallmist</v>
      </c>
      <c r="AK77" s="1601"/>
      <c r="AL77" s="1624" t="str">
        <f>IFERROR(IF($A$6=$BO$1,$BO76,IF($A$6=$BP$1,$BP76,IF($A$6=$BQ$1,$BQ76,IF($A$6=$BR$1,$BR76,IF($A$6=$BS$1,$BS76,IF($A$6=$BT$1,$BT76,IF($A$6=$BU$1,$BU76,IF($A$6="",INDEX(Tiere!$BN$2:$BN$153,_xlfn.AGGREGATE(15,6,(ROW(Tiere!$BN$2:$BN$153)-1)/(--(SEARCH(AM$2,Tiere!$BN$2:$BN$153)&gt;0)),ROW()-2),1))))))))),"")</f>
        <v>Zuchteber - stark-N-reduzierte Fütterung - Tiefstallmist</v>
      </c>
      <c r="AM77" s="1601"/>
      <c r="AN77" s="1624" t="str">
        <f>IFERROR(IF($A$7=$BO$1,$BO76,IF($A$7=$BP$1,$BP76,IF($A$7=$BQ$1,$BQ76,IF($A$7=$BR$1,$BR76,IF($A$7=$BS$1,$BS76,IF($A$7=$BT$1,$BT76,IF($A$7=$BU$1,$BU76,IF($A$7="",INDEX(Tiere!$BN$2:$BN$153,_xlfn.AGGREGATE(15,6,(ROW(Tiere!$BN$2:$BN$153)-1)/(--(SEARCH(AM$2,Tiere!$BN$2:$BN$153)&gt;0)),ROW()-2),1))))))))),"")</f>
        <v>Zuchteber - stark-N-reduzierte Fütterung - Tiefstallmist</v>
      </c>
      <c r="AO77" s="1601"/>
      <c r="AP77" s="1624" t="str">
        <f>IFERROR(IF($A$8=$BO$1,$BO76,IF($A$8=$BP$1,$BP76,IF($A$8=$BQ$1,$BQ76,IF($A$8=$BR$1,$BR76,IF($A$8=$BS$1,$BS76,IF($A$8=$BT$1,$BT76,IF($A$8=$BU$1,$BU76,IF($A$8="",INDEX(Tiere!$BN$2:$BN$153,_xlfn.AGGREGATE(15,6,(ROW(Tiere!$BN$2:$BN$153)-1)/(--(SEARCH(AQ$2,Tiere!$BN$2:$BN$153)&gt;0)),ROW()-2),1))))))))),"")</f>
        <v>Zuchteber - stark-N-reduzierte Fütterung - Tiefstallmist</v>
      </c>
      <c r="AQ77" s="1601"/>
      <c r="AR77" s="1624" t="str">
        <f>IFERROR(IF($A$9=$BO$1,$BO76,IF($A$9=$BP$1,$BP76,IF($A$9=$BQ$1,$BQ76,IF($A$9=$BR$1,$BR76,IF($A$9=$BS$1,$BS76,IF($A$9=$BT$1,$BT76,IF($A$9=$BU$1,$BU76,IF($A$9="",INDEX(Tiere!$BN$2:$BN$153,_xlfn.AGGREGATE(15,6,(ROW(Tiere!$BN$2:$BN$153)-1)/(--(SEARCH(AS$2,Tiere!$BN$2:$BN$153)&gt;0)),ROW()-2),1))))))))),"")</f>
        <v>Zuchteber - stark-N-reduzierte Fütterung - Tiefstallmist</v>
      </c>
      <c r="AS77" s="1601"/>
      <c r="AT77" s="1624" t="str">
        <f>IFERROR(IF($A$10=$BO$1,$BO76,IF($A$10=$BP$1,$BP76,IF($A$10=$BQ$1,$BQ76,IF($A$10=$BR$1,$BR76,IF($A$10=$BS$1,$BS76,IF($A$10=$BT$1,$BT76,IF($A$10=$BU$1,$BU76,IF($A$10="",INDEX(Tiere!$BN$2:$BN$153,_xlfn.AGGREGATE(15,6,(ROW(Tiere!$BN$2:$BN$153)-1)/(--(SEARCH(AU$2,Tiere!$BN$2:$BN$153)&gt;0)),ROW()-2),1))))))))),"")</f>
        <v>Zuchteber - stark-N-reduzierte Fütterung - Tiefstallmist</v>
      </c>
      <c r="AU77" s="1601"/>
      <c r="AV77" s="1624" t="str">
        <f>IFERROR(IF($A$11=$BO$1,$BO76,IF($A$11=$BP$1,$BP76,IF($A$11=$BQ$1,$BQ76,IF($A$11=$BR$1,$BR76,IF($A$11=$BS$1,$BS76,IF($A$11=$BT$1,$BT76,IF($A$11=$BU$1,$BU76,IF($A$11="",INDEX(Tiere!$BN$2:$BN$153,_xlfn.AGGREGATE(15,6,(ROW(Tiere!$BN$2:$BN$153)-1)/(--(SEARCH(AW$2,Tiere!$BN$2:$BN$153)&gt;0)),ROW()-2),1))))))))),"")</f>
        <v>Zuchteber - stark-N-reduzierte Fütterung - Tiefstallmist</v>
      </c>
      <c r="AW77" s="1601"/>
      <c r="AX77" s="1624" t="str">
        <f>IFERROR(IF($A$12=$BO$1,$BO76,IF($A$12=$BP$1,$BP76,IF($A$12=$BQ$1,$BQ76,IF($A$12=$BR$1,$BR76,IF($A$12=$BS$1,$BS76,IF($A$12=$BT$1,$BT76,IF($A$12=$BU$1,$BU76,IF($A$12="",INDEX(Tiere!$BN$2:$BN$153,_xlfn.AGGREGATE(15,6,(ROW(Tiere!$BN$2:$BN$153)-1)/(--(SEARCH(AY$2,Tiere!$BN$2:$BN$153)&gt;0)),ROW()-2),1))))))))),"")</f>
        <v>Zuchteber - stark-N-reduzierte Fütterung - Tiefstallmist</v>
      </c>
      <c r="AY77" s="1601"/>
      <c r="AZ77" s="1624" t="str">
        <f>IFERROR(IF($A$13=$BO$1,$BO76,IF($A$13=$BP$1,$BP76,IF($A$13=$BQ$1,$BQ76,IF($A$13=$BR$1,$BR76,IF($A$13=$BS$1,$BS76,IF($A$13=$BT$1,$BT76,IF($A$13=$BU$1,$BU76,IF($A$13="",INDEX(Tiere!$BN$2:$BN$153,_xlfn.AGGREGATE(15,6,(ROW(Tiere!$BN$2:$BN$153)-1)/(--(SEARCH(BA$2,Tiere!$BN$2:$BN$153)&gt;0)),ROW()-2),1))))))))),"")</f>
        <v>Zuchteber - stark-N-reduzierte Fütterung - Tiefstallmist</v>
      </c>
      <c r="BA77" s="1601"/>
      <c r="BB77" s="1624" t="str">
        <f>IFERROR(IF($A$14=$BO$1,$BO76,IF($A$14=$BP$1,$BP76,IF($A$14=$BQ$1,$BQ76,IF($A$14=$BR$1,$BR76,IF($A$14=$BS$1,$BS76,IF($A$14=$BT$1,$BT76,IF($A$14=$BU$1,$BU76,IF($A$14="",INDEX(Tiere!$BN$2:$BN$153,_xlfn.AGGREGATE(15,6,(ROW(Tiere!$BN$2:$BN$153)-1)/(--(SEARCH(BC$2,Tiere!$BN$2:$BN$153)&gt;0)),ROW()-2),1))))))))),"")</f>
        <v>Zuchteber - stark-N-reduzierte Fütterung - Tiefstallmist</v>
      </c>
      <c r="BC77" s="1601"/>
      <c r="BD77" s="1624" t="str">
        <f>IFERROR(IF($A$15=$BO$1,$BO76,IF($A$15=$BP$1,$BP76,IF($A$15=$BQ$1,$BQ76,IF($A$15=$BR$1,$BR76,IF($A$15=$BS$1,$BS76,IF($A$15=$BT$1,$BT76,IF($A$15=$BU$1,$BU76,IF($A$15="",INDEX(Tiere!$BN$2:$BN$153,_xlfn.AGGREGATE(15,6,(ROW(Tiere!$BN$2:$BN$153)-1)/(--(SEARCH(BE$2,Tiere!$BN$2:$BN$153)&gt;0)),ROW()-2),1))))))))),"")</f>
        <v>Zuchteber - stark-N-reduzierte Fütterung - Tiefstallmist</v>
      </c>
      <c r="BE77" s="1601"/>
      <c r="BF77" s="1624" t="str">
        <f>IFERROR(IF($A$16=$BO$1,$BO76,IF($A$16=$BP$1,$BP76,IF($A$16=$BQ$1,$BQ76,IF($A$16=$BR$1,$BR76,IF($A$16=$BS$1,$BS76,IF($A$16=$BT$1,$BT76,IF($A$16=$BU$1,$BU76,IF($A$16="",INDEX(Tiere!$BN$2:$BN$153,_xlfn.AGGREGATE(15,6,(ROW(Tiere!$BN$2:$BN$153)-1)/(--(SEARCH(BG$2,Tiere!$BN$2:$BN$153)&gt;0)),ROW()-2),1))))))))),"")</f>
        <v>Zuchteber - stark-N-reduzierte Fütterung - Tiefstallmist</v>
      </c>
      <c r="BG77" s="1601"/>
      <c r="BH77" s="1624" t="str">
        <f>IFERROR(IF($A$17=$BO$1,$BO76,IF($A$17=$BP$1,$BP76,IF($A$17=$BQ$1,$BQ76,IF($A$17=$BR$1,$BR76,IF($A$17=$BS$1,$BS76,IF($A$17=$BT$1,$BT76,IF($A$17=$BU$1,$BU76,IF($A$17="",INDEX(Tiere!$BN$2:$BN$153,_xlfn.AGGREGATE(15,6,(ROW(Tiere!$BN$2:$BN$153)-1)/(--(SEARCH(BI$2,Tiere!$BN$2:$BN$153)&gt;0)),ROW()-2),1))))))))),"")</f>
        <v>Zuchteber - stark-N-reduzierte Fütterung - Tiefstallmist</v>
      </c>
      <c r="BI77" s="1601"/>
      <c r="BJ77" s="1624" t="str">
        <f>IFERROR(IF($A$18=$BO$1,$BO76,IF($A$18=$BP$1,$BP76,IF($A$18=$BQ$1,$BQ76,IF($A$18=$BR$1,$BR76,IF($A$18=$BS$1,$BS76,IF($A$18=$BT$1,$BT76,IF($A$18=$BU$1,$BU76,IF($A$18="",INDEX(Tiere!$BN$2:$BN$153,_xlfn.AGGREGATE(15,6,(ROW(Tiere!$BN$2:$BN$153)-1)/(--(SEARCH(BK$2,Tiere!$BN$2:$BN$153)&gt;0)),ROW()-2),1))))))))),"")</f>
        <v>Zuchteber - stark-N-reduzierte Fütterung - Tiefstallmist</v>
      </c>
      <c r="BK77" s="1601"/>
      <c r="BL77" s="1624" t="str">
        <f>IFERROR(IF($A$19=$BO$1,$BO76,IF($A$19=$BP$1,$BP76,IF($A$19=$BQ$1,$BQ76,IF($A$19=$BR$1,$BR76,IF($A$19=$BS$1,$BS76,IF($A$19=$BT$1,$BT76,IF($A$19=$BU$1,$BU76,IF($A$19="",INDEX(Tiere!$BN$2:$BN$153,_xlfn.AGGREGATE(15,6,(ROW(Tiere!$BN$2:$BN$153)-1)/(--(SEARCH(BM$2,Tiere!$BN$2:$BN$153)&gt;0)),ROW()-2),1))))))))),"")</f>
        <v>Zuchteber - stark-N-reduzierte Fütterung - Tiefstallmist</v>
      </c>
      <c r="BM77" s="1601"/>
      <c r="BN77" s="1630" t="s">
        <v>340</v>
      </c>
      <c r="BO77" s="1599"/>
      <c r="BP77" s="1599"/>
      <c r="BQ77" s="1599"/>
      <c r="BR77" s="1599"/>
      <c r="BS77" s="1599"/>
      <c r="BT77" s="1599"/>
      <c r="BU77" s="1599"/>
      <c r="CD77" s="1911" t="s">
        <v>340</v>
      </c>
    </row>
    <row r="78" spans="36:82" ht="13.5" thickBot="1">
      <c r="AJ78" s="1624" t="str">
        <f>IFERROR(IF($A$5=$BO$1,$BO77,IF($A$5=$BP$1,$BP77,IF($A$5=$BQ$1,$BQ77,IF($A$5=$BR$1,$BR77,IF($A$5=$BS$1,$BS77,IF($A$5=$BT$1,$BT77,IF($A$5=$BU$1,$BU77,IF($A$5="",INDEX(Tiere!$BN$2:$BN$153,_xlfn.AGGREGATE(15,6,(ROW(Tiere!$BN$2:$BN$153)-1)/(--(SEARCH(AK$2,Tiere!$BN$2:$BN$153)&gt;0)),ROW()-2),1))))))))),"")</f>
        <v>Junghennenaufzucht (bis 6 Wochen)</v>
      </c>
      <c r="AK78" s="1599"/>
      <c r="AL78" s="1624" t="str">
        <f>IFERROR(IF($A$6=$BO$1,$BO77,IF($A$6=$BP$1,$BP77,IF($A$6=$BQ$1,$BQ77,IF($A$6=$BR$1,$BR77,IF($A$6=$BS$1,$BS77,IF($A$6=$BT$1,$BT77,IF($A$6=$BU$1,$BU77,IF($A$6="",INDEX(Tiere!$BN$2:$BN$153,_xlfn.AGGREGATE(15,6,(ROW(Tiere!$BN$2:$BN$153)-1)/(--(SEARCH(AM$2,Tiere!$BN$2:$BN$153)&gt;0)),ROW()-2),1))))))))),"")</f>
        <v>Junghennenaufzucht (bis 6 Wochen)</v>
      </c>
      <c r="AM78" s="1599"/>
      <c r="AN78" s="1624" t="str">
        <f>IFERROR(IF($A$7=$BO$1,$BO77,IF($A$7=$BP$1,$BP77,IF($A$7=$BQ$1,$BQ77,IF($A$7=$BR$1,$BR77,IF($A$7=$BS$1,$BS77,IF($A$7=$BT$1,$BT77,IF($A$7=$BU$1,$BU77,IF($A$7="",INDEX(Tiere!$BN$2:$BN$153,_xlfn.AGGREGATE(15,6,(ROW(Tiere!$BN$2:$BN$153)-1)/(--(SEARCH(AM$2,Tiere!$BN$2:$BN$153)&gt;0)),ROW()-2),1))))))))),"")</f>
        <v>Junghennenaufzucht (bis 6 Wochen)</v>
      </c>
      <c r="AO78" s="1599"/>
      <c r="AP78" s="1624" t="str">
        <f>IFERROR(IF($A$8=$BO$1,$BO77,IF($A$8=$BP$1,$BP77,IF($A$8=$BQ$1,$BQ77,IF($A$8=$BR$1,$BR77,IF($A$8=$BS$1,$BS77,IF($A$8=$BT$1,$BT77,IF($A$8=$BU$1,$BU77,IF($A$8="",INDEX(Tiere!$BN$2:$BN$153,_xlfn.AGGREGATE(15,6,(ROW(Tiere!$BN$2:$BN$153)-1)/(--(SEARCH(AQ$2,Tiere!$BN$2:$BN$153)&gt;0)),ROW()-2),1))))))))),"")</f>
        <v>Junghennenaufzucht (bis 6 Wochen)</v>
      </c>
      <c r="AQ78" s="1599"/>
      <c r="AR78" s="1624" t="str">
        <f>IFERROR(IF($A$9=$BO$1,$BO77,IF($A$9=$BP$1,$BP77,IF($A$9=$BQ$1,$BQ77,IF($A$9=$BR$1,$BR77,IF($A$9=$BS$1,$BS77,IF($A$9=$BT$1,$BT77,IF($A$9=$BU$1,$BU77,IF($A$9="",INDEX(Tiere!$BN$2:$BN$153,_xlfn.AGGREGATE(15,6,(ROW(Tiere!$BN$2:$BN$153)-1)/(--(SEARCH(AS$2,Tiere!$BN$2:$BN$153)&gt;0)),ROW()-2),1))))))))),"")</f>
        <v>Junghennenaufzucht (bis 6 Wochen)</v>
      </c>
      <c r="AS78" s="1599"/>
      <c r="AT78" s="1624" t="str">
        <f>IFERROR(IF($A$10=$BO$1,$BO77,IF($A$10=$BP$1,$BP77,IF($A$10=$BQ$1,$BQ77,IF($A$10=$BR$1,$BR77,IF($A$10=$BS$1,$BS77,IF($A$10=$BT$1,$BT77,IF($A$10=$BU$1,$BU77,IF($A$10="",INDEX(Tiere!$BN$2:$BN$153,_xlfn.AGGREGATE(15,6,(ROW(Tiere!$BN$2:$BN$153)-1)/(--(SEARCH(AU$2,Tiere!$BN$2:$BN$153)&gt;0)),ROW()-2),1))))))))),"")</f>
        <v>Junghennenaufzucht (bis 6 Wochen)</v>
      </c>
      <c r="AU78" s="1599"/>
      <c r="AV78" s="1624" t="str">
        <f>IFERROR(IF($A$11=$BO$1,$BO77,IF($A$11=$BP$1,$BP77,IF($A$11=$BQ$1,$BQ77,IF($A$11=$BR$1,$BR77,IF($A$11=$BS$1,$BS77,IF($A$11=$BT$1,$BT77,IF($A$11=$BU$1,$BU77,IF($A$11="",INDEX(Tiere!$BN$2:$BN$153,_xlfn.AGGREGATE(15,6,(ROW(Tiere!$BN$2:$BN$153)-1)/(--(SEARCH(AW$2,Tiere!$BN$2:$BN$153)&gt;0)),ROW()-2),1))))))))),"")</f>
        <v>Junghennenaufzucht (bis 6 Wochen)</v>
      </c>
      <c r="AW78" s="1599"/>
      <c r="AX78" s="1624" t="str">
        <f>IFERROR(IF($A$12=$BO$1,$BO77,IF($A$12=$BP$1,$BP77,IF($A$12=$BQ$1,$BQ77,IF($A$12=$BR$1,$BR77,IF($A$12=$BS$1,$BS77,IF($A$12=$BT$1,$BT77,IF($A$12=$BU$1,$BU77,IF($A$12="",INDEX(Tiere!$BN$2:$BN$153,_xlfn.AGGREGATE(15,6,(ROW(Tiere!$BN$2:$BN$153)-1)/(--(SEARCH(AY$2,Tiere!$BN$2:$BN$153)&gt;0)),ROW()-2),1))))))))),"")</f>
        <v>Junghennenaufzucht (bis 6 Wochen)</v>
      </c>
      <c r="AY78" s="1599"/>
      <c r="AZ78" s="1624" t="str">
        <f>IFERROR(IF($A$13=$BO$1,$BO77,IF($A$13=$BP$1,$BP77,IF($A$13=$BQ$1,$BQ77,IF($A$13=$BR$1,$BR77,IF($A$13=$BS$1,$BS77,IF($A$13=$BT$1,$BT77,IF($A$13=$BU$1,$BU77,IF($A$13="",INDEX(Tiere!$BN$2:$BN$153,_xlfn.AGGREGATE(15,6,(ROW(Tiere!$BN$2:$BN$153)-1)/(--(SEARCH(BA$2,Tiere!$BN$2:$BN$153)&gt;0)),ROW()-2),1))))))))),"")</f>
        <v>Junghennenaufzucht (bis 6 Wochen)</v>
      </c>
      <c r="BA78" s="1599"/>
      <c r="BB78" s="1624" t="str">
        <f>IFERROR(IF($A$14=$BO$1,$BO77,IF($A$14=$BP$1,$BP77,IF($A$14=$BQ$1,$BQ77,IF($A$14=$BR$1,$BR77,IF($A$14=$BS$1,$BS77,IF($A$14=$BT$1,$BT77,IF($A$14=$BU$1,$BU77,IF($A$14="",INDEX(Tiere!$BN$2:$BN$153,_xlfn.AGGREGATE(15,6,(ROW(Tiere!$BN$2:$BN$153)-1)/(--(SEARCH(BC$2,Tiere!$BN$2:$BN$153)&gt;0)),ROW()-2),1))))))))),"")</f>
        <v>Junghennenaufzucht (bis 6 Wochen)</v>
      </c>
      <c r="BC78" s="1599"/>
      <c r="BD78" s="1624" t="str">
        <f>IFERROR(IF($A$15=$BO$1,$BO77,IF($A$15=$BP$1,$BP77,IF($A$15=$BQ$1,$BQ77,IF($A$15=$BR$1,$BR77,IF($A$15=$BS$1,$BS77,IF($A$15=$BT$1,$BT77,IF($A$15=$BU$1,$BU77,IF($A$15="",INDEX(Tiere!$BN$2:$BN$153,_xlfn.AGGREGATE(15,6,(ROW(Tiere!$BN$2:$BN$153)-1)/(--(SEARCH(BE$2,Tiere!$BN$2:$BN$153)&gt;0)),ROW()-2),1))))))))),"")</f>
        <v>Junghennenaufzucht (bis 6 Wochen)</v>
      </c>
      <c r="BE78" s="1599"/>
      <c r="BF78" s="1624" t="str">
        <f>IFERROR(IF($A$16=$BO$1,$BO77,IF($A$16=$BP$1,$BP77,IF($A$16=$BQ$1,$BQ77,IF($A$16=$BR$1,$BR77,IF($A$16=$BS$1,$BS77,IF($A$16=$BT$1,$BT77,IF($A$16=$BU$1,$BU77,IF($A$16="",INDEX(Tiere!$BN$2:$BN$153,_xlfn.AGGREGATE(15,6,(ROW(Tiere!$BN$2:$BN$153)-1)/(--(SEARCH(BG$2,Tiere!$BN$2:$BN$153)&gt;0)),ROW()-2),1))))))))),"")</f>
        <v>Junghennenaufzucht (bis 6 Wochen)</v>
      </c>
      <c r="BG78" s="1599"/>
      <c r="BH78" s="1624" t="str">
        <f>IFERROR(IF($A$17=$BO$1,$BO77,IF($A$17=$BP$1,$BP77,IF($A$17=$BQ$1,$BQ77,IF($A$17=$BR$1,$BR77,IF($A$17=$BS$1,$BS77,IF($A$17=$BT$1,$BT77,IF($A$17=$BU$1,$BU77,IF($A$17="",INDEX(Tiere!$BN$2:$BN$153,_xlfn.AGGREGATE(15,6,(ROW(Tiere!$BN$2:$BN$153)-1)/(--(SEARCH(BI$2,Tiere!$BN$2:$BN$153)&gt;0)),ROW()-2),1))))))))),"")</f>
        <v>Junghennenaufzucht (bis 6 Wochen)</v>
      </c>
      <c r="BI78" s="1599"/>
      <c r="BJ78" s="1624" t="str">
        <f>IFERROR(IF($A$18=$BO$1,$BO77,IF($A$18=$BP$1,$BP77,IF($A$18=$BQ$1,$BQ77,IF($A$18=$BR$1,$BR77,IF($A$18=$BS$1,$BS77,IF($A$18=$BT$1,$BT77,IF($A$18=$BU$1,$BU77,IF($A$18="",INDEX(Tiere!$BN$2:$BN$153,_xlfn.AGGREGATE(15,6,(ROW(Tiere!$BN$2:$BN$153)-1)/(--(SEARCH(BK$2,Tiere!$BN$2:$BN$153)&gt;0)),ROW()-2),1))))))))),"")</f>
        <v>Junghennenaufzucht (bis 6 Wochen)</v>
      </c>
      <c r="BK78" s="1599"/>
      <c r="BL78" s="1624" t="str">
        <f>IFERROR(IF($A$19=$BO$1,$BO77,IF($A$19=$BP$1,$BP77,IF($A$19=$BQ$1,$BQ77,IF($A$19=$BR$1,$BR77,IF($A$19=$BS$1,$BS77,IF($A$19=$BT$1,$BT77,IF($A$19=$BU$1,$BU77,IF($A$19="",INDEX(Tiere!$BN$2:$BN$153,_xlfn.AGGREGATE(15,6,(ROW(Tiere!$BN$2:$BN$153)-1)/(--(SEARCH(BM$2,Tiere!$BN$2:$BN$153)&gt;0)),ROW()-2),1))))))))),"")</f>
        <v>Junghennenaufzucht (bis 6 Wochen)</v>
      </c>
      <c r="BM78" s="1599"/>
      <c r="BN78" s="1630" t="s">
        <v>747</v>
      </c>
      <c r="BO78" s="1599"/>
      <c r="BP78" s="1599"/>
      <c r="BQ78" s="1599"/>
      <c r="BR78" s="1599"/>
      <c r="BS78" s="1599"/>
      <c r="BT78" s="1599"/>
      <c r="BU78" s="1599"/>
      <c r="CD78" s="1911" t="s">
        <v>747</v>
      </c>
    </row>
    <row r="79" spans="36:82" ht="13.5" thickBot="1">
      <c r="AJ79" s="1624" t="str">
        <f>IFERROR(IF($A$5=$BO$1,$BO78,IF($A$5=$BP$1,$BP78,IF($A$5=$BQ$1,$BQ78,IF($A$5=$BR$1,$BR78,IF($A$5=$BS$1,$BS78,IF($A$5=$BT$1,$BT78,IF($A$5=$BU$1,$BU78,IF($A$5="",INDEX(Tiere!$BN$2:$BN$153,_xlfn.AGGREGATE(15,6,(ROW(Tiere!$BN$2:$BN$153)-1)/(--(SEARCH(AK$2,Tiere!$BN$2:$BN$153)&gt;0)),ROW()-2),1))))))))),"")</f>
        <v xml:space="preserve">Kücken u. Junghennen für Legezw. bis 1/2 Jahr - Gülle </v>
      </c>
      <c r="AK79" s="1601"/>
      <c r="AL79" s="1624" t="str">
        <f>IFERROR(IF($A$6=$BO$1,$BO78,IF($A$6=$BP$1,$BP78,IF($A$6=$BQ$1,$BQ78,IF($A$6=$BR$1,$BR78,IF($A$6=$BS$1,$BS78,IF($A$6=$BT$1,$BT78,IF($A$6=$BU$1,$BU78,IF($A$6="",INDEX(Tiere!$BN$2:$BN$153,_xlfn.AGGREGATE(15,6,(ROW(Tiere!$BN$2:$BN$153)-1)/(--(SEARCH(AM$2,Tiere!$BN$2:$BN$153)&gt;0)),ROW()-2),1))))))))),"")</f>
        <v xml:space="preserve">Kücken u. Junghennen für Legezw. bis 1/2 Jahr - Gülle </v>
      </c>
      <c r="AM79" s="1601"/>
      <c r="AN79" s="1624" t="str">
        <f>IFERROR(IF($A$7=$BO$1,$BO78,IF($A$7=$BP$1,$BP78,IF($A$7=$BQ$1,$BQ78,IF($A$7=$BR$1,$BR78,IF($A$7=$BS$1,$BS78,IF($A$7=$BT$1,$BT78,IF($A$7=$BU$1,$BU78,IF($A$7="",INDEX(Tiere!$BN$2:$BN$153,_xlfn.AGGREGATE(15,6,(ROW(Tiere!$BN$2:$BN$153)-1)/(--(SEARCH(AM$2,Tiere!$BN$2:$BN$153)&gt;0)),ROW()-2),1))))))))),"")</f>
        <v xml:space="preserve">Kücken u. Junghennen für Legezw. bis 1/2 Jahr - Gülle </v>
      </c>
      <c r="AO79" s="1601"/>
      <c r="AP79" s="1624" t="str">
        <f>IFERROR(IF($A$8=$BO$1,$BO78,IF($A$8=$BP$1,$BP78,IF($A$8=$BQ$1,$BQ78,IF($A$8=$BR$1,$BR78,IF($A$8=$BS$1,$BS78,IF($A$8=$BT$1,$BT78,IF($A$8=$BU$1,$BU78,IF($A$8="",INDEX(Tiere!$BN$2:$BN$153,_xlfn.AGGREGATE(15,6,(ROW(Tiere!$BN$2:$BN$153)-1)/(--(SEARCH(AQ$2,Tiere!$BN$2:$BN$153)&gt;0)),ROW()-2),1))))))))),"")</f>
        <v xml:space="preserve">Kücken u. Junghennen für Legezw. bis 1/2 Jahr - Gülle </v>
      </c>
      <c r="AQ79" s="1601"/>
      <c r="AR79" s="1624" t="str">
        <f>IFERROR(IF($A$9=$BO$1,$BO78,IF($A$9=$BP$1,$BP78,IF($A$9=$BQ$1,$BQ78,IF($A$9=$BR$1,$BR78,IF($A$9=$BS$1,$BS78,IF($A$9=$BT$1,$BT78,IF($A$9=$BU$1,$BU78,IF($A$9="",INDEX(Tiere!$BN$2:$BN$153,_xlfn.AGGREGATE(15,6,(ROW(Tiere!$BN$2:$BN$153)-1)/(--(SEARCH(AS$2,Tiere!$BN$2:$BN$153)&gt;0)),ROW()-2),1))))))))),"")</f>
        <v xml:space="preserve">Kücken u. Junghennen für Legezw. bis 1/2 Jahr - Gülle </v>
      </c>
      <c r="AS79" s="1601"/>
      <c r="AT79" s="1624" t="str">
        <f>IFERROR(IF($A$10=$BO$1,$BO78,IF($A$10=$BP$1,$BP78,IF($A$10=$BQ$1,$BQ78,IF($A$10=$BR$1,$BR78,IF($A$10=$BS$1,$BS78,IF($A$10=$BT$1,$BT78,IF($A$10=$BU$1,$BU78,IF($A$10="",INDEX(Tiere!$BN$2:$BN$153,_xlfn.AGGREGATE(15,6,(ROW(Tiere!$BN$2:$BN$153)-1)/(--(SEARCH(AU$2,Tiere!$BN$2:$BN$153)&gt;0)),ROW()-2),1))))))))),"")</f>
        <v xml:space="preserve">Kücken u. Junghennen für Legezw. bis 1/2 Jahr - Gülle </v>
      </c>
      <c r="AU79" s="1601"/>
      <c r="AV79" s="1624" t="str">
        <f>IFERROR(IF($A$11=$BO$1,$BO78,IF($A$11=$BP$1,$BP78,IF($A$11=$BQ$1,$BQ78,IF($A$11=$BR$1,$BR78,IF($A$11=$BS$1,$BS78,IF($A$11=$BT$1,$BT78,IF($A$11=$BU$1,$BU78,IF($A$11="",INDEX(Tiere!$BN$2:$BN$153,_xlfn.AGGREGATE(15,6,(ROW(Tiere!$BN$2:$BN$153)-1)/(--(SEARCH(AW$2,Tiere!$BN$2:$BN$153)&gt;0)),ROW()-2),1))))))))),"")</f>
        <v xml:space="preserve">Kücken u. Junghennen für Legezw. bis 1/2 Jahr - Gülle </v>
      </c>
      <c r="AW79" s="1601"/>
      <c r="AX79" s="1624" t="str">
        <f>IFERROR(IF($A$12=$BO$1,$BO78,IF($A$12=$BP$1,$BP78,IF($A$12=$BQ$1,$BQ78,IF($A$12=$BR$1,$BR78,IF($A$12=$BS$1,$BS78,IF($A$12=$BT$1,$BT78,IF($A$12=$BU$1,$BU78,IF($A$12="",INDEX(Tiere!$BN$2:$BN$153,_xlfn.AGGREGATE(15,6,(ROW(Tiere!$BN$2:$BN$153)-1)/(--(SEARCH(AY$2,Tiere!$BN$2:$BN$153)&gt;0)),ROW()-2),1))))))))),"")</f>
        <v xml:space="preserve">Kücken u. Junghennen für Legezw. bis 1/2 Jahr - Gülle </v>
      </c>
      <c r="AY79" s="1601"/>
      <c r="AZ79" s="1624" t="str">
        <f>IFERROR(IF($A$13=$BO$1,$BO78,IF($A$13=$BP$1,$BP78,IF($A$13=$BQ$1,$BQ78,IF($A$13=$BR$1,$BR78,IF($A$13=$BS$1,$BS78,IF($A$13=$BT$1,$BT78,IF($A$13=$BU$1,$BU78,IF($A$13="",INDEX(Tiere!$BN$2:$BN$153,_xlfn.AGGREGATE(15,6,(ROW(Tiere!$BN$2:$BN$153)-1)/(--(SEARCH(BA$2,Tiere!$BN$2:$BN$153)&gt;0)),ROW()-2),1))))))))),"")</f>
        <v xml:space="preserve">Kücken u. Junghennen für Legezw. bis 1/2 Jahr - Gülle </v>
      </c>
      <c r="BA79" s="1601"/>
      <c r="BB79" s="1624" t="str">
        <f>IFERROR(IF($A$14=$BO$1,$BO78,IF($A$14=$BP$1,$BP78,IF($A$14=$BQ$1,$BQ78,IF($A$14=$BR$1,$BR78,IF($A$14=$BS$1,$BS78,IF($A$14=$BT$1,$BT78,IF($A$14=$BU$1,$BU78,IF($A$14="",INDEX(Tiere!$BN$2:$BN$153,_xlfn.AGGREGATE(15,6,(ROW(Tiere!$BN$2:$BN$153)-1)/(--(SEARCH(BC$2,Tiere!$BN$2:$BN$153)&gt;0)),ROW()-2),1))))))))),"")</f>
        <v xml:space="preserve">Kücken u. Junghennen für Legezw. bis 1/2 Jahr - Gülle </v>
      </c>
      <c r="BC79" s="1601"/>
      <c r="BD79" s="1624" t="str">
        <f>IFERROR(IF($A$15=$BO$1,$BO78,IF($A$15=$BP$1,$BP78,IF($A$15=$BQ$1,$BQ78,IF($A$15=$BR$1,$BR78,IF($A$15=$BS$1,$BS78,IF($A$15=$BT$1,$BT78,IF($A$15=$BU$1,$BU78,IF($A$15="",INDEX(Tiere!$BN$2:$BN$153,_xlfn.AGGREGATE(15,6,(ROW(Tiere!$BN$2:$BN$153)-1)/(--(SEARCH(BE$2,Tiere!$BN$2:$BN$153)&gt;0)),ROW()-2),1))))))))),"")</f>
        <v xml:space="preserve">Kücken u. Junghennen für Legezw. bis 1/2 Jahr - Gülle </v>
      </c>
      <c r="BE79" s="1601"/>
      <c r="BF79" s="1624" t="str">
        <f>IFERROR(IF($A$16=$BO$1,$BO78,IF($A$16=$BP$1,$BP78,IF($A$16=$BQ$1,$BQ78,IF($A$16=$BR$1,$BR78,IF($A$16=$BS$1,$BS78,IF($A$16=$BT$1,$BT78,IF($A$16=$BU$1,$BU78,IF($A$16="",INDEX(Tiere!$BN$2:$BN$153,_xlfn.AGGREGATE(15,6,(ROW(Tiere!$BN$2:$BN$153)-1)/(--(SEARCH(BG$2,Tiere!$BN$2:$BN$153)&gt;0)),ROW()-2),1))))))))),"")</f>
        <v xml:space="preserve">Kücken u. Junghennen für Legezw. bis 1/2 Jahr - Gülle </v>
      </c>
      <c r="BG79" s="1601"/>
      <c r="BH79" s="1624" t="str">
        <f>IFERROR(IF($A$17=$BO$1,$BO78,IF($A$17=$BP$1,$BP78,IF($A$17=$BQ$1,$BQ78,IF($A$17=$BR$1,$BR78,IF($A$17=$BS$1,$BS78,IF($A$17=$BT$1,$BT78,IF($A$17=$BU$1,$BU78,IF($A$17="",INDEX(Tiere!$BN$2:$BN$153,_xlfn.AGGREGATE(15,6,(ROW(Tiere!$BN$2:$BN$153)-1)/(--(SEARCH(BI$2,Tiere!$BN$2:$BN$153)&gt;0)),ROW()-2),1))))))))),"")</f>
        <v xml:space="preserve">Kücken u. Junghennen für Legezw. bis 1/2 Jahr - Gülle </v>
      </c>
      <c r="BI79" s="1601"/>
      <c r="BJ79" s="1624" t="str">
        <f>IFERROR(IF($A$18=$BO$1,$BO78,IF($A$18=$BP$1,$BP78,IF($A$18=$BQ$1,$BQ78,IF($A$18=$BR$1,$BR78,IF($A$18=$BS$1,$BS78,IF($A$18=$BT$1,$BT78,IF($A$18=$BU$1,$BU78,IF($A$18="",INDEX(Tiere!$BN$2:$BN$153,_xlfn.AGGREGATE(15,6,(ROW(Tiere!$BN$2:$BN$153)-1)/(--(SEARCH(BK$2,Tiere!$BN$2:$BN$153)&gt;0)),ROW()-2),1))))))))),"")</f>
        <v xml:space="preserve">Kücken u. Junghennen für Legezw. bis 1/2 Jahr - Gülle </v>
      </c>
      <c r="BK79" s="1601"/>
      <c r="BL79" s="1624" t="str">
        <f>IFERROR(IF($A$19=$BO$1,$BO78,IF($A$19=$BP$1,$BP78,IF($A$19=$BQ$1,$BQ78,IF($A$19=$BR$1,$BR78,IF($A$19=$BS$1,$BS78,IF($A$19=$BT$1,$BT78,IF($A$19=$BU$1,$BU78,IF($A$19="",INDEX(Tiere!$BN$2:$BN$153,_xlfn.AGGREGATE(15,6,(ROW(Tiere!$BN$2:$BN$153)-1)/(--(SEARCH(BM$2,Tiere!$BN$2:$BN$153)&gt;0)),ROW()-2),1))))))))),"")</f>
        <v xml:space="preserve">Kücken u. Junghennen für Legezw. bis 1/2 Jahr - Gülle </v>
      </c>
      <c r="BM79" s="1601"/>
      <c r="BN79" s="1630" t="s">
        <v>749</v>
      </c>
      <c r="BO79" s="1599"/>
      <c r="BP79" s="1599"/>
      <c r="BQ79" s="1599"/>
      <c r="BR79" s="1599"/>
      <c r="BS79" s="1599"/>
      <c r="BT79" s="1599"/>
      <c r="BU79" s="1599"/>
      <c r="CD79" s="1911" t="s">
        <v>749</v>
      </c>
    </row>
    <row r="80" spans="36:82" ht="14.25" thickTop="1" thickBot="1">
      <c r="AJ80" s="1624" t="str">
        <f>IFERROR(IF($A$5=$BO$1,$BO79,IF($A$5=$BP$1,$BP79,IF($A$5=$BQ$1,$BQ79,IF($A$5=$BR$1,$BR79,IF($A$5=$BS$1,$BS79,IF($A$5=$BT$1,$BT79,IF($A$5=$BU$1,$BU79,IF($A$5="",INDEX(Tiere!$BN$2:$BN$153,_xlfn.AGGREGATE(15,6,(ROW(Tiere!$BN$2:$BN$153)-1)/(--(SEARCH(AK$2,Tiere!$BN$2:$BN$153)&gt;0)),ROW()-2),1))))))))),"")</f>
        <v xml:space="preserve">Kücken u. Junghennen für Legezw. bis 1/2 Jahr - Tiefstallmist  </v>
      </c>
      <c r="AK80" s="1599"/>
      <c r="AL80" s="1624" t="str">
        <f>IFERROR(IF($A$6=$BO$1,$BO79,IF($A$6=$BP$1,$BP79,IF($A$6=$BQ$1,$BQ79,IF($A$6=$BR$1,$BR79,IF($A$6=$BS$1,$BS79,IF($A$6=$BT$1,$BT79,IF($A$6=$BU$1,$BU79,IF($A$6="",INDEX(Tiere!$BN$2:$BN$153,_xlfn.AGGREGATE(15,6,(ROW(Tiere!$BN$2:$BN$153)-1)/(--(SEARCH(AM$2,Tiere!$BN$2:$BN$153)&gt;0)),ROW()-2),1))))))))),"")</f>
        <v xml:space="preserve">Kücken u. Junghennen für Legezw. bis 1/2 Jahr - Tiefstallmist  </v>
      </c>
      <c r="AM80" s="1599"/>
      <c r="AN80" s="1624" t="str">
        <f>IFERROR(IF($A$7=$BO$1,$BO79,IF($A$7=$BP$1,$BP79,IF($A$7=$BQ$1,$BQ79,IF($A$7=$BR$1,$BR79,IF($A$7=$BS$1,$BS79,IF($A$7=$BT$1,$BT79,IF($A$7=$BU$1,$BU79,IF($A$7="",INDEX(Tiere!$BN$2:$BN$153,_xlfn.AGGREGATE(15,6,(ROW(Tiere!$BN$2:$BN$153)-1)/(--(SEARCH(AM$2,Tiere!$BN$2:$BN$153)&gt;0)),ROW()-2),1))))))))),"")</f>
        <v xml:space="preserve">Kücken u. Junghennen für Legezw. bis 1/2 Jahr - Tiefstallmist  </v>
      </c>
      <c r="AO80" s="1599"/>
      <c r="AP80" s="1624" t="str">
        <f>IFERROR(IF($A$8=$BO$1,$BO79,IF($A$8=$BP$1,$BP79,IF($A$8=$BQ$1,$BQ79,IF($A$8=$BR$1,$BR79,IF($A$8=$BS$1,$BS79,IF($A$8=$BT$1,$BT79,IF($A$8=$BU$1,$BU79,IF($A$8="",INDEX(Tiere!$BN$2:$BN$153,_xlfn.AGGREGATE(15,6,(ROW(Tiere!$BN$2:$BN$153)-1)/(--(SEARCH(AQ$2,Tiere!$BN$2:$BN$153)&gt;0)),ROW()-2),1))))))))),"")</f>
        <v xml:space="preserve">Kücken u. Junghennen für Legezw. bis 1/2 Jahr - Tiefstallmist  </v>
      </c>
      <c r="AQ80" s="1599"/>
      <c r="AR80" s="1624" t="str">
        <f>IFERROR(IF($A$9=$BO$1,$BO79,IF($A$9=$BP$1,$BP79,IF($A$9=$BQ$1,$BQ79,IF($A$9=$BR$1,$BR79,IF($A$9=$BS$1,$BS79,IF($A$9=$BT$1,$BT79,IF($A$9=$BU$1,$BU79,IF($A$9="",INDEX(Tiere!$BN$2:$BN$153,_xlfn.AGGREGATE(15,6,(ROW(Tiere!$BN$2:$BN$153)-1)/(--(SEARCH(AS$2,Tiere!$BN$2:$BN$153)&gt;0)),ROW()-2),1))))))))),"")</f>
        <v xml:space="preserve">Kücken u. Junghennen für Legezw. bis 1/2 Jahr - Tiefstallmist  </v>
      </c>
      <c r="AS80" s="1599"/>
      <c r="AT80" s="1624" t="str">
        <f>IFERROR(IF($A$10=$BO$1,$BO79,IF($A$10=$BP$1,$BP79,IF($A$10=$BQ$1,$BQ79,IF($A$10=$BR$1,$BR79,IF($A$10=$BS$1,$BS79,IF($A$10=$BT$1,$BT79,IF($A$10=$BU$1,$BU79,IF($A$10="",INDEX(Tiere!$BN$2:$BN$153,_xlfn.AGGREGATE(15,6,(ROW(Tiere!$BN$2:$BN$153)-1)/(--(SEARCH(AU$2,Tiere!$BN$2:$BN$153)&gt;0)),ROW()-2),1))))))))),"")</f>
        <v xml:space="preserve">Kücken u. Junghennen für Legezw. bis 1/2 Jahr - Tiefstallmist  </v>
      </c>
      <c r="AU80" s="1599"/>
      <c r="AV80" s="1624" t="str">
        <f>IFERROR(IF($A$11=$BO$1,$BO79,IF($A$11=$BP$1,$BP79,IF($A$11=$BQ$1,$BQ79,IF($A$11=$BR$1,$BR79,IF($A$11=$BS$1,$BS79,IF($A$11=$BT$1,$BT79,IF($A$11=$BU$1,$BU79,IF($A$11="",INDEX(Tiere!$BN$2:$BN$153,_xlfn.AGGREGATE(15,6,(ROW(Tiere!$BN$2:$BN$153)-1)/(--(SEARCH(AW$2,Tiere!$BN$2:$BN$153)&gt;0)),ROW()-2),1))))))))),"")</f>
        <v xml:space="preserve">Kücken u. Junghennen für Legezw. bis 1/2 Jahr - Tiefstallmist  </v>
      </c>
      <c r="AW80" s="1599"/>
      <c r="AX80" s="1624" t="str">
        <f>IFERROR(IF($A$12=$BO$1,$BO79,IF($A$12=$BP$1,$BP79,IF($A$12=$BQ$1,$BQ79,IF($A$12=$BR$1,$BR79,IF($A$12=$BS$1,$BS79,IF($A$12=$BT$1,$BT79,IF($A$12=$BU$1,$BU79,IF($A$12="",INDEX(Tiere!$BN$2:$BN$153,_xlfn.AGGREGATE(15,6,(ROW(Tiere!$BN$2:$BN$153)-1)/(--(SEARCH(AY$2,Tiere!$BN$2:$BN$153)&gt;0)),ROW()-2),1))))))))),"")</f>
        <v xml:space="preserve">Kücken u. Junghennen für Legezw. bis 1/2 Jahr - Tiefstallmist  </v>
      </c>
      <c r="AY80" s="1599"/>
      <c r="AZ80" s="1624" t="str">
        <f>IFERROR(IF($A$13=$BO$1,$BO79,IF($A$13=$BP$1,$BP79,IF($A$13=$BQ$1,$BQ79,IF($A$13=$BR$1,$BR79,IF($A$13=$BS$1,$BS79,IF($A$13=$BT$1,$BT79,IF($A$13=$BU$1,$BU79,IF($A$13="",INDEX(Tiere!$BN$2:$BN$153,_xlfn.AGGREGATE(15,6,(ROW(Tiere!$BN$2:$BN$153)-1)/(--(SEARCH(BA$2,Tiere!$BN$2:$BN$153)&gt;0)),ROW()-2),1))))))))),"")</f>
        <v xml:space="preserve">Kücken u. Junghennen für Legezw. bis 1/2 Jahr - Tiefstallmist  </v>
      </c>
      <c r="BA80" s="1599"/>
      <c r="BB80" s="1624" t="str">
        <f>IFERROR(IF($A$14=$BO$1,$BO79,IF($A$14=$BP$1,$BP79,IF($A$14=$BQ$1,$BQ79,IF($A$14=$BR$1,$BR79,IF($A$14=$BS$1,$BS79,IF($A$14=$BT$1,$BT79,IF($A$14=$BU$1,$BU79,IF($A$14="",INDEX(Tiere!$BN$2:$BN$153,_xlfn.AGGREGATE(15,6,(ROW(Tiere!$BN$2:$BN$153)-1)/(--(SEARCH(BC$2,Tiere!$BN$2:$BN$153)&gt;0)),ROW()-2),1))))))))),"")</f>
        <v xml:space="preserve">Kücken u. Junghennen für Legezw. bis 1/2 Jahr - Tiefstallmist  </v>
      </c>
      <c r="BC80" s="1599"/>
      <c r="BD80" s="1624" t="str">
        <f>IFERROR(IF($A$15=$BO$1,$BO79,IF($A$15=$BP$1,$BP79,IF($A$15=$BQ$1,$BQ79,IF($A$15=$BR$1,$BR79,IF($A$15=$BS$1,$BS79,IF($A$15=$BT$1,$BT79,IF($A$15=$BU$1,$BU79,IF($A$15="",INDEX(Tiere!$BN$2:$BN$153,_xlfn.AGGREGATE(15,6,(ROW(Tiere!$BN$2:$BN$153)-1)/(--(SEARCH(BE$2,Tiere!$BN$2:$BN$153)&gt;0)),ROW()-2),1))))))))),"")</f>
        <v xml:space="preserve">Kücken u. Junghennen für Legezw. bis 1/2 Jahr - Tiefstallmist  </v>
      </c>
      <c r="BE80" s="1599"/>
      <c r="BF80" s="1624" t="str">
        <f>IFERROR(IF($A$16=$BO$1,$BO79,IF($A$16=$BP$1,$BP79,IF($A$16=$BQ$1,$BQ79,IF($A$16=$BR$1,$BR79,IF($A$16=$BS$1,$BS79,IF($A$16=$BT$1,$BT79,IF($A$16=$BU$1,$BU79,IF($A$16="",INDEX(Tiere!$BN$2:$BN$153,_xlfn.AGGREGATE(15,6,(ROW(Tiere!$BN$2:$BN$153)-1)/(--(SEARCH(BG$2,Tiere!$BN$2:$BN$153)&gt;0)),ROW()-2),1))))))))),"")</f>
        <v xml:space="preserve">Kücken u. Junghennen für Legezw. bis 1/2 Jahr - Tiefstallmist  </v>
      </c>
      <c r="BG80" s="1599"/>
      <c r="BH80" s="1624" t="str">
        <f>IFERROR(IF($A$17=$BO$1,$BO79,IF($A$17=$BP$1,$BP79,IF($A$17=$BQ$1,$BQ79,IF($A$17=$BR$1,$BR79,IF($A$17=$BS$1,$BS79,IF($A$17=$BT$1,$BT79,IF($A$17=$BU$1,$BU79,IF($A$17="",INDEX(Tiere!$BN$2:$BN$153,_xlfn.AGGREGATE(15,6,(ROW(Tiere!$BN$2:$BN$153)-1)/(--(SEARCH(BI$2,Tiere!$BN$2:$BN$153)&gt;0)),ROW()-2),1))))))))),"")</f>
        <v xml:space="preserve">Kücken u. Junghennen für Legezw. bis 1/2 Jahr - Tiefstallmist  </v>
      </c>
      <c r="BI80" s="1599"/>
      <c r="BJ80" s="1624" t="str">
        <f>IFERROR(IF($A$18=$BO$1,$BO79,IF($A$18=$BP$1,$BP79,IF($A$18=$BQ$1,$BQ79,IF($A$18=$BR$1,$BR79,IF($A$18=$BS$1,$BS79,IF($A$18=$BT$1,$BT79,IF($A$18=$BU$1,$BU79,IF($A$18="",INDEX(Tiere!$BN$2:$BN$153,_xlfn.AGGREGATE(15,6,(ROW(Tiere!$BN$2:$BN$153)-1)/(--(SEARCH(BK$2,Tiere!$BN$2:$BN$153)&gt;0)),ROW()-2),1))))))))),"")</f>
        <v xml:space="preserve">Kücken u. Junghennen für Legezw. bis 1/2 Jahr - Tiefstallmist  </v>
      </c>
      <c r="BK80" s="1599"/>
      <c r="BL80" s="1624" t="str">
        <f>IFERROR(IF($A$19=$BO$1,$BO79,IF($A$19=$BP$1,$BP79,IF($A$19=$BQ$1,$BQ79,IF($A$19=$BR$1,$BR79,IF($A$19=$BS$1,$BS79,IF($A$19=$BT$1,$BT79,IF($A$19=$BU$1,$BU79,IF($A$19="",INDEX(Tiere!$BN$2:$BN$153,_xlfn.AGGREGATE(15,6,(ROW(Tiere!$BN$2:$BN$153)-1)/(--(SEARCH(BM$2,Tiere!$BN$2:$BN$153)&gt;0)),ROW()-2),1))))))))),"")</f>
        <v xml:space="preserve">Kücken u. Junghennen für Legezw. bis 1/2 Jahr - Tiefstallmist  </v>
      </c>
      <c r="BM80" s="1599"/>
      <c r="BN80" s="1630" t="s">
        <v>751</v>
      </c>
      <c r="BO80" s="1599"/>
      <c r="BP80" s="1599"/>
      <c r="BQ80" s="1599"/>
      <c r="BR80" s="1599"/>
      <c r="BS80" s="1599"/>
      <c r="BT80" s="1599"/>
      <c r="BU80" s="1623"/>
      <c r="CD80" s="1911" t="s">
        <v>751</v>
      </c>
    </row>
    <row r="81" spans="36:82" ht="13.5" thickBot="1">
      <c r="AJ81" s="1624" t="str">
        <f>IFERROR(IF($A$5=$BO$1,$BO80,IF($A$5=$BP$1,$BP80,IF($A$5=$BQ$1,$BQ80,IF($A$5=$BR$1,$BR80,IF($A$5=$BS$1,$BS80,IF($A$5=$BT$1,$BT80,IF($A$5=$BU$1,$BU80,IF($A$5="",INDEX(Tiere!$BN$2:$BN$153,_xlfn.AGGREGATE(15,6,(ROW(Tiere!$BN$2:$BN$153)-1)/(--(SEARCH(AK$2,Tiere!$BN$2:$BN$153)&gt;0)),ROW()-2),1))))))))),"")</f>
        <v>Legehennen, Hähne - Gülle</v>
      </c>
      <c r="AK81" s="1601"/>
      <c r="AL81" s="1624" t="str">
        <f>IFERROR(IF($A$6=$BO$1,$BO80,IF($A$6=$BP$1,$BP80,IF($A$6=$BQ$1,$BQ80,IF($A$6=$BR$1,$BR80,IF($A$6=$BS$1,$BS80,IF($A$6=$BT$1,$BT80,IF($A$6=$BU$1,$BU80,IF($A$6="",INDEX(Tiere!$BN$2:$BN$153,_xlfn.AGGREGATE(15,6,(ROW(Tiere!$BN$2:$BN$153)-1)/(--(SEARCH(AM$2,Tiere!$BN$2:$BN$153)&gt;0)),ROW()-2),1))))))))),"")</f>
        <v>Legehennen, Hähne - Gülle</v>
      </c>
      <c r="AM81" s="1601"/>
      <c r="AN81" s="1624" t="str">
        <f>IFERROR(IF($A$7=$BO$1,$BO80,IF($A$7=$BP$1,$BP80,IF($A$7=$BQ$1,$BQ80,IF($A$7=$BR$1,$BR80,IF($A$7=$BS$1,$BS80,IF($A$7=$BT$1,$BT80,IF($A$7=$BU$1,$BU80,IF($A$7="",INDEX(Tiere!$BN$2:$BN$153,_xlfn.AGGREGATE(15,6,(ROW(Tiere!$BN$2:$BN$153)-1)/(--(SEARCH(AM$2,Tiere!$BN$2:$BN$153)&gt;0)),ROW()-2),1))))))))),"")</f>
        <v>Legehennen, Hähne - Gülle</v>
      </c>
      <c r="AO81" s="1601"/>
      <c r="AP81" s="1624" t="str">
        <f>IFERROR(IF($A$8=$BO$1,$BO80,IF($A$8=$BP$1,$BP80,IF($A$8=$BQ$1,$BQ80,IF($A$8=$BR$1,$BR80,IF($A$8=$BS$1,$BS80,IF($A$8=$BT$1,$BT80,IF($A$8=$BU$1,$BU80,IF($A$8="",INDEX(Tiere!$BN$2:$BN$153,_xlfn.AGGREGATE(15,6,(ROW(Tiere!$BN$2:$BN$153)-1)/(--(SEARCH(AQ$2,Tiere!$BN$2:$BN$153)&gt;0)),ROW()-2),1))))))))),"")</f>
        <v>Legehennen, Hähne - Gülle</v>
      </c>
      <c r="AQ81" s="1601"/>
      <c r="AR81" s="1624" t="str">
        <f>IFERROR(IF($A$9=$BO$1,$BO80,IF($A$9=$BP$1,$BP80,IF($A$9=$BQ$1,$BQ80,IF($A$9=$BR$1,$BR80,IF($A$9=$BS$1,$BS80,IF($A$9=$BT$1,$BT80,IF($A$9=$BU$1,$BU80,IF($A$9="",INDEX(Tiere!$BN$2:$BN$153,_xlfn.AGGREGATE(15,6,(ROW(Tiere!$BN$2:$BN$153)-1)/(--(SEARCH(AS$2,Tiere!$BN$2:$BN$153)&gt;0)),ROW()-2),1))))))))),"")</f>
        <v>Legehennen, Hähne - Gülle</v>
      </c>
      <c r="AS81" s="1601"/>
      <c r="AT81" s="1624" t="str">
        <f>IFERROR(IF($A$10=$BO$1,$BO80,IF($A$10=$BP$1,$BP80,IF($A$10=$BQ$1,$BQ80,IF($A$10=$BR$1,$BR80,IF($A$10=$BS$1,$BS80,IF($A$10=$BT$1,$BT80,IF($A$10=$BU$1,$BU80,IF($A$10="",INDEX(Tiere!$BN$2:$BN$153,_xlfn.AGGREGATE(15,6,(ROW(Tiere!$BN$2:$BN$153)-1)/(--(SEARCH(AU$2,Tiere!$BN$2:$BN$153)&gt;0)),ROW()-2),1))))))))),"")</f>
        <v>Legehennen, Hähne - Gülle</v>
      </c>
      <c r="AU81" s="1601"/>
      <c r="AV81" s="1624" t="str">
        <f>IFERROR(IF($A$11=$BO$1,$BO80,IF($A$11=$BP$1,$BP80,IF($A$11=$BQ$1,$BQ80,IF($A$11=$BR$1,$BR80,IF($A$11=$BS$1,$BS80,IF($A$11=$BT$1,$BT80,IF($A$11=$BU$1,$BU80,IF($A$11="",INDEX(Tiere!$BN$2:$BN$153,_xlfn.AGGREGATE(15,6,(ROW(Tiere!$BN$2:$BN$153)-1)/(--(SEARCH(AW$2,Tiere!$BN$2:$BN$153)&gt;0)),ROW()-2),1))))))))),"")</f>
        <v>Legehennen, Hähne - Gülle</v>
      </c>
      <c r="AW81" s="1601"/>
      <c r="AX81" s="1624" t="str">
        <f>IFERROR(IF($A$12=$BO$1,$BO80,IF($A$12=$BP$1,$BP80,IF($A$12=$BQ$1,$BQ80,IF($A$12=$BR$1,$BR80,IF($A$12=$BS$1,$BS80,IF($A$12=$BT$1,$BT80,IF($A$12=$BU$1,$BU80,IF($A$12="",INDEX(Tiere!$BN$2:$BN$153,_xlfn.AGGREGATE(15,6,(ROW(Tiere!$BN$2:$BN$153)-1)/(--(SEARCH(AY$2,Tiere!$BN$2:$BN$153)&gt;0)),ROW()-2),1))))))))),"")</f>
        <v>Legehennen, Hähne - Gülle</v>
      </c>
      <c r="AY81" s="1601"/>
      <c r="AZ81" s="1624" t="str">
        <f>IFERROR(IF($A$13=$BO$1,$BO80,IF($A$13=$BP$1,$BP80,IF($A$13=$BQ$1,$BQ80,IF($A$13=$BR$1,$BR80,IF($A$13=$BS$1,$BS80,IF($A$13=$BT$1,$BT80,IF($A$13=$BU$1,$BU80,IF($A$13="",INDEX(Tiere!$BN$2:$BN$153,_xlfn.AGGREGATE(15,6,(ROW(Tiere!$BN$2:$BN$153)-1)/(--(SEARCH(BA$2,Tiere!$BN$2:$BN$153)&gt;0)),ROW()-2),1))))))))),"")</f>
        <v>Legehennen, Hähne - Gülle</v>
      </c>
      <c r="BA81" s="1601"/>
      <c r="BB81" s="1624" t="str">
        <f>IFERROR(IF($A$14=$BO$1,$BO80,IF($A$14=$BP$1,$BP80,IF($A$14=$BQ$1,$BQ80,IF($A$14=$BR$1,$BR80,IF($A$14=$BS$1,$BS80,IF($A$14=$BT$1,$BT80,IF($A$14=$BU$1,$BU80,IF($A$14="",INDEX(Tiere!$BN$2:$BN$153,_xlfn.AGGREGATE(15,6,(ROW(Tiere!$BN$2:$BN$153)-1)/(--(SEARCH(BC$2,Tiere!$BN$2:$BN$153)&gt;0)),ROW()-2),1))))))))),"")</f>
        <v>Legehennen, Hähne - Gülle</v>
      </c>
      <c r="BC81" s="1601"/>
      <c r="BD81" s="1624" t="str">
        <f>IFERROR(IF($A$15=$BO$1,$BO80,IF($A$15=$BP$1,$BP80,IF($A$15=$BQ$1,$BQ80,IF($A$15=$BR$1,$BR80,IF($A$15=$BS$1,$BS80,IF($A$15=$BT$1,$BT80,IF($A$15=$BU$1,$BU80,IF($A$15="",INDEX(Tiere!$BN$2:$BN$153,_xlfn.AGGREGATE(15,6,(ROW(Tiere!$BN$2:$BN$153)-1)/(--(SEARCH(BE$2,Tiere!$BN$2:$BN$153)&gt;0)),ROW()-2),1))))))))),"")</f>
        <v>Legehennen, Hähne - Gülle</v>
      </c>
      <c r="BE81" s="1601"/>
      <c r="BF81" s="1624" t="str">
        <f>IFERROR(IF($A$16=$BO$1,$BO80,IF($A$16=$BP$1,$BP80,IF($A$16=$BQ$1,$BQ80,IF($A$16=$BR$1,$BR80,IF($A$16=$BS$1,$BS80,IF($A$16=$BT$1,$BT80,IF($A$16=$BU$1,$BU80,IF($A$16="",INDEX(Tiere!$BN$2:$BN$153,_xlfn.AGGREGATE(15,6,(ROW(Tiere!$BN$2:$BN$153)-1)/(--(SEARCH(BG$2,Tiere!$BN$2:$BN$153)&gt;0)),ROW()-2),1))))))))),"")</f>
        <v>Legehennen, Hähne - Gülle</v>
      </c>
      <c r="BG81" s="1601"/>
      <c r="BH81" s="1624" t="str">
        <f>IFERROR(IF($A$17=$BO$1,$BO80,IF($A$17=$BP$1,$BP80,IF($A$17=$BQ$1,$BQ80,IF($A$17=$BR$1,$BR80,IF($A$17=$BS$1,$BS80,IF($A$17=$BT$1,$BT80,IF($A$17=$BU$1,$BU80,IF($A$17="",INDEX(Tiere!$BN$2:$BN$153,_xlfn.AGGREGATE(15,6,(ROW(Tiere!$BN$2:$BN$153)-1)/(--(SEARCH(BI$2,Tiere!$BN$2:$BN$153)&gt;0)),ROW()-2),1))))))))),"")</f>
        <v>Legehennen, Hähne - Gülle</v>
      </c>
      <c r="BI81" s="1601"/>
      <c r="BJ81" s="1624" t="str">
        <f>IFERROR(IF($A$18=$BO$1,$BO80,IF($A$18=$BP$1,$BP80,IF($A$18=$BQ$1,$BQ80,IF($A$18=$BR$1,$BR80,IF($A$18=$BS$1,$BS80,IF($A$18=$BT$1,$BT80,IF($A$18=$BU$1,$BU80,IF($A$18="",INDEX(Tiere!$BN$2:$BN$153,_xlfn.AGGREGATE(15,6,(ROW(Tiere!$BN$2:$BN$153)-1)/(--(SEARCH(BK$2,Tiere!$BN$2:$BN$153)&gt;0)),ROW()-2),1))))))))),"")</f>
        <v>Legehennen, Hähne - Gülle</v>
      </c>
      <c r="BK81" s="1601"/>
      <c r="BL81" s="1624" t="str">
        <f>IFERROR(IF($A$19=$BO$1,$BO80,IF($A$19=$BP$1,$BP80,IF($A$19=$BQ$1,$BQ80,IF($A$19=$BR$1,$BR80,IF($A$19=$BS$1,$BS80,IF($A$19=$BT$1,$BT80,IF($A$19=$BU$1,$BU80,IF($A$19="",INDEX(Tiere!$BN$2:$BN$153,_xlfn.AGGREGATE(15,6,(ROW(Tiere!$BN$2:$BN$153)-1)/(--(SEARCH(BM$2,Tiere!$BN$2:$BN$153)&gt;0)),ROW()-2),1))))))))),"")</f>
        <v>Legehennen, Hähne - Gülle</v>
      </c>
      <c r="BM81" s="1601"/>
      <c r="BN81" s="1630" t="s">
        <v>753</v>
      </c>
      <c r="BO81" s="1599"/>
      <c r="BP81" s="1599"/>
      <c r="BQ81" s="1599"/>
      <c r="BR81" s="1599"/>
      <c r="BS81" s="1599"/>
      <c r="BT81" s="1599"/>
      <c r="BU81" s="1599"/>
      <c r="CD81" s="1911" t="s">
        <v>753</v>
      </c>
    </row>
    <row r="82" spans="36:82" ht="14.25" thickTop="1" thickBot="1">
      <c r="AJ82" s="1624" t="str">
        <f>IFERROR(IF($A$5=$BO$1,$BO81,IF($A$5=$BP$1,$BP81,IF($A$5=$BQ$1,$BQ81,IF($A$5=$BR$1,$BR81,IF($A$5=$BS$1,$BS81,IF($A$5=$BT$1,$BT81,IF($A$5=$BU$1,$BU81,IF($A$5="",INDEX(Tiere!$BN$2:$BN$153,_xlfn.AGGREGATE(15,6,(ROW(Tiere!$BN$2:$BN$153)-1)/(--(SEARCH(AK$2,Tiere!$BN$2:$BN$153)&gt;0)),ROW()-2),1))))))))),"")</f>
        <v>Legehennen, Hähne - Tiefstallmist</v>
      </c>
      <c r="AK82" s="1599"/>
      <c r="AL82" s="1624" t="str">
        <f>IFERROR(IF($A$6=$BO$1,$BO81,IF($A$6=$BP$1,$BP81,IF($A$6=$BQ$1,$BQ81,IF($A$6=$BR$1,$BR81,IF($A$6=$BS$1,$BS81,IF($A$6=$BT$1,$BT81,IF($A$6=$BU$1,$BU81,IF($A$6="",INDEX(Tiere!$BN$2:$BN$153,_xlfn.AGGREGATE(15,6,(ROW(Tiere!$BN$2:$BN$153)-1)/(--(SEARCH(AM$2,Tiere!$BN$2:$BN$153)&gt;0)),ROW()-2),1))))))))),"")</f>
        <v>Legehennen, Hähne - Tiefstallmist</v>
      </c>
      <c r="AM82" s="1599"/>
      <c r="AN82" s="1624" t="str">
        <f>IFERROR(IF($A$7=$BO$1,$BO81,IF($A$7=$BP$1,$BP81,IF($A$7=$BQ$1,$BQ81,IF($A$7=$BR$1,$BR81,IF($A$7=$BS$1,$BS81,IF($A$7=$BT$1,$BT81,IF($A$7=$BU$1,$BU81,IF($A$7="",INDEX(Tiere!$BN$2:$BN$153,_xlfn.AGGREGATE(15,6,(ROW(Tiere!$BN$2:$BN$153)-1)/(--(SEARCH(AM$2,Tiere!$BN$2:$BN$153)&gt;0)),ROW()-2),1))))))))),"")</f>
        <v>Legehennen, Hähne - Tiefstallmist</v>
      </c>
      <c r="AO82" s="1599"/>
      <c r="AP82" s="1624" t="str">
        <f>IFERROR(IF($A$8=$BO$1,$BO81,IF($A$8=$BP$1,$BP81,IF($A$8=$BQ$1,$BQ81,IF($A$8=$BR$1,$BR81,IF($A$8=$BS$1,$BS81,IF($A$8=$BT$1,$BT81,IF($A$8=$BU$1,$BU81,IF($A$8="",INDEX(Tiere!$BN$2:$BN$153,_xlfn.AGGREGATE(15,6,(ROW(Tiere!$BN$2:$BN$153)-1)/(--(SEARCH(AQ$2,Tiere!$BN$2:$BN$153)&gt;0)),ROW()-2),1))))))))),"")</f>
        <v>Legehennen, Hähne - Tiefstallmist</v>
      </c>
      <c r="AQ82" s="1599"/>
      <c r="AR82" s="1624" t="str">
        <f>IFERROR(IF($A$9=$BO$1,$BO81,IF($A$9=$BP$1,$BP81,IF($A$9=$BQ$1,$BQ81,IF($A$9=$BR$1,$BR81,IF($A$9=$BS$1,$BS81,IF($A$9=$BT$1,$BT81,IF($A$9=$BU$1,$BU81,IF($A$9="",INDEX(Tiere!$BN$2:$BN$153,_xlfn.AGGREGATE(15,6,(ROW(Tiere!$BN$2:$BN$153)-1)/(--(SEARCH(AS$2,Tiere!$BN$2:$BN$153)&gt;0)),ROW()-2),1))))))))),"")</f>
        <v>Legehennen, Hähne - Tiefstallmist</v>
      </c>
      <c r="AS82" s="1599"/>
      <c r="AT82" s="1624" t="str">
        <f>IFERROR(IF($A$10=$BO$1,$BO81,IF($A$10=$BP$1,$BP81,IF($A$10=$BQ$1,$BQ81,IF($A$10=$BR$1,$BR81,IF($A$10=$BS$1,$BS81,IF($A$10=$BT$1,$BT81,IF($A$10=$BU$1,$BU81,IF($A$10="",INDEX(Tiere!$BN$2:$BN$153,_xlfn.AGGREGATE(15,6,(ROW(Tiere!$BN$2:$BN$153)-1)/(--(SEARCH(AU$2,Tiere!$BN$2:$BN$153)&gt;0)),ROW()-2),1))))))))),"")</f>
        <v>Legehennen, Hähne - Tiefstallmist</v>
      </c>
      <c r="AU82" s="1599"/>
      <c r="AV82" s="1624" t="str">
        <f>IFERROR(IF($A$11=$BO$1,$BO81,IF($A$11=$BP$1,$BP81,IF($A$11=$BQ$1,$BQ81,IF($A$11=$BR$1,$BR81,IF($A$11=$BS$1,$BS81,IF($A$11=$BT$1,$BT81,IF($A$11=$BU$1,$BU81,IF($A$11="",INDEX(Tiere!$BN$2:$BN$153,_xlfn.AGGREGATE(15,6,(ROW(Tiere!$BN$2:$BN$153)-1)/(--(SEARCH(AW$2,Tiere!$BN$2:$BN$153)&gt;0)),ROW()-2),1))))))))),"")</f>
        <v>Legehennen, Hähne - Tiefstallmist</v>
      </c>
      <c r="AW82" s="1599"/>
      <c r="AX82" s="1624" t="str">
        <f>IFERROR(IF($A$12=$BO$1,$BO81,IF($A$12=$BP$1,$BP81,IF($A$12=$BQ$1,$BQ81,IF($A$12=$BR$1,$BR81,IF($A$12=$BS$1,$BS81,IF($A$12=$BT$1,$BT81,IF($A$12=$BU$1,$BU81,IF($A$12="",INDEX(Tiere!$BN$2:$BN$153,_xlfn.AGGREGATE(15,6,(ROW(Tiere!$BN$2:$BN$153)-1)/(--(SEARCH(AY$2,Tiere!$BN$2:$BN$153)&gt;0)),ROW()-2),1))))))))),"")</f>
        <v>Legehennen, Hähne - Tiefstallmist</v>
      </c>
      <c r="AY82" s="1599"/>
      <c r="AZ82" s="1624" t="str">
        <f>IFERROR(IF($A$13=$BO$1,$BO81,IF($A$13=$BP$1,$BP81,IF($A$13=$BQ$1,$BQ81,IF($A$13=$BR$1,$BR81,IF($A$13=$BS$1,$BS81,IF($A$13=$BT$1,$BT81,IF($A$13=$BU$1,$BU81,IF($A$13="",INDEX(Tiere!$BN$2:$BN$153,_xlfn.AGGREGATE(15,6,(ROW(Tiere!$BN$2:$BN$153)-1)/(--(SEARCH(BA$2,Tiere!$BN$2:$BN$153)&gt;0)),ROW()-2),1))))))))),"")</f>
        <v>Legehennen, Hähne - Tiefstallmist</v>
      </c>
      <c r="BA82" s="1599"/>
      <c r="BB82" s="1624" t="str">
        <f>IFERROR(IF($A$14=$BO$1,$BO81,IF($A$14=$BP$1,$BP81,IF($A$14=$BQ$1,$BQ81,IF($A$14=$BR$1,$BR81,IF($A$14=$BS$1,$BS81,IF($A$14=$BT$1,$BT81,IF($A$14=$BU$1,$BU81,IF($A$14="",INDEX(Tiere!$BN$2:$BN$153,_xlfn.AGGREGATE(15,6,(ROW(Tiere!$BN$2:$BN$153)-1)/(--(SEARCH(BC$2,Tiere!$BN$2:$BN$153)&gt;0)),ROW()-2),1))))))))),"")</f>
        <v>Legehennen, Hähne - Tiefstallmist</v>
      </c>
      <c r="BC82" s="1599"/>
      <c r="BD82" s="1624" t="str">
        <f>IFERROR(IF($A$15=$BO$1,$BO81,IF($A$15=$BP$1,$BP81,IF($A$15=$BQ$1,$BQ81,IF($A$15=$BR$1,$BR81,IF($A$15=$BS$1,$BS81,IF($A$15=$BT$1,$BT81,IF($A$15=$BU$1,$BU81,IF($A$15="",INDEX(Tiere!$BN$2:$BN$153,_xlfn.AGGREGATE(15,6,(ROW(Tiere!$BN$2:$BN$153)-1)/(--(SEARCH(BE$2,Tiere!$BN$2:$BN$153)&gt;0)),ROW()-2),1))))))))),"")</f>
        <v>Legehennen, Hähne - Tiefstallmist</v>
      </c>
      <c r="BE82" s="1599"/>
      <c r="BF82" s="1624" t="str">
        <f>IFERROR(IF($A$16=$BO$1,$BO81,IF($A$16=$BP$1,$BP81,IF($A$16=$BQ$1,$BQ81,IF($A$16=$BR$1,$BR81,IF($A$16=$BS$1,$BS81,IF($A$16=$BT$1,$BT81,IF($A$16=$BU$1,$BU81,IF($A$16="",INDEX(Tiere!$BN$2:$BN$153,_xlfn.AGGREGATE(15,6,(ROW(Tiere!$BN$2:$BN$153)-1)/(--(SEARCH(BG$2,Tiere!$BN$2:$BN$153)&gt;0)),ROW()-2),1))))))))),"")</f>
        <v>Legehennen, Hähne - Tiefstallmist</v>
      </c>
      <c r="BG82" s="1599"/>
      <c r="BH82" s="1624" t="str">
        <f>IFERROR(IF($A$17=$BO$1,$BO81,IF($A$17=$BP$1,$BP81,IF($A$17=$BQ$1,$BQ81,IF($A$17=$BR$1,$BR81,IF($A$17=$BS$1,$BS81,IF($A$17=$BT$1,$BT81,IF($A$17=$BU$1,$BU81,IF($A$17="",INDEX(Tiere!$BN$2:$BN$153,_xlfn.AGGREGATE(15,6,(ROW(Tiere!$BN$2:$BN$153)-1)/(--(SEARCH(BI$2,Tiere!$BN$2:$BN$153)&gt;0)),ROW()-2),1))))))))),"")</f>
        <v>Legehennen, Hähne - Tiefstallmist</v>
      </c>
      <c r="BI82" s="1599"/>
      <c r="BJ82" s="1624" t="str">
        <f>IFERROR(IF($A$18=$BO$1,$BO81,IF($A$18=$BP$1,$BP81,IF($A$18=$BQ$1,$BQ81,IF($A$18=$BR$1,$BR81,IF($A$18=$BS$1,$BS81,IF($A$18=$BT$1,$BT81,IF($A$18=$BU$1,$BU81,IF($A$18="",INDEX(Tiere!$BN$2:$BN$153,_xlfn.AGGREGATE(15,6,(ROW(Tiere!$BN$2:$BN$153)-1)/(--(SEARCH(BK$2,Tiere!$BN$2:$BN$153)&gt;0)),ROW()-2),1))))))))),"")</f>
        <v>Legehennen, Hähne - Tiefstallmist</v>
      </c>
      <c r="BK82" s="1599"/>
      <c r="BL82" s="1624" t="str">
        <f>IFERROR(IF($A$19=$BO$1,$BO81,IF($A$19=$BP$1,$BP81,IF($A$19=$BQ$1,$BQ81,IF($A$19=$BR$1,$BR81,IF($A$19=$BS$1,$BS81,IF($A$19=$BT$1,$BT81,IF($A$19=$BU$1,$BU81,IF($A$19="",INDEX(Tiere!$BN$2:$BN$153,_xlfn.AGGREGATE(15,6,(ROW(Tiere!$BN$2:$BN$153)-1)/(--(SEARCH(BM$2,Tiere!$BN$2:$BN$153)&gt;0)),ROW()-2),1))))))))),"")</f>
        <v>Legehennen, Hähne - Tiefstallmist</v>
      </c>
      <c r="BM82" s="1599"/>
      <c r="BN82" s="1630" t="s">
        <v>756</v>
      </c>
      <c r="BO82" s="1599"/>
      <c r="BP82" s="1599"/>
      <c r="BQ82" s="1599"/>
      <c r="BR82" s="1599"/>
      <c r="BS82" s="1599"/>
      <c r="BT82" s="1599"/>
      <c r="BU82" s="1623"/>
      <c r="CD82" s="1911" t="s">
        <v>756</v>
      </c>
    </row>
    <row r="83" spans="36:82" ht="13.5" thickBot="1">
      <c r="AJ83" s="1624" t="str">
        <f>IFERROR(IF($A$5=$BO$1,$BO82,IF($A$5=$BP$1,$BP82,IF($A$5=$BQ$1,$BQ82,IF($A$5=$BR$1,$BR82,IF($A$5=$BS$1,$BS82,IF($A$5=$BT$1,$BT82,IF($A$5=$BU$1,$BU82,IF($A$5="",INDEX(Tiere!$BN$2:$BN$153,_xlfn.AGGREGATE(15,6,(ROW(Tiere!$BN$2:$BN$153)-1)/(--(SEARCH(AK$2,Tiere!$BN$2:$BN$153)&gt;0)),ROW()-2),1))))))))),"")</f>
        <v xml:space="preserve">Mastkücken und Jungmasthühner - 7 Umtriebe </v>
      </c>
      <c r="AK83" s="1601"/>
      <c r="AL83" s="1624" t="str">
        <f>IFERROR(IF($A$6=$BO$1,$BO82,IF($A$6=$BP$1,$BP82,IF($A$6=$BQ$1,$BQ82,IF($A$6=$BR$1,$BR82,IF($A$6=$BS$1,$BS82,IF($A$6=$BT$1,$BT82,IF($A$6=$BU$1,$BU82,IF($A$6="",INDEX(Tiere!$BN$2:$BN$153,_xlfn.AGGREGATE(15,6,(ROW(Tiere!$BN$2:$BN$153)-1)/(--(SEARCH(AM$2,Tiere!$BN$2:$BN$153)&gt;0)),ROW()-2),1))))))))),"")</f>
        <v xml:space="preserve">Mastkücken und Jungmasthühner - 7 Umtriebe </v>
      </c>
      <c r="AM83" s="1601"/>
      <c r="AN83" s="1624" t="str">
        <f>IFERROR(IF($A$7=$BO$1,$BO82,IF($A$7=$BP$1,$BP82,IF($A$7=$BQ$1,$BQ82,IF($A$7=$BR$1,$BR82,IF($A$7=$BS$1,$BS82,IF($A$7=$BT$1,$BT82,IF($A$7=$BU$1,$BU82,IF($A$7="",INDEX(Tiere!$BN$2:$BN$153,_xlfn.AGGREGATE(15,6,(ROW(Tiere!$BN$2:$BN$153)-1)/(--(SEARCH(AM$2,Tiere!$BN$2:$BN$153)&gt;0)),ROW()-2),1))))))))),"")</f>
        <v xml:space="preserve">Mastkücken und Jungmasthühner - 7 Umtriebe </v>
      </c>
      <c r="AO83" s="1601"/>
      <c r="AP83" s="1624" t="str">
        <f>IFERROR(IF($A$8=$BO$1,$BO82,IF($A$8=$BP$1,$BP82,IF($A$8=$BQ$1,$BQ82,IF($A$8=$BR$1,$BR82,IF($A$8=$BS$1,$BS82,IF($A$8=$BT$1,$BT82,IF($A$8=$BU$1,$BU82,IF($A$8="",INDEX(Tiere!$BN$2:$BN$153,_xlfn.AGGREGATE(15,6,(ROW(Tiere!$BN$2:$BN$153)-1)/(--(SEARCH(AQ$2,Tiere!$BN$2:$BN$153)&gt;0)),ROW()-2),1))))))))),"")</f>
        <v xml:space="preserve">Mastkücken und Jungmasthühner - 7 Umtriebe </v>
      </c>
      <c r="AQ83" s="1601"/>
      <c r="AR83" s="1624" t="str">
        <f>IFERROR(IF($A$9=$BO$1,$BO82,IF($A$9=$BP$1,$BP82,IF($A$9=$BQ$1,$BQ82,IF($A$9=$BR$1,$BR82,IF($A$9=$BS$1,$BS82,IF($A$9=$BT$1,$BT82,IF($A$9=$BU$1,$BU82,IF($A$9="",INDEX(Tiere!$BN$2:$BN$153,_xlfn.AGGREGATE(15,6,(ROW(Tiere!$BN$2:$BN$153)-1)/(--(SEARCH(AS$2,Tiere!$BN$2:$BN$153)&gt;0)),ROW()-2),1))))))))),"")</f>
        <v xml:space="preserve">Mastkücken und Jungmasthühner - 7 Umtriebe </v>
      </c>
      <c r="AS83" s="1601"/>
      <c r="AT83" s="1624" t="str">
        <f>IFERROR(IF($A$10=$BO$1,$BO82,IF($A$10=$BP$1,$BP82,IF($A$10=$BQ$1,$BQ82,IF($A$10=$BR$1,$BR82,IF($A$10=$BS$1,$BS82,IF($A$10=$BT$1,$BT82,IF($A$10=$BU$1,$BU82,IF($A$10="",INDEX(Tiere!$BN$2:$BN$153,_xlfn.AGGREGATE(15,6,(ROW(Tiere!$BN$2:$BN$153)-1)/(--(SEARCH(AU$2,Tiere!$BN$2:$BN$153)&gt;0)),ROW()-2),1))))))))),"")</f>
        <v xml:space="preserve">Mastkücken und Jungmasthühner - 7 Umtriebe </v>
      </c>
      <c r="AU83" s="1601"/>
      <c r="AV83" s="1624" t="str">
        <f>IFERROR(IF($A$11=$BO$1,$BO82,IF($A$11=$BP$1,$BP82,IF($A$11=$BQ$1,$BQ82,IF($A$11=$BR$1,$BR82,IF($A$11=$BS$1,$BS82,IF($A$11=$BT$1,$BT82,IF($A$11=$BU$1,$BU82,IF($A$11="",INDEX(Tiere!$BN$2:$BN$153,_xlfn.AGGREGATE(15,6,(ROW(Tiere!$BN$2:$BN$153)-1)/(--(SEARCH(AW$2,Tiere!$BN$2:$BN$153)&gt;0)),ROW()-2),1))))))))),"")</f>
        <v xml:space="preserve">Mastkücken und Jungmasthühner - 7 Umtriebe </v>
      </c>
      <c r="AW83" s="1601"/>
      <c r="AX83" s="1624" t="str">
        <f>IFERROR(IF($A$12=$BO$1,$BO82,IF($A$12=$BP$1,$BP82,IF($A$12=$BQ$1,$BQ82,IF($A$12=$BR$1,$BR82,IF($A$12=$BS$1,$BS82,IF($A$12=$BT$1,$BT82,IF($A$12=$BU$1,$BU82,IF($A$12="",INDEX(Tiere!$BN$2:$BN$153,_xlfn.AGGREGATE(15,6,(ROW(Tiere!$BN$2:$BN$153)-1)/(--(SEARCH(AY$2,Tiere!$BN$2:$BN$153)&gt;0)),ROW()-2),1))))))))),"")</f>
        <v xml:space="preserve">Mastkücken und Jungmasthühner - 7 Umtriebe </v>
      </c>
      <c r="AY83" s="1601"/>
      <c r="AZ83" s="1624" t="str">
        <f>IFERROR(IF($A$13=$BO$1,$BO82,IF($A$13=$BP$1,$BP82,IF($A$13=$BQ$1,$BQ82,IF($A$13=$BR$1,$BR82,IF($A$13=$BS$1,$BS82,IF($A$13=$BT$1,$BT82,IF($A$13=$BU$1,$BU82,IF($A$13="",INDEX(Tiere!$BN$2:$BN$153,_xlfn.AGGREGATE(15,6,(ROW(Tiere!$BN$2:$BN$153)-1)/(--(SEARCH(BA$2,Tiere!$BN$2:$BN$153)&gt;0)),ROW()-2),1))))))))),"")</f>
        <v xml:space="preserve">Mastkücken und Jungmasthühner - 7 Umtriebe </v>
      </c>
      <c r="BA83" s="1601"/>
      <c r="BB83" s="1624" t="str">
        <f>IFERROR(IF($A$14=$BO$1,$BO82,IF($A$14=$BP$1,$BP82,IF($A$14=$BQ$1,$BQ82,IF($A$14=$BR$1,$BR82,IF($A$14=$BS$1,$BS82,IF($A$14=$BT$1,$BT82,IF($A$14=$BU$1,$BU82,IF($A$14="",INDEX(Tiere!$BN$2:$BN$153,_xlfn.AGGREGATE(15,6,(ROW(Tiere!$BN$2:$BN$153)-1)/(--(SEARCH(BC$2,Tiere!$BN$2:$BN$153)&gt;0)),ROW()-2),1))))))))),"")</f>
        <v xml:space="preserve">Mastkücken und Jungmasthühner - 7 Umtriebe </v>
      </c>
      <c r="BC83" s="1601"/>
      <c r="BD83" s="1624" t="str">
        <f>IFERROR(IF($A$15=$BO$1,$BO82,IF($A$15=$BP$1,$BP82,IF($A$15=$BQ$1,$BQ82,IF($A$15=$BR$1,$BR82,IF($A$15=$BS$1,$BS82,IF($A$15=$BT$1,$BT82,IF($A$15=$BU$1,$BU82,IF($A$15="",INDEX(Tiere!$BN$2:$BN$153,_xlfn.AGGREGATE(15,6,(ROW(Tiere!$BN$2:$BN$153)-1)/(--(SEARCH(BE$2,Tiere!$BN$2:$BN$153)&gt;0)),ROW()-2),1))))))))),"")</f>
        <v xml:space="preserve">Mastkücken und Jungmasthühner - 7 Umtriebe </v>
      </c>
      <c r="BE83" s="1601"/>
      <c r="BF83" s="1624" t="str">
        <f>IFERROR(IF($A$16=$BO$1,$BO82,IF($A$16=$BP$1,$BP82,IF($A$16=$BQ$1,$BQ82,IF($A$16=$BR$1,$BR82,IF($A$16=$BS$1,$BS82,IF($A$16=$BT$1,$BT82,IF($A$16=$BU$1,$BU82,IF($A$16="",INDEX(Tiere!$BN$2:$BN$153,_xlfn.AGGREGATE(15,6,(ROW(Tiere!$BN$2:$BN$153)-1)/(--(SEARCH(BG$2,Tiere!$BN$2:$BN$153)&gt;0)),ROW()-2),1))))))))),"")</f>
        <v xml:space="preserve">Mastkücken und Jungmasthühner - 7 Umtriebe </v>
      </c>
      <c r="BG83" s="1601"/>
      <c r="BH83" s="1624" t="str">
        <f>IFERROR(IF($A$17=$BO$1,$BO82,IF($A$17=$BP$1,$BP82,IF($A$17=$BQ$1,$BQ82,IF($A$17=$BR$1,$BR82,IF($A$17=$BS$1,$BS82,IF($A$17=$BT$1,$BT82,IF($A$17=$BU$1,$BU82,IF($A$17="",INDEX(Tiere!$BN$2:$BN$153,_xlfn.AGGREGATE(15,6,(ROW(Tiere!$BN$2:$BN$153)-1)/(--(SEARCH(BI$2,Tiere!$BN$2:$BN$153)&gt;0)),ROW()-2),1))))))))),"")</f>
        <v xml:space="preserve">Mastkücken und Jungmasthühner - 7 Umtriebe </v>
      </c>
      <c r="BI83" s="1601"/>
      <c r="BJ83" s="1624" t="str">
        <f>IFERROR(IF($A$18=$BO$1,$BO82,IF($A$18=$BP$1,$BP82,IF($A$18=$BQ$1,$BQ82,IF($A$18=$BR$1,$BR82,IF($A$18=$BS$1,$BS82,IF($A$18=$BT$1,$BT82,IF($A$18=$BU$1,$BU82,IF($A$18="",INDEX(Tiere!$BN$2:$BN$153,_xlfn.AGGREGATE(15,6,(ROW(Tiere!$BN$2:$BN$153)-1)/(--(SEARCH(BK$2,Tiere!$BN$2:$BN$153)&gt;0)),ROW()-2),1))))))))),"")</f>
        <v xml:space="preserve">Mastkücken und Jungmasthühner - 7 Umtriebe </v>
      </c>
      <c r="BK83" s="1601"/>
      <c r="BL83" s="1624" t="str">
        <f>IFERROR(IF($A$19=$BO$1,$BO82,IF($A$19=$BP$1,$BP82,IF($A$19=$BQ$1,$BQ82,IF($A$19=$BR$1,$BR82,IF($A$19=$BS$1,$BS82,IF($A$19=$BT$1,$BT82,IF($A$19=$BU$1,$BU82,IF($A$19="",INDEX(Tiere!$BN$2:$BN$153,_xlfn.AGGREGATE(15,6,(ROW(Tiere!$BN$2:$BN$153)-1)/(--(SEARCH(BM$2,Tiere!$BN$2:$BN$153)&gt;0)),ROW()-2),1))))))))),"")</f>
        <v xml:space="preserve">Mastkücken und Jungmasthühner - 7 Umtriebe </v>
      </c>
      <c r="BM83" s="1601"/>
      <c r="BN83" s="1630" t="s">
        <v>759</v>
      </c>
      <c r="BO83" s="1599"/>
      <c r="BP83" s="1599"/>
      <c r="BQ83" s="1599"/>
      <c r="BR83" s="1599"/>
      <c r="BS83" s="1599"/>
      <c r="BT83" s="1599"/>
      <c r="BU83" s="1599"/>
      <c r="CD83" s="1911" t="s">
        <v>759</v>
      </c>
    </row>
    <row r="84" spans="36:82" ht="13.5" thickBot="1">
      <c r="AJ84" s="1624" t="str">
        <f>IFERROR(IF($A$5=$BO$1,$BO83,IF($A$5=$BP$1,$BP83,IF($A$5=$BQ$1,$BQ83,IF($A$5=$BR$1,$BR83,IF($A$5=$BS$1,$BS83,IF($A$5=$BT$1,$BT83,IF($A$5=$BU$1,$BU83,IF($A$5="",INDEX(Tiere!$BN$2:$BN$153,_xlfn.AGGREGATE(15,6,(ROW(Tiere!$BN$2:$BN$153)-1)/(--(SEARCH(AK$2,Tiere!$BN$2:$BN$153)&gt;0)),ROW()-2),1))))))))),"")</f>
        <v>Zwerghühner, Wachteln; ausgewachsen</v>
      </c>
      <c r="AK84" s="1599"/>
      <c r="AL84" s="1624" t="str">
        <f>IFERROR(IF($A$6=$BO$1,$BO83,IF($A$6=$BP$1,$BP83,IF($A$6=$BQ$1,$BQ83,IF($A$6=$BR$1,$BR83,IF($A$6=$BS$1,$BS83,IF($A$6=$BT$1,$BT83,IF($A$6=$BU$1,$BU83,IF($A$6="",INDEX(Tiere!$BN$2:$BN$153,_xlfn.AGGREGATE(15,6,(ROW(Tiere!$BN$2:$BN$153)-1)/(--(SEARCH(AM$2,Tiere!$BN$2:$BN$153)&gt;0)),ROW()-2),1))))))))),"")</f>
        <v>Zwerghühner, Wachteln; ausgewachsen</v>
      </c>
      <c r="AM84" s="1599"/>
      <c r="AN84" s="1624" t="str">
        <f>IFERROR(IF($A$7=$BO$1,$BO83,IF($A$7=$BP$1,$BP83,IF($A$7=$BQ$1,$BQ83,IF($A$7=$BR$1,$BR83,IF($A$7=$BS$1,$BS83,IF($A$7=$BT$1,$BT83,IF($A$7=$BU$1,$BU83,IF($A$7="",INDEX(Tiere!$BN$2:$BN$153,_xlfn.AGGREGATE(15,6,(ROW(Tiere!$BN$2:$BN$153)-1)/(--(SEARCH(AM$2,Tiere!$BN$2:$BN$153)&gt;0)),ROW()-2),1))))))))),"")</f>
        <v>Zwerghühner, Wachteln; ausgewachsen</v>
      </c>
      <c r="AO84" s="1599"/>
      <c r="AP84" s="1624" t="str">
        <f>IFERROR(IF($A$8=$BO$1,$BO83,IF($A$8=$BP$1,$BP83,IF($A$8=$BQ$1,$BQ83,IF($A$8=$BR$1,$BR83,IF($A$8=$BS$1,$BS83,IF($A$8=$BT$1,$BT83,IF($A$8=$BU$1,$BU83,IF($A$8="",INDEX(Tiere!$BN$2:$BN$153,_xlfn.AGGREGATE(15,6,(ROW(Tiere!$BN$2:$BN$153)-1)/(--(SEARCH(AQ$2,Tiere!$BN$2:$BN$153)&gt;0)),ROW()-2),1))))))))),"")</f>
        <v>Zwerghühner, Wachteln; ausgewachsen</v>
      </c>
      <c r="AQ84" s="1599"/>
      <c r="AR84" s="1624" t="str">
        <f>IFERROR(IF($A$9=$BO$1,$BO83,IF($A$9=$BP$1,$BP83,IF($A$9=$BQ$1,$BQ83,IF($A$9=$BR$1,$BR83,IF($A$9=$BS$1,$BS83,IF($A$9=$BT$1,$BT83,IF($A$9=$BU$1,$BU83,IF($A$9="",INDEX(Tiere!$BN$2:$BN$153,_xlfn.AGGREGATE(15,6,(ROW(Tiere!$BN$2:$BN$153)-1)/(--(SEARCH(AS$2,Tiere!$BN$2:$BN$153)&gt;0)),ROW()-2),1))))))))),"")</f>
        <v>Zwerghühner, Wachteln; ausgewachsen</v>
      </c>
      <c r="AS84" s="1599"/>
      <c r="AT84" s="1624" t="str">
        <f>IFERROR(IF($A$10=$BO$1,$BO83,IF($A$10=$BP$1,$BP83,IF($A$10=$BQ$1,$BQ83,IF($A$10=$BR$1,$BR83,IF($A$10=$BS$1,$BS83,IF($A$10=$BT$1,$BT83,IF($A$10=$BU$1,$BU83,IF($A$10="",INDEX(Tiere!$BN$2:$BN$153,_xlfn.AGGREGATE(15,6,(ROW(Tiere!$BN$2:$BN$153)-1)/(--(SEARCH(AU$2,Tiere!$BN$2:$BN$153)&gt;0)),ROW()-2),1))))))))),"")</f>
        <v>Zwerghühner, Wachteln; ausgewachsen</v>
      </c>
      <c r="AU84" s="1599"/>
      <c r="AV84" s="1624" t="str">
        <f>IFERROR(IF($A$11=$BO$1,$BO83,IF($A$11=$BP$1,$BP83,IF($A$11=$BQ$1,$BQ83,IF($A$11=$BR$1,$BR83,IF($A$11=$BS$1,$BS83,IF($A$11=$BT$1,$BT83,IF($A$11=$BU$1,$BU83,IF($A$11="",INDEX(Tiere!$BN$2:$BN$153,_xlfn.AGGREGATE(15,6,(ROW(Tiere!$BN$2:$BN$153)-1)/(--(SEARCH(AW$2,Tiere!$BN$2:$BN$153)&gt;0)),ROW()-2),1))))))))),"")</f>
        <v>Zwerghühner, Wachteln; ausgewachsen</v>
      </c>
      <c r="AW84" s="1599"/>
      <c r="AX84" s="1624" t="str">
        <f>IFERROR(IF($A$12=$BO$1,$BO83,IF($A$12=$BP$1,$BP83,IF($A$12=$BQ$1,$BQ83,IF($A$12=$BR$1,$BR83,IF($A$12=$BS$1,$BS83,IF($A$12=$BT$1,$BT83,IF($A$12=$BU$1,$BU83,IF($A$12="",INDEX(Tiere!$BN$2:$BN$153,_xlfn.AGGREGATE(15,6,(ROW(Tiere!$BN$2:$BN$153)-1)/(--(SEARCH(AY$2,Tiere!$BN$2:$BN$153)&gt;0)),ROW()-2),1))))))))),"")</f>
        <v>Zwerghühner, Wachteln; ausgewachsen</v>
      </c>
      <c r="AY84" s="1599"/>
      <c r="AZ84" s="1624" t="str">
        <f>IFERROR(IF($A$13=$BO$1,$BO83,IF($A$13=$BP$1,$BP83,IF($A$13=$BQ$1,$BQ83,IF($A$13=$BR$1,$BR83,IF($A$13=$BS$1,$BS83,IF($A$13=$BT$1,$BT83,IF($A$13=$BU$1,$BU83,IF($A$13="",INDEX(Tiere!$BN$2:$BN$153,_xlfn.AGGREGATE(15,6,(ROW(Tiere!$BN$2:$BN$153)-1)/(--(SEARCH(BA$2,Tiere!$BN$2:$BN$153)&gt;0)),ROW()-2),1))))))))),"")</f>
        <v>Zwerghühner, Wachteln; ausgewachsen</v>
      </c>
      <c r="BA84" s="1599"/>
      <c r="BB84" s="1624" t="str">
        <f>IFERROR(IF($A$14=$BO$1,$BO83,IF($A$14=$BP$1,$BP83,IF($A$14=$BQ$1,$BQ83,IF($A$14=$BR$1,$BR83,IF($A$14=$BS$1,$BS83,IF($A$14=$BT$1,$BT83,IF($A$14=$BU$1,$BU83,IF($A$14="",INDEX(Tiere!$BN$2:$BN$153,_xlfn.AGGREGATE(15,6,(ROW(Tiere!$BN$2:$BN$153)-1)/(--(SEARCH(BC$2,Tiere!$BN$2:$BN$153)&gt;0)),ROW()-2),1))))))))),"")</f>
        <v>Zwerghühner, Wachteln; ausgewachsen</v>
      </c>
      <c r="BC84" s="1599"/>
      <c r="BD84" s="1624" t="str">
        <f>IFERROR(IF($A$15=$BO$1,$BO83,IF($A$15=$BP$1,$BP83,IF($A$15=$BQ$1,$BQ83,IF($A$15=$BR$1,$BR83,IF($A$15=$BS$1,$BS83,IF($A$15=$BT$1,$BT83,IF($A$15=$BU$1,$BU83,IF($A$15="",INDEX(Tiere!$BN$2:$BN$153,_xlfn.AGGREGATE(15,6,(ROW(Tiere!$BN$2:$BN$153)-1)/(--(SEARCH(BE$2,Tiere!$BN$2:$BN$153)&gt;0)),ROW()-2),1))))))))),"")</f>
        <v>Zwerghühner, Wachteln; ausgewachsen</v>
      </c>
      <c r="BE84" s="1599"/>
      <c r="BF84" s="1624" t="str">
        <f>IFERROR(IF($A$16=$BO$1,$BO83,IF($A$16=$BP$1,$BP83,IF($A$16=$BQ$1,$BQ83,IF($A$16=$BR$1,$BR83,IF($A$16=$BS$1,$BS83,IF($A$16=$BT$1,$BT83,IF($A$16=$BU$1,$BU83,IF($A$16="",INDEX(Tiere!$BN$2:$BN$153,_xlfn.AGGREGATE(15,6,(ROW(Tiere!$BN$2:$BN$153)-1)/(--(SEARCH(BG$2,Tiere!$BN$2:$BN$153)&gt;0)),ROW()-2),1))))))))),"")</f>
        <v>Zwerghühner, Wachteln; ausgewachsen</v>
      </c>
      <c r="BG84" s="1599"/>
      <c r="BH84" s="1624" t="str">
        <f>IFERROR(IF($A$17=$BO$1,$BO83,IF($A$17=$BP$1,$BP83,IF($A$17=$BQ$1,$BQ83,IF($A$17=$BR$1,$BR83,IF($A$17=$BS$1,$BS83,IF($A$17=$BT$1,$BT83,IF($A$17=$BU$1,$BU83,IF($A$17="",INDEX(Tiere!$BN$2:$BN$153,_xlfn.AGGREGATE(15,6,(ROW(Tiere!$BN$2:$BN$153)-1)/(--(SEARCH(BI$2,Tiere!$BN$2:$BN$153)&gt;0)),ROW()-2),1))))))))),"")</f>
        <v>Zwerghühner, Wachteln; ausgewachsen</v>
      </c>
      <c r="BI84" s="1599"/>
      <c r="BJ84" s="1624" t="str">
        <f>IFERROR(IF($A$18=$BO$1,$BO83,IF($A$18=$BP$1,$BP83,IF($A$18=$BQ$1,$BQ83,IF($A$18=$BR$1,$BR83,IF($A$18=$BS$1,$BS83,IF($A$18=$BT$1,$BT83,IF($A$18=$BU$1,$BU83,IF($A$18="",INDEX(Tiere!$BN$2:$BN$153,_xlfn.AGGREGATE(15,6,(ROW(Tiere!$BN$2:$BN$153)-1)/(--(SEARCH(BK$2,Tiere!$BN$2:$BN$153)&gt;0)),ROW()-2),1))))))))),"")</f>
        <v>Zwerghühner, Wachteln; ausgewachsen</v>
      </c>
      <c r="BK84" s="1599"/>
      <c r="BL84" s="1624" t="str">
        <f>IFERROR(IF($A$19=$BO$1,$BO83,IF($A$19=$BP$1,$BP83,IF($A$19=$BQ$1,$BQ83,IF($A$19=$BR$1,$BR83,IF($A$19=$BS$1,$BS83,IF($A$19=$BT$1,$BT83,IF($A$19=$BU$1,$BU83,IF($A$19="",INDEX(Tiere!$BN$2:$BN$153,_xlfn.AGGREGATE(15,6,(ROW(Tiere!$BN$2:$BN$153)-1)/(--(SEARCH(BM$2,Tiere!$BN$2:$BN$153)&gt;0)),ROW()-2),1))))))))),"")</f>
        <v>Zwerghühner, Wachteln; ausgewachsen</v>
      </c>
      <c r="BM84" s="1599"/>
      <c r="BN84" s="1630" t="s">
        <v>761</v>
      </c>
      <c r="BO84" s="1599"/>
      <c r="BP84" s="1599"/>
      <c r="BQ84" s="1599"/>
      <c r="BR84" s="1599"/>
      <c r="BS84" s="1599"/>
      <c r="BT84" s="1599"/>
      <c r="BU84" s="1599"/>
      <c r="CD84" s="1911" t="s">
        <v>761</v>
      </c>
    </row>
    <row r="85" spans="36:82" ht="13.5" thickBot="1">
      <c r="AJ85" s="1624" t="str">
        <f>IFERROR(IF($A$5=$BO$1,$BO84,IF($A$5=$BP$1,$BP84,IF($A$5=$BQ$1,$BQ84,IF($A$5=$BR$1,$BR84,IF($A$5=$BS$1,$BS84,IF($A$5=$BT$1,$BT84,IF($A$5=$BU$1,$BU84,IF($A$5="",INDEX(Tiere!$BN$2:$BN$153,_xlfn.AGGREGATE(15,6,(ROW(Tiere!$BN$2:$BN$153)-1)/(--(SEARCH(AK$2,Tiere!$BN$2:$BN$153)&gt;0)),ROW()-2),1))))))))),"")</f>
        <v>Gänse</v>
      </c>
      <c r="AK85" s="1601"/>
      <c r="AL85" s="1624" t="str">
        <f>IFERROR(IF($A$6=$BO$1,$BO84,IF($A$6=$BP$1,$BP84,IF($A$6=$BQ$1,$BQ84,IF($A$6=$BR$1,$BR84,IF($A$6=$BS$1,$BS84,IF($A$6=$BT$1,$BT84,IF($A$6=$BU$1,$BU84,IF($A$6="",INDEX(Tiere!$BN$2:$BN$153,_xlfn.AGGREGATE(15,6,(ROW(Tiere!$BN$2:$BN$153)-1)/(--(SEARCH(AM$2,Tiere!$BN$2:$BN$153)&gt;0)),ROW()-2),1))))))))),"")</f>
        <v>Gänse</v>
      </c>
      <c r="AM85" s="1601"/>
      <c r="AN85" s="1624" t="str">
        <f>IFERROR(IF($A$7=$BO$1,$BO84,IF($A$7=$BP$1,$BP84,IF($A$7=$BQ$1,$BQ84,IF($A$7=$BR$1,$BR84,IF($A$7=$BS$1,$BS84,IF($A$7=$BT$1,$BT84,IF($A$7=$BU$1,$BU84,IF($A$7="",INDEX(Tiere!$BN$2:$BN$153,_xlfn.AGGREGATE(15,6,(ROW(Tiere!$BN$2:$BN$153)-1)/(--(SEARCH(AM$2,Tiere!$BN$2:$BN$153)&gt;0)),ROW()-2),1))))))))),"")</f>
        <v>Gänse</v>
      </c>
      <c r="AO85" s="1601"/>
      <c r="AP85" s="1624" t="str">
        <f>IFERROR(IF($A$8=$BO$1,$BO84,IF($A$8=$BP$1,$BP84,IF($A$8=$BQ$1,$BQ84,IF($A$8=$BR$1,$BR84,IF($A$8=$BS$1,$BS84,IF($A$8=$BT$1,$BT84,IF($A$8=$BU$1,$BU84,IF($A$8="",INDEX(Tiere!$BN$2:$BN$153,_xlfn.AGGREGATE(15,6,(ROW(Tiere!$BN$2:$BN$153)-1)/(--(SEARCH(AQ$2,Tiere!$BN$2:$BN$153)&gt;0)),ROW()-2),1))))))))),"")</f>
        <v>Gänse</v>
      </c>
      <c r="AQ85" s="1601"/>
      <c r="AR85" s="1624" t="str">
        <f>IFERROR(IF($A$9=$BO$1,$BO84,IF($A$9=$BP$1,$BP84,IF($A$9=$BQ$1,$BQ84,IF($A$9=$BR$1,$BR84,IF($A$9=$BS$1,$BS84,IF($A$9=$BT$1,$BT84,IF($A$9=$BU$1,$BU84,IF($A$9="",INDEX(Tiere!$BN$2:$BN$153,_xlfn.AGGREGATE(15,6,(ROW(Tiere!$BN$2:$BN$153)-1)/(--(SEARCH(AS$2,Tiere!$BN$2:$BN$153)&gt;0)),ROW()-2),1))))))))),"")</f>
        <v>Gänse</v>
      </c>
      <c r="AS85" s="1601"/>
      <c r="AT85" s="1624" t="str">
        <f>IFERROR(IF($A$10=$BO$1,$BO84,IF($A$10=$BP$1,$BP84,IF($A$10=$BQ$1,$BQ84,IF($A$10=$BR$1,$BR84,IF($A$10=$BS$1,$BS84,IF($A$10=$BT$1,$BT84,IF($A$10=$BU$1,$BU84,IF($A$10="",INDEX(Tiere!$BN$2:$BN$153,_xlfn.AGGREGATE(15,6,(ROW(Tiere!$BN$2:$BN$153)-1)/(--(SEARCH(AU$2,Tiere!$BN$2:$BN$153)&gt;0)),ROW()-2),1))))))))),"")</f>
        <v>Gänse</v>
      </c>
      <c r="AU85" s="1601"/>
      <c r="AV85" s="1624" t="str">
        <f>IFERROR(IF($A$11=$BO$1,$BO84,IF($A$11=$BP$1,$BP84,IF($A$11=$BQ$1,$BQ84,IF($A$11=$BR$1,$BR84,IF($A$11=$BS$1,$BS84,IF($A$11=$BT$1,$BT84,IF($A$11=$BU$1,$BU84,IF($A$11="",INDEX(Tiere!$BN$2:$BN$153,_xlfn.AGGREGATE(15,6,(ROW(Tiere!$BN$2:$BN$153)-1)/(--(SEARCH(AW$2,Tiere!$BN$2:$BN$153)&gt;0)),ROW()-2),1))))))))),"")</f>
        <v>Gänse</v>
      </c>
      <c r="AW85" s="1601"/>
      <c r="AX85" s="1624" t="str">
        <f>IFERROR(IF($A$12=$BO$1,$BO84,IF($A$12=$BP$1,$BP84,IF($A$12=$BQ$1,$BQ84,IF($A$12=$BR$1,$BR84,IF($A$12=$BS$1,$BS84,IF($A$12=$BT$1,$BT84,IF($A$12=$BU$1,$BU84,IF($A$12="",INDEX(Tiere!$BN$2:$BN$153,_xlfn.AGGREGATE(15,6,(ROW(Tiere!$BN$2:$BN$153)-1)/(--(SEARCH(AY$2,Tiere!$BN$2:$BN$153)&gt;0)),ROW()-2),1))))))))),"")</f>
        <v>Gänse</v>
      </c>
      <c r="AY85" s="1601"/>
      <c r="AZ85" s="1624" t="str">
        <f>IFERROR(IF($A$13=$BO$1,$BO84,IF($A$13=$BP$1,$BP84,IF($A$13=$BQ$1,$BQ84,IF($A$13=$BR$1,$BR84,IF($A$13=$BS$1,$BS84,IF($A$13=$BT$1,$BT84,IF($A$13=$BU$1,$BU84,IF($A$13="",INDEX(Tiere!$BN$2:$BN$153,_xlfn.AGGREGATE(15,6,(ROW(Tiere!$BN$2:$BN$153)-1)/(--(SEARCH(BA$2,Tiere!$BN$2:$BN$153)&gt;0)),ROW()-2),1))))))))),"")</f>
        <v>Gänse</v>
      </c>
      <c r="BA85" s="1601"/>
      <c r="BB85" s="1624" t="str">
        <f>IFERROR(IF($A$14=$BO$1,$BO84,IF($A$14=$BP$1,$BP84,IF($A$14=$BQ$1,$BQ84,IF($A$14=$BR$1,$BR84,IF($A$14=$BS$1,$BS84,IF($A$14=$BT$1,$BT84,IF($A$14=$BU$1,$BU84,IF($A$14="",INDEX(Tiere!$BN$2:$BN$153,_xlfn.AGGREGATE(15,6,(ROW(Tiere!$BN$2:$BN$153)-1)/(--(SEARCH(BC$2,Tiere!$BN$2:$BN$153)&gt;0)),ROW()-2),1))))))))),"")</f>
        <v>Gänse</v>
      </c>
      <c r="BC85" s="1601"/>
      <c r="BD85" s="1624" t="str">
        <f>IFERROR(IF($A$15=$BO$1,$BO84,IF($A$15=$BP$1,$BP84,IF($A$15=$BQ$1,$BQ84,IF($A$15=$BR$1,$BR84,IF($A$15=$BS$1,$BS84,IF($A$15=$BT$1,$BT84,IF($A$15=$BU$1,$BU84,IF($A$15="",INDEX(Tiere!$BN$2:$BN$153,_xlfn.AGGREGATE(15,6,(ROW(Tiere!$BN$2:$BN$153)-1)/(--(SEARCH(BE$2,Tiere!$BN$2:$BN$153)&gt;0)),ROW()-2),1))))))))),"")</f>
        <v>Gänse</v>
      </c>
      <c r="BE85" s="1601"/>
      <c r="BF85" s="1624" t="str">
        <f>IFERROR(IF($A$16=$BO$1,$BO84,IF($A$16=$BP$1,$BP84,IF($A$16=$BQ$1,$BQ84,IF($A$16=$BR$1,$BR84,IF($A$16=$BS$1,$BS84,IF($A$16=$BT$1,$BT84,IF($A$16=$BU$1,$BU84,IF($A$16="",INDEX(Tiere!$BN$2:$BN$153,_xlfn.AGGREGATE(15,6,(ROW(Tiere!$BN$2:$BN$153)-1)/(--(SEARCH(BG$2,Tiere!$BN$2:$BN$153)&gt;0)),ROW()-2),1))))))))),"")</f>
        <v>Gänse</v>
      </c>
      <c r="BG85" s="1601"/>
      <c r="BH85" s="1624" t="str">
        <f>IFERROR(IF($A$17=$BO$1,$BO84,IF($A$17=$BP$1,$BP84,IF($A$17=$BQ$1,$BQ84,IF($A$17=$BR$1,$BR84,IF($A$17=$BS$1,$BS84,IF($A$17=$BT$1,$BT84,IF($A$17=$BU$1,$BU84,IF($A$17="",INDEX(Tiere!$BN$2:$BN$153,_xlfn.AGGREGATE(15,6,(ROW(Tiere!$BN$2:$BN$153)-1)/(--(SEARCH(BI$2,Tiere!$BN$2:$BN$153)&gt;0)),ROW()-2),1))))))))),"")</f>
        <v>Gänse</v>
      </c>
      <c r="BI85" s="1601"/>
      <c r="BJ85" s="1624" t="str">
        <f>IFERROR(IF($A$18=$BO$1,$BO84,IF($A$18=$BP$1,$BP84,IF($A$18=$BQ$1,$BQ84,IF($A$18=$BR$1,$BR84,IF($A$18=$BS$1,$BS84,IF($A$18=$BT$1,$BT84,IF($A$18=$BU$1,$BU84,IF($A$18="",INDEX(Tiere!$BN$2:$BN$153,_xlfn.AGGREGATE(15,6,(ROW(Tiere!$BN$2:$BN$153)-1)/(--(SEARCH(BK$2,Tiere!$BN$2:$BN$153)&gt;0)),ROW()-2),1))))))))),"")</f>
        <v>Gänse</v>
      </c>
      <c r="BK85" s="1601"/>
      <c r="BL85" s="1624" t="str">
        <f>IFERROR(IF($A$19=$BO$1,$BO84,IF($A$19=$BP$1,$BP84,IF($A$19=$BQ$1,$BQ84,IF($A$19=$BR$1,$BR84,IF($A$19=$BS$1,$BS84,IF($A$19=$BT$1,$BT84,IF($A$19=$BU$1,$BU84,IF($A$19="",INDEX(Tiere!$BN$2:$BN$153,_xlfn.AGGREGATE(15,6,(ROW(Tiere!$BN$2:$BN$153)-1)/(--(SEARCH(BM$2,Tiere!$BN$2:$BN$153)&gt;0)),ROW()-2),1))))))))),"")</f>
        <v>Gänse</v>
      </c>
      <c r="BM85" s="1601"/>
      <c r="BN85" s="1630" t="s">
        <v>762</v>
      </c>
      <c r="BO85" s="1599"/>
      <c r="BP85" s="1599"/>
      <c r="BQ85" s="1599"/>
      <c r="BR85" s="1599"/>
      <c r="BS85" s="1599"/>
      <c r="BT85" s="1599"/>
      <c r="BU85" s="1599"/>
      <c r="CD85" s="1911" t="s">
        <v>762</v>
      </c>
    </row>
    <row r="86" spans="36:82" ht="13.5" thickBot="1">
      <c r="AJ86" s="1624" t="str">
        <f>IFERROR(IF($A$5=$BO$1,$BO85,IF($A$5=$BP$1,$BP85,IF($A$5=$BQ$1,$BQ85,IF($A$5=$BR$1,$BR85,IF($A$5=$BS$1,$BS85,IF($A$5=$BT$1,$BT85,IF($A$5=$BU$1,$BU85,IF($A$5="",INDEX(Tiere!$BN$2:$BN$153,_xlfn.AGGREGATE(15,6,(ROW(Tiere!$BN$2:$BN$153)-1)/(--(SEARCH(AK$2,Tiere!$BN$2:$BN$153)&gt;0)),ROW()-2),1))))))))),"")</f>
        <v>Enten</v>
      </c>
      <c r="AK86" s="1599"/>
      <c r="AL86" s="1624" t="str">
        <f>IFERROR(IF($A$6=$BO$1,$BO85,IF($A$6=$BP$1,$BP85,IF($A$6=$BQ$1,$BQ85,IF($A$6=$BR$1,$BR85,IF($A$6=$BS$1,$BS85,IF($A$6=$BT$1,$BT85,IF($A$6=$BU$1,$BU85,IF($A$6="",INDEX(Tiere!$BN$2:$BN$153,_xlfn.AGGREGATE(15,6,(ROW(Tiere!$BN$2:$BN$153)-1)/(--(SEARCH(AM$2,Tiere!$BN$2:$BN$153)&gt;0)),ROW()-2),1))))))))),"")</f>
        <v>Enten</v>
      </c>
      <c r="AM86" s="1599"/>
      <c r="AN86" s="1624" t="str">
        <f>IFERROR(IF($A$7=$BO$1,$BO85,IF($A$7=$BP$1,$BP85,IF($A$7=$BQ$1,$BQ85,IF($A$7=$BR$1,$BR85,IF($A$7=$BS$1,$BS85,IF($A$7=$BT$1,$BT85,IF($A$7=$BU$1,$BU85,IF($A$7="",INDEX(Tiere!$BN$2:$BN$153,_xlfn.AGGREGATE(15,6,(ROW(Tiere!$BN$2:$BN$153)-1)/(--(SEARCH(AM$2,Tiere!$BN$2:$BN$153)&gt;0)),ROW()-2),1))))))))),"")</f>
        <v>Enten</v>
      </c>
      <c r="AO86" s="1599"/>
      <c r="AP86" s="1624" t="str">
        <f>IFERROR(IF($A$8=$BO$1,$BO85,IF($A$8=$BP$1,$BP85,IF($A$8=$BQ$1,$BQ85,IF($A$8=$BR$1,$BR85,IF($A$8=$BS$1,$BS85,IF($A$8=$BT$1,$BT85,IF($A$8=$BU$1,$BU85,IF($A$8="",INDEX(Tiere!$BN$2:$BN$153,_xlfn.AGGREGATE(15,6,(ROW(Tiere!$BN$2:$BN$153)-1)/(--(SEARCH(AQ$2,Tiere!$BN$2:$BN$153)&gt;0)),ROW()-2),1))))))))),"")</f>
        <v>Enten</v>
      </c>
      <c r="AQ86" s="1599"/>
      <c r="AR86" s="1624" t="str">
        <f>IFERROR(IF($A$9=$BO$1,$BO85,IF($A$9=$BP$1,$BP85,IF($A$9=$BQ$1,$BQ85,IF($A$9=$BR$1,$BR85,IF($A$9=$BS$1,$BS85,IF($A$9=$BT$1,$BT85,IF($A$9=$BU$1,$BU85,IF($A$9="",INDEX(Tiere!$BN$2:$BN$153,_xlfn.AGGREGATE(15,6,(ROW(Tiere!$BN$2:$BN$153)-1)/(--(SEARCH(AS$2,Tiere!$BN$2:$BN$153)&gt;0)),ROW()-2),1))))))))),"")</f>
        <v>Enten</v>
      </c>
      <c r="AS86" s="1599"/>
      <c r="AT86" s="1624" t="str">
        <f>IFERROR(IF($A$10=$BO$1,$BO85,IF($A$10=$BP$1,$BP85,IF($A$10=$BQ$1,$BQ85,IF($A$10=$BR$1,$BR85,IF($A$10=$BS$1,$BS85,IF($A$10=$BT$1,$BT85,IF($A$10=$BU$1,$BU85,IF($A$10="",INDEX(Tiere!$BN$2:$BN$153,_xlfn.AGGREGATE(15,6,(ROW(Tiere!$BN$2:$BN$153)-1)/(--(SEARCH(AU$2,Tiere!$BN$2:$BN$153)&gt;0)),ROW()-2),1))))))))),"")</f>
        <v>Enten</v>
      </c>
      <c r="AU86" s="1599"/>
      <c r="AV86" s="1624" t="str">
        <f>IFERROR(IF($A$11=$BO$1,$BO85,IF($A$11=$BP$1,$BP85,IF($A$11=$BQ$1,$BQ85,IF($A$11=$BR$1,$BR85,IF($A$11=$BS$1,$BS85,IF($A$11=$BT$1,$BT85,IF($A$11=$BU$1,$BU85,IF($A$11="",INDEX(Tiere!$BN$2:$BN$153,_xlfn.AGGREGATE(15,6,(ROW(Tiere!$BN$2:$BN$153)-1)/(--(SEARCH(AW$2,Tiere!$BN$2:$BN$153)&gt;0)),ROW()-2),1))))))))),"")</f>
        <v>Enten</v>
      </c>
      <c r="AW86" s="1599"/>
      <c r="AX86" s="1624" t="str">
        <f>IFERROR(IF($A$12=$BO$1,$BO85,IF($A$12=$BP$1,$BP85,IF($A$12=$BQ$1,$BQ85,IF($A$12=$BR$1,$BR85,IF($A$12=$BS$1,$BS85,IF($A$12=$BT$1,$BT85,IF($A$12=$BU$1,$BU85,IF($A$12="",INDEX(Tiere!$BN$2:$BN$153,_xlfn.AGGREGATE(15,6,(ROW(Tiere!$BN$2:$BN$153)-1)/(--(SEARCH(AY$2,Tiere!$BN$2:$BN$153)&gt;0)),ROW()-2),1))))))))),"")</f>
        <v>Enten</v>
      </c>
      <c r="AY86" s="1599"/>
      <c r="AZ86" s="1624" t="str">
        <f>IFERROR(IF($A$13=$BO$1,$BO85,IF($A$13=$BP$1,$BP85,IF($A$13=$BQ$1,$BQ85,IF($A$13=$BR$1,$BR85,IF($A$13=$BS$1,$BS85,IF($A$13=$BT$1,$BT85,IF($A$13=$BU$1,$BU85,IF($A$13="",INDEX(Tiere!$BN$2:$BN$153,_xlfn.AGGREGATE(15,6,(ROW(Tiere!$BN$2:$BN$153)-1)/(--(SEARCH(BA$2,Tiere!$BN$2:$BN$153)&gt;0)),ROW()-2),1))))))))),"")</f>
        <v>Enten</v>
      </c>
      <c r="BA86" s="1599"/>
      <c r="BB86" s="1624" t="str">
        <f>IFERROR(IF($A$14=$BO$1,$BO85,IF($A$14=$BP$1,$BP85,IF($A$14=$BQ$1,$BQ85,IF($A$14=$BR$1,$BR85,IF($A$14=$BS$1,$BS85,IF($A$14=$BT$1,$BT85,IF($A$14=$BU$1,$BU85,IF($A$14="",INDEX(Tiere!$BN$2:$BN$153,_xlfn.AGGREGATE(15,6,(ROW(Tiere!$BN$2:$BN$153)-1)/(--(SEARCH(BC$2,Tiere!$BN$2:$BN$153)&gt;0)),ROW()-2),1))))))))),"")</f>
        <v>Enten</v>
      </c>
      <c r="BC86" s="1599"/>
      <c r="BD86" s="1624" t="str">
        <f>IFERROR(IF($A$15=$BO$1,$BO85,IF($A$15=$BP$1,$BP85,IF($A$15=$BQ$1,$BQ85,IF($A$15=$BR$1,$BR85,IF($A$15=$BS$1,$BS85,IF($A$15=$BT$1,$BT85,IF($A$15=$BU$1,$BU85,IF($A$15="",INDEX(Tiere!$BN$2:$BN$153,_xlfn.AGGREGATE(15,6,(ROW(Tiere!$BN$2:$BN$153)-1)/(--(SEARCH(BE$2,Tiere!$BN$2:$BN$153)&gt;0)),ROW()-2),1))))))))),"")</f>
        <v>Enten</v>
      </c>
      <c r="BE86" s="1599"/>
      <c r="BF86" s="1624" t="str">
        <f>IFERROR(IF($A$16=$BO$1,$BO85,IF($A$16=$BP$1,$BP85,IF($A$16=$BQ$1,$BQ85,IF($A$16=$BR$1,$BR85,IF($A$16=$BS$1,$BS85,IF($A$16=$BT$1,$BT85,IF($A$16=$BU$1,$BU85,IF($A$16="",INDEX(Tiere!$BN$2:$BN$153,_xlfn.AGGREGATE(15,6,(ROW(Tiere!$BN$2:$BN$153)-1)/(--(SEARCH(BG$2,Tiere!$BN$2:$BN$153)&gt;0)),ROW()-2),1))))))))),"")</f>
        <v>Enten</v>
      </c>
      <c r="BG86" s="1599"/>
      <c r="BH86" s="1624" t="str">
        <f>IFERROR(IF($A$17=$BO$1,$BO85,IF($A$17=$BP$1,$BP85,IF($A$17=$BQ$1,$BQ85,IF($A$17=$BR$1,$BR85,IF($A$17=$BS$1,$BS85,IF($A$17=$BT$1,$BT85,IF($A$17=$BU$1,$BU85,IF($A$17="",INDEX(Tiere!$BN$2:$BN$153,_xlfn.AGGREGATE(15,6,(ROW(Tiere!$BN$2:$BN$153)-1)/(--(SEARCH(BI$2,Tiere!$BN$2:$BN$153)&gt;0)),ROW()-2),1))))))))),"")</f>
        <v>Enten</v>
      </c>
      <c r="BI86" s="1599"/>
      <c r="BJ86" s="1624" t="str">
        <f>IFERROR(IF($A$18=$BO$1,$BO85,IF($A$18=$BP$1,$BP85,IF($A$18=$BQ$1,$BQ85,IF($A$18=$BR$1,$BR85,IF($A$18=$BS$1,$BS85,IF($A$18=$BT$1,$BT85,IF($A$18=$BU$1,$BU85,IF($A$18="",INDEX(Tiere!$BN$2:$BN$153,_xlfn.AGGREGATE(15,6,(ROW(Tiere!$BN$2:$BN$153)-1)/(--(SEARCH(BK$2,Tiere!$BN$2:$BN$153)&gt;0)),ROW()-2),1))))))))),"")</f>
        <v>Enten</v>
      </c>
      <c r="BK86" s="1599"/>
      <c r="BL86" s="1624" t="str">
        <f>IFERROR(IF($A$19=$BO$1,$BO85,IF($A$19=$BP$1,$BP85,IF($A$19=$BQ$1,$BQ85,IF($A$19=$BR$1,$BR85,IF($A$19=$BS$1,$BS85,IF($A$19=$BT$1,$BT85,IF($A$19=$BU$1,$BU85,IF($A$19="",INDEX(Tiere!$BN$2:$BN$153,_xlfn.AGGREGATE(15,6,(ROW(Tiere!$BN$2:$BN$153)-1)/(--(SEARCH(BM$2,Tiere!$BN$2:$BN$153)&gt;0)),ROW()-2),1))))))))),"")</f>
        <v>Enten</v>
      </c>
      <c r="BM86" s="1599"/>
      <c r="BN86" s="1630" t="s">
        <v>763</v>
      </c>
      <c r="BO86" s="1599"/>
      <c r="BP86" s="1599"/>
      <c r="BQ86" s="1599"/>
      <c r="BR86" s="1599"/>
      <c r="BS86" s="1599"/>
      <c r="BT86" s="1599"/>
      <c r="BU86" s="1599"/>
      <c r="CD86" s="1911" t="s">
        <v>763</v>
      </c>
    </row>
    <row r="87" spans="36:82" ht="14.25" thickTop="1" thickBot="1">
      <c r="AJ87" s="1624" t="str">
        <f>IFERROR(IF($A$5=$BO$1,$BO86,IF($A$5=$BP$1,$BP86,IF($A$5=$BQ$1,$BQ86,IF($A$5=$BR$1,$BR86,IF($A$5=$BS$1,$BS86,IF($A$5=$BT$1,$BT86,IF($A$5=$BU$1,$BU86,IF($A$5="",INDEX(Tiere!$BN$2:$BN$153,_xlfn.AGGREGATE(15,6,(ROW(Tiere!$BN$2:$BN$153)-1)/(--(SEARCH(AK$2,Tiere!$BN$2:$BN$153)&gt;0)),ROW()-2),1))))))))),"")</f>
        <v xml:space="preserve">Truthühner (Puten) </v>
      </c>
      <c r="AK87" s="1601"/>
      <c r="AL87" s="1624" t="str">
        <f>IFERROR(IF($A$6=$BO$1,$BO86,IF($A$6=$BP$1,$BP86,IF($A$6=$BQ$1,$BQ86,IF($A$6=$BR$1,$BR86,IF($A$6=$BS$1,$BS86,IF($A$6=$BT$1,$BT86,IF($A$6=$BU$1,$BU86,IF($A$6="",INDEX(Tiere!$BN$2:$BN$153,_xlfn.AGGREGATE(15,6,(ROW(Tiere!$BN$2:$BN$153)-1)/(--(SEARCH(AM$2,Tiere!$BN$2:$BN$153)&gt;0)),ROW()-2),1))))))))),"")</f>
        <v xml:space="preserve">Truthühner (Puten) </v>
      </c>
      <c r="AM87" s="1601"/>
      <c r="AN87" s="1624" t="str">
        <f>IFERROR(IF($A$7=$BO$1,$BO86,IF($A$7=$BP$1,$BP86,IF($A$7=$BQ$1,$BQ86,IF($A$7=$BR$1,$BR86,IF($A$7=$BS$1,$BS86,IF($A$7=$BT$1,$BT86,IF($A$7=$BU$1,$BU86,IF($A$7="",INDEX(Tiere!$BN$2:$BN$153,_xlfn.AGGREGATE(15,6,(ROW(Tiere!$BN$2:$BN$153)-1)/(--(SEARCH(AM$2,Tiere!$BN$2:$BN$153)&gt;0)),ROW()-2),1))))))))),"")</f>
        <v xml:space="preserve">Truthühner (Puten) </v>
      </c>
      <c r="AO87" s="1601"/>
      <c r="AP87" s="1624" t="str">
        <f>IFERROR(IF($A$8=$BO$1,$BO86,IF($A$8=$BP$1,$BP86,IF($A$8=$BQ$1,$BQ86,IF($A$8=$BR$1,$BR86,IF($A$8=$BS$1,$BS86,IF($A$8=$BT$1,$BT86,IF($A$8=$BU$1,$BU86,IF($A$8="",INDEX(Tiere!$BN$2:$BN$153,_xlfn.AGGREGATE(15,6,(ROW(Tiere!$BN$2:$BN$153)-1)/(--(SEARCH(AQ$2,Tiere!$BN$2:$BN$153)&gt;0)),ROW()-2),1))))))))),"")</f>
        <v xml:space="preserve">Truthühner (Puten) </v>
      </c>
      <c r="AQ87" s="1601"/>
      <c r="AR87" s="1624" t="str">
        <f>IFERROR(IF($A$9=$BO$1,$BO86,IF($A$9=$BP$1,$BP86,IF($A$9=$BQ$1,$BQ86,IF($A$9=$BR$1,$BR86,IF($A$9=$BS$1,$BS86,IF($A$9=$BT$1,$BT86,IF($A$9=$BU$1,$BU86,IF($A$9="",INDEX(Tiere!$BN$2:$BN$153,_xlfn.AGGREGATE(15,6,(ROW(Tiere!$BN$2:$BN$153)-1)/(--(SEARCH(AS$2,Tiere!$BN$2:$BN$153)&gt;0)),ROW()-2),1))))))))),"")</f>
        <v xml:space="preserve">Truthühner (Puten) </v>
      </c>
      <c r="AS87" s="1601"/>
      <c r="AT87" s="1624" t="str">
        <f>IFERROR(IF($A$10=$BO$1,$BO86,IF($A$10=$BP$1,$BP86,IF($A$10=$BQ$1,$BQ86,IF($A$10=$BR$1,$BR86,IF($A$10=$BS$1,$BS86,IF($A$10=$BT$1,$BT86,IF($A$10=$BU$1,$BU86,IF($A$10="",INDEX(Tiere!$BN$2:$BN$153,_xlfn.AGGREGATE(15,6,(ROW(Tiere!$BN$2:$BN$153)-1)/(--(SEARCH(AU$2,Tiere!$BN$2:$BN$153)&gt;0)),ROW()-2),1))))))))),"")</f>
        <v xml:space="preserve">Truthühner (Puten) </v>
      </c>
      <c r="AU87" s="1601"/>
      <c r="AV87" s="1624" t="str">
        <f>IFERROR(IF($A$11=$BO$1,$BO86,IF($A$11=$BP$1,$BP86,IF($A$11=$BQ$1,$BQ86,IF($A$11=$BR$1,$BR86,IF($A$11=$BS$1,$BS86,IF($A$11=$BT$1,$BT86,IF($A$11=$BU$1,$BU86,IF($A$11="",INDEX(Tiere!$BN$2:$BN$153,_xlfn.AGGREGATE(15,6,(ROW(Tiere!$BN$2:$BN$153)-1)/(--(SEARCH(AW$2,Tiere!$BN$2:$BN$153)&gt;0)),ROW()-2),1))))))))),"")</f>
        <v xml:space="preserve">Truthühner (Puten) </v>
      </c>
      <c r="AW87" s="1601"/>
      <c r="AX87" s="1624" t="str">
        <f>IFERROR(IF($A$12=$BO$1,$BO86,IF($A$12=$BP$1,$BP86,IF($A$12=$BQ$1,$BQ86,IF($A$12=$BR$1,$BR86,IF($A$12=$BS$1,$BS86,IF($A$12=$BT$1,$BT86,IF($A$12=$BU$1,$BU86,IF($A$12="",INDEX(Tiere!$BN$2:$BN$153,_xlfn.AGGREGATE(15,6,(ROW(Tiere!$BN$2:$BN$153)-1)/(--(SEARCH(AY$2,Tiere!$BN$2:$BN$153)&gt;0)),ROW()-2),1))))))))),"")</f>
        <v xml:space="preserve">Truthühner (Puten) </v>
      </c>
      <c r="AY87" s="1601"/>
      <c r="AZ87" s="1624" t="str">
        <f>IFERROR(IF($A$13=$BO$1,$BO86,IF($A$13=$BP$1,$BP86,IF($A$13=$BQ$1,$BQ86,IF($A$13=$BR$1,$BR86,IF($A$13=$BS$1,$BS86,IF($A$13=$BT$1,$BT86,IF($A$13=$BU$1,$BU86,IF($A$13="",INDEX(Tiere!$BN$2:$BN$153,_xlfn.AGGREGATE(15,6,(ROW(Tiere!$BN$2:$BN$153)-1)/(--(SEARCH(BA$2,Tiere!$BN$2:$BN$153)&gt;0)),ROW()-2),1))))))))),"")</f>
        <v xml:space="preserve">Truthühner (Puten) </v>
      </c>
      <c r="BA87" s="1601"/>
      <c r="BB87" s="1624" t="str">
        <f>IFERROR(IF($A$14=$BO$1,$BO86,IF($A$14=$BP$1,$BP86,IF($A$14=$BQ$1,$BQ86,IF($A$14=$BR$1,$BR86,IF($A$14=$BS$1,$BS86,IF($A$14=$BT$1,$BT86,IF($A$14=$BU$1,$BU86,IF($A$14="",INDEX(Tiere!$BN$2:$BN$153,_xlfn.AGGREGATE(15,6,(ROW(Tiere!$BN$2:$BN$153)-1)/(--(SEARCH(BC$2,Tiere!$BN$2:$BN$153)&gt;0)),ROW()-2),1))))))))),"")</f>
        <v xml:space="preserve">Truthühner (Puten) </v>
      </c>
      <c r="BC87" s="1601"/>
      <c r="BD87" s="1624" t="str">
        <f>IFERROR(IF($A$15=$BO$1,$BO86,IF($A$15=$BP$1,$BP86,IF($A$15=$BQ$1,$BQ86,IF($A$15=$BR$1,$BR86,IF($A$15=$BS$1,$BS86,IF($A$15=$BT$1,$BT86,IF($A$15=$BU$1,$BU86,IF($A$15="",INDEX(Tiere!$BN$2:$BN$153,_xlfn.AGGREGATE(15,6,(ROW(Tiere!$BN$2:$BN$153)-1)/(--(SEARCH(BE$2,Tiere!$BN$2:$BN$153)&gt;0)),ROW()-2),1))))))))),"")</f>
        <v xml:space="preserve">Truthühner (Puten) </v>
      </c>
      <c r="BE87" s="1601"/>
      <c r="BF87" s="1624" t="str">
        <f>IFERROR(IF($A$16=$BO$1,$BO86,IF($A$16=$BP$1,$BP86,IF($A$16=$BQ$1,$BQ86,IF($A$16=$BR$1,$BR86,IF($A$16=$BS$1,$BS86,IF($A$16=$BT$1,$BT86,IF($A$16=$BU$1,$BU86,IF($A$16="",INDEX(Tiere!$BN$2:$BN$153,_xlfn.AGGREGATE(15,6,(ROW(Tiere!$BN$2:$BN$153)-1)/(--(SEARCH(BG$2,Tiere!$BN$2:$BN$153)&gt;0)),ROW()-2),1))))))))),"")</f>
        <v xml:space="preserve">Truthühner (Puten) </v>
      </c>
      <c r="BG87" s="1601"/>
      <c r="BH87" s="1624" t="str">
        <f>IFERROR(IF($A$17=$BO$1,$BO86,IF($A$17=$BP$1,$BP86,IF($A$17=$BQ$1,$BQ86,IF($A$17=$BR$1,$BR86,IF($A$17=$BS$1,$BS86,IF($A$17=$BT$1,$BT86,IF($A$17=$BU$1,$BU86,IF($A$17="",INDEX(Tiere!$BN$2:$BN$153,_xlfn.AGGREGATE(15,6,(ROW(Tiere!$BN$2:$BN$153)-1)/(--(SEARCH(BI$2,Tiere!$BN$2:$BN$153)&gt;0)),ROW()-2),1))))))))),"")</f>
        <v xml:space="preserve">Truthühner (Puten) </v>
      </c>
      <c r="BI87" s="1601"/>
      <c r="BJ87" s="1624" t="str">
        <f>IFERROR(IF($A$18=$BO$1,$BO86,IF($A$18=$BP$1,$BP86,IF($A$18=$BQ$1,$BQ86,IF($A$18=$BR$1,$BR86,IF($A$18=$BS$1,$BS86,IF($A$18=$BT$1,$BT86,IF($A$18=$BU$1,$BU86,IF($A$18="",INDEX(Tiere!$BN$2:$BN$153,_xlfn.AGGREGATE(15,6,(ROW(Tiere!$BN$2:$BN$153)-1)/(--(SEARCH(BK$2,Tiere!$BN$2:$BN$153)&gt;0)),ROW()-2),1))))))))),"")</f>
        <v xml:space="preserve">Truthühner (Puten) </v>
      </c>
      <c r="BK87" s="1601"/>
      <c r="BL87" s="1624" t="str">
        <f>IFERROR(IF($A$19=$BO$1,$BO86,IF($A$19=$BP$1,$BP86,IF($A$19=$BQ$1,$BQ86,IF($A$19=$BR$1,$BR86,IF($A$19=$BS$1,$BS86,IF($A$19=$BT$1,$BT86,IF($A$19=$BU$1,$BU86,IF($A$19="",INDEX(Tiere!$BN$2:$BN$153,_xlfn.AGGREGATE(15,6,(ROW(Tiere!$BN$2:$BN$153)-1)/(--(SEARCH(BM$2,Tiere!$BN$2:$BN$153)&gt;0)),ROW()-2),1))))))))),"")</f>
        <v xml:space="preserve">Truthühner (Puten) </v>
      </c>
      <c r="BM87" s="1601"/>
      <c r="BN87" s="1630" t="s">
        <v>765</v>
      </c>
      <c r="BO87" s="1599"/>
      <c r="BP87" s="1599"/>
      <c r="BQ87" s="1599"/>
      <c r="BR87" s="1599"/>
      <c r="BS87" s="1599"/>
      <c r="BT87" s="1599"/>
      <c r="BU87" s="1623"/>
      <c r="CD87" s="1911" t="s">
        <v>765</v>
      </c>
    </row>
    <row r="88" spans="36:82" ht="13.5" thickBot="1">
      <c r="AJ88" s="1624" t="str">
        <f>IFERROR(IF($A$5=$BO$1,$BO87,IF($A$5=$BP$1,$BP87,IF($A$5=$BQ$1,$BQ87,IF($A$5=$BR$1,$BR87,IF($A$5=$BS$1,$BS87,IF($A$5=$BT$1,$BT87,IF($A$5=$BU$1,$BU87,IF($A$5="",INDEX(Tiere!$BN$2:$BN$153,_xlfn.AGGREGATE(15,6,(ROW(Tiere!$BN$2:$BN$153)-1)/(--(SEARCH(AK$2,Tiere!$BN$2:$BN$153)&gt;0)),ROW()-2),1))))))))),"")</f>
        <v>Kleinpferde (&lt;300 kg, bis 148 cm) 1/2 bis 3 Jahre</v>
      </c>
      <c r="AK88" s="1599"/>
      <c r="AL88" s="1624" t="str">
        <f>IFERROR(IF($A$6=$BO$1,$BO87,IF($A$6=$BP$1,$BP87,IF($A$6=$BQ$1,$BQ87,IF($A$6=$BR$1,$BR87,IF($A$6=$BS$1,$BS87,IF($A$6=$BT$1,$BT87,IF($A$6=$BU$1,$BU87,IF($A$6="",INDEX(Tiere!$BN$2:$BN$153,_xlfn.AGGREGATE(15,6,(ROW(Tiere!$BN$2:$BN$153)-1)/(--(SEARCH(AM$2,Tiere!$BN$2:$BN$153)&gt;0)),ROW()-2),1))))))))),"")</f>
        <v>Kleinpferde (&lt;300 kg, bis 148 cm) 1/2 bis 3 Jahre</v>
      </c>
      <c r="AM88" s="1599"/>
      <c r="AN88" s="1624" t="str">
        <f>IFERROR(IF($A$7=$BO$1,$BO87,IF($A$7=$BP$1,$BP87,IF($A$7=$BQ$1,$BQ87,IF($A$7=$BR$1,$BR87,IF($A$7=$BS$1,$BS87,IF($A$7=$BT$1,$BT87,IF($A$7=$BU$1,$BU87,IF($A$7="",INDEX(Tiere!$BN$2:$BN$153,_xlfn.AGGREGATE(15,6,(ROW(Tiere!$BN$2:$BN$153)-1)/(--(SEARCH(AM$2,Tiere!$BN$2:$BN$153)&gt;0)),ROW()-2),1))))))))),"")</f>
        <v>Kleinpferde (&lt;300 kg, bis 148 cm) 1/2 bis 3 Jahre</v>
      </c>
      <c r="AO88" s="1599"/>
      <c r="AP88" s="1624" t="str">
        <f>IFERROR(IF($A$8=$BO$1,$BO87,IF($A$8=$BP$1,$BP87,IF($A$8=$BQ$1,$BQ87,IF($A$8=$BR$1,$BR87,IF($A$8=$BS$1,$BS87,IF($A$8=$BT$1,$BT87,IF($A$8=$BU$1,$BU87,IF($A$8="",INDEX(Tiere!$BN$2:$BN$153,_xlfn.AGGREGATE(15,6,(ROW(Tiere!$BN$2:$BN$153)-1)/(--(SEARCH(AQ$2,Tiere!$BN$2:$BN$153)&gt;0)),ROW()-2),1))))))))),"")</f>
        <v>Kleinpferde (&lt;300 kg, bis 148 cm) 1/2 bis 3 Jahre</v>
      </c>
      <c r="AQ88" s="1599"/>
      <c r="AR88" s="1624" t="str">
        <f>IFERROR(IF($A$9=$BO$1,$BO87,IF($A$9=$BP$1,$BP87,IF($A$9=$BQ$1,$BQ87,IF($A$9=$BR$1,$BR87,IF($A$9=$BS$1,$BS87,IF($A$9=$BT$1,$BT87,IF($A$9=$BU$1,$BU87,IF($A$9="",INDEX(Tiere!$BN$2:$BN$153,_xlfn.AGGREGATE(15,6,(ROW(Tiere!$BN$2:$BN$153)-1)/(--(SEARCH(AS$2,Tiere!$BN$2:$BN$153)&gt;0)),ROW()-2),1))))))))),"")</f>
        <v>Kleinpferde (&lt;300 kg, bis 148 cm) 1/2 bis 3 Jahre</v>
      </c>
      <c r="AS88" s="1599"/>
      <c r="AT88" s="1624" t="str">
        <f>IFERROR(IF($A$10=$BO$1,$BO87,IF($A$10=$BP$1,$BP87,IF($A$10=$BQ$1,$BQ87,IF($A$10=$BR$1,$BR87,IF($A$10=$BS$1,$BS87,IF($A$10=$BT$1,$BT87,IF($A$10=$BU$1,$BU87,IF($A$10="",INDEX(Tiere!$BN$2:$BN$153,_xlfn.AGGREGATE(15,6,(ROW(Tiere!$BN$2:$BN$153)-1)/(--(SEARCH(AU$2,Tiere!$BN$2:$BN$153)&gt;0)),ROW()-2),1))))))))),"")</f>
        <v>Kleinpferde (&lt;300 kg, bis 148 cm) 1/2 bis 3 Jahre</v>
      </c>
      <c r="AU88" s="1599"/>
      <c r="AV88" s="1624" t="str">
        <f>IFERROR(IF($A$11=$BO$1,$BO87,IF($A$11=$BP$1,$BP87,IF($A$11=$BQ$1,$BQ87,IF($A$11=$BR$1,$BR87,IF($A$11=$BS$1,$BS87,IF($A$11=$BT$1,$BT87,IF($A$11=$BU$1,$BU87,IF($A$11="",INDEX(Tiere!$BN$2:$BN$153,_xlfn.AGGREGATE(15,6,(ROW(Tiere!$BN$2:$BN$153)-1)/(--(SEARCH(AW$2,Tiere!$BN$2:$BN$153)&gt;0)),ROW()-2),1))))))))),"")</f>
        <v>Kleinpferde (&lt;300 kg, bis 148 cm) 1/2 bis 3 Jahre</v>
      </c>
      <c r="AW88" s="1599"/>
      <c r="AX88" s="1624" t="str">
        <f>IFERROR(IF($A$12=$BO$1,$BO87,IF($A$12=$BP$1,$BP87,IF($A$12=$BQ$1,$BQ87,IF($A$12=$BR$1,$BR87,IF($A$12=$BS$1,$BS87,IF($A$12=$BT$1,$BT87,IF($A$12=$BU$1,$BU87,IF($A$12="",INDEX(Tiere!$BN$2:$BN$153,_xlfn.AGGREGATE(15,6,(ROW(Tiere!$BN$2:$BN$153)-1)/(--(SEARCH(AY$2,Tiere!$BN$2:$BN$153)&gt;0)),ROW()-2),1))))))))),"")</f>
        <v>Kleinpferde (&lt;300 kg, bis 148 cm) 1/2 bis 3 Jahre</v>
      </c>
      <c r="AY88" s="1599"/>
      <c r="AZ88" s="1624" t="str">
        <f>IFERROR(IF($A$13=$BO$1,$BO87,IF($A$13=$BP$1,$BP87,IF($A$13=$BQ$1,$BQ87,IF($A$13=$BR$1,$BR87,IF($A$13=$BS$1,$BS87,IF($A$13=$BT$1,$BT87,IF($A$13=$BU$1,$BU87,IF($A$13="",INDEX(Tiere!$BN$2:$BN$153,_xlfn.AGGREGATE(15,6,(ROW(Tiere!$BN$2:$BN$153)-1)/(--(SEARCH(BA$2,Tiere!$BN$2:$BN$153)&gt;0)),ROW()-2),1))))))))),"")</f>
        <v>Kleinpferde (&lt;300 kg, bis 148 cm) 1/2 bis 3 Jahre</v>
      </c>
      <c r="BA88" s="1599"/>
      <c r="BB88" s="1624" t="str">
        <f>IFERROR(IF($A$14=$BO$1,$BO87,IF($A$14=$BP$1,$BP87,IF($A$14=$BQ$1,$BQ87,IF($A$14=$BR$1,$BR87,IF($A$14=$BS$1,$BS87,IF($A$14=$BT$1,$BT87,IF($A$14=$BU$1,$BU87,IF($A$14="",INDEX(Tiere!$BN$2:$BN$153,_xlfn.AGGREGATE(15,6,(ROW(Tiere!$BN$2:$BN$153)-1)/(--(SEARCH(BC$2,Tiere!$BN$2:$BN$153)&gt;0)),ROW()-2),1))))))))),"")</f>
        <v>Kleinpferde (&lt;300 kg, bis 148 cm) 1/2 bis 3 Jahre</v>
      </c>
      <c r="BC88" s="1599"/>
      <c r="BD88" s="1624" t="str">
        <f>IFERROR(IF($A$15=$BO$1,$BO87,IF($A$15=$BP$1,$BP87,IF($A$15=$BQ$1,$BQ87,IF($A$15=$BR$1,$BR87,IF($A$15=$BS$1,$BS87,IF($A$15=$BT$1,$BT87,IF($A$15=$BU$1,$BU87,IF($A$15="",INDEX(Tiere!$BN$2:$BN$153,_xlfn.AGGREGATE(15,6,(ROW(Tiere!$BN$2:$BN$153)-1)/(--(SEARCH(BE$2,Tiere!$BN$2:$BN$153)&gt;0)),ROW()-2),1))))))))),"")</f>
        <v>Kleinpferde (&lt;300 kg, bis 148 cm) 1/2 bis 3 Jahre</v>
      </c>
      <c r="BE88" s="1599"/>
      <c r="BF88" s="1624" t="str">
        <f>IFERROR(IF($A$16=$BO$1,$BO87,IF($A$16=$BP$1,$BP87,IF($A$16=$BQ$1,$BQ87,IF($A$16=$BR$1,$BR87,IF($A$16=$BS$1,$BS87,IF($A$16=$BT$1,$BT87,IF($A$16=$BU$1,$BU87,IF($A$16="",INDEX(Tiere!$BN$2:$BN$153,_xlfn.AGGREGATE(15,6,(ROW(Tiere!$BN$2:$BN$153)-1)/(--(SEARCH(BG$2,Tiere!$BN$2:$BN$153)&gt;0)),ROW()-2),1))))))))),"")</f>
        <v>Kleinpferde (&lt;300 kg, bis 148 cm) 1/2 bis 3 Jahre</v>
      </c>
      <c r="BG88" s="1599"/>
      <c r="BH88" s="1624" t="str">
        <f>IFERROR(IF($A$17=$BO$1,$BO87,IF($A$17=$BP$1,$BP87,IF($A$17=$BQ$1,$BQ87,IF($A$17=$BR$1,$BR87,IF($A$17=$BS$1,$BS87,IF($A$17=$BT$1,$BT87,IF($A$17=$BU$1,$BU87,IF($A$17="",INDEX(Tiere!$BN$2:$BN$153,_xlfn.AGGREGATE(15,6,(ROW(Tiere!$BN$2:$BN$153)-1)/(--(SEARCH(BI$2,Tiere!$BN$2:$BN$153)&gt;0)),ROW()-2),1))))))))),"")</f>
        <v>Kleinpferde (&lt;300 kg, bis 148 cm) 1/2 bis 3 Jahre</v>
      </c>
      <c r="BI88" s="1599"/>
      <c r="BJ88" s="1624" t="str">
        <f>IFERROR(IF($A$18=$BO$1,$BO87,IF($A$18=$BP$1,$BP87,IF($A$18=$BQ$1,$BQ87,IF($A$18=$BR$1,$BR87,IF($A$18=$BS$1,$BS87,IF($A$18=$BT$1,$BT87,IF($A$18=$BU$1,$BU87,IF($A$18="",INDEX(Tiere!$BN$2:$BN$153,_xlfn.AGGREGATE(15,6,(ROW(Tiere!$BN$2:$BN$153)-1)/(--(SEARCH(BK$2,Tiere!$BN$2:$BN$153)&gt;0)),ROW()-2),1))))))))),"")</f>
        <v>Kleinpferde (&lt;300 kg, bis 148 cm) 1/2 bis 3 Jahre</v>
      </c>
      <c r="BK88" s="1599"/>
      <c r="BL88" s="1624" t="str">
        <f>IFERROR(IF($A$19=$BO$1,$BO87,IF($A$19=$BP$1,$BP87,IF($A$19=$BQ$1,$BQ87,IF($A$19=$BR$1,$BR87,IF($A$19=$BS$1,$BS87,IF($A$19=$BT$1,$BT87,IF($A$19=$BU$1,$BU87,IF($A$19="",INDEX(Tiere!$BN$2:$BN$153,_xlfn.AGGREGATE(15,6,(ROW(Tiere!$BN$2:$BN$153)-1)/(--(SEARCH(BM$2,Tiere!$BN$2:$BN$153)&gt;0)),ROW()-2),1))))))))),"")</f>
        <v>Kleinpferde (&lt;300 kg, bis 148 cm) 1/2 bis 3 Jahre</v>
      </c>
      <c r="BM88" s="1599"/>
      <c r="BN88" s="1630" t="s">
        <v>767</v>
      </c>
      <c r="BO88" s="1599"/>
      <c r="BP88" s="1599"/>
      <c r="BQ88" s="1599"/>
      <c r="BR88" s="1599"/>
      <c r="BS88" s="1599"/>
      <c r="BT88" s="1599"/>
      <c r="BU88" s="1599"/>
      <c r="CD88" s="1911" t="s">
        <v>767</v>
      </c>
    </row>
    <row r="89" spans="36:82" ht="13.5" thickBot="1">
      <c r="AJ89" s="1624" t="str">
        <f>IFERROR(IF($A$5=$BO$1,$BO88,IF($A$5=$BP$1,$BP88,IF($A$5=$BQ$1,$BQ88,IF($A$5=$BR$1,$BR88,IF($A$5=$BS$1,$BS88,IF($A$5=$BT$1,$BT88,IF($A$5=$BU$1,$BU88,IF($A$5="",INDEX(Tiere!$BN$2:$BN$153,_xlfn.AGGREGATE(15,6,(ROW(Tiere!$BN$2:$BN$153)-1)/(--(SEARCH(AK$2,Tiere!$BN$2:$BN$153)&gt;0)),ROW()-2),1))))))))),"")</f>
        <v>Kleinpferde (&lt;300 kg) &gt; 3 Jahre incl. Fohlen bis 1/2 Jahr</v>
      </c>
      <c r="AK89" s="1601"/>
      <c r="AL89" s="1624" t="str">
        <f>IFERROR(IF($A$6=$BO$1,$BO88,IF($A$6=$BP$1,$BP88,IF($A$6=$BQ$1,$BQ88,IF($A$6=$BR$1,$BR88,IF($A$6=$BS$1,$BS88,IF($A$6=$BT$1,$BT88,IF($A$6=$BU$1,$BU88,IF($A$6="",INDEX(Tiere!$BN$2:$BN$153,_xlfn.AGGREGATE(15,6,(ROW(Tiere!$BN$2:$BN$153)-1)/(--(SEARCH(AM$2,Tiere!$BN$2:$BN$153)&gt;0)),ROW()-2),1))))))))),"")</f>
        <v>Kleinpferde (&lt;300 kg) &gt; 3 Jahre incl. Fohlen bis 1/2 Jahr</v>
      </c>
      <c r="AM89" s="1601"/>
      <c r="AN89" s="1624" t="str">
        <f>IFERROR(IF($A$7=$BO$1,$BO88,IF($A$7=$BP$1,$BP88,IF($A$7=$BQ$1,$BQ88,IF($A$7=$BR$1,$BR88,IF($A$7=$BS$1,$BS88,IF($A$7=$BT$1,$BT88,IF($A$7=$BU$1,$BU88,IF($A$7="",INDEX(Tiere!$BN$2:$BN$153,_xlfn.AGGREGATE(15,6,(ROW(Tiere!$BN$2:$BN$153)-1)/(--(SEARCH(AM$2,Tiere!$BN$2:$BN$153)&gt;0)),ROW()-2),1))))))))),"")</f>
        <v>Kleinpferde (&lt;300 kg) &gt; 3 Jahre incl. Fohlen bis 1/2 Jahr</v>
      </c>
      <c r="AO89" s="1601"/>
      <c r="AP89" s="1624" t="str">
        <f>IFERROR(IF($A$8=$BO$1,$BO88,IF($A$8=$BP$1,$BP88,IF($A$8=$BQ$1,$BQ88,IF($A$8=$BR$1,$BR88,IF($A$8=$BS$1,$BS88,IF($A$8=$BT$1,$BT88,IF($A$8=$BU$1,$BU88,IF($A$8="",INDEX(Tiere!$BN$2:$BN$153,_xlfn.AGGREGATE(15,6,(ROW(Tiere!$BN$2:$BN$153)-1)/(--(SEARCH(AQ$2,Tiere!$BN$2:$BN$153)&gt;0)),ROW()-2),1))))))))),"")</f>
        <v>Kleinpferde (&lt;300 kg) &gt; 3 Jahre incl. Fohlen bis 1/2 Jahr</v>
      </c>
      <c r="AQ89" s="1601"/>
      <c r="AR89" s="1624" t="str">
        <f>IFERROR(IF($A$9=$BO$1,$BO88,IF($A$9=$BP$1,$BP88,IF($A$9=$BQ$1,$BQ88,IF($A$9=$BR$1,$BR88,IF($A$9=$BS$1,$BS88,IF($A$9=$BT$1,$BT88,IF($A$9=$BU$1,$BU88,IF($A$9="",INDEX(Tiere!$BN$2:$BN$153,_xlfn.AGGREGATE(15,6,(ROW(Tiere!$BN$2:$BN$153)-1)/(--(SEARCH(AS$2,Tiere!$BN$2:$BN$153)&gt;0)),ROW()-2),1))))))))),"")</f>
        <v>Kleinpferde (&lt;300 kg) &gt; 3 Jahre incl. Fohlen bis 1/2 Jahr</v>
      </c>
      <c r="AS89" s="1601"/>
      <c r="AT89" s="1624" t="str">
        <f>IFERROR(IF($A$10=$BO$1,$BO88,IF($A$10=$BP$1,$BP88,IF($A$10=$BQ$1,$BQ88,IF($A$10=$BR$1,$BR88,IF($A$10=$BS$1,$BS88,IF($A$10=$BT$1,$BT88,IF($A$10=$BU$1,$BU88,IF($A$10="",INDEX(Tiere!$BN$2:$BN$153,_xlfn.AGGREGATE(15,6,(ROW(Tiere!$BN$2:$BN$153)-1)/(--(SEARCH(AU$2,Tiere!$BN$2:$BN$153)&gt;0)),ROW()-2),1))))))))),"")</f>
        <v>Kleinpferde (&lt;300 kg) &gt; 3 Jahre incl. Fohlen bis 1/2 Jahr</v>
      </c>
      <c r="AU89" s="1601"/>
      <c r="AV89" s="1624" t="str">
        <f>IFERROR(IF($A$11=$BO$1,$BO88,IF($A$11=$BP$1,$BP88,IF($A$11=$BQ$1,$BQ88,IF($A$11=$BR$1,$BR88,IF($A$11=$BS$1,$BS88,IF($A$11=$BT$1,$BT88,IF($A$11=$BU$1,$BU88,IF($A$11="",INDEX(Tiere!$BN$2:$BN$153,_xlfn.AGGREGATE(15,6,(ROW(Tiere!$BN$2:$BN$153)-1)/(--(SEARCH(AW$2,Tiere!$BN$2:$BN$153)&gt;0)),ROW()-2),1))))))))),"")</f>
        <v>Kleinpferde (&lt;300 kg) &gt; 3 Jahre incl. Fohlen bis 1/2 Jahr</v>
      </c>
      <c r="AW89" s="1601"/>
      <c r="AX89" s="1624" t="str">
        <f>IFERROR(IF($A$12=$BO$1,$BO88,IF($A$12=$BP$1,$BP88,IF($A$12=$BQ$1,$BQ88,IF($A$12=$BR$1,$BR88,IF($A$12=$BS$1,$BS88,IF($A$12=$BT$1,$BT88,IF($A$12=$BU$1,$BU88,IF($A$12="",INDEX(Tiere!$BN$2:$BN$153,_xlfn.AGGREGATE(15,6,(ROW(Tiere!$BN$2:$BN$153)-1)/(--(SEARCH(AY$2,Tiere!$BN$2:$BN$153)&gt;0)),ROW()-2),1))))))))),"")</f>
        <v>Kleinpferde (&lt;300 kg) &gt; 3 Jahre incl. Fohlen bis 1/2 Jahr</v>
      </c>
      <c r="AY89" s="1601"/>
      <c r="AZ89" s="1624" t="str">
        <f>IFERROR(IF($A$13=$BO$1,$BO88,IF($A$13=$BP$1,$BP88,IF($A$13=$BQ$1,$BQ88,IF($A$13=$BR$1,$BR88,IF($A$13=$BS$1,$BS88,IF($A$13=$BT$1,$BT88,IF($A$13=$BU$1,$BU88,IF($A$13="",INDEX(Tiere!$BN$2:$BN$153,_xlfn.AGGREGATE(15,6,(ROW(Tiere!$BN$2:$BN$153)-1)/(--(SEARCH(BA$2,Tiere!$BN$2:$BN$153)&gt;0)),ROW()-2),1))))))))),"")</f>
        <v>Kleinpferde (&lt;300 kg) &gt; 3 Jahre incl. Fohlen bis 1/2 Jahr</v>
      </c>
      <c r="BA89" s="1601"/>
      <c r="BB89" s="1624" t="str">
        <f>IFERROR(IF($A$14=$BO$1,$BO88,IF($A$14=$BP$1,$BP88,IF($A$14=$BQ$1,$BQ88,IF($A$14=$BR$1,$BR88,IF($A$14=$BS$1,$BS88,IF($A$14=$BT$1,$BT88,IF($A$14=$BU$1,$BU88,IF($A$14="",INDEX(Tiere!$BN$2:$BN$153,_xlfn.AGGREGATE(15,6,(ROW(Tiere!$BN$2:$BN$153)-1)/(--(SEARCH(BC$2,Tiere!$BN$2:$BN$153)&gt;0)),ROW()-2),1))))))))),"")</f>
        <v>Kleinpferde (&lt;300 kg) &gt; 3 Jahre incl. Fohlen bis 1/2 Jahr</v>
      </c>
      <c r="BC89" s="1601"/>
      <c r="BD89" s="1624" t="str">
        <f>IFERROR(IF($A$15=$BO$1,$BO88,IF($A$15=$BP$1,$BP88,IF($A$15=$BQ$1,$BQ88,IF($A$15=$BR$1,$BR88,IF($A$15=$BS$1,$BS88,IF($A$15=$BT$1,$BT88,IF($A$15=$BU$1,$BU88,IF($A$15="",INDEX(Tiere!$BN$2:$BN$153,_xlfn.AGGREGATE(15,6,(ROW(Tiere!$BN$2:$BN$153)-1)/(--(SEARCH(BE$2,Tiere!$BN$2:$BN$153)&gt;0)),ROW()-2),1))))))))),"")</f>
        <v>Kleinpferde (&lt;300 kg) &gt; 3 Jahre incl. Fohlen bis 1/2 Jahr</v>
      </c>
      <c r="BE89" s="1601"/>
      <c r="BF89" s="1624" t="str">
        <f>IFERROR(IF($A$16=$BO$1,$BO88,IF($A$16=$BP$1,$BP88,IF($A$16=$BQ$1,$BQ88,IF($A$16=$BR$1,$BR88,IF($A$16=$BS$1,$BS88,IF($A$16=$BT$1,$BT88,IF($A$16=$BU$1,$BU88,IF($A$16="",INDEX(Tiere!$BN$2:$BN$153,_xlfn.AGGREGATE(15,6,(ROW(Tiere!$BN$2:$BN$153)-1)/(--(SEARCH(BG$2,Tiere!$BN$2:$BN$153)&gt;0)),ROW()-2),1))))))))),"")</f>
        <v>Kleinpferde (&lt;300 kg) &gt; 3 Jahre incl. Fohlen bis 1/2 Jahr</v>
      </c>
      <c r="BG89" s="1601"/>
      <c r="BH89" s="1624" t="str">
        <f>IFERROR(IF($A$17=$BO$1,$BO88,IF($A$17=$BP$1,$BP88,IF($A$17=$BQ$1,$BQ88,IF($A$17=$BR$1,$BR88,IF($A$17=$BS$1,$BS88,IF($A$17=$BT$1,$BT88,IF($A$17=$BU$1,$BU88,IF($A$17="",INDEX(Tiere!$BN$2:$BN$153,_xlfn.AGGREGATE(15,6,(ROW(Tiere!$BN$2:$BN$153)-1)/(--(SEARCH(BI$2,Tiere!$BN$2:$BN$153)&gt;0)),ROW()-2),1))))))))),"")</f>
        <v>Kleinpferde (&lt;300 kg) &gt; 3 Jahre incl. Fohlen bis 1/2 Jahr</v>
      </c>
      <c r="BI89" s="1601"/>
      <c r="BJ89" s="1624" t="str">
        <f>IFERROR(IF($A$18=$BO$1,$BO88,IF($A$18=$BP$1,$BP88,IF($A$18=$BQ$1,$BQ88,IF($A$18=$BR$1,$BR88,IF($A$18=$BS$1,$BS88,IF($A$18=$BT$1,$BT88,IF($A$18=$BU$1,$BU88,IF($A$18="",INDEX(Tiere!$BN$2:$BN$153,_xlfn.AGGREGATE(15,6,(ROW(Tiere!$BN$2:$BN$153)-1)/(--(SEARCH(BK$2,Tiere!$BN$2:$BN$153)&gt;0)),ROW()-2),1))))))))),"")</f>
        <v>Kleinpferde (&lt;300 kg) &gt; 3 Jahre incl. Fohlen bis 1/2 Jahr</v>
      </c>
      <c r="BK89" s="1601"/>
      <c r="BL89" s="1624" t="str">
        <f>IFERROR(IF($A$19=$BO$1,$BO88,IF($A$19=$BP$1,$BP88,IF($A$19=$BQ$1,$BQ88,IF($A$19=$BR$1,$BR88,IF($A$19=$BS$1,$BS88,IF($A$19=$BT$1,$BT88,IF($A$19=$BU$1,$BU88,IF($A$19="",INDEX(Tiere!$BN$2:$BN$153,_xlfn.AGGREGATE(15,6,(ROW(Tiere!$BN$2:$BN$153)-1)/(--(SEARCH(BM$2,Tiere!$BN$2:$BN$153)&gt;0)),ROW()-2),1))))))))),"")</f>
        <v>Kleinpferde (&lt;300 kg) &gt; 3 Jahre incl. Fohlen bis 1/2 Jahr</v>
      </c>
      <c r="BM89" s="1601"/>
      <c r="BN89" s="1630" t="s">
        <v>768</v>
      </c>
      <c r="BO89" s="1599"/>
      <c r="BP89" s="1599"/>
      <c r="BQ89" s="1599"/>
      <c r="BR89" s="1599"/>
      <c r="BS89" s="1599"/>
      <c r="BT89" s="1599"/>
      <c r="BU89" s="1599"/>
      <c r="CD89" s="1911" t="s">
        <v>768</v>
      </c>
    </row>
    <row r="90" spans="36:82" ht="13.5" thickBot="1">
      <c r="AJ90" s="1624" t="str">
        <f>IFERROR(IF($A$5=$BO$1,$BO89,IF($A$5=$BP$1,$BP89,IF($A$5=$BQ$1,$BQ89,IF($A$5=$BR$1,$BR89,IF($A$5=$BS$1,$BS89,IF($A$5=$BT$1,$BT89,IF($A$5=$BU$1,$BU89,IF($A$5="",INDEX(Tiere!$BN$2:$BN$153,_xlfn.AGGREGATE(15,6,(ROW(Tiere!$BN$2:$BN$153)-1)/(--(SEARCH(AK$2,Tiere!$BN$2:$BN$153)&gt;0)),ROW()-2),1))))))))),"")</f>
        <v>Kleinpferde (&gt;300 kg, bis 148 cm) 1/2 bis 3 Jahre</v>
      </c>
      <c r="AK90" s="1599"/>
      <c r="AL90" s="1624" t="str">
        <f>IFERROR(IF($A$6=$BO$1,$BO89,IF($A$6=$BP$1,$BP89,IF($A$6=$BQ$1,$BQ89,IF($A$6=$BR$1,$BR89,IF($A$6=$BS$1,$BS89,IF($A$6=$BT$1,$BT89,IF($A$6=$BU$1,$BU89,IF($A$6="",INDEX(Tiere!$BN$2:$BN$153,_xlfn.AGGREGATE(15,6,(ROW(Tiere!$BN$2:$BN$153)-1)/(--(SEARCH(AM$2,Tiere!$BN$2:$BN$153)&gt;0)),ROW()-2),1))))))))),"")</f>
        <v>Kleinpferde (&gt;300 kg, bis 148 cm) 1/2 bis 3 Jahre</v>
      </c>
      <c r="AM90" s="1599"/>
      <c r="AN90" s="1624" t="str">
        <f>IFERROR(IF($A$7=$BO$1,$BO89,IF($A$7=$BP$1,$BP89,IF($A$7=$BQ$1,$BQ89,IF($A$7=$BR$1,$BR89,IF($A$7=$BS$1,$BS89,IF($A$7=$BT$1,$BT89,IF($A$7=$BU$1,$BU89,IF($A$7="",INDEX(Tiere!$BN$2:$BN$153,_xlfn.AGGREGATE(15,6,(ROW(Tiere!$BN$2:$BN$153)-1)/(--(SEARCH(AM$2,Tiere!$BN$2:$BN$153)&gt;0)),ROW()-2),1))))))))),"")</f>
        <v>Kleinpferde (&gt;300 kg, bis 148 cm) 1/2 bis 3 Jahre</v>
      </c>
      <c r="AO90" s="1599"/>
      <c r="AP90" s="1624" t="str">
        <f>IFERROR(IF($A$8=$BO$1,$BO89,IF($A$8=$BP$1,$BP89,IF($A$8=$BQ$1,$BQ89,IF($A$8=$BR$1,$BR89,IF($A$8=$BS$1,$BS89,IF($A$8=$BT$1,$BT89,IF($A$8=$BU$1,$BU89,IF($A$8="",INDEX(Tiere!$BN$2:$BN$153,_xlfn.AGGREGATE(15,6,(ROW(Tiere!$BN$2:$BN$153)-1)/(--(SEARCH(AQ$2,Tiere!$BN$2:$BN$153)&gt;0)),ROW()-2),1))))))))),"")</f>
        <v>Kleinpferde (&gt;300 kg, bis 148 cm) 1/2 bis 3 Jahre</v>
      </c>
      <c r="AQ90" s="1599"/>
      <c r="AR90" s="1624" t="str">
        <f>IFERROR(IF($A$9=$BO$1,$BO89,IF($A$9=$BP$1,$BP89,IF($A$9=$BQ$1,$BQ89,IF($A$9=$BR$1,$BR89,IF($A$9=$BS$1,$BS89,IF($A$9=$BT$1,$BT89,IF($A$9=$BU$1,$BU89,IF($A$9="",INDEX(Tiere!$BN$2:$BN$153,_xlfn.AGGREGATE(15,6,(ROW(Tiere!$BN$2:$BN$153)-1)/(--(SEARCH(AS$2,Tiere!$BN$2:$BN$153)&gt;0)),ROW()-2),1))))))))),"")</f>
        <v>Kleinpferde (&gt;300 kg, bis 148 cm) 1/2 bis 3 Jahre</v>
      </c>
      <c r="AS90" s="1599"/>
      <c r="AT90" s="1624" t="str">
        <f>IFERROR(IF($A$10=$BO$1,$BO89,IF($A$10=$BP$1,$BP89,IF($A$10=$BQ$1,$BQ89,IF($A$10=$BR$1,$BR89,IF($A$10=$BS$1,$BS89,IF($A$10=$BT$1,$BT89,IF($A$10=$BU$1,$BU89,IF($A$10="",INDEX(Tiere!$BN$2:$BN$153,_xlfn.AGGREGATE(15,6,(ROW(Tiere!$BN$2:$BN$153)-1)/(--(SEARCH(AU$2,Tiere!$BN$2:$BN$153)&gt;0)),ROW()-2),1))))))))),"")</f>
        <v>Kleinpferde (&gt;300 kg, bis 148 cm) 1/2 bis 3 Jahre</v>
      </c>
      <c r="AU90" s="1599"/>
      <c r="AV90" s="1624" t="str">
        <f>IFERROR(IF($A$11=$BO$1,$BO89,IF($A$11=$BP$1,$BP89,IF($A$11=$BQ$1,$BQ89,IF($A$11=$BR$1,$BR89,IF($A$11=$BS$1,$BS89,IF($A$11=$BT$1,$BT89,IF($A$11=$BU$1,$BU89,IF($A$11="",INDEX(Tiere!$BN$2:$BN$153,_xlfn.AGGREGATE(15,6,(ROW(Tiere!$BN$2:$BN$153)-1)/(--(SEARCH(AW$2,Tiere!$BN$2:$BN$153)&gt;0)),ROW()-2),1))))))))),"")</f>
        <v>Kleinpferde (&gt;300 kg, bis 148 cm) 1/2 bis 3 Jahre</v>
      </c>
      <c r="AW90" s="1599"/>
      <c r="AX90" s="1624" t="str">
        <f>IFERROR(IF($A$12=$BO$1,$BO89,IF($A$12=$BP$1,$BP89,IF($A$12=$BQ$1,$BQ89,IF($A$12=$BR$1,$BR89,IF($A$12=$BS$1,$BS89,IF($A$12=$BT$1,$BT89,IF($A$12=$BU$1,$BU89,IF($A$12="",INDEX(Tiere!$BN$2:$BN$153,_xlfn.AGGREGATE(15,6,(ROW(Tiere!$BN$2:$BN$153)-1)/(--(SEARCH(AY$2,Tiere!$BN$2:$BN$153)&gt;0)),ROW()-2),1))))))))),"")</f>
        <v>Kleinpferde (&gt;300 kg, bis 148 cm) 1/2 bis 3 Jahre</v>
      </c>
      <c r="AY90" s="1599"/>
      <c r="AZ90" s="1624" t="str">
        <f>IFERROR(IF($A$13=$BO$1,$BO89,IF($A$13=$BP$1,$BP89,IF($A$13=$BQ$1,$BQ89,IF($A$13=$BR$1,$BR89,IF($A$13=$BS$1,$BS89,IF($A$13=$BT$1,$BT89,IF($A$13=$BU$1,$BU89,IF($A$13="",INDEX(Tiere!$BN$2:$BN$153,_xlfn.AGGREGATE(15,6,(ROW(Tiere!$BN$2:$BN$153)-1)/(--(SEARCH(BA$2,Tiere!$BN$2:$BN$153)&gt;0)),ROW()-2),1))))))))),"")</f>
        <v>Kleinpferde (&gt;300 kg, bis 148 cm) 1/2 bis 3 Jahre</v>
      </c>
      <c r="BA90" s="1599"/>
      <c r="BB90" s="1624" t="str">
        <f>IFERROR(IF($A$14=$BO$1,$BO89,IF($A$14=$BP$1,$BP89,IF($A$14=$BQ$1,$BQ89,IF($A$14=$BR$1,$BR89,IF($A$14=$BS$1,$BS89,IF($A$14=$BT$1,$BT89,IF($A$14=$BU$1,$BU89,IF($A$14="",INDEX(Tiere!$BN$2:$BN$153,_xlfn.AGGREGATE(15,6,(ROW(Tiere!$BN$2:$BN$153)-1)/(--(SEARCH(BC$2,Tiere!$BN$2:$BN$153)&gt;0)),ROW()-2),1))))))))),"")</f>
        <v>Kleinpferde (&gt;300 kg, bis 148 cm) 1/2 bis 3 Jahre</v>
      </c>
      <c r="BC90" s="1599"/>
      <c r="BD90" s="1624" t="str">
        <f>IFERROR(IF($A$15=$BO$1,$BO89,IF($A$15=$BP$1,$BP89,IF($A$15=$BQ$1,$BQ89,IF($A$15=$BR$1,$BR89,IF($A$15=$BS$1,$BS89,IF($A$15=$BT$1,$BT89,IF($A$15=$BU$1,$BU89,IF($A$15="",INDEX(Tiere!$BN$2:$BN$153,_xlfn.AGGREGATE(15,6,(ROW(Tiere!$BN$2:$BN$153)-1)/(--(SEARCH(BE$2,Tiere!$BN$2:$BN$153)&gt;0)),ROW()-2),1))))))))),"")</f>
        <v>Kleinpferde (&gt;300 kg, bis 148 cm) 1/2 bis 3 Jahre</v>
      </c>
      <c r="BE90" s="1599"/>
      <c r="BF90" s="1624" t="str">
        <f>IFERROR(IF($A$16=$BO$1,$BO89,IF($A$16=$BP$1,$BP89,IF($A$16=$BQ$1,$BQ89,IF($A$16=$BR$1,$BR89,IF($A$16=$BS$1,$BS89,IF($A$16=$BT$1,$BT89,IF($A$16=$BU$1,$BU89,IF($A$16="",INDEX(Tiere!$BN$2:$BN$153,_xlfn.AGGREGATE(15,6,(ROW(Tiere!$BN$2:$BN$153)-1)/(--(SEARCH(BG$2,Tiere!$BN$2:$BN$153)&gt;0)),ROW()-2),1))))))))),"")</f>
        <v>Kleinpferde (&gt;300 kg, bis 148 cm) 1/2 bis 3 Jahre</v>
      </c>
      <c r="BG90" s="1599"/>
      <c r="BH90" s="1624" t="str">
        <f>IFERROR(IF($A$17=$BO$1,$BO89,IF($A$17=$BP$1,$BP89,IF($A$17=$BQ$1,$BQ89,IF($A$17=$BR$1,$BR89,IF($A$17=$BS$1,$BS89,IF($A$17=$BT$1,$BT89,IF($A$17=$BU$1,$BU89,IF($A$17="",INDEX(Tiere!$BN$2:$BN$153,_xlfn.AGGREGATE(15,6,(ROW(Tiere!$BN$2:$BN$153)-1)/(--(SEARCH(BI$2,Tiere!$BN$2:$BN$153)&gt;0)),ROW()-2),1))))))))),"")</f>
        <v>Kleinpferde (&gt;300 kg, bis 148 cm) 1/2 bis 3 Jahre</v>
      </c>
      <c r="BI90" s="1599"/>
      <c r="BJ90" s="1624" t="str">
        <f>IFERROR(IF($A$18=$BO$1,$BO89,IF($A$18=$BP$1,$BP89,IF($A$18=$BQ$1,$BQ89,IF($A$18=$BR$1,$BR89,IF($A$18=$BS$1,$BS89,IF($A$18=$BT$1,$BT89,IF($A$18=$BU$1,$BU89,IF($A$18="",INDEX(Tiere!$BN$2:$BN$153,_xlfn.AGGREGATE(15,6,(ROW(Tiere!$BN$2:$BN$153)-1)/(--(SEARCH(BK$2,Tiere!$BN$2:$BN$153)&gt;0)),ROW()-2),1))))))))),"")</f>
        <v>Kleinpferde (&gt;300 kg, bis 148 cm) 1/2 bis 3 Jahre</v>
      </c>
      <c r="BK90" s="1599"/>
      <c r="BL90" s="1624" t="str">
        <f>IFERROR(IF($A$19=$BO$1,$BO89,IF($A$19=$BP$1,$BP89,IF($A$19=$BQ$1,$BQ89,IF($A$19=$BR$1,$BR89,IF($A$19=$BS$1,$BS89,IF($A$19=$BT$1,$BT89,IF($A$19=$BU$1,$BU89,IF($A$19="",INDEX(Tiere!$BN$2:$BN$153,_xlfn.AGGREGATE(15,6,(ROW(Tiere!$BN$2:$BN$153)-1)/(--(SEARCH(BM$2,Tiere!$BN$2:$BN$153)&gt;0)),ROW()-2),1))))))))),"")</f>
        <v>Kleinpferde (&gt;300 kg, bis 148 cm) 1/2 bis 3 Jahre</v>
      </c>
      <c r="BM90" s="1599"/>
      <c r="BN90" s="1630" t="s">
        <v>770</v>
      </c>
      <c r="BO90" s="1599"/>
      <c r="BP90" s="1599"/>
      <c r="BQ90" s="1599"/>
      <c r="BR90" s="1599"/>
      <c r="BS90" s="1599"/>
      <c r="BT90" s="1599"/>
      <c r="BU90" s="1599"/>
      <c r="CD90" s="1911" t="s">
        <v>770</v>
      </c>
    </row>
    <row r="91" spans="36:82" ht="14.25" thickTop="1" thickBot="1">
      <c r="AJ91" s="1624" t="str">
        <f>IFERROR(IF($A$5=$BO$1,$BO90,IF($A$5=$BP$1,$BP90,IF($A$5=$BQ$1,$BQ90,IF($A$5=$BR$1,$BR90,IF($A$5=$BS$1,$BS90,IF($A$5=$BT$1,$BT90,IF($A$5=$BU$1,$BU90,IF($A$5="",INDEX(Tiere!$BN$2:$BN$153,_xlfn.AGGREGATE(15,6,(ROW(Tiere!$BN$2:$BN$153)-1)/(--(SEARCH(AK$2,Tiere!$BN$2:$BN$153)&gt;0)),ROW()-2),1))))))))),"")</f>
        <v>Kleinpferde (&gt;300 kg) &gt; 3 Jahre incl. Fohlen bis 1/2 Jahr</v>
      </c>
      <c r="AK91" s="1601"/>
      <c r="AL91" s="1624" t="str">
        <f>IFERROR(IF($A$6=$BO$1,$BO90,IF($A$6=$BP$1,$BP90,IF($A$6=$BQ$1,$BQ90,IF($A$6=$BR$1,$BR90,IF($A$6=$BS$1,$BS90,IF($A$6=$BT$1,$BT90,IF($A$6=$BU$1,$BU90,IF($A$6="",INDEX(Tiere!$BN$2:$BN$153,_xlfn.AGGREGATE(15,6,(ROW(Tiere!$BN$2:$BN$153)-1)/(--(SEARCH(AM$2,Tiere!$BN$2:$BN$153)&gt;0)),ROW()-2),1))))))))),"")</f>
        <v>Kleinpferde (&gt;300 kg) &gt; 3 Jahre incl. Fohlen bis 1/2 Jahr</v>
      </c>
      <c r="AM91" s="1601"/>
      <c r="AN91" s="1624" t="str">
        <f>IFERROR(IF($A$7=$BO$1,$BO90,IF($A$7=$BP$1,$BP90,IF($A$7=$BQ$1,$BQ90,IF($A$7=$BR$1,$BR90,IF($A$7=$BS$1,$BS90,IF($A$7=$BT$1,$BT90,IF($A$7=$BU$1,$BU90,IF($A$7="",INDEX(Tiere!$BN$2:$BN$153,_xlfn.AGGREGATE(15,6,(ROW(Tiere!$BN$2:$BN$153)-1)/(--(SEARCH(AM$2,Tiere!$BN$2:$BN$153)&gt;0)),ROW()-2),1))))))))),"")</f>
        <v>Kleinpferde (&gt;300 kg) &gt; 3 Jahre incl. Fohlen bis 1/2 Jahr</v>
      </c>
      <c r="AO91" s="1601"/>
      <c r="AP91" s="1624" t="str">
        <f>IFERROR(IF($A$8=$BO$1,$BO90,IF($A$8=$BP$1,$BP90,IF($A$8=$BQ$1,$BQ90,IF($A$8=$BR$1,$BR90,IF($A$8=$BS$1,$BS90,IF($A$8=$BT$1,$BT90,IF($A$8=$BU$1,$BU90,IF($A$8="",INDEX(Tiere!$BN$2:$BN$153,_xlfn.AGGREGATE(15,6,(ROW(Tiere!$BN$2:$BN$153)-1)/(--(SEARCH(AQ$2,Tiere!$BN$2:$BN$153)&gt;0)),ROW()-2),1))))))))),"")</f>
        <v>Kleinpferde (&gt;300 kg) &gt; 3 Jahre incl. Fohlen bis 1/2 Jahr</v>
      </c>
      <c r="AQ91" s="1601"/>
      <c r="AR91" s="1624" t="str">
        <f>IFERROR(IF($A$9=$BO$1,$BO90,IF($A$9=$BP$1,$BP90,IF($A$9=$BQ$1,$BQ90,IF($A$9=$BR$1,$BR90,IF($A$9=$BS$1,$BS90,IF($A$9=$BT$1,$BT90,IF($A$9=$BU$1,$BU90,IF($A$9="",INDEX(Tiere!$BN$2:$BN$153,_xlfn.AGGREGATE(15,6,(ROW(Tiere!$BN$2:$BN$153)-1)/(--(SEARCH(AS$2,Tiere!$BN$2:$BN$153)&gt;0)),ROW()-2),1))))))))),"")</f>
        <v>Kleinpferde (&gt;300 kg) &gt; 3 Jahre incl. Fohlen bis 1/2 Jahr</v>
      </c>
      <c r="AS91" s="1601"/>
      <c r="AT91" s="1624" t="str">
        <f>IFERROR(IF($A$10=$BO$1,$BO90,IF($A$10=$BP$1,$BP90,IF($A$10=$BQ$1,$BQ90,IF($A$10=$BR$1,$BR90,IF($A$10=$BS$1,$BS90,IF($A$10=$BT$1,$BT90,IF($A$10=$BU$1,$BU90,IF($A$10="",INDEX(Tiere!$BN$2:$BN$153,_xlfn.AGGREGATE(15,6,(ROW(Tiere!$BN$2:$BN$153)-1)/(--(SEARCH(AU$2,Tiere!$BN$2:$BN$153)&gt;0)),ROW()-2),1))))))))),"")</f>
        <v>Kleinpferde (&gt;300 kg) &gt; 3 Jahre incl. Fohlen bis 1/2 Jahr</v>
      </c>
      <c r="AU91" s="1601"/>
      <c r="AV91" s="1624" t="str">
        <f>IFERROR(IF($A$11=$BO$1,$BO90,IF($A$11=$BP$1,$BP90,IF($A$11=$BQ$1,$BQ90,IF($A$11=$BR$1,$BR90,IF($A$11=$BS$1,$BS90,IF($A$11=$BT$1,$BT90,IF($A$11=$BU$1,$BU90,IF($A$11="",INDEX(Tiere!$BN$2:$BN$153,_xlfn.AGGREGATE(15,6,(ROW(Tiere!$BN$2:$BN$153)-1)/(--(SEARCH(AW$2,Tiere!$BN$2:$BN$153)&gt;0)),ROW()-2),1))))))))),"")</f>
        <v>Kleinpferde (&gt;300 kg) &gt; 3 Jahre incl. Fohlen bis 1/2 Jahr</v>
      </c>
      <c r="AW91" s="1601"/>
      <c r="AX91" s="1624" t="str">
        <f>IFERROR(IF($A$12=$BO$1,$BO90,IF($A$12=$BP$1,$BP90,IF($A$12=$BQ$1,$BQ90,IF($A$12=$BR$1,$BR90,IF($A$12=$BS$1,$BS90,IF($A$12=$BT$1,$BT90,IF($A$12=$BU$1,$BU90,IF($A$12="",INDEX(Tiere!$BN$2:$BN$153,_xlfn.AGGREGATE(15,6,(ROW(Tiere!$BN$2:$BN$153)-1)/(--(SEARCH(AY$2,Tiere!$BN$2:$BN$153)&gt;0)),ROW()-2),1))))))))),"")</f>
        <v>Kleinpferde (&gt;300 kg) &gt; 3 Jahre incl. Fohlen bis 1/2 Jahr</v>
      </c>
      <c r="AY91" s="1601"/>
      <c r="AZ91" s="1624" t="str">
        <f>IFERROR(IF($A$13=$BO$1,$BO90,IF($A$13=$BP$1,$BP90,IF($A$13=$BQ$1,$BQ90,IF($A$13=$BR$1,$BR90,IF($A$13=$BS$1,$BS90,IF($A$13=$BT$1,$BT90,IF($A$13=$BU$1,$BU90,IF($A$13="",INDEX(Tiere!$BN$2:$BN$153,_xlfn.AGGREGATE(15,6,(ROW(Tiere!$BN$2:$BN$153)-1)/(--(SEARCH(BA$2,Tiere!$BN$2:$BN$153)&gt;0)),ROW()-2),1))))))))),"")</f>
        <v>Kleinpferde (&gt;300 kg) &gt; 3 Jahre incl. Fohlen bis 1/2 Jahr</v>
      </c>
      <c r="BA91" s="1601"/>
      <c r="BB91" s="1624" t="str">
        <f>IFERROR(IF($A$14=$BO$1,$BO90,IF($A$14=$BP$1,$BP90,IF($A$14=$BQ$1,$BQ90,IF($A$14=$BR$1,$BR90,IF($A$14=$BS$1,$BS90,IF($A$14=$BT$1,$BT90,IF($A$14=$BU$1,$BU90,IF($A$14="",INDEX(Tiere!$BN$2:$BN$153,_xlfn.AGGREGATE(15,6,(ROW(Tiere!$BN$2:$BN$153)-1)/(--(SEARCH(BC$2,Tiere!$BN$2:$BN$153)&gt;0)),ROW()-2),1))))))))),"")</f>
        <v>Kleinpferde (&gt;300 kg) &gt; 3 Jahre incl. Fohlen bis 1/2 Jahr</v>
      </c>
      <c r="BC91" s="1601"/>
      <c r="BD91" s="1624" t="str">
        <f>IFERROR(IF($A$15=$BO$1,$BO90,IF($A$15=$BP$1,$BP90,IF($A$15=$BQ$1,$BQ90,IF($A$15=$BR$1,$BR90,IF($A$15=$BS$1,$BS90,IF($A$15=$BT$1,$BT90,IF($A$15=$BU$1,$BU90,IF($A$15="",INDEX(Tiere!$BN$2:$BN$153,_xlfn.AGGREGATE(15,6,(ROW(Tiere!$BN$2:$BN$153)-1)/(--(SEARCH(BE$2,Tiere!$BN$2:$BN$153)&gt;0)),ROW()-2),1))))))))),"")</f>
        <v>Kleinpferde (&gt;300 kg) &gt; 3 Jahre incl. Fohlen bis 1/2 Jahr</v>
      </c>
      <c r="BE91" s="1601"/>
      <c r="BF91" s="1624" t="str">
        <f>IFERROR(IF($A$16=$BO$1,$BO90,IF($A$16=$BP$1,$BP90,IF($A$16=$BQ$1,$BQ90,IF($A$16=$BR$1,$BR90,IF($A$16=$BS$1,$BS90,IF($A$16=$BT$1,$BT90,IF($A$16=$BU$1,$BU90,IF($A$16="",INDEX(Tiere!$BN$2:$BN$153,_xlfn.AGGREGATE(15,6,(ROW(Tiere!$BN$2:$BN$153)-1)/(--(SEARCH(BG$2,Tiere!$BN$2:$BN$153)&gt;0)),ROW()-2),1))))))))),"")</f>
        <v>Kleinpferde (&gt;300 kg) &gt; 3 Jahre incl. Fohlen bis 1/2 Jahr</v>
      </c>
      <c r="BG91" s="1601"/>
      <c r="BH91" s="1624" t="str">
        <f>IFERROR(IF($A$17=$BO$1,$BO90,IF($A$17=$BP$1,$BP90,IF($A$17=$BQ$1,$BQ90,IF($A$17=$BR$1,$BR90,IF($A$17=$BS$1,$BS90,IF($A$17=$BT$1,$BT90,IF($A$17=$BU$1,$BU90,IF($A$17="",INDEX(Tiere!$BN$2:$BN$153,_xlfn.AGGREGATE(15,6,(ROW(Tiere!$BN$2:$BN$153)-1)/(--(SEARCH(BI$2,Tiere!$BN$2:$BN$153)&gt;0)),ROW()-2),1))))))))),"")</f>
        <v>Kleinpferde (&gt;300 kg) &gt; 3 Jahre incl. Fohlen bis 1/2 Jahr</v>
      </c>
      <c r="BI91" s="1601"/>
      <c r="BJ91" s="1624" t="str">
        <f>IFERROR(IF($A$18=$BO$1,$BO90,IF($A$18=$BP$1,$BP90,IF($A$18=$BQ$1,$BQ90,IF($A$18=$BR$1,$BR90,IF($A$18=$BS$1,$BS90,IF($A$18=$BT$1,$BT90,IF($A$18=$BU$1,$BU90,IF($A$18="",INDEX(Tiere!$BN$2:$BN$153,_xlfn.AGGREGATE(15,6,(ROW(Tiere!$BN$2:$BN$153)-1)/(--(SEARCH(BK$2,Tiere!$BN$2:$BN$153)&gt;0)),ROW()-2),1))))))))),"")</f>
        <v>Kleinpferde (&gt;300 kg) &gt; 3 Jahre incl. Fohlen bis 1/2 Jahr</v>
      </c>
      <c r="BK91" s="1601"/>
      <c r="BL91" s="1624" t="str">
        <f>IFERROR(IF($A$19=$BO$1,$BO90,IF($A$19=$BP$1,$BP90,IF($A$19=$BQ$1,$BQ90,IF($A$19=$BR$1,$BR90,IF($A$19=$BS$1,$BS90,IF($A$19=$BT$1,$BT90,IF($A$19=$BU$1,$BU90,IF($A$19="",INDEX(Tiere!$BN$2:$BN$153,_xlfn.AGGREGATE(15,6,(ROW(Tiere!$BN$2:$BN$153)-1)/(--(SEARCH(BM$2,Tiere!$BN$2:$BN$153)&gt;0)),ROW()-2),1))))))))),"")</f>
        <v>Kleinpferde (&gt;300 kg) &gt; 3 Jahre incl. Fohlen bis 1/2 Jahr</v>
      </c>
      <c r="BM91" s="1601"/>
      <c r="BN91" s="1632" t="s">
        <v>771</v>
      </c>
      <c r="BO91" s="1599"/>
      <c r="BP91" s="1599"/>
      <c r="BQ91" s="1599"/>
      <c r="BR91" s="1599"/>
      <c r="BS91" s="1599"/>
      <c r="BT91" s="1599"/>
      <c r="BU91" s="1599"/>
      <c r="CD91" s="1912" t="s">
        <v>771</v>
      </c>
    </row>
    <row r="92" spans="36:82" ht="13.5" thickBot="1">
      <c r="AJ92" s="1624" t="str">
        <f>IFERROR(IF($A$5=$BO$1,$BO91,IF($A$5=$BP$1,$BP91,IF($A$5=$BQ$1,$BQ91,IF($A$5=$BR$1,$BR91,IF($A$5=$BS$1,$BS91,IF($A$5=$BT$1,$BT91,IF($A$5=$BU$1,$BU91,IF($A$5="",INDEX(Tiere!$BN$2:$BN$153,_xlfn.AGGREGATE(15,6,(ROW(Tiere!$BN$2:$BN$153)-1)/(--(SEARCH(AK$2,Tiere!$BN$2:$BN$153)&gt;0)),ROW()-2),1))))))))),"")</f>
        <v>Pferde (&gt;500 kg, über 148 cm) 1/2 bis 3 Jahre</v>
      </c>
      <c r="AK92" s="1599"/>
      <c r="AL92" s="1624" t="str">
        <f>IFERROR(IF($A$6=$BO$1,$BO91,IF($A$6=$BP$1,$BP91,IF($A$6=$BQ$1,$BQ91,IF($A$6=$BR$1,$BR91,IF($A$6=$BS$1,$BS91,IF($A$6=$BT$1,$BT91,IF($A$6=$BU$1,$BU91,IF($A$6="",INDEX(Tiere!$BN$2:$BN$153,_xlfn.AGGREGATE(15,6,(ROW(Tiere!$BN$2:$BN$153)-1)/(--(SEARCH(AM$2,Tiere!$BN$2:$BN$153)&gt;0)),ROW()-2),1))))))))),"")</f>
        <v>Pferde (&gt;500 kg, über 148 cm) 1/2 bis 3 Jahre</v>
      </c>
      <c r="AM92" s="1599"/>
      <c r="AN92" s="1624" t="str">
        <f>IFERROR(IF($A$7=$BO$1,$BO91,IF($A$7=$BP$1,$BP91,IF($A$7=$BQ$1,$BQ91,IF($A$7=$BR$1,$BR91,IF($A$7=$BS$1,$BS91,IF($A$7=$BT$1,$BT91,IF($A$7=$BU$1,$BU91,IF($A$7="",INDEX(Tiere!$BN$2:$BN$153,_xlfn.AGGREGATE(15,6,(ROW(Tiere!$BN$2:$BN$153)-1)/(--(SEARCH(AM$2,Tiere!$BN$2:$BN$153)&gt;0)),ROW()-2),1))))))))),"")</f>
        <v>Pferde (&gt;500 kg, über 148 cm) 1/2 bis 3 Jahre</v>
      </c>
      <c r="AO92" s="1599"/>
      <c r="AP92" s="1624" t="str">
        <f>IFERROR(IF($A$8=$BO$1,$BO91,IF($A$8=$BP$1,$BP91,IF($A$8=$BQ$1,$BQ91,IF($A$8=$BR$1,$BR91,IF($A$8=$BS$1,$BS91,IF($A$8=$BT$1,$BT91,IF($A$8=$BU$1,$BU91,IF($A$8="",INDEX(Tiere!$BN$2:$BN$153,_xlfn.AGGREGATE(15,6,(ROW(Tiere!$BN$2:$BN$153)-1)/(--(SEARCH(AQ$2,Tiere!$BN$2:$BN$153)&gt;0)),ROW()-2),1))))))))),"")</f>
        <v>Pferde (&gt;500 kg, über 148 cm) 1/2 bis 3 Jahre</v>
      </c>
      <c r="AQ92" s="1599"/>
      <c r="AR92" s="1624" t="str">
        <f>IFERROR(IF($A$9=$BO$1,$BO91,IF($A$9=$BP$1,$BP91,IF($A$9=$BQ$1,$BQ91,IF($A$9=$BR$1,$BR91,IF($A$9=$BS$1,$BS91,IF($A$9=$BT$1,$BT91,IF($A$9=$BU$1,$BU91,IF($A$9="",INDEX(Tiere!$BN$2:$BN$153,_xlfn.AGGREGATE(15,6,(ROW(Tiere!$BN$2:$BN$153)-1)/(--(SEARCH(AS$2,Tiere!$BN$2:$BN$153)&gt;0)),ROW()-2),1))))))))),"")</f>
        <v>Pferde (&gt;500 kg, über 148 cm) 1/2 bis 3 Jahre</v>
      </c>
      <c r="AS92" s="1599"/>
      <c r="AT92" s="1624" t="str">
        <f>IFERROR(IF($A$10=$BO$1,$BO91,IF($A$10=$BP$1,$BP91,IF($A$10=$BQ$1,$BQ91,IF($A$10=$BR$1,$BR91,IF($A$10=$BS$1,$BS91,IF($A$10=$BT$1,$BT91,IF($A$10=$BU$1,$BU91,IF($A$10="",INDEX(Tiere!$BN$2:$BN$153,_xlfn.AGGREGATE(15,6,(ROW(Tiere!$BN$2:$BN$153)-1)/(--(SEARCH(AU$2,Tiere!$BN$2:$BN$153)&gt;0)),ROW()-2),1))))))))),"")</f>
        <v>Pferde (&gt;500 kg, über 148 cm) 1/2 bis 3 Jahre</v>
      </c>
      <c r="AU92" s="1599"/>
      <c r="AV92" s="1624" t="str">
        <f>IFERROR(IF($A$11=$BO$1,$BO91,IF($A$11=$BP$1,$BP91,IF($A$11=$BQ$1,$BQ91,IF($A$11=$BR$1,$BR91,IF($A$11=$BS$1,$BS91,IF($A$11=$BT$1,$BT91,IF($A$11=$BU$1,$BU91,IF($A$11="",INDEX(Tiere!$BN$2:$BN$153,_xlfn.AGGREGATE(15,6,(ROW(Tiere!$BN$2:$BN$153)-1)/(--(SEARCH(AW$2,Tiere!$BN$2:$BN$153)&gt;0)),ROW()-2),1))))))))),"")</f>
        <v>Pferde (&gt;500 kg, über 148 cm) 1/2 bis 3 Jahre</v>
      </c>
      <c r="AW92" s="1599"/>
      <c r="AX92" s="1624" t="str">
        <f>IFERROR(IF($A$12=$BO$1,$BO91,IF($A$12=$BP$1,$BP91,IF($A$12=$BQ$1,$BQ91,IF($A$12=$BR$1,$BR91,IF($A$12=$BS$1,$BS91,IF($A$12=$BT$1,$BT91,IF($A$12=$BU$1,$BU91,IF($A$12="",INDEX(Tiere!$BN$2:$BN$153,_xlfn.AGGREGATE(15,6,(ROW(Tiere!$BN$2:$BN$153)-1)/(--(SEARCH(AY$2,Tiere!$BN$2:$BN$153)&gt;0)),ROW()-2),1))))))))),"")</f>
        <v>Pferde (&gt;500 kg, über 148 cm) 1/2 bis 3 Jahre</v>
      </c>
      <c r="AY92" s="1599"/>
      <c r="AZ92" s="1624" t="str">
        <f>IFERROR(IF($A$13=$BO$1,$BO91,IF($A$13=$BP$1,$BP91,IF($A$13=$BQ$1,$BQ91,IF($A$13=$BR$1,$BR91,IF($A$13=$BS$1,$BS91,IF($A$13=$BT$1,$BT91,IF($A$13=$BU$1,$BU91,IF($A$13="",INDEX(Tiere!$BN$2:$BN$153,_xlfn.AGGREGATE(15,6,(ROW(Tiere!$BN$2:$BN$153)-1)/(--(SEARCH(BA$2,Tiere!$BN$2:$BN$153)&gt;0)),ROW()-2),1))))))))),"")</f>
        <v>Pferde (&gt;500 kg, über 148 cm) 1/2 bis 3 Jahre</v>
      </c>
      <c r="BA92" s="1599"/>
      <c r="BB92" s="1624" t="str">
        <f>IFERROR(IF($A$14=$BO$1,$BO91,IF($A$14=$BP$1,$BP91,IF($A$14=$BQ$1,$BQ91,IF($A$14=$BR$1,$BR91,IF($A$14=$BS$1,$BS91,IF($A$14=$BT$1,$BT91,IF($A$14=$BU$1,$BU91,IF($A$14="",INDEX(Tiere!$BN$2:$BN$153,_xlfn.AGGREGATE(15,6,(ROW(Tiere!$BN$2:$BN$153)-1)/(--(SEARCH(BC$2,Tiere!$BN$2:$BN$153)&gt;0)),ROW()-2),1))))))))),"")</f>
        <v>Pferde (&gt;500 kg, über 148 cm) 1/2 bis 3 Jahre</v>
      </c>
      <c r="BC92" s="1599"/>
      <c r="BD92" s="1624" t="str">
        <f>IFERROR(IF($A$15=$BO$1,$BO91,IF($A$15=$BP$1,$BP91,IF($A$15=$BQ$1,$BQ91,IF($A$15=$BR$1,$BR91,IF($A$15=$BS$1,$BS91,IF($A$15=$BT$1,$BT91,IF($A$15=$BU$1,$BU91,IF($A$15="",INDEX(Tiere!$BN$2:$BN$153,_xlfn.AGGREGATE(15,6,(ROW(Tiere!$BN$2:$BN$153)-1)/(--(SEARCH(BE$2,Tiere!$BN$2:$BN$153)&gt;0)),ROW()-2),1))))))))),"")</f>
        <v>Pferde (&gt;500 kg, über 148 cm) 1/2 bis 3 Jahre</v>
      </c>
      <c r="BE92" s="1599"/>
      <c r="BF92" s="1624" t="str">
        <f>IFERROR(IF($A$16=$BO$1,$BO91,IF($A$16=$BP$1,$BP91,IF($A$16=$BQ$1,$BQ91,IF($A$16=$BR$1,$BR91,IF($A$16=$BS$1,$BS91,IF($A$16=$BT$1,$BT91,IF($A$16=$BU$1,$BU91,IF($A$16="",INDEX(Tiere!$BN$2:$BN$153,_xlfn.AGGREGATE(15,6,(ROW(Tiere!$BN$2:$BN$153)-1)/(--(SEARCH(BG$2,Tiere!$BN$2:$BN$153)&gt;0)),ROW()-2),1))))))))),"")</f>
        <v>Pferde (&gt;500 kg, über 148 cm) 1/2 bis 3 Jahre</v>
      </c>
      <c r="BG92" s="1599"/>
      <c r="BH92" s="1624" t="str">
        <f>IFERROR(IF($A$17=$BO$1,$BO91,IF($A$17=$BP$1,$BP91,IF($A$17=$BQ$1,$BQ91,IF($A$17=$BR$1,$BR91,IF($A$17=$BS$1,$BS91,IF($A$17=$BT$1,$BT91,IF($A$17=$BU$1,$BU91,IF($A$17="",INDEX(Tiere!$BN$2:$BN$153,_xlfn.AGGREGATE(15,6,(ROW(Tiere!$BN$2:$BN$153)-1)/(--(SEARCH(BI$2,Tiere!$BN$2:$BN$153)&gt;0)),ROW()-2),1))))))))),"")</f>
        <v>Pferde (&gt;500 kg, über 148 cm) 1/2 bis 3 Jahre</v>
      </c>
      <c r="BI92" s="1599"/>
      <c r="BJ92" s="1624" t="str">
        <f>IFERROR(IF($A$18=$BO$1,$BO91,IF($A$18=$BP$1,$BP91,IF($A$18=$BQ$1,$BQ91,IF($A$18=$BR$1,$BR91,IF($A$18=$BS$1,$BS91,IF($A$18=$BT$1,$BT91,IF($A$18=$BU$1,$BU91,IF($A$18="",INDEX(Tiere!$BN$2:$BN$153,_xlfn.AGGREGATE(15,6,(ROW(Tiere!$BN$2:$BN$153)-1)/(--(SEARCH(BK$2,Tiere!$BN$2:$BN$153)&gt;0)),ROW()-2),1))))))))),"")</f>
        <v>Pferde (&gt;500 kg, über 148 cm) 1/2 bis 3 Jahre</v>
      </c>
      <c r="BK92" s="1599"/>
      <c r="BL92" s="1624" t="str">
        <f>IFERROR(IF($A$19=$BO$1,$BO91,IF($A$19=$BP$1,$BP91,IF($A$19=$BQ$1,$BQ91,IF($A$19=$BR$1,$BR91,IF($A$19=$BS$1,$BS91,IF($A$19=$BT$1,$BT91,IF($A$19=$BU$1,$BU91,IF($A$19="",INDEX(Tiere!$BN$2:$BN$153,_xlfn.AGGREGATE(15,6,(ROW(Tiere!$BN$2:$BN$153)-1)/(--(SEARCH(BM$2,Tiere!$BN$2:$BN$153)&gt;0)),ROW()-2),1))))))))),"")</f>
        <v>Pferde (&gt;500 kg, über 148 cm) 1/2 bis 3 Jahre</v>
      </c>
      <c r="BM92" s="1599"/>
      <c r="BN92" s="1630" t="s">
        <v>773</v>
      </c>
      <c r="BO92" s="1599"/>
      <c r="BP92" s="1599"/>
      <c r="BQ92" s="1599"/>
      <c r="BR92" s="1599"/>
      <c r="BS92" s="1599"/>
      <c r="BT92" s="1599"/>
      <c r="BU92" s="1599"/>
      <c r="CD92" s="1911" t="s">
        <v>773</v>
      </c>
    </row>
    <row r="93" spans="36:82" ht="13.5" thickBot="1">
      <c r="AJ93" s="1624" t="str">
        <f>IFERROR(IF($A$5=$BO$1,$BO92,IF($A$5=$BP$1,$BP92,IF($A$5=$BQ$1,$BQ92,IF($A$5=$BR$1,$BR92,IF($A$5=$BS$1,$BS92,IF($A$5=$BT$1,$BT92,IF($A$5=$BU$1,$BU92,IF($A$5="",INDEX(Tiere!$BN$2:$BN$153,_xlfn.AGGREGATE(15,6,(ROW(Tiere!$BN$2:$BN$153)-1)/(--(SEARCH(AK$2,Tiere!$BN$2:$BN$153)&gt;0)),ROW()-2),1))))))))),"")</f>
        <v>Pferde (&gt;500 kg)&gt; 3 Jahre incl. Fohlen bis 1/2 Jahr</v>
      </c>
      <c r="AK93" s="1601"/>
      <c r="AL93" s="1624" t="str">
        <f>IFERROR(IF($A$6=$BO$1,$BO92,IF($A$6=$BP$1,$BP92,IF($A$6=$BQ$1,$BQ92,IF($A$6=$BR$1,$BR92,IF($A$6=$BS$1,$BS92,IF($A$6=$BT$1,$BT92,IF($A$6=$BU$1,$BU92,IF($A$6="",INDEX(Tiere!$BN$2:$BN$153,_xlfn.AGGREGATE(15,6,(ROW(Tiere!$BN$2:$BN$153)-1)/(--(SEARCH(AM$2,Tiere!$BN$2:$BN$153)&gt;0)),ROW()-2),1))))))))),"")</f>
        <v>Pferde (&gt;500 kg)&gt; 3 Jahre incl. Fohlen bis 1/2 Jahr</v>
      </c>
      <c r="AM93" s="1601"/>
      <c r="AN93" s="1624" t="str">
        <f>IFERROR(IF($A$7=$BO$1,$BO92,IF($A$7=$BP$1,$BP92,IF($A$7=$BQ$1,$BQ92,IF($A$7=$BR$1,$BR92,IF($A$7=$BS$1,$BS92,IF($A$7=$BT$1,$BT92,IF($A$7=$BU$1,$BU92,IF($A$7="",INDEX(Tiere!$BN$2:$BN$153,_xlfn.AGGREGATE(15,6,(ROW(Tiere!$BN$2:$BN$153)-1)/(--(SEARCH(AM$2,Tiere!$BN$2:$BN$153)&gt;0)),ROW()-2),1))))))))),"")</f>
        <v>Pferde (&gt;500 kg)&gt; 3 Jahre incl. Fohlen bis 1/2 Jahr</v>
      </c>
      <c r="AO93" s="1601"/>
      <c r="AP93" s="1624" t="str">
        <f>IFERROR(IF($A$8=$BO$1,$BO92,IF($A$8=$BP$1,$BP92,IF($A$8=$BQ$1,$BQ92,IF($A$8=$BR$1,$BR92,IF($A$8=$BS$1,$BS92,IF($A$8=$BT$1,$BT92,IF($A$8=$BU$1,$BU92,IF($A$8="",INDEX(Tiere!$BN$2:$BN$153,_xlfn.AGGREGATE(15,6,(ROW(Tiere!$BN$2:$BN$153)-1)/(--(SEARCH(AQ$2,Tiere!$BN$2:$BN$153)&gt;0)),ROW()-2),1))))))))),"")</f>
        <v>Pferde (&gt;500 kg)&gt; 3 Jahre incl. Fohlen bis 1/2 Jahr</v>
      </c>
      <c r="AQ93" s="1601"/>
      <c r="AR93" s="1624" t="str">
        <f>IFERROR(IF($A$9=$BO$1,$BO92,IF($A$9=$BP$1,$BP92,IF($A$9=$BQ$1,$BQ92,IF($A$9=$BR$1,$BR92,IF($A$9=$BS$1,$BS92,IF($A$9=$BT$1,$BT92,IF($A$9=$BU$1,$BU92,IF($A$9="",INDEX(Tiere!$BN$2:$BN$153,_xlfn.AGGREGATE(15,6,(ROW(Tiere!$BN$2:$BN$153)-1)/(--(SEARCH(AS$2,Tiere!$BN$2:$BN$153)&gt;0)),ROW()-2),1))))))))),"")</f>
        <v>Pferde (&gt;500 kg)&gt; 3 Jahre incl. Fohlen bis 1/2 Jahr</v>
      </c>
      <c r="AS93" s="1601"/>
      <c r="AT93" s="1624" t="str">
        <f>IFERROR(IF($A$10=$BO$1,$BO92,IF($A$10=$BP$1,$BP92,IF($A$10=$BQ$1,$BQ92,IF($A$10=$BR$1,$BR92,IF($A$10=$BS$1,$BS92,IF($A$10=$BT$1,$BT92,IF($A$10=$BU$1,$BU92,IF($A$10="",INDEX(Tiere!$BN$2:$BN$153,_xlfn.AGGREGATE(15,6,(ROW(Tiere!$BN$2:$BN$153)-1)/(--(SEARCH(AU$2,Tiere!$BN$2:$BN$153)&gt;0)),ROW()-2),1))))))))),"")</f>
        <v>Pferde (&gt;500 kg)&gt; 3 Jahre incl. Fohlen bis 1/2 Jahr</v>
      </c>
      <c r="AU93" s="1601"/>
      <c r="AV93" s="1624" t="str">
        <f>IFERROR(IF($A$11=$BO$1,$BO92,IF($A$11=$BP$1,$BP92,IF($A$11=$BQ$1,$BQ92,IF($A$11=$BR$1,$BR92,IF($A$11=$BS$1,$BS92,IF($A$11=$BT$1,$BT92,IF($A$11=$BU$1,$BU92,IF($A$11="",INDEX(Tiere!$BN$2:$BN$153,_xlfn.AGGREGATE(15,6,(ROW(Tiere!$BN$2:$BN$153)-1)/(--(SEARCH(AW$2,Tiere!$BN$2:$BN$153)&gt;0)),ROW()-2),1))))))))),"")</f>
        <v>Pferde (&gt;500 kg)&gt; 3 Jahre incl. Fohlen bis 1/2 Jahr</v>
      </c>
      <c r="AW93" s="1601"/>
      <c r="AX93" s="1624" t="str">
        <f>IFERROR(IF($A$12=$BO$1,$BO92,IF($A$12=$BP$1,$BP92,IF($A$12=$BQ$1,$BQ92,IF($A$12=$BR$1,$BR92,IF($A$12=$BS$1,$BS92,IF($A$12=$BT$1,$BT92,IF($A$12=$BU$1,$BU92,IF($A$12="",INDEX(Tiere!$BN$2:$BN$153,_xlfn.AGGREGATE(15,6,(ROW(Tiere!$BN$2:$BN$153)-1)/(--(SEARCH(AY$2,Tiere!$BN$2:$BN$153)&gt;0)),ROW()-2),1))))))))),"")</f>
        <v>Pferde (&gt;500 kg)&gt; 3 Jahre incl. Fohlen bis 1/2 Jahr</v>
      </c>
      <c r="AY93" s="1601"/>
      <c r="AZ93" s="1624" t="str">
        <f>IFERROR(IF($A$13=$BO$1,$BO92,IF($A$13=$BP$1,$BP92,IF($A$13=$BQ$1,$BQ92,IF($A$13=$BR$1,$BR92,IF($A$13=$BS$1,$BS92,IF($A$13=$BT$1,$BT92,IF($A$13=$BU$1,$BU92,IF($A$13="",INDEX(Tiere!$BN$2:$BN$153,_xlfn.AGGREGATE(15,6,(ROW(Tiere!$BN$2:$BN$153)-1)/(--(SEARCH(BA$2,Tiere!$BN$2:$BN$153)&gt;0)),ROW()-2),1))))))))),"")</f>
        <v>Pferde (&gt;500 kg)&gt; 3 Jahre incl. Fohlen bis 1/2 Jahr</v>
      </c>
      <c r="BA93" s="1601"/>
      <c r="BB93" s="1624" t="str">
        <f>IFERROR(IF($A$14=$BO$1,$BO92,IF($A$14=$BP$1,$BP92,IF($A$14=$BQ$1,$BQ92,IF($A$14=$BR$1,$BR92,IF($A$14=$BS$1,$BS92,IF($A$14=$BT$1,$BT92,IF($A$14=$BU$1,$BU92,IF($A$14="",INDEX(Tiere!$BN$2:$BN$153,_xlfn.AGGREGATE(15,6,(ROW(Tiere!$BN$2:$BN$153)-1)/(--(SEARCH(BC$2,Tiere!$BN$2:$BN$153)&gt;0)),ROW()-2),1))))))))),"")</f>
        <v>Pferde (&gt;500 kg)&gt; 3 Jahre incl. Fohlen bis 1/2 Jahr</v>
      </c>
      <c r="BC93" s="1601"/>
      <c r="BD93" s="1624" t="str">
        <f>IFERROR(IF($A$15=$BO$1,$BO92,IF($A$15=$BP$1,$BP92,IF($A$15=$BQ$1,$BQ92,IF($A$15=$BR$1,$BR92,IF($A$15=$BS$1,$BS92,IF($A$15=$BT$1,$BT92,IF($A$15=$BU$1,$BU92,IF($A$15="",INDEX(Tiere!$BN$2:$BN$153,_xlfn.AGGREGATE(15,6,(ROW(Tiere!$BN$2:$BN$153)-1)/(--(SEARCH(BE$2,Tiere!$BN$2:$BN$153)&gt;0)),ROW()-2),1))))))))),"")</f>
        <v>Pferde (&gt;500 kg)&gt; 3 Jahre incl. Fohlen bis 1/2 Jahr</v>
      </c>
      <c r="BE93" s="1601"/>
      <c r="BF93" s="1624" t="str">
        <f>IFERROR(IF($A$16=$BO$1,$BO92,IF($A$16=$BP$1,$BP92,IF($A$16=$BQ$1,$BQ92,IF($A$16=$BR$1,$BR92,IF($A$16=$BS$1,$BS92,IF($A$16=$BT$1,$BT92,IF($A$16=$BU$1,$BU92,IF($A$16="",INDEX(Tiere!$BN$2:$BN$153,_xlfn.AGGREGATE(15,6,(ROW(Tiere!$BN$2:$BN$153)-1)/(--(SEARCH(BG$2,Tiere!$BN$2:$BN$153)&gt;0)),ROW()-2),1))))))))),"")</f>
        <v>Pferde (&gt;500 kg)&gt; 3 Jahre incl. Fohlen bis 1/2 Jahr</v>
      </c>
      <c r="BG93" s="1601"/>
      <c r="BH93" s="1624" t="str">
        <f>IFERROR(IF($A$17=$BO$1,$BO92,IF($A$17=$BP$1,$BP92,IF($A$17=$BQ$1,$BQ92,IF($A$17=$BR$1,$BR92,IF($A$17=$BS$1,$BS92,IF($A$17=$BT$1,$BT92,IF($A$17=$BU$1,$BU92,IF($A$17="",INDEX(Tiere!$BN$2:$BN$153,_xlfn.AGGREGATE(15,6,(ROW(Tiere!$BN$2:$BN$153)-1)/(--(SEARCH(BI$2,Tiere!$BN$2:$BN$153)&gt;0)),ROW()-2),1))))))))),"")</f>
        <v>Pferde (&gt;500 kg)&gt; 3 Jahre incl. Fohlen bis 1/2 Jahr</v>
      </c>
      <c r="BI93" s="1601"/>
      <c r="BJ93" s="1624" t="str">
        <f>IFERROR(IF($A$18=$BO$1,$BO92,IF($A$18=$BP$1,$BP92,IF($A$18=$BQ$1,$BQ92,IF($A$18=$BR$1,$BR92,IF($A$18=$BS$1,$BS92,IF($A$18=$BT$1,$BT92,IF($A$18=$BU$1,$BU92,IF($A$18="",INDEX(Tiere!$BN$2:$BN$153,_xlfn.AGGREGATE(15,6,(ROW(Tiere!$BN$2:$BN$153)-1)/(--(SEARCH(BK$2,Tiere!$BN$2:$BN$153)&gt;0)),ROW()-2),1))))))))),"")</f>
        <v>Pferde (&gt;500 kg)&gt; 3 Jahre incl. Fohlen bis 1/2 Jahr</v>
      </c>
      <c r="BK93" s="1601"/>
      <c r="BL93" s="1624" t="str">
        <f>IFERROR(IF($A$19=$BO$1,$BO92,IF($A$19=$BP$1,$BP92,IF($A$19=$BQ$1,$BQ92,IF($A$19=$BR$1,$BR92,IF($A$19=$BS$1,$BS92,IF($A$19=$BT$1,$BT92,IF($A$19=$BU$1,$BU92,IF($A$19="",INDEX(Tiere!$BN$2:$BN$153,_xlfn.AGGREGATE(15,6,(ROW(Tiere!$BN$2:$BN$153)-1)/(--(SEARCH(BM$2,Tiere!$BN$2:$BN$153)&gt;0)),ROW()-2),1))))))))),"")</f>
        <v>Pferde (&gt;500 kg)&gt; 3 Jahre incl. Fohlen bis 1/2 Jahr</v>
      </c>
      <c r="BM93" s="1601"/>
      <c r="BN93" s="1630" t="s">
        <v>774</v>
      </c>
      <c r="BO93" s="1599"/>
      <c r="BP93" s="1599"/>
      <c r="BQ93" s="1599"/>
      <c r="BR93" s="1599"/>
      <c r="BS93" s="1599"/>
      <c r="BT93" s="1599"/>
      <c r="BU93" s="1599"/>
      <c r="CD93" s="1911" t="s">
        <v>774</v>
      </c>
    </row>
    <row r="94" spans="36:82" ht="13.5" thickBot="1">
      <c r="AJ94" s="1624" t="str">
        <f>IFERROR(IF($A$5=$BO$1,$BO93,IF($A$5=$BP$1,$BP93,IF($A$5=$BQ$1,$BQ93,IF($A$5=$BR$1,$BR93,IF($A$5=$BS$1,$BS93,IF($A$5=$BT$1,$BT93,IF($A$5=$BU$1,$BU93,IF($A$5="",INDEX(Tiere!$BN$2:$BN$153,_xlfn.AGGREGATE(15,6,(ROW(Tiere!$BN$2:$BN$153)-1)/(--(SEARCH(AK$2,Tiere!$BN$2:$BN$153)&gt;0)),ROW()-2),1))))))))),"")</f>
        <v>Schafe Lämmer bis 1/2 Jahr</v>
      </c>
      <c r="AK94" s="1599"/>
      <c r="AL94" s="1624" t="str">
        <f>IFERROR(IF($A$6=$BO$1,$BO93,IF($A$6=$BP$1,$BP93,IF($A$6=$BQ$1,$BQ93,IF($A$6=$BR$1,$BR93,IF($A$6=$BS$1,$BS93,IF($A$6=$BT$1,$BT93,IF($A$6=$BU$1,$BU93,IF($A$6="",INDEX(Tiere!$BN$2:$BN$153,_xlfn.AGGREGATE(15,6,(ROW(Tiere!$BN$2:$BN$153)-1)/(--(SEARCH(AM$2,Tiere!$BN$2:$BN$153)&gt;0)),ROW()-2),1))))))))),"")</f>
        <v>Schafe Lämmer bis 1/2 Jahr</v>
      </c>
      <c r="AM94" s="1599"/>
      <c r="AN94" s="1624" t="str">
        <f>IFERROR(IF($A$7=$BO$1,$BO93,IF($A$7=$BP$1,$BP93,IF($A$7=$BQ$1,$BQ93,IF($A$7=$BR$1,$BR93,IF($A$7=$BS$1,$BS93,IF($A$7=$BT$1,$BT93,IF($A$7=$BU$1,$BU93,IF($A$7="",INDEX(Tiere!$BN$2:$BN$153,_xlfn.AGGREGATE(15,6,(ROW(Tiere!$BN$2:$BN$153)-1)/(--(SEARCH(AM$2,Tiere!$BN$2:$BN$153)&gt;0)),ROW()-2),1))))))))),"")</f>
        <v>Schafe Lämmer bis 1/2 Jahr</v>
      </c>
      <c r="AO94" s="1599"/>
      <c r="AP94" s="1624" t="str">
        <f>IFERROR(IF($A$8=$BO$1,$BO93,IF($A$8=$BP$1,$BP93,IF($A$8=$BQ$1,$BQ93,IF($A$8=$BR$1,$BR93,IF($A$8=$BS$1,$BS93,IF($A$8=$BT$1,$BT93,IF($A$8=$BU$1,$BU93,IF($A$8="",INDEX(Tiere!$BN$2:$BN$153,_xlfn.AGGREGATE(15,6,(ROW(Tiere!$BN$2:$BN$153)-1)/(--(SEARCH(AQ$2,Tiere!$BN$2:$BN$153)&gt;0)),ROW()-2),1))))))))),"")</f>
        <v>Schafe Lämmer bis 1/2 Jahr</v>
      </c>
      <c r="AQ94" s="1599"/>
      <c r="AR94" s="1624" t="str">
        <f>IFERROR(IF($A$9=$BO$1,$BO93,IF($A$9=$BP$1,$BP93,IF($A$9=$BQ$1,$BQ93,IF($A$9=$BR$1,$BR93,IF($A$9=$BS$1,$BS93,IF($A$9=$BT$1,$BT93,IF($A$9=$BU$1,$BU93,IF($A$9="",INDEX(Tiere!$BN$2:$BN$153,_xlfn.AGGREGATE(15,6,(ROW(Tiere!$BN$2:$BN$153)-1)/(--(SEARCH(AS$2,Tiere!$BN$2:$BN$153)&gt;0)),ROW()-2),1))))))))),"")</f>
        <v>Schafe Lämmer bis 1/2 Jahr</v>
      </c>
      <c r="AS94" s="1599"/>
      <c r="AT94" s="1624" t="str">
        <f>IFERROR(IF($A$10=$BO$1,$BO93,IF($A$10=$BP$1,$BP93,IF($A$10=$BQ$1,$BQ93,IF($A$10=$BR$1,$BR93,IF($A$10=$BS$1,$BS93,IF($A$10=$BT$1,$BT93,IF($A$10=$BU$1,$BU93,IF($A$10="",INDEX(Tiere!$BN$2:$BN$153,_xlfn.AGGREGATE(15,6,(ROW(Tiere!$BN$2:$BN$153)-1)/(--(SEARCH(AU$2,Tiere!$BN$2:$BN$153)&gt;0)),ROW()-2),1))))))))),"")</f>
        <v>Schafe Lämmer bis 1/2 Jahr</v>
      </c>
      <c r="AU94" s="1599"/>
      <c r="AV94" s="1624" t="str">
        <f>IFERROR(IF($A$11=$BO$1,$BO93,IF($A$11=$BP$1,$BP93,IF($A$11=$BQ$1,$BQ93,IF($A$11=$BR$1,$BR93,IF($A$11=$BS$1,$BS93,IF($A$11=$BT$1,$BT93,IF($A$11=$BU$1,$BU93,IF($A$11="",INDEX(Tiere!$BN$2:$BN$153,_xlfn.AGGREGATE(15,6,(ROW(Tiere!$BN$2:$BN$153)-1)/(--(SEARCH(AW$2,Tiere!$BN$2:$BN$153)&gt;0)),ROW()-2),1))))))))),"")</f>
        <v>Schafe Lämmer bis 1/2 Jahr</v>
      </c>
      <c r="AW94" s="1599"/>
      <c r="AX94" s="1624" t="str">
        <f>IFERROR(IF($A$12=$BO$1,$BO93,IF($A$12=$BP$1,$BP93,IF($A$12=$BQ$1,$BQ93,IF($A$12=$BR$1,$BR93,IF($A$12=$BS$1,$BS93,IF($A$12=$BT$1,$BT93,IF($A$12=$BU$1,$BU93,IF($A$12="",INDEX(Tiere!$BN$2:$BN$153,_xlfn.AGGREGATE(15,6,(ROW(Tiere!$BN$2:$BN$153)-1)/(--(SEARCH(AY$2,Tiere!$BN$2:$BN$153)&gt;0)),ROW()-2),1))))))))),"")</f>
        <v>Schafe Lämmer bis 1/2 Jahr</v>
      </c>
      <c r="AY94" s="1599"/>
      <c r="AZ94" s="1624" t="str">
        <f>IFERROR(IF($A$13=$BO$1,$BO93,IF($A$13=$BP$1,$BP93,IF($A$13=$BQ$1,$BQ93,IF($A$13=$BR$1,$BR93,IF($A$13=$BS$1,$BS93,IF($A$13=$BT$1,$BT93,IF($A$13=$BU$1,$BU93,IF($A$13="",INDEX(Tiere!$BN$2:$BN$153,_xlfn.AGGREGATE(15,6,(ROW(Tiere!$BN$2:$BN$153)-1)/(--(SEARCH(BA$2,Tiere!$BN$2:$BN$153)&gt;0)),ROW()-2),1))))))))),"")</f>
        <v>Schafe Lämmer bis 1/2 Jahr</v>
      </c>
      <c r="BA94" s="1599"/>
      <c r="BB94" s="1624" t="str">
        <f>IFERROR(IF($A$14=$BO$1,$BO93,IF($A$14=$BP$1,$BP93,IF($A$14=$BQ$1,$BQ93,IF($A$14=$BR$1,$BR93,IF($A$14=$BS$1,$BS93,IF($A$14=$BT$1,$BT93,IF($A$14=$BU$1,$BU93,IF($A$14="",INDEX(Tiere!$BN$2:$BN$153,_xlfn.AGGREGATE(15,6,(ROW(Tiere!$BN$2:$BN$153)-1)/(--(SEARCH(BC$2,Tiere!$BN$2:$BN$153)&gt;0)),ROW()-2),1))))))))),"")</f>
        <v>Schafe Lämmer bis 1/2 Jahr</v>
      </c>
      <c r="BC94" s="1599"/>
      <c r="BD94" s="1624" t="str">
        <f>IFERROR(IF($A$15=$BO$1,$BO93,IF($A$15=$BP$1,$BP93,IF($A$15=$BQ$1,$BQ93,IF($A$15=$BR$1,$BR93,IF($A$15=$BS$1,$BS93,IF($A$15=$BT$1,$BT93,IF($A$15=$BU$1,$BU93,IF($A$15="",INDEX(Tiere!$BN$2:$BN$153,_xlfn.AGGREGATE(15,6,(ROW(Tiere!$BN$2:$BN$153)-1)/(--(SEARCH(BE$2,Tiere!$BN$2:$BN$153)&gt;0)),ROW()-2),1))))))))),"")</f>
        <v>Schafe Lämmer bis 1/2 Jahr</v>
      </c>
      <c r="BE94" s="1599"/>
      <c r="BF94" s="1624" t="str">
        <f>IFERROR(IF($A$16=$BO$1,$BO93,IF($A$16=$BP$1,$BP93,IF($A$16=$BQ$1,$BQ93,IF($A$16=$BR$1,$BR93,IF($A$16=$BS$1,$BS93,IF($A$16=$BT$1,$BT93,IF($A$16=$BU$1,$BU93,IF($A$16="",INDEX(Tiere!$BN$2:$BN$153,_xlfn.AGGREGATE(15,6,(ROW(Tiere!$BN$2:$BN$153)-1)/(--(SEARCH(BG$2,Tiere!$BN$2:$BN$153)&gt;0)),ROW()-2),1))))))))),"")</f>
        <v>Schafe Lämmer bis 1/2 Jahr</v>
      </c>
      <c r="BG94" s="1599"/>
      <c r="BH94" s="1624" t="str">
        <f>IFERROR(IF($A$17=$BO$1,$BO93,IF($A$17=$BP$1,$BP93,IF($A$17=$BQ$1,$BQ93,IF($A$17=$BR$1,$BR93,IF($A$17=$BS$1,$BS93,IF($A$17=$BT$1,$BT93,IF($A$17=$BU$1,$BU93,IF($A$17="",INDEX(Tiere!$BN$2:$BN$153,_xlfn.AGGREGATE(15,6,(ROW(Tiere!$BN$2:$BN$153)-1)/(--(SEARCH(BI$2,Tiere!$BN$2:$BN$153)&gt;0)),ROW()-2),1))))))))),"")</f>
        <v>Schafe Lämmer bis 1/2 Jahr</v>
      </c>
      <c r="BI94" s="1599"/>
      <c r="BJ94" s="1624" t="str">
        <f>IFERROR(IF($A$18=$BO$1,$BO93,IF($A$18=$BP$1,$BP93,IF($A$18=$BQ$1,$BQ93,IF($A$18=$BR$1,$BR93,IF($A$18=$BS$1,$BS93,IF($A$18=$BT$1,$BT93,IF($A$18=$BU$1,$BU93,IF($A$18="",INDEX(Tiere!$BN$2:$BN$153,_xlfn.AGGREGATE(15,6,(ROW(Tiere!$BN$2:$BN$153)-1)/(--(SEARCH(BK$2,Tiere!$BN$2:$BN$153)&gt;0)),ROW()-2),1))))))))),"")</f>
        <v>Schafe Lämmer bis 1/2 Jahr</v>
      </c>
      <c r="BK94" s="1599"/>
      <c r="BL94" s="1624" t="str">
        <f>IFERROR(IF($A$19=$BO$1,$BO93,IF($A$19=$BP$1,$BP93,IF($A$19=$BQ$1,$BQ93,IF($A$19=$BR$1,$BR93,IF($A$19=$BS$1,$BS93,IF($A$19=$BT$1,$BT93,IF($A$19=$BU$1,$BU93,IF($A$19="",INDEX(Tiere!$BN$2:$BN$153,_xlfn.AGGREGATE(15,6,(ROW(Tiere!$BN$2:$BN$153)-1)/(--(SEARCH(BM$2,Tiere!$BN$2:$BN$153)&gt;0)),ROW()-2),1))))))))),"")</f>
        <v>Schafe Lämmer bis 1/2 Jahr</v>
      </c>
      <c r="BM94" s="1599"/>
      <c r="BN94" s="1630" t="s">
        <v>775</v>
      </c>
      <c r="BO94" s="1599"/>
      <c r="BP94" s="1599"/>
      <c r="BQ94" s="1599"/>
      <c r="BR94" s="1599"/>
      <c r="BS94" s="1599"/>
      <c r="BT94" s="1599"/>
      <c r="BU94" s="1599"/>
      <c r="CD94" s="1911" t="s">
        <v>775</v>
      </c>
    </row>
    <row r="95" spans="36:82" ht="13.5" thickBot="1">
      <c r="AJ95" s="1624" t="str">
        <f>IFERROR(IF($A$5=$BO$1,$BO94,IF($A$5=$BP$1,$BP94,IF($A$5=$BQ$1,$BQ94,IF($A$5=$BR$1,$BR94,IF($A$5=$BS$1,$BS94,IF($A$5=$BT$1,$BT94,IF($A$5=$BU$1,$BU94,IF($A$5="",INDEX(Tiere!$BN$2:$BN$153,_xlfn.AGGREGATE(15,6,(ROW(Tiere!$BN$2:$BN$153)-1)/(--(SEARCH(AK$2,Tiere!$BN$2:$BN$153)&gt;0)),ROW()-2),1))))))))),"")</f>
        <v>Schafe ab 1/2 Jahr bis 1,5 Jahre</v>
      </c>
      <c r="AK95" s="1601"/>
      <c r="AL95" s="1624" t="str">
        <f>IFERROR(IF($A$6=$BO$1,$BO94,IF($A$6=$BP$1,$BP94,IF($A$6=$BQ$1,$BQ94,IF($A$6=$BR$1,$BR94,IF($A$6=$BS$1,$BS94,IF($A$6=$BT$1,$BT94,IF($A$6=$BU$1,$BU94,IF($A$6="",INDEX(Tiere!$BN$2:$BN$153,_xlfn.AGGREGATE(15,6,(ROW(Tiere!$BN$2:$BN$153)-1)/(--(SEARCH(AM$2,Tiere!$BN$2:$BN$153)&gt;0)),ROW()-2),1))))))))),"")</f>
        <v>Schafe ab 1/2 Jahr bis 1,5 Jahre</v>
      </c>
      <c r="AM95" s="1601"/>
      <c r="AN95" s="1624" t="str">
        <f>IFERROR(IF($A$7=$BO$1,$BO94,IF($A$7=$BP$1,$BP94,IF($A$7=$BQ$1,$BQ94,IF($A$7=$BR$1,$BR94,IF($A$7=$BS$1,$BS94,IF($A$7=$BT$1,$BT94,IF($A$7=$BU$1,$BU94,IF($A$7="",INDEX(Tiere!$BN$2:$BN$153,_xlfn.AGGREGATE(15,6,(ROW(Tiere!$BN$2:$BN$153)-1)/(--(SEARCH(AM$2,Tiere!$BN$2:$BN$153)&gt;0)),ROW()-2),1))))))))),"")</f>
        <v>Schafe ab 1/2 Jahr bis 1,5 Jahre</v>
      </c>
      <c r="AO95" s="1601"/>
      <c r="AP95" s="1624" t="str">
        <f>IFERROR(IF($A$8=$BO$1,$BO94,IF($A$8=$BP$1,$BP94,IF($A$8=$BQ$1,$BQ94,IF($A$8=$BR$1,$BR94,IF($A$8=$BS$1,$BS94,IF($A$8=$BT$1,$BT94,IF($A$8=$BU$1,$BU94,IF($A$8="",INDEX(Tiere!$BN$2:$BN$153,_xlfn.AGGREGATE(15,6,(ROW(Tiere!$BN$2:$BN$153)-1)/(--(SEARCH(AQ$2,Tiere!$BN$2:$BN$153)&gt;0)),ROW()-2),1))))))))),"")</f>
        <v>Schafe ab 1/2 Jahr bis 1,5 Jahre</v>
      </c>
      <c r="AQ95" s="1601"/>
      <c r="AR95" s="1624" t="str">
        <f>IFERROR(IF($A$9=$BO$1,$BO94,IF($A$9=$BP$1,$BP94,IF($A$9=$BQ$1,$BQ94,IF($A$9=$BR$1,$BR94,IF($A$9=$BS$1,$BS94,IF($A$9=$BT$1,$BT94,IF($A$9=$BU$1,$BU94,IF($A$9="",INDEX(Tiere!$BN$2:$BN$153,_xlfn.AGGREGATE(15,6,(ROW(Tiere!$BN$2:$BN$153)-1)/(--(SEARCH(AS$2,Tiere!$BN$2:$BN$153)&gt;0)),ROW()-2),1))))))))),"")</f>
        <v>Schafe ab 1/2 Jahr bis 1,5 Jahre</v>
      </c>
      <c r="AS95" s="1601"/>
      <c r="AT95" s="1624" t="str">
        <f>IFERROR(IF($A$10=$BO$1,$BO94,IF($A$10=$BP$1,$BP94,IF($A$10=$BQ$1,$BQ94,IF($A$10=$BR$1,$BR94,IF($A$10=$BS$1,$BS94,IF($A$10=$BT$1,$BT94,IF($A$10=$BU$1,$BU94,IF($A$10="",INDEX(Tiere!$BN$2:$BN$153,_xlfn.AGGREGATE(15,6,(ROW(Tiere!$BN$2:$BN$153)-1)/(--(SEARCH(AU$2,Tiere!$BN$2:$BN$153)&gt;0)),ROW()-2),1))))))))),"")</f>
        <v>Schafe ab 1/2 Jahr bis 1,5 Jahre</v>
      </c>
      <c r="AU95" s="1601"/>
      <c r="AV95" s="1624" t="str">
        <f>IFERROR(IF($A$11=$BO$1,$BO94,IF($A$11=$BP$1,$BP94,IF($A$11=$BQ$1,$BQ94,IF($A$11=$BR$1,$BR94,IF($A$11=$BS$1,$BS94,IF($A$11=$BT$1,$BT94,IF($A$11=$BU$1,$BU94,IF($A$11="",INDEX(Tiere!$BN$2:$BN$153,_xlfn.AGGREGATE(15,6,(ROW(Tiere!$BN$2:$BN$153)-1)/(--(SEARCH(AW$2,Tiere!$BN$2:$BN$153)&gt;0)),ROW()-2),1))))))))),"")</f>
        <v>Schafe ab 1/2 Jahr bis 1,5 Jahre</v>
      </c>
      <c r="AW95" s="1601"/>
      <c r="AX95" s="1624" t="str">
        <f>IFERROR(IF($A$12=$BO$1,$BO94,IF($A$12=$BP$1,$BP94,IF($A$12=$BQ$1,$BQ94,IF($A$12=$BR$1,$BR94,IF($A$12=$BS$1,$BS94,IF($A$12=$BT$1,$BT94,IF($A$12=$BU$1,$BU94,IF($A$12="",INDEX(Tiere!$BN$2:$BN$153,_xlfn.AGGREGATE(15,6,(ROW(Tiere!$BN$2:$BN$153)-1)/(--(SEARCH(AY$2,Tiere!$BN$2:$BN$153)&gt;0)),ROW()-2),1))))))))),"")</f>
        <v>Schafe ab 1/2 Jahr bis 1,5 Jahre</v>
      </c>
      <c r="AY95" s="1601"/>
      <c r="AZ95" s="1624" t="str">
        <f>IFERROR(IF($A$13=$BO$1,$BO94,IF($A$13=$BP$1,$BP94,IF($A$13=$BQ$1,$BQ94,IF($A$13=$BR$1,$BR94,IF($A$13=$BS$1,$BS94,IF($A$13=$BT$1,$BT94,IF($A$13=$BU$1,$BU94,IF($A$13="",INDEX(Tiere!$BN$2:$BN$153,_xlfn.AGGREGATE(15,6,(ROW(Tiere!$BN$2:$BN$153)-1)/(--(SEARCH(BA$2,Tiere!$BN$2:$BN$153)&gt;0)),ROW()-2),1))))))))),"")</f>
        <v>Schafe ab 1/2 Jahr bis 1,5 Jahre</v>
      </c>
      <c r="BA95" s="1601"/>
      <c r="BB95" s="1624" t="str">
        <f>IFERROR(IF($A$14=$BO$1,$BO94,IF($A$14=$BP$1,$BP94,IF($A$14=$BQ$1,$BQ94,IF($A$14=$BR$1,$BR94,IF($A$14=$BS$1,$BS94,IF($A$14=$BT$1,$BT94,IF($A$14=$BU$1,$BU94,IF($A$14="",INDEX(Tiere!$BN$2:$BN$153,_xlfn.AGGREGATE(15,6,(ROW(Tiere!$BN$2:$BN$153)-1)/(--(SEARCH(BC$2,Tiere!$BN$2:$BN$153)&gt;0)),ROW()-2),1))))))))),"")</f>
        <v>Schafe ab 1/2 Jahr bis 1,5 Jahre</v>
      </c>
      <c r="BC95" s="1601"/>
      <c r="BD95" s="1624" t="str">
        <f>IFERROR(IF($A$15=$BO$1,$BO94,IF($A$15=$BP$1,$BP94,IF($A$15=$BQ$1,$BQ94,IF($A$15=$BR$1,$BR94,IF($A$15=$BS$1,$BS94,IF($A$15=$BT$1,$BT94,IF($A$15=$BU$1,$BU94,IF($A$15="",INDEX(Tiere!$BN$2:$BN$153,_xlfn.AGGREGATE(15,6,(ROW(Tiere!$BN$2:$BN$153)-1)/(--(SEARCH(BE$2,Tiere!$BN$2:$BN$153)&gt;0)),ROW()-2),1))))))))),"")</f>
        <v>Schafe ab 1/2 Jahr bis 1,5 Jahre</v>
      </c>
      <c r="BE95" s="1601"/>
      <c r="BF95" s="1624" t="str">
        <f>IFERROR(IF($A$16=$BO$1,$BO94,IF($A$16=$BP$1,$BP94,IF($A$16=$BQ$1,$BQ94,IF($A$16=$BR$1,$BR94,IF($A$16=$BS$1,$BS94,IF($A$16=$BT$1,$BT94,IF($A$16=$BU$1,$BU94,IF($A$16="",INDEX(Tiere!$BN$2:$BN$153,_xlfn.AGGREGATE(15,6,(ROW(Tiere!$BN$2:$BN$153)-1)/(--(SEARCH(BG$2,Tiere!$BN$2:$BN$153)&gt;0)),ROW()-2),1))))))))),"")</f>
        <v>Schafe ab 1/2 Jahr bis 1,5 Jahre</v>
      </c>
      <c r="BG95" s="1601"/>
      <c r="BH95" s="1624" t="str">
        <f>IFERROR(IF($A$17=$BO$1,$BO94,IF($A$17=$BP$1,$BP94,IF($A$17=$BQ$1,$BQ94,IF($A$17=$BR$1,$BR94,IF($A$17=$BS$1,$BS94,IF($A$17=$BT$1,$BT94,IF($A$17=$BU$1,$BU94,IF($A$17="",INDEX(Tiere!$BN$2:$BN$153,_xlfn.AGGREGATE(15,6,(ROW(Tiere!$BN$2:$BN$153)-1)/(--(SEARCH(BI$2,Tiere!$BN$2:$BN$153)&gt;0)),ROW()-2),1))))))))),"")</f>
        <v>Schafe ab 1/2 Jahr bis 1,5 Jahre</v>
      </c>
      <c r="BI95" s="1601"/>
      <c r="BJ95" s="1624" t="str">
        <f>IFERROR(IF($A$18=$BO$1,$BO94,IF($A$18=$BP$1,$BP94,IF($A$18=$BQ$1,$BQ94,IF($A$18=$BR$1,$BR94,IF($A$18=$BS$1,$BS94,IF($A$18=$BT$1,$BT94,IF($A$18=$BU$1,$BU94,IF($A$18="",INDEX(Tiere!$BN$2:$BN$153,_xlfn.AGGREGATE(15,6,(ROW(Tiere!$BN$2:$BN$153)-1)/(--(SEARCH(BK$2,Tiere!$BN$2:$BN$153)&gt;0)),ROW()-2),1))))))))),"")</f>
        <v>Schafe ab 1/2 Jahr bis 1,5 Jahre</v>
      </c>
      <c r="BK95" s="1601"/>
      <c r="BL95" s="1624" t="str">
        <f>IFERROR(IF($A$19=$BO$1,$BO94,IF($A$19=$BP$1,$BP94,IF($A$19=$BQ$1,$BQ94,IF($A$19=$BR$1,$BR94,IF($A$19=$BS$1,$BS94,IF($A$19=$BT$1,$BT94,IF($A$19=$BU$1,$BU94,IF($A$19="",INDEX(Tiere!$BN$2:$BN$153,_xlfn.AGGREGATE(15,6,(ROW(Tiere!$BN$2:$BN$153)-1)/(--(SEARCH(BM$2,Tiere!$BN$2:$BN$153)&gt;0)),ROW()-2),1))))))))),"")</f>
        <v>Schafe ab 1/2 Jahr bis 1,5 Jahre</v>
      </c>
      <c r="BM95" s="1601"/>
      <c r="BN95" s="1630" t="s">
        <v>776</v>
      </c>
      <c r="BO95" s="1599"/>
      <c r="BP95" s="1599"/>
      <c r="BQ95" s="1599"/>
      <c r="BR95" s="1599"/>
      <c r="BS95" s="1599"/>
      <c r="BT95" s="1599"/>
      <c r="BU95" s="1599"/>
      <c r="CD95" s="1911" t="s">
        <v>776</v>
      </c>
    </row>
    <row r="96" spans="36:82" ht="13.5" thickBot="1">
      <c r="AJ96" s="1624" t="str">
        <f>IFERROR(IF($A$5=$BO$1,$BO95,IF($A$5=$BP$1,$BP95,IF($A$5=$BQ$1,$BQ95,IF($A$5=$BR$1,$BR95,IF($A$5=$BS$1,$BS95,IF($A$5=$BT$1,$BT95,IF($A$5=$BU$1,$BU95,IF($A$5="",INDEX(Tiere!$BN$2:$BN$153,_xlfn.AGGREGATE(15,6,(ROW(Tiere!$BN$2:$BN$153)-1)/(--(SEARCH(AK$2,Tiere!$BN$2:$BN$153)&gt;0)),ROW()-2),1))))))))),"")</f>
        <v>Mutterschafe</v>
      </c>
      <c r="AK96" s="1599"/>
      <c r="AL96" s="1624" t="str">
        <f>IFERROR(IF($A$6=$BO$1,$BO95,IF($A$6=$BP$1,$BP95,IF($A$6=$BQ$1,$BQ95,IF($A$6=$BR$1,$BR95,IF($A$6=$BS$1,$BS95,IF($A$6=$BT$1,$BT95,IF($A$6=$BU$1,$BU95,IF($A$6="",INDEX(Tiere!$BN$2:$BN$153,_xlfn.AGGREGATE(15,6,(ROW(Tiere!$BN$2:$BN$153)-1)/(--(SEARCH(AM$2,Tiere!$BN$2:$BN$153)&gt;0)),ROW()-2),1))))))))),"")</f>
        <v>Mutterschafe</v>
      </c>
      <c r="AM96" s="1599"/>
      <c r="AN96" s="1624" t="str">
        <f>IFERROR(IF($A$7=$BO$1,$BO95,IF($A$7=$BP$1,$BP95,IF($A$7=$BQ$1,$BQ95,IF($A$7=$BR$1,$BR95,IF($A$7=$BS$1,$BS95,IF($A$7=$BT$1,$BT95,IF($A$7=$BU$1,$BU95,IF($A$7="",INDEX(Tiere!$BN$2:$BN$153,_xlfn.AGGREGATE(15,6,(ROW(Tiere!$BN$2:$BN$153)-1)/(--(SEARCH(AM$2,Tiere!$BN$2:$BN$153)&gt;0)),ROW()-2),1))))))))),"")</f>
        <v>Mutterschafe</v>
      </c>
      <c r="AO96" s="1599"/>
      <c r="AP96" s="1624" t="str">
        <f>IFERROR(IF($A$8=$BO$1,$BO95,IF($A$8=$BP$1,$BP95,IF($A$8=$BQ$1,$BQ95,IF($A$8=$BR$1,$BR95,IF($A$8=$BS$1,$BS95,IF($A$8=$BT$1,$BT95,IF($A$8=$BU$1,$BU95,IF($A$8="",INDEX(Tiere!$BN$2:$BN$153,_xlfn.AGGREGATE(15,6,(ROW(Tiere!$BN$2:$BN$153)-1)/(--(SEARCH(AQ$2,Tiere!$BN$2:$BN$153)&gt;0)),ROW()-2),1))))))))),"")</f>
        <v>Mutterschafe</v>
      </c>
      <c r="AQ96" s="1599"/>
      <c r="AR96" s="1624" t="str">
        <f>IFERROR(IF($A$9=$BO$1,$BO95,IF($A$9=$BP$1,$BP95,IF($A$9=$BQ$1,$BQ95,IF($A$9=$BR$1,$BR95,IF($A$9=$BS$1,$BS95,IF($A$9=$BT$1,$BT95,IF($A$9=$BU$1,$BU95,IF($A$9="",INDEX(Tiere!$BN$2:$BN$153,_xlfn.AGGREGATE(15,6,(ROW(Tiere!$BN$2:$BN$153)-1)/(--(SEARCH(AS$2,Tiere!$BN$2:$BN$153)&gt;0)),ROW()-2),1))))))))),"")</f>
        <v>Mutterschafe</v>
      </c>
      <c r="AS96" s="1599"/>
      <c r="AT96" s="1624" t="str">
        <f>IFERROR(IF($A$10=$BO$1,$BO95,IF($A$10=$BP$1,$BP95,IF($A$10=$BQ$1,$BQ95,IF($A$10=$BR$1,$BR95,IF($A$10=$BS$1,$BS95,IF($A$10=$BT$1,$BT95,IF($A$10=$BU$1,$BU95,IF($A$10="",INDEX(Tiere!$BN$2:$BN$153,_xlfn.AGGREGATE(15,6,(ROW(Tiere!$BN$2:$BN$153)-1)/(--(SEARCH(AU$2,Tiere!$BN$2:$BN$153)&gt;0)),ROW()-2),1))))))))),"")</f>
        <v>Mutterschafe</v>
      </c>
      <c r="AU96" s="1599"/>
      <c r="AV96" s="1624" t="str">
        <f>IFERROR(IF($A$11=$BO$1,$BO95,IF($A$11=$BP$1,$BP95,IF($A$11=$BQ$1,$BQ95,IF($A$11=$BR$1,$BR95,IF($A$11=$BS$1,$BS95,IF($A$11=$BT$1,$BT95,IF($A$11=$BU$1,$BU95,IF($A$11="",INDEX(Tiere!$BN$2:$BN$153,_xlfn.AGGREGATE(15,6,(ROW(Tiere!$BN$2:$BN$153)-1)/(--(SEARCH(AW$2,Tiere!$BN$2:$BN$153)&gt;0)),ROW()-2),1))))))))),"")</f>
        <v>Mutterschafe</v>
      </c>
      <c r="AW96" s="1599"/>
      <c r="AX96" s="1624" t="str">
        <f>IFERROR(IF($A$12=$BO$1,$BO95,IF($A$12=$BP$1,$BP95,IF($A$12=$BQ$1,$BQ95,IF($A$12=$BR$1,$BR95,IF($A$12=$BS$1,$BS95,IF($A$12=$BT$1,$BT95,IF($A$12=$BU$1,$BU95,IF($A$12="",INDEX(Tiere!$BN$2:$BN$153,_xlfn.AGGREGATE(15,6,(ROW(Tiere!$BN$2:$BN$153)-1)/(--(SEARCH(AY$2,Tiere!$BN$2:$BN$153)&gt;0)),ROW()-2),1))))))))),"")</f>
        <v>Mutterschafe</v>
      </c>
      <c r="AY96" s="1599"/>
      <c r="AZ96" s="1624" t="str">
        <f>IFERROR(IF($A$13=$BO$1,$BO95,IF($A$13=$BP$1,$BP95,IF($A$13=$BQ$1,$BQ95,IF($A$13=$BR$1,$BR95,IF($A$13=$BS$1,$BS95,IF($A$13=$BT$1,$BT95,IF($A$13=$BU$1,$BU95,IF($A$13="",INDEX(Tiere!$BN$2:$BN$153,_xlfn.AGGREGATE(15,6,(ROW(Tiere!$BN$2:$BN$153)-1)/(--(SEARCH(BA$2,Tiere!$BN$2:$BN$153)&gt;0)),ROW()-2),1))))))))),"")</f>
        <v>Mutterschafe</v>
      </c>
      <c r="BA96" s="1599"/>
      <c r="BB96" s="1624" t="str">
        <f>IFERROR(IF($A$14=$BO$1,$BO95,IF($A$14=$BP$1,$BP95,IF($A$14=$BQ$1,$BQ95,IF($A$14=$BR$1,$BR95,IF($A$14=$BS$1,$BS95,IF($A$14=$BT$1,$BT95,IF($A$14=$BU$1,$BU95,IF($A$14="",INDEX(Tiere!$BN$2:$BN$153,_xlfn.AGGREGATE(15,6,(ROW(Tiere!$BN$2:$BN$153)-1)/(--(SEARCH(BC$2,Tiere!$BN$2:$BN$153)&gt;0)),ROW()-2),1))))))))),"")</f>
        <v>Mutterschafe</v>
      </c>
      <c r="BC96" s="1599"/>
      <c r="BD96" s="1624" t="str">
        <f>IFERROR(IF($A$15=$BO$1,$BO95,IF($A$15=$BP$1,$BP95,IF($A$15=$BQ$1,$BQ95,IF($A$15=$BR$1,$BR95,IF($A$15=$BS$1,$BS95,IF($A$15=$BT$1,$BT95,IF($A$15=$BU$1,$BU95,IF($A$15="",INDEX(Tiere!$BN$2:$BN$153,_xlfn.AGGREGATE(15,6,(ROW(Tiere!$BN$2:$BN$153)-1)/(--(SEARCH(BE$2,Tiere!$BN$2:$BN$153)&gt;0)),ROW()-2),1))))))))),"")</f>
        <v>Mutterschafe</v>
      </c>
      <c r="BE96" s="1599"/>
      <c r="BF96" s="1624" t="str">
        <f>IFERROR(IF($A$16=$BO$1,$BO95,IF($A$16=$BP$1,$BP95,IF($A$16=$BQ$1,$BQ95,IF($A$16=$BR$1,$BR95,IF($A$16=$BS$1,$BS95,IF($A$16=$BT$1,$BT95,IF($A$16=$BU$1,$BU95,IF($A$16="",INDEX(Tiere!$BN$2:$BN$153,_xlfn.AGGREGATE(15,6,(ROW(Tiere!$BN$2:$BN$153)-1)/(--(SEARCH(BG$2,Tiere!$BN$2:$BN$153)&gt;0)),ROW()-2),1))))))))),"")</f>
        <v>Mutterschafe</v>
      </c>
      <c r="BG96" s="1599"/>
      <c r="BH96" s="1624" t="str">
        <f>IFERROR(IF($A$17=$BO$1,$BO95,IF($A$17=$BP$1,$BP95,IF($A$17=$BQ$1,$BQ95,IF($A$17=$BR$1,$BR95,IF($A$17=$BS$1,$BS95,IF($A$17=$BT$1,$BT95,IF($A$17=$BU$1,$BU95,IF($A$17="",INDEX(Tiere!$BN$2:$BN$153,_xlfn.AGGREGATE(15,6,(ROW(Tiere!$BN$2:$BN$153)-1)/(--(SEARCH(BI$2,Tiere!$BN$2:$BN$153)&gt;0)),ROW()-2),1))))))))),"")</f>
        <v>Mutterschafe</v>
      </c>
      <c r="BI96" s="1599"/>
      <c r="BJ96" s="1624" t="str">
        <f>IFERROR(IF($A$18=$BO$1,$BO95,IF($A$18=$BP$1,$BP95,IF($A$18=$BQ$1,$BQ95,IF($A$18=$BR$1,$BR95,IF($A$18=$BS$1,$BS95,IF($A$18=$BT$1,$BT95,IF($A$18=$BU$1,$BU95,IF($A$18="",INDEX(Tiere!$BN$2:$BN$153,_xlfn.AGGREGATE(15,6,(ROW(Tiere!$BN$2:$BN$153)-1)/(--(SEARCH(BK$2,Tiere!$BN$2:$BN$153)&gt;0)),ROW()-2),1))))))))),"")</f>
        <v>Mutterschafe</v>
      </c>
      <c r="BK96" s="1599"/>
      <c r="BL96" s="1624" t="str">
        <f>IFERROR(IF($A$19=$BO$1,$BO95,IF($A$19=$BP$1,$BP95,IF($A$19=$BQ$1,$BQ95,IF($A$19=$BR$1,$BR95,IF($A$19=$BS$1,$BS95,IF($A$19=$BT$1,$BT95,IF($A$19=$BU$1,$BU95,IF($A$19="",INDEX(Tiere!$BN$2:$BN$153,_xlfn.AGGREGATE(15,6,(ROW(Tiere!$BN$2:$BN$153)-1)/(--(SEARCH(BM$2,Tiere!$BN$2:$BN$153)&gt;0)),ROW()-2),1))))))))),"")</f>
        <v>Mutterschafe</v>
      </c>
      <c r="BM96" s="1599"/>
      <c r="BN96" s="1630" t="s">
        <v>777</v>
      </c>
      <c r="BO96" s="1599"/>
      <c r="BP96" s="1599"/>
      <c r="BQ96" s="1599"/>
      <c r="BR96" s="1599"/>
      <c r="BS96" s="1599"/>
      <c r="BT96" s="1599"/>
      <c r="BU96" s="1599"/>
      <c r="CD96" s="1911" t="s">
        <v>777</v>
      </c>
    </row>
    <row r="97" spans="36:82" ht="13.5" thickBot="1">
      <c r="AJ97" s="1624" t="str">
        <f>IFERROR(IF($A$5=$BO$1,$BO96,IF($A$5=$BP$1,$BP96,IF($A$5=$BQ$1,$BQ96,IF($A$5=$BR$1,$BR96,IF($A$5=$BS$1,$BS96,IF($A$5=$BT$1,$BT96,IF($A$5=$BU$1,$BU96,IF($A$5="",INDEX(Tiere!$BN$2:$BN$153,_xlfn.AGGREGATE(15,6,(ROW(Tiere!$BN$2:$BN$153)-1)/(--(SEARCH(AK$2,Tiere!$BN$2:$BN$153)&gt;0)),ROW()-2),1))))))))),"")</f>
        <v>Ziegen bis 1/2 Jahr</v>
      </c>
      <c r="AK97" s="1601"/>
      <c r="AL97" s="1624" t="str">
        <f>IFERROR(IF($A$6=$BO$1,$BO96,IF($A$6=$BP$1,$BP96,IF($A$6=$BQ$1,$BQ96,IF($A$6=$BR$1,$BR96,IF($A$6=$BS$1,$BS96,IF($A$6=$BT$1,$BT96,IF($A$6=$BU$1,$BU96,IF($A$6="",INDEX(Tiere!$BN$2:$BN$153,_xlfn.AGGREGATE(15,6,(ROW(Tiere!$BN$2:$BN$153)-1)/(--(SEARCH(AM$2,Tiere!$BN$2:$BN$153)&gt;0)),ROW()-2),1))))))))),"")</f>
        <v>Ziegen bis 1/2 Jahr</v>
      </c>
      <c r="AM97" s="1601"/>
      <c r="AN97" s="1624" t="str">
        <f>IFERROR(IF($A$7=$BO$1,$BO96,IF($A$7=$BP$1,$BP96,IF($A$7=$BQ$1,$BQ96,IF($A$7=$BR$1,$BR96,IF($A$7=$BS$1,$BS96,IF($A$7=$BT$1,$BT96,IF($A$7=$BU$1,$BU96,IF($A$7="",INDEX(Tiere!$BN$2:$BN$153,_xlfn.AGGREGATE(15,6,(ROW(Tiere!$BN$2:$BN$153)-1)/(--(SEARCH(AM$2,Tiere!$BN$2:$BN$153)&gt;0)),ROW()-2),1))))))))),"")</f>
        <v>Ziegen bis 1/2 Jahr</v>
      </c>
      <c r="AO97" s="1601"/>
      <c r="AP97" s="1624" t="str">
        <f>IFERROR(IF($A$8=$BO$1,$BO96,IF($A$8=$BP$1,$BP96,IF($A$8=$BQ$1,$BQ96,IF($A$8=$BR$1,$BR96,IF($A$8=$BS$1,$BS96,IF($A$8=$BT$1,$BT96,IF($A$8=$BU$1,$BU96,IF($A$8="",INDEX(Tiere!$BN$2:$BN$153,_xlfn.AGGREGATE(15,6,(ROW(Tiere!$BN$2:$BN$153)-1)/(--(SEARCH(AQ$2,Tiere!$BN$2:$BN$153)&gt;0)),ROW()-2),1))))))))),"")</f>
        <v>Ziegen bis 1/2 Jahr</v>
      </c>
      <c r="AQ97" s="1601"/>
      <c r="AR97" s="1624" t="str">
        <f>IFERROR(IF($A$9=$BO$1,$BO96,IF($A$9=$BP$1,$BP96,IF($A$9=$BQ$1,$BQ96,IF($A$9=$BR$1,$BR96,IF($A$9=$BS$1,$BS96,IF($A$9=$BT$1,$BT96,IF($A$9=$BU$1,$BU96,IF($A$9="",INDEX(Tiere!$BN$2:$BN$153,_xlfn.AGGREGATE(15,6,(ROW(Tiere!$BN$2:$BN$153)-1)/(--(SEARCH(AS$2,Tiere!$BN$2:$BN$153)&gt;0)),ROW()-2),1))))))))),"")</f>
        <v>Ziegen bis 1/2 Jahr</v>
      </c>
      <c r="AS97" s="1601"/>
      <c r="AT97" s="1624" t="str">
        <f>IFERROR(IF($A$10=$BO$1,$BO96,IF($A$10=$BP$1,$BP96,IF($A$10=$BQ$1,$BQ96,IF($A$10=$BR$1,$BR96,IF($A$10=$BS$1,$BS96,IF($A$10=$BT$1,$BT96,IF($A$10=$BU$1,$BU96,IF($A$10="",INDEX(Tiere!$BN$2:$BN$153,_xlfn.AGGREGATE(15,6,(ROW(Tiere!$BN$2:$BN$153)-1)/(--(SEARCH(AU$2,Tiere!$BN$2:$BN$153)&gt;0)),ROW()-2),1))))))))),"")</f>
        <v>Ziegen bis 1/2 Jahr</v>
      </c>
      <c r="AU97" s="1601"/>
      <c r="AV97" s="1624" t="str">
        <f>IFERROR(IF($A$11=$BO$1,$BO96,IF($A$11=$BP$1,$BP96,IF($A$11=$BQ$1,$BQ96,IF($A$11=$BR$1,$BR96,IF($A$11=$BS$1,$BS96,IF($A$11=$BT$1,$BT96,IF($A$11=$BU$1,$BU96,IF($A$11="",INDEX(Tiere!$BN$2:$BN$153,_xlfn.AGGREGATE(15,6,(ROW(Tiere!$BN$2:$BN$153)-1)/(--(SEARCH(AW$2,Tiere!$BN$2:$BN$153)&gt;0)),ROW()-2),1))))))))),"")</f>
        <v>Ziegen bis 1/2 Jahr</v>
      </c>
      <c r="AW97" s="1601"/>
      <c r="AX97" s="1624" t="str">
        <f>IFERROR(IF($A$12=$BO$1,$BO96,IF($A$12=$BP$1,$BP96,IF($A$12=$BQ$1,$BQ96,IF($A$12=$BR$1,$BR96,IF($A$12=$BS$1,$BS96,IF($A$12=$BT$1,$BT96,IF($A$12=$BU$1,$BU96,IF($A$12="",INDEX(Tiere!$BN$2:$BN$153,_xlfn.AGGREGATE(15,6,(ROW(Tiere!$BN$2:$BN$153)-1)/(--(SEARCH(AY$2,Tiere!$BN$2:$BN$153)&gt;0)),ROW()-2),1))))))))),"")</f>
        <v>Ziegen bis 1/2 Jahr</v>
      </c>
      <c r="AY97" s="1601"/>
      <c r="AZ97" s="1624" t="str">
        <f>IFERROR(IF($A$13=$BO$1,$BO96,IF($A$13=$BP$1,$BP96,IF($A$13=$BQ$1,$BQ96,IF($A$13=$BR$1,$BR96,IF($A$13=$BS$1,$BS96,IF($A$13=$BT$1,$BT96,IF($A$13=$BU$1,$BU96,IF($A$13="",INDEX(Tiere!$BN$2:$BN$153,_xlfn.AGGREGATE(15,6,(ROW(Tiere!$BN$2:$BN$153)-1)/(--(SEARCH(BA$2,Tiere!$BN$2:$BN$153)&gt;0)),ROW()-2),1))))))))),"")</f>
        <v>Ziegen bis 1/2 Jahr</v>
      </c>
      <c r="BA97" s="1601"/>
      <c r="BB97" s="1624" t="str">
        <f>IFERROR(IF($A$14=$BO$1,$BO96,IF($A$14=$BP$1,$BP96,IF($A$14=$BQ$1,$BQ96,IF($A$14=$BR$1,$BR96,IF($A$14=$BS$1,$BS96,IF($A$14=$BT$1,$BT96,IF($A$14=$BU$1,$BU96,IF($A$14="",INDEX(Tiere!$BN$2:$BN$153,_xlfn.AGGREGATE(15,6,(ROW(Tiere!$BN$2:$BN$153)-1)/(--(SEARCH(BC$2,Tiere!$BN$2:$BN$153)&gt;0)),ROW()-2),1))))))))),"")</f>
        <v>Ziegen bis 1/2 Jahr</v>
      </c>
      <c r="BC97" s="1601"/>
      <c r="BD97" s="1624" t="str">
        <f>IFERROR(IF($A$15=$BO$1,$BO96,IF($A$15=$BP$1,$BP96,IF($A$15=$BQ$1,$BQ96,IF($A$15=$BR$1,$BR96,IF($A$15=$BS$1,$BS96,IF($A$15=$BT$1,$BT96,IF($A$15=$BU$1,$BU96,IF($A$15="",INDEX(Tiere!$BN$2:$BN$153,_xlfn.AGGREGATE(15,6,(ROW(Tiere!$BN$2:$BN$153)-1)/(--(SEARCH(BE$2,Tiere!$BN$2:$BN$153)&gt;0)),ROW()-2),1))))))))),"")</f>
        <v>Ziegen bis 1/2 Jahr</v>
      </c>
      <c r="BE97" s="1601"/>
      <c r="BF97" s="1624" t="str">
        <f>IFERROR(IF($A$16=$BO$1,$BO96,IF($A$16=$BP$1,$BP96,IF($A$16=$BQ$1,$BQ96,IF($A$16=$BR$1,$BR96,IF($A$16=$BS$1,$BS96,IF($A$16=$BT$1,$BT96,IF($A$16=$BU$1,$BU96,IF($A$16="",INDEX(Tiere!$BN$2:$BN$153,_xlfn.AGGREGATE(15,6,(ROW(Tiere!$BN$2:$BN$153)-1)/(--(SEARCH(BG$2,Tiere!$BN$2:$BN$153)&gt;0)),ROW()-2),1))))))))),"")</f>
        <v>Ziegen bis 1/2 Jahr</v>
      </c>
      <c r="BG97" s="1601"/>
      <c r="BH97" s="1624" t="str">
        <f>IFERROR(IF($A$17=$BO$1,$BO96,IF($A$17=$BP$1,$BP96,IF($A$17=$BQ$1,$BQ96,IF($A$17=$BR$1,$BR96,IF($A$17=$BS$1,$BS96,IF($A$17=$BT$1,$BT96,IF($A$17=$BU$1,$BU96,IF($A$17="",INDEX(Tiere!$BN$2:$BN$153,_xlfn.AGGREGATE(15,6,(ROW(Tiere!$BN$2:$BN$153)-1)/(--(SEARCH(BI$2,Tiere!$BN$2:$BN$153)&gt;0)),ROW()-2),1))))))))),"")</f>
        <v>Ziegen bis 1/2 Jahr</v>
      </c>
      <c r="BI97" s="1601"/>
      <c r="BJ97" s="1624" t="str">
        <f>IFERROR(IF($A$18=$BO$1,$BO96,IF($A$18=$BP$1,$BP96,IF($A$18=$BQ$1,$BQ96,IF($A$18=$BR$1,$BR96,IF($A$18=$BS$1,$BS96,IF($A$18=$BT$1,$BT96,IF($A$18=$BU$1,$BU96,IF($A$18="",INDEX(Tiere!$BN$2:$BN$153,_xlfn.AGGREGATE(15,6,(ROW(Tiere!$BN$2:$BN$153)-1)/(--(SEARCH(BK$2,Tiere!$BN$2:$BN$153)&gt;0)),ROW()-2),1))))))))),"")</f>
        <v>Ziegen bis 1/2 Jahr</v>
      </c>
      <c r="BK97" s="1601"/>
      <c r="BL97" s="1624" t="str">
        <f>IFERROR(IF($A$19=$BO$1,$BO96,IF($A$19=$BP$1,$BP96,IF($A$19=$BQ$1,$BQ96,IF($A$19=$BR$1,$BR96,IF($A$19=$BS$1,$BS96,IF($A$19=$BT$1,$BT96,IF($A$19=$BU$1,$BU96,IF($A$19="",INDEX(Tiere!$BN$2:$BN$153,_xlfn.AGGREGATE(15,6,(ROW(Tiere!$BN$2:$BN$153)-1)/(--(SEARCH(BM$2,Tiere!$BN$2:$BN$153)&gt;0)),ROW()-2),1))))))))),"")</f>
        <v>Ziegen bis 1/2 Jahr</v>
      </c>
      <c r="BM97" s="1601"/>
      <c r="BN97" s="1630" t="s">
        <v>778</v>
      </c>
      <c r="BO97" s="1599"/>
      <c r="BP97" s="1599"/>
      <c r="BQ97" s="1599"/>
      <c r="BR97" s="1599"/>
      <c r="BS97" s="1599"/>
      <c r="BT97" s="1599"/>
      <c r="BU97" s="1599"/>
      <c r="CD97" s="1911" t="s">
        <v>778</v>
      </c>
    </row>
    <row r="98" spans="36:82" ht="13.5" thickBot="1">
      <c r="AJ98" s="1624" t="str">
        <f>IFERROR(IF($A$5=$BO$1,$BO97,IF($A$5=$BP$1,$BP97,IF($A$5=$BQ$1,$BQ97,IF($A$5=$BR$1,$BR97,IF($A$5=$BS$1,$BS97,IF($A$5=$BT$1,$BT97,IF($A$5=$BU$1,$BU97,IF($A$5="",INDEX(Tiere!$BN$2:$BN$153,_xlfn.AGGREGATE(15,6,(ROW(Tiere!$BN$2:$BN$153)-1)/(--(SEARCH(AK$2,Tiere!$BN$2:$BN$153)&gt;0)),ROW()-2),1))))))))),"")</f>
        <v>Ziegen ab 1/2 Jahr bis 1,5 Jahre</v>
      </c>
      <c r="AK98" s="1599"/>
      <c r="AL98" s="1624" t="str">
        <f>IFERROR(IF($A$6=$BO$1,$BO97,IF($A$6=$BP$1,$BP97,IF($A$6=$BQ$1,$BQ97,IF($A$6=$BR$1,$BR97,IF($A$6=$BS$1,$BS97,IF($A$6=$BT$1,$BT97,IF($A$6=$BU$1,$BU97,IF($A$6="",INDEX(Tiere!$BN$2:$BN$153,_xlfn.AGGREGATE(15,6,(ROW(Tiere!$BN$2:$BN$153)-1)/(--(SEARCH(AM$2,Tiere!$BN$2:$BN$153)&gt;0)),ROW()-2),1))))))))),"")</f>
        <v>Ziegen ab 1/2 Jahr bis 1,5 Jahre</v>
      </c>
      <c r="AM98" s="1599"/>
      <c r="AN98" s="1624" t="str">
        <f>IFERROR(IF($A$7=$BO$1,$BO97,IF($A$7=$BP$1,$BP97,IF($A$7=$BQ$1,$BQ97,IF($A$7=$BR$1,$BR97,IF($A$7=$BS$1,$BS97,IF($A$7=$BT$1,$BT97,IF($A$7=$BU$1,$BU97,IF($A$7="",INDEX(Tiere!$BN$2:$BN$153,_xlfn.AGGREGATE(15,6,(ROW(Tiere!$BN$2:$BN$153)-1)/(--(SEARCH(AM$2,Tiere!$BN$2:$BN$153)&gt;0)),ROW()-2),1))))))))),"")</f>
        <v>Ziegen ab 1/2 Jahr bis 1,5 Jahre</v>
      </c>
      <c r="AO98" s="1599"/>
      <c r="AP98" s="1624" t="str">
        <f>IFERROR(IF($A$8=$BO$1,$BO97,IF($A$8=$BP$1,$BP97,IF($A$8=$BQ$1,$BQ97,IF($A$8=$BR$1,$BR97,IF($A$8=$BS$1,$BS97,IF($A$8=$BT$1,$BT97,IF($A$8=$BU$1,$BU97,IF($A$8="",INDEX(Tiere!$BN$2:$BN$153,_xlfn.AGGREGATE(15,6,(ROW(Tiere!$BN$2:$BN$153)-1)/(--(SEARCH(AQ$2,Tiere!$BN$2:$BN$153)&gt;0)),ROW()-2),1))))))))),"")</f>
        <v>Ziegen ab 1/2 Jahr bis 1,5 Jahre</v>
      </c>
      <c r="AQ98" s="1599"/>
      <c r="AR98" s="1624" t="str">
        <f>IFERROR(IF($A$9=$BO$1,$BO97,IF($A$9=$BP$1,$BP97,IF($A$9=$BQ$1,$BQ97,IF($A$9=$BR$1,$BR97,IF($A$9=$BS$1,$BS97,IF($A$9=$BT$1,$BT97,IF($A$9=$BU$1,$BU97,IF($A$9="",INDEX(Tiere!$BN$2:$BN$153,_xlfn.AGGREGATE(15,6,(ROW(Tiere!$BN$2:$BN$153)-1)/(--(SEARCH(AS$2,Tiere!$BN$2:$BN$153)&gt;0)),ROW()-2),1))))))))),"")</f>
        <v>Ziegen ab 1/2 Jahr bis 1,5 Jahre</v>
      </c>
      <c r="AS98" s="1599"/>
      <c r="AT98" s="1624" t="str">
        <f>IFERROR(IF($A$10=$BO$1,$BO97,IF($A$10=$BP$1,$BP97,IF($A$10=$BQ$1,$BQ97,IF($A$10=$BR$1,$BR97,IF($A$10=$BS$1,$BS97,IF($A$10=$BT$1,$BT97,IF($A$10=$BU$1,$BU97,IF($A$10="",INDEX(Tiere!$BN$2:$BN$153,_xlfn.AGGREGATE(15,6,(ROW(Tiere!$BN$2:$BN$153)-1)/(--(SEARCH(AU$2,Tiere!$BN$2:$BN$153)&gt;0)),ROW()-2),1))))))))),"")</f>
        <v>Ziegen ab 1/2 Jahr bis 1,5 Jahre</v>
      </c>
      <c r="AU98" s="1599"/>
      <c r="AV98" s="1624" t="str">
        <f>IFERROR(IF($A$11=$BO$1,$BO97,IF($A$11=$BP$1,$BP97,IF($A$11=$BQ$1,$BQ97,IF($A$11=$BR$1,$BR97,IF($A$11=$BS$1,$BS97,IF($A$11=$BT$1,$BT97,IF($A$11=$BU$1,$BU97,IF($A$11="",INDEX(Tiere!$BN$2:$BN$153,_xlfn.AGGREGATE(15,6,(ROW(Tiere!$BN$2:$BN$153)-1)/(--(SEARCH(AW$2,Tiere!$BN$2:$BN$153)&gt;0)),ROW()-2),1))))))))),"")</f>
        <v>Ziegen ab 1/2 Jahr bis 1,5 Jahre</v>
      </c>
      <c r="AW98" s="1599"/>
      <c r="AX98" s="1624" t="str">
        <f>IFERROR(IF($A$12=$BO$1,$BO97,IF($A$12=$BP$1,$BP97,IF($A$12=$BQ$1,$BQ97,IF($A$12=$BR$1,$BR97,IF($A$12=$BS$1,$BS97,IF($A$12=$BT$1,$BT97,IF($A$12=$BU$1,$BU97,IF($A$12="",INDEX(Tiere!$BN$2:$BN$153,_xlfn.AGGREGATE(15,6,(ROW(Tiere!$BN$2:$BN$153)-1)/(--(SEARCH(AY$2,Tiere!$BN$2:$BN$153)&gt;0)),ROW()-2),1))))))))),"")</f>
        <v>Ziegen ab 1/2 Jahr bis 1,5 Jahre</v>
      </c>
      <c r="AY98" s="1599"/>
      <c r="AZ98" s="1624" t="str">
        <f>IFERROR(IF($A$13=$BO$1,$BO97,IF($A$13=$BP$1,$BP97,IF($A$13=$BQ$1,$BQ97,IF($A$13=$BR$1,$BR97,IF($A$13=$BS$1,$BS97,IF($A$13=$BT$1,$BT97,IF($A$13=$BU$1,$BU97,IF($A$13="",INDEX(Tiere!$BN$2:$BN$153,_xlfn.AGGREGATE(15,6,(ROW(Tiere!$BN$2:$BN$153)-1)/(--(SEARCH(BA$2,Tiere!$BN$2:$BN$153)&gt;0)),ROW()-2),1))))))))),"")</f>
        <v>Ziegen ab 1/2 Jahr bis 1,5 Jahre</v>
      </c>
      <c r="BA98" s="1599"/>
      <c r="BB98" s="1624" t="str">
        <f>IFERROR(IF($A$14=$BO$1,$BO97,IF($A$14=$BP$1,$BP97,IF($A$14=$BQ$1,$BQ97,IF($A$14=$BR$1,$BR97,IF($A$14=$BS$1,$BS97,IF($A$14=$BT$1,$BT97,IF($A$14=$BU$1,$BU97,IF($A$14="",INDEX(Tiere!$BN$2:$BN$153,_xlfn.AGGREGATE(15,6,(ROW(Tiere!$BN$2:$BN$153)-1)/(--(SEARCH(BC$2,Tiere!$BN$2:$BN$153)&gt;0)),ROW()-2),1))))))))),"")</f>
        <v>Ziegen ab 1/2 Jahr bis 1,5 Jahre</v>
      </c>
      <c r="BC98" s="1599"/>
      <c r="BD98" s="1624" t="str">
        <f>IFERROR(IF($A$15=$BO$1,$BO97,IF($A$15=$BP$1,$BP97,IF($A$15=$BQ$1,$BQ97,IF($A$15=$BR$1,$BR97,IF($A$15=$BS$1,$BS97,IF($A$15=$BT$1,$BT97,IF($A$15=$BU$1,$BU97,IF($A$15="",INDEX(Tiere!$BN$2:$BN$153,_xlfn.AGGREGATE(15,6,(ROW(Tiere!$BN$2:$BN$153)-1)/(--(SEARCH(BE$2,Tiere!$BN$2:$BN$153)&gt;0)),ROW()-2),1))))))))),"")</f>
        <v>Ziegen ab 1/2 Jahr bis 1,5 Jahre</v>
      </c>
      <c r="BE98" s="1599"/>
      <c r="BF98" s="1624" t="str">
        <f>IFERROR(IF($A$16=$BO$1,$BO97,IF($A$16=$BP$1,$BP97,IF($A$16=$BQ$1,$BQ97,IF($A$16=$BR$1,$BR97,IF($A$16=$BS$1,$BS97,IF($A$16=$BT$1,$BT97,IF($A$16=$BU$1,$BU97,IF($A$16="",INDEX(Tiere!$BN$2:$BN$153,_xlfn.AGGREGATE(15,6,(ROW(Tiere!$BN$2:$BN$153)-1)/(--(SEARCH(BG$2,Tiere!$BN$2:$BN$153)&gt;0)),ROW()-2),1))))))))),"")</f>
        <v>Ziegen ab 1/2 Jahr bis 1,5 Jahre</v>
      </c>
      <c r="BG98" s="1599"/>
      <c r="BH98" s="1624" t="str">
        <f>IFERROR(IF($A$17=$BO$1,$BO97,IF($A$17=$BP$1,$BP97,IF($A$17=$BQ$1,$BQ97,IF($A$17=$BR$1,$BR97,IF($A$17=$BS$1,$BS97,IF($A$17=$BT$1,$BT97,IF($A$17=$BU$1,$BU97,IF($A$17="",INDEX(Tiere!$BN$2:$BN$153,_xlfn.AGGREGATE(15,6,(ROW(Tiere!$BN$2:$BN$153)-1)/(--(SEARCH(BI$2,Tiere!$BN$2:$BN$153)&gt;0)),ROW()-2),1))))))))),"")</f>
        <v>Ziegen ab 1/2 Jahr bis 1,5 Jahre</v>
      </c>
      <c r="BI98" s="1599"/>
      <c r="BJ98" s="1624" t="str">
        <f>IFERROR(IF($A$18=$BO$1,$BO97,IF($A$18=$BP$1,$BP97,IF($A$18=$BQ$1,$BQ97,IF($A$18=$BR$1,$BR97,IF($A$18=$BS$1,$BS97,IF($A$18=$BT$1,$BT97,IF($A$18=$BU$1,$BU97,IF($A$18="",INDEX(Tiere!$BN$2:$BN$153,_xlfn.AGGREGATE(15,6,(ROW(Tiere!$BN$2:$BN$153)-1)/(--(SEARCH(BK$2,Tiere!$BN$2:$BN$153)&gt;0)),ROW()-2),1))))))))),"")</f>
        <v>Ziegen ab 1/2 Jahr bis 1,5 Jahre</v>
      </c>
      <c r="BK98" s="1599"/>
      <c r="BL98" s="1624" t="str">
        <f>IFERROR(IF($A$19=$BO$1,$BO97,IF($A$19=$BP$1,$BP97,IF($A$19=$BQ$1,$BQ97,IF($A$19=$BR$1,$BR97,IF($A$19=$BS$1,$BS97,IF($A$19=$BT$1,$BT97,IF($A$19=$BU$1,$BU97,IF($A$19="",INDEX(Tiere!$BN$2:$BN$153,_xlfn.AGGREGATE(15,6,(ROW(Tiere!$BN$2:$BN$153)-1)/(--(SEARCH(BM$2,Tiere!$BN$2:$BN$153)&gt;0)),ROW()-2),1))))))))),"")</f>
        <v>Ziegen ab 1/2 Jahr bis 1,5 Jahre</v>
      </c>
      <c r="BM98" s="1599"/>
      <c r="BN98" s="1630" t="s">
        <v>779</v>
      </c>
      <c r="BO98" s="1599"/>
      <c r="BP98" s="1599"/>
      <c r="BQ98" s="1599"/>
      <c r="BR98" s="1599"/>
      <c r="BS98" s="1599"/>
      <c r="BT98" s="1599"/>
      <c r="BU98" s="1599"/>
      <c r="CD98" s="1911" t="s">
        <v>779</v>
      </c>
    </row>
    <row r="99" spans="36:82" ht="13.5" thickBot="1">
      <c r="AJ99" s="1624" t="str">
        <f>IFERROR(IF($A$5=$BO$1,$BO98,IF($A$5=$BP$1,$BP98,IF($A$5=$BQ$1,$BQ98,IF($A$5=$BR$1,$BR98,IF($A$5=$BS$1,$BS98,IF($A$5=$BT$1,$BT98,IF($A$5=$BU$1,$BU98,IF($A$5="",INDEX(Tiere!$BN$2:$BN$153,_xlfn.AGGREGATE(15,6,(ROW(Tiere!$BN$2:$BN$153)-1)/(--(SEARCH(AK$2,Tiere!$BN$2:$BN$153)&gt;0)),ROW()-2),1))))))))),"")</f>
        <v>Mutterziegen</v>
      </c>
      <c r="AK99" s="1601"/>
      <c r="AL99" s="1624" t="str">
        <f>IFERROR(IF($A$6=$BO$1,$BO98,IF($A$6=$BP$1,$BP98,IF($A$6=$BQ$1,$BQ98,IF($A$6=$BR$1,$BR98,IF($A$6=$BS$1,$BS98,IF($A$6=$BT$1,$BT98,IF($A$6=$BU$1,$BU98,IF($A$6="",INDEX(Tiere!$BN$2:$BN$153,_xlfn.AGGREGATE(15,6,(ROW(Tiere!$BN$2:$BN$153)-1)/(--(SEARCH(AM$2,Tiere!$BN$2:$BN$153)&gt;0)),ROW()-2),1))))))))),"")</f>
        <v>Mutterziegen</v>
      </c>
      <c r="AM99" s="1601"/>
      <c r="AN99" s="1624" t="str">
        <f>IFERROR(IF($A$7=$BO$1,$BO98,IF($A$7=$BP$1,$BP98,IF($A$7=$BQ$1,$BQ98,IF($A$7=$BR$1,$BR98,IF($A$7=$BS$1,$BS98,IF($A$7=$BT$1,$BT98,IF($A$7=$BU$1,$BU98,IF($A$7="",INDEX(Tiere!$BN$2:$BN$153,_xlfn.AGGREGATE(15,6,(ROW(Tiere!$BN$2:$BN$153)-1)/(--(SEARCH(AM$2,Tiere!$BN$2:$BN$153)&gt;0)),ROW()-2),1))))))))),"")</f>
        <v>Mutterziegen</v>
      </c>
      <c r="AO99" s="1601"/>
      <c r="AP99" s="1624" t="str">
        <f>IFERROR(IF($A$8=$BO$1,$BO98,IF($A$8=$BP$1,$BP98,IF($A$8=$BQ$1,$BQ98,IF($A$8=$BR$1,$BR98,IF($A$8=$BS$1,$BS98,IF($A$8=$BT$1,$BT98,IF($A$8=$BU$1,$BU98,IF($A$8="",INDEX(Tiere!$BN$2:$BN$153,_xlfn.AGGREGATE(15,6,(ROW(Tiere!$BN$2:$BN$153)-1)/(--(SEARCH(AQ$2,Tiere!$BN$2:$BN$153)&gt;0)),ROW()-2),1))))))))),"")</f>
        <v>Mutterziegen</v>
      </c>
      <c r="AQ99" s="1601"/>
      <c r="AR99" s="1624" t="str">
        <f>IFERROR(IF($A$9=$BO$1,$BO98,IF($A$9=$BP$1,$BP98,IF($A$9=$BQ$1,$BQ98,IF($A$9=$BR$1,$BR98,IF($A$9=$BS$1,$BS98,IF($A$9=$BT$1,$BT98,IF($A$9=$BU$1,$BU98,IF($A$9="",INDEX(Tiere!$BN$2:$BN$153,_xlfn.AGGREGATE(15,6,(ROW(Tiere!$BN$2:$BN$153)-1)/(--(SEARCH(AS$2,Tiere!$BN$2:$BN$153)&gt;0)),ROW()-2),1))))))))),"")</f>
        <v>Mutterziegen</v>
      </c>
      <c r="AS99" s="1601"/>
      <c r="AT99" s="1624" t="str">
        <f>IFERROR(IF($A$10=$BO$1,$BO98,IF($A$10=$BP$1,$BP98,IF($A$10=$BQ$1,$BQ98,IF($A$10=$BR$1,$BR98,IF($A$10=$BS$1,$BS98,IF($A$10=$BT$1,$BT98,IF($A$10=$BU$1,$BU98,IF($A$10="",INDEX(Tiere!$BN$2:$BN$153,_xlfn.AGGREGATE(15,6,(ROW(Tiere!$BN$2:$BN$153)-1)/(--(SEARCH(AU$2,Tiere!$BN$2:$BN$153)&gt;0)),ROW()-2),1))))))))),"")</f>
        <v>Mutterziegen</v>
      </c>
      <c r="AU99" s="1601"/>
      <c r="AV99" s="1624" t="str">
        <f>IFERROR(IF($A$11=$BO$1,$BO98,IF($A$11=$BP$1,$BP98,IF($A$11=$BQ$1,$BQ98,IF($A$11=$BR$1,$BR98,IF($A$11=$BS$1,$BS98,IF($A$11=$BT$1,$BT98,IF($A$11=$BU$1,$BU98,IF($A$11="",INDEX(Tiere!$BN$2:$BN$153,_xlfn.AGGREGATE(15,6,(ROW(Tiere!$BN$2:$BN$153)-1)/(--(SEARCH(AW$2,Tiere!$BN$2:$BN$153)&gt;0)),ROW()-2),1))))))))),"")</f>
        <v>Mutterziegen</v>
      </c>
      <c r="AW99" s="1601"/>
      <c r="AX99" s="1624" t="str">
        <f>IFERROR(IF($A$12=$BO$1,$BO98,IF($A$12=$BP$1,$BP98,IF($A$12=$BQ$1,$BQ98,IF($A$12=$BR$1,$BR98,IF($A$12=$BS$1,$BS98,IF($A$12=$BT$1,$BT98,IF($A$12=$BU$1,$BU98,IF($A$12="",INDEX(Tiere!$BN$2:$BN$153,_xlfn.AGGREGATE(15,6,(ROW(Tiere!$BN$2:$BN$153)-1)/(--(SEARCH(AY$2,Tiere!$BN$2:$BN$153)&gt;0)),ROW()-2),1))))))))),"")</f>
        <v>Mutterziegen</v>
      </c>
      <c r="AY99" s="1601"/>
      <c r="AZ99" s="1624" t="str">
        <f>IFERROR(IF($A$13=$BO$1,$BO98,IF($A$13=$BP$1,$BP98,IF($A$13=$BQ$1,$BQ98,IF($A$13=$BR$1,$BR98,IF($A$13=$BS$1,$BS98,IF($A$13=$BT$1,$BT98,IF($A$13=$BU$1,$BU98,IF($A$13="",INDEX(Tiere!$BN$2:$BN$153,_xlfn.AGGREGATE(15,6,(ROW(Tiere!$BN$2:$BN$153)-1)/(--(SEARCH(BA$2,Tiere!$BN$2:$BN$153)&gt;0)),ROW()-2),1))))))))),"")</f>
        <v>Mutterziegen</v>
      </c>
      <c r="BA99" s="1601"/>
      <c r="BB99" s="1624" t="str">
        <f>IFERROR(IF($A$14=$BO$1,$BO98,IF($A$14=$BP$1,$BP98,IF($A$14=$BQ$1,$BQ98,IF($A$14=$BR$1,$BR98,IF($A$14=$BS$1,$BS98,IF($A$14=$BT$1,$BT98,IF($A$14=$BU$1,$BU98,IF($A$14="",INDEX(Tiere!$BN$2:$BN$153,_xlfn.AGGREGATE(15,6,(ROW(Tiere!$BN$2:$BN$153)-1)/(--(SEARCH(BC$2,Tiere!$BN$2:$BN$153)&gt;0)),ROW()-2),1))))))))),"")</f>
        <v>Mutterziegen</v>
      </c>
      <c r="BC99" s="1601"/>
      <c r="BD99" s="1624" t="str">
        <f>IFERROR(IF($A$15=$BO$1,$BO98,IF($A$15=$BP$1,$BP98,IF($A$15=$BQ$1,$BQ98,IF($A$15=$BR$1,$BR98,IF($A$15=$BS$1,$BS98,IF($A$15=$BT$1,$BT98,IF($A$15=$BU$1,$BU98,IF($A$15="",INDEX(Tiere!$BN$2:$BN$153,_xlfn.AGGREGATE(15,6,(ROW(Tiere!$BN$2:$BN$153)-1)/(--(SEARCH(BE$2,Tiere!$BN$2:$BN$153)&gt;0)),ROW()-2),1))))))))),"")</f>
        <v>Mutterziegen</v>
      </c>
      <c r="BE99" s="1601"/>
      <c r="BF99" s="1624" t="str">
        <f>IFERROR(IF($A$16=$BO$1,$BO98,IF($A$16=$BP$1,$BP98,IF($A$16=$BQ$1,$BQ98,IF($A$16=$BR$1,$BR98,IF($A$16=$BS$1,$BS98,IF($A$16=$BT$1,$BT98,IF($A$16=$BU$1,$BU98,IF($A$16="",INDEX(Tiere!$BN$2:$BN$153,_xlfn.AGGREGATE(15,6,(ROW(Tiere!$BN$2:$BN$153)-1)/(--(SEARCH(BG$2,Tiere!$BN$2:$BN$153)&gt;0)),ROW()-2),1))))))))),"")</f>
        <v>Mutterziegen</v>
      </c>
      <c r="BG99" s="1601"/>
      <c r="BH99" s="1624" t="str">
        <f>IFERROR(IF($A$17=$BO$1,$BO98,IF($A$17=$BP$1,$BP98,IF($A$17=$BQ$1,$BQ98,IF($A$17=$BR$1,$BR98,IF($A$17=$BS$1,$BS98,IF($A$17=$BT$1,$BT98,IF($A$17=$BU$1,$BU98,IF($A$17="",INDEX(Tiere!$BN$2:$BN$153,_xlfn.AGGREGATE(15,6,(ROW(Tiere!$BN$2:$BN$153)-1)/(--(SEARCH(BI$2,Tiere!$BN$2:$BN$153)&gt;0)),ROW()-2),1))))))))),"")</f>
        <v>Mutterziegen</v>
      </c>
      <c r="BI99" s="1601"/>
      <c r="BJ99" s="1624" t="str">
        <f>IFERROR(IF($A$18=$BO$1,$BO98,IF($A$18=$BP$1,$BP98,IF($A$18=$BQ$1,$BQ98,IF($A$18=$BR$1,$BR98,IF($A$18=$BS$1,$BS98,IF($A$18=$BT$1,$BT98,IF($A$18=$BU$1,$BU98,IF($A$18="",INDEX(Tiere!$BN$2:$BN$153,_xlfn.AGGREGATE(15,6,(ROW(Tiere!$BN$2:$BN$153)-1)/(--(SEARCH(BK$2,Tiere!$BN$2:$BN$153)&gt;0)),ROW()-2),1))))))))),"")</f>
        <v>Mutterziegen</v>
      </c>
      <c r="BK99" s="1601"/>
      <c r="BL99" s="1624" t="str">
        <f>IFERROR(IF($A$19=$BO$1,$BO98,IF($A$19=$BP$1,$BP98,IF($A$19=$BQ$1,$BQ98,IF($A$19=$BR$1,$BR98,IF($A$19=$BS$1,$BS98,IF($A$19=$BT$1,$BT98,IF($A$19=$BU$1,$BU98,IF($A$19="",INDEX(Tiere!$BN$2:$BN$153,_xlfn.AGGREGATE(15,6,(ROW(Tiere!$BN$2:$BN$153)-1)/(--(SEARCH(BM$2,Tiere!$BN$2:$BN$153)&gt;0)),ROW()-2),1))))))))),"")</f>
        <v>Mutterziegen</v>
      </c>
      <c r="BM99" s="1601"/>
      <c r="BN99" s="1630" t="s">
        <v>781</v>
      </c>
      <c r="BO99" s="1599"/>
      <c r="BP99" s="1599"/>
      <c r="BQ99" s="1599"/>
      <c r="BR99" s="1599"/>
      <c r="BS99" s="1599"/>
      <c r="BT99" s="1599"/>
      <c r="BU99" s="1599"/>
      <c r="CD99" s="1911" t="s">
        <v>781</v>
      </c>
    </row>
    <row r="100" spans="36:82" ht="13.5" thickBot="1">
      <c r="AJ100" s="1624" t="str">
        <f>IFERROR(IF($A$5=$BO$1,$BO99,IF($A$5=$BP$1,$BP99,IF($A$5=$BQ$1,$BQ99,IF($A$5=$BR$1,$BR99,IF($A$5=$BS$1,$BS99,IF($A$5=$BT$1,$BT99,IF($A$5=$BU$1,$BU99,IF($A$5="",INDEX(Tiere!$BN$2:$BN$153,_xlfn.AGGREGATE(15,6,(ROW(Tiere!$BN$2:$BN$153)-1)/(--(SEARCH(AK$2,Tiere!$BN$2:$BN$153)&gt;0)),ROW()-2),1))))))))),"")</f>
        <v>Rotwild Alttier inkl. Nachzucht bis 14 Monate</v>
      </c>
      <c r="AK100" s="1599"/>
      <c r="AL100" s="1624" t="str">
        <f>IFERROR(IF($A$6=$BO$1,$BO99,IF($A$6=$BP$1,$BP99,IF($A$6=$BQ$1,$BQ99,IF($A$6=$BR$1,$BR99,IF($A$6=$BS$1,$BS99,IF($A$6=$BT$1,$BT99,IF($A$6=$BU$1,$BU99,IF($A$6="",INDEX(Tiere!$BN$2:$BN$153,_xlfn.AGGREGATE(15,6,(ROW(Tiere!$BN$2:$BN$153)-1)/(--(SEARCH(AM$2,Tiere!$BN$2:$BN$153)&gt;0)),ROW()-2),1))))))))),"")</f>
        <v>Rotwild Alttier inkl. Nachzucht bis 14 Monate</v>
      </c>
      <c r="AM100" s="1599"/>
      <c r="AN100" s="1624" t="str">
        <f>IFERROR(IF($A$7=$BO$1,$BO99,IF($A$7=$BP$1,$BP99,IF($A$7=$BQ$1,$BQ99,IF($A$7=$BR$1,$BR99,IF($A$7=$BS$1,$BS99,IF($A$7=$BT$1,$BT99,IF($A$7=$BU$1,$BU99,IF($A$7="",INDEX(Tiere!$BN$2:$BN$153,_xlfn.AGGREGATE(15,6,(ROW(Tiere!$BN$2:$BN$153)-1)/(--(SEARCH(AM$2,Tiere!$BN$2:$BN$153)&gt;0)),ROW()-2),1))))))))),"")</f>
        <v>Rotwild Alttier inkl. Nachzucht bis 14 Monate</v>
      </c>
      <c r="AO100" s="1599"/>
      <c r="AP100" s="1624" t="str">
        <f>IFERROR(IF($A$8=$BO$1,$BO99,IF($A$8=$BP$1,$BP99,IF($A$8=$BQ$1,$BQ99,IF($A$8=$BR$1,$BR99,IF($A$8=$BS$1,$BS99,IF($A$8=$BT$1,$BT99,IF($A$8=$BU$1,$BU99,IF($A$8="",INDEX(Tiere!$BN$2:$BN$153,_xlfn.AGGREGATE(15,6,(ROW(Tiere!$BN$2:$BN$153)-1)/(--(SEARCH(AQ$2,Tiere!$BN$2:$BN$153)&gt;0)),ROW()-2),1))))))))),"")</f>
        <v>Rotwild Alttier inkl. Nachzucht bis 14 Monate</v>
      </c>
      <c r="AQ100" s="1599"/>
      <c r="AR100" s="1624" t="str">
        <f>IFERROR(IF($A$9=$BO$1,$BO99,IF($A$9=$BP$1,$BP99,IF($A$9=$BQ$1,$BQ99,IF($A$9=$BR$1,$BR99,IF($A$9=$BS$1,$BS99,IF($A$9=$BT$1,$BT99,IF($A$9=$BU$1,$BU99,IF($A$9="",INDEX(Tiere!$BN$2:$BN$153,_xlfn.AGGREGATE(15,6,(ROW(Tiere!$BN$2:$BN$153)-1)/(--(SEARCH(AS$2,Tiere!$BN$2:$BN$153)&gt;0)),ROW()-2),1))))))))),"")</f>
        <v>Rotwild Alttier inkl. Nachzucht bis 14 Monate</v>
      </c>
      <c r="AS100" s="1599"/>
      <c r="AT100" s="1624" t="str">
        <f>IFERROR(IF($A$10=$BO$1,$BO99,IF($A$10=$BP$1,$BP99,IF($A$10=$BQ$1,$BQ99,IF($A$10=$BR$1,$BR99,IF($A$10=$BS$1,$BS99,IF($A$10=$BT$1,$BT99,IF($A$10=$BU$1,$BU99,IF($A$10="",INDEX(Tiere!$BN$2:$BN$153,_xlfn.AGGREGATE(15,6,(ROW(Tiere!$BN$2:$BN$153)-1)/(--(SEARCH(AU$2,Tiere!$BN$2:$BN$153)&gt;0)),ROW()-2),1))))))))),"")</f>
        <v>Rotwild Alttier inkl. Nachzucht bis 14 Monate</v>
      </c>
      <c r="AU100" s="1599"/>
      <c r="AV100" s="1624" t="str">
        <f>IFERROR(IF($A$11=$BO$1,$BO99,IF($A$11=$BP$1,$BP99,IF($A$11=$BQ$1,$BQ99,IF($A$11=$BR$1,$BR99,IF($A$11=$BS$1,$BS99,IF($A$11=$BT$1,$BT99,IF($A$11=$BU$1,$BU99,IF($A$11="",INDEX(Tiere!$BN$2:$BN$153,_xlfn.AGGREGATE(15,6,(ROW(Tiere!$BN$2:$BN$153)-1)/(--(SEARCH(AW$2,Tiere!$BN$2:$BN$153)&gt;0)),ROW()-2),1))))))))),"")</f>
        <v>Rotwild Alttier inkl. Nachzucht bis 14 Monate</v>
      </c>
      <c r="AW100" s="1599"/>
      <c r="AX100" s="1624" t="str">
        <f>IFERROR(IF($A$12=$BO$1,$BO99,IF($A$12=$BP$1,$BP99,IF($A$12=$BQ$1,$BQ99,IF($A$12=$BR$1,$BR99,IF($A$12=$BS$1,$BS99,IF($A$12=$BT$1,$BT99,IF($A$12=$BU$1,$BU99,IF($A$12="",INDEX(Tiere!$BN$2:$BN$153,_xlfn.AGGREGATE(15,6,(ROW(Tiere!$BN$2:$BN$153)-1)/(--(SEARCH(AY$2,Tiere!$BN$2:$BN$153)&gt;0)),ROW()-2),1))))))))),"")</f>
        <v>Rotwild Alttier inkl. Nachzucht bis 14 Monate</v>
      </c>
      <c r="AY100" s="1599"/>
      <c r="AZ100" s="1624" t="str">
        <f>IFERROR(IF($A$13=$BO$1,$BO99,IF($A$13=$BP$1,$BP99,IF($A$13=$BQ$1,$BQ99,IF($A$13=$BR$1,$BR99,IF($A$13=$BS$1,$BS99,IF($A$13=$BT$1,$BT99,IF($A$13=$BU$1,$BU99,IF($A$13="",INDEX(Tiere!$BN$2:$BN$153,_xlfn.AGGREGATE(15,6,(ROW(Tiere!$BN$2:$BN$153)-1)/(--(SEARCH(BA$2,Tiere!$BN$2:$BN$153)&gt;0)),ROW()-2),1))))))))),"")</f>
        <v>Rotwild Alttier inkl. Nachzucht bis 14 Monate</v>
      </c>
      <c r="BA100" s="1599"/>
      <c r="BB100" s="1624" t="str">
        <f>IFERROR(IF($A$14=$BO$1,$BO99,IF($A$14=$BP$1,$BP99,IF($A$14=$BQ$1,$BQ99,IF($A$14=$BR$1,$BR99,IF($A$14=$BS$1,$BS99,IF($A$14=$BT$1,$BT99,IF($A$14=$BU$1,$BU99,IF($A$14="",INDEX(Tiere!$BN$2:$BN$153,_xlfn.AGGREGATE(15,6,(ROW(Tiere!$BN$2:$BN$153)-1)/(--(SEARCH(BC$2,Tiere!$BN$2:$BN$153)&gt;0)),ROW()-2),1))))))))),"")</f>
        <v>Rotwild Alttier inkl. Nachzucht bis 14 Monate</v>
      </c>
      <c r="BC100" s="1599"/>
      <c r="BD100" s="1624" t="str">
        <f>IFERROR(IF($A$15=$BO$1,$BO99,IF($A$15=$BP$1,$BP99,IF($A$15=$BQ$1,$BQ99,IF($A$15=$BR$1,$BR99,IF($A$15=$BS$1,$BS99,IF($A$15=$BT$1,$BT99,IF($A$15=$BU$1,$BU99,IF($A$15="",INDEX(Tiere!$BN$2:$BN$153,_xlfn.AGGREGATE(15,6,(ROW(Tiere!$BN$2:$BN$153)-1)/(--(SEARCH(BE$2,Tiere!$BN$2:$BN$153)&gt;0)),ROW()-2),1))))))))),"")</f>
        <v>Rotwild Alttier inkl. Nachzucht bis 14 Monate</v>
      </c>
      <c r="BE100" s="1599"/>
      <c r="BF100" s="1624" t="str">
        <f>IFERROR(IF($A$16=$BO$1,$BO99,IF($A$16=$BP$1,$BP99,IF($A$16=$BQ$1,$BQ99,IF($A$16=$BR$1,$BR99,IF($A$16=$BS$1,$BS99,IF($A$16=$BT$1,$BT99,IF($A$16=$BU$1,$BU99,IF($A$16="",INDEX(Tiere!$BN$2:$BN$153,_xlfn.AGGREGATE(15,6,(ROW(Tiere!$BN$2:$BN$153)-1)/(--(SEARCH(BG$2,Tiere!$BN$2:$BN$153)&gt;0)),ROW()-2),1))))))))),"")</f>
        <v>Rotwild Alttier inkl. Nachzucht bis 14 Monate</v>
      </c>
      <c r="BG100" s="1599"/>
      <c r="BH100" s="1624" t="str">
        <f>IFERROR(IF($A$17=$BO$1,$BO99,IF($A$17=$BP$1,$BP99,IF($A$17=$BQ$1,$BQ99,IF($A$17=$BR$1,$BR99,IF($A$17=$BS$1,$BS99,IF($A$17=$BT$1,$BT99,IF($A$17=$BU$1,$BU99,IF($A$17="",INDEX(Tiere!$BN$2:$BN$153,_xlfn.AGGREGATE(15,6,(ROW(Tiere!$BN$2:$BN$153)-1)/(--(SEARCH(BI$2,Tiere!$BN$2:$BN$153)&gt;0)),ROW()-2),1))))))))),"")</f>
        <v>Rotwild Alttier inkl. Nachzucht bis 14 Monate</v>
      </c>
      <c r="BI100" s="1599"/>
      <c r="BJ100" s="1624" t="str">
        <f>IFERROR(IF($A$18=$BO$1,$BO99,IF($A$18=$BP$1,$BP99,IF($A$18=$BQ$1,$BQ99,IF($A$18=$BR$1,$BR99,IF($A$18=$BS$1,$BS99,IF($A$18=$BT$1,$BT99,IF($A$18=$BU$1,$BU99,IF($A$18="",INDEX(Tiere!$BN$2:$BN$153,_xlfn.AGGREGATE(15,6,(ROW(Tiere!$BN$2:$BN$153)-1)/(--(SEARCH(BK$2,Tiere!$BN$2:$BN$153)&gt;0)),ROW()-2),1))))))))),"")</f>
        <v>Rotwild Alttier inkl. Nachzucht bis 14 Monate</v>
      </c>
      <c r="BK100" s="1599"/>
      <c r="BL100" s="1624" t="str">
        <f>IFERROR(IF($A$19=$BO$1,$BO99,IF($A$19=$BP$1,$BP99,IF($A$19=$BQ$1,$BQ99,IF($A$19=$BR$1,$BR99,IF($A$19=$BS$1,$BS99,IF($A$19=$BT$1,$BT99,IF($A$19=$BU$1,$BU99,IF($A$19="",INDEX(Tiere!$BN$2:$BN$153,_xlfn.AGGREGATE(15,6,(ROW(Tiere!$BN$2:$BN$153)-1)/(--(SEARCH(BM$2,Tiere!$BN$2:$BN$153)&gt;0)),ROW()-2),1))))))))),"")</f>
        <v>Rotwild Alttier inkl. Nachzucht bis 14 Monate</v>
      </c>
      <c r="BM100" s="1599"/>
      <c r="BN100" s="1630" t="s">
        <v>782</v>
      </c>
      <c r="BO100" s="1599"/>
      <c r="BP100" s="1599"/>
      <c r="BQ100" s="1599"/>
      <c r="BR100" s="1599"/>
      <c r="BS100" s="1599"/>
      <c r="BT100" s="1599"/>
      <c r="BU100" s="1599"/>
      <c r="CD100" s="1911" t="s">
        <v>782</v>
      </c>
    </row>
    <row r="101" spans="36:82" ht="13.5" thickBot="1">
      <c r="AJ101" s="1624" t="str">
        <f>IFERROR(IF($A$5=$BO$1,$BO100,IF($A$5=$BP$1,$BP100,IF($A$5=$BQ$1,$BQ100,IF($A$5=$BR$1,$BR100,IF($A$5=$BS$1,$BS100,IF($A$5=$BT$1,$BT100,IF($A$5=$BU$1,$BU100,IF($A$5="",INDEX(Tiere!$BN$2:$BN$153,_xlfn.AGGREGATE(15,6,(ROW(Tiere!$BN$2:$BN$153)-1)/(--(SEARCH(AK$2,Tiere!$BN$2:$BN$153)&gt;0)),ROW()-2),1))))))))),"")</f>
        <v>Rotwild Hirsche</v>
      </c>
      <c r="AK101" s="1601"/>
      <c r="AL101" s="1624" t="str">
        <f>IFERROR(IF($A$6=$BO$1,$BO100,IF($A$6=$BP$1,$BP100,IF($A$6=$BQ$1,$BQ100,IF($A$6=$BR$1,$BR100,IF($A$6=$BS$1,$BS100,IF($A$6=$BT$1,$BT100,IF($A$6=$BU$1,$BU100,IF($A$6="",INDEX(Tiere!$BN$2:$BN$153,_xlfn.AGGREGATE(15,6,(ROW(Tiere!$BN$2:$BN$153)-1)/(--(SEARCH(AM$2,Tiere!$BN$2:$BN$153)&gt;0)),ROW()-2),1))))))))),"")</f>
        <v>Rotwild Hirsche</v>
      </c>
      <c r="AM101" s="1601"/>
      <c r="AN101" s="1624" t="str">
        <f>IFERROR(IF($A$7=$BO$1,$BO100,IF($A$7=$BP$1,$BP100,IF($A$7=$BQ$1,$BQ100,IF($A$7=$BR$1,$BR100,IF($A$7=$BS$1,$BS100,IF($A$7=$BT$1,$BT100,IF($A$7=$BU$1,$BU100,IF($A$7="",INDEX(Tiere!$BN$2:$BN$153,_xlfn.AGGREGATE(15,6,(ROW(Tiere!$BN$2:$BN$153)-1)/(--(SEARCH(AM$2,Tiere!$BN$2:$BN$153)&gt;0)),ROW()-2),1))))))))),"")</f>
        <v>Rotwild Hirsche</v>
      </c>
      <c r="AO101" s="1601"/>
      <c r="AP101" s="1624" t="str">
        <f>IFERROR(IF($A$8=$BO$1,$BO100,IF($A$8=$BP$1,$BP100,IF($A$8=$BQ$1,$BQ100,IF($A$8=$BR$1,$BR100,IF($A$8=$BS$1,$BS100,IF($A$8=$BT$1,$BT100,IF($A$8=$BU$1,$BU100,IF($A$8="",INDEX(Tiere!$BN$2:$BN$153,_xlfn.AGGREGATE(15,6,(ROW(Tiere!$BN$2:$BN$153)-1)/(--(SEARCH(AQ$2,Tiere!$BN$2:$BN$153)&gt;0)),ROW()-2),1))))))))),"")</f>
        <v>Rotwild Hirsche</v>
      </c>
      <c r="AQ101" s="1601"/>
      <c r="AR101" s="1624" t="str">
        <f>IFERROR(IF($A$9=$BO$1,$BO100,IF($A$9=$BP$1,$BP100,IF($A$9=$BQ$1,$BQ100,IF($A$9=$BR$1,$BR100,IF($A$9=$BS$1,$BS100,IF($A$9=$BT$1,$BT100,IF($A$9=$BU$1,$BU100,IF($A$9="",INDEX(Tiere!$BN$2:$BN$153,_xlfn.AGGREGATE(15,6,(ROW(Tiere!$BN$2:$BN$153)-1)/(--(SEARCH(AS$2,Tiere!$BN$2:$BN$153)&gt;0)),ROW()-2),1))))))))),"")</f>
        <v>Rotwild Hirsche</v>
      </c>
      <c r="AS101" s="1601"/>
      <c r="AT101" s="1624" t="str">
        <f>IFERROR(IF($A$10=$BO$1,$BO100,IF($A$10=$BP$1,$BP100,IF($A$10=$BQ$1,$BQ100,IF($A$10=$BR$1,$BR100,IF($A$10=$BS$1,$BS100,IF($A$10=$BT$1,$BT100,IF($A$10=$BU$1,$BU100,IF($A$10="",INDEX(Tiere!$BN$2:$BN$153,_xlfn.AGGREGATE(15,6,(ROW(Tiere!$BN$2:$BN$153)-1)/(--(SEARCH(AU$2,Tiere!$BN$2:$BN$153)&gt;0)),ROW()-2),1))))))))),"")</f>
        <v>Rotwild Hirsche</v>
      </c>
      <c r="AU101" s="1601"/>
      <c r="AV101" s="1624" t="str">
        <f>IFERROR(IF($A$11=$BO$1,$BO100,IF($A$11=$BP$1,$BP100,IF($A$11=$BQ$1,$BQ100,IF($A$11=$BR$1,$BR100,IF($A$11=$BS$1,$BS100,IF($A$11=$BT$1,$BT100,IF($A$11=$BU$1,$BU100,IF($A$11="",INDEX(Tiere!$BN$2:$BN$153,_xlfn.AGGREGATE(15,6,(ROW(Tiere!$BN$2:$BN$153)-1)/(--(SEARCH(AW$2,Tiere!$BN$2:$BN$153)&gt;0)),ROW()-2),1))))))))),"")</f>
        <v>Rotwild Hirsche</v>
      </c>
      <c r="AW101" s="1601"/>
      <c r="AX101" s="1624" t="str">
        <f>IFERROR(IF($A$12=$BO$1,$BO100,IF($A$12=$BP$1,$BP100,IF($A$12=$BQ$1,$BQ100,IF($A$12=$BR$1,$BR100,IF($A$12=$BS$1,$BS100,IF($A$12=$BT$1,$BT100,IF($A$12=$BU$1,$BU100,IF($A$12="",INDEX(Tiere!$BN$2:$BN$153,_xlfn.AGGREGATE(15,6,(ROW(Tiere!$BN$2:$BN$153)-1)/(--(SEARCH(AY$2,Tiere!$BN$2:$BN$153)&gt;0)),ROW()-2),1))))))))),"")</f>
        <v>Rotwild Hirsche</v>
      </c>
      <c r="AY101" s="1601"/>
      <c r="AZ101" s="1624" t="str">
        <f>IFERROR(IF($A$13=$BO$1,$BO100,IF($A$13=$BP$1,$BP100,IF($A$13=$BQ$1,$BQ100,IF($A$13=$BR$1,$BR100,IF($A$13=$BS$1,$BS100,IF($A$13=$BT$1,$BT100,IF($A$13=$BU$1,$BU100,IF($A$13="",INDEX(Tiere!$BN$2:$BN$153,_xlfn.AGGREGATE(15,6,(ROW(Tiere!$BN$2:$BN$153)-1)/(--(SEARCH(BA$2,Tiere!$BN$2:$BN$153)&gt;0)),ROW()-2),1))))))))),"")</f>
        <v>Rotwild Hirsche</v>
      </c>
      <c r="BA101" s="1601"/>
      <c r="BB101" s="1624" t="str">
        <f>IFERROR(IF($A$14=$BO$1,$BO100,IF($A$14=$BP$1,$BP100,IF($A$14=$BQ$1,$BQ100,IF($A$14=$BR$1,$BR100,IF($A$14=$BS$1,$BS100,IF($A$14=$BT$1,$BT100,IF($A$14=$BU$1,$BU100,IF($A$14="",INDEX(Tiere!$BN$2:$BN$153,_xlfn.AGGREGATE(15,6,(ROW(Tiere!$BN$2:$BN$153)-1)/(--(SEARCH(BC$2,Tiere!$BN$2:$BN$153)&gt;0)),ROW()-2),1))))))))),"")</f>
        <v>Rotwild Hirsche</v>
      </c>
      <c r="BC101" s="1601"/>
      <c r="BD101" s="1624" t="str">
        <f>IFERROR(IF($A$15=$BO$1,$BO100,IF($A$15=$BP$1,$BP100,IF($A$15=$BQ$1,$BQ100,IF($A$15=$BR$1,$BR100,IF($A$15=$BS$1,$BS100,IF($A$15=$BT$1,$BT100,IF($A$15=$BU$1,$BU100,IF($A$15="",INDEX(Tiere!$BN$2:$BN$153,_xlfn.AGGREGATE(15,6,(ROW(Tiere!$BN$2:$BN$153)-1)/(--(SEARCH(BE$2,Tiere!$BN$2:$BN$153)&gt;0)),ROW()-2),1))))))))),"")</f>
        <v>Rotwild Hirsche</v>
      </c>
      <c r="BE101" s="1601"/>
      <c r="BF101" s="1624" t="str">
        <f>IFERROR(IF($A$16=$BO$1,$BO100,IF($A$16=$BP$1,$BP100,IF($A$16=$BQ$1,$BQ100,IF($A$16=$BR$1,$BR100,IF($A$16=$BS$1,$BS100,IF($A$16=$BT$1,$BT100,IF($A$16=$BU$1,$BU100,IF($A$16="",INDEX(Tiere!$BN$2:$BN$153,_xlfn.AGGREGATE(15,6,(ROW(Tiere!$BN$2:$BN$153)-1)/(--(SEARCH(BG$2,Tiere!$BN$2:$BN$153)&gt;0)),ROW()-2),1))))))))),"")</f>
        <v>Rotwild Hirsche</v>
      </c>
      <c r="BG101" s="1601"/>
      <c r="BH101" s="1624" t="str">
        <f>IFERROR(IF($A$17=$BO$1,$BO100,IF($A$17=$BP$1,$BP100,IF($A$17=$BQ$1,$BQ100,IF($A$17=$BR$1,$BR100,IF($A$17=$BS$1,$BS100,IF($A$17=$BT$1,$BT100,IF($A$17=$BU$1,$BU100,IF($A$17="",INDEX(Tiere!$BN$2:$BN$153,_xlfn.AGGREGATE(15,6,(ROW(Tiere!$BN$2:$BN$153)-1)/(--(SEARCH(BI$2,Tiere!$BN$2:$BN$153)&gt;0)),ROW()-2),1))))))))),"")</f>
        <v>Rotwild Hirsche</v>
      </c>
      <c r="BI101" s="1601"/>
      <c r="BJ101" s="1624" t="str">
        <f>IFERROR(IF($A$18=$BO$1,$BO100,IF($A$18=$BP$1,$BP100,IF($A$18=$BQ$1,$BQ100,IF($A$18=$BR$1,$BR100,IF($A$18=$BS$1,$BS100,IF($A$18=$BT$1,$BT100,IF($A$18=$BU$1,$BU100,IF($A$18="",INDEX(Tiere!$BN$2:$BN$153,_xlfn.AGGREGATE(15,6,(ROW(Tiere!$BN$2:$BN$153)-1)/(--(SEARCH(BK$2,Tiere!$BN$2:$BN$153)&gt;0)),ROW()-2),1))))))))),"")</f>
        <v>Rotwild Hirsche</v>
      </c>
      <c r="BK101" s="1601"/>
      <c r="BL101" s="1624" t="str">
        <f>IFERROR(IF($A$19=$BO$1,$BO100,IF($A$19=$BP$1,$BP100,IF($A$19=$BQ$1,$BQ100,IF($A$19=$BR$1,$BR100,IF($A$19=$BS$1,$BS100,IF($A$19=$BT$1,$BT100,IF($A$19=$BU$1,$BU100,IF($A$19="",INDEX(Tiere!$BN$2:$BN$153,_xlfn.AGGREGATE(15,6,(ROW(Tiere!$BN$2:$BN$153)-1)/(--(SEARCH(BM$2,Tiere!$BN$2:$BN$153)&gt;0)),ROW()-2),1))))))))),"")</f>
        <v>Rotwild Hirsche</v>
      </c>
      <c r="BM101" s="1601"/>
      <c r="BN101" s="1630" t="s">
        <v>1569</v>
      </c>
      <c r="BO101" s="1599"/>
      <c r="BP101" s="1599"/>
      <c r="BQ101" s="1599"/>
      <c r="BR101" s="1599"/>
      <c r="BS101" s="1599"/>
      <c r="BT101" s="1599"/>
      <c r="BU101" s="1599"/>
      <c r="CD101" s="1911" t="s">
        <v>1569</v>
      </c>
    </row>
    <row r="102" spans="36:82" ht="13.5" thickBot="1">
      <c r="AJ102" s="1624" t="str">
        <f>IFERROR(IF($A$5=$BO$1,$BO101,IF($A$5=$BP$1,$BP101,IF($A$5=$BQ$1,$BQ101,IF($A$5=$BR$1,$BR101,IF($A$5=$BS$1,$BS101,IF($A$5=$BT$1,$BT101,IF($A$5=$BU$1,$BU101,IF($A$5="",INDEX(Tiere!$BN$2:$BN$153,_xlfn.AGGREGATE(15,6,(ROW(Tiere!$BN$2:$BN$153)-1)/(--(SEARCH(AK$2,Tiere!$BN$2:$BN$153)&gt;0)),ROW()-2),1))))))))),"")</f>
        <v>Damwild, Lamas, Alpacas - Alttiere inkl. Nachzucht bis 14 Monate</v>
      </c>
      <c r="AK102" s="1599"/>
      <c r="AL102" s="1624" t="str">
        <f>IFERROR(IF($A$6=$BO$1,$BO101,IF($A$6=$BP$1,$BP101,IF($A$6=$BQ$1,$BQ101,IF($A$6=$BR$1,$BR101,IF($A$6=$BS$1,$BS101,IF($A$6=$BT$1,$BT101,IF($A$6=$BU$1,$BU101,IF($A$6="",INDEX(Tiere!$BN$2:$BN$153,_xlfn.AGGREGATE(15,6,(ROW(Tiere!$BN$2:$BN$153)-1)/(--(SEARCH(AM$2,Tiere!$BN$2:$BN$153)&gt;0)),ROW()-2),1))))))))),"")</f>
        <v>Damwild, Lamas, Alpacas - Alttiere inkl. Nachzucht bis 14 Monate</v>
      </c>
      <c r="AM102" s="1599"/>
      <c r="AN102" s="1624" t="str">
        <f>IFERROR(IF($A$7=$BO$1,$BO101,IF($A$7=$BP$1,$BP101,IF($A$7=$BQ$1,$BQ101,IF($A$7=$BR$1,$BR101,IF($A$7=$BS$1,$BS101,IF($A$7=$BT$1,$BT101,IF($A$7=$BU$1,$BU101,IF($A$7="",INDEX(Tiere!$BN$2:$BN$153,_xlfn.AGGREGATE(15,6,(ROW(Tiere!$BN$2:$BN$153)-1)/(--(SEARCH(AM$2,Tiere!$BN$2:$BN$153)&gt;0)),ROW()-2),1))))))))),"")</f>
        <v>Damwild, Lamas, Alpacas - Alttiere inkl. Nachzucht bis 14 Monate</v>
      </c>
      <c r="AO102" s="1599"/>
      <c r="AP102" s="1624" t="str">
        <f>IFERROR(IF($A$8=$BO$1,$BO101,IF($A$8=$BP$1,$BP101,IF($A$8=$BQ$1,$BQ101,IF($A$8=$BR$1,$BR101,IF($A$8=$BS$1,$BS101,IF($A$8=$BT$1,$BT101,IF($A$8=$BU$1,$BU101,IF($A$8="",INDEX(Tiere!$BN$2:$BN$153,_xlfn.AGGREGATE(15,6,(ROW(Tiere!$BN$2:$BN$153)-1)/(--(SEARCH(AQ$2,Tiere!$BN$2:$BN$153)&gt;0)),ROW()-2),1))))))))),"")</f>
        <v>Damwild, Lamas, Alpacas - Alttiere inkl. Nachzucht bis 14 Monate</v>
      </c>
      <c r="AQ102" s="1599"/>
      <c r="AR102" s="1624" t="str">
        <f>IFERROR(IF($A$9=$BO$1,$BO101,IF($A$9=$BP$1,$BP101,IF($A$9=$BQ$1,$BQ101,IF($A$9=$BR$1,$BR101,IF($A$9=$BS$1,$BS101,IF($A$9=$BT$1,$BT101,IF($A$9=$BU$1,$BU101,IF($A$9="",INDEX(Tiere!$BN$2:$BN$153,_xlfn.AGGREGATE(15,6,(ROW(Tiere!$BN$2:$BN$153)-1)/(--(SEARCH(AS$2,Tiere!$BN$2:$BN$153)&gt;0)),ROW()-2),1))))))))),"")</f>
        <v>Damwild, Lamas, Alpacas - Alttiere inkl. Nachzucht bis 14 Monate</v>
      </c>
      <c r="AS102" s="1599"/>
      <c r="AT102" s="1624" t="str">
        <f>IFERROR(IF($A$10=$BO$1,$BO101,IF($A$10=$BP$1,$BP101,IF($A$10=$BQ$1,$BQ101,IF($A$10=$BR$1,$BR101,IF($A$10=$BS$1,$BS101,IF($A$10=$BT$1,$BT101,IF($A$10=$BU$1,$BU101,IF($A$10="",INDEX(Tiere!$BN$2:$BN$153,_xlfn.AGGREGATE(15,6,(ROW(Tiere!$BN$2:$BN$153)-1)/(--(SEARCH(AU$2,Tiere!$BN$2:$BN$153)&gt;0)),ROW()-2),1))))))))),"")</f>
        <v>Damwild, Lamas, Alpacas - Alttiere inkl. Nachzucht bis 14 Monate</v>
      </c>
      <c r="AU102" s="1599"/>
      <c r="AV102" s="1624" t="str">
        <f>IFERROR(IF($A$11=$BO$1,$BO101,IF($A$11=$BP$1,$BP101,IF($A$11=$BQ$1,$BQ101,IF($A$11=$BR$1,$BR101,IF($A$11=$BS$1,$BS101,IF($A$11=$BT$1,$BT101,IF($A$11=$BU$1,$BU101,IF($A$11="",INDEX(Tiere!$BN$2:$BN$153,_xlfn.AGGREGATE(15,6,(ROW(Tiere!$BN$2:$BN$153)-1)/(--(SEARCH(AW$2,Tiere!$BN$2:$BN$153)&gt;0)),ROW()-2),1))))))))),"")</f>
        <v>Damwild, Lamas, Alpacas - Alttiere inkl. Nachzucht bis 14 Monate</v>
      </c>
      <c r="AW102" s="1599"/>
      <c r="AX102" s="1624" t="str">
        <f>IFERROR(IF($A$12=$BO$1,$BO101,IF($A$12=$BP$1,$BP101,IF($A$12=$BQ$1,$BQ101,IF($A$12=$BR$1,$BR101,IF($A$12=$BS$1,$BS101,IF($A$12=$BT$1,$BT101,IF($A$12=$BU$1,$BU101,IF($A$12="",INDEX(Tiere!$BN$2:$BN$153,_xlfn.AGGREGATE(15,6,(ROW(Tiere!$BN$2:$BN$153)-1)/(--(SEARCH(AY$2,Tiere!$BN$2:$BN$153)&gt;0)),ROW()-2),1))))))))),"")</f>
        <v>Damwild, Lamas, Alpacas - Alttiere inkl. Nachzucht bis 14 Monate</v>
      </c>
      <c r="AY102" s="1599"/>
      <c r="AZ102" s="1624" t="str">
        <f>IFERROR(IF($A$13=$BO$1,$BO101,IF($A$13=$BP$1,$BP101,IF($A$13=$BQ$1,$BQ101,IF($A$13=$BR$1,$BR101,IF($A$13=$BS$1,$BS101,IF($A$13=$BT$1,$BT101,IF($A$13=$BU$1,$BU101,IF($A$13="",INDEX(Tiere!$BN$2:$BN$153,_xlfn.AGGREGATE(15,6,(ROW(Tiere!$BN$2:$BN$153)-1)/(--(SEARCH(BA$2,Tiere!$BN$2:$BN$153)&gt;0)),ROW()-2),1))))))))),"")</f>
        <v>Damwild, Lamas, Alpacas - Alttiere inkl. Nachzucht bis 14 Monate</v>
      </c>
      <c r="BA102" s="1599"/>
      <c r="BB102" s="1624" t="str">
        <f>IFERROR(IF($A$14=$BO$1,$BO101,IF($A$14=$BP$1,$BP101,IF($A$14=$BQ$1,$BQ101,IF($A$14=$BR$1,$BR101,IF($A$14=$BS$1,$BS101,IF($A$14=$BT$1,$BT101,IF($A$14=$BU$1,$BU101,IF($A$14="",INDEX(Tiere!$BN$2:$BN$153,_xlfn.AGGREGATE(15,6,(ROW(Tiere!$BN$2:$BN$153)-1)/(--(SEARCH(BC$2,Tiere!$BN$2:$BN$153)&gt;0)),ROW()-2),1))))))))),"")</f>
        <v>Damwild, Lamas, Alpacas - Alttiere inkl. Nachzucht bis 14 Monate</v>
      </c>
      <c r="BC102" s="1599"/>
      <c r="BD102" s="1624" t="str">
        <f>IFERROR(IF($A$15=$BO$1,$BO101,IF($A$15=$BP$1,$BP101,IF($A$15=$BQ$1,$BQ101,IF($A$15=$BR$1,$BR101,IF($A$15=$BS$1,$BS101,IF($A$15=$BT$1,$BT101,IF($A$15=$BU$1,$BU101,IF($A$15="",INDEX(Tiere!$BN$2:$BN$153,_xlfn.AGGREGATE(15,6,(ROW(Tiere!$BN$2:$BN$153)-1)/(--(SEARCH(BE$2,Tiere!$BN$2:$BN$153)&gt;0)),ROW()-2),1))))))))),"")</f>
        <v>Damwild, Lamas, Alpacas - Alttiere inkl. Nachzucht bis 14 Monate</v>
      </c>
      <c r="BE102" s="1599"/>
      <c r="BF102" s="1624" t="str">
        <f>IFERROR(IF($A$16=$BO$1,$BO101,IF($A$16=$BP$1,$BP101,IF($A$16=$BQ$1,$BQ101,IF($A$16=$BR$1,$BR101,IF($A$16=$BS$1,$BS101,IF($A$16=$BT$1,$BT101,IF($A$16=$BU$1,$BU101,IF($A$16="",INDEX(Tiere!$BN$2:$BN$153,_xlfn.AGGREGATE(15,6,(ROW(Tiere!$BN$2:$BN$153)-1)/(--(SEARCH(BG$2,Tiere!$BN$2:$BN$153)&gt;0)),ROW()-2),1))))))))),"")</f>
        <v>Damwild, Lamas, Alpacas - Alttiere inkl. Nachzucht bis 14 Monate</v>
      </c>
      <c r="BG102" s="1599"/>
      <c r="BH102" s="1624" t="str">
        <f>IFERROR(IF($A$17=$BO$1,$BO101,IF($A$17=$BP$1,$BP101,IF($A$17=$BQ$1,$BQ101,IF($A$17=$BR$1,$BR101,IF($A$17=$BS$1,$BS101,IF($A$17=$BT$1,$BT101,IF($A$17=$BU$1,$BU101,IF($A$17="",INDEX(Tiere!$BN$2:$BN$153,_xlfn.AGGREGATE(15,6,(ROW(Tiere!$BN$2:$BN$153)-1)/(--(SEARCH(BI$2,Tiere!$BN$2:$BN$153)&gt;0)),ROW()-2),1))))))))),"")</f>
        <v>Damwild, Lamas, Alpacas - Alttiere inkl. Nachzucht bis 14 Monate</v>
      </c>
      <c r="BI102" s="1599"/>
      <c r="BJ102" s="1624" t="str">
        <f>IFERROR(IF($A$18=$BO$1,$BO101,IF($A$18=$BP$1,$BP101,IF($A$18=$BQ$1,$BQ101,IF($A$18=$BR$1,$BR101,IF($A$18=$BS$1,$BS101,IF($A$18=$BT$1,$BT101,IF($A$18=$BU$1,$BU101,IF($A$18="",INDEX(Tiere!$BN$2:$BN$153,_xlfn.AGGREGATE(15,6,(ROW(Tiere!$BN$2:$BN$153)-1)/(--(SEARCH(BK$2,Tiere!$BN$2:$BN$153)&gt;0)),ROW()-2),1))))))))),"")</f>
        <v>Damwild, Lamas, Alpacas - Alttiere inkl. Nachzucht bis 14 Monate</v>
      </c>
      <c r="BK102" s="1599"/>
      <c r="BL102" s="1624" t="str">
        <f>IFERROR(IF($A$19=$BO$1,$BO101,IF($A$19=$BP$1,$BP101,IF($A$19=$BQ$1,$BQ101,IF($A$19=$BR$1,$BR101,IF($A$19=$BS$1,$BS101,IF($A$19=$BT$1,$BT101,IF($A$19=$BU$1,$BU101,IF($A$19="",INDEX(Tiere!$BN$2:$BN$153,_xlfn.AGGREGATE(15,6,(ROW(Tiere!$BN$2:$BN$153)-1)/(--(SEARCH(BM$2,Tiere!$BN$2:$BN$153)&gt;0)),ROW()-2),1))))))))),"")</f>
        <v>Damwild, Lamas, Alpacas - Alttiere inkl. Nachzucht bis 14 Monate</v>
      </c>
      <c r="BM102" s="1599"/>
      <c r="BN102" s="1630" t="s">
        <v>1570</v>
      </c>
      <c r="BO102" s="1599"/>
      <c r="BP102" s="1599"/>
      <c r="BQ102" s="1599"/>
      <c r="BR102" s="1599"/>
      <c r="BS102" s="1599"/>
      <c r="BT102" s="1599"/>
      <c r="BU102" s="1599"/>
      <c r="CD102" s="1911" t="s">
        <v>1570</v>
      </c>
    </row>
    <row r="103" spans="36:82" ht="13.5" thickBot="1">
      <c r="AJ103" s="1624" t="str">
        <f>IFERROR(IF($A$5=$BO$1,$BO102,IF($A$5=$BP$1,$BP102,IF($A$5=$BQ$1,$BQ102,IF($A$5=$BR$1,$BR102,IF($A$5=$BS$1,$BS102,IF($A$5=$BT$1,$BT102,IF($A$5=$BU$1,$BU102,IF($A$5="",INDEX(Tiere!$BN$2:$BN$153,_xlfn.AGGREGATE(15,6,(ROW(Tiere!$BN$2:$BN$153)-1)/(--(SEARCH(AK$2,Tiere!$BN$2:$BN$153)&gt;0)),ROW()-2),1))))))))),"")</f>
        <v>Damwild, Lama, Alpacas Hirsche</v>
      </c>
      <c r="AK103" s="1601"/>
      <c r="AL103" s="1624" t="str">
        <f>IFERROR(IF($A$6=$BO$1,$BO102,IF($A$6=$BP$1,$BP102,IF($A$6=$BQ$1,$BQ102,IF($A$6=$BR$1,$BR102,IF($A$6=$BS$1,$BS102,IF($A$6=$BT$1,$BT102,IF($A$6=$BU$1,$BU102,IF($A$6="",INDEX(Tiere!$BN$2:$BN$153,_xlfn.AGGREGATE(15,6,(ROW(Tiere!$BN$2:$BN$153)-1)/(--(SEARCH(AM$2,Tiere!$BN$2:$BN$153)&gt;0)),ROW()-2),1))))))))),"")</f>
        <v>Damwild, Lama, Alpacas Hirsche</v>
      </c>
      <c r="AM103" s="1601"/>
      <c r="AN103" s="1624" t="str">
        <f>IFERROR(IF($A$7=$BO$1,$BO102,IF($A$7=$BP$1,$BP102,IF($A$7=$BQ$1,$BQ102,IF($A$7=$BR$1,$BR102,IF($A$7=$BS$1,$BS102,IF($A$7=$BT$1,$BT102,IF($A$7=$BU$1,$BU102,IF($A$7="",INDEX(Tiere!$BN$2:$BN$153,_xlfn.AGGREGATE(15,6,(ROW(Tiere!$BN$2:$BN$153)-1)/(--(SEARCH(AM$2,Tiere!$BN$2:$BN$153)&gt;0)),ROW()-2),1))))))))),"")</f>
        <v>Damwild, Lama, Alpacas Hirsche</v>
      </c>
      <c r="AO103" s="1601"/>
      <c r="AP103" s="1624" t="str">
        <f>IFERROR(IF($A$8=$BO$1,$BO102,IF($A$8=$BP$1,$BP102,IF($A$8=$BQ$1,$BQ102,IF($A$8=$BR$1,$BR102,IF($A$8=$BS$1,$BS102,IF($A$8=$BT$1,$BT102,IF($A$8=$BU$1,$BU102,IF($A$8="",INDEX(Tiere!$BN$2:$BN$153,_xlfn.AGGREGATE(15,6,(ROW(Tiere!$BN$2:$BN$153)-1)/(--(SEARCH(AQ$2,Tiere!$BN$2:$BN$153)&gt;0)),ROW()-2),1))))))))),"")</f>
        <v>Damwild, Lama, Alpacas Hirsche</v>
      </c>
      <c r="AQ103" s="1601"/>
      <c r="AR103" s="1624" t="str">
        <f>IFERROR(IF($A$9=$BO$1,$BO102,IF($A$9=$BP$1,$BP102,IF($A$9=$BQ$1,$BQ102,IF($A$9=$BR$1,$BR102,IF($A$9=$BS$1,$BS102,IF($A$9=$BT$1,$BT102,IF($A$9=$BU$1,$BU102,IF($A$9="",INDEX(Tiere!$BN$2:$BN$153,_xlfn.AGGREGATE(15,6,(ROW(Tiere!$BN$2:$BN$153)-1)/(--(SEARCH(AS$2,Tiere!$BN$2:$BN$153)&gt;0)),ROW()-2),1))))))))),"")</f>
        <v>Damwild, Lama, Alpacas Hirsche</v>
      </c>
      <c r="AS103" s="1601"/>
      <c r="AT103" s="1624" t="str">
        <f>IFERROR(IF($A$10=$BO$1,$BO102,IF($A$10=$BP$1,$BP102,IF($A$10=$BQ$1,$BQ102,IF($A$10=$BR$1,$BR102,IF($A$10=$BS$1,$BS102,IF($A$10=$BT$1,$BT102,IF($A$10=$BU$1,$BU102,IF($A$10="",INDEX(Tiere!$BN$2:$BN$153,_xlfn.AGGREGATE(15,6,(ROW(Tiere!$BN$2:$BN$153)-1)/(--(SEARCH(AU$2,Tiere!$BN$2:$BN$153)&gt;0)),ROW()-2),1))))))))),"")</f>
        <v>Damwild, Lama, Alpacas Hirsche</v>
      </c>
      <c r="AU103" s="1601"/>
      <c r="AV103" s="1624" t="str">
        <f>IFERROR(IF($A$11=$BO$1,$BO102,IF($A$11=$BP$1,$BP102,IF($A$11=$BQ$1,$BQ102,IF($A$11=$BR$1,$BR102,IF($A$11=$BS$1,$BS102,IF($A$11=$BT$1,$BT102,IF($A$11=$BU$1,$BU102,IF($A$11="",INDEX(Tiere!$BN$2:$BN$153,_xlfn.AGGREGATE(15,6,(ROW(Tiere!$BN$2:$BN$153)-1)/(--(SEARCH(AW$2,Tiere!$BN$2:$BN$153)&gt;0)),ROW()-2),1))))))))),"")</f>
        <v>Damwild, Lama, Alpacas Hirsche</v>
      </c>
      <c r="AW103" s="1601"/>
      <c r="AX103" s="1624" t="str">
        <f>IFERROR(IF($A$12=$BO$1,$BO102,IF($A$12=$BP$1,$BP102,IF($A$12=$BQ$1,$BQ102,IF($A$12=$BR$1,$BR102,IF($A$12=$BS$1,$BS102,IF($A$12=$BT$1,$BT102,IF($A$12=$BU$1,$BU102,IF($A$12="",INDEX(Tiere!$BN$2:$BN$153,_xlfn.AGGREGATE(15,6,(ROW(Tiere!$BN$2:$BN$153)-1)/(--(SEARCH(AY$2,Tiere!$BN$2:$BN$153)&gt;0)),ROW()-2),1))))))))),"")</f>
        <v>Damwild, Lama, Alpacas Hirsche</v>
      </c>
      <c r="AY103" s="1601"/>
      <c r="AZ103" s="1624" t="str">
        <f>IFERROR(IF($A$13=$BO$1,$BO102,IF($A$13=$BP$1,$BP102,IF($A$13=$BQ$1,$BQ102,IF($A$13=$BR$1,$BR102,IF($A$13=$BS$1,$BS102,IF($A$13=$BT$1,$BT102,IF($A$13=$BU$1,$BU102,IF($A$13="",INDEX(Tiere!$BN$2:$BN$153,_xlfn.AGGREGATE(15,6,(ROW(Tiere!$BN$2:$BN$153)-1)/(--(SEARCH(BA$2,Tiere!$BN$2:$BN$153)&gt;0)),ROW()-2),1))))))))),"")</f>
        <v>Damwild, Lama, Alpacas Hirsche</v>
      </c>
      <c r="BA103" s="1601"/>
      <c r="BB103" s="1624" t="str">
        <f>IFERROR(IF($A$14=$BO$1,$BO102,IF($A$14=$BP$1,$BP102,IF($A$14=$BQ$1,$BQ102,IF($A$14=$BR$1,$BR102,IF($A$14=$BS$1,$BS102,IF($A$14=$BT$1,$BT102,IF($A$14=$BU$1,$BU102,IF($A$14="",INDEX(Tiere!$BN$2:$BN$153,_xlfn.AGGREGATE(15,6,(ROW(Tiere!$BN$2:$BN$153)-1)/(--(SEARCH(BC$2,Tiere!$BN$2:$BN$153)&gt;0)),ROW()-2),1))))))))),"")</f>
        <v>Damwild, Lama, Alpacas Hirsche</v>
      </c>
      <c r="BC103" s="1601"/>
      <c r="BD103" s="1624" t="str">
        <f>IFERROR(IF($A$15=$BO$1,$BO102,IF($A$15=$BP$1,$BP102,IF($A$15=$BQ$1,$BQ102,IF($A$15=$BR$1,$BR102,IF($A$15=$BS$1,$BS102,IF($A$15=$BT$1,$BT102,IF($A$15=$BU$1,$BU102,IF($A$15="",INDEX(Tiere!$BN$2:$BN$153,_xlfn.AGGREGATE(15,6,(ROW(Tiere!$BN$2:$BN$153)-1)/(--(SEARCH(BE$2,Tiere!$BN$2:$BN$153)&gt;0)),ROW()-2),1))))))))),"")</f>
        <v>Damwild, Lama, Alpacas Hirsche</v>
      </c>
      <c r="BE103" s="1601"/>
      <c r="BF103" s="1624" t="str">
        <f>IFERROR(IF($A$16=$BO$1,$BO102,IF($A$16=$BP$1,$BP102,IF($A$16=$BQ$1,$BQ102,IF($A$16=$BR$1,$BR102,IF($A$16=$BS$1,$BS102,IF($A$16=$BT$1,$BT102,IF($A$16=$BU$1,$BU102,IF($A$16="",INDEX(Tiere!$BN$2:$BN$153,_xlfn.AGGREGATE(15,6,(ROW(Tiere!$BN$2:$BN$153)-1)/(--(SEARCH(BG$2,Tiere!$BN$2:$BN$153)&gt;0)),ROW()-2),1))))))))),"")</f>
        <v>Damwild, Lama, Alpacas Hirsche</v>
      </c>
      <c r="BG103" s="1601"/>
      <c r="BH103" s="1624" t="str">
        <f>IFERROR(IF($A$17=$BO$1,$BO102,IF($A$17=$BP$1,$BP102,IF($A$17=$BQ$1,$BQ102,IF($A$17=$BR$1,$BR102,IF($A$17=$BS$1,$BS102,IF($A$17=$BT$1,$BT102,IF($A$17=$BU$1,$BU102,IF($A$17="",INDEX(Tiere!$BN$2:$BN$153,_xlfn.AGGREGATE(15,6,(ROW(Tiere!$BN$2:$BN$153)-1)/(--(SEARCH(BI$2,Tiere!$BN$2:$BN$153)&gt;0)),ROW()-2),1))))))))),"")</f>
        <v>Damwild, Lama, Alpacas Hirsche</v>
      </c>
      <c r="BI103" s="1601"/>
      <c r="BJ103" s="1624" t="str">
        <f>IFERROR(IF($A$18=$BO$1,$BO102,IF($A$18=$BP$1,$BP102,IF($A$18=$BQ$1,$BQ102,IF($A$18=$BR$1,$BR102,IF($A$18=$BS$1,$BS102,IF($A$18=$BT$1,$BT102,IF($A$18=$BU$1,$BU102,IF($A$18="",INDEX(Tiere!$BN$2:$BN$153,_xlfn.AGGREGATE(15,6,(ROW(Tiere!$BN$2:$BN$153)-1)/(--(SEARCH(BK$2,Tiere!$BN$2:$BN$153)&gt;0)),ROW()-2),1))))))))),"")</f>
        <v>Damwild, Lama, Alpacas Hirsche</v>
      </c>
      <c r="BK103" s="1601"/>
      <c r="BL103" s="1624" t="str">
        <f>IFERROR(IF($A$19=$BO$1,$BO102,IF($A$19=$BP$1,$BP102,IF($A$19=$BQ$1,$BQ102,IF($A$19=$BR$1,$BR102,IF($A$19=$BS$1,$BS102,IF($A$19=$BT$1,$BT102,IF($A$19=$BU$1,$BU102,IF($A$19="",INDEX(Tiere!$BN$2:$BN$153,_xlfn.AGGREGATE(15,6,(ROW(Tiere!$BN$2:$BN$153)-1)/(--(SEARCH(BM$2,Tiere!$BN$2:$BN$153)&gt;0)),ROW()-2),1))))))))),"")</f>
        <v>Damwild, Lama, Alpacas Hirsche</v>
      </c>
      <c r="BM103" s="1601"/>
      <c r="BN103" s="1630" t="s">
        <v>785</v>
      </c>
      <c r="BO103" s="1599"/>
      <c r="BP103" s="1599"/>
      <c r="BQ103" s="1599"/>
      <c r="BR103" s="1599"/>
      <c r="BS103" s="1599"/>
      <c r="BT103" s="1599"/>
      <c r="BU103" s="1599"/>
      <c r="CD103" s="1911" t="s">
        <v>785</v>
      </c>
    </row>
    <row r="104" spans="36:82" ht="13.5" thickBot="1">
      <c r="AJ104" s="1624" t="str">
        <f>IFERROR(IF($A$5=$BO$1,$BO103,IF($A$5=$BP$1,$BP103,IF($A$5=$BQ$1,$BQ103,IF($A$5=$BR$1,$BR103,IF($A$5=$BS$1,$BS103,IF($A$5=$BT$1,$BT103,IF($A$5=$BU$1,$BU103,IF($A$5="",INDEX(Tiere!$BN$2:$BN$153,_xlfn.AGGREGATE(15,6,(ROW(Tiere!$BN$2:$BN$153)-1)/(--(SEARCH(AK$2,Tiere!$BN$2:$BN$153)&gt;0)),ROW()-2),1))))))))),"")</f>
        <v>Straußenküken bis 1/2 Jahr Gülle</v>
      </c>
      <c r="AK104" s="1599"/>
      <c r="AL104" s="1624" t="str">
        <f>IFERROR(IF($A$6=$BO$1,$BO103,IF($A$6=$BP$1,$BP103,IF($A$6=$BQ$1,$BQ103,IF($A$6=$BR$1,$BR103,IF($A$6=$BS$1,$BS103,IF($A$6=$BT$1,$BT103,IF($A$6=$BU$1,$BU103,IF($A$6="",INDEX(Tiere!$BN$2:$BN$153,_xlfn.AGGREGATE(15,6,(ROW(Tiere!$BN$2:$BN$153)-1)/(--(SEARCH(AM$2,Tiere!$BN$2:$BN$153)&gt;0)),ROW()-2),1))))))))),"")</f>
        <v>Straußenküken bis 1/2 Jahr Gülle</v>
      </c>
      <c r="AM104" s="1599"/>
      <c r="AN104" s="1624" t="str">
        <f>IFERROR(IF($A$7=$BO$1,$BO103,IF($A$7=$BP$1,$BP103,IF($A$7=$BQ$1,$BQ103,IF($A$7=$BR$1,$BR103,IF($A$7=$BS$1,$BS103,IF($A$7=$BT$1,$BT103,IF($A$7=$BU$1,$BU103,IF($A$7="",INDEX(Tiere!$BN$2:$BN$153,_xlfn.AGGREGATE(15,6,(ROW(Tiere!$BN$2:$BN$153)-1)/(--(SEARCH(AM$2,Tiere!$BN$2:$BN$153)&gt;0)),ROW()-2),1))))))))),"")</f>
        <v>Straußenküken bis 1/2 Jahr Gülle</v>
      </c>
      <c r="AO104" s="1599"/>
      <c r="AP104" s="1624" t="str">
        <f>IFERROR(IF($A$8=$BO$1,$BO103,IF($A$8=$BP$1,$BP103,IF($A$8=$BQ$1,$BQ103,IF($A$8=$BR$1,$BR103,IF($A$8=$BS$1,$BS103,IF($A$8=$BT$1,$BT103,IF($A$8=$BU$1,$BU103,IF($A$8="",INDEX(Tiere!$BN$2:$BN$153,_xlfn.AGGREGATE(15,6,(ROW(Tiere!$BN$2:$BN$153)-1)/(--(SEARCH(AQ$2,Tiere!$BN$2:$BN$153)&gt;0)),ROW()-2),1))))))))),"")</f>
        <v>Straußenküken bis 1/2 Jahr Gülle</v>
      </c>
      <c r="AQ104" s="1599"/>
      <c r="AR104" s="1624" t="str">
        <f>IFERROR(IF($A$9=$BO$1,$BO103,IF($A$9=$BP$1,$BP103,IF($A$9=$BQ$1,$BQ103,IF($A$9=$BR$1,$BR103,IF($A$9=$BS$1,$BS103,IF($A$9=$BT$1,$BT103,IF($A$9=$BU$1,$BU103,IF($A$9="",INDEX(Tiere!$BN$2:$BN$153,_xlfn.AGGREGATE(15,6,(ROW(Tiere!$BN$2:$BN$153)-1)/(--(SEARCH(AS$2,Tiere!$BN$2:$BN$153)&gt;0)),ROW()-2),1))))))))),"")</f>
        <v>Straußenküken bis 1/2 Jahr Gülle</v>
      </c>
      <c r="AS104" s="1599"/>
      <c r="AT104" s="1624" t="str">
        <f>IFERROR(IF($A$10=$BO$1,$BO103,IF($A$10=$BP$1,$BP103,IF($A$10=$BQ$1,$BQ103,IF($A$10=$BR$1,$BR103,IF($A$10=$BS$1,$BS103,IF($A$10=$BT$1,$BT103,IF($A$10=$BU$1,$BU103,IF($A$10="",INDEX(Tiere!$BN$2:$BN$153,_xlfn.AGGREGATE(15,6,(ROW(Tiere!$BN$2:$BN$153)-1)/(--(SEARCH(AU$2,Tiere!$BN$2:$BN$153)&gt;0)),ROW()-2),1))))))))),"")</f>
        <v>Straußenküken bis 1/2 Jahr Gülle</v>
      </c>
      <c r="AU104" s="1599"/>
      <c r="AV104" s="1624" t="str">
        <f>IFERROR(IF($A$11=$BO$1,$BO103,IF($A$11=$BP$1,$BP103,IF($A$11=$BQ$1,$BQ103,IF($A$11=$BR$1,$BR103,IF($A$11=$BS$1,$BS103,IF($A$11=$BT$1,$BT103,IF($A$11=$BU$1,$BU103,IF($A$11="",INDEX(Tiere!$BN$2:$BN$153,_xlfn.AGGREGATE(15,6,(ROW(Tiere!$BN$2:$BN$153)-1)/(--(SEARCH(AW$2,Tiere!$BN$2:$BN$153)&gt;0)),ROW()-2),1))))))))),"")</f>
        <v>Straußenküken bis 1/2 Jahr Gülle</v>
      </c>
      <c r="AW104" s="1599"/>
      <c r="AX104" s="1624" t="str">
        <f>IFERROR(IF($A$12=$BO$1,$BO103,IF($A$12=$BP$1,$BP103,IF($A$12=$BQ$1,$BQ103,IF($A$12=$BR$1,$BR103,IF($A$12=$BS$1,$BS103,IF($A$12=$BT$1,$BT103,IF($A$12=$BU$1,$BU103,IF($A$12="",INDEX(Tiere!$BN$2:$BN$153,_xlfn.AGGREGATE(15,6,(ROW(Tiere!$BN$2:$BN$153)-1)/(--(SEARCH(AY$2,Tiere!$BN$2:$BN$153)&gt;0)),ROW()-2),1))))))))),"")</f>
        <v>Straußenküken bis 1/2 Jahr Gülle</v>
      </c>
      <c r="AY104" s="1599"/>
      <c r="AZ104" s="1624" t="str">
        <f>IFERROR(IF($A$13=$BO$1,$BO103,IF($A$13=$BP$1,$BP103,IF($A$13=$BQ$1,$BQ103,IF($A$13=$BR$1,$BR103,IF($A$13=$BS$1,$BS103,IF($A$13=$BT$1,$BT103,IF($A$13=$BU$1,$BU103,IF($A$13="",INDEX(Tiere!$BN$2:$BN$153,_xlfn.AGGREGATE(15,6,(ROW(Tiere!$BN$2:$BN$153)-1)/(--(SEARCH(BA$2,Tiere!$BN$2:$BN$153)&gt;0)),ROW()-2),1))))))))),"")</f>
        <v>Straußenküken bis 1/2 Jahr Gülle</v>
      </c>
      <c r="BA104" s="1599"/>
      <c r="BB104" s="1624" t="str">
        <f>IFERROR(IF($A$14=$BO$1,$BO103,IF($A$14=$BP$1,$BP103,IF($A$14=$BQ$1,$BQ103,IF($A$14=$BR$1,$BR103,IF($A$14=$BS$1,$BS103,IF($A$14=$BT$1,$BT103,IF($A$14=$BU$1,$BU103,IF($A$14="",INDEX(Tiere!$BN$2:$BN$153,_xlfn.AGGREGATE(15,6,(ROW(Tiere!$BN$2:$BN$153)-1)/(--(SEARCH(BC$2,Tiere!$BN$2:$BN$153)&gt;0)),ROW()-2),1))))))))),"")</f>
        <v>Straußenküken bis 1/2 Jahr Gülle</v>
      </c>
      <c r="BC104" s="1599"/>
      <c r="BD104" s="1624" t="str">
        <f>IFERROR(IF($A$15=$BO$1,$BO103,IF($A$15=$BP$1,$BP103,IF($A$15=$BQ$1,$BQ103,IF($A$15=$BR$1,$BR103,IF($A$15=$BS$1,$BS103,IF($A$15=$BT$1,$BT103,IF($A$15=$BU$1,$BU103,IF($A$15="",INDEX(Tiere!$BN$2:$BN$153,_xlfn.AGGREGATE(15,6,(ROW(Tiere!$BN$2:$BN$153)-1)/(--(SEARCH(BE$2,Tiere!$BN$2:$BN$153)&gt;0)),ROW()-2),1))))))))),"")</f>
        <v>Straußenküken bis 1/2 Jahr Gülle</v>
      </c>
      <c r="BE104" s="1599"/>
      <c r="BF104" s="1624" t="str">
        <f>IFERROR(IF($A$16=$BO$1,$BO103,IF($A$16=$BP$1,$BP103,IF($A$16=$BQ$1,$BQ103,IF($A$16=$BR$1,$BR103,IF($A$16=$BS$1,$BS103,IF($A$16=$BT$1,$BT103,IF($A$16=$BU$1,$BU103,IF($A$16="",INDEX(Tiere!$BN$2:$BN$153,_xlfn.AGGREGATE(15,6,(ROW(Tiere!$BN$2:$BN$153)-1)/(--(SEARCH(BG$2,Tiere!$BN$2:$BN$153)&gt;0)),ROW()-2),1))))))))),"")</f>
        <v>Straußenküken bis 1/2 Jahr Gülle</v>
      </c>
      <c r="BG104" s="1599"/>
      <c r="BH104" s="1624" t="str">
        <f>IFERROR(IF($A$17=$BO$1,$BO103,IF($A$17=$BP$1,$BP103,IF($A$17=$BQ$1,$BQ103,IF($A$17=$BR$1,$BR103,IF($A$17=$BS$1,$BS103,IF($A$17=$BT$1,$BT103,IF($A$17=$BU$1,$BU103,IF($A$17="",INDEX(Tiere!$BN$2:$BN$153,_xlfn.AGGREGATE(15,6,(ROW(Tiere!$BN$2:$BN$153)-1)/(--(SEARCH(BI$2,Tiere!$BN$2:$BN$153)&gt;0)),ROW()-2),1))))))))),"")</f>
        <v>Straußenküken bis 1/2 Jahr Gülle</v>
      </c>
      <c r="BI104" s="1599"/>
      <c r="BJ104" s="1624" t="str">
        <f>IFERROR(IF($A$18=$BO$1,$BO103,IF($A$18=$BP$1,$BP103,IF($A$18=$BQ$1,$BQ103,IF($A$18=$BR$1,$BR103,IF($A$18=$BS$1,$BS103,IF($A$18=$BT$1,$BT103,IF($A$18=$BU$1,$BU103,IF($A$18="",INDEX(Tiere!$BN$2:$BN$153,_xlfn.AGGREGATE(15,6,(ROW(Tiere!$BN$2:$BN$153)-1)/(--(SEARCH(BK$2,Tiere!$BN$2:$BN$153)&gt;0)),ROW()-2),1))))))))),"")</f>
        <v>Straußenküken bis 1/2 Jahr Gülle</v>
      </c>
      <c r="BK104" s="1599"/>
      <c r="BL104" s="1624" t="str">
        <f>IFERROR(IF($A$19=$BO$1,$BO103,IF($A$19=$BP$1,$BP103,IF($A$19=$BQ$1,$BQ103,IF($A$19=$BR$1,$BR103,IF($A$19=$BS$1,$BS103,IF($A$19=$BT$1,$BT103,IF($A$19=$BU$1,$BU103,IF($A$19="",INDEX(Tiere!$BN$2:$BN$153,_xlfn.AGGREGATE(15,6,(ROW(Tiere!$BN$2:$BN$153)-1)/(--(SEARCH(BM$2,Tiere!$BN$2:$BN$153)&gt;0)),ROW()-2),1))))))))),"")</f>
        <v>Straußenküken bis 1/2 Jahr Gülle</v>
      </c>
      <c r="BM104" s="1599"/>
      <c r="BN104" s="1630" t="s">
        <v>786</v>
      </c>
      <c r="BO104" s="1599"/>
      <c r="BP104" s="1599"/>
      <c r="BQ104" s="1599"/>
      <c r="BR104" s="1599"/>
      <c r="BS104" s="1599"/>
      <c r="BT104" s="1599"/>
      <c r="BU104" s="1599"/>
      <c r="CD104" s="1911" t="s">
        <v>786</v>
      </c>
    </row>
    <row r="105" spans="36:82" ht="13.5" thickBot="1">
      <c r="AJ105" s="1624" t="str">
        <f>IFERROR(IF($A$5=$BO$1,$BO104,IF($A$5=$BP$1,$BP104,IF($A$5=$BQ$1,$BQ104,IF($A$5=$BR$1,$BR104,IF($A$5=$BS$1,$BS104,IF($A$5=$BT$1,$BT104,IF($A$5=$BU$1,$BU104,IF($A$5="",INDEX(Tiere!$BN$2:$BN$153,_xlfn.AGGREGATE(15,6,(ROW(Tiere!$BN$2:$BN$153)-1)/(--(SEARCH(AK$2,Tiere!$BN$2:$BN$153)&gt;0)),ROW()-2),1))))))))),"")</f>
        <v>Straußenküken bis 1/2 Jahr Mist</v>
      </c>
      <c r="AK105" s="1601"/>
      <c r="AL105" s="1624" t="str">
        <f>IFERROR(IF($A$6=$BO$1,$BO104,IF($A$6=$BP$1,$BP104,IF($A$6=$BQ$1,$BQ104,IF($A$6=$BR$1,$BR104,IF($A$6=$BS$1,$BS104,IF($A$6=$BT$1,$BT104,IF($A$6=$BU$1,$BU104,IF($A$6="",INDEX(Tiere!$BN$2:$BN$153,_xlfn.AGGREGATE(15,6,(ROW(Tiere!$BN$2:$BN$153)-1)/(--(SEARCH(AM$2,Tiere!$BN$2:$BN$153)&gt;0)),ROW()-2),1))))))))),"")</f>
        <v>Straußenküken bis 1/2 Jahr Mist</v>
      </c>
      <c r="AM105" s="1601"/>
      <c r="AN105" s="1624" t="str">
        <f>IFERROR(IF($A$7=$BO$1,$BO104,IF($A$7=$BP$1,$BP104,IF($A$7=$BQ$1,$BQ104,IF($A$7=$BR$1,$BR104,IF($A$7=$BS$1,$BS104,IF($A$7=$BT$1,$BT104,IF($A$7=$BU$1,$BU104,IF($A$7="",INDEX(Tiere!$BN$2:$BN$153,_xlfn.AGGREGATE(15,6,(ROW(Tiere!$BN$2:$BN$153)-1)/(--(SEARCH(AM$2,Tiere!$BN$2:$BN$153)&gt;0)),ROW()-2),1))))))))),"")</f>
        <v>Straußenküken bis 1/2 Jahr Mist</v>
      </c>
      <c r="AO105" s="1601"/>
      <c r="AP105" s="1624" t="str">
        <f>IFERROR(IF($A$8=$BO$1,$BO104,IF($A$8=$BP$1,$BP104,IF($A$8=$BQ$1,$BQ104,IF($A$8=$BR$1,$BR104,IF($A$8=$BS$1,$BS104,IF($A$8=$BT$1,$BT104,IF($A$8=$BU$1,$BU104,IF($A$8="",INDEX(Tiere!$BN$2:$BN$153,_xlfn.AGGREGATE(15,6,(ROW(Tiere!$BN$2:$BN$153)-1)/(--(SEARCH(AQ$2,Tiere!$BN$2:$BN$153)&gt;0)),ROW()-2),1))))))))),"")</f>
        <v>Straußenküken bis 1/2 Jahr Mist</v>
      </c>
      <c r="AQ105" s="1601"/>
      <c r="AR105" s="1624" t="str">
        <f>IFERROR(IF($A$9=$BO$1,$BO104,IF($A$9=$BP$1,$BP104,IF($A$9=$BQ$1,$BQ104,IF($A$9=$BR$1,$BR104,IF($A$9=$BS$1,$BS104,IF($A$9=$BT$1,$BT104,IF($A$9=$BU$1,$BU104,IF($A$9="",INDEX(Tiere!$BN$2:$BN$153,_xlfn.AGGREGATE(15,6,(ROW(Tiere!$BN$2:$BN$153)-1)/(--(SEARCH(AS$2,Tiere!$BN$2:$BN$153)&gt;0)),ROW()-2),1))))))))),"")</f>
        <v>Straußenküken bis 1/2 Jahr Mist</v>
      </c>
      <c r="AS105" s="1601"/>
      <c r="AT105" s="1624" t="str">
        <f>IFERROR(IF($A$10=$BO$1,$BO104,IF($A$10=$BP$1,$BP104,IF($A$10=$BQ$1,$BQ104,IF($A$10=$BR$1,$BR104,IF($A$10=$BS$1,$BS104,IF($A$10=$BT$1,$BT104,IF($A$10=$BU$1,$BU104,IF($A$10="",INDEX(Tiere!$BN$2:$BN$153,_xlfn.AGGREGATE(15,6,(ROW(Tiere!$BN$2:$BN$153)-1)/(--(SEARCH(AU$2,Tiere!$BN$2:$BN$153)&gt;0)),ROW()-2),1))))))))),"")</f>
        <v>Straußenküken bis 1/2 Jahr Mist</v>
      </c>
      <c r="AU105" s="1601"/>
      <c r="AV105" s="1624" t="str">
        <f>IFERROR(IF($A$11=$BO$1,$BO104,IF($A$11=$BP$1,$BP104,IF($A$11=$BQ$1,$BQ104,IF($A$11=$BR$1,$BR104,IF($A$11=$BS$1,$BS104,IF($A$11=$BT$1,$BT104,IF($A$11=$BU$1,$BU104,IF($A$11="",INDEX(Tiere!$BN$2:$BN$153,_xlfn.AGGREGATE(15,6,(ROW(Tiere!$BN$2:$BN$153)-1)/(--(SEARCH(AW$2,Tiere!$BN$2:$BN$153)&gt;0)),ROW()-2),1))))))))),"")</f>
        <v>Straußenküken bis 1/2 Jahr Mist</v>
      </c>
      <c r="AW105" s="1601"/>
      <c r="AX105" s="1624" t="str">
        <f>IFERROR(IF($A$12=$BO$1,$BO104,IF($A$12=$BP$1,$BP104,IF($A$12=$BQ$1,$BQ104,IF($A$12=$BR$1,$BR104,IF($A$12=$BS$1,$BS104,IF($A$12=$BT$1,$BT104,IF($A$12=$BU$1,$BU104,IF($A$12="",INDEX(Tiere!$BN$2:$BN$153,_xlfn.AGGREGATE(15,6,(ROW(Tiere!$BN$2:$BN$153)-1)/(--(SEARCH(AY$2,Tiere!$BN$2:$BN$153)&gt;0)),ROW()-2),1))))))))),"")</f>
        <v>Straußenküken bis 1/2 Jahr Mist</v>
      </c>
      <c r="AY105" s="1601"/>
      <c r="AZ105" s="1624" t="str">
        <f>IFERROR(IF($A$13=$BO$1,$BO104,IF($A$13=$BP$1,$BP104,IF($A$13=$BQ$1,$BQ104,IF($A$13=$BR$1,$BR104,IF($A$13=$BS$1,$BS104,IF($A$13=$BT$1,$BT104,IF($A$13=$BU$1,$BU104,IF($A$13="",INDEX(Tiere!$BN$2:$BN$153,_xlfn.AGGREGATE(15,6,(ROW(Tiere!$BN$2:$BN$153)-1)/(--(SEARCH(BA$2,Tiere!$BN$2:$BN$153)&gt;0)),ROW()-2),1))))))))),"")</f>
        <v>Straußenküken bis 1/2 Jahr Mist</v>
      </c>
      <c r="BA105" s="1601"/>
      <c r="BB105" s="1624" t="str">
        <f>IFERROR(IF($A$14=$BO$1,$BO104,IF($A$14=$BP$1,$BP104,IF($A$14=$BQ$1,$BQ104,IF($A$14=$BR$1,$BR104,IF($A$14=$BS$1,$BS104,IF($A$14=$BT$1,$BT104,IF($A$14=$BU$1,$BU104,IF($A$14="",INDEX(Tiere!$BN$2:$BN$153,_xlfn.AGGREGATE(15,6,(ROW(Tiere!$BN$2:$BN$153)-1)/(--(SEARCH(BC$2,Tiere!$BN$2:$BN$153)&gt;0)),ROW()-2),1))))))))),"")</f>
        <v>Straußenküken bis 1/2 Jahr Mist</v>
      </c>
      <c r="BC105" s="1601"/>
      <c r="BD105" s="1624" t="str">
        <f>IFERROR(IF($A$15=$BO$1,$BO104,IF($A$15=$BP$1,$BP104,IF($A$15=$BQ$1,$BQ104,IF($A$15=$BR$1,$BR104,IF($A$15=$BS$1,$BS104,IF($A$15=$BT$1,$BT104,IF($A$15=$BU$1,$BU104,IF($A$15="",INDEX(Tiere!$BN$2:$BN$153,_xlfn.AGGREGATE(15,6,(ROW(Tiere!$BN$2:$BN$153)-1)/(--(SEARCH(BE$2,Tiere!$BN$2:$BN$153)&gt;0)),ROW()-2),1))))))))),"")</f>
        <v>Straußenküken bis 1/2 Jahr Mist</v>
      </c>
      <c r="BE105" s="1601"/>
      <c r="BF105" s="1624" t="str">
        <f>IFERROR(IF($A$16=$BO$1,$BO104,IF($A$16=$BP$1,$BP104,IF($A$16=$BQ$1,$BQ104,IF($A$16=$BR$1,$BR104,IF($A$16=$BS$1,$BS104,IF($A$16=$BT$1,$BT104,IF($A$16=$BU$1,$BU104,IF($A$16="",INDEX(Tiere!$BN$2:$BN$153,_xlfn.AGGREGATE(15,6,(ROW(Tiere!$BN$2:$BN$153)-1)/(--(SEARCH(BG$2,Tiere!$BN$2:$BN$153)&gt;0)),ROW()-2),1))))))))),"")</f>
        <v>Straußenküken bis 1/2 Jahr Mist</v>
      </c>
      <c r="BG105" s="1601"/>
      <c r="BH105" s="1624" t="str">
        <f>IFERROR(IF($A$17=$BO$1,$BO104,IF($A$17=$BP$1,$BP104,IF($A$17=$BQ$1,$BQ104,IF($A$17=$BR$1,$BR104,IF($A$17=$BS$1,$BS104,IF($A$17=$BT$1,$BT104,IF($A$17=$BU$1,$BU104,IF($A$17="",INDEX(Tiere!$BN$2:$BN$153,_xlfn.AGGREGATE(15,6,(ROW(Tiere!$BN$2:$BN$153)-1)/(--(SEARCH(BI$2,Tiere!$BN$2:$BN$153)&gt;0)),ROW()-2),1))))))))),"")</f>
        <v>Straußenküken bis 1/2 Jahr Mist</v>
      </c>
      <c r="BI105" s="1601"/>
      <c r="BJ105" s="1624" t="str">
        <f>IFERROR(IF($A$18=$BO$1,$BO104,IF($A$18=$BP$1,$BP104,IF($A$18=$BQ$1,$BQ104,IF($A$18=$BR$1,$BR104,IF($A$18=$BS$1,$BS104,IF($A$18=$BT$1,$BT104,IF($A$18=$BU$1,$BU104,IF($A$18="",INDEX(Tiere!$BN$2:$BN$153,_xlfn.AGGREGATE(15,6,(ROW(Tiere!$BN$2:$BN$153)-1)/(--(SEARCH(BK$2,Tiere!$BN$2:$BN$153)&gt;0)),ROW()-2),1))))))))),"")</f>
        <v>Straußenküken bis 1/2 Jahr Mist</v>
      </c>
      <c r="BK105" s="1601"/>
      <c r="BL105" s="1624" t="str">
        <f>IFERROR(IF($A$19=$BO$1,$BO104,IF($A$19=$BP$1,$BP104,IF($A$19=$BQ$1,$BQ104,IF($A$19=$BR$1,$BR104,IF($A$19=$BS$1,$BS104,IF($A$19=$BT$1,$BT104,IF($A$19=$BU$1,$BU104,IF($A$19="",INDEX(Tiere!$BN$2:$BN$153,_xlfn.AGGREGATE(15,6,(ROW(Tiere!$BN$2:$BN$153)-1)/(--(SEARCH(BM$2,Tiere!$BN$2:$BN$153)&gt;0)),ROW()-2),1))))))))),"")</f>
        <v>Straußenküken bis 1/2 Jahr Mist</v>
      </c>
      <c r="BM105" s="1601"/>
      <c r="BN105" s="1630" t="s">
        <v>787</v>
      </c>
      <c r="BO105" s="1599"/>
      <c r="BP105" s="1599"/>
      <c r="BQ105" s="1599"/>
      <c r="BR105" s="1599"/>
      <c r="BS105" s="1599"/>
      <c r="BT105" s="1599"/>
      <c r="BU105" s="1599"/>
      <c r="CD105" s="1911" t="s">
        <v>787</v>
      </c>
    </row>
    <row r="106" spans="36:82" ht="13.5" thickBot="1">
      <c r="AJ106" s="1624" t="str">
        <f>IFERROR(IF($A$5=$BO$1,$BO105,IF($A$5=$BP$1,$BP105,IF($A$5=$BQ$1,$BQ105,IF($A$5=$BR$1,$BR105,IF($A$5=$BS$1,$BS105,IF($A$5=$BT$1,$BT105,IF($A$5=$BU$1,$BU105,IF($A$5="",INDEX(Tiere!$BN$2:$BN$153,_xlfn.AGGREGATE(15,6,(ROW(Tiere!$BN$2:$BN$153)-1)/(--(SEARCH(AK$2,Tiere!$BN$2:$BN$153)&gt;0)),ROW()-2),1))))))))),"")</f>
        <v>Jungstraußen 0,5 - 1,5 Jahre Gülle</v>
      </c>
      <c r="AK106" s="1599"/>
      <c r="AL106" s="1624" t="str">
        <f>IFERROR(IF($A$6=$BO$1,$BO105,IF($A$6=$BP$1,$BP105,IF($A$6=$BQ$1,$BQ105,IF($A$6=$BR$1,$BR105,IF($A$6=$BS$1,$BS105,IF($A$6=$BT$1,$BT105,IF($A$6=$BU$1,$BU105,IF($A$6="",INDEX(Tiere!$BN$2:$BN$153,_xlfn.AGGREGATE(15,6,(ROW(Tiere!$BN$2:$BN$153)-1)/(--(SEARCH(AM$2,Tiere!$BN$2:$BN$153)&gt;0)),ROW()-2),1))))))))),"")</f>
        <v>Jungstraußen 0,5 - 1,5 Jahre Gülle</v>
      </c>
      <c r="AM106" s="1599"/>
      <c r="AN106" s="1624" t="str">
        <f>IFERROR(IF($A$7=$BO$1,$BO105,IF($A$7=$BP$1,$BP105,IF($A$7=$BQ$1,$BQ105,IF($A$7=$BR$1,$BR105,IF($A$7=$BS$1,$BS105,IF($A$7=$BT$1,$BT105,IF($A$7=$BU$1,$BU105,IF($A$7="",INDEX(Tiere!$BN$2:$BN$153,_xlfn.AGGREGATE(15,6,(ROW(Tiere!$BN$2:$BN$153)-1)/(--(SEARCH(AM$2,Tiere!$BN$2:$BN$153)&gt;0)),ROW()-2),1))))))))),"")</f>
        <v>Jungstraußen 0,5 - 1,5 Jahre Gülle</v>
      </c>
      <c r="AO106" s="1599"/>
      <c r="AP106" s="1624" t="str">
        <f>IFERROR(IF($A$8=$BO$1,$BO105,IF($A$8=$BP$1,$BP105,IF($A$8=$BQ$1,$BQ105,IF($A$8=$BR$1,$BR105,IF($A$8=$BS$1,$BS105,IF($A$8=$BT$1,$BT105,IF($A$8=$BU$1,$BU105,IF($A$8="",INDEX(Tiere!$BN$2:$BN$153,_xlfn.AGGREGATE(15,6,(ROW(Tiere!$BN$2:$BN$153)-1)/(--(SEARCH(AQ$2,Tiere!$BN$2:$BN$153)&gt;0)),ROW()-2),1))))))))),"")</f>
        <v>Jungstraußen 0,5 - 1,5 Jahre Gülle</v>
      </c>
      <c r="AQ106" s="1599"/>
      <c r="AR106" s="1624" t="str">
        <f>IFERROR(IF($A$9=$BO$1,$BO105,IF($A$9=$BP$1,$BP105,IF($A$9=$BQ$1,$BQ105,IF($A$9=$BR$1,$BR105,IF($A$9=$BS$1,$BS105,IF($A$9=$BT$1,$BT105,IF($A$9=$BU$1,$BU105,IF($A$9="",INDEX(Tiere!$BN$2:$BN$153,_xlfn.AGGREGATE(15,6,(ROW(Tiere!$BN$2:$BN$153)-1)/(--(SEARCH(AS$2,Tiere!$BN$2:$BN$153)&gt;0)),ROW()-2),1))))))))),"")</f>
        <v>Jungstraußen 0,5 - 1,5 Jahre Gülle</v>
      </c>
      <c r="AS106" s="1599"/>
      <c r="AT106" s="1624" t="str">
        <f>IFERROR(IF($A$10=$BO$1,$BO105,IF($A$10=$BP$1,$BP105,IF($A$10=$BQ$1,$BQ105,IF($A$10=$BR$1,$BR105,IF($A$10=$BS$1,$BS105,IF($A$10=$BT$1,$BT105,IF($A$10=$BU$1,$BU105,IF($A$10="",INDEX(Tiere!$BN$2:$BN$153,_xlfn.AGGREGATE(15,6,(ROW(Tiere!$BN$2:$BN$153)-1)/(--(SEARCH(AU$2,Tiere!$BN$2:$BN$153)&gt;0)),ROW()-2),1))))))))),"")</f>
        <v>Jungstraußen 0,5 - 1,5 Jahre Gülle</v>
      </c>
      <c r="AU106" s="1599"/>
      <c r="AV106" s="1624" t="str">
        <f>IFERROR(IF($A$11=$BO$1,$BO105,IF($A$11=$BP$1,$BP105,IF($A$11=$BQ$1,$BQ105,IF($A$11=$BR$1,$BR105,IF($A$11=$BS$1,$BS105,IF($A$11=$BT$1,$BT105,IF($A$11=$BU$1,$BU105,IF($A$11="",INDEX(Tiere!$BN$2:$BN$153,_xlfn.AGGREGATE(15,6,(ROW(Tiere!$BN$2:$BN$153)-1)/(--(SEARCH(AW$2,Tiere!$BN$2:$BN$153)&gt;0)),ROW()-2),1))))))))),"")</f>
        <v>Jungstraußen 0,5 - 1,5 Jahre Gülle</v>
      </c>
      <c r="AW106" s="1599"/>
      <c r="AX106" s="1624" t="str">
        <f>IFERROR(IF($A$12=$BO$1,$BO105,IF($A$12=$BP$1,$BP105,IF($A$12=$BQ$1,$BQ105,IF($A$12=$BR$1,$BR105,IF($A$12=$BS$1,$BS105,IF($A$12=$BT$1,$BT105,IF($A$12=$BU$1,$BU105,IF($A$12="",INDEX(Tiere!$BN$2:$BN$153,_xlfn.AGGREGATE(15,6,(ROW(Tiere!$BN$2:$BN$153)-1)/(--(SEARCH(AY$2,Tiere!$BN$2:$BN$153)&gt;0)),ROW()-2),1))))))))),"")</f>
        <v>Jungstraußen 0,5 - 1,5 Jahre Gülle</v>
      </c>
      <c r="AY106" s="1599"/>
      <c r="AZ106" s="1624" t="str">
        <f>IFERROR(IF($A$13=$BO$1,$BO105,IF($A$13=$BP$1,$BP105,IF($A$13=$BQ$1,$BQ105,IF($A$13=$BR$1,$BR105,IF($A$13=$BS$1,$BS105,IF($A$13=$BT$1,$BT105,IF($A$13=$BU$1,$BU105,IF($A$13="",INDEX(Tiere!$BN$2:$BN$153,_xlfn.AGGREGATE(15,6,(ROW(Tiere!$BN$2:$BN$153)-1)/(--(SEARCH(BA$2,Tiere!$BN$2:$BN$153)&gt;0)),ROW()-2),1))))))))),"")</f>
        <v>Jungstraußen 0,5 - 1,5 Jahre Gülle</v>
      </c>
      <c r="BA106" s="1599"/>
      <c r="BB106" s="1624" t="str">
        <f>IFERROR(IF($A$14=$BO$1,$BO105,IF($A$14=$BP$1,$BP105,IF($A$14=$BQ$1,$BQ105,IF($A$14=$BR$1,$BR105,IF($A$14=$BS$1,$BS105,IF($A$14=$BT$1,$BT105,IF($A$14=$BU$1,$BU105,IF($A$14="",INDEX(Tiere!$BN$2:$BN$153,_xlfn.AGGREGATE(15,6,(ROW(Tiere!$BN$2:$BN$153)-1)/(--(SEARCH(BC$2,Tiere!$BN$2:$BN$153)&gt;0)),ROW()-2),1))))))))),"")</f>
        <v>Jungstraußen 0,5 - 1,5 Jahre Gülle</v>
      </c>
      <c r="BC106" s="1599"/>
      <c r="BD106" s="1624" t="str">
        <f>IFERROR(IF($A$15=$BO$1,$BO105,IF($A$15=$BP$1,$BP105,IF($A$15=$BQ$1,$BQ105,IF($A$15=$BR$1,$BR105,IF($A$15=$BS$1,$BS105,IF($A$15=$BT$1,$BT105,IF($A$15=$BU$1,$BU105,IF($A$15="",INDEX(Tiere!$BN$2:$BN$153,_xlfn.AGGREGATE(15,6,(ROW(Tiere!$BN$2:$BN$153)-1)/(--(SEARCH(BE$2,Tiere!$BN$2:$BN$153)&gt;0)),ROW()-2),1))))))))),"")</f>
        <v>Jungstraußen 0,5 - 1,5 Jahre Gülle</v>
      </c>
      <c r="BE106" s="1599"/>
      <c r="BF106" s="1624" t="str">
        <f>IFERROR(IF($A$16=$BO$1,$BO105,IF($A$16=$BP$1,$BP105,IF($A$16=$BQ$1,$BQ105,IF($A$16=$BR$1,$BR105,IF($A$16=$BS$1,$BS105,IF($A$16=$BT$1,$BT105,IF($A$16=$BU$1,$BU105,IF($A$16="",INDEX(Tiere!$BN$2:$BN$153,_xlfn.AGGREGATE(15,6,(ROW(Tiere!$BN$2:$BN$153)-1)/(--(SEARCH(BG$2,Tiere!$BN$2:$BN$153)&gt;0)),ROW()-2),1))))))))),"")</f>
        <v>Jungstraußen 0,5 - 1,5 Jahre Gülle</v>
      </c>
      <c r="BG106" s="1599"/>
      <c r="BH106" s="1624" t="str">
        <f>IFERROR(IF($A$17=$BO$1,$BO105,IF($A$17=$BP$1,$BP105,IF($A$17=$BQ$1,$BQ105,IF($A$17=$BR$1,$BR105,IF($A$17=$BS$1,$BS105,IF($A$17=$BT$1,$BT105,IF($A$17=$BU$1,$BU105,IF($A$17="",INDEX(Tiere!$BN$2:$BN$153,_xlfn.AGGREGATE(15,6,(ROW(Tiere!$BN$2:$BN$153)-1)/(--(SEARCH(BI$2,Tiere!$BN$2:$BN$153)&gt;0)),ROW()-2),1))))))))),"")</f>
        <v>Jungstraußen 0,5 - 1,5 Jahre Gülle</v>
      </c>
      <c r="BI106" s="1599"/>
      <c r="BJ106" s="1624" t="str">
        <f>IFERROR(IF($A$18=$BO$1,$BO105,IF($A$18=$BP$1,$BP105,IF($A$18=$BQ$1,$BQ105,IF($A$18=$BR$1,$BR105,IF($A$18=$BS$1,$BS105,IF($A$18=$BT$1,$BT105,IF($A$18=$BU$1,$BU105,IF($A$18="",INDEX(Tiere!$BN$2:$BN$153,_xlfn.AGGREGATE(15,6,(ROW(Tiere!$BN$2:$BN$153)-1)/(--(SEARCH(BK$2,Tiere!$BN$2:$BN$153)&gt;0)),ROW()-2),1))))))))),"")</f>
        <v>Jungstraußen 0,5 - 1,5 Jahre Gülle</v>
      </c>
      <c r="BK106" s="1599"/>
      <c r="BL106" s="1624" t="str">
        <f>IFERROR(IF($A$19=$BO$1,$BO105,IF($A$19=$BP$1,$BP105,IF($A$19=$BQ$1,$BQ105,IF($A$19=$BR$1,$BR105,IF($A$19=$BS$1,$BS105,IF($A$19=$BT$1,$BT105,IF($A$19=$BU$1,$BU105,IF($A$19="",INDEX(Tiere!$BN$2:$BN$153,_xlfn.AGGREGATE(15,6,(ROW(Tiere!$BN$2:$BN$153)-1)/(--(SEARCH(BM$2,Tiere!$BN$2:$BN$153)&gt;0)),ROW()-2),1))))))))),"")</f>
        <v>Jungstraußen 0,5 - 1,5 Jahre Gülle</v>
      </c>
      <c r="BM106" s="1599"/>
      <c r="BN106" s="1630" t="s">
        <v>788</v>
      </c>
      <c r="BO106" s="1599"/>
      <c r="BP106" s="1599"/>
      <c r="BQ106" s="1599"/>
      <c r="BR106" s="1599"/>
      <c r="BS106" s="1599"/>
      <c r="BT106" s="1599"/>
      <c r="BU106" s="1599"/>
      <c r="CD106" s="1911" t="s">
        <v>788</v>
      </c>
    </row>
    <row r="107" spans="36:82" ht="13.5" thickBot="1">
      <c r="AJ107" s="1624" t="str">
        <f>IFERROR(IF($A$5=$BO$1,$BO106,IF($A$5=$BP$1,$BP106,IF($A$5=$BQ$1,$BQ106,IF($A$5=$BR$1,$BR106,IF($A$5=$BS$1,$BS106,IF($A$5=$BT$1,$BT106,IF($A$5=$BU$1,$BU106,IF($A$5="",INDEX(Tiere!$BN$2:$BN$153,_xlfn.AGGREGATE(15,6,(ROW(Tiere!$BN$2:$BN$153)-1)/(--(SEARCH(AK$2,Tiere!$BN$2:$BN$153)&gt;0)),ROW()-2),1))))))))),"")</f>
        <v>Jungstraußen 0,5 - 1,5 Jahre Mist</v>
      </c>
      <c r="AK107" s="1601"/>
      <c r="AL107" s="1624" t="str">
        <f>IFERROR(IF($A$6=$BO$1,$BO106,IF($A$6=$BP$1,$BP106,IF($A$6=$BQ$1,$BQ106,IF($A$6=$BR$1,$BR106,IF($A$6=$BS$1,$BS106,IF($A$6=$BT$1,$BT106,IF($A$6=$BU$1,$BU106,IF($A$6="",INDEX(Tiere!$BN$2:$BN$153,_xlfn.AGGREGATE(15,6,(ROW(Tiere!$BN$2:$BN$153)-1)/(--(SEARCH(AM$2,Tiere!$BN$2:$BN$153)&gt;0)),ROW()-2),1))))))))),"")</f>
        <v>Jungstraußen 0,5 - 1,5 Jahre Mist</v>
      </c>
      <c r="AM107" s="1601"/>
      <c r="AN107" s="1624" t="str">
        <f>IFERROR(IF($A$7=$BO$1,$BO106,IF($A$7=$BP$1,$BP106,IF($A$7=$BQ$1,$BQ106,IF($A$7=$BR$1,$BR106,IF($A$7=$BS$1,$BS106,IF($A$7=$BT$1,$BT106,IF($A$7=$BU$1,$BU106,IF($A$7="",INDEX(Tiere!$BN$2:$BN$153,_xlfn.AGGREGATE(15,6,(ROW(Tiere!$BN$2:$BN$153)-1)/(--(SEARCH(AM$2,Tiere!$BN$2:$BN$153)&gt;0)),ROW()-2),1))))))))),"")</f>
        <v>Jungstraußen 0,5 - 1,5 Jahre Mist</v>
      </c>
      <c r="AO107" s="1601"/>
      <c r="AP107" s="1624" t="str">
        <f>IFERROR(IF($A$8=$BO$1,$BO106,IF($A$8=$BP$1,$BP106,IF($A$8=$BQ$1,$BQ106,IF($A$8=$BR$1,$BR106,IF($A$8=$BS$1,$BS106,IF($A$8=$BT$1,$BT106,IF($A$8=$BU$1,$BU106,IF($A$8="",INDEX(Tiere!$BN$2:$BN$153,_xlfn.AGGREGATE(15,6,(ROW(Tiere!$BN$2:$BN$153)-1)/(--(SEARCH(AQ$2,Tiere!$BN$2:$BN$153)&gt;0)),ROW()-2),1))))))))),"")</f>
        <v>Jungstraußen 0,5 - 1,5 Jahre Mist</v>
      </c>
      <c r="AQ107" s="1601"/>
      <c r="AR107" s="1624" t="str">
        <f>IFERROR(IF($A$9=$BO$1,$BO106,IF($A$9=$BP$1,$BP106,IF($A$9=$BQ$1,$BQ106,IF($A$9=$BR$1,$BR106,IF($A$9=$BS$1,$BS106,IF($A$9=$BT$1,$BT106,IF($A$9=$BU$1,$BU106,IF($A$9="",INDEX(Tiere!$BN$2:$BN$153,_xlfn.AGGREGATE(15,6,(ROW(Tiere!$BN$2:$BN$153)-1)/(--(SEARCH(AS$2,Tiere!$BN$2:$BN$153)&gt;0)),ROW()-2),1))))))))),"")</f>
        <v>Jungstraußen 0,5 - 1,5 Jahre Mist</v>
      </c>
      <c r="AS107" s="1601"/>
      <c r="AT107" s="1624" t="str">
        <f>IFERROR(IF($A$10=$BO$1,$BO106,IF($A$10=$BP$1,$BP106,IF($A$10=$BQ$1,$BQ106,IF($A$10=$BR$1,$BR106,IF($A$10=$BS$1,$BS106,IF($A$10=$BT$1,$BT106,IF($A$10=$BU$1,$BU106,IF($A$10="",INDEX(Tiere!$BN$2:$BN$153,_xlfn.AGGREGATE(15,6,(ROW(Tiere!$BN$2:$BN$153)-1)/(--(SEARCH(AU$2,Tiere!$BN$2:$BN$153)&gt;0)),ROW()-2),1))))))))),"")</f>
        <v>Jungstraußen 0,5 - 1,5 Jahre Mist</v>
      </c>
      <c r="AU107" s="1601"/>
      <c r="AV107" s="1624" t="str">
        <f>IFERROR(IF($A$11=$BO$1,$BO106,IF($A$11=$BP$1,$BP106,IF($A$11=$BQ$1,$BQ106,IF($A$11=$BR$1,$BR106,IF($A$11=$BS$1,$BS106,IF($A$11=$BT$1,$BT106,IF($A$11=$BU$1,$BU106,IF($A$11="",INDEX(Tiere!$BN$2:$BN$153,_xlfn.AGGREGATE(15,6,(ROW(Tiere!$BN$2:$BN$153)-1)/(--(SEARCH(AW$2,Tiere!$BN$2:$BN$153)&gt;0)),ROW()-2),1))))))))),"")</f>
        <v>Jungstraußen 0,5 - 1,5 Jahre Mist</v>
      </c>
      <c r="AW107" s="1601"/>
      <c r="AX107" s="1624" t="str">
        <f>IFERROR(IF($A$12=$BO$1,$BO106,IF($A$12=$BP$1,$BP106,IF($A$12=$BQ$1,$BQ106,IF($A$12=$BR$1,$BR106,IF($A$12=$BS$1,$BS106,IF($A$12=$BT$1,$BT106,IF($A$12=$BU$1,$BU106,IF($A$12="",INDEX(Tiere!$BN$2:$BN$153,_xlfn.AGGREGATE(15,6,(ROW(Tiere!$BN$2:$BN$153)-1)/(--(SEARCH(AY$2,Tiere!$BN$2:$BN$153)&gt;0)),ROW()-2),1))))))))),"")</f>
        <v>Jungstraußen 0,5 - 1,5 Jahre Mist</v>
      </c>
      <c r="AY107" s="1601"/>
      <c r="AZ107" s="1624" t="str">
        <f>IFERROR(IF($A$13=$BO$1,$BO106,IF($A$13=$BP$1,$BP106,IF($A$13=$BQ$1,$BQ106,IF($A$13=$BR$1,$BR106,IF($A$13=$BS$1,$BS106,IF($A$13=$BT$1,$BT106,IF($A$13=$BU$1,$BU106,IF($A$13="",INDEX(Tiere!$BN$2:$BN$153,_xlfn.AGGREGATE(15,6,(ROW(Tiere!$BN$2:$BN$153)-1)/(--(SEARCH(BA$2,Tiere!$BN$2:$BN$153)&gt;0)),ROW()-2),1))))))))),"")</f>
        <v>Jungstraußen 0,5 - 1,5 Jahre Mist</v>
      </c>
      <c r="BA107" s="1601"/>
      <c r="BB107" s="1624" t="str">
        <f>IFERROR(IF($A$14=$BO$1,$BO106,IF($A$14=$BP$1,$BP106,IF($A$14=$BQ$1,$BQ106,IF($A$14=$BR$1,$BR106,IF($A$14=$BS$1,$BS106,IF($A$14=$BT$1,$BT106,IF($A$14=$BU$1,$BU106,IF($A$14="",INDEX(Tiere!$BN$2:$BN$153,_xlfn.AGGREGATE(15,6,(ROW(Tiere!$BN$2:$BN$153)-1)/(--(SEARCH(BC$2,Tiere!$BN$2:$BN$153)&gt;0)),ROW()-2),1))))))))),"")</f>
        <v>Jungstraußen 0,5 - 1,5 Jahre Mist</v>
      </c>
      <c r="BC107" s="1601"/>
      <c r="BD107" s="1624" t="str">
        <f>IFERROR(IF($A$15=$BO$1,$BO106,IF($A$15=$BP$1,$BP106,IF($A$15=$BQ$1,$BQ106,IF($A$15=$BR$1,$BR106,IF($A$15=$BS$1,$BS106,IF($A$15=$BT$1,$BT106,IF($A$15=$BU$1,$BU106,IF($A$15="",INDEX(Tiere!$BN$2:$BN$153,_xlfn.AGGREGATE(15,6,(ROW(Tiere!$BN$2:$BN$153)-1)/(--(SEARCH(BE$2,Tiere!$BN$2:$BN$153)&gt;0)),ROW()-2),1))))))))),"")</f>
        <v>Jungstraußen 0,5 - 1,5 Jahre Mist</v>
      </c>
      <c r="BE107" s="1601"/>
      <c r="BF107" s="1624" t="str">
        <f>IFERROR(IF($A$16=$BO$1,$BO106,IF($A$16=$BP$1,$BP106,IF($A$16=$BQ$1,$BQ106,IF($A$16=$BR$1,$BR106,IF($A$16=$BS$1,$BS106,IF($A$16=$BT$1,$BT106,IF($A$16=$BU$1,$BU106,IF($A$16="",INDEX(Tiere!$BN$2:$BN$153,_xlfn.AGGREGATE(15,6,(ROW(Tiere!$BN$2:$BN$153)-1)/(--(SEARCH(BG$2,Tiere!$BN$2:$BN$153)&gt;0)),ROW()-2),1))))))))),"")</f>
        <v>Jungstraußen 0,5 - 1,5 Jahre Mist</v>
      </c>
      <c r="BG107" s="1601"/>
      <c r="BH107" s="1624" t="str">
        <f>IFERROR(IF($A$17=$BO$1,$BO106,IF($A$17=$BP$1,$BP106,IF($A$17=$BQ$1,$BQ106,IF($A$17=$BR$1,$BR106,IF($A$17=$BS$1,$BS106,IF($A$17=$BT$1,$BT106,IF($A$17=$BU$1,$BU106,IF($A$17="",INDEX(Tiere!$BN$2:$BN$153,_xlfn.AGGREGATE(15,6,(ROW(Tiere!$BN$2:$BN$153)-1)/(--(SEARCH(BI$2,Tiere!$BN$2:$BN$153)&gt;0)),ROW()-2),1))))))))),"")</f>
        <v>Jungstraußen 0,5 - 1,5 Jahre Mist</v>
      </c>
      <c r="BI107" s="1601"/>
      <c r="BJ107" s="1624" t="str">
        <f>IFERROR(IF($A$18=$BO$1,$BO106,IF($A$18=$BP$1,$BP106,IF($A$18=$BQ$1,$BQ106,IF($A$18=$BR$1,$BR106,IF($A$18=$BS$1,$BS106,IF($A$18=$BT$1,$BT106,IF($A$18=$BU$1,$BU106,IF($A$18="",INDEX(Tiere!$BN$2:$BN$153,_xlfn.AGGREGATE(15,6,(ROW(Tiere!$BN$2:$BN$153)-1)/(--(SEARCH(BK$2,Tiere!$BN$2:$BN$153)&gt;0)),ROW()-2),1))))))))),"")</f>
        <v>Jungstraußen 0,5 - 1,5 Jahre Mist</v>
      </c>
      <c r="BK107" s="1601"/>
      <c r="BL107" s="1624" t="str">
        <f>IFERROR(IF($A$19=$BO$1,$BO106,IF($A$19=$BP$1,$BP106,IF($A$19=$BQ$1,$BQ106,IF($A$19=$BR$1,$BR106,IF($A$19=$BS$1,$BS106,IF($A$19=$BT$1,$BT106,IF($A$19=$BU$1,$BU106,IF($A$19="",INDEX(Tiere!$BN$2:$BN$153,_xlfn.AGGREGATE(15,6,(ROW(Tiere!$BN$2:$BN$153)-1)/(--(SEARCH(BM$2,Tiere!$BN$2:$BN$153)&gt;0)),ROW()-2),1))))))))),"")</f>
        <v>Jungstraußen 0,5 - 1,5 Jahre Mist</v>
      </c>
      <c r="BM107" s="1601"/>
      <c r="BN107" s="1630" t="s">
        <v>789</v>
      </c>
      <c r="BO107" s="1599"/>
      <c r="BP107" s="1599"/>
      <c r="BQ107" s="1599"/>
      <c r="BR107" s="1599"/>
      <c r="BS107" s="1599"/>
      <c r="BT107" s="1599"/>
      <c r="BU107" s="1599"/>
      <c r="CD107" s="1911" t="s">
        <v>789</v>
      </c>
    </row>
    <row r="108" spans="36:82" ht="13.5" thickBot="1">
      <c r="AJ108" s="1624" t="str">
        <f>IFERROR(IF($A$5=$BO$1,$BO107,IF($A$5=$BP$1,$BP107,IF($A$5=$BQ$1,$BQ107,IF($A$5=$BR$1,$BR107,IF($A$5=$BS$1,$BS107,IF($A$5=$BT$1,$BT107,IF($A$5=$BU$1,$BU107,IF($A$5="",INDEX(Tiere!$BN$2:$BN$153,_xlfn.AGGREGATE(15,6,(ROW(Tiere!$BN$2:$BN$153)-1)/(--(SEARCH(AK$2,Tiere!$BN$2:$BN$153)&gt;0)),ROW()-2),1))))))))),"")</f>
        <v>Zuchtstraußenhenne - Gülle</v>
      </c>
      <c r="AK108" s="1599"/>
      <c r="AL108" s="1624" t="str">
        <f>IFERROR(IF($A$6=$BO$1,$BO107,IF($A$6=$BP$1,$BP107,IF($A$6=$BQ$1,$BQ107,IF($A$6=$BR$1,$BR107,IF($A$6=$BS$1,$BS107,IF($A$6=$BT$1,$BT107,IF($A$6=$BU$1,$BU107,IF($A$6="",INDEX(Tiere!$BN$2:$BN$153,_xlfn.AGGREGATE(15,6,(ROW(Tiere!$BN$2:$BN$153)-1)/(--(SEARCH(AM$2,Tiere!$BN$2:$BN$153)&gt;0)),ROW()-2),1))))))))),"")</f>
        <v>Zuchtstraußenhenne - Gülle</v>
      </c>
      <c r="AM108" s="1599"/>
      <c r="AN108" s="1624" t="str">
        <f>IFERROR(IF($A$7=$BO$1,$BO107,IF($A$7=$BP$1,$BP107,IF($A$7=$BQ$1,$BQ107,IF($A$7=$BR$1,$BR107,IF($A$7=$BS$1,$BS107,IF($A$7=$BT$1,$BT107,IF($A$7=$BU$1,$BU107,IF($A$7="",INDEX(Tiere!$BN$2:$BN$153,_xlfn.AGGREGATE(15,6,(ROW(Tiere!$BN$2:$BN$153)-1)/(--(SEARCH(AM$2,Tiere!$BN$2:$BN$153)&gt;0)),ROW()-2),1))))))))),"")</f>
        <v>Zuchtstraußenhenne - Gülle</v>
      </c>
      <c r="AO108" s="1599"/>
      <c r="AP108" s="1624" t="str">
        <f>IFERROR(IF($A$8=$BO$1,$BO107,IF($A$8=$BP$1,$BP107,IF($A$8=$BQ$1,$BQ107,IF($A$8=$BR$1,$BR107,IF($A$8=$BS$1,$BS107,IF($A$8=$BT$1,$BT107,IF($A$8=$BU$1,$BU107,IF($A$8="",INDEX(Tiere!$BN$2:$BN$153,_xlfn.AGGREGATE(15,6,(ROW(Tiere!$BN$2:$BN$153)-1)/(--(SEARCH(AQ$2,Tiere!$BN$2:$BN$153)&gt;0)),ROW()-2),1))))))))),"")</f>
        <v>Zuchtstraußenhenne - Gülle</v>
      </c>
      <c r="AQ108" s="1599"/>
      <c r="AR108" s="1624" t="str">
        <f>IFERROR(IF($A$9=$BO$1,$BO107,IF($A$9=$BP$1,$BP107,IF($A$9=$BQ$1,$BQ107,IF($A$9=$BR$1,$BR107,IF($A$9=$BS$1,$BS107,IF($A$9=$BT$1,$BT107,IF($A$9=$BU$1,$BU107,IF($A$9="",INDEX(Tiere!$BN$2:$BN$153,_xlfn.AGGREGATE(15,6,(ROW(Tiere!$BN$2:$BN$153)-1)/(--(SEARCH(AS$2,Tiere!$BN$2:$BN$153)&gt;0)),ROW()-2),1))))))))),"")</f>
        <v>Zuchtstraußenhenne - Gülle</v>
      </c>
      <c r="AS108" s="1599"/>
      <c r="AT108" s="1624" t="str">
        <f>IFERROR(IF($A$10=$BO$1,$BO107,IF($A$10=$BP$1,$BP107,IF($A$10=$BQ$1,$BQ107,IF($A$10=$BR$1,$BR107,IF($A$10=$BS$1,$BS107,IF($A$10=$BT$1,$BT107,IF($A$10=$BU$1,$BU107,IF($A$10="",INDEX(Tiere!$BN$2:$BN$153,_xlfn.AGGREGATE(15,6,(ROW(Tiere!$BN$2:$BN$153)-1)/(--(SEARCH(AU$2,Tiere!$BN$2:$BN$153)&gt;0)),ROW()-2),1))))))))),"")</f>
        <v>Zuchtstraußenhenne - Gülle</v>
      </c>
      <c r="AU108" s="1599"/>
      <c r="AV108" s="1624" t="str">
        <f>IFERROR(IF($A$11=$BO$1,$BO107,IF($A$11=$BP$1,$BP107,IF($A$11=$BQ$1,$BQ107,IF($A$11=$BR$1,$BR107,IF($A$11=$BS$1,$BS107,IF($A$11=$BT$1,$BT107,IF($A$11=$BU$1,$BU107,IF($A$11="",INDEX(Tiere!$BN$2:$BN$153,_xlfn.AGGREGATE(15,6,(ROW(Tiere!$BN$2:$BN$153)-1)/(--(SEARCH(AW$2,Tiere!$BN$2:$BN$153)&gt;0)),ROW()-2),1))))))))),"")</f>
        <v>Zuchtstraußenhenne - Gülle</v>
      </c>
      <c r="AW108" s="1599"/>
      <c r="AX108" s="1624" t="str">
        <f>IFERROR(IF($A$12=$BO$1,$BO107,IF($A$12=$BP$1,$BP107,IF($A$12=$BQ$1,$BQ107,IF($A$12=$BR$1,$BR107,IF($A$12=$BS$1,$BS107,IF($A$12=$BT$1,$BT107,IF($A$12=$BU$1,$BU107,IF($A$12="",INDEX(Tiere!$BN$2:$BN$153,_xlfn.AGGREGATE(15,6,(ROW(Tiere!$BN$2:$BN$153)-1)/(--(SEARCH(AY$2,Tiere!$BN$2:$BN$153)&gt;0)),ROW()-2),1))))))))),"")</f>
        <v>Zuchtstraußenhenne - Gülle</v>
      </c>
      <c r="AY108" s="1599"/>
      <c r="AZ108" s="1624" t="str">
        <f>IFERROR(IF($A$13=$BO$1,$BO107,IF($A$13=$BP$1,$BP107,IF($A$13=$BQ$1,$BQ107,IF($A$13=$BR$1,$BR107,IF($A$13=$BS$1,$BS107,IF($A$13=$BT$1,$BT107,IF($A$13=$BU$1,$BU107,IF($A$13="",INDEX(Tiere!$BN$2:$BN$153,_xlfn.AGGREGATE(15,6,(ROW(Tiere!$BN$2:$BN$153)-1)/(--(SEARCH(BA$2,Tiere!$BN$2:$BN$153)&gt;0)),ROW()-2),1))))))))),"")</f>
        <v>Zuchtstraußenhenne - Gülle</v>
      </c>
      <c r="BA108" s="1599"/>
      <c r="BB108" s="1624" t="str">
        <f>IFERROR(IF($A$14=$BO$1,$BO107,IF($A$14=$BP$1,$BP107,IF($A$14=$BQ$1,$BQ107,IF($A$14=$BR$1,$BR107,IF($A$14=$BS$1,$BS107,IF($A$14=$BT$1,$BT107,IF($A$14=$BU$1,$BU107,IF($A$14="",INDEX(Tiere!$BN$2:$BN$153,_xlfn.AGGREGATE(15,6,(ROW(Tiere!$BN$2:$BN$153)-1)/(--(SEARCH(BC$2,Tiere!$BN$2:$BN$153)&gt;0)),ROW()-2),1))))))))),"")</f>
        <v>Zuchtstraußenhenne - Gülle</v>
      </c>
      <c r="BC108" s="1599"/>
      <c r="BD108" s="1624" t="str">
        <f>IFERROR(IF($A$15=$BO$1,$BO107,IF($A$15=$BP$1,$BP107,IF($A$15=$BQ$1,$BQ107,IF($A$15=$BR$1,$BR107,IF($A$15=$BS$1,$BS107,IF($A$15=$BT$1,$BT107,IF($A$15=$BU$1,$BU107,IF($A$15="",INDEX(Tiere!$BN$2:$BN$153,_xlfn.AGGREGATE(15,6,(ROW(Tiere!$BN$2:$BN$153)-1)/(--(SEARCH(BE$2,Tiere!$BN$2:$BN$153)&gt;0)),ROW()-2),1))))))))),"")</f>
        <v>Zuchtstraußenhenne - Gülle</v>
      </c>
      <c r="BE108" s="1599"/>
      <c r="BF108" s="1624" t="str">
        <f>IFERROR(IF($A$16=$BO$1,$BO107,IF($A$16=$BP$1,$BP107,IF($A$16=$BQ$1,$BQ107,IF($A$16=$BR$1,$BR107,IF($A$16=$BS$1,$BS107,IF($A$16=$BT$1,$BT107,IF($A$16=$BU$1,$BU107,IF($A$16="",INDEX(Tiere!$BN$2:$BN$153,_xlfn.AGGREGATE(15,6,(ROW(Tiere!$BN$2:$BN$153)-1)/(--(SEARCH(BG$2,Tiere!$BN$2:$BN$153)&gt;0)),ROW()-2),1))))))))),"")</f>
        <v>Zuchtstraußenhenne - Gülle</v>
      </c>
      <c r="BG108" s="1599"/>
      <c r="BH108" s="1624" t="str">
        <f>IFERROR(IF($A$17=$BO$1,$BO107,IF($A$17=$BP$1,$BP107,IF($A$17=$BQ$1,$BQ107,IF($A$17=$BR$1,$BR107,IF($A$17=$BS$1,$BS107,IF($A$17=$BT$1,$BT107,IF($A$17=$BU$1,$BU107,IF($A$17="",INDEX(Tiere!$BN$2:$BN$153,_xlfn.AGGREGATE(15,6,(ROW(Tiere!$BN$2:$BN$153)-1)/(--(SEARCH(BI$2,Tiere!$BN$2:$BN$153)&gt;0)),ROW()-2),1))))))))),"")</f>
        <v>Zuchtstraußenhenne - Gülle</v>
      </c>
      <c r="BI108" s="1599"/>
      <c r="BJ108" s="1624" t="str">
        <f>IFERROR(IF($A$18=$BO$1,$BO107,IF($A$18=$BP$1,$BP107,IF($A$18=$BQ$1,$BQ107,IF($A$18=$BR$1,$BR107,IF($A$18=$BS$1,$BS107,IF($A$18=$BT$1,$BT107,IF($A$18=$BU$1,$BU107,IF($A$18="",INDEX(Tiere!$BN$2:$BN$153,_xlfn.AGGREGATE(15,6,(ROW(Tiere!$BN$2:$BN$153)-1)/(--(SEARCH(BK$2,Tiere!$BN$2:$BN$153)&gt;0)),ROW()-2),1))))))))),"")</f>
        <v>Zuchtstraußenhenne - Gülle</v>
      </c>
      <c r="BK108" s="1599"/>
      <c r="BL108" s="1624" t="str">
        <f>IFERROR(IF($A$19=$BO$1,$BO107,IF($A$19=$BP$1,$BP107,IF($A$19=$BQ$1,$BQ107,IF($A$19=$BR$1,$BR107,IF($A$19=$BS$1,$BS107,IF($A$19=$BT$1,$BT107,IF($A$19=$BU$1,$BU107,IF($A$19="",INDEX(Tiere!$BN$2:$BN$153,_xlfn.AGGREGATE(15,6,(ROW(Tiere!$BN$2:$BN$153)-1)/(--(SEARCH(BM$2,Tiere!$BN$2:$BN$153)&gt;0)),ROW()-2),1))))))))),"")</f>
        <v>Zuchtstraußenhenne - Gülle</v>
      </c>
      <c r="BM108" s="1599"/>
      <c r="BN108" s="1630" t="s">
        <v>790</v>
      </c>
      <c r="BO108" s="1599"/>
      <c r="BP108" s="1599"/>
      <c r="BQ108" s="1599"/>
      <c r="BR108" s="1599"/>
      <c r="BS108" s="1599"/>
      <c r="BT108" s="1599"/>
      <c r="BU108" s="1599"/>
      <c r="CD108" s="1911" t="s">
        <v>790</v>
      </c>
    </row>
    <row r="109" spans="36:82" ht="13.5" thickBot="1">
      <c r="AJ109" s="1624" t="str">
        <f>IFERROR(IF($A$5=$BO$1,$BO108,IF($A$5=$BP$1,$BP108,IF($A$5=$BQ$1,$BQ108,IF($A$5=$BR$1,$BR108,IF($A$5=$BS$1,$BS108,IF($A$5=$BT$1,$BT108,IF($A$5=$BU$1,$BU108,IF($A$5="",INDEX(Tiere!$BN$2:$BN$153,_xlfn.AGGREGATE(15,6,(ROW(Tiere!$BN$2:$BN$153)-1)/(--(SEARCH(AK$2,Tiere!$BN$2:$BN$153)&gt;0)),ROW()-2),1))))))))),"")</f>
        <v>Zuchtstraußenhenne - Mist</v>
      </c>
      <c r="AK109" s="1601"/>
      <c r="AL109" s="1624" t="str">
        <f>IFERROR(IF($A$6=$BO$1,$BO108,IF($A$6=$BP$1,$BP108,IF($A$6=$BQ$1,$BQ108,IF($A$6=$BR$1,$BR108,IF($A$6=$BS$1,$BS108,IF($A$6=$BT$1,$BT108,IF($A$6=$BU$1,$BU108,IF($A$6="",INDEX(Tiere!$BN$2:$BN$153,_xlfn.AGGREGATE(15,6,(ROW(Tiere!$BN$2:$BN$153)-1)/(--(SEARCH(AM$2,Tiere!$BN$2:$BN$153)&gt;0)),ROW()-2),1))))))))),"")</f>
        <v>Zuchtstraußenhenne - Mist</v>
      </c>
      <c r="AM109" s="1601"/>
      <c r="AN109" s="1624" t="str">
        <f>IFERROR(IF($A$7=$BO$1,$BO108,IF($A$7=$BP$1,$BP108,IF($A$7=$BQ$1,$BQ108,IF($A$7=$BR$1,$BR108,IF($A$7=$BS$1,$BS108,IF($A$7=$BT$1,$BT108,IF($A$7=$BU$1,$BU108,IF($A$7="",INDEX(Tiere!$BN$2:$BN$153,_xlfn.AGGREGATE(15,6,(ROW(Tiere!$BN$2:$BN$153)-1)/(--(SEARCH(AM$2,Tiere!$BN$2:$BN$153)&gt;0)),ROW()-2),1))))))))),"")</f>
        <v>Zuchtstraußenhenne - Mist</v>
      </c>
      <c r="AO109" s="1601"/>
      <c r="AP109" s="1624" t="str">
        <f>IFERROR(IF($A$8=$BO$1,$BO108,IF($A$8=$BP$1,$BP108,IF($A$8=$BQ$1,$BQ108,IF($A$8=$BR$1,$BR108,IF($A$8=$BS$1,$BS108,IF($A$8=$BT$1,$BT108,IF($A$8=$BU$1,$BU108,IF($A$8="",INDEX(Tiere!$BN$2:$BN$153,_xlfn.AGGREGATE(15,6,(ROW(Tiere!$BN$2:$BN$153)-1)/(--(SEARCH(AQ$2,Tiere!$BN$2:$BN$153)&gt;0)),ROW()-2),1))))))))),"")</f>
        <v>Zuchtstraußenhenne - Mist</v>
      </c>
      <c r="AQ109" s="1601"/>
      <c r="AR109" s="1624" t="str">
        <f>IFERROR(IF($A$9=$BO$1,$BO108,IF($A$9=$BP$1,$BP108,IF($A$9=$BQ$1,$BQ108,IF($A$9=$BR$1,$BR108,IF($A$9=$BS$1,$BS108,IF($A$9=$BT$1,$BT108,IF($A$9=$BU$1,$BU108,IF($A$9="",INDEX(Tiere!$BN$2:$BN$153,_xlfn.AGGREGATE(15,6,(ROW(Tiere!$BN$2:$BN$153)-1)/(--(SEARCH(AS$2,Tiere!$BN$2:$BN$153)&gt;0)),ROW()-2),1))))))))),"")</f>
        <v>Zuchtstraußenhenne - Mist</v>
      </c>
      <c r="AS109" s="1601"/>
      <c r="AT109" s="1624" t="str">
        <f>IFERROR(IF($A$10=$BO$1,$BO108,IF($A$10=$BP$1,$BP108,IF($A$10=$BQ$1,$BQ108,IF($A$10=$BR$1,$BR108,IF($A$10=$BS$1,$BS108,IF($A$10=$BT$1,$BT108,IF($A$10=$BU$1,$BU108,IF($A$10="",INDEX(Tiere!$BN$2:$BN$153,_xlfn.AGGREGATE(15,6,(ROW(Tiere!$BN$2:$BN$153)-1)/(--(SEARCH(AU$2,Tiere!$BN$2:$BN$153)&gt;0)),ROW()-2),1))))))))),"")</f>
        <v>Zuchtstraußenhenne - Mist</v>
      </c>
      <c r="AU109" s="1601"/>
      <c r="AV109" s="1624" t="str">
        <f>IFERROR(IF($A$11=$BO$1,$BO108,IF($A$11=$BP$1,$BP108,IF($A$11=$BQ$1,$BQ108,IF($A$11=$BR$1,$BR108,IF($A$11=$BS$1,$BS108,IF($A$11=$BT$1,$BT108,IF($A$11=$BU$1,$BU108,IF($A$11="",INDEX(Tiere!$BN$2:$BN$153,_xlfn.AGGREGATE(15,6,(ROW(Tiere!$BN$2:$BN$153)-1)/(--(SEARCH(AW$2,Tiere!$BN$2:$BN$153)&gt;0)),ROW()-2),1))))))))),"")</f>
        <v>Zuchtstraußenhenne - Mist</v>
      </c>
      <c r="AW109" s="1601"/>
      <c r="AX109" s="1624" t="str">
        <f>IFERROR(IF($A$12=$BO$1,$BO108,IF($A$12=$BP$1,$BP108,IF($A$12=$BQ$1,$BQ108,IF($A$12=$BR$1,$BR108,IF($A$12=$BS$1,$BS108,IF($A$12=$BT$1,$BT108,IF($A$12=$BU$1,$BU108,IF($A$12="",INDEX(Tiere!$BN$2:$BN$153,_xlfn.AGGREGATE(15,6,(ROW(Tiere!$BN$2:$BN$153)-1)/(--(SEARCH(AY$2,Tiere!$BN$2:$BN$153)&gt;0)),ROW()-2),1))))))))),"")</f>
        <v>Zuchtstraußenhenne - Mist</v>
      </c>
      <c r="AY109" s="1601"/>
      <c r="AZ109" s="1624" t="str">
        <f>IFERROR(IF($A$13=$BO$1,$BO108,IF($A$13=$BP$1,$BP108,IF($A$13=$BQ$1,$BQ108,IF($A$13=$BR$1,$BR108,IF($A$13=$BS$1,$BS108,IF($A$13=$BT$1,$BT108,IF($A$13=$BU$1,$BU108,IF($A$13="",INDEX(Tiere!$BN$2:$BN$153,_xlfn.AGGREGATE(15,6,(ROW(Tiere!$BN$2:$BN$153)-1)/(--(SEARCH(BA$2,Tiere!$BN$2:$BN$153)&gt;0)),ROW()-2),1))))))))),"")</f>
        <v>Zuchtstraußenhenne - Mist</v>
      </c>
      <c r="BA109" s="1601"/>
      <c r="BB109" s="1624" t="str">
        <f>IFERROR(IF($A$14=$BO$1,$BO108,IF($A$14=$BP$1,$BP108,IF($A$14=$BQ$1,$BQ108,IF($A$14=$BR$1,$BR108,IF($A$14=$BS$1,$BS108,IF($A$14=$BT$1,$BT108,IF($A$14=$BU$1,$BU108,IF($A$14="",INDEX(Tiere!$BN$2:$BN$153,_xlfn.AGGREGATE(15,6,(ROW(Tiere!$BN$2:$BN$153)-1)/(--(SEARCH(BC$2,Tiere!$BN$2:$BN$153)&gt;0)),ROW()-2),1))))))))),"")</f>
        <v>Zuchtstraußenhenne - Mist</v>
      </c>
      <c r="BC109" s="1601"/>
      <c r="BD109" s="1624" t="str">
        <f>IFERROR(IF($A$15=$BO$1,$BO108,IF($A$15=$BP$1,$BP108,IF($A$15=$BQ$1,$BQ108,IF($A$15=$BR$1,$BR108,IF($A$15=$BS$1,$BS108,IF($A$15=$BT$1,$BT108,IF($A$15=$BU$1,$BU108,IF($A$15="",INDEX(Tiere!$BN$2:$BN$153,_xlfn.AGGREGATE(15,6,(ROW(Tiere!$BN$2:$BN$153)-1)/(--(SEARCH(BE$2,Tiere!$BN$2:$BN$153)&gt;0)),ROW()-2),1))))))))),"")</f>
        <v>Zuchtstraußenhenne - Mist</v>
      </c>
      <c r="BE109" s="1601"/>
      <c r="BF109" s="1624" t="str">
        <f>IFERROR(IF($A$16=$BO$1,$BO108,IF($A$16=$BP$1,$BP108,IF($A$16=$BQ$1,$BQ108,IF($A$16=$BR$1,$BR108,IF($A$16=$BS$1,$BS108,IF($A$16=$BT$1,$BT108,IF($A$16=$BU$1,$BU108,IF($A$16="",INDEX(Tiere!$BN$2:$BN$153,_xlfn.AGGREGATE(15,6,(ROW(Tiere!$BN$2:$BN$153)-1)/(--(SEARCH(BG$2,Tiere!$BN$2:$BN$153)&gt;0)),ROW()-2),1))))))))),"")</f>
        <v>Zuchtstraußenhenne - Mist</v>
      </c>
      <c r="BG109" s="1601"/>
      <c r="BH109" s="1624" t="str">
        <f>IFERROR(IF($A$17=$BO$1,$BO108,IF($A$17=$BP$1,$BP108,IF($A$17=$BQ$1,$BQ108,IF($A$17=$BR$1,$BR108,IF($A$17=$BS$1,$BS108,IF($A$17=$BT$1,$BT108,IF($A$17=$BU$1,$BU108,IF($A$17="",INDEX(Tiere!$BN$2:$BN$153,_xlfn.AGGREGATE(15,6,(ROW(Tiere!$BN$2:$BN$153)-1)/(--(SEARCH(BI$2,Tiere!$BN$2:$BN$153)&gt;0)),ROW()-2),1))))))))),"")</f>
        <v>Zuchtstraußenhenne - Mist</v>
      </c>
      <c r="BI109" s="1601"/>
      <c r="BJ109" s="1624" t="str">
        <f>IFERROR(IF($A$18=$BO$1,$BO108,IF($A$18=$BP$1,$BP108,IF($A$18=$BQ$1,$BQ108,IF($A$18=$BR$1,$BR108,IF($A$18=$BS$1,$BS108,IF($A$18=$BT$1,$BT108,IF($A$18=$BU$1,$BU108,IF($A$18="",INDEX(Tiere!$BN$2:$BN$153,_xlfn.AGGREGATE(15,6,(ROW(Tiere!$BN$2:$BN$153)-1)/(--(SEARCH(BK$2,Tiere!$BN$2:$BN$153)&gt;0)),ROW()-2),1))))))))),"")</f>
        <v>Zuchtstraußenhenne - Mist</v>
      </c>
      <c r="BK109" s="1601"/>
      <c r="BL109" s="1624" t="str">
        <f>IFERROR(IF($A$19=$BO$1,$BO108,IF($A$19=$BP$1,$BP108,IF($A$19=$BQ$1,$BQ108,IF($A$19=$BR$1,$BR108,IF($A$19=$BS$1,$BS108,IF($A$19=$BT$1,$BT108,IF($A$19=$BU$1,$BU108,IF($A$19="",INDEX(Tiere!$BN$2:$BN$153,_xlfn.AGGREGATE(15,6,(ROW(Tiere!$BN$2:$BN$153)-1)/(--(SEARCH(BM$2,Tiere!$BN$2:$BN$153)&gt;0)),ROW()-2),1))))))))),"")</f>
        <v>Zuchtstraußenhenne - Mist</v>
      </c>
      <c r="BM109" s="1601"/>
      <c r="BN109" s="1630" t="s">
        <v>791</v>
      </c>
      <c r="BO109" s="1599"/>
      <c r="BP109" s="1599"/>
      <c r="BQ109" s="1599"/>
      <c r="BR109" s="1599"/>
      <c r="BS109" s="1599"/>
      <c r="BT109" s="1599"/>
      <c r="BU109" s="1599"/>
      <c r="CD109" s="1911" t="s">
        <v>791</v>
      </c>
    </row>
    <row r="110" spans="36:82" ht="13.5" thickBot="1">
      <c r="AJ110" s="1624" t="str">
        <f>IFERROR(IF($A$5=$BO$1,$BO109,IF($A$5=$BP$1,$BP109,IF($A$5=$BQ$1,$BQ109,IF($A$5=$BR$1,$BR109,IF($A$5=$BS$1,$BS109,IF($A$5=$BT$1,$BT109,IF($A$5=$BU$1,$BU109,IF($A$5="",INDEX(Tiere!$BN$2:$BN$153,_xlfn.AGGREGATE(15,6,(ROW(Tiere!$BN$2:$BN$153)-1)/(--(SEARCH(AK$2,Tiere!$BN$2:$BN$153)&gt;0)),ROW()-2),1))))))))),"")</f>
        <v>Zuchtstraußenhahn - Gülle</v>
      </c>
      <c r="AK110" s="1599"/>
      <c r="AL110" s="1624" t="str">
        <f>IFERROR(IF($A$6=$BO$1,$BO109,IF($A$6=$BP$1,$BP109,IF($A$6=$BQ$1,$BQ109,IF($A$6=$BR$1,$BR109,IF($A$6=$BS$1,$BS109,IF($A$6=$BT$1,$BT109,IF($A$6=$BU$1,$BU109,IF($A$6="",INDEX(Tiere!$BN$2:$BN$153,_xlfn.AGGREGATE(15,6,(ROW(Tiere!$BN$2:$BN$153)-1)/(--(SEARCH(AM$2,Tiere!$BN$2:$BN$153)&gt;0)),ROW()-2),1))))))))),"")</f>
        <v>Zuchtstraußenhahn - Gülle</v>
      </c>
      <c r="AM110" s="1599"/>
      <c r="AN110" s="1624" t="str">
        <f>IFERROR(IF($A$7=$BO$1,$BO109,IF($A$7=$BP$1,$BP109,IF($A$7=$BQ$1,$BQ109,IF($A$7=$BR$1,$BR109,IF($A$7=$BS$1,$BS109,IF($A$7=$BT$1,$BT109,IF($A$7=$BU$1,$BU109,IF($A$7="",INDEX(Tiere!$BN$2:$BN$153,_xlfn.AGGREGATE(15,6,(ROW(Tiere!$BN$2:$BN$153)-1)/(--(SEARCH(AM$2,Tiere!$BN$2:$BN$153)&gt;0)),ROW()-2),1))))))))),"")</f>
        <v>Zuchtstraußenhahn - Gülle</v>
      </c>
      <c r="AO110" s="1599"/>
      <c r="AP110" s="1624" t="str">
        <f>IFERROR(IF($A$8=$BO$1,$BO109,IF($A$8=$BP$1,$BP109,IF($A$8=$BQ$1,$BQ109,IF($A$8=$BR$1,$BR109,IF($A$8=$BS$1,$BS109,IF($A$8=$BT$1,$BT109,IF($A$8=$BU$1,$BU109,IF($A$8="",INDEX(Tiere!$BN$2:$BN$153,_xlfn.AGGREGATE(15,6,(ROW(Tiere!$BN$2:$BN$153)-1)/(--(SEARCH(AQ$2,Tiere!$BN$2:$BN$153)&gt;0)),ROW()-2),1))))))))),"")</f>
        <v>Zuchtstraußenhahn - Gülle</v>
      </c>
      <c r="AQ110" s="1599"/>
      <c r="AR110" s="1624" t="str">
        <f>IFERROR(IF($A$9=$BO$1,$BO109,IF($A$9=$BP$1,$BP109,IF($A$9=$BQ$1,$BQ109,IF($A$9=$BR$1,$BR109,IF($A$9=$BS$1,$BS109,IF($A$9=$BT$1,$BT109,IF($A$9=$BU$1,$BU109,IF($A$9="",INDEX(Tiere!$BN$2:$BN$153,_xlfn.AGGREGATE(15,6,(ROW(Tiere!$BN$2:$BN$153)-1)/(--(SEARCH(AS$2,Tiere!$BN$2:$BN$153)&gt;0)),ROW()-2),1))))))))),"")</f>
        <v>Zuchtstraußenhahn - Gülle</v>
      </c>
      <c r="AS110" s="1599"/>
      <c r="AT110" s="1624" t="str">
        <f>IFERROR(IF($A$10=$BO$1,$BO109,IF($A$10=$BP$1,$BP109,IF($A$10=$BQ$1,$BQ109,IF($A$10=$BR$1,$BR109,IF($A$10=$BS$1,$BS109,IF($A$10=$BT$1,$BT109,IF($A$10=$BU$1,$BU109,IF($A$10="",INDEX(Tiere!$BN$2:$BN$153,_xlfn.AGGREGATE(15,6,(ROW(Tiere!$BN$2:$BN$153)-1)/(--(SEARCH(AU$2,Tiere!$BN$2:$BN$153)&gt;0)),ROW()-2),1))))))))),"")</f>
        <v>Zuchtstraußenhahn - Gülle</v>
      </c>
      <c r="AU110" s="1599"/>
      <c r="AV110" s="1624" t="str">
        <f>IFERROR(IF($A$11=$BO$1,$BO109,IF($A$11=$BP$1,$BP109,IF($A$11=$BQ$1,$BQ109,IF($A$11=$BR$1,$BR109,IF($A$11=$BS$1,$BS109,IF($A$11=$BT$1,$BT109,IF($A$11=$BU$1,$BU109,IF($A$11="",INDEX(Tiere!$BN$2:$BN$153,_xlfn.AGGREGATE(15,6,(ROW(Tiere!$BN$2:$BN$153)-1)/(--(SEARCH(AW$2,Tiere!$BN$2:$BN$153)&gt;0)),ROW()-2),1))))))))),"")</f>
        <v>Zuchtstraußenhahn - Gülle</v>
      </c>
      <c r="AW110" s="1599"/>
      <c r="AX110" s="1624" t="str">
        <f>IFERROR(IF($A$12=$BO$1,$BO109,IF($A$12=$BP$1,$BP109,IF($A$12=$BQ$1,$BQ109,IF($A$12=$BR$1,$BR109,IF($A$12=$BS$1,$BS109,IF($A$12=$BT$1,$BT109,IF($A$12=$BU$1,$BU109,IF($A$12="",INDEX(Tiere!$BN$2:$BN$153,_xlfn.AGGREGATE(15,6,(ROW(Tiere!$BN$2:$BN$153)-1)/(--(SEARCH(AY$2,Tiere!$BN$2:$BN$153)&gt;0)),ROW()-2),1))))))))),"")</f>
        <v>Zuchtstraußenhahn - Gülle</v>
      </c>
      <c r="AY110" s="1599"/>
      <c r="AZ110" s="1624" t="str">
        <f>IFERROR(IF($A$13=$BO$1,$BO109,IF($A$13=$BP$1,$BP109,IF($A$13=$BQ$1,$BQ109,IF($A$13=$BR$1,$BR109,IF($A$13=$BS$1,$BS109,IF($A$13=$BT$1,$BT109,IF($A$13=$BU$1,$BU109,IF($A$13="",INDEX(Tiere!$BN$2:$BN$153,_xlfn.AGGREGATE(15,6,(ROW(Tiere!$BN$2:$BN$153)-1)/(--(SEARCH(BA$2,Tiere!$BN$2:$BN$153)&gt;0)),ROW()-2),1))))))))),"")</f>
        <v>Zuchtstraußenhahn - Gülle</v>
      </c>
      <c r="BA110" s="1599"/>
      <c r="BB110" s="1624" t="str">
        <f>IFERROR(IF($A$14=$BO$1,$BO109,IF($A$14=$BP$1,$BP109,IF($A$14=$BQ$1,$BQ109,IF($A$14=$BR$1,$BR109,IF($A$14=$BS$1,$BS109,IF($A$14=$BT$1,$BT109,IF($A$14=$BU$1,$BU109,IF($A$14="",INDEX(Tiere!$BN$2:$BN$153,_xlfn.AGGREGATE(15,6,(ROW(Tiere!$BN$2:$BN$153)-1)/(--(SEARCH(BC$2,Tiere!$BN$2:$BN$153)&gt;0)),ROW()-2),1))))))))),"")</f>
        <v>Zuchtstraußenhahn - Gülle</v>
      </c>
      <c r="BC110" s="1599"/>
      <c r="BD110" s="1624" t="str">
        <f>IFERROR(IF($A$15=$BO$1,$BO109,IF($A$15=$BP$1,$BP109,IF($A$15=$BQ$1,$BQ109,IF($A$15=$BR$1,$BR109,IF($A$15=$BS$1,$BS109,IF($A$15=$BT$1,$BT109,IF($A$15=$BU$1,$BU109,IF($A$15="",INDEX(Tiere!$BN$2:$BN$153,_xlfn.AGGREGATE(15,6,(ROW(Tiere!$BN$2:$BN$153)-1)/(--(SEARCH(BE$2,Tiere!$BN$2:$BN$153)&gt;0)),ROW()-2),1))))))))),"")</f>
        <v>Zuchtstraußenhahn - Gülle</v>
      </c>
      <c r="BE110" s="1599"/>
      <c r="BF110" s="1624" t="str">
        <f>IFERROR(IF($A$16=$BO$1,$BO109,IF($A$16=$BP$1,$BP109,IF($A$16=$BQ$1,$BQ109,IF($A$16=$BR$1,$BR109,IF($A$16=$BS$1,$BS109,IF($A$16=$BT$1,$BT109,IF($A$16=$BU$1,$BU109,IF($A$16="",INDEX(Tiere!$BN$2:$BN$153,_xlfn.AGGREGATE(15,6,(ROW(Tiere!$BN$2:$BN$153)-1)/(--(SEARCH(BG$2,Tiere!$BN$2:$BN$153)&gt;0)),ROW()-2),1))))))))),"")</f>
        <v>Zuchtstraußenhahn - Gülle</v>
      </c>
      <c r="BG110" s="1599"/>
      <c r="BH110" s="1624" t="str">
        <f>IFERROR(IF($A$17=$BO$1,$BO109,IF($A$17=$BP$1,$BP109,IF($A$17=$BQ$1,$BQ109,IF($A$17=$BR$1,$BR109,IF($A$17=$BS$1,$BS109,IF($A$17=$BT$1,$BT109,IF($A$17=$BU$1,$BU109,IF($A$17="",INDEX(Tiere!$BN$2:$BN$153,_xlfn.AGGREGATE(15,6,(ROW(Tiere!$BN$2:$BN$153)-1)/(--(SEARCH(BI$2,Tiere!$BN$2:$BN$153)&gt;0)),ROW()-2),1))))))))),"")</f>
        <v>Zuchtstraußenhahn - Gülle</v>
      </c>
      <c r="BI110" s="1599"/>
      <c r="BJ110" s="1624" t="str">
        <f>IFERROR(IF($A$18=$BO$1,$BO109,IF($A$18=$BP$1,$BP109,IF($A$18=$BQ$1,$BQ109,IF($A$18=$BR$1,$BR109,IF($A$18=$BS$1,$BS109,IF($A$18=$BT$1,$BT109,IF($A$18=$BU$1,$BU109,IF($A$18="",INDEX(Tiere!$BN$2:$BN$153,_xlfn.AGGREGATE(15,6,(ROW(Tiere!$BN$2:$BN$153)-1)/(--(SEARCH(BK$2,Tiere!$BN$2:$BN$153)&gt;0)),ROW()-2),1))))))))),"")</f>
        <v>Zuchtstraußenhahn - Gülle</v>
      </c>
      <c r="BK110" s="1599"/>
      <c r="BL110" s="1624" t="str">
        <f>IFERROR(IF($A$19=$BO$1,$BO109,IF($A$19=$BP$1,$BP109,IF($A$19=$BQ$1,$BQ109,IF($A$19=$BR$1,$BR109,IF($A$19=$BS$1,$BS109,IF($A$19=$BT$1,$BT109,IF($A$19=$BU$1,$BU109,IF($A$19="",INDEX(Tiere!$BN$2:$BN$153,_xlfn.AGGREGATE(15,6,(ROW(Tiere!$BN$2:$BN$153)-1)/(--(SEARCH(BM$2,Tiere!$BN$2:$BN$153)&gt;0)),ROW()-2),1))))))))),"")</f>
        <v>Zuchtstraußenhahn - Gülle</v>
      </c>
      <c r="BM110" s="1599"/>
      <c r="BN110" s="1630" t="s">
        <v>792</v>
      </c>
      <c r="BO110" s="1599"/>
      <c r="BP110" s="1599"/>
      <c r="BQ110" s="1599"/>
      <c r="BR110" s="1599"/>
      <c r="BS110" s="1599"/>
      <c r="BT110" s="1599"/>
      <c r="BU110" s="1599"/>
      <c r="CD110" s="1911" t="s">
        <v>792</v>
      </c>
    </row>
    <row r="111" spans="36:82" ht="13.5" thickBot="1">
      <c r="AJ111" s="1624" t="str">
        <f>IFERROR(IF($A$5=$BO$1,$BO110,IF($A$5=$BP$1,$BP110,IF($A$5=$BQ$1,$BQ110,IF($A$5=$BR$1,$BR110,IF($A$5=$BS$1,$BS110,IF($A$5=$BT$1,$BT110,IF($A$5=$BU$1,$BU110,IF($A$5="",INDEX(Tiere!$BN$2:$BN$153,_xlfn.AGGREGATE(15,6,(ROW(Tiere!$BN$2:$BN$153)-1)/(--(SEARCH(AK$2,Tiere!$BN$2:$BN$153)&gt;0)),ROW()-2),1))))))))),"")</f>
        <v>Zuchtstraußenhahn - Mist</v>
      </c>
      <c r="AK111" s="1601"/>
      <c r="AL111" s="1624" t="str">
        <f>IFERROR(IF($A$6=$BO$1,$BO110,IF($A$6=$BP$1,$BP110,IF($A$6=$BQ$1,$BQ110,IF($A$6=$BR$1,$BR110,IF($A$6=$BS$1,$BS110,IF($A$6=$BT$1,$BT110,IF($A$6=$BU$1,$BU110,IF($A$6="",INDEX(Tiere!$BN$2:$BN$153,_xlfn.AGGREGATE(15,6,(ROW(Tiere!$BN$2:$BN$153)-1)/(--(SEARCH(AM$2,Tiere!$BN$2:$BN$153)&gt;0)),ROW()-2),1))))))))),"")</f>
        <v>Zuchtstraußenhahn - Mist</v>
      </c>
      <c r="AM111" s="1601"/>
      <c r="AN111" s="1624" t="str">
        <f>IFERROR(IF($A$7=$BO$1,$BO110,IF($A$7=$BP$1,$BP110,IF($A$7=$BQ$1,$BQ110,IF($A$7=$BR$1,$BR110,IF($A$7=$BS$1,$BS110,IF($A$7=$BT$1,$BT110,IF($A$7=$BU$1,$BU110,IF($A$7="",INDEX(Tiere!$BN$2:$BN$153,_xlfn.AGGREGATE(15,6,(ROW(Tiere!$BN$2:$BN$153)-1)/(--(SEARCH(AM$2,Tiere!$BN$2:$BN$153)&gt;0)),ROW()-2),1))))))))),"")</f>
        <v>Zuchtstraußenhahn - Mist</v>
      </c>
      <c r="AO111" s="1601"/>
      <c r="AP111" s="1624" t="str">
        <f>IFERROR(IF($A$8=$BO$1,$BO110,IF($A$8=$BP$1,$BP110,IF($A$8=$BQ$1,$BQ110,IF($A$8=$BR$1,$BR110,IF($A$8=$BS$1,$BS110,IF($A$8=$BT$1,$BT110,IF($A$8=$BU$1,$BU110,IF($A$8="",INDEX(Tiere!$BN$2:$BN$153,_xlfn.AGGREGATE(15,6,(ROW(Tiere!$BN$2:$BN$153)-1)/(--(SEARCH(AQ$2,Tiere!$BN$2:$BN$153)&gt;0)),ROW()-2),1))))))))),"")</f>
        <v>Zuchtstraußenhahn - Mist</v>
      </c>
      <c r="AQ111" s="1601"/>
      <c r="AR111" s="1624" t="str">
        <f>IFERROR(IF($A$9=$BO$1,$BO110,IF($A$9=$BP$1,$BP110,IF($A$9=$BQ$1,$BQ110,IF($A$9=$BR$1,$BR110,IF($A$9=$BS$1,$BS110,IF($A$9=$BT$1,$BT110,IF($A$9=$BU$1,$BU110,IF($A$9="",INDEX(Tiere!$BN$2:$BN$153,_xlfn.AGGREGATE(15,6,(ROW(Tiere!$BN$2:$BN$153)-1)/(--(SEARCH(AS$2,Tiere!$BN$2:$BN$153)&gt;0)),ROW()-2),1))))))))),"")</f>
        <v>Zuchtstraußenhahn - Mist</v>
      </c>
      <c r="AS111" s="1601"/>
      <c r="AT111" s="1624" t="str">
        <f>IFERROR(IF($A$10=$BO$1,$BO110,IF($A$10=$BP$1,$BP110,IF($A$10=$BQ$1,$BQ110,IF($A$10=$BR$1,$BR110,IF($A$10=$BS$1,$BS110,IF($A$10=$BT$1,$BT110,IF($A$10=$BU$1,$BU110,IF($A$10="",INDEX(Tiere!$BN$2:$BN$153,_xlfn.AGGREGATE(15,6,(ROW(Tiere!$BN$2:$BN$153)-1)/(--(SEARCH(AU$2,Tiere!$BN$2:$BN$153)&gt;0)),ROW()-2),1))))))))),"")</f>
        <v>Zuchtstraußenhahn - Mist</v>
      </c>
      <c r="AU111" s="1601"/>
      <c r="AV111" s="1624" t="str">
        <f>IFERROR(IF($A$11=$BO$1,$BO110,IF($A$11=$BP$1,$BP110,IF($A$11=$BQ$1,$BQ110,IF($A$11=$BR$1,$BR110,IF($A$11=$BS$1,$BS110,IF($A$11=$BT$1,$BT110,IF($A$11=$BU$1,$BU110,IF($A$11="",INDEX(Tiere!$BN$2:$BN$153,_xlfn.AGGREGATE(15,6,(ROW(Tiere!$BN$2:$BN$153)-1)/(--(SEARCH(AW$2,Tiere!$BN$2:$BN$153)&gt;0)),ROW()-2),1))))))))),"")</f>
        <v>Zuchtstraußenhahn - Mist</v>
      </c>
      <c r="AW111" s="1601"/>
      <c r="AX111" s="1624" t="str">
        <f>IFERROR(IF($A$12=$BO$1,$BO110,IF($A$12=$BP$1,$BP110,IF($A$12=$BQ$1,$BQ110,IF($A$12=$BR$1,$BR110,IF($A$12=$BS$1,$BS110,IF($A$12=$BT$1,$BT110,IF($A$12=$BU$1,$BU110,IF($A$12="",INDEX(Tiere!$BN$2:$BN$153,_xlfn.AGGREGATE(15,6,(ROW(Tiere!$BN$2:$BN$153)-1)/(--(SEARCH(AY$2,Tiere!$BN$2:$BN$153)&gt;0)),ROW()-2),1))))))))),"")</f>
        <v>Zuchtstraußenhahn - Mist</v>
      </c>
      <c r="AY111" s="1601"/>
      <c r="AZ111" s="1624" t="str">
        <f>IFERROR(IF($A$13=$BO$1,$BO110,IF($A$13=$BP$1,$BP110,IF($A$13=$BQ$1,$BQ110,IF($A$13=$BR$1,$BR110,IF($A$13=$BS$1,$BS110,IF($A$13=$BT$1,$BT110,IF($A$13=$BU$1,$BU110,IF($A$13="",INDEX(Tiere!$BN$2:$BN$153,_xlfn.AGGREGATE(15,6,(ROW(Tiere!$BN$2:$BN$153)-1)/(--(SEARCH(BA$2,Tiere!$BN$2:$BN$153)&gt;0)),ROW()-2),1))))))))),"")</f>
        <v>Zuchtstraußenhahn - Mist</v>
      </c>
      <c r="BA111" s="1601"/>
      <c r="BB111" s="1624" t="str">
        <f>IFERROR(IF($A$14=$BO$1,$BO110,IF($A$14=$BP$1,$BP110,IF($A$14=$BQ$1,$BQ110,IF($A$14=$BR$1,$BR110,IF($A$14=$BS$1,$BS110,IF($A$14=$BT$1,$BT110,IF($A$14=$BU$1,$BU110,IF($A$14="",INDEX(Tiere!$BN$2:$BN$153,_xlfn.AGGREGATE(15,6,(ROW(Tiere!$BN$2:$BN$153)-1)/(--(SEARCH(BC$2,Tiere!$BN$2:$BN$153)&gt;0)),ROW()-2),1))))))))),"")</f>
        <v>Zuchtstraußenhahn - Mist</v>
      </c>
      <c r="BC111" s="1601"/>
      <c r="BD111" s="1624" t="str">
        <f>IFERROR(IF($A$15=$BO$1,$BO110,IF($A$15=$BP$1,$BP110,IF($A$15=$BQ$1,$BQ110,IF($A$15=$BR$1,$BR110,IF($A$15=$BS$1,$BS110,IF($A$15=$BT$1,$BT110,IF($A$15=$BU$1,$BU110,IF($A$15="",INDEX(Tiere!$BN$2:$BN$153,_xlfn.AGGREGATE(15,6,(ROW(Tiere!$BN$2:$BN$153)-1)/(--(SEARCH(BE$2,Tiere!$BN$2:$BN$153)&gt;0)),ROW()-2),1))))))))),"")</f>
        <v>Zuchtstraußenhahn - Mist</v>
      </c>
      <c r="BE111" s="1601"/>
      <c r="BF111" s="1624" t="str">
        <f>IFERROR(IF($A$16=$BO$1,$BO110,IF($A$16=$BP$1,$BP110,IF($A$16=$BQ$1,$BQ110,IF($A$16=$BR$1,$BR110,IF($A$16=$BS$1,$BS110,IF($A$16=$BT$1,$BT110,IF($A$16=$BU$1,$BU110,IF($A$16="",INDEX(Tiere!$BN$2:$BN$153,_xlfn.AGGREGATE(15,6,(ROW(Tiere!$BN$2:$BN$153)-1)/(--(SEARCH(BG$2,Tiere!$BN$2:$BN$153)&gt;0)),ROW()-2),1))))))))),"")</f>
        <v>Zuchtstraußenhahn - Mist</v>
      </c>
      <c r="BG111" s="1601"/>
      <c r="BH111" s="1624" t="str">
        <f>IFERROR(IF($A$17=$BO$1,$BO110,IF($A$17=$BP$1,$BP110,IF($A$17=$BQ$1,$BQ110,IF($A$17=$BR$1,$BR110,IF($A$17=$BS$1,$BS110,IF($A$17=$BT$1,$BT110,IF($A$17=$BU$1,$BU110,IF($A$17="",INDEX(Tiere!$BN$2:$BN$153,_xlfn.AGGREGATE(15,6,(ROW(Tiere!$BN$2:$BN$153)-1)/(--(SEARCH(BI$2,Tiere!$BN$2:$BN$153)&gt;0)),ROW()-2),1))))))))),"")</f>
        <v>Zuchtstraußenhahn - Mist</v>
      </c>
      <c r="BI111" s="1601"/>
      <c r="BJ111" s="1624" t="str">
        <f>IFERROR(IF($A$18=$BO$1,$BO110,IF($A$18=$BP$1,$BP110,IF($A$18=$BQ$1,$BQ110,IF($A$18=$BR$1,$BR110,IF($A$18=$BS$1,$BS110,IF($A$18=$BT$1,$BT110,IF($A$18=$BU$1,$BU110,IF($A$18="",INDEX(Tiere!$BN$2:$BN$153,_xlfn.AGGREGATE(15,6,(ROW(Tiere!$BN$2:$BN$153)-1)/(--(SEARCH(BK$2,Tiere!$BN$2:$BN$153)&gt;0)),ROW()-2),1))))))))),"")</f>
        <v>Zuchtstraußenhahn - Mist</v>
      </c>
      <c r="BK111" s="1601"/>
      <c r="BL111" s="1624" t="str">
        <f>IFERROR(IF($A$19=$BO$1,$BO110,IF($A$19=$BP$1,$BP110,IF($A$19=$BQ$1,$BQ110,IF($A$19=$BR$1,$BR110,IF($A$19=$BS$1,$BS110,IF($A$19=$BT$1,$BT110,IF($A$19=$BU$1,$BU110,IF($A$19="",INDEX(Tiere!$BN$2:$BN$153,_xlfn.AGGREGATE(15,6,(ROW(Tiere!$BN$2:$BN$153)-1)/(--(SEARCH(BM$2,Tiere!$BN$2:$BN$153)&gt;0)),ROW()-2),1))))))))),"")</f>
        <v>Zuchtstraußenhahn - Mist</v>
      </c>
      <c r="BM111" s="1601"/>
      <c r="BN111" s="1630" t="s">
        <v>793</v>
      </c>
      <c r="BO111" s="1599"/>
      <c r="BP111" s="1599"/>
      <c r="BQ111" s="1599"/>
      <c r="BR111" s="1599"/>
      <c r="BS111" s="1599"/>
      <c r="BT111" s="1599"/>
      <c r="BU111" s="1599"/>
      <c r="CD111" s="1911" t="s">
        <v>793</v>
      </c>
    </row>
    <row r="112" spans="36:82" ht="13.5" thickBot="1">
      <c r="AJ112" s="1624" t="str">
        <f>IFERROR(IF($A$5=$BO$1,$BO111,IF($A$5=$BP$1,$BP111,IF($A$5=$BQ$1,$BQ111,IF($A$5=$BR$1,$BR111,IF($A$5=$BS$1,$BS111,IF($A$5=$BT$1,$BT111,IF($A$5=$BU$1,$BU111,IF($A$5="",INDEX(Tiere!$BN$2:$BN$153,_xlfn.AGGREGATE(15,6,(ROW(Tiere!$BN$2:$BN$153)-1)/(--(SEARCH(AK$2,Tiere!$BN$2:$BN$153)&gt;0)),ROW()-2),1))))))))),"")</f>
        <v>Mastkaninchen - Gülle</v>
      </c>
      <c r="AK112" s="1599"/>
      <c r="AL112" s="1624" t="str">
        <f>IFERROR(IF($A$6=$BO$1,$BO111,IF($A$6=$BP$1,$BP111,IF($A$6=$BQ$1,$BQ111,IF($A$6=$BR$1,$BR111,IF($A$6=$BS$1,$BS111,IF($A$6=$BT$1,$BT111,IF($A$6=$BU$1,$BU111,IF($A$6="",INDEX(Tiere!$BN$2:$BN$153,_xlfn.AGGREGATE(15,6,(ROW(Tiere!$BN$2:$BN$153)-1)/(--(SEARCH(AM$2,Tiere!$BN$2:$BN$153)&gt;0)),ROW()-2),1))))))))),"")</f>
        <v>Mastkaninchen - Gülle</v>
      </c>
      <c r="AM112" s="1599"/>
      <c r="AN112" s="1624" t="str">
        <f>IFERROR(IF($A$7=$BO$1,$BO111,IF($A$7=$BP$1,$BP111,IF($A$7=$BQ$1,$BQ111,IF($A$7=$BR$1,$BR111,IF($A$7=$BS$1,$BS111,IF($A$7=$BT$1,$BT111,IF($A$7=$BU$1,$BU111,IF($A$7="",INDEX(Tiere!$BN$2:$BN$153,_xlfn.AGGREGATE(15,6,(ROW(Tiere!$BN$2:$BN$153)-1)/(--(SEARCH(AM$2,Tiere!$BN$2:$BN$153)&gt;0)),ROW()-2),1))))))))),"")</f>
        <v>Mastkaninchen - Gülle</v>
      </c>
      <c r="AO112" s="1599"/>
      <c r="AP112" s="1624" t="str">
        <f>IFERROR(IF($A$8=$BO$1,$BO111,IF($A$8=$BP$1,$BP111,IF($A$8=$BQ$1,$BQ111,IF($A$8=$BR$1,$BR111,IF($A$8=$BS$1,$BS111,IF($A$8=$BT$1,$BT111,IF($A$8=$BU$1,$BU111,IF($A$8="",INDEX(Tiere!$BN$2:$BN$153,_xlfn.AGGREGATE(15,6,(ROW(Tiere!$BN$2:$BN$153)-1)/(--(SEARCH(AQ$2,Tiere!$BN$2:$BN$153)&gt;0)),ROW()-2),1))))))))),"")</f>
        <v>Mastkaninchen - Gülle</v>
      </c>
      <c r="AQ112" s="1599"/>
      <c r="AR112" s="1624" t="str">
        <f>IFERROR(IF($A$9=$BO$1,$BO111,IF($A$9=$BP$1,$BP111,IF($A$9=$BQ$1,$BQ111,IF($A$9=$BR$1,$BR111,IF($A$9=$BS$1,$BS111,IF($A$9=$BT$1,$BT111,IF($A$9=$BU$1,$BU111,IF($A$9="",INDEX(Tiere!$BN$2:$BN$153,_xlfn.AGGREGATE(15,6,(ROW(Tiere!$BN$2:$BN$153)-1)/(--(SEARCH(AS$2,Tiere!$BN$2:$BN$153)&gt;0)),ROW()-2),1))))))))),"")</f>
        <v>Mastkaninchen - Gülle</v>
      </c>
      <c r="AS112" s="1599"/>
      <c r="AT112" s="1624" t="str">
        <f>IFERROR(IF($A$10=$BO$1,$BO111,IF($A$10=$BP$1,$BP111,IF($A$10=$BQ$1,$BQ111,IF($A$10=$BR$1,$BR111,IF($A$10=$BS$1,$BS111,IF($A$10=$BT$1,$BT111,IF($A$10=$BU$1,$BU111,IF($A$10="",INDEX(Tiere!$BN$2:$BN$153,_xlfn.AGGREGATE(15,6,(ROW(Tiere!$BN$2:$BN$153)-1)/(--(SEARCH(AU$2,Tiere!$BN$2:$BN$153)&gt;0)),ROW()-2),1))))))))),"")</f>
        <v>Mastkaninchen - Gülle</v>
      </c>
      <c r="AU112" s="1599"/>
      <c r="AV112" s="1624" t="str">
        <f>IFERROR(IF($A$11=$BO$1,$BO111,IF($A$11=$BP$1,$BP111,IF($A$11=$BQ$1,$BQ111,IF($A$11=$BR$1,$BR111,IF($A$11=$BS$1,$BS111,IF($A$11=$BT$1,$BT111,IF($A$11=$BU$1,$BU111,IF($A$11="",INDEX(Tiere!$BN$2:$BN$153,_xlfn.AGGREGATE(15,6,(ROW(Tiere!$BN$2:$BN$153)-1)/(--(SEARCH(AW$2,Tiere!$BN$2:$BN$153)&gt;0)),ROW()-2),1))))))))),"")</f>
        <v>Mastkaninchen - Gülle</v>
      </c>
      <c r="AW112" s="1599"/>
      <c r="AX112" s="1624" t="str">
        <f>IFERROR(IF($A$12=$BO$1,$BO111,IF($A$12=$BP$1,$BP111,IF($A$12=$BQ$1,$BQ111,IF($A$12=$BR$1,$BR111,IF($A$12=$BS$1,$BS111,IF($A$12=$BT$1,$BT111,IF($A$12=$BU$1,$BU111,IF($A$12="",INDEX(Tiere!$BN$2:$BN$153,_xlfn.AGGREGATE(15,6,(ROW(Tiere!$BN$2:$BN$153)-1)/(--(SEARCH(AY$2,Tiere!$BN$2:$BN$153)&gt;0)),ROW()-2),1))))))))),"")</f>
        <v>Mastkaninchen - Gülle</v>
      </c>
      <c r="AY112" s="1599"/>
      <c r="AZ112" s="1624" t="str">
        <f>IFERROR(IF($A$13=$BO$1,$BO111,IF($A$13=$BP$1,$BP111,IF($A$13=$BQ$1,$BQ111,IF($A$13=$BR$1,$BR111,IF($A$13=$BS$1,$BS111,IF($A$13=$BT$1,$BT111,IF($A$13=$BU$1,$BU111,IF($A$13="",INDEX(Tiere!$BN$2:$BN$153,_xlfn.AGGREGATE(15,6,(ROW(Tiere!$BN$2:$BN$153)-1)/(--(SEARCH(BA$2,Tiere!$BN$2:$BN$153)&gt;0)),ROW()-2),1))))))))),"")</f>
        <v>Mastkaninchen - Gülle</v>
      </c>
      <c r="BA112" s="1599"/>
      <c r="BB112" s="1624" t="str">
        <f>IFERROR(IF($A$14=$BO$1,$BO111,IF($A$14=$BP$1,$BP111,IF($A$14=$BQ$1,$BQ111,IF($A$14=$BR$1,$BR111,IF($A$14=$BS$1,$BS111,IF($A$14=$BT$1,$BT111,IF($A$14=$BU$1,$BU111,IF($A$14="",INDEX(Tiere!$BN$2:$BN$153,_xlfn.AGGREGATE(15,6,(ROW(Tiere!$BN$2:$BN$153)-1)/(--(SEARCH(BC$2,Tiere!$BN$2:$BN$153)&gt;0)),ROW()-2),1))))))))),"")</f>
        <v>Mastkaninchen - Gülle</v>
      </c>
      <c r="BC112" s="1599"/>
      <c r="BD112" s="1624" t="str">
        <f>IFERROR(IF($A$15=$BO$1,$BO111,IF($A$15=$BP$1,$BP111,IF($A$15=$BQ$1,$BQ111,IF($A$15=$BR$1,$BR111,IF($A$15=$BS$1,$BS111,IF($A$15=$BT$1,$BT111,IF($A$15=$BU$1,$BU111,IF($A$15="",INDEX(Tiere!$BN$2:$BN$153,_xlfn.AGGREGATE(15,6,(ROW(Tiere!$BN$2:$BN$153)-1)/(--(SEARCH(BE$2,Tiere!$BN$2:$BN$153)&gt;0)),ROW()-2),1))))))))),"")</f>
        <v>Mastkaninchen - Gülle</v>
      </c>
      <c r="BE112" s="1599"/>
      <c r="BF112" s="1624" t="str">
        <f>IFERROR(IF($A$16=$BO$1,$BO111,IF($A$16=$BP$1,$BP111,IF($A$16=$BQ$1,$BQ111,IF($A$16=$BR$1,$BR111,IF($A$16=$BS$1,$BS111,IF($A$16=$BT$1,$BT111,IF($A$16=$BU$1,$BU111,IF($A$16="",INDEX(Tiere!$BN$2:$BN$153,_xlfn.AGGREGATE(15,6,(ROW(Tiere!$BN$2:$BN$153)-1)/(--(SEARCH(BG$2,Tiere!$BN$2:$BN$153)&gt;0)),ROW()-2),1))))))))),"")</f>
        <v>Mastkaninchen - Gülle</v>
      </c>
      <c r="BG112" s="1599"/>
      <c r="BH112" s="1624" t="str">
        <f>IFERROR(IF($A$17=$BO$1,$BO111,IF($A$17=$BP$1,$BP111,IF($A$17=$BQ$1,$BQ111,IF($A$17=$BR$1,$BR111,IF($A$17=$BS$1,$BS111,IF($A$17=$BT$1,$BT111,IF($A$17=$BU$1,$BU111,IF($A$17="",INDEX(Tiere!$BN$2:$BN$153,_xlfn.AGGREGATE(15,6,(ROW(Tiere!$BN$2:$BN$153)-1)/(--(SEARCH(BI$2,Tiere!$BN$2:$BN$153)&gt;0)),ROW()-2),1))))))))),"")</f>
        <v>Mastkaninchen - Gülle</v>
      </c>
      <c r="BI112" s="1599"/>
      <c r="BJ112" s="1624" t="str">
        <f>IFERROR(IF($A$18=$BO$1,$BO111,IF($A$18=$BP$1,$BP111,IF($A$18=$BQ$1,$BQ111,IF($A$18=$BR$1,$BR111,IF($A$18=$BS$1,$BS111,IF($A$18=$BT$1,$BT111,IF($A$18=$BU$1,$BU111,IF($A$18="",INDEX(Tiere!$BN$2:$BN$153,_xlfn.AGGREGATE(15,6,(ROW(Tiere!$BN$2:$BN$153)-1)/(--(SEARCH(BK$2,Tiere!$BN$2:$BN$153)&gt;0)),ROW()-2),1))))))))),"")</f>
        <v>Mastkaninchen - Gülle</v>
      </c>
      <c r="BK112" s="1599"/>
      <c r="BL112" s="1624" t="str">
        <f>IFERROR(IF($A$19=$BO$1,$BO111,IF($A$19=$BP$1,$BP111,IF($A$19=$BQ$1,$BQ111,IF($A$19=$BR$1,$BR111,IF($A$19=$BS$1,$BS111,IF($A$19=$BT$1,$BT111,IF($A$19=$BU$1,$BU111,IF($A$19="",INDEX(Tiere!$BN$2:$BN$153,_xlfn.AGGREGATE(15,6,(ROW(Tiere!$BN$2:$BN$153)-1)/(--(SEARCH(BM$2,Tiere!$BN$2:$BN$153)&gt;0)),ROW()-2),1))))))))),"")</f>
        <v>Mastkaninchen - Gülle</v>
      </c>
      <c r="BM112" s="1599"/>
      <c r="BN112" s="1630" t="s">
        <v>794</v>
      </c>
      <c r="BO112" s="1599"/>
      <c r="BP112" s="1599"/>
      <c r="BQ112" s="1599"/>
      <c r="BR112" s="1599"/>
      <c r="BS112" s="1599"/>
      <c r="BT112" s="1599"/>
      <c r="BU112" s="1599"/>
      <c r="CD112" s="1911" t="s">
        <v>794</v>
      </c>
    </row>
    <row r="113" spans="36:82" ht="13.5" thickBot="1">
      <c r="AJ113" s="1624" t="str">
        <f>IFERROR(IF($A$5=$BO$1,$BO112,IF($A$5=$BP$1,$BP112,IF($A$5=$BQ$1,$BQ112,IF($A$5=$BR$1,$BR112,IF($A$5=$BS$1,$BS112,IF($A$5=$BT$1,$BT112,IF($A$5=$BU$1,$BU112,IF($A$5="",INDEX(Tiere!$BN$2:$BN$153,_xlfn.AGGREGATE(15,6,(ROW(Tiere!$BN$2:$BN$153)-1)/(--(SEARCH(AK$2,Tiere!$BN$2:$BN$153)&gt;0)),ROW()-2),1))))))))),"")</f>
        <v>Mastkaninchen - Tiefstall</v>
      </c>
      <c r="AK113" s="1601"/>
      <c r="AL113" s="1624" t="str">
        <f>IFERROR(IF($A$6=$BO$1,$BO112,IF($A$6=$BP$1,$BP112,IF($A$6=$BQ$1,$BQ112,IF($A$6=$BR$1,$BR112,IF($A$6=$BS$1,$BS112,IF($A$6=$BT$1,$BT112,IF($A$6=$BU$1,$BU112,IF($A$6="",INDEX(Tiere!$BN$2:$BN$153,_xlfn.AGGREGATE(15,6,(ROW(Tiere!$BN$2:$BN$153)-1)/(--(SEARCH(AM$2,Tiere!$BN$2:$BN$153)&gt;0)),ROW()-2),1))))))))),"")</f>
        <v>Mastkaninchen - Tiefstall</v>
      </c>
      <c r="AM113" s="1601"/>
      <c r="AN113" s="1624" t="str">
        <f>IFERROR(IF($A$7=$BO$1,$BO112,IF($A$7=$BP$1,$BP112,IF($A$7=$BQ$1,$BQ112,IF($A$7=$BR$1,$BR112,IF($A$7=$BS$1,$BS112,IF($A$7=$BT$1,$BT112,IF($A$7=$BU$1,$BU112,IF($A$7="",INDEX(Tiere!$BN$2:$BN$153,_xlfn.AGGREGATE(15,6,(ROW(Tiere!$BN$2:$BN$153)-1)/(--(SEARCH(AM$2,Tiere!$BN$2:$BN$153)&gt;0)),ROW()-2),1))))))))),"")</f>
        <v>Mastkaninchen - Tiefstall</v>
      </c>
      <c r="AO113" s="1601"/>
      <c r="AP113" s="1624" t="str">
        <f>IFERROR(IF($A$8=$BO$1,$BO112,IF($A$8=$BP$1,$BP112,IF($A$8=$BQ$1,$BQ112,IF($A$8=$BR$1,$BR112,IF($A$8=$BS$1,$BS112,IF($A$8=$BT$1,$BT112,IF($A$8=$BU$1,$BU112,IF($A$8="",INDEX(Tiere!$BN$2:$BN$153,_xlfn.AGGREGATE(15,6,(ROW(Tiere!$BN$2:$BN$153)-1)/(--(SEARCH(AQ$2,Tiere!$BN$2:$BN$153)&gt;0)),ROW()-2),1))))))))),"")</f>
        <v>Mastkaninchen - Tiefstall</v>
      </c>
      <c r="AQ113" s="1601"/>
      <c r="AR113" s="1624" t="str">
        <f>IFERROR(IF($A$9=$BO$1,$BO112,IF($A$9=$BP$1,$BP112,IF($A$9=$BQ$1,$BQ112,IF($A$9=$BR$1,$BR112,IF($A$9=$BS$1,$BS112,IF($A$9=$BT$1,$BT112,IF($A$9=$BU$1,$BU112,IF($A$9="",INDEX(Tiere!$BN$2:$BN$153,_xlfn.AGGREGATE(15,6,(ROW(Tiere!$BN$2:$BN$153)-1)/(--(SEARCH(AS$2,Tiere!$BN$2:$BN$153)&gt;0)),ROW()-2),1))))))))),"")</f>
        <v>Mastkaninchen - Tiefstall</v>
      </c>
      <c r="AS113" s="1601"/>
      <c r="AT113" s="1624" t="str">
        <f>IFERROR(IF($A$10=$BO$1,$BO112,IF($A$10=$BP$1,$BP112,IF($A$10=$BQ$1,$BQ112,IF($A$10=$BR$1,$BR112,IF($A$10=$BS$1,$BS112,IF($A$10=$BT$1,$BT112,IF($A$10=$BU$1,$BU112,IF($A$10="",INDEX(Tiere!$BN$2:$BN$153,_xlfn.AGGREGATE(15,6,(ROW(Tiere!$BN$2:$BN$153)-1)/(--(SEARCH(AU$2,Tiere!$BN$2:$BN$153)&gt;0)),ROW()-2),1))))))))),"")</f>
        <v>Mastkaninchen - Tiefstall</v>
      </c>
      <c r="AU113" s="1601"/>
      <c r="AV113" s="1624" t="str">
        <f>IFERROR(IF($A$11=$BO$1,$BO112,IF($A$11=$BP$1,$BP112,IF($A$11=$BQ$1,$BQ112,IF($A$11=$BR$1,$BR112,IF($A$11=$BS$1,$BS112,IF($A$11=$BT$1,$BT112,IF($A$11=$BU$1,$BU112,IF($A$11="",INDEX(Tiere!$BN$2:$BN$153,_xlfn.AGGREGATE(15,6,(ROW(Tiere!$BN$2:$BN$153)-1)/(--(SEARCH(AW$2,Tiere!$BN$2:$BN$153)&gt;0)),ROW()-2),1))))))))),"")</f>
        <v>Mastkaninchen - Tiefstall</v>
      </c>
      <c r="AW113" s="1601"/>
      <c r="AX113" s="1624" t="str">
        <f>IFERROR(IF($A$12=$BO$1,$BO112,IF($A$12=$BP$1,$BP112,IF($A$12=$BQ$1,$BQ112,IF($A$12=$BR$1,$BR112,IF($A$12=$BS$1,$BS112,IF($A$12=$BT$1,$BT112,IF($A$12=$BU$1,$BU112,IF($A$12="",INDEX(Tiere!$BN$2:$BN$153,_xlfn.AGGREGATE(15,6,(ROW(Tiere!$BN$2:$BN$153)-1)/(--(SEARCH(AY$2,Tiere!$BN$2:$BN$153)&gt;0)),ROW()-2),1))))))))),"")</f>
        <v>Mastkaninchen - Tiefstall</v>
      </c>
      <c r="AY113" s="1601"/>
      <c r="AZ113" s="1624" t="str">
        <f>IFERROR(IF($A$13=$BO$1,$BO112,IF($A$13=$BP$1,$BP112,IF($A$13=$BQ$1,$BQ112,IF($A$13=$BR$1,$BR112,IF($A$13=$BS$1,$BS112,IF($A$13=$BT$1,$BT112,IF($A$13=$BU$1,$BU112,IF($A$13="",INDEX(Tiere!$BN$2:$BN$153,_xlfn.AGGREGATE(15,6,(ROW(Tiere!$BN$2:$BN$153)-1)/(--(SEARCH(BA$2,Tiere!$BN$2:$BN$153)&gt;0)),ROW()-2),1))))))))),"")</f>
        <v>Mastkaninchen - Tiefstall</v>
      </c>
      <c r="BA113" s="1601"/>
      <c r="BB113" s="1624" t="str">
        <f>IFERROR(IF($A$14=$BO$1,$BO112,IF($A$14=$BP$1,$BP112,IF($A$14=$BQ$1,$BQ112,IF($A$14=$BR$1,$BR112,IF($A$14=$BS$1,$BS112,IF($A$14=$BT$1,$BT112,IF($A$14=$BU$1,$BU112,IF($A$14="",INDEX(Tiere!$BN$2:$BN$153,_xlfn.AGGREGATE(15,6,(ROW(Tiere!$BN$2:$BN$153)-1)/(--(SEARCH(BC$2,Tiere!$BN$2:$BN$153)&gt;0)),ROW()-2),1))))))))),"")</f>
        <v>Mastkaninchen - Tiefstall</v>
      </c>
      <c r="BC113" s="1601"/>
      <c r="BD113" s="1624" t="str">
        <f>IFERROR(IF($A$15=$BO$1,$BO112,IF($A$15=$BP$1,$BP112,IF($A$15=$BQ$1,$BQ112,IF($A$15=$BR$1,$BR112,IF($A$15=$BS$1,$BS112,IF($A$15=$BT$1,$BT112,IF($A$15=$BU$1,$BU112,IF($A$15="",INDEX(Tiere!$BN$2:$BN$153,_xlfn.AGGREGATE(15,6,(ROW(Tiere!$BN$2:$BN$153)-1)/(--(SEARCH(BE$2,Tiere!$BN$2:$BN$153)&gt;0)),ROW()-2),1))))))))),"")</f>
        <v>Mastkaninchen - Tiefstall</v>
      </c>
      <c r="BE113" s="1601"/>
      <c r="BF113" s="1624" t="str">
        <f>IFERROR(IF($A$16=$BO$1,$BO112,IF($A$16=$BP$1,$BP112,IF($A$16=$BQ$1,$BQ112,IF($A$16=$BR$1,$BR112,IF($A$16=$BS$1,$BS112,IF($A$16=$BT$1,$BT112,IF($A$16=$BU$1,$BU112,IF($A$16="",INDEX(Tiere!$BN$2:$BN$153,_xlfn.AGGREGATE(15,6,(ROW(Tiere!$BN$2:$BN$153)-1)/(--(SEARCH(BG$2,Tiere!$BN$2:$BN$153)&gt;0)),ROW()-2),1))))))))),"")</f>
        <v>Mastkaninchen - Tiefstall</v>
      </c>
      <c r="BG113" s="1601"/>
      <c r="BH113" s="1624" t="str">
        <f>IFERROR(IF($A$17=$BO$1,$BO112,IF($A$17=$BP$1,$BP112,IF($A$17=$BQ$1,$BQ112,IF($A$17=$BR$1,$BR112,IF($A$17=$BS$1,$BS112,IF($A$17=$BT$1,$BT112,IF($A$17=$BU$1,$BU112,IF($A$17="",INDEX(Tiere!$BN$2:$BN$153,_xlfn.AGGREGATE(15,6,(ROW(Tiere!$BN$2:$BN$153)-1)/(--(SEARCH(BI$2,Tiere!$BN$2:$BN$153)&gt;0)),ROW()-2),1))))))))),"")</f>
        <v>Mastkaninchen - Tiefstall</v>
      </c>
      <c r="BI113" s="1601"/>
      <c r="BJ113" s="1624" t="str">
        <f>IFERROR(IF($A$18=$BO$1,$BO112,IF($A$18=$BP$1,$BP112,IF($A$18=$BQ$1,$BQ112,IF($A$18=$BR$1,$BR112,IF($A$18=$BS$1,$BS112,IF($A$18=$BT$1,$BT112,IF($A$18=$BU$1,$BU112,IF($A$18="",INDEX(Tiere!$BN$2:$BN$153,_xlfn.AGGREGATE(15,6,(ROW(Tiere!$BN$2:$BN$153)-1)/(--(SEARCH(BK$2,Tiere!$BN$2:$BN$153)&gt;0)),ROW()-2),1))))))))),"")</f>
        <v>Mastkaninchen - Tiefstall</v>
      </c>
      <c r="BK113" s="1601"/>
      <c r="BL113" s="1624" t="str">
        <f>IFERROR(IF($A$19=$BO$1,$BO112,IF($A$19=$BP$1,$BP112,IF($A$19=$BQ$1,$BQ112,IF($A$19=$BR$1,$BR112,IF($A$19=$BS$1,$BS112,IF($A$19=$BT$1,$BT112,IF($A$19=$BU$1,$BU112,IF($A$19="",INDEX(Tiere!$BN$2:$BN$153,_xlfn.AGGREGATE(15,6,(ROW(Tiere!$BN$2:$BN$153)-1)/(--(SEARCH(BM$2,Tiere!$BN$2:$BN$153)&gt;0)),ROW()-2),1))))))))),"")</f>
        <v>Mastkaninchen - Tiefstall</v>
      </c>
      <c r="BM113" s="1601"/>
      <c r="BN113" s="1630" t="s">
        <v>795</v>
      </c>
      <c r="BO113" s="1599"/>
      <c r="BP113" s="1599"/>
      <c r="BQ113" s="1599"/>
      <c r="BR113" s="1599"/>
      <c r="BS113" s="1599"/>
      <c r="BT113" s="1599"/>
      <c r="BU113" s="1599"/>
      <c r="CD113" s="1911" t="s">
        <v>795</v>
      </c>
    </row>
    <row r="114" spans="36:82" ht="13.5" thickBot="1">
      <c r="AJ114" s="1624" t="str">
        <f>IFERROR(IF($A$5=$BO$1,$BO113,IF($A$5=$BP$1,$BP113,IF($A$5=$BQ$1,$BQ113,IF($A$5=$BR$1,$BR113,IF($A$5=$BS$1,$BS113,IF($A$5=$BT$1,$BT113,IF($A$5=$BU$1,$BU113,IF($A$5="",INDEX(Tiere!$BN$2:$BN$153,_xlfn.AGGREGATE(15,6,(ROW(Tiere!$BN$2:$BN$153)-1)/(--(SEARCH(AK$2,Tiere!$BN$2:$BN$153)&gt;0)),ROW()-2),1))))))))),"")</f>
        <v>Zuchtkaninchen - Gülle</v>
      </c>
      <c r="AK114" s="1599"/>
      <c r="AL114" s="1624" t="str">
        <f>IFERROR(IF($A$6=$BO$1,$BO113,IF($A$6=$BP$1,$BP113,IF($A$6=$BQ$1,$BQ113,IF($A$6=$BR$1,$BR113,IF($A$6=$BS$1,$BS113,IF($A$6=$BT$1,$BT113,IF($A$6=$BU$1,$BU113,IF($A$6="",INDEX(Tiere!$BN$2:$BN$153,_xlfn.AGGREGATE(15,6,(ROW(Tiere!$BN$2:$BN$153)-1)/(--(SEARCH(AM$2,Tiere!$BN$2:$BN$153)&gt;0)),ROW()-2),1))))))))),"")</f>
        <v>Zuchtkaninchen - Gülle</v>
      </c>
      <c r="AM114" s="1599"/>
      <c r="AN114" s="1624" t="str">
        <f>IFERROR(IF($A$7=$BO$1,$BO113,IF($A$7=$BP$1,$BP113,IF($A$7=$BQ$1,$BQ113,IF($A$7=$BR$1,$BR113,IF($A$7=$BS$1,$BS113,IF($A$7=$BT$1,$BT113,IF($A$7=$BU$1,$BU113,IF($A$7="",INDEX(Tiere!$BN$2:$BN$153,_xlfn.AGGREGATE(15,6,(ROW(Tiere!$BN$2:$BN$153)-1)/(--(SEARCH(AM$2,Tiere!$BN$2:$BN$153)&gt;0)),ROW()-2),1))))))))),"")</f>
        <v>Zuchtkaninchen - Gülle</v>
      </c>
      <c r="AO114" s="1599"/>
      <c r="AP114" s="1624" t="str">
        <f>IFERROR(IF($A$8=$BO$1,$BO113,IF($A$8=$BP$1,$BP113,IF($A$8=$BQ$1,$BQ113,IF($A$8=$BR$1,$BR113,IF($A$8=$BS$1,$BS113,IF($A$8=$BT$1,$BT113,IF($A$8=$BU$1,$BU113,IF($A$8="",INDEX(Tiere!$BN$2:$BN$153,_xlfn.AGGREGATE(15,6,(ROW(Tiere!$BN$2:$BN$153)-1)/(--(SEARCH(AQ$2,Tiere!$BN$2:$BN$153)&gt;0)),ROW()-2),1))))))))),"")</f>
        <v>Zuchtkaninchen - Gülle</v>
      </c>
      <c r="AQ114" s="1599"/>
      <c r="AR114" s="1624" t="str">
        <f>IFERROR(IF($A$9=$BO$1,$BO113,IF($A$9=$BP$1,$BP113,IF($A$9=$BQ$1,$BQ113,IF($A$9=$BR$1,$BR113,IF($A$9=$BS$1,$BS113,IF($A$9=$BT$1,$BT113,IF($A$9=$BU$1,$BU113,IF($A$9="",INDEX(Tiere!$BN$2:$BN$153,_xlfn.AGGREGATE(15,6,(ROW(Tiere!$BN$2:$BN$153)-1)/(--(SEARCH(AS$2,Tiere!$BN$2:$BN$153)&gt;0)),ROW()-2),1))))))))),"")</f>
        <v>Zuchtkaninchen - Gülle</v>
      </c>
      <c r="AS114" s="1599"/>
      <c r="AT114" s="1624" t="str">
        <f>IFERROR(IF($A$10=$BO$1,$BO113,IF($A$10=$BP$1,$BP113,IF($A$10=$BQ$1,$BQ113,IF($A$10=$BR$1,$BR113,IF($A$10=$BS$1,$BS113,IF($A$10=$BT$1,$BT113,IF($A$10=$BU$1,$BU113,IF($A$10="",INDEX(Tiere!$BN$2:$BN$153,_xlfn.AGGREGATE(15,6,(ROW(Tiere!$BN$2:$BN$153)-1)/(--(SEARCH(AU$2,Tiere!$BN$2:$BN$153)&gt;0)),ROW()-2),1))))))))),"")</f>
        <v>Zuchtkaninchen - Gülle</v>
      </c>
      <c r="AU114" s="1599"/>
      <c r="AV114" s="1624" t="str">
        <f>IFERROR(IF($A$11=$BO$1,$BO113,IF($A$11=$BP$1,$BP113,IF($A$11=$BQ$1,$BQ113,IF($A$11=$BR$1,$BR113,IF($A$11=$BS$1,$BS113,IF($A$11=$BT$1,$BT113,IF($A$11=$BU$1,$BU113,IF($A$11="",INDEX(Tiere!$BN$2:$BN$153,_xlfn.AGGREGATE(15,6,(ROW(Tiere!$BN$2:$BN$153)-1)/(--(SEARCH(AW$2,Tiere!$BN$2:$BN$153)&gt;0)),ROW()-2),1))))))))),"")</f>
        <v>Zuchtkaninchen - Gülle</v>
      </c>
      <c r="AW114" s="1599"/>
      <c r="AX114" s="1624" t="str">
        <f>IFERROR(IF($A$12=$BO$1,$BO113,IF($A$12=$BP$1,$BP113,IF($A$12=$BQ$1,$BQ113,IF($A$12=$BR$1,$BR113,IF($A$12=$BS$1,$BS113,IF($A$12=$BT$1,$BT113,IF($A$12=$BU$1,$BU113,IF($A$12="",INDEX(Tiere!$BN$2:$BN$153,_xlfn.AGGREGATE(15,6,(ROW(Tiere!$BN$2:$BN$153)-1)/(--(SEARCH(AY$2,Tiere!$BN$2:$BN$153)&gt;0)),ROW()-2),1))))))))),"")</f>
        <v>Zuchtkaninchen - Gülle</v>
      </c>
      <c r="AY114" s="1599"/>
      <c r="AZ114" s="1624" t="str">
        <f>IFERROR(IF($A$13=$BO$1,$BO113,IF($A$13=$BP$1,$BP113,IF($A$13=$BQ$1,$BQ113,IF($A$13=$BR$1,$BR113,IF($A$13=$BS$1,$BS113,IF($A$13=$BT$1,$BT113,IF($A$13=$BU$1,$BU113,IF($A$13="",INDEX(Tiere!$BN$2:$BN$153,_xlfn.AGGREGATE(15,6,(ROW(Tiere!$BN$2:$BN$153)-1)/(--(SEARCH(BA$2,Tiere!$BN$2:$BN$153)&gt;0)),ROW()-2),1))))))))),"")</f>
        <v>Zuchtkaninchen - Gülle</v>
      </c>
      <c r="BA114" s="1599"/>
      <c r="BB114" s="1624" t="str">
        <f>IFERROR(IF($A$14=$BO$1,$BO113,IF($A$14=$BP$1,$BP113,IF($A$14=$BQ$1,$BQ113,IF($A$14=$BR$1,$BR113,IF($A$14=$BS$1,$BS113,IF($A$14=$BT$1,$BT113,IF($A$14=$BU$1,$BU113,IF($A$14="",INDEX(Tiere!$BN$2:$BN$153,_xlfn.AGGREGATE(15,6,(ROW(Tiere!$BN$2:$BN$153)-1)/(--(SEARCH(BC$2,Tiere!$BN$2:$BN$153)&gt;0)),ROW()-2),1))))))))),"")</f>
        <v>Zuchtkaninchen - Gülle</v>
      </c>
      <c r="BC114" s="1599"/>
      <c r="BD114" s="1624" t="str">
        <f>IFERROR(IF($A$15=$BO$1,$BO113,IF($A$15=$BP$1,$BP113,IF($A$15=$BQ$1,$BQ113,IF($A$15=$BR$1,$BR113,IF($A$15=$BS$1,$BS113,IF($A$15=$BT$1,$BT113,IF($A$15=$BU$1,$BU113,IF($A$15="",INDEX(Tiere!$BN$2:$BN$153,_xlfn.AGGREGATE(15,6,(ROW(Tiere!$BN$2:$BN$153)-1)/(--(SEARCH(BE$2,Tiere!$BN$2:$BN$153)&gt;0)),ROW()-2),1))))))))),"")</f>
        <v>Zuchtkaninchen - Gülle</v>
      </c>
      <c r="BE114" s="1599"/>
      <c r="BF114" s="1624" t="str">
        <f>IFERROR(IF($A$16=$BO$1,$BO113,IF($A$16=$BP$1,$BP113,IF($A$16=$BQ$1,$BQ113,IF($A$16=$BR$1,$BR113,IF($A$16=$BS$1,$BS113,IF($A$16=$BT$1,$BT113,IF($A$16=$BU$1,$BU113,IF($A$16="",INDEX(Tiere!$BN$2:$BN$153,_xlfn.AGGREGATE(15,6,(ROW(Tiere!$BN$2:$BN$153)-1)/(--(SEARCH(BG$2,Tiere!$BN$2:$BN$153)&gt;0)),ROW()-2),1))))))))),"")</f>
        <v>Zuchtkaninchen - Gülle</v>
      </c>
      <c r="BG114" s="1599"/>
      <c r="BH114" s="1624" t="str">
        <f>IFERROR(IF($A$17=$BO$1,$BO113,IF($A$17=$BP$1,$BP113,IF($A$17=$BQ$1,$BQ113,IF($A$17=$BR$1,$BR113,IF($A$17=$BS$1,$BS113,IF($A$17=$BT$1,$BT113,IF($A$17=$BU$1,$BU113,IF($A$17="",INDEX(Tiere!$BN$2:$BN$153,_xlfn.AGGREGATE(15,6,(ROW(Tiere!$BN$2:$BN$153)-1)/(--(SEARCH(BI$2,Tiere!$BN$2:$BN$153)&gt;0)),ROW()-2),1))))))))),"")</f>
        <v>Zuchtkaninchen - Gülle</v>
      </c>
      <c r="BI114" s="1599"/>
      <c r="BJ114" s="1624" t="str">
        <f>IFERROR(IF($A$18=$BO$1,$BO113,IF($A$18=$BP$1,$BP113,IF($A$18=$BQ$1,$BQ113,IF($A$18=$BR$1,$BR113,IF($A$18=$BS$1,$BS113,IF($A$18=$BT$1,$BT113,IF($A$18=$BU$1,$BU113,IF($A$18="",INDEX(Tiere!$BN$2:$BN$153,_xlfn.AGGREGATE(15,6,(ROW(Tiere!$BN$2:$BN$153)-1)/(--(SEARCH(BK$2,Tiere!$BN$2:$BN$153)&gt;0)),ROW()-2),1))))))))),"")</f>
        <v>Zuchtkaninchen - Gülle</v>
      </c>
      <c r="BK114" s="1599"/>
      <c r="BL114" s="1624" t="str">
        <f>IFERROR(IF($A$19=$BO$1,$BO113,IF($A$19=$BP$1,$BP113,IF($A$19=$BQ$1,$BQ113,IF($A$19=$BR$1,$BR113,IF($A$19=$BS$1,$BS113,IF($A$19=$BT$1,$BT113,IF($A$19=$BU$1,$BU113,IF($A$19="",INDEX(Tiere!$BN$2:$BN$153,_xlfn.AGGREGATE(15,6,(ROW(Tiere!$BN$2:$BN$153)-1)/(--(SEARCH(BM$2,Tiere!$BN$2:$BN$153)&gt;0)),ROW()-2),1))))))))),"")</f>
        <v>Zuchtkaninchen - Gülle</v>
      </c>
      <c r="BM114" s="1599"/>
      <c r="BN114" s="1630" t="s">
        <v>1671</v>
      </c>
      <c r="BO114" s="1599"/>
      <c r="BP114" s="1599"/>
      <c r="BQ114" s="1599"/>
      <c r="BR114" s="1599"/>
      <c r="BS114" s="1599"/>
      <c r="BT114" s="1599"/>
      <c r="BU114" s="1599"/>
      <c r="CD114" s="1911" t="s">
        <v>1671</v>
      </c>
    </row>
    <row r="115" spans="36:82" ht="13.5" thickBot="1">
      <c r="AJ115" s="1624" t="str">
        <f>IFERROR(IF($A$5=$BO$1,$BO114,IF($A$5=$BP$1,$BP114,IF($A$5=$BQ$1,$BQ114,IF($A$5=$BR$1,$BR114,IF($A$5=$BS$1,$BS114,IF($A$5=$BT$1,$BT114,IF($A$5=$BU$1,$BU114,IF($A$5="",INDEX(Tiere!$BN$2:$BN$153,_xlfn.AGGREGATE(15,6,(ROW(Tiere!$BN$2:$BN$153)-1)/(--(SEARCH(AK$2,Tiere!$BN$2:$BN$153)&gt;0)),ROW()-2),1))))))))),"")</f>
        <v>Zuchtkaninchen - Tiefstall</v>
      </c>
      <c r="AK115" s="1601"/>
      <c r="AL115" s="1624" t="str">
        <f>IFERROR(IF($A$6=$BO$1,$BO114,IF($A$6=$BP$1,$BP114,IF($A$6=$BQ$1,$BQ114,IF($A$6=$BR$1,$BR114,IF($A$6=$BS$1,$BS114,IF($A$6=$BT$1,$BT114,IF($A$6=$BU$1,$BU114,IF($A$6="",INDEX(Tiere!$BN$2:$BN$153,_xlfn.AGGREGATE(15,6,(ROW(Tiere!$BN$2:$BN$153)-1)/(--(SEARCH(AM$2,Tiere!$BN$2:$BN$153)&gt;0)),ROW()-2),1))))))))),"")</f>
        <v>Zuchtkaninchen - Tiefstall</v>
      </c>
      <c r="AM115" s="1601"/>
      <c r="AN115" s="1624" t="str">
        <f>IFERROR(IF($A$7=$BO$1,$BO114,IF($A$7=$BP$1,$BP114,IF($A$7=$BQ$1,$BQ114,IF($A$7=$BR$1,$BR114,IF($A$7=$BS$1,$BS114,IF($A$7=$BT$1,$BT114,IF($A$7=$BU$1,$BU114,IF($A$7="",INDEX(Tiere!$BN$2:$BN$153,_xlfn.AGGREGATE(15,6,(ROW(Tiere!$BN$2:$BN$153)-1)/(--(SEARCH(AM$2,Tiere!$BN$2:$BN$153)&gt;0)),ROW()-2),1))))))))),"")</f>
        <v>Zuchtkaninchen - Tiefstall</v>
      </c>
      <c r="AO115" s="1601"/>
      <c r="AP115" s="1624" t="str">
        <f>IFERROR(IF($A$8=$BO$1,$BO114,IF($A$8=$BP$1,$BP114,IF($A$8=$BQ$1,$BQ114,IF($A$8=$BR$1,$BR114,IF($A$8=$BS$1,$BS114,IF($A$8=$BT$1,$BT114,IF($A$8=$BU$1,$BU114,IF($A$8="",INDEX(Tiere!$BN$2:$BN$153,_xlfn.AGGREGATE(15,6,(ROW(Tiere!$BN$2:$BN$153)-1)/(--(SEARCH(AQ$2,Tiere!$BN$2:$BN$153)&gt;0)),ROW()-2),1))))))))),"")</f>
        <v>Zuchtkaninchen - Tiefstall</v>
      </c>
      <c r="AQ115" s="1601"/>
      <c r="AR115" s="1624" t="str">
        <f>IFERROR(IF($A$9=$BO$1,$BO114,IF($A$9=$BP$1,$BP114,IF($A$9=$BQ$1,$BQ114,IF($A$9=$BR$1,$BR114,IF($A$9=$BS$1,$BS114,IF($A$9=$BT$1,$BT114,IF($A$9=$BU$1,$BU114,IF($A$9="",INDEX(Tiere!$BN$2:$BN$153,_xlfn.AGGREGATE(15,6,(ROW(Tiere!$BN$2:$BN$153)-1)/(--(SEARCH(AS$2,Tiere!$BN$2:$BN$153)&gt;0)),ROW()-2),1))))))))),"")</f>
        <v>Zuchtkaninchen - Tiefstall</v>
      </c>
      <c r="AS115" s="1601"/>
      <c r="AT115" s="1624" t="str">
        <f>IFERROR(IF($A$10=$BO$1,$BO114,IF($A$10=$BP$1,$BP114,IF($A$10=$BQ$1,$BQ114,IF($A$10=$BR$1,$BR114,IF($A$10=$BS$1,$BS114,IF($A$10=$BT$1,$BT114,IF($A$10=$BU$1,$BU114,IF($A$10="",INDEX(Tiere!$BN$2:$BN$153,_xlfn.AGGREGATE(15,6,(ROW(Tiere!$BN$2:$BN$153)-1)/(--(SEARCH(AU$2,Tiere!$BN$2:$BN$153)&gt;0)),ROW()-2),1))))))))),"")</f>
        <v>Zuchtkaninchen - Tiefstall</v>
      </c>
      <c r="AU115" s="1601"/>
      <c r="AV115" s="1624" t="str">
        <f>IFERROR(IF($A$11=$BO$1,$BO114,IF($A$11=$BP$1,$BP114,IF($A$11=$BQ$1,$BQ114,IF($A$11=$BR$1,$BR114,IF($A$11=$BS$1,$BS114,IF($A$11=$BT$1,$BT114,IF($A$11=$BU$1,$BU114,IF($A$11="",INDEX(Tiere!$BN$2:$BN$153,_xlfn.AGGREGATE(15,6,(ROW(Tiere!$BN$2:$BN$153)-1)/(--(SEARCH(AW$2,Tiere!$BN$2:$BN$153)&gt;0)),ROW()-2),1))))))))),"")</f>
        <v>Zuchtkaninchen - Tiefstall</v>
      </c>
      <c r="AW115" s="1601"/>
      <c r="AX115" s="1624" t="str">
        <f>IFERROR(IF($A$12=$BO$1,$BO114,IF($A$12=$BP$1,$BP114,IF($A$12=$BQ$1,$BQ114,IF($A$12=$BR$1,$BR114,IF($A$12=$BS$1,$BS114,IF($A$12=$BT$1,$BT114,IF($A$12=$BU$1,$BU114,IF($A$12="",INDEX(Tiere!$BN$2:$BN$153,_xlfn.AGGREGATE(15,6,(ROW(Tiere!$BN$2:$BN$153)-1)/(--(SEARCH(AY$2,Tiere!$BN$2:$BN$153)&gt;0)),ROW()-2),1))))))))),"")</f>
        <v>Zuchtkaninchen - Tiefstall</v>
      </c>
      <c r="AY115" s="1601"/>
      <c r="AZ115" s="1624" t="str">
        <f>IFERROR(IF($A$13=$BO$1,$BO114,IF($A$13=$BP$1,$BP114,IF($A$13=$BQ$1,$BQ114,IF($A$13=$BR$1,$BR114,IF($A$13=$BS$1,$BS114,IF($A$13=$BT$1,$BT114,IF($A$13=$BU$1,$BU114,IF($A$13="",INDEX(Tiere!$BN$2:$BN$153,_xlfn.AGGREGATE(15,6,(ROW(Tiere!$BN$2:$BN$153)-1)/(--(SEARCH(BA$2,Tiere!$BN$2:$BN$153)&gt;0)),ROW()-2),1))))))))),"")</f>
        <v>Zuchtkaninchen - Tiefstall</v>
      </c>
      <c r="BA115" s="1601"/>
      <c r="BB115" s="1624" t="str">
        <f>IFERROR(IF($A$14=$BO$1,$BO114,IF($A$14=$BP$1,$BP114,IF($A$14=$BQ$1,$BQ114,IF($A$14=$BR$1,$BR114,IF($A$14=$BS$1,$BS114,IF($A$14=$BT$1,$BT114,IF($A$14=$BU$1,$BU114,IF($A$14="",INDEX(Tiere!$BN$2:$BN$153,_xlfn.AGGREGATE(15,6,(ROW(Tiere!$BN$2:$BN$153)-1)/(--(SEARCH(BC$2,Tiere!$BN$2:$BN$153)&gt;0)),ROW()-2),1))))))))),"")</f>
        <v>Zuchtkaninchen - Tiefstall</v>
      </c>
      <c r="BC115" s="1601"/>
      <c r="BD115" s="1624" t="str">
        <f>IFERROR(IF($A$15=$BO$1,$BO114,IF($A$15=$BP$1,$BP114,IF($A$15=$BQ$1,$BQ114,IF($A$15=$BR$1,$BR114,IF($A$15=$BS$1,$BS114,IF($A$15=$BT$1,$BT114,IF($A$15=$BU$1,$BU114,IF($A$15="",INDEX(Tiere!$BN$2:$BN$153,_xlfn.AGGREGATE(15,6,(ROW(Tiere!$BN$2:$BN$153)-1)/(--(SEARCH(BE$2,Tiere!$BN$2:$BN$153)&gt;0)),ROW()-2),1))))))))),"")</f>
        <v>Zuchtkaninchen - Tiefstall</v>
      </c>
      <c r="BE115" s="1601"/>
      <c r="BF115" s="1624" t="str">
        <f>IFERROR(IF($A$16=$BO$1,$BO114,IF($A$16=$BP$1,$BP114,IF($A$16=$BQ$1,$BQ114,IF($A$16=$BR$1,$BR114,IF($A$16=$BS$1,$BS114,IF($A$16=$BT$1,$BT114,IF($A$16=$BU$1,$BU114,IF($A$16="",INDEX(Tiere!$BN$2:$BN$153,_xlfn.AGGREGATE(15,6,(ROW(Tiere!$BN$2:$BN$153)-1)/(--(SEARCH(BG$2,Tiere!$BN$2:$BN$153)&gt;0)),ROW()-2),1))))))))),"")</f>
        <v>Zuchtkaninchen - Tiefstall</v>
      </c>
      <c r="BG115" s="1601"/>
      <c r="BH115" s="1624" t="str">
        <f>IFERROR(IF($A$17=$BO$1,$BO114,IF($A$17=$BP$1,$BP114,IF($A$17=$BQ$1,$BQ114,IF($A$17=$BR$1,$BR114,IF($A$17=$BS$1,$BS114,IF($A$17=$BT$1,$BT114,IF($A$17=$BU$1,$BU114,IF($A$17="",INDEX(Tiere!$BN$2:$BN$153,_xlfn.AGGREGATE(15,6,(ROW(Tiere!$BN$2:$BN$153)-1)/(--(SEARCH(BI$2,Tiere!$BN$2:$BN$153)&gt;0)),ROW()-2),1))))))))),"")</f>
        <v>Zuchtkaninchen - Tiefstall</v>
      </c>
      <c r="BI115" s="1601"/>
      <c r="BJ115" s="1624" t="str">
        <f>IFERROR(IF($A$18=$BO$1,$BO114,IF($A$18=$BP$1,$BP114,IF($A$18=$BQ$1,$BQ114,IF($A$18=$BR$1,$BR114,IF($A$18=$BS$1,$BS114,IF($A$18=$BT$1,$BT114,IF($A$18=$BU$1,$BU114,IF($A$18="",INDEX(Tiere!$BN$2:$BN$153,_xlfn.AGGREGATE(15,6,(ROW(Tiere!$BN$2:$BN$153)-1)/(--(SEARCH(BK$2,Tiere!$BN$2:$BN$153)&gt;0)),ROW()-2),1))))))))),"")</f>
        <v>Zuchtkaninchen - Tiefstall</v>
      </c>
      <c r="BK115" s="1601"/>
      <c r="BL115" s="1624" t="str">
        <f>IFERROR(IF($A$19=$BO$1,$BO114,IF($A$19=$BP$1,$BP114,IF($A$19=$BQ$1,$BQ114,IF($A$19=$BR$1,$BR114,IF($A$19=$BS$1,$BS114,IF($A$19=$BT$1,$BT114,IF($A$19=$BU$1,$BU114,IF($A$19="",INDEX(Tiere!$BN$2:$BN$153,_xlfn.AGGREGATE(15,6,(ROW(Tiere!$BN$2:$BN$153)-1)/(--(SEARCH(BM$2,Tiere!$BN$2:$BN$153)&gt;0)),ROW()-2),1))))))))),"")</f>
        <v>Zuchtkaninchen - Tiefstall</v>
      </c>
      <c r="BM115" s="1601"/>
      <c r="BN115" s="1630" t="s">
        <v>797</v>
      </c>
      <c r="BO115" s="1599"/>
      <c r="BP115" s="1599"/>
      <c r="BQ115" s="1599"/>
      <c r="BR115" s="1599"/>
      <c r="BS115" s="1599"/>
      <c r="BT115" s="1599"/>
      <c r="BU115" s="1599"/>
      <c r="CD115" s="1911" t="s">
        <v>797</v>
      </c>
    </row>
    <row r="116" spans="36:82" ht="13.5" thickBot="1">
      <c r="AJ116" s="1624" t="str">
        <f>IFERROR(IF($A$5=$BO$1,$BO115,IF($A$5=$BP$1,$BP115,IF($A$5=$BQ$1,$BQ115,IF($A$5=$BR$1,$BR115,IF($A$5=$BS$1,$BS115,IF($A$5=$BT$1,$BT115,IF($A$5=$BU$1,$BU115,IF($A$5="",INDEX(Tiere!$BN$2:$BN$153,_xlfn.AGGREGATE(15,6,(ROW(Tiere!$BN$2:$BN$153)-1)/(--(SEARCH(AK$2,Tiere!$BN$2:$BN$153)&gt;0)),ROW()-2),1))))))))),"")</f>
        <v>Zwergrind - andere Kälber und Jungrinder unter 1/2 Jahr - Gülle = N abLager</v>
      </c>
      <c r="AK116" s="1599"/>
      <c r="AL116" s="1624" t="str">
        <f>IFERROR(IF($A$6=$BO$1,$BO115,IF($A$6=$BP$1,$BP115,IF($A$6=$BQ$1,$BQ115,IF($A$6=$BR$1,$BR115,IF($A$6=$BS$1,$BS115,IF($A$6=$BT$1,$BT115,IF($A$6=$BU$1,$BU115,IF($A$6="",INDEX(Tiere!$BN$2:$BN$153,_xlfn.AGGREGATE(15,6,(ROW(Tiere!$BN$2:$BN$153)-1)/(--(SEARCH(AM$2,Tiere!$BN$2:$BN$153)&gt;0)),ROW()-2),1))))))))),"")</f>
        <v>Zwergrind - andere Kälber und Jungrinder unter 1/2 Jahr - Gülle = N abLager</v>
      </c>
      <c r="AM116" s="1599"/>
      <c r="AN116" s="1624" t="str">
        <f>IFERROR(IF($A$7=$BO$1,$BO115,IF($A$7=$BP$1,$BP115,IF($A$7=$BQ$1,$BQ115,IF($A$7=$BR$1,$BR115,IF($A$7=$BS$1,$BS115,IF($A$7=$BT$1,$BT115,IF($A$7=$BU$1,$BU115,IF($A$7="",INDEX(Tiere!$BN$2:$BN$153,_xlfn.AGGREGATE(15,6,(ROW(Tiere!$BN$2:$BN$153)-1)/(--(SEARCH(AM$2,Tiere!$BN$2:$BN$153)&gt;0)),ROW()-2),1))))))))),"")</f>
        <v>Zwergrind - andere Kälber und Jungrinder unter 1/2 Jahr - Gülle = N abLager</v>
      </c>
      <c r="AO116" s="1599"/>
      <c r="AP116" s="1624" t="str">
        <f>IFERROR(IF($A$8=$BO$1,$BO115,IF($A$8=$BP$1,$BP115,IF($A$8=$BQ$1,$BQ115,IF($A$8=$BR$1,$BR115,IF($A$8=$BS$1,$BS115,IF($A$8=$BT$1,$BT115,IF($A$8=$BU$1,$BU115,IF($A$8="",INDEX(Tiere!$BN$2:$BN$153,_xlfn.AGGREGATE(15,6,(ROW(Tiere!$BN$2:$BN$153)-1)/(--(SEARCH(AQ$2,Tiere!$BN$2:$BN$153)&gt;0)),ROW()-2),1))))))))),"")</f>
        <v>Zwergrind - andere Kälber und Jungrinder unter 1/2 Jahr - Gülle = N abLager</v>
      </c>
      <c r="AQ116" s="1599"/>
      <c r="AR116" s="1624" t="str">
        <f>IFERROR(IF($A$9=$BO$1,$BO115,IF($A$9=$BP$1,$BP115,IF($A$9=$BQ$1,$BQ115,IF($A$9=$BR$1,$BR115,IF($A$9=$BS$1,$BS115,IF($A$9=$BT$1,$BT115,IF($A$9=$BU$1,$BU115,IF($A$9="",INDEX(Tiere!$BN$2:$BN$153,_xlfn.AGGREGATE(15,6,(ROW(Tiere!$BN$2:$BN$153)-1)/(--(SEARCH(AS$2,Tiere!$BN$2:$BN$153)&gt;0)),ROW()-2),1))))))))),"")</f>
        <v>Zwergrind - andere Kälber und Jungrinder unter 1/2 Jahr - Gülle = N abLager</v>
      </c>
      <c r="AS116" s="1599"/>
      <c r="AT116" s="1624" t="str">
        <f>IFERROR(IF($A$10=$BO$1,$BO115,IF($A$10=$BP$1,$BP115,IF($A$10=$BQ$1,$BQ115,IF($A$10=$BR$1,$BR115,IF($A$10=$BS$1,$BS115,IF($A$10=$BT$1,$BT115,IF($A$10=$BU$1,$BU115,IF($A$10="",INDEX(Tiere!$BN$2:$BN$153,_xlfn.AGGREGATE(15,6,(ROW(Tiere!$BN$2:$BN$153)-1)/(--(SEARCH(AU$2,Tiere!$BN$2:$BN$153)&gt;0)),ROW()-2),1))))))))),"")</f>
        <v>Zwergrind - andere Kälber und Jungrinder unter 1/2 Jahr - Gülle = N abLager</v>
      </c>
      <c r="AU116" s="1599"/>
      <c r="AV116" s="1624" t="str">
        <f>IFERROR(IF($A$11=$BO$1,$BO115,IF($A$11=$BP$1,$BP115,IF($A$11=$BQ$1,$BQ115,IF($A$11=$BR$1,$BR115,IF($A$11=$BS$1,$BS115,IF($A$11=$BT$1,$BT115,IF($A$11=$BU$1,$BU115,IF($A$11="",INDEX(Tiere!$BN$2:$BN$153,_xlfn.AGGREGATE(15,6,(ROW(Tiere!$BN$2:$BN$153)-1)/(--(SEARCH(AW$2,Tiere!$BN$2:$BN$153)&gt;0)),ROW()-2),1))))))))),"")</f>
        <v>Zwergrind - andere Kälber und Jungrinder unter 1/2 Jahr - Gülle = N abLager</v>
      </c>
      <c r="AW116" s="1599"/>
      <c r="AX116" s="1624" t="str">
        <f>IFERROR(IF($A$12=$BO$1,$BO115,IF($A$12=$BP$1,$BP115,IF($A$12=$BQ$1,$BQ115,IF($A$12=$BR$1,$BR115,IF($A$12=$BS$1,$BS115,IF($A$12=$BT$1,$BT115,IF($A$12=$BU$1,$BU115,IF($A$12="",INDEX(Tiere!$BN$2:$BN$153,_xlfn.AGGREGATE(15,6,(ROW(Tiere!$BN$2:$BN$153)-1)/(--(SEARCH(AY$2,Tiere!$BN$2:$BN$153)&gt;0)),ROW()-2),1))))))))),"")</f>
        <v>Zwergrind - andere Kälber und Jungrinder unter 1/2 Jahr - Gülle = N abLager</v>
      </c>
      <c r="AY116" s="1599"/>
      <c r="AZ116" s="1624" t="str">
        <f>IFERROR(IF($A$13=$BO$1,$BO115,IF($A$13=$BP$1,$BP115,IF($A$13=$BQ$1,$BQ115,IF($A$13=$BR$1,$BR115,IF($A$13=$BS$1,$BS115,IF($A$13=$BT$1,$BT115,IF($A$13=$BU$1,$BU115,IF($A$13="",INDEX(Tiere!$BN$2:$BN$153,_xlfn.AGGREGATE(15,6,(ROW(Tiere!$BN$2:$BN$153)-1)/(--(SEARCH(BA$2,Tiere!$BN$2:$BN$153)&gt;0)),ROW()-2),1))))))))),"")</f>
        <v>Zwergrind - andere Kälber und Jungrinder unter 1/2 Jahr - Gülle = N abLager</v>
      </c>
      <c r="BA116" s="1599"/>
      <c r="BB116" s="1624" t="str">
        <f>IFERROR(IF($A$14=$BO$1,$BO115,IF($A$14=$BP$1,$BP115,IF($A$14=$BQ$1,$BQ115,IF($A$14=$BR$1,$BR115,IF($A$14=$BS$1,$BS115,IF($A$14=$BT$1,$BT115,IF($A$14=$BU$1,$BU115,IF($A$14="",INDEX(Tiere!$BN$2:$BN$153,_xlfn.AGGREGATE(15,6,(ROW(Tiere!$BN$2:$BN$153)-1)/(--(SEARCH(BC$2,Tiere!$BN$2:$BN$153)&gt;0)),ROW()-2),1))))))))),"")</f>
        <v>Zwergrind - andere Kälber und Jungrinder unter 1/2 Jahr - Gülle = N abLager</v>
      </c>
      <c r="BC116" s="1599"/>
      <c r="BD116" s="1624" t="str">
        <f>IFERROR(IF($A$15=$BO$1,$BO115,IF($A$15=$BP$1,$BP115,IF($A$15=$BQ$1,$BQ115,IF($A$15=$BR$1,$BR115,IF($A$15=$BS$1,$BS115,IF($A$15=$BT$1,$BT115,IF($A$15=$BU$1,$BU115,IF($A$15="",INDEX(Tiere!$BN$2:$BN$153,_xlfn.AGGREGATE(15,6,(ROW(Tiere!$BN$2:$BN$153)-1)/(--(SEARCH(BE$2,Tiere!$BN$2:$BN$153)&gt;0)),ROW()-2),1))))))))),"")</f>
        <v>Zwergrind - andere Kälber und Jungrinder unter 1/2 Jahr - Gülle = N abLager</v>
      </c>
      <c r="BE116" s="1599"/>
      <c r="BF116" s="1624" t="str">
        <f>IFERROR(IF($A$16=$BO$1,$BO115,IF($A$16=$BP$1,$BP115,IF($A$16=$BQ$1,$BQ115,IF($A$16=$BR$1,$BR115,IF($A$16=$BS$1,$BS115,IF($A$16=$BT$1,$BT115,IF($A$16=$BU$1,$BU115,IF($A$16="",INDEX(Tiere!$BN$2:$BN$153,_xlfn.AGGREGATE(15,6,(ROW(Tiere!$BN$2:$BN$153)-1)/(--(SEARCH(BG$2,Tiere!$BN$2:$BN$153)&gt;0)),ROW()-2),1))))))))),"")</f>
        <v>Zwergrind - andere Kälber und Jungrinder unter 1/2 Jahr - Gülle = N abLager</v>
      </c>
      <c r="BG116" s="1599"/>
      <c r="BH116" s="1624" t="str">
        <f>IFERROR(IF($A$17=$BO$1,$BO115,IF($A$17=$BP$1,$BP115,IF($A$17=$BQ$1,$BQ115,IF($A$17=$BR$1,$BR115,IF($A$17=$BS$1,$BS115,IF($A$17=$BT$1,$BT115,IF($A$17=$BU$1,$BU115,IF($A$17="",INDEX(Tiere!$BN$2:$BN$153,_xlfn.AGGREGATE(15,6,(ROW(Tiere!$BN$2:$BN$153)-1)/(--(SEARCH(BI$2,Tiere!$BN$2:$BN$153)&gt;0)),ROW()-2),1))))))))),"")</f>
        <v>Zwergrind - andere Kälber und Jungrinder unter 1/2 Jahr - Gülle = N abLager</v>
      </c>
      <c r="BI116" s="1599"/>
      <c r="BJ116" s="1624" t="str">
        <f>IFERROR(IF($A$18=$BO$1,$BO115,IF($A$18=$BP$1,$BP115,IF($A$18=$BQ$1,$BQ115,IF($A$18=$BR$1,$BR115,IF($A$18=$BS$1,$BS115,IF($A$18=$BT$1,$BT115,IF($A$18=$BU$1,$BU115,IF($A$18="",INDEX(Tiere!$BN$2:$BN$153,_xlfn.AGGREGATE(15,6,(ROW(Tiere!$BN$2:$BN$153)-1)/(--(SEARCH(BK$2,Tiere!$BN$2:$BN$153)&gt;0)),ROW()-2),1))))))))),"")</f>
        <v>Zwergrind - andere Kälber und Jungrinder unter 1/2 Jahr - Gülle = N abLager</v>
      </c>
      <c r="BK116" s="1599"/>
      <c r="BL116" s="1624" t="str">
        <f>IFERROR(IF($A$19=$BO$1,$BO115,IF($A$19=$BP$1,$BP115,IF($A$19=$BQ$1,$BQ115,IF($A$19=$BR$1,$BR115,IF($A$19=$BS$1,$BS115,IF($A$19=$BT$1,$BT115,IF($A$19=$BU$1,$BU115,IF($A$19="",INDEX(Tiere!$BN$2:$BN$153,_xlfn.AGGREGATE(15,6,(ROW(Tiere!$BN$2:$BN$153)-1)/(--(SEARCH(BM$2,Tiere!$BN$2:$BN$153)&gt;0)),ROW()-2),1))))))))),"")</f>
        <v>Zwergrind - andere Kälber und Jungrinder unter 1/2 Jahr - Gülle = N abLager</v>
      </c>
      <c r="BM116" s="1599"/>
      <c r="BN116" s="1630" t="s">
        <v>799</v>
      </c>
      <c r="BO116" s="1599"/>
      <c r="BP116" s="1599"/>
      <c r="BQ116" s="1599"/>
      <c r="BR116" s="1599"/>
      <c r="BS116" s="1599"/>
      <c r="BT116" s="1599"/>
      <c r="BU116" s="1599"/>
      <c r="CD116" s="1911" t="s">
        <v>799</v>
      </c>
    </row>
    <row r="117" spans="36:82" ht="13.5" thickBot="1">
      <c r="AJ117" s="1624" t="str">
        <f>IFERROR(IF($A$5=$BO$1,$BO116,IF($A$5=$BP$1,$BP116,IF($A$5=$BQ$1,$BQ116,IF($A$5=$BR$1,$BR116,IF($A$5=$BS$1,$BS116,IF($A$5=$BT$1,$BT116,IF($A$5=$BU$1,$BU116,IF($A$5="",INDEX(Tiere!$BN$2:$BN$153,_xlfn.AGGREGATE(15,6,(ROW(Tiere!$BN$2:$BN$153)-1)/(--(SEARCH(AK$2,Tiere!$BN$2:$BN$153)&gt;0)),ROW()-2),1))))))))),"")</f>
        <v>Zwergrind - andere Kälber und Jungrinder unter 1/2 Jahr - Mist/Jauche</v>
      </c>
      <c r="AK117" s="1601"/>
      <c r="AL117" s="1624" t="str">
        <f>IFERROR(IF($A$6=$BO$1,$BO116,IF($A$6=$BP$1,$BP116,IF($A$6=$BQ$1,$BQ116,IF($A$6=$BR$1,$BR116,IF($A$6=$BS$1,$BS116,IF($A$6=$BT$1,$BT116,IF($A$6=$BU$1,$BU116,IF($A$6="",INDEX(Tiere!$BN$2:$BN$153,_xlfn.AGGREGATE(15,6,(ROW(Tiere!$BN$2:$BN$153)-1)/(--(SEARCH(AM$2,Tiere!$BN$2:$BN$153)&gt;0)),ROW()-2),1))))))))),"")</f>
        <v>Zwergrind - andere Kälber und Jungrinder unter 1/2 Jahr - Mist/Jauche</v>
      </c>
      <c r="AM117" s="1601"/>
      <c r="AN117" s="1624" t="str">
        <f>IFERROR(IF($A$7=$BO$1,$BO116,IF($A$7=$BP$1,$BP116,IF($A$7=$BQ$1,$BQ116,IF($A$7=$BR$1,$BR116,IF($A$7=$BS$1,$BS116,IF($A$7=$BT$1,$BT116,IF($A$7=$BU$1,$BU116,IF($A$7="",INDEX(Tiere!$BN$2:$BN$153,_xlfn.AGGREGATE(15,6,(ROW(Tiere!$BN$2:$BN$153)-1)/(--(SEARCH(AM$2,Tiere!$BN$2:$BN$153)&gt;0)),ROW()-2),1))))))))),"")</f>
        <v>Zwergrind - andere Kälber und Jungrinder unter 1/2 Jahr - Mist/Jauche</v>
      </c>
      <c r="AO117" s="1601"/>
      <c r="AP117" s="1624" t="str">
        <f>IFERROR(IF($A$8=$BO$1,$BO116,IF($A$8=$BP$1,$BP116,IF($A$8=$BQ$1,$BQ116,IF($A$8=$BR$1,$BR116,IF($A$8=$BS$1,$BS116,IF($A$8=$BT$1,$BT116,IF($A$8=$BU$1,$BU116,IF($A$8="",INDEX(Tiere!$BN$2:$BN$153,_xlfn.AGGREGATE(15,6,(ROW(Tiere!$BN$2:$BN$153)-1)/(--(SEARCH(AQ$2,Tiere!$BN$2:$BN$153)&gt;0)),ROW()-2),1))))))))),"")</f>
        <v>Zwergrind - andere Kälber und Jungrinder unter 1/2 Jahr - Mist/Jauche</v>
      </c>
      <c r="AQ117" s="1601"/>
      <c r="AR117" s="1624" t="str">
        <f>IFERROR(IF($A$9=$BO$1,$BO116,IF($A$9=$BP$1,$BP116,IF($A$9=$BQ$1,$BQ116,IF($A$9=$BR$1,$BR116,IF($A$9=$BS$1,$BS116,IF($A$9=$BT$1,$BT116,IF($A$9=$BU$1,$BU116,IF($A$9="",INDEX(Tiere!$BN$2:$BN$153,_xlfn.AGGREGATE(15,6,(ROW(Tiere!$BN$2:$BN$153)-1)/(--(SEARCH(AS$2,Tiere!$BN$2:$BN$153)&gt;0)),ROW()-2),1))))))))),"")</f>
        <v>Zwergrind - andere Kälber und Jungrinder unter 1/2 Jahr - Mist/Jauche</v>
      </c>
      <c r="AS117" s="1601"/>
      <c r="AT117" s="1624" t="str">
        <f>IFERROR(IF($A$10=$BO$1,$BO116,IF($A$10=$BP$1,$BP116,IF($A$10=$BQ$1,$BQ116,IF($A$10=$BR$1,$BR116,IF($A$10=$BS$1,$BS116,IF($A$10=$BT$1,$BT116,IF($A$10=$BU$1,$BU116,IF($A$10="",INDEX(Tiere!$BN$2:$BN$153,_xlfn.AGGREGATE(15,6,(ROW(Tiere!$BN$2:$BN$153)-1)/(--(SEARCH(AU$2,Tiere!$BN$2:$BN$153)&gt;0)),ROW()-2),1))))))))),"")</f>
        <v>Zwergrind - andere Kälber und Jungrinder unter 1/2 Jahr - Mist/Jauche</v>
      </c>
      <c r="AU117" s="1601"/>
      <c r="AV117" s="1624" t="str">
        <f>IFERROR(IF($A$11=$BO$1,$BO116,IF($A$11=$BP$1,$BP116,IF($A$11=$BQ$1,$BQ116,IF($A$11=$BR$1,$BR116,IF($A$11=$BS$1,$BS116,IF($A$11=$BT$1,$BT116,IF($A$11=$BU$1,$BU116,IF($A$11="",INDEX(Tiere!$BN$2:$BN$153,_xlfn.AGGREGATE(15,6,(ROW(Tiere!$BN$2:$BN$153)-1)/(--(SEARCH(AW$2,Tiere!$BN$2:$BN$153)&gt;0)),ROW()-2),1))))))))),"")</f>
        <v>Zwergrind - andere Kälber und Jungrinder unter 1/2 Jahr - Mist/Jauche</v>
      </c>
      <c r="AW117" s="1601"/>
      <c r="AX117" s="1624" t="str">
        <f>IFERROR(IF($A$12=$BO$1,$BO116,IF($A$12=$BP$1,$BP116,IF($A$12=$BQ$1,$BQ116,IF($A$12=$BR$1,$BR116,IF($A$12=$BS$1,$BS116,IF($A$12=$BT$1,$BT116,IF($A$12=$BU$1,$BU116,IF($A$12="",INDEX(Tiere!$BN$2:$BN$153,_xlfn.AGGREGATE(15,6,(ROW(Tiere!$BN$2:$BN$153)-1)/(--(SEARCH(AY$2,Tiere!$BN$2:$BN$153)&gt;0)),ROW()-2),1))))))))),"")</f>
        <v>Zwergrind - andere Kälber und Jungrinder unter 1/2 Jahr - Mist/Jauche</v>
      </c>
      <c r="AY117" s="1601"/>
      <c r="AZ117" s="1624" t="str">
        <f>IFERROR(IF($A$13=$BO$1,$BO116,IF($A$13=$BP$1,$BP116,IF($A$13=$BQ$1,$BQ116,IF($A$13=$BR$1,$BR116,IF($A$13=$BS$1,$BS116,IF($A$13=$BT$1,$BT116,IF($A$13=$BU$1,$BU116,IF($A$13="",INDEX(Tiere!$BN$2:$BN$153,_xlfn.AGGREGATE(15,6,(ROW(Tiere!$BN$2:$BN$153)-1)/(--(SEARCH(BA$2,Tiere!$BN$2:$BN$153)&gt;0)),ROW()-2),1))))))))),"")</f>
        <v>Zwergrind - andere Kälber und Jungrinder unter 1/2 Jahr - Mist/Jauche</v>
      </c>
      <c r="BA117" s="1601"/>
      <c r="BB117" s="1624" t="str">
        <f>IFERROR(IF($A$14=$BO$1,$BO116,IF($A$14=$BP$1,$BP116,IF($A$14=$BQ$1,$BQ116,IF($A$14=$BR$1,$BR116,IF($A$14=$BS$1,$BS116,IF($A$14=$BT$1,$BT116,IF($A$14=$BU$1,$BU116,IF($A$14="",INDEX(Tiere!$BN$2:$BN$153,_xlfn.AGGREGATE(15,6,(ROW(Tiere!$BN$2:$BN$153)-1)/(--(SEARCH(BC$2,Tiere!$BN$2:$BN$153)&gt;0)),ROW()-2),1))))))))),"")</f>
        <v>Zwergrind - andere Kälber und Jungrinder unter 1/2 Jahr - Mist/Jauche</v>
      </c>
      <c r="BC117" s="1601"/>
      <c r="BD117" s="1624" t="str">
        <f>IFERROR(IF($A$15=$BO$1,$BO116,IF($A$15=$BP$1,$BP116,IF($A$15=$BQ$1,$BQ116,IF($A$15=$BR$1,$BR116,IF($A$15=$BS$1,$BS116,IF($A$15=$BT$1,$BT116,IF($A$15=$BU$1,$BU116,IF($A$15="",INDEX(Tiere!$BN$2:$BN$153,_xlfn.AGGREGATE(15,6,(ROW(Tiere!$BN$2:$BN$153)-1)/(--(SEARCH(BE$2,Tiere!$BN$2:$BN$153)&gt;0)),ROW()-2),1))))))))),"")</f>
        <v>Zwergrind - andere Kälber und Jungrinder unter 1/2 Jahr - Mist/Jauche</v>
      </c>
      <c r="BE117" s="1601"/>
      <c r="BF117" s="1624" t="str">
        <f>IFERROR(IF($A$16=$BO$1,$BO116,IF($A$16=$BP$1,$BP116,IF($A$16=$BQ$1,$BQ116,IF($A$16=$BR$1,$BR116,IF($A$16=$BS$1,$BS116,IF($A$16=$BT$1,$BT116,IF($A$16=$BU$1,$BU116,IF($A$16="",INDEX(Tiere!$BN$2:$BN$153,_xlfn.AGGREGATE(15,6,(ROW(Tiere!$BN$2:$BN$153)-1)/(--(SEARCH(BG$2,Tiere!$BN$2:$BN$153)&gt;0)),ROW()-2),1))))))))),"")</f>
        <v>Zwergrind - andere Kälber und Jungrinder unter 1/2 Jahr - Mist/Jauche</v>
      </c>
      <c r="BG117" s="1601"/>
      <c r="BH117" s="1624" t="str">
        <f>IFERROR(IF($A$17=$BO$1,$BO116,IF($A$17=$BP$1,$BP116,IF($A$17=$BQ$1,$BQ116,IF($A$17=$BR$1,$BR116,IF($A$17=$BS$1,$BS116,IF($A$17=$BT$1,$BT116,IF($A$17=$BU$1,$BU116,IF($A$17="",INDEX(Tiere!$BN$2:$BN$153,_xlfn.AGGREGATE(15,6,(ROW(Tiere!$BN$2:$BN$153)-1)/(--(SEARCH(BI$2,Tiere!$BN$2:$BN$153)&gt;0)),ROW()-2),1))))))))),"")</f>
        <v>Zwergrind - andere Kälber und Jungrinder unter 1/2 Jahr - Mist/Jauche</v>
      </c>
      <c r="BI117" s="1601"/>
      <c r="BJ117" s="1624" t="str">
        <f>IFERROR(IF($A$18=$BO$1,$BO116,IF($A$18=$BP$1,$BP116,IF($A$18=$BQ$1,$BQ116,IF($A$18=$BR$1,$BR116,IF($A$18=$BS$1,$BS116,IF($A$18=$BT$1,$BT116,IF($A$18=$BU$1,$BU116,IF($A$18="",INDEX(Tiere!$BN$2:$BN$153,_xlfn.AGGREGATE(15,6,(ROW(Tiere!$BN$2:$BN$153)-1)/(--(SEARCH(BK$2,Tiere!$BN$2:$BN$153)&gt;0)),ROW()-2),1))))))))),"")</f>
        <v>Zwergrind - andere Kälber und Jungrinder unter 1/2 Jahr - Mist/Jauche</v>
      </c>
      <c r="BK117" s="1601"/>
      <c r="BL117" s="1624" t="str">
        <f>IFERROR(IF($A$19=$BO$1,$BO116,IF($A$19=$BP$1,$BP116,IF($A$19=$BQ$1,$BQ116,IF($A$19=$BR$1,$BR116,IF($A$19=$BS$1,$BS116,IF($A$19=$BT$1,$BT116,IF($A$19=$BU$1,$BU116,IF($A$19="",INDEX(Tiere!$BN$2:$BN$153,_xlfn.AGGREGATE(15,6,(ROW(Tiere!$BN$2:$BN$153)-1)/(--(SEARCH(BM$2,Tiere!$BN$2:$BN$153)&gt;0)),ROW()-2),1))))))))),"")</f>
        <v>Zwergrind - andere Kälber und Jungrinder unter 1/2 Jahr - Mist/Jauche</v>
      </c>
      <c r="BM117" s="1601"/>
      <c r="BN117" s="1630" t="s">
        <v>800</v>
      </c>
      <c r="BO117" s="1599"/>
      <c r="BP117" s="1599"/>
      <c r="BQ117" s="1599"/>
      <c r="BR117" s="1599"/>
      <c r="BS117" s="1599"/>
      <c r="BT117" s="1599"/>
      <c r="BU117" s="1599"/>
      <c r="CD117" s="1911" t="s">
        <v>800</v>
      </c>
    </row>
    <row r="118" spans="36:82" ht="13.5" thickBot="1">
      <c r="AJ118" s="1624" t="str">
        <f>IFERROR(IF($A$5=$BO$1,$BO117,IF($A$5=$BP$1,$BP117,IF($A$5=$BQ$1,$BQ117,IF($A$5=$BR$1,$BR117,IF($A$5=$BS$1,$BS117,IF($A$5=$BT$1,$BT117,IF($A$5=$BU$1,$BU117,IF($A$5="",INDEX(Tiere!$BN$2:$BN$153,_xlfn.AGGREGATE(15,6,(ROW(Tiere!$BN$2:$BN$153)-1)/(--(SEARCH(AK$2,Tiere!$BN$2:$BN$153)&gt;0)),ROW()-2),1))))))))),"")</f>
        <v>Zwergrind - andere Kälber und Jungrinder unter 1/2 Jahr - Tiefstallmist</v>
      </c>
      <c r="AK118" s="1599"/>
      <c r="AL118" s="1624" t="str">
        <f>IFERROR(IF($A$6=$BO$1,$BO117,IF($A$6=$BP$1,$BP117,IF($A$6=$BQ$1,$BQ117,IF($A$6=$BR$1,$BR117,IF($A$6=$BS$1,$BS117,IF($A$6=$BT$1,$BT117,IF($A$6=$BU$1,$BU117,IF($A$6="",INDEX(Tiere!$BN$2:$BN$153,_xlfn.AGGREGATE(15,6,(ROW(Tiere!$BN$2:$BN$153)-1)/(--(SEARCH(AM$2,Tiere!$BN$2:$BN$153)&gt;0)),ROW()-2),1))))))))),"")</f>
        <v>Zwergrind - andere Kälber und Jungrinder unter 1/2 Jahr - Tiefstallmist</v>
      </c>
      <c r="AM118" s="1599"/>
      <c r="AN118" s="1624" t="str">
        <f>IFERROR(IF($A$7=$BO$1,$BO117,IF($A$7=$BP$1,$BP117,IF($A$7=$BQ$1,$BQ117,IF($A$7=$BR$1,$BR117,IF($A$7=$BS$1,$BS117,IF($A$7=$BT$1,$BT117,IF($A$7=$BU$1,$BU117,IF($A$7="",INDEX(Tiere!$BN$2:$BN$153,_xlfn.AGGREGATE(15,6,(ROW(Tiere!$BN$2:$BN$153)-1)/(--(SEARCH(AM$2,Tiere!$BN$2:$BN$153)&gt;0)),ROW()-2),1))))))))),"")</f>
        <v>Zwergrind - andere Kälber und Jungrinder unter 1/2 Jahr - Tiefstallmist</v>
      </c>
      <c r="AO118" s="1599"/>
      <c r="AP118" s="1624" t="str">
        <f>IFERROR(IF($A$8=$BO$1,$BO117,IF($A$8=$BP$1,$BP117,IF($A$8=$BQ$1,$BQ117,IF($A$8=$BR$1,$BR117,IF($A$8=$BS$1,$BS117,IF($A$8=$BT$1,$BT117,IF($A$8=$BU$1,$BU117,IF($A$8="",INDEX(Tiere!$BN$2:$BN$153,_xlfn.AGGREGATE(15,6,(ROW(Tiere!$BN$2:$BN$153)-1)/(--(SEARCH(AQ$2,Tiere!$BN$2:$BN$153)&gt;0)),ROW()-2),1))))))))),"")</f>
        <v>Zwergrind - andere Kälber und Jungrinder unter 1/2 Jahr - Tiefstallmist</v>
      </c>
      <c r="AQ118" s="1599"/>
      <c r="AR118" s="1624" t="str">
        <f>IFERROR(IF($A$9=$BO$1,$BO117,IF($A$9=$BP$1,$BP117,IF($A$9=$BQ$1,$BQ117,IF($A$9=$BR$1,$BR117,IF($A$9=$BS$1,$BS117,IF($A$9=$BT$1,$BT117,IF($A$9=$BU$1,$BU117,IF($A$9="",INDEX(Tiere!$BN$2:$BN$153,_xlfn.AGGREGATE(15,6,(ROW(Tiere!$BN$2:$BN$153)-1)/(--(SEARCH(AS$2,Tiere!$BN$2:$BN$153)&gt;0)),ROW()-2),1))))))))),"")</f>
        <v>Zwergrind - andere Kälber und Jungrinder unter 1/2 Jahr - Tiefstallmist</v>
      </c>
      <c r="AS118" s="1599"/>
      <c r="AT118" s="1624" t="str">
        <f>IFERROR(IF($A$10=$BO$1,$BO117,IF($A$10=$BP$1,$BP117,IF($A$10=$BQ$1,$BQ117,IF($A$10=$BR$1,$BR117,IF($A$10=$BS$1,$BS117,IF($A$10=$BT$1,$BT117,IF($A$10=$BU$1,$BU117,IF($A$10="",INDEX(Tiere!$BN$2:$BN$153,_xlfn.AGGREGATE(15,6,(ROW(Tiere!$BN$2:$BN$153)-1)/(--(SEARCH(AU$2,Tiere!$BN$2:$BN$153)&gt;0)),ROW()-2),1))))))))),"")</f>
        <v>Zwergrind - andere Kälber und Jungrinder unter 1/2 Jahr - Tiefstallmist</v>
      </c>
      <c r="AU118" s="1599"/>
      <c r="AV118" s="1624" t="str">
        <f>IFERROR(IF($A$11=$BO$1,$BO117,IF($A$11=$BP$1,$BP117,IF($A$11=$BQ$1,$BQ117,IF($A$11=$BR$1,$BR117,IF($A$11=$BS$1,$BS117,IF($A$11=$BT$1,$BT117,IF($A$11=$BU$1,$BU117,IF($A$11="",INDEX(Tiere!$BN$2:$BN$153,_xlfn.AGGREGATE(15,6,(ROW(Tiere!$BN$2:$BN$153)-1)/(--(SEARCH(AW$2,Tiere!$BN$2:$BN$153)&gt;0)),ROW()-2),1))))))))),"")</f>
        <v>Zwergrind - andere Kälber und Jungrinder unter 1/2 Jahr - Tiefstallmist</v>
      </c>
      <c r="AW118" s="1599"/>
      <c r="AX118" s="1624" t="str">
        <f>IFERROR(IF($A$12=$BO$1,$BO117,IF($A$12=$BP$1,$BP117,IF($A$12=$BQ$1,$BQ117,IF($A$12=$BR$1,$BR117,IF($A$12=$BS$1,$BS117,IF($A$12=$BT$1,$BT117,IF($A$12=$BU$1,$BU117,IF($A$12="",INDEX(Tiere!$BN$2:$BN$153,_xlfn.AGGREGATE(15,6,(ROW(Tiere!$BN$2:$BN$153)-1)/(--(SEARCH(AY$2,Tiere!$BN$2:$BN$153)&gt;0)),ROW()-2),1))))))))),"")</f>
        <v>Zwergrind - andere Kälber und Jungrinder unter 1/2 Jahr - Tiefstallmist</v>
      </c>
      <c r="AY118" s="1599"/>
      <c r="AZ118" s="1624" t="str">
        <f>IFERROR(IF($A$13=$BO$1,$BO117,IF($A$13=$BP$1,$BP117,IF($A$13=$BQ$1,$BQ117,IF($A$13=$BR$1,$BR117,IF($A$13=$BS$1,$BS117,IF($A$13=$BT$1,$BT117,IF($A$13=$BU$1,$BU117,IF($A$13="",INDEX(Tiere!$BN$2:$BN$153,_xlfn.AGGREGATE(15,6,(ROW(Tiere!$BN$2:$BN$153)-1)/(--(SEARCH(BA$2,Tiere!$BN$2:$BN$153)&gt;0)),ROW()-2),1))))))))),"")</f>
        <v>Zwergrind - andere Kälber und Jungrinder unter 1/2 Jahr - Tiefstallmist</v>
      </c>
      <c r="BA118" s="1599"/>
      <c r="BB118" s="1624" t="str">
        <f>IFERROR(IF($A$14=$BO$1,$BO117,IF($A$14=$BP$1,$BP117,IF($A$14=$BQ$1,$BQ117,IF($A$14=$BR$1,$BR117,IF($A$14=$BS$1,$BS117,IF($A$14=$BT$1,$BT117,IF($A$14=$BU$1,$BU117,IF($A$14="",INDEX(Tiere!$BN$2:$BN$153,_xlfn.AGGREGATE(15,6,(ROW(Tiere!$BN$2:$BN$153)-1)/(--(SEARCH(BC$2,Tiere!$BN$2:$BN$153)&gt;0)),ROW()-2),1))))))))),"")</f>
        <v>Zwergrind - andere Kälber und Jungrinder unter 1/2 Jahr - Tiefstallmist</v>
      </c>
      <c r="BC118" s="1599"/>
      <c r="BD118" s="1624" t="str">
        <f>IFERROR(IF($A$15=$BO$1,$BO117,IF($A$15=$BP$1,$BP117,IF($A$15=$BQ$1,$BQ117,IF($A$15=$BR$1,$BR117,IF($A$15=$BS$1,$BS117,IF($A$15=$BT$1,$BT117,IF($A$15=$BU$1,$BU117,IF($A$15="",INDEX(Tiere!$BN$2:$BN$153,_xlfn.AGGREGATE(15,6,(ROW(Tiere!$BN$2:$BN$153)-1)/(--(SEARCH(BE$2,Tiere!$BN$2:$BN$153)&gt;0)),ROW()-2),1))))))))),"")</f>
        <v>Zwergrind - andere Kälber und Jungrinder unter 1/2 Jahr - Tiefstallmist</v>
      </c>
      <c r="BE118" s="1599"/>
      <c r="BF118" s="1624" t="str">
        <f>IFERROR(IF($A$16=$BO$1,$BO117,IF($A$16=$BP$1,$BP117,IF($A$16=$BQ$1,$BQ117,IF($A$16=$BR$1,$BR117,IF($A$16=$BS$1,$BS117,IF($A$16=$BT$1,$BT117,IF($A$16=$BU$1,$BU117,IF($A$16="",INDEX(Tiere!$BN$2:$BN$153,_xlfn.AGGREGATE(15,6,(ROW(Tiere!$BN$2:$BN$153)-1)/(--(SEARCH(BG$2,Tiere!$BN$2:$BN$153)&gt;0)),ROW()-2),1))))))))),"")</f>
        <v>Zwergrind - andere Kälber und Jungrinder unter 1/2 Jahr - Tiefstallmist</v>
      </c>
      <c r="BG118" s="1599"/>
      <c r="BH118" s="1624" t="str">
        <f>IFERROR(IF($A$17=$BO$1,$BO117,IF($A$17=$BP$1,$BP117,IF($A$17=$BQ$1,$BQ117,IF($A$17=$BR$1,$BR117,IF($A$17=$BS$1,$BS117,IF($A$17=$BT$1,$BT117,IF($A$17=$BU$1,$BU117,IF($A$17="",INDEX(Tiere!$BN$2:$BN$153,_xlfn.AGGREGATE(15,6,(ROW(Tiere!$BN$2:$BN$153)-1)/(--(SEARCH(BI$2,Tiere!$BN$2:$BN$153)&gt;0)),ROW()-2),1))))))))),"")</f>
        <v>Zwergrind - andere Kälber und Jungrinder unter 1/2 Jahr - Tiefstallmist</v>
      </c>
      <c r="BI118" s="1599"/>
      <c r="BJ118" s="1624" t="str">
        <f>IFERROR(IF($A$18=$BO$1,$BO117,IF($A$18=$BP$1,$BP117,IF($A$18=$BQ$1,$BQ117,IF($A$18=$BR$1,$BR117,IF($A$18=$BS$1,$BS117,IF($A$18=$BT$1,$BT117,IF($A$18=$BU$1,$BU117,IF($A$18="",INDEX(Tiere!$BN$2:$BN$153,_xlfn.AGGREGATE(15,6,(ROW(Tiere!$BN$2:$BN$153)-1)/(--(SEARCH(BK$2,Tiere!$BN$2:$BN$153)&gt;0)),ROW()-2),1))))))))),"")</f>
        <v>Zwergrind - andere Kälber und Jungrinder unter 1/2 Jahr - Tiefstallmist</v>
      </c>
      <c r="BK118" s="1599"/>
      <c r="BL118" s="1624" t="str">
        <f>IFERROR(IF($A$19=$BO$1,$BO117,IF($A$19=$BP$1,$BP117,IF($A$19=$BQ$1,$BQ117,IF($A$19=$BR$1,$BR117,IF($A$19=$BS$1,$BS117,IF($A$19=$BT$1,$BT117,IF($A$19=$BU$1,$BU117,IF($A$19="",INDEX(Tiere!$BN$2:$BN$153,_xlfn.AGGREGATE(15,6,(ROW(Tiere!$BN$2:$BN$153)-1)/(--(SEARCH(BM$2,Tiere!$BN$2:$BN$153)&gt;0)),ROW()-2),1))))))))),"")</f>
        <v>Zwergrind - andere Kälber und Jungrinder unter 1/2 Jahr - Tiefstallmist</v>
      </c>
      <c r="BM118" s="1599"/>
      <c r="BN118" s="1630" t="s">
        <v>801</v>
      </c>
      <c r="BO118" s="1599"/>
      <c r="BP118" s="1599"/>
      <c r="BQ118" s="1599"/>
      <c r="BR118" s="1599"/>
      <c r="BS118" s="1599"/>
      <c r="BT118" s="1599"/>
      <c r="BU118" s="1599"/>
      <c r="CD118" s="1911" t="s">
        <v>801</v>
      </c>
    </row>
    <row r="119" spans="36:82" ht="13.5" thickBot="1">
      <c r="AJ119" s="1624" t="str">
        <f>IFERROR(IF($A$5=$BO$1,$BO118,IF($A$5=$BP$1,$BP118,IF($A$5=$BQ$1,$BQ118,IF($A$5=$BR$1,$BR118,IF($A$5=$BS$1,$BS118,IF($A$5=$BT$1,$BT118,IF($A$5=$BU$1,$BU118,IF($A$5="",INDEX(Tiere!$BN$2:$BN$153,_xlfn.AGGREGATE(15,6,(ROW(Tiere!$BN$2:$BN$153)-1)/(--(SEARCH(AK$2,Tiere!$BN$2:$BN$153)&gt;0)),ROW()-2),1))))))))),"")</f>
        <v>Zwergrind - Jungvieh 1/2 bis 1 Jahr - Gülle</v>
      </c>
      <c r="AK119" s="1601"/>
      <c r="AL119" s="1624" t="str">
        <f>IFERROR(IF($A$6=$BO$1,$BO118,IF($A$6=$BP$1,$BP118,IF($A$6=$BQ$1,$BQ118,IF($A$6=$BR$1,$BR118,IF($A$6=$BS$1,$BS118,IF($A$6=$BT$1,$BT118,IF($A$6=$BU$1,$BU118,IF($A$6="",INDEX(Tiere!$BN$2:$BN$153,_xlfn.AGGREGATE(15,6,(ROW(Tiere!$BN$2:$BN$153)-1)/(--(SEARCH(AM$2,Tiere!$BN$2:$BN$153)&gt;0)),ROW()-2),1))))))))),"")</f>
        <v>Zwergrind - Jungvieh 1/2 bis 1 Jahr - Gülle</v>
      </c>
      <c r="AM119" s="1601"/>
      <c r="AN119" s="1624" t="str">
        <f>IFERROR(IF($A$7=$BO$1,$BO118,IF($A$7=$BP$1,$BP118,IF($A$7=$BQ$1,$BQ118,IF($A$7=$BR$1,$BR118,IF($A$7=$BS$1,$BS118,IF($A$7=$BT$1,$BT118,IF($A$7=$BU$1,$BU118,IF($A$7="",INDEX(Tiere!$BN$2:$BN$153,_xlfn.AGGREGATE(15,6,(ROW(Tiere!$BN$2:$BN$153)-1)/(--(SEARCH(AM$2,Tiere!$BN$2:$BN$153)&gt;0)),ROW()-2),1))))))))),"")</f>
        <v>Zwergrind - Jungvieh 1/2 bis 1 Jahr - Gülle</v>
      </c>
      <c r="AO119" s="1601"/>
      <c r="AP119" s="1624" t="str">
        <f>IFERROR(IF($A$8=$BO$1,$BO118,IF($A$8=$BP$1,$BP118,IF($A$8=$BQ$1,$BQ118,IF($A$8=$BR$1,$BR118,IF($A$8=$BS$1,$BS118,IF($A$8=$BT$1,$BT118,IF($A$8=$BU$1,$BU118,IF($A$8="",INDEX(Tiere!$BN$2:$BN$153,_xlfn.AGGREGATE(15,6,(ROW(Tiere!$BN$2:$BN$153)-1)/(--(SEARCH(AQ$2,Tiere!$BN$2:$BN$153)&gt;0)),ROW()-2),1))))))))),"")</f>
        <v>Zwergrind - Jungvieh 1/2 bis 1 Jahr - Gülle</v>
      </c>
      <c r="AQ119" s="1601"/>
      <c r="AR119" s="1624" t="str">
        <f>IFERROR(IF($A$9=$BO$1,$BO118,IF($A$9=$BP$1,$BP118,IF($A$9=$BQ$1,$BQ118,IF($A$9=$BR$1,$BR118,IF($A$9=$BS$1,$BS118,IF($A$9=$BT$1,$BT118,IF($A$9=$BU$1,$BU118,IF($A$9="",INDEX(Tiere!$BN$2:$BN$153,_xlfn.AGGREGATE(15,6,(ROW(Tiere!$BN$2:$BN$153)-1)/(--(SEARCH(AS$2,Tiere!$BN$2:$BN$153)&gt;0)),ROW()-2),1))))))))),"")</f>
        <v>Zwergrind - Jungvieh 1/2 bis 1 Jahr - Gülle</v>
      </c>
      <c r="AS119" s="1601"/>
      <c r="AT119" s="1624" t="str">
        <f>IFERROR(IF($A$10=$BO$1,$BO118,IF($A$10=$BP$1,$BP118,IF($A$10=$BQ$1,$BQ118,IF($A$10=$BR$1,$BR118,IF($A$10=$BS$1,$BS118,IF($A$10=$BT$1,$BT118,IF($A$10=$BU$1,$BU118,IF($A$10="",INDEX(Tiere!$BN$2:$BN$153,_xlfn.AGGREGATE(15,6,(ROW(Tiere!$BN$2:$BN$153)-1)/(--(SEARCH(AU$2,Tiere!$BN$2:$BN$153)&gt;0)),ROW()-2),1))))))))),"")</f>
        <v>Zwergrind - Jungvieh 1/2 bis 1 Jahr - Gülle</v>
      </c>
      <c r="AU119" s="1601"/>
      <c r="AV119" s="1624" t="str">
        <f>IFERROR(IF($A$11=$BO$1,$BO118,IF($A$11=$BP$1,$BP118,IF($A$11=$BQ$1,$BQ118,IF($A$11=$BR$1,$BR118,IF($A$11=$BS$1,$BS118,IF($A$11=$BT$1,$BT118,IF($A$11=$BU$1,$BU118,IF($A$11="",INDEX(Tiere!$BN$2:$BN$153,_xlfn.AGGREGATE(15,6,(ROW(Tiere!$BN$2:$BN$153)-1)/(--(SEARCH(AW$2,Tiere!$BN$2:$BN$153)&gt;0)),ROW()-2),1))))))))),"")</f>
        <v>Zwergrind - Jungvieh 1/2 bis 1 Jahr - Gülle</v>
      </c>
      <c r="AW119" s="1601"/>
      <c r="AX119" s="1624" t="str">
        <f>IFERROR(IF($A$12=$BO$1,$BO118,IF($A$12=$BP$1,$BP118,IF($A$12=$BQ$1,$BQ118,IF($A$12=$BR$1,$BR118,IF($A$12=$BS$1,$BS118,IF($A$12=$BT$1,$BT118,IF($A$12=$BU$1,$BU118,IF($A$12="",INDEX(Tiere!$BN$2:$BN$153,_xlfn.AGGREGATE(15,6,(ROW(Tiere!$BN$2:$BN$153)-1)/(--(SEARCH(AY$2,Tiere!$BN$2:$BN$153)&gt;0)),ROW()-2),1))))))))),"")</f>
        <v>Zwergrind - Jungvieh 1/2 bis 1 Jahr - Gülle</v>
      </c>
      <c r="AY119" s="1601"/>
      <c r="AZ119" s="1624" t="str">
        <f>IFERROR(IF($A$13=$BO$1,$BO118,IF($A$13=$BP$1,$BP118,IF($A$13=$BQ$1,$BQ118,IF($A$13=$BR$1,$BR118,IF($A$13=$BS$1,$BS118,IF($A$13=$BT$1,$BT118,IF($A$13=$BU$1,$BU118,IF($A$13="",INDEX(Tiere!$BN$2:$BN$153,_xlfn.AGGREGATE(15,6,(ROW(Tiere!$BN$2:$BN$153)-1)/(--(SEARCH(BA$2,Tiere!$BN$2:$BN$153)&gt;0)),ROW()-2),1))))))))),"")</f>
        <v>Zwergrind - Jungvieh 1/2 bis 1 Jahr - Gülle</v>
      </c>
      <c r="BA119" s="1601"/>
      <c r="BB119" s="1624" t="str">
        <f>IFERROR(IF($A$14=$BO$1,$BO118,IF($A$14=$BP$1,$BP118,IF($A$14=$BQ$1,$BQ118,IF($A$14=$BR$1,$BR118,IF($A$14=$BS$1,$BS118,IF($A$14=$BT$1,$BT118,IF($A$14=$BU$1,$BU118,IF($A$14="",INDEX(Tiere!$BN$2:$BN$153,_xlfn.AGGREGATE(15,6,(ROW(Tiere!$BN$2:$BN$153)-1)/(--(SEARCH(BC$2,Tiere!$BN$2:$BN$153)&gt;0)),ROW()-2),1))))))))),"")</f>
        <v>Zwergrind - Jungvieh 1/2 bis 1 Jahr - Gülle</v>
      </c>
      <c r="BC119" s="1601"/>
      <c r="BD119" s="1624" t="str">
        <f>IFERROR(IF($A$15=$BO$1,$BO118,IF($A$15=$BP$1,$BP118,IF($A$15=$BQ$1,$BQ118,IF($A$15=$BR$1,$BR118,IF($A$15=$BS$1,$BS118,IF($A$15=$BT$1,$BT118,IF($A$15=$BU$1,$BU118,IF($A$15="",INDEX(Tiere!$BN$2:$BN$153,_xlfn.AGGREGATE(15,6,(ROW(Tiere!$BN$2:$BN$153)-1)/(--(SEARCH(BE$2,Tiere!$BN$2:$BN$153)&gt;0)),ROW()-2),1))))))))),"")</f>
        <v>Zwergrind - Jungvieh 1/2 bis 1 Jahr - Gülle</v>
      </c>
      <c r="BE119" s="1601"/>
      <c r="BF119" s="1624" t="str">
        <f>IFERROR(IF($A$16=$BO$1,$BO118,IF($A$16=$BP$1,$BP118,IF($A$16=$BQ$1,$BQ118,IF($A$16=$BR$1,$BR118,IF($A$16=$BS$1,$BS118,IF($A$16=$BT$1,$BT118,IF($A$16=$BU$1,$BU118,IF($A$16="",INDEX(Tiere!$BN$2:$BN$153,_xlfn.AGGREGATE(15,6,(ROW(Tiere!$BN$2:$BN$153)-1)/(--(SEARCH(BG$2,Tiere!$BN$2:$BN$153)&gt;0)),ROW()-2),1))))))))),"")</f>
        <v>Zwergrind - Jungvieh 1/2 bis 1 Jahr - Gülle</v>
      </c>
      <c r="BG119" s="1601"/>
      <c r="BH119" s="1624" t="str">
        <f>IFERROR(IF($A$17=$BO$1,$BO118,IF($A$17=$BP$1,$BP118,IF($A$17=$BQ$1,$BQ118,IF($A$17=$BR$1,$BR118,IF($A$17=$BS$1,$BS118,IF($A$17=$BT$1,$BT118,IF($A$17=$BU$1,$BU118,IF($A$17="",INDEX(Tiere!$BN$2:$BN$153,_xlfn.AGGREGATE(15,6,(ROW(Tiere!$BN$2:$BN$153)-1)/(--(SEARCH(BI$2,Tiere!$BN$2:$BN$153)&gt;0)),ROW()-2),1))))))))),"")</f>
        <v>Zwergrind - Jungvieh 1/2 bis 1 Jahr - Gülle</v>
      </c>
      <c r="BI119" s="1601"/>
      <c r="BJ119" s="1624" t="str">
        <f>IFERROR(IF($A$18=$BO$1,$BO118,IF($A$18=$BP$1,$BP118,IF($A$18=$BQ$1,$BQ118,IF($A$18=$BR$1,$BR118,IF($A$18=$BS$1,$BS118,IF($A$18=$BT$1,$BT118,IF($A$18=$BU$1,$BU118,IF($A$18="",INDEX(Tiere!$BN$2:$BN$153,_xlfn.AGGREGATE(15,6,(ROW(Tiere!$BN$2:$BN$153)-1)/(--(SEARCH(BK$2,Tiere!$BN$2:$BN$153)&gt;0)),ROW()-2),1))))))))),"")</f>
        <v>Zwergrind - Jungvieh 1/2 bis 1 Jahr - Gülle</v>
      </c>
      <c r="BK119" s="1601"/>
      <c r="BL119" s="1624" t="str">
        <f>IFERROR(IF($A$19=$BO$1,$BO118,IF($A$19=$BP$1,$BP118,IF($A$19=$BQ$1,$BQ118,IF($A$19=$BR$1,$BR118,IF($A$19=$BS$1,$BS118,IF($A$19=$BT$1,$BT118,IF($A$19=$BU$1,$BU118,IF($A$19="",INDEX(Tiere!$BN$2:$BN$153,_xlfn.AGGREGATE(15,6,(ROW(Tiere!$BN$2:$BN$153)-1)/(--(SEARCH(BM$2,Tiere!$BN$2:$BN$153)&gt;0)),ROW()-2),1))))))))),"")</f>
        <v>Zwergrind - Jungvieh 1/2 bis 1 Jahr - Gülle</v>
      </c>
      <c r="BM119" s="1601"/>
      <c r="BN119" s="1630" t="s">
        <v>802</v>
      </c>
      <c r="BO119" s="1599"/>
      <c r="BP119" s="1599"/>
      <c r="BQ119" s="1599"/>
      <c r="BR119" s="1599"/>
      <c r="BS119" s="1599"/>
      <c r="BT119" s="1599"/>
      <c r="BU119" s="1599"/>
      <c r="CD119" s="1911" t="s">
        <v>802</v>
      </c>
    </row>
    <row r="120" spans="36:82" ht="13.5" thickBot="1">
      <c r="AJ120" s="1624" t="str">
        <f>IFERROR(IF($A$5=$BO$1,$BO119,IF($A$5=$BP$1,$BP119,IF($A$5=$BQ$1,$BQ119,IF($A$5=$BR$1,$BR119,IF($A$5=$BS$1,$BS119,IF($A$5=$BT$1,$BT119,IF($A$5=$BU$1,$BU119,IF($A$5="",INDEX(Tiere!$BN$2:$BN$153,_xlfn.AGGREGATE(15,6,(ROW(Tiere!$BN$2:$BN$153)-1)/(--(SEARCH(AK$2,Tiere!$BN$2:$BN$153)&gt;0)),ROW()-2),1))))))))),"")</f>
        <v>Zwergrind - Jungvieh 1/2 bis 1 Jahr - Mist/Jauche</v>
      </c>
      <c r="AK120" s="1599"/>
      <c r="AL120" s="1624" t="str">
        <f>IFERROR(IF($A$6=$BO$1,$BO119,IF($A$6=$BP$1,$BP119,IF($A$6=$BQ$1,$BQ119,IF($A$6=$BR$1,$BR119,IF($A$6=$BS$1,$BS119,IF($A$6=$BT$1,$BT119,IF($A$6=$BU$1,$BU119,IF($A$6="",INDEX(Tiere!$BN$2:$BN$153,_xlfn.AGGREGATE(15,6,(ROW(Tiere!$BN$2:$BN$153)-1)/(--(SEARCH(AM$2,Tiere!$BN$2:$BN$153)&gt;0)),ROW()-2),1))))))))),"")</f>
        <v>Zwergrind - Jungvieh 1/2 bis 1 Jahr - Mist/Jauche</v>
      </c>
      <c r="AM120" s="1599"/>
      <c r="AN120" s="1624" t="str">
        <f>IFERROR(IF($A$7=$BO$1,$BO119,IF($A$7=$BP$1,$BP119,IF($A$7=$BQ$1,$BQ119,IF($A$7=$BR$1,$BR119,IF($A$7=$BS$1,$BS119,IF($A$7=$BT$1,$BT119,IF($A$7=$BU$1,$BU119,IF($A$7="",INDEX(Tiere!$BN$2:$BN$153,_xlfn.AGGREGATE(15,6,(ROW(Tiere!$BN$2:$BN$153)-1)/(--(SEARCH(AM$2,Tiere!$BN$2:$BN$153)&gt;0)),ROW()-2),1))))))))),"")</f>
        <v>Zwergrind - Jungvieh 1/2 bis 1 Jahr - Mist/Jauche</v>
      </c>
      <c r="AO120" s="1599"/>
      <c r="AP120" s="1624" t="str">
        <f>IFERROR(IF($A$8=$BO$1,$BO119,IF($A$8=$BP$1,$BP119,IF($A$8=$BQ$1,$BQ119,IF($A$8=$BR$1,$BR119,IF($A$8=$BS$1,$BS119,IF($A$8=$BT$1,$BT119,IF($A$8=$BU$1,$BU119,IF($A$8="",INDEX(Tiere!$BN$2:$BN$153,_xlfn.AGGREGATE(15,6,(ROW(Tiere!$BN$2:$BN$153)-1)/(--(SEARCH(AQ$2,Tiere!$BN$2:$BN$153)&gt;0)),ROW()-2),1))))))))),"")</f>
        <v>Zwergrind - Jungvieh 1/2 bis 1 Jahr - Mist/Jauche</v>
      </c>
      <c r="AQ120" s="1599"/>
      <c r="AR120" s="1624" t="str">
        <f>IFERROR(IF($A$9=$BO$1,$BO119,IF($A$9=$BP$1,$BP119,IF($A$9=$BQ$1,$BQ119,IF($A$9=$BR$1,$BR119,IF($A$9=$BS$1,$BS119,IF($A$9=$BT$1,$BT119,IF($A$9=$BU$1,$BU119,IF($A$9="",INDEX(Tiere!$BN$2:$BN$153,_xlfn.AGGREGATE(15,6,(ROW(Tiere!$BN$2:$BN$153)-1)/(--(SEARCH(AS$2,Tiere!$BN$2:$BN$153)&gt;0)),ROW()-2),1))))))))),"")</f>
        <v>Zwergrind - Jungvieh 1/2 bis 1 Jahr - Mist/Jauche</v>
      </c>
      <c r="AS120" s="1599"/>
      <c r="AT120" s="1624" t="str">
        <f>IFERROR(IF($A$10=$BO$1,$BO119,IF($A$10=$BP$1,$BP119,IF($A$10=$BQ$1,$BQ119,IF($A$10=$BR$1,$BR119,IF($A$10=$BS$1,$BS119,IF($A$10=$BT$1,$BT119,IF($A$10=$BU$1,$BU119,IF($A$10="",INDEX(Tiere!$BN$2:$BN$153,_xlfn.AGGREGATE(15,6,(ROW(Tiere!$BN$2:$BN$153)-1)/(--(SEARCH(AU$2,Tiere!$BN$2:$BN$153)&gt;0)),ROW()-2),1))))))))),"")</f>
        <v>Zwergrind - Jungvieh 1/2 bis 1 Jahr - Mist/Jauche</v>
      </c>
      <c r="AU120" s="1599"/>
      <c r="AV120" s="1624" t="str">
        <f>IFERROR(IF($A$11=$BO$1,$BO119,IF($A$11=$BP$1,$BP119,IF($A$11=$BQ$1,$BQ119,IF($A$11=$BR$1,$BR119,IF($A$11=$BS$1,$BS119,IF($A$11=$BT$1,$BT119,IF($A$11=$BU$1,$BU119,IF($A$11="",INDEX(Tiere!$BN$2:$BN$153,_xlfn.AGGREGATE(15,6,(ROW(Tiere!$BN$2:$BN$153)-1)/(--(SEARCH(AW$2,Tiere!$BN$2:$BN$153)&gt;0)),ROW()-2),1))))))))),"")</f>
        <v>Zwergrind - Jungvieh 1/2 bis 1 Jahr - Mist/Jauche</v>
      </c>
      <c r="AW120" s="1599"/>
      <c r="AX120" s="1624" t="str">
        <f>IFERROR(IF($A$12=$BO$1,$BO119,IF($A$12=$BP$1,$BP119,IF($A$12=$BQ$1,$BQ119,IF($A$12=$BR$1,$BR119,IF($A$12=$BS$1,$BS119,IF($A$12=$BT$1,$BT119,IF($A$12=$BU$1,$BU119,IF($A$12="",INDEX(Tiere!$BN$2:$BN$153,_xlfn.AGGREGATE(15,6,(ROW(Tiere!$BN$2:$BN$153)-1)/(--(SEARCH(AY$2,Tiere!$BN$2:$BN$153)&gt;0)),ROW()-2),1))))))))),"")</f>
        <v>Zwergrind - Jungvieh 1/2 bis 1 Jahr - Mist/Jauche</v>
      </c>
      <c r="AY120" s="1599"/>
      <c r="AZ120" s="1624" t="str">
        <f>IFERROR(IF($A$13=$BO$1,$BO119,IF($A$13=$BP$1,$BP119,IF($A$13=$BQ$1,$BQ119,IF($A$13=$BR$1,$BR119,IF($A$13=$BS$1,$BS119,IF($A$13=$BT$1,$BT119,IF($A$13=$BU$1,$BU119,IF($A$13="",INDEX(Tiere!$BN$2:$BN$153,_xlfn.AGGREGATE(15,6,(ROW(Tiere!$BN$2:$BN$153)-1)/(--(SEARCH(BA$2,Tiere!$BN$2:$BN$153)&gt;0)),ROW()-2),1))))))))),"")</f>
        <v>Zwergrind - Jungvieh 1/2 bis 1 Jahr - Mist/Jauche</v>
      </c>
      <c r="BA120" s="1599"/>
      <c r="BB120" s="1624" t="str">
        <f>IFERROR(IF($A$14=$BO$1,$BO119,IF($A$14=$BP$1,$BP119,IF($A$14=$BQ$1,$BQ119,IF($A$14=$BR$1,$BR119,IF($A$14=$BS$1,$BS119,IF($A$14=$BT$1,$BT119,IF($A$14=$BU$1,$BU119,IF($A$14="",INDEX(Tiere!$BN$2:$BN$153,_xlfn.AGGREGATE(15,6,(ROW(Tiere!$BN$2:$BN$153)-1)/(--(SEARCH(BC$2,Tiere!$BN$2:$BN$153)&gt;0)),ROW()-2),1))))))))),"")</f>
        <v>Zwergrind - Jungvieh 1/2 bis 1 Jahr - Mist/Jauche</v>
      </c>
      <c r="BC120" s="1599"/>
      <c r="BD120" s="1624" t="str">
        <f>IFERROR(IF($A$15=$BO$1,$BO119,IF($A$15=$BP$1,$BP119,IF($A$15=$BQ$1,$BQ119,IF($A$15=$BR$1,$BR119,IF($A$15=$BS$1,$BS119,IF($A$15=$BT$1,$BT119,IF($A$15=$BU$1,$BU119,IF($A$15="",INDEX(Tiere!$BN$2:$BN$153,_xlfn.AGGREGATE(15,6,(ROW(Tiere!$BN$2:$BN$153)-1)/(--(SEARCH(BE$2,Tiere!$BN$2:$BN$153)&gt;0)),ROW()-2),1))))))))),"")</f>
        <v>Zwergrind - Jungvieh 1/2 bis 1 Jahr - Mist/Jauche</v>
      </c>
      <c r="BE120" s="1599"/>
      <c r="BF120" s="1624" t="str">
        <f>IFERROR(IF($A$16=$BO$1,$BO119,IF($A$16=$BP$1,$BP119,IF($A$16=$BQ$1,$BQ119,IF($A$16=$BR$1,$BR119,IF($A$16=$BS$1,$BS119,IF($A$16=$BT$1,$BT119,IF($A$16=$BU$1,$BU119,IF($A$16="",INDEX(Tiere!$BN$2:$BN$153,_xlfn.AGGREGATE(15,6,(ROW(Tiere!$BN$2:$BN$153)-1)/(--(SEARCH(BG$2,Tiere!$BN$2:$BN$153)&gt;0)),ROW()-2),1))))))))),"")</f>
        <v>Zwergrind - Jungvieh 1/2 bis 1 Jahr - Mist/Jauche</v>
      </c>
      <c r="BG120" s="1599"/>
      <c r="BH120" s="1624" t="str">
        <f>IFERROR(IF($A$17=$BO$1,$BO119,IF($A$17=$BP$1,$BP119,IF($A$17=$BQ$1,$BQ119,IF($A$17=$BR$1,$BR119,IF($A$17=$BS$1,$BS119,IF($A$17=$BT$1,$BT119,IF($A$17=$BU$1,$BU119,IF($A$17="",INDEX(Tiere!$BN$2:$BN$153,_xlfn.AGGREGATE(15,6,(ROW(Tiere!$BN$2:$BN$153)-1)/(--(SEARCH(BI$2,Tiere!$BN$2:$BN$153)&gt;0)),ROW()-2),1))))))))),"")</f>
        <v>Zwergrind - Jungvieh 1/2 bis 1 Jahr - Mist/Jauche</v>
      </c>
      <c r="BI120" s="1599"/>
      <c r="BJ120" s="1624" t="str">
        <f>IFERROR(IF($A$18=$BO$1,$BO119,IF($A$18=$BP$1,$BP119,IF($A$18=$BQ$1,$BQ119,IF($A$18=$BR$1,$BR119,IF($A$18=$BS$1,$BS119,IF($A$18=$BT$1,$BT119,IF($A$18=$BU$1,$BU119,IF($A$18="",INDEX(Tiere!$BN$2:$BN$153,_xlfn.AGGREGATE(15,6,(ROW(Tiere!$BN$2:$BN$153)-1)/(--(SEARCH(BK$2,Tiere!$BN$2:$BN$153)&gt;0)),ROW()-2),1))))))))),"")</f>
        <v>Zwergrind - Jungvieh 1/2 bis 1 Jahr - Mist/Jauche</v>
      </c>
      <c r="BK120" s="1599"/>
      <c r="BL120" s="1624" t="str">
        <f>IFERROR(IF($A$19=$BO$1,$BO119,IF($A$19=$BP$1,$BP119,IF($A$19=$BQ$1,$BQ119,IF($A$19=$BR$1,$BR119,IF($A$19=$BS$1,$BS119,IF($A$19=$BT$1,$BT119,IF($A$19=$BU$1,$BU119,IF($A$19="",INDEX(Tiere!$BN$2:$BN$153,_xlfn.AGGREGATE(15,6,(ROW(Tiere!$BN$2:$BN$153)-1)/(--(SEARCH(BM$2,Tiere!$BN$2:$BN$153)&gt;0)),ROW()-2),1))))))))),"")</f>
        <v>Zwergrind - Jungvieh 1/2 bis 1 Jahr - Mist/Jauche</v>
      </c>
      <c r="BM120" s="1599"/>
      <c r="BN120" s="1630" t="s">
        <v>803</v>
      </c>
      <c r="BO120" s="1599"/>
      <c r="BP120" s="1599"/>
      <c r="BQ120" s="1599"/>
      <c r="BR120" s="1599"/>
      <c r="BS120" s="1599"/>
      <c r="BT120" s="1599"/>
      <c r="BU120" s="1599"/>
      <c r="CD120" s="1911" t="s">
        <v>803</v>
      </c>
    </row>
    <row r="121" spans="36:82" ht="13.5" thickBot="1">
      <c r="AJ121" s="1624" t="str">
        <f>IFERROR(IF($A$5=$BO$1,$BO120,IF($A$5=$BP$1,$BP120,IF($A$5=$BQ$1,$BQ120,IF($A$5=$BR$1,$BR120,IF($A$5=$BS$1,$BS120,IF($A$5=$BT$1,$BT120,IF($A$5=$BU$1,$BU120,IF($A$5="",INDEX(Tiere!$BN$2:$BN$153,_xlfn.AGGREGATE(15,6,(ROW(Tiere!$BN$2:$BN$153)-1)/(--(SEARCH(AK$2,Tiere!$BN$2:$BN$153)&gt;0)),ROW()-2),1))))))))),"")</f>
        <v>Zwergrind - Jungvieh 1/2 bis 1 Jahr - Tiefstallmist</v>
      </c>
      <c r="AK121" s="1601"/>
      <c r="AL121" s="1624" t="str">
        <f>IFERROR(IF($A$6=$BO$1,$BO120,IF($A$6=$BP$1,$BP120,IF($A$6=$BQ$1,$BQ120,IF($A$6=$BR$1,$BR120,IF($A$6=$BS$1,$BS120,IF($A$6=$BT$1,$BT120,IF($A$6=$BU$1,$BU120,IF($A$6="",INDEX(Tiere!$BN$2:$BN$153,_xlfn.AGGREGATE(15,6,(ROW(Tiere!$BN$2:$BN$153)-1)/(--(SEARCH(AM$2,Tiere!$BN$2:$BN$153)&gt;0)),ROW()-2),1))))))))),"")</f>
        <v>Zwergrind - Jungvieh 1/2 bis 1 Jahr - Tiefstallmist</v>
      </c>
      <c r="AM121" s="1601"/>
      <c r="AN121" s="1624" t="str">
        <f>IFERROR(IF($A$7=$BO$1,$BO120,IF($A$7=$BP$1,$BP120,IF($A$7=$BQ$1,$BQ120,IF($A$7=$BR$1,$BR120,IF($A$7=$BS$1,$BS120,IF($A$7=$BT$1,$BT120,IF($A$7=$BU$1,$BU120,IF($A$7="",INDEX(Tiere!$BN$2:$BN$153,_xlfn.AGGREGATE(15,6,(ROW(Tiere!$BN$2:$BN$153)-1)/(--(SEARCH(AM$2,Tiere!$BN$2:$BN$153)&gt;0)),ROW()-2),1))))))))),"")</f>
        <v>Zwergrind - Jungvieh 1/2 bis 1 Jahr - Tiefstallmist</v>
      </c>
      <c r="AO121" s="1601"/>
      <c r="AP121" s="1624" t="str">
        <f>IFERROR(IF($A$8=$BO$1,$BO120,IF($A$8=$BP$1,$BP120,IF($A$8=$BQ$1,$BQ120,IF($A$8=$BR$1,$BR120,IF($A$8=$BS$1,$BS120,IF($A$8=$BT$1,$BT120,IF($A$8=$BU$1,$BU120,IF($A$8="",INDEX(Tiere!$BN$2:$BN$153,_xlfn.AGGREGATE(15,6,(ROW(Tiere!$BN$2:$BN$153)-1)/(--(SEARCH(AQ$2,Tiere!$BN$2:$BN$153)&gt;0)),ROW()-2),1))))))))),"")</f>
        <v>Zwergrind - Jungvieh 1/2 bis 1 Jahr - Tiefstallmist</v>
      </c>
      <c r="AQ121" s="1601"/>
      <c r="AR121" s="1624" t="str">
        <f>IFERROR(IF($A$9=$BO$1,$BO120,IF($A$9=$BP$1,$BP120,IF($A$9=$BQ$1,$BQ120,IF($A$9=$BR$1,$BR120,IF($A$9=$BS$1,$BS120,IF($A$9=$BT$1,$BT120,IF($A$9=$BU$1,$BU120,IF($A$9="",INDEX(Tiere!$BN$2:$BN$153,_xlfn.AGGREGATE(15,6,(ROW(Tiere!$BN$2:$BN$153)-1)/(--(SEARCH(AS$2,Tiere!$BN$2:$BN$153)&gt;0)),ROW()-2),1))))))))),"")</f>
        <v>Zwergrind - Jungvieh 1/2 bis 1 Jahr - Tiefstallmist</v>
      </c>
      <c r="AS121" s="1601"/>
      <c r="AT121" s="1624" t="str">
        <f>IFERROR(IF($A$10=$BO$1,$BO120,IF($A$10=$BP$1,$BP120,IF($A$10=$BQ$1,$BQ120,IF($A$10=$BR$1,$BR120,IF($A$10=$BS$1,$BS120,IF($A$10=$BT$1,$BT120,IF($A$10=$BU$1,$BU120,IF($A$10="",INDEX(Tiere!$BN$2:$BN$153,_xlfn.AGGREGATE(15,6,(ROW(Tiere!$BN$2:$BN$153)-1)/(--(SEARCH(AU$2,Tiere!$BN$2:$BN$153)&gt;0)),ROW()-2),1))))))))),"")</f>
        <v>Zwergrind - Jungvieh 1/2 bis 1 Jahr - Tiefstallmist</v>
      </c>
      <c r="AU121" s="1601"/>
      <c r="AV121" s="1624" t="str">
        <f>IFERROR(IF($A$11=$BO$1,$BO120,IF($A$11=$BP$1,$BP120,IF($A$11=$BQ$1,$BQ120,IF($A$11=$BR$1,$BR120,IF($A$11=$BS$1,$BS120,IF($A$11=$BT$1,$BT120,IF($A$11=$BU$1,$BU120,IF($A$11="",INDEX(Tiere!$BN$2:$BN$153,_xlfn.AGGREGATE(15,6,(ROW(Tiere!$BN$2:$BN$153)-1)/(--(SEARCH(AW$2,Tiere!$BN$2:$BN$153)&gt;0)),ROW()-2),1))))))))),"")</f>
        <v>Zwergrind - Jungvieh 1/2 bis 1 Jahr - Tiefstallmist</v>
      </c>
      <c r="AW121" s="1601"/>
      <c r="AX121" s="1624" t="str">
        <f>IFERROR(IF($A$12=$BO$1,$BO120,IF($A$12=$BP$1,$BP120,IF($A$12=$BQ$1,$BQ120,IF($A$12=$BR$1,$BR120,IF($A$12=$BS$1,$BS120,IF($A$12=$BT$1,$BT120,IF($A$12=$BU$1,$BU120,IF($A$12="",INDEX(Tiere!$BN$2:$BN$153,_xlfn.AGGREGATE(15,6,(ROW(Tiere!$BN$2:$BN$153)-1)/(--(SEARCH(AY$2,Tiere!$BN$2:$BN$153)&gt;0)),ROW()-2),1))))))))),"")</f>
        <v>Zwergrind - Jungvieh 1/2 bis 1 Jahr - Tiefstallmist</v>
      </c>
      <c r="AY121" s="1601"/>
      <c r="AZ121" s="1624" t="str">
        <f>IFERROR(IF($A$13=$BO$1,$BO120,IF($A$13=$BP$1,$BP120,IF($A$13=$BQ$1,$BQ120,IF($A$13=$BR$1,$BR120,IF($A$13=$BS$1,$BS120,IF($A$13=$BT$1,$BT120,IF($A$13=$BU$1,$BU120,IF($A$13="",INDEX(Tiere!$BN$2:$BN$153,_xlfn.AGGREGATE(15,6,(ROW(Tiere!$BN$2:$BN$153)-1)/(--(SEARCH(BA$2,Tiere!$BN$2:$BN$153)&gt;0)),ROW()-2),1))))))))),"")</f>
        <v>Zwergrind - Jungvieh 1/2 bis 1 Jahr - Tiefstallmist</v>
      </c>
      <c r="BA121" s="1601"/>
      <c r="BB121" s="1624" t="str">
        <f>IFERROR(IF($A$14=$BO$1,$BO120,IF($A$14=$BP$1,$BP120,IF($A$14=$BQ$1,$BQ120,IF($A$14=$BR$1,$BR120,IF($A$14=$BS$1,$BS120,IF($A$14=$BT$1,$BT120,IF($A$14=$BU$1,$BU120,IF($A$14="",INDEX(Tiere!$BN$2:$BN$153,_xlfn.AGGREGATE(15,6,(ROW(Tiere!$BN$2:$BN$153)-1)/(--(SEARCH(BC$2,Tiere!$BN$2:$BN$153)&gt;0)),ROW()-2),1))))))))),"")</f>
        <v>Zwergrind - Jungvieh 1/2 bis 1 Jahr - Tiefstallmist</v>
      </c>
      <c r="BC121" s="1601"/>
      <c r="BD121" s="1624" t="str">
        <f>IFERROR(IF($A$15=$BO$1,$BO120,IF($A$15=$BP$1,$BP120,IF($A$15=$BQ$1,$BQ120,IF($A$15=$BR$1,$BR120,IF($A$15=$BS$1,$BS120,IF($A$15=$BT$1,$BT120,IF($A$15=$BU$1,$BU120,IF($A$15="",INDEX(Tiere!$BN$2:$BN$153,_xlfn.AGGREGATE(15,6,(ROW(Tiere!$BN$2:$BN$153)-1)/(--(SEARCH(BE$2,Tiere!$BN$2:$BN$153)&gt;0)),ROW()-2),1))))))))),"")</f>
        <v>Zwergrind - Jungvieh 1/2 bis 1 Jahr - Tiefstallmist</v>
      </c>
      <c r="BE121" s="1601"/>
      <c r="BF121" s="1624" t="str">
        <f>IFERROR(IF($A$16=$BO$1,$BO120,IF($A$16=$BP$1,$BP120,IF($A$16=$BQ$1,$BQ120,IF($A$16=$BR$1,$BR120,IF($A$16=$BS$1,$BS120,IF($A$16=$BT$1,$BT120,IF($A$16=$BU$1,$BU120,IF($A$16="",INDEX(Tiere!$BN$2:$BN$153,_xlfn.AGGREGATE(15,6,(ROW(Tiere!$BN$2:$BN$153)-1)/(--(SEARCH(BG$2,Tiere!$BN$2:$BN$153)&gt;0)),ROW()-2),1))))))))),"")</f>
        <v>Zwergrind - Jungvieh 1/2 bis 1 Jahr - Tiefstallmist</v>
      </c>
      <c r="BG121" s="1601"/>
      <c r="BH121" s="1624" t="str">
        <f>IFERROR(IF($A$17=$BO$1,$BO120,IF($A$17=$BP$1,$BP120,IF($A$17=$BQ$1,$BQ120,IF($A$17=$BR$1,$BR120,IF($A$17=$BS$1,$BS120,IF($A$17=$BT$1,$BT120,IF($A$17=$BU$1,$BU120,IF($A$17="",INDEX(Tiere!$BN$2:$BN$153,_xlfn.AGGREGATE(15,6,(ROW(Tiere!$BN$2:$BN$153)-1)/(--(SEARCH(BI$2,Tiere!$BN$2:$BN$153)&gt;0)),ROW()-2),1))))))))),"")</f>
        <v>Zwergrind - Jungvieh 1/2 bis 1 Jahr - Tiefstallmist</v>
      </c>
      <c r="BI121" s="1601"/>
      <c r="BJ121" s="1624" t="str">
        <f>IFERROR(IF($A$18=$BO$1,$BO120,IF($A$18=$BP$1,$BP120,IF($A$18=$BQ$1,$BQ120,IF($A$18=$BR$1,$BR120,IF($A$18=$BS$1,$BS120,IF($A$18=$BT$1,$BT120,IF($A$18=$BU$1,$BU120,IF($A$18="",INDEX(Tiere!$BN$2:$BN$153,_xlfn.AGGREGATE(15,6,(ROW(Tiere!$BN$2:$BN$153)-1)/(--(SEARCH(BK$2,Tiere!$BN$2:$BN$153)&gt;0)),ROW()-2),1))))))))),"")</f>
        <v>Zwergrind - Jungvieh 1/2 bis 1 Jahr - Tiefstallmist</v>
      </c>
      <c r="BK121" s="1601"/>
      <c r="BL121" s="1624" t="str">
        <f>IFERROR(IF($A$19=$BO$1,$BO120,IF($A$19=$BP$1,$BP120,IF($A$19=$BQ$1,$BQ120,IF($A$19=$BR$1,$BR120,IF($A$19=$BS$1,$BS120,IF($A$19=$BT$1,$BT120,IF($A$19=$BU$1,$BU120,IF($A$19="",INDEX(Tiere!$BN$2:$BN$153,_xlfn.AGGREGATE(15,6,(ROW(Tiere!$BN$2:$BN$153)-1)/(--(SEARCH(BM$2,Tiere!$BN$2:$BN$153)&gt;0)),ROW()-2),1))))))))),"")</f>
        <v>Zwergrind - Jungvieh 1/2 bis 1 Jahr - Tiefstallmist</v>
      </c>
      <c r="BM121" s="1601"/>
      <c r="BN121" s="1630" t="s">
        <v>804</v>
      </c>
      <c r="BO121" s="1599"/>
      <c r="BP121" s="1599"/>
      <c r="BQ121" s="1599"/>
      <c r="BR121" s="1599"/>
      <c r="BS121" s="1599"/>
      <c r="BT121" s="1599"/>
      <c r="BU121" s="1599"/>
      <c r="CD121" s="1911" t="s">
        <v>804</v>
      </c>
    </row>
    <row r="122" spans="36:82" ht="13.5" thickBot="1">
      <c r="AJ122" s="1624" t="str">
        <f>IFERROR(IF($A$5=$BO$1,$BO121,IF($A$5=$BP$1,$BP121,IF($A$5=$BQ$1,$BQ121,IF($A$5=$BR$1,$BR121,IF($A$5=$BS$1,$BS121,IF($A$5=$BT$1,$BT121,IF($A$5=$BU$1,$BU121,IF($A$5="",INDEX(Tiere!$BN$2:$BN$153,_xlfn.AGGREGATE(15,6,(ROW(Tiere!$BN$2:$BN$153)-1)/(--(SEARCH(AK$2,Tiere!$BN$2:$BN$153)&gt;0)),ROW()-2),1))))))))),"")</f>
        <v>Zwergrind - Jungvieh 1 bis 2 Jahr - Gülle</v>
      </c>
      <c r="AK122" s="1599"/>
      <c r="AL122" s="1624" t="str">
        <f>IFERROR(IF($A$6=$BO$1,$BO121,IF($A$6=$BP$1,$BP121,IF($A$6=$BQ$1,$BQ121,IF($A$6=$BR$1,$BR121,IF($A$6=$BS$1,$BS121,IF($A$6=$BT$1,$BT121,IF($A$6=$BU$1,$BU121,IF($A$6="",INDEX(Tiere!$BN$2:$BN$153,_xlfn.AGGREGATE(15,6,(ROW(Tiere!$BN$2:$BN$153)-1)/(--(SEARCH(AM$2,Tiere!$BN$2:$BN$153)&gt;0)),ROW()-2),1))))))))),"")</f>
        <v>Zwergrind - Jungvieh 1 bis 2 Jahr - Gülle</v>
      </c>
      <c r="AM122" s="1599"/>
      <c r="AN122" s="1624" t="str">
        <f>IFERROR(IF($A$7=$BO$1,$BO121,IF($A$7=$BP$1,$BP121,IF($A$7=$BQ$1,$BQ121,IF($A$7=$BR$1,$BR121,IF($A$7=$BS$1,$BS121,IF($A$7=$BT$1,$BT121,IF($A$7=$BU$1,$BU121,IF($A$7="",INDEX(Tiere!$BN$2:$BN$153,_xlfn.AGGREGATE(15,6,(ROW(Tiere!$BN$2:$BN$153)-1)/(--(SEARCH(AM$2,Tiere!$BN$2:$BN$153)&gt;0)),ROW()-2),1))))))))),"")</f>
        <v>Zwergrind - Jungvieh 1 bis 2 Jahr - Gülle</v>
      </c>
      <c r="AO122" s="1599"/>
      <c r="AP122" s="1624" t="str">
        <f>IFERROR(IF($A$8=$BO$1,$BO121,IF($A$8=$BP$1,$BP121,IF($A$8=$BQ$1,$BQ121,IF($A$8=$BR$1,$BR121,IF($A$8=$BS$1,$BS121,IF($A$8=$BT$1,$BT121,IF($A$8=$BU$1,$BU121,IF($A$8="",INDEX(Tiere!$BN$2:$BN$153,_xlfn.AGGREGATE(15,6,(ROW(Tiere!$BN$2:$BN$153)-1)/(--(SEARCH(AQ$2,Tiere!$BN$2:$BN$153)&gt;0)),ROW()-2),1))))))))),"")</f>
        <v>Zwergrind - Jungvieh 1 bis 2 Jahr - Gülle</v>
      </c>
      <c r="AQ122" s="1599"/>
      <c r="AR122" s="1624" t="str">
        <f>IFERROR(IF($A$9=$BO$1,$BO121,IF($A$9=$BP$1,$BP121,IF($A$9=$BQ$1,$BQ121,IF($A$9=$BR$1,$BR121,IF($A$9=$BS$1,$BS121,IF($A$9=$BT$1,$BT121,IF($A$9=$BU$1,$BU121,IF($A$9="",INDEX(Tiere!$BN$2:$BN$153,_xlfn.AGGREGATE(15,6,(ROW(Tiere!$BN$2:$BN$153)-1)/(--(SEARCH(AS$2,Tiere!$BN$2:$BN$153)&gt;0)),ROW()-2),1))))))))),"")</f>
        <v>Zwergrind - Jungvieh 1 bis 2 Jahr - Gülle</v>
      </c>
      <c r="AS122" s="1599"/>
      <c r="AT122" s="1624" t="str">
        <f>IFERROR(IF($A$10=$BO$1,$BO121,IF($A$10=$BP$1,$BP121,IF($A$10=$BQ$1,$BQ121,IF($A$10=$BR$1,$BR121,IF($A$10=$BS$1,$BS121,IF($A$10=$BT$1,$BT121,IF($A$10=$BU$1,$BU121,IF($A$10="",INDEX(Tiere!$BN$2:$BN$153,_xlfn.AGGREGATE(15,6,(ROW(Tiere!$BN$2:$BN$153)-1)/(--(SEARCH(AU$2,Tiere!$BN$2:$BN$153)&gt;0)),ROW()-2),1))))))))),"")</f>
        <v>Zwergrind - Jungvieh 1 bis 2 Jahr - Gülle</v>
      </c>
      <c r="AU122" s="1599"/>
      <c r="AV122" s="1624" t="str">
        <f>IFERROR(IF($A$11=$BO$1,$BO121,IF($A$11=$BP$1,$BP121,IF($A$11=$BQ$1,$BQ121,IF($A$11=$BR$1,$BR121,IF($A$11=$BS$1,$BS121,IF($A$11=$BT$1,$BT121,IF($A$11=$BU$1,$BU121,IF($A$11="",INDEX(Tiere!$BN$2:$BN$153,_xlfn.AGGREGATE(15,6,(ROW(Tiere!$BN$2:$BN$153)-1)/(--(SEARCH(AW$2,Tiere!$BN$2:$BN$153)&gt;0)),ROW()-2),1))))))))),"")</f>
        <v>Zwergrind - Jungvieh 1 bis 2 Jahr - Gülle</v>
      </c>
      <c r="AW122" s="1599"/>
      <c r="AX122" s="1624" t="str">
        <f>IFERROR(IF($A$12=$BO$1,$BO121,IF($A$12=$BP$1,$BP121,IF($A$12=$BQ$1,$BQ121,IF($A$12=$BR$1,$BR121,IF($A$12=$BS$1,$BS121,IF($A$12=$BT$1,$BT121,IF($A$12=$BU$1,$BU121,IF($A$12="",INDEX(Tiere!$BN$2:$BN$153,_xlfn.AGGREGATE(15,6,(ROW(Tiere!$BN$2:$BN$153)-1)/(--(SEARCH(AY$2,Tiere!$BN$2:$BN$153)&gt;0)),ROW()-2),1))))))))),"")</f>
        <v>Zwergrind - Jungvieh 1 bis 2 Jahr - Gülle</v>
      </c>
      <c r="AY122" s="1599"/>
      <c r="AZ122" s="1624" t="str">
        <f>IFERROR(IF($A$13=$BO$1,$BO121,IF($A$13=$BP$1,$BP121,IF($A$13=$BQ$1,$BQ121,IF($A$13=$BR$1,$BR121,IF($A$13=$BS$1,$BS121,IF($A$13=$BT$1,$BT121,IF($A$13=$BU$1,$BU121,IF($A$13="",INDEX(Tiere!$BN$2:$BN$153,_xlfn.AGGREGATE(15,6,(ROW(Tiere!$BN$2:$BN$153)-1)/(--(SEARCH(BA$2,Tiere!$BN$2:$BN$153)&gt;0)),ROW()-2),1))))))))),"")</f>
        <v>Zwergrind - Jungvieh 1 bis 2 Jahr - Gülle</v>
      </c>
      <c r="BA122" s="1599"/>
      <c r="BB122" s="1624" t="str">
        <f>IFERROR(IF($A$14=$BO$1,$BO121,IF($A$14=$BP$1,$BP121,IF($A$14=$BQ$1,$BQ121,IF($A$14=$BR$1,$BR121,IF($A$14=$BS$1,$BS121,IF($A$14=$BT$1,$BT121,IF($A$14=$BU$1,$BU121,IF($A$14="",INDEX(Tiere!$BN$2:$BN$153,_xlfn.AGGREGATE(15,6,(ROW(Tiere!$BN$2:$BN$153)-1)/(--(SEARCH(BC$2,Tiere!$BN$2:$BN$153)&gt;0)),ROW()-2),1))))))))),"")</f>
        <v>Zwergrind - Jungvieh 1 bis 2 Jahr - Gülle</v>
      </c>
      <c r="BC122" s="1599"/>
      <c r="BD122" s="1624" t="str">
        <f>IFERROR(IF($A$15=$BO$1,$BO121,IF($A$15=$BP$1,$BP121,IF($A$15=$BQ$1,$BQ121,IF($A$15=$BR$1,$BR121,IF($A$15=$BS$1,$BS121,IF($A$15=$BT$1,$BT121,IF($A$15=$BU$1,$BU121,IF($A$15="",INDEX(Tiere!$BN$2:$BN$153,_xlfn.AGGREGATE(15,6,(ROW(Tiere!$BN$2:$BN$153)-1)/(--(SEARCH(BE$2,Tiere!$BN$2:$BN$153)&gt;0)),ROW()-2),1))))))))),"")</f>
        <v>Zwergrind - Jungvieh 1 bis 2 Jahr - Gülle</v>
      </c>
      <c r="BE122" s="1599"/>
      <c r="BF122" s="1624" t="str">
        <f>IFERROR(IF($A$16=$BO$1,$BO121,IF($A$16=$BP$1,$BP121,IF($A$16=$BQ$1,$BQ121,IF($A$16=$BR$1,$BR121,IF($A$16=$BS$1,$BS121,IF($A$16=$BT$1,$BT121,IF($A$16=$BU$1,$BU121,IF($A$16="",INDEX(Tiere!$BN$2:$BN$153,_xlfn.AGGREGATE(15,6,(ROW(Tiere!$BN$2:$BN$153)-1)/(--(SEARCH(BG$2,Tiere!$BN$2:$BN$153)&gt;0)),ROW()-2),1))))))))),"")</f>
        <v>Zwergrind - Jungvieh 1 bis 2 Jahr - Gülle</v>
      </c>
      <c r="BG122" s="1599"/>
      <c r="BH122" s="1624" t="str">
        <f>IFERROR(IF($A$17=$BO$1,$BO121,IF($A$17=$BP$1,$BP121,IF($A$17=$BQ$1,$BQ121,IF($A$17=$BR$1,$BR121,IF($A$17=$BS$1,$BS121,IF($A$17=$BT$1,$BT121,IF($A$17=$BU$1,$BU121,IF($A$17="",INDEX(Tiere!$BN$2:$BN$153,_xlfn.AGGREGATE(15,6,(ROW(Tiere!$BN$2:$BN$153)-1)/(--(SEARCH(BI$2,Tiere!$BN$2:$BN$153)&gt;0)),ROW()-2),1))))))))),"")</f>
        <v>Zwergrind - Jungvieh 1 bis 2 Jahr - Gülle</v>
      </c>
      <c r="BI122" s="1599"/>
      <c r="BJ122" s="1624" t="str">
        <f>IFERROR(IF($A$18=$BO$1,$BO121,IF($A$18=$BP$1,$BP121,IF($A$18=$BQ$1,$BQ121,IF($A$18=$BR$1,$BR121,IF($A$18=$BS$1,$BS121,IF($A$18=$BT$1,$BT121,IF($A$18=$BU$1,$BU121,IF($A$18="",INDEX(Tiere!$BN$2:$BN$153,_xlfn.AGGREGATE(15,6,(ROW(Tiere!$BN$2:$BN$153)-1)/(--(SEARCH(BK$2,Tiere!$BN$2:$BN$153)&gt;0)),ROW()-2),1))))))))),"")</f>
        <v>Zwergrind - Jungvieh 1 bis 2 Jahr - Gülle</v>
      </c>
      <c r="BK122" s="1599"/>
      <c r="BL122" s="1624" t="str">
        <f>IFERROR(IF($A$19=$BO$1,$BO121,IF($A$19=$BP$1,$BP121,IF($A$19=$BQ$1,$BQ121,IF($A$19=$BR$1,$BR121,IF($A$19=$BS$1,$BS121,IF($A$19=$BT$1,$BT121,IF($A$19=$BU$1,$BU121,IF($A$19="",INDEX(Tiere!$BN$2:$BN$153,_xlfn.AGGREGATE(15,6,(ROW(Tiere!$BN$2:$BN$153)-1)/(--(SEARCH(BM$2,Tiere!$BN$2:$BN$153)&gt;0)),ROW()-2),1))))))))),"")</f>
        <v>Zwergrind - Jungvieh 1 bis 2 Jahr - Gülle</v>
      </c>
      <c r="BM122" s="1599"/>
      <c r="BN122" s="1630" t="s">
        <v>805</v>
      </c>
      <c r="BO122" s="1599"/>
      <c r="BP122" s="1599"/>
      <c r="BQ122" s="1599"/>
      <c r="BR122" s="1599"/>
      <c r="BS122" s="1599"/>
      <c r="BT122" s="1599"/>
      <c r="BU122" s="1599"/>
      <c r="CD122" s="1911" t="s">
        <v>805</v>
      </c>
    </row>
    <row r="123" spans="36:82" ht="13.5" thickBot="1">
      <c r="AJ123" s="1624" t="str">
        <f>IFERROR(IF($A$5=$BO$1,$BO122,IF($A$5=$BP$1,$BP122,IF($A$5=$BQ$1,$BQ122,IF($A$5=$BR$1,$BR122,IF($A$5=$BS$1,$BS122,IF($A$5=$BT$1,$BT122,IF($A$5=$BU$1,$BU122,IF($A$5="",INDEX(Tiere!$BN$2:$BN$153,_xlfn.AGGREGATE(15,6,(ROW(Tiere!$BN$2:$BN$153)-1)/(--(SEARCH(AK$2,Tiere!$BN$2:$BN$153)&gt;0)),ROW()-2),1))))))))),"")</f>
        <v>Zwergrind - Jungvieh 1 bis 2 Jahr - Mist/Jauche</v>
      </c>
      <c r="AK123" s="1601"/>
      <c r="AL123" s="1624" t="str">
        <f>IFERROR(IF($A$6=$BO$1,$BO122,IF($A$6=$BP$1,$BP122,IF($A$6=$BQ$1,$BQ122,IF($A$6=$BR$1,$BR122,IF($A$6=$BS$1,$BS122,IF($A$6=$BT$1,$BT122,IF($A$6=$BU$1,$BU122,IF($A$6="",INDEX(Tiere!$BN$2:$BN$153,_xlfn.AGGREGATE(15,6,(ROW(Tiere!$BN$2:$BN$153)-1)/(--(SEARCH(AM$2,Tiere!$BN$2:$BN$153)&gt;0)),ROW()-2),1))))))))),"")</f>
        <v>Zwergrind - Jungvieh 1 bis 2 Jahr - Mist/Jauche</v>
      </c>
      <c r="AM123" s="1601"/>
      <c r="AN123" s="1624" t="str">
        <f>IFERROR(IF($A$7=$BO$1,$BO122,IF($A$7=$BP$1,$BP122,IF($A$7=$BQ$1,$BQ122,IF($A$7=$BR$1,$BR122,IF($A$7=$BS$1,$BS122,IF($A$7=$BT$1,$BT122,IF($A$7=$BU$1,$BU122,IF($A$7="",INDEX(Tiere!$BN$2:$BN$153,_xlfn.AGGREGATE(15,6,(ROW(Tiere!$BN$2:$BN$153)-1)/(--(SEARCH(AM$2,Tiere!$BN$2:$BN$153)&gt;0)),ROW()-2),1))))))))),"")</f>
        <v>Zwergrind - Jungvieh 1 bis 2 Jahr - Mist/Jauche</v>
      </c>
      <c r="AO123" s="1601"/>
      <c r="AP123" s="1624" t="str">
        <f>IFERROR(IF($A$8=$BO$1,$BO122,IF($A$8=$BP$1,$BP122,IF($A$8=$BQ$1,$BQ122,IF($A$8=$BR$1,$BR122,IF($A$8=$BS$1,$BS122,IF($A$8=$BT$1,$BT122,IF($A$8=$BU$1,$BU122,IF($A$8="",INDEX(Tiere!$BN$2:$BN$153,_xlfn.AGGREGATE(15,6,(ROW(Tiere!$BN$2:$BN$153)-1)/(--(SEARCH(AQ$2,Tiere!$BN$2:$BN$153)&gt;0)),ROW()-2),1))))))))),"")</f>
        <v>Zwergrind - Jungvieh 1 bis 2 Jahr - Mist/Jauche</v>
      </c>
      <c r="AQ123" s="1601"/>
      <c r="AR123" s="1624" t="str">
        <f>IFERROR(IF($A$9=$BO$1,$BO122,IF($A$9=$BP$1,$BP122,IF($A$9=$BQ$1,$BQ122,IF($A$9=$BR$1,$BR122,IF($A$9=$BS$1,$BS122,IF($A$9=$BT$1,$BT122,IF($A$9=$BU$1,$BU122,IF($A$9="",INDEX(Tiere!$BN$2:$BN$153,_xlfn.AGGREGATE(15,6,(ROW(Tiere!$BN$2:$BN$153)-1)/(--(SEARCH(AS$2,Tiere!$BN$2:$BN$153)&gt;0)),ROW()-2),1))))))))),"")</f>
        <v>Zwergrind - Jungvieh 1 bis 2 Jahr - Mist/Jauche</v>
      </c>
      <c r="AS123" s="1601"/>
      <c r="AT123" s="1624" t="str">
        <f>IFERROR(IF($A$10=$BO$1,$BO122,IF($A$10=$BP$1,$BP122,IF($A$10=$BQ$1,$BQ122,IF($A$10=$BR$1,$BR122,IF($A$10=$BS$1,$BS122,IF($A$10=$BT$1,$BT122,IF($A$10=$BU$1,$BU122,IF($A$10="",INDEX(Tiere!$BN$2:$BN$153,_xlfn.AGGREGATE(15,6,(ROW(Tiere!$BN$2:$BN$153)-1)/(--(SEARCH(AU$2,Tiere!$BN$2:$BN$153)&gt;0)),ROW()-2),1))))))))),"")</f>
        <v>Zwergrind - Jungvieh 1 bis 2 Jahr - Mist/Jauche</v>
      </c>
      <c r="AU123" s="1601"/>
      <c r="AV123" s="1624" t="str">
        <f>IFERROR(IF($A$11=$BO$1,$BO122,IF($A$11=$BP$1,$BP122,IF($A$11=$BQ$1,$BQ122,IF($A$11=$BR$1,$BR122,IF($A$11=$BS$1,$BS122,IF($A$11=$BT$1,$BT122,IF($A$11=$BU$1,$BU122,IF($A$11="",INDEX(Tiere!$BN$2:$BN$153,_xlfn.AGGREGATE(15,6,(ROW(Tiere!$BN$2:$BN$153)-1)/(--(SEARCH(AW$2,Tiere!$BN$2:$BN$153)&gt;0)),ROW()-2),1))))))))),"")</f>
        <v>Zwergrind - Jungvieh 1 bis 2 Jahr - Mist/Jauche</v>
      </c>
      <c r="AW123" s="1601"/>
      <c r="AX123" s="1624" t="str">
        <f>IFERROR(IF($A$12=$BO$1,$BO122,IF($A$12=$BP$1,$BP122,IF($A$12=$BQ$1,$BQ122,IF($A$12=$BR$1,$BR122,IF($A$12=$BS$1,$BS122,IF($A$12=$BT$1,$BT122,IF($A$12=$BU$1,$BU122,IF($A$12="",INDEX(Tiere!$BN$2:$BN$153,_xlfn.AGGREGATE(15,6,(ROW(Tiere!$BN$2:$BN$153)-1)/(--(SEARCH(AY$2,Tiere!$BN$2:$BN$153)&gt;0)),ROW()-2),1))))))))),"")</f>
        <v>Zwergrind - Jungvieh 1 bis 2 Jahr - Mist/Jauche</v>
      </c>
      <c r="AY123" s="1601"/>
      <c r="AZ123" s="1624" t="str">
        <f>IFERROR(IF($A$13=$BO$1,$BO122,IF($A$13=$BP$1,$BP122,IF($A$13=$BQ$1,$BQ122,IF($A$13=$BR$1,$BR122,IF($A$13=$BS$1,$BS122,IF($A$13=$BT$1,$BT122,IF($A$13=$BU$1,$BU122,IF($A$13="",INDEX(Tiere!$BN$2:$BN$153,_xlfn.AGGREGATE(15,6,(ROW(Tiere!$BN$2:$BN$153)-1)/(--(SEARCH(BA$2,Tiere!$BN$2:$BN$153)&gt;0)),ROW()-2),1))))))))),"")</f>
        <v>Zwergrind - Jungvieh 1 bis 2 Jahr - Mist/Jauche</v>
      </c>
      <c r="BA123" s="1601"/>
      <c r="BB123" s="1624" t="str">
        <f>IFERROR(IF($A$14=$BO$1,$BO122,IF($A$14=$BP$1,$BP122,IF($A$14=$BQ$1,$BQ122,IF($A$14=$BR$1,$BR122,IF($A$14=$BS$1,$BS122,IF($A$14=$BT$1,$BT122,IF($A$14=$BU$1,$BU122,IF($A$14="",INDEX(Tiere!$BN$2:$BN$153,_xlfn.AGGREGATE(15,6,(ROW(Tiere!$BN$2:$BN$153)-1)/(--(SEARCH(BC$2,Tiere!$BN$2:$BN$153)&gt;0)),ROW()-2),1))))))))),"")</f>
        <v>Zwergrind - Jungvieh 1 bis 2 Jahr - Mist/Jauche</v>
      </c>
      <c r="BC123" s="1601"/>
      <c r="BD123" s="1624" t="str">
        <f>IFERROR(IF($A$15=$BO$1,$BO122,IF($A$15=$BP$1,$BP122,IF($A$15=$BQ$1,$BQ122,IF($A$15=$BR$1,$BR122,IF($A$15=$BS$1,$BS122,IF($A$15=$BT$1,$BT122,IF($A$15=$BU$1,$BU122,IF($A$15="",INDEX(Tiere!$BN$2:$BN$153,_xlfn.AGGREGATE(15,6,(ROW(Tiere!$BN$2:$BN$153)-1)/(--(SEARCH(BE$2,Tiere!$BN$2:$BN$153)&gt;0)),ROW()-2),1))))))))),"")</f>
        <v>Zwergrind - Jungvieh 1 bis 2 Jahr - Mist/Jauche</v>
      </c>
      <c r="BE123" s="1601"/>
      <c r="BF123" s="1624" t="str">
        <f>IFERROR(IF($A$16=$BO$1,$BO122,IF($A$16=$BP$1,$BP122,IF($A$16=$BQ$1,$BQ122,IF($A$16=$BR$1,$BR122,IF($A$16=$BS$1,$BS122,IF($A$16=$BT$1,$BT122,IF($A$16=$BU$1,$BU122,IF($A$16="",INDEX(Tiere!$BN$2:$BN$153,_xlfn.AGGREGATE(15,6,(ROW(Tiere!$BN$2:$BN$153)-1)/(--(SEARCH(BG$2,Tiere!$BN$2:$BN$153)&gt;0)),ROW()-2),1))))))))),"")</f>
        <v>Zwergrind - Jungvieh 1 bis 2 Jahr - Mist/Jauche</v>
      </c>
      <c r="BG123" s="1601"/>
      <c r="BH123" s="1624" t="str">
        <f>IFERROR(IF($A$17=$BO$1,$BO122,IF($A$17=$BP$1,$BP122,IF($A$17=$BQ$1,$BQ122,IF($A$17=$BR$1,$BR122,IF($A$17=$BS$1,$BS122,IF($A$17=$BT$1,$BT122,IF($A$17=$BU$1,$BU122,IF($A$17="",INDEX(Tiere!$BN$2:$BN$153,_xlfn.AGGREGATE(15,6,(ROW(Tiere!$BN$2:$BN$153)-1)/(--(SEARCH(BI$2,Tiere!$BN$2:$BN$153)&gt;0)),ROW()-2),1))))))))),"")</f>
        <v>Zwergrind - Jungvieh 1 bis 2 Jahr - Mist/Jauche</v>
      </c>
      <c r="BI123" s="1601"/>
      <c r="BJ123" s="1624" t="str">
        <f>IFERROR(IF($A$18=$BO$1,$BO122,IF($A$18=$BP$1,$BP122,IF($A$18=$BQ$1,$BQ122,IF($A$18=$BR$1,$BR122,IF($A$18=$BS$1,$BS122,IF($A$18=$BT$1,$BT122,IF($A$18=$BU$1,$BU122,IF($A$18="",INDEX(Tiere!$BN$2:$BN$153,_xlfn.AGGREGATE(15,6,(ROW(Tiere!$BN$2:$BN$153)-1)/(--(SEARCH(BK$2,Tiere!$BN$2:$BN$153)&gt;0)),ROW()-2),1))))))))),"")</f>
        <v>Zwergrind - Jungvieh 1 bis 2 Jahr - Mist/Jauche</v>
      </c>
      <c r="BK123" s="1601"/>
      <c r="BL123" s="1624" t="str">
        <f>IFERROR(IF($A$19=$BO$1,$BO122,IF($A$19=$BP$1,$BP122,IF($A$19=$BQ$1,$BQ122,IF($A$19=$BR$1,$BR122,IF($A$19=$BS$1,$BS122,IF($A$19=$BT$1,$BT122,IF($A$19=$BU$1,$BU122,IF($A$19="",INDEX(Tiere!$BN$2:$BN$153,_xlfn.AGGREGATE(15,6,(ROW(Tiere!$BN$2:$BN$153)-1)/(--(SEARCH(BM$2,Tiere!$BN$2:$BN$153)&gt;0)),ROW()-2),1))))))))),"")</f>
        <v>Zwergrind - Jungvieh 1 bis 2 Jahr - Mist/Jauche</v>
      </c>
      <c r="BM123" s="1601"/>
      <c r="BN123" s="1630" t="s">
        <v>806</v>
      </c>
      <c r="BO123" s="1599"/>
      <c r="BP123" s="1599"/>
      <c r="BQ123" s="1599"/>
      <c r="BR123" s="1599"/>
      <c r="BS123" s="1599"/>
      <c r="BT123" s="1599"/>
      <c r="BU123" s="1599"/>
      <c r="CD123" s="1911" t="s">
        <v>806</v>
      </c>
    </row>
    <row r="124" spans="36:82" ht="13.5" thickBot="1">
      <c r="AJ124" s="1624" t="str">
        <f>IFERROR(IF($A$5=$BO$1,$BO123,IF($A$5=$BP$1,$BP123,IF($A$5=$BQ$1,$BQ123,IF($A$5=$BR$1,$BR123,IF($A$5=$BS$1,$BS123,IF($A$5=$BT$1,$BT123,IF($A$5=$BU$1,$BU123,IF($A$5="",INDEX(Tiere!$BN$2:$BN$153,_xlfn.AGGREGATE(15,6,(ROW(Tiere!$BN$2:$BN$153)-1)/(--(SEARCH(AK$2,Tiere!$BN$2:$BN$153)&gt;0)),ROW()-2),1))))))))),"")</f>
        <v>Zwergrind - Jungvieh 1 bis 2 Jahr - Tiefstallmist</v>
      </c>
      <c r="AK124" s="1599"/>
      <c r="AL124" s="1624" t="str">
        <f>IFERROR(IF($A$6=$BO$1,$BO123,IF($A$6=$BP$1,$BP123,IF($A$6=$BQ$1,$BQ123,IF($A$6=$BR$1,$BR123,IF($A$6=$BS$1,$BS123,IF($A$6=$BT$1,$BT123,IF($A$6=$BU$1,$BU123,IF($A$6="",INDEX(Tiere!$BN$2:$BN$153,_xlfn.AGGREGATE(15,6,(ROW(Tiere!$BN$2:$BN$153)-1)/(--(SEARCH(AM$2,Tiere!$BN$2:$BN$153)&gt;0)),ROW()-2),1))))))))),"")</f>
        <v>Zwergrind - Jungvieh 1 bis 2 Jahr - Tiefstallmist</v>
      </c>
      <c r="AM124" s="1599"/>
      <c r="AN124" s="1624" t="str">
        <f>IFERROR(IF($A$7=$BO$1,$BO123,IF($A$7=$BP$1,$BP123,IF($A$7=$BQ$1,$BQ123,IF($A$7=$BR$1,$BR123,IF($A$7=$BS$1,$BS123,IF($A$7=$BT$1,$BT123,IF($A$7=$BU$1,$BU123,IF($A$7="",INDEX(Tiere!$BN$2:$BN$153,_xlfn.AGGREGATE(15,6,(ROW(Tiere!$BN$2:$BN$153)-1)/(--(SEARCH(AM$2,Tiere!$BN$2:$BN$153)&gt;0)),ROW()-2),1))))))))),"")</f>
        <v>Zwergrind - Jungvieh 1 bis 2 Jahr - Tiefstallmist</v>
      </c>
      <c r="AO124" s="1599"/>
      <c r="AP124" s="1624" t="str">
        <f>IFERROR(IF($A$8=$BO$1,$BO123,IF($A$8=$BP$1,$BP123,IF($A$8=$BQ$1,$BQ123,IF($A$8=$BR$1,$BR123,IF($A$8=$BS$1,$BS123,IF($A$8=$BT$1,$BT123,IF($A$8=$BU$1,$BU123,IF($A$8="",INDEX(Tiere!$BN$2:$BN$153,_xlfn.AGGREGATE(15,6,(ROW(Tiere!$BN$2:$BN$153)-1)/(--(SEARCH(AQ$2,Tiere!$BN$2:$BN$153)&gt;0)),ROW()-2),1))))))))),"")</f>
        <v>Zwergrind - Jungvieh 1 bis 2 Jahr - Tiefstallmist</v>
      </c>
      <c r="AQ124" s="1599"/>
      <c r="AR124" s="1624" t="str">
        <f>IFERROR(IF($A$9=$BO$1,$BO123,IF($A$9=$BP$1,$BP123,IF($A$9=$BQ$1,$BQ123,IF($A$9=$BR$1,$BR123,IF($A$9=$BS$1,$BS123,IF($A$9=$BT$1,$BT123,IF($A$9=$BU$1,$BU123,IF($A$9="",INDEX(Tiere!$BN$2:$BN$153,_xlfn.AGGREGATE(15,6,(ROW(Tiere!$BN$2:$BN$153)-1)/(--(SEARCH(AS$2,Tiere!$BN$2:$BN$153)&gt;0)),ROW()-2),1))))))))),"")</f>
        <v>Zwergrind - Jungvieh 1 bis 2 Jahr - Tiefstallmist</v>
      </c>
      <c r="AS124" s="1599"/>
      <c r="AT124" s="1624" t="str">
        <f>IFERROR(IF($A$10=$BO$1,$BO123,IF($A$10=$BP$1,$BP123,IF($A$10=$BQ$1,$BQ123,IF($A$10=$BR$1,$BR123,IF($A$10=$BS$1,$BS123,IF($A$10=$BT$1,$BT123,IF($A$10=$BU$1,$BU123,IF($A$10="",INDEX(Tiere!$BN$2:$BN$153,_xlfn.AGGREGATE(15,6,(ROW(Tiere!$BN$2:$BN$153)-1)/(--(SEARCH(AU$2,Tiere!$BN$2:$BN$153)&gt;0)),ROW()-2),1))))))))),"")</f>
        <v>Zwergrind - Jungvieh 1 bis 2 Jahr - Tiefstallmist</v>
      </c>
      <c r="AU124" s="1599"/>
      <c r="AV124" s="1624" t="str">
        <f>IFERROR(IF($A$11=$BO$1,$BO123,IF($A$11=$BP$1,$BP123,IF($A$11=$BQ$1,$BQ123,IF($A$11=$BR$1,$BR123,IF($A$11=$BS$1,$BS123,IF($A$11=$BT$1,$BT123,IF($A$11=$BU$1,$BU123,IF($A$11="",INDEX(Tiere!$BN$2:$BN$153,_xlfn.AGGREGATE(15,6,(ROW(Tiere!$BN$2:$BN$153)-1)/(--(SEARCH(AW$2,Tiere!$BN$2:$BN$153)&gt;0)),ROW()-2),1))))))))),"")</f>
        <v>Zwergrind - Jungvieh 1 bis 2 Jahr - Tiefstallmist</v>
      </c>
      <c r="AW124" s="1599"/>
      <c r="AX124" s="1624" t="str">
        <f>IFERROR(IF($A$12=$BO$1,$BO123,IF($A$12=$BP$1,$BP123,IF($A$12=$BQ$1,$BQ123,IF($A$12=$BR$1,$BR123,IF($A$12=$BS$1,$BS123,IF($A$12=$BT$1,$BT123,IF($A$12=$BU$1,$BU123,IF($A$12="",INDEX(Tiere!$BN$2:$BN$153,_xlfn.AGGREGATE(15,6,(ROW(Tiere!$BN$2:$BN$153)-1)/(--(SEARCH(AY$2,Tiere!$BN$2:$BN$153)&gt;0)),ROW()-2),1))))))))),"")</f>
        <v>Zwergrind - Jungvieh 1 bis 2 Jahr - Tiefstallmist</v>
      </c>
      <c r="AY124" s="1599"/>
      <c r="AZ124" s="1624" t="str">
        <f>IFERROR(IF($A$13=$BO$1,$BO123,IF($A$13=$BP$1,$BP123,IF($A$13=$BQ$1,$BQ123,IF($A$13=$BR$1,$BR123,IF($A$13=$BS$1,$BS123,IF($A$13=$BT$1,$BT123,IF($A$13=$BU$1,$BU123,IF($A$13="",INDEX(Tiere!$BN$2:$BN$153,_xlfn.AGGREGATE(15,6,(ROW(Tiere!$BN$2:$BN$153)-1)/(--(SEARCH(BA$2,Tiere!$BN$2:$BN$153)&gt;0)),ROW()-2),1))))))))),"")</f>
        <v>Zwergrind - Jungvieh 1 bis 2 Jahr - Tiefstallmist</v>
      </c>
      <c r="BA124" s="1599"/>
      <c r="BB124" s="1624" t="str">
        <f>IFERROR(IF($A$14=$BO$1,$BO123,IF($A$14=$BP$1,$BP123,IF($A$14=$BQ$1,$BQ123,IF($A$14=$BR$1,$BR123,IF($A$14=$BS$1,$BS123,IF($A$14=$BT$1,$BT123,IF($A$14=$BU$1,$BU123,IF($A$14="",INDEX(Tiere!$BN$2:$BN$153,_xlfn.AGGREGATE(15,6,(ROW(Tiere!$BN$2:$BN$153)-1)/(--(SEARCH(BC$2,Tiere!$BN$2:$BN$153)&gt;0)),ROW()-2),1))))))))),"")</f>
        <v>Zwergrind - Jungvieh 1 bis 2 Jahr - Tiefstallmist</v>
      </c>
      <c r="BC124" s="1599"/>
      <c r="BD124" s="1624" t="str">
        <f>IFERROR(IF($A$15=$BO$1,$BO123,IF($A$15=$BP$1,$BP123,IF($A$15=$BQ$1,$BQ123,IF($A$15=$BR$1,$BR123,IF($A$15=$BS$1,$BS123,IF($A$15=$BT$1,$BT123,IF($A$15=$BU$1,$BU123,IF($A$15="",INDEX(Tiere!$BN$2:$BN$153,_xlfn.AGGREGATE(15,6,(ROW(Tiere!$BN$2:$BN$153)-1)/(--(SEARCH(BE$2,Tiere!$BN$2:$BN$153)&gt;0)),ROW()-2),1))))))))),"")</f>
        <v>Zwergrind - Jungvieh 1 bis 2 Jahr - Tiefstallmist</v>
      </c>
      <c r="BE124" s="1599"/>
      <c r="BF124" s="1624" t="str">
        <f>IFERROR(IF($A$16=$BO$1,$BO123,IF($A$16=$BP$1,$BP123,IF($A$16=$BQ$1,$BQ123,IF($A$16=$BR$1,$BR123,IF($A$16=$BS$1,$BS123,IF($A$16=$BT$1,$BT123,IF($A$16=$BU$1,$BU123,IF($A$16="",INDEX(Tiere!$BN$2:$BN$153,_xlfn.AGGREGATE(15,6,(ROW(Tiere!$BN$2:$BN$153)-1)/(--(SEARCH(BG$2,Tiere!$BN$2:$BN$153)&gt;0)),ROW()-2),1))))))))),"")</f>
        <v>Zwergrind - Jungvieh 1 bis 2 Jahr - Tiefstallmist</v>
      </c>
      <c r="BG124" s="1599"/>
      <c r="BH124" s="1624" t="str">
        <f>IFERROR(IF($A$17=$BO$1,$BO123,IF($A$17=$BP$1,$BP123,IF($A$17=$BQ$1,$BQ123,IF($A$17=$BR$1,$BR123,IF($A$17=$BS$1,$BS123,IF($A$17=$BT$1,$BT123,IF($A$17=$BU$1,$BU123,IF($A$17="",INDEX(Tiere!$BN$2:$BN$153,_xlfn.AGGREGATE(15,6,(ROW(Tiere!$BN$2:$BN$153)-1)/(--(SEARCH(BI$2,Tiere!$BN$2:$BN$153)&gt;0)),ROW()-2),1))))))))),"")</f>
        <v>Zwergrind - Jungvieh 1 bis 2 Jahr - Tiefstallmist</v>
      </c>
      <c r="BI124" s="1599"/>
      <c r="BJ124" s="1624" t="str">
        <f>IFERROR(IF($A$18=$BO$1,$BO123,IF($A$18=$BP$1,$BP123,IF($A$18=$BQ$1,$BQ123,IF($A$18=$BR$1,$BR123,IF($A$18=$BS$1,$BS123,IF($A$18=$BT$1,$BT123,IF($A$18=$BU$1,$BU123,IF($A$18="",INDEX(Tiere!$BN$2:$BN$153,_xlfn.AGGREGATE(15,6,(ROW(Tiere!$BN$2:$BN$153)-1)/(--(SEARCH(BK$2,Tiere!$BN$2:$BN$153)&gt;0)),ROW()-2),1))))))))),"")</f>
        <v>Zwergrind - Jungvieh 1 bis 2 Jahr - Tiefstallmist</v>
      </c>
      <c r="BK124" s="1599"/>
      <c r="BL124" s="1624" t="str">
        <f>IFERROR(IF($A$19=$BO$1,$BO123,IF($A$19=$BP$1,$BP123,IF($A$19=$BQ$1,$BQ123,IF($A$19=$BR$1,$BR123,IF($A$19=$BS$1,$BS123,IF($A$19=$BT$1,$BT123,IF($A$19=$BU$1,$BU123,IF($A$19="",INDEX(Tiere!$BN$2:$BN$153,_xlfn.AGGREGATE(15,6,(ROW(Tiere!$BN$2:$BN$153)-1)/(--(SEARCH(BM$2,Tiere!$BN$2:$BN$153)&gt;0)),ROW()-2),1))))))))),"")</f>
        <v>Zwergrind - Jungvieh 1 bis 2 Jahr - Tiefstallmist</v>
      </c>
      <c r="BM124" s="1599"/>
      <c r="BN124" s="1630" t="s">
        <v>807</v>
      </c>
      <c r="BO124" s="1599"/>
      <c r="BP124" s="1599"/>
      <c r="BQ124" s="1599"/>
      <c r="BR124" s="1599"/>
      <c r="BS124" s="1599"/>
      <c r="BT124" s="1599"/>
      <c r="BU124" s="1599"/>
      <c r="CD124" s="1911" t="s">
        <v>807</v>
      </c>
    </row>
    <row r="125" spans="36:82" ht="13.5" thickBot="1">
      <c r="AJ125" s="1624" t="str">
        <f>IFERROR(IF($A$5=$BO$1,$BO124,IF($A$5=$BP$1,$BP124,IF($A$5=$BQ$1,$BQ124,IF($A$5=$BR$1,$BR124,IF($A$5=$BS$1,$BS124,IF($A$5=$BT$1,$BT124,IF($A$5=$BU$1,$BU124,IF($A$5="",INDEX(Tiere!$BN$2:$BN$153,_xlfn.AGGREGATE(15,6,(ROW(Tiere!$BN$2:$BN$153)-1)/(--(SEARCH(AK$2,Tiere!$BN$2:$BN$153)&gt;0)),ROW()-2),1))))))))),"")</f>
        <v>Zwergrind - Ochsen, Stiere - Gülle</v>
      </c>
      <c r="AK125" s="1601"/>
      <c r="AL125" s="1624" t="str">
        <f>IFERROR(IF($A$6=$BO$1,$BO124,IF($A$6=$BP$1,$BP124,IF($A$6=$BQ$1,$BQ124,IF($A$6=$BR$1,$BR124,IF($A$6=$BS$1,$BS124,IF($A$6=$BT$1,$BT124,IF($A$6=$BU$1,$BU124,IF($A$6="",INDEX(Tiere!$BN$2:$BN$153,_xlfn.AGGREGATE(15,6,(ROW(Tiere!$BN$2:$BN$153)-1)/(--(SEARCH(AM$2,Tiere!$BN$2:$BN$153)&gt;0)),ROW()-2),1))))))))),"")</f>
        <v>Zwergrind - Ochsen, Stiere - Gülle</v>
      </c>
      <c r="AM125" s="1601"/>
      <c r="AN125" s="1624" t="str">
        <f>IFERROR(IF($A$7=$BO$1,$BO124,IF($A$7=$BP$1,$BP124,IF($A$7=$BQ$1,$BQ124,IF($A$7=$BR$1,$BR124,IF($A$7=$BS$1,$BS124,IF($A$7=$BT$1,$BT124,IF($A$7=$BU$1,$BU124,IF($A$7="",INDEX(Tiere!$BN$2:$BN$153,_xlfn.AGGREGATE(15,6,(ROW(Tiere!$BN$2:$BN$153)-1)/(--(SEARCH(AM$2,Tiere!$BN$2:$BN$153)&gt;0)),ROW()-2),1))))))))),"")</f>
        <v>Zwergrind - Ochsen, Stiere - Gülle</v>
      </c>
      <c r="AO125" s="1601"/>
      <c r="AP125" s="1624" t="str">
        <f>IFERROR(IF($A$8=$BO$1,$BO124,IF($A$8=$BP$1,$BP124,IF($A$8=$BQ$1,$BQ124,IF($A$8=$BR$1,$BR124,IF($A$8=$BS$1,$BS124,IF($A$8=$BT$1,$BT124,IF($A$8=$BU$1,$BU124,IF($A$8="",INDEX(Tiere!$BN$2:$BN$153,_xlfn.AGGREGATE(15,6,(ROW(Tiere!$BN$2:$BN$153)-1)/(--(SEARCH(AQ$2,Tiere!$BN$2:$BN$153)&gt;0)),ROW()-2),1))))))))),"")</f>
        <v>Zwergrind - Ochsen, Stiere - Gülle</v>
      </c>
      <c r="AQ125" s="1601"/>
      <c r="AR125" s="1624" t="str">
        <f>IFERROR(IF($A$9=$BO$1,$BO124,IF($A$9=$BP$1,$BP124,IF($A$9=$BQ$1,$BQ124,IF($A$9=$BR$1,$BR124,IF($A$9=$BS$1,$BS124,IF($A$9=$BT$1,$BT124,IF($A$9=$BU$1,$BU124,IF($A$9="",INDEX(Tiere!$BN$2:$BN$153,_xlfn.AGGREGATE(15,6,(ROW(Tiere!$BN$2:$BN$153)-1)/(--(SEARCH(AS$2,Tiere!$BN$2:$BN$153)&gt;0)),ROW()-2),1))))))))),"")</f>
        <v>Zwergrind - Ochsen, Stiere - Gülle</v>
      </c>
      <c r="AS125" s="1601"/>
      <c r="AT125" s="1624" t="str">
        <f>IFERROR(IF($A$10=$BO$1,$BO124,IF($A$10=$BP$1,$BP124,IF($A$10=$BQ$1,$BQ124,IF($A$10=$BR$1,$BR124,IF($A$10=$BS$1,$BS124,IF($A$10=$BT$1,$BT124,IF($A$10=$BU$1,$BU124,IF($A$10="",INDEX(Tiere!$BN$2:$BN$153,_xlfn.AGGREGATE(15,6,(ROW(Tiere!$BN$2:$BN$153)-1)/(--(SEARCH(AU$2,Tiere!$BN$2:$BN$153)&gt;0)),ROW()-2),1))))))))),"")</f>
        <v>Zwergrind - Ochsen, Stiere - Gülle</v>
      </c>
      <c r="AU125" s="1601"/>
      <c r="AV125" s="1624" t="str">
        <f>IFERROR(IF($A$11=$BO$1,$BO124,IF($A$11=$BP$1,$BP124,IF($A$11=$BQ$1,$BQ124,IF($A$11=$BR$1,$BR124,IF($A$11=$BS$1,$BS124,IF($A$11=$BT$1,$BT124,IF($A$11=$BU$1,$BU124,IF($A$11="",INDEX(Tiere!$BN$2:$BN$153,_xlfn.AGGREGATE(15,6,(ROW(Tiere!$BN$2:$BN$153)-1)/(--(SEARCH(AW$2,Tiere!$BN$2:$BN$153)&gt;0)),ROW()-2),1))))))))),"")</f>
        <v>Zwergrind - Ochsen, Stiere - Gülle</v>
      </c>
      <c r="AW125" s="1601"/>
      <c r="AX125" s="1624" t="str">
        <f>IFERROR(IF($A$12=$BO$1,$BO124,IF($A$12=$BP$1,$BP124,IF($A$12=$BQ$1,$BQ124,IF($A$12=$BR$1,$BR124,IF($A$12=$BS$1,$BS124,IF($A$12=$BT$1,$BT124,IF($A$12=$BU$1,$BU124,IF($A$12="",INDEX(Tiere!$BN$2:$BN$153,_xlfn.AGGREGATE(15,6,(ROW(Tiere!$BN$2:$BN$153)-1)/(--(SEARCH(AY$2,Tiere!$BN$2:$BN$153)&gt;0)),ROW()-2),1))))))))),"")</f>
        <v>Zwergrind - Ochsen, Stiere - Gülle</v>
      </c>
      <c r="AY125" s="1601"/>
      <c r="AZ125" s="1624" t="str">
        <f>IFERROR(IF($A$13=$BO$1,$BO124,IF($A$13=$BP$1,$BP124,IF($A$13=$BQ$1,$BQ124,IF($A$13=$BR$1,$BR124,IF($A$13=$BS$1,$BS124,IF($A$13=$BT$1,$BT124,IF($A$13=$BU$1,$BU124,IF($A$13="",INDEX(Tiere!$BN$2:$BN$153,_xlfn.AGGREGATE(15,6,(ROW(Tiere!$BN$2:$BN$153)-1)/(--(SEARCH(BA$2,Tiere!$BN$2:$BN$153)&gt;0)),ROW()-2),1))))))))),"")</f>
        <v>Zwergrind - Ochsen, Stiere - Gülle</v>
      </c>
      <c r="BA125" s="1601"/>
      <c r="BB125" s="1624" t="str">
        <f>IFERROR(IF($A$14=$BO$1,$BO124,IF($A$14=$BP$1,$BP124,IF($A$14=$BQ$1,$BQ124,IF($A$14=$BR$1,$BR124,IF($A$14=$BS$1,$BS124,IF($A$14=$BT$1,$BT124,IF($A$14=$BU$1,$BU124,IF($A$14="",INDEX(Tiere!$BN$2:$BN$153,_xlfn.AGGREGATE(15,6,(ROW(Tiere!$BN$2:$BN$153)-1)/(--(SEARCH(BC$2,Tiere!$BN$2:$BN$153)&gt;0)),ROW()-2),1))))))))),"")</f>
        <v>Zwergrind - Ochsen, Stiere - Gülle</v>
      </c>
      <c r="BC125" s="1601"/>
      <c r="BD125" s="1624" t="str">
        <f>IFERROR(IF($A$15=$BO$1,$BO124,IF($A$15=$BP$1,$BP124,IF($A$15=$BQ$1,$BQ124,IF($A$15=$BR$1,$BR124,IF($A$15=$BS$1,$BS124,IF($A$15=$BT$1,$BT124,IF($A$15=$BU$1,$BU124,IF($A$15="",INDEX(Tiere!$BN$2:$BN$153,_xlfn.AGGREGATE(15,6,(ROW(Tiere!$BN$2:$BN$153)-1)/(--(SEARCH(BE$2,Tiere!$BN$2:$BN$153)&gt;0)),ROW()-2),1))))))))),"")</f>
        <v>Zwergrind - Ochsen, Stiere - Gülle</v>
      </c>
      <c r="BE125" s="1601"/>
      <c r="BF125" s="1624" t="str">
        <f>IFERROR(IF($A$16=$BO$1,$BO124,IF($A$16=$BP$1,$BP124,IF($A$16=$BQ$1,$BQ124,IF($A$16=$BR$1,$BR124,IF($A$16=$BS$1,$BS124,IF($A$16=$BT$1,$BT124,IF($A$16=$BU$1,$BU124,IF($A$16="",INDEX(Tiere!$BN$2:$BN$153,_xlfn.AGGREGATE(15,6,(ROW(Tiere!$BN$2:$BN$153)-1)/(--(SEARCH(BG$2,Tiere!$BN$2:$BN$153)&gt;0)),ROW()-2),1))))))))),"")</f>
        <v>Zwergrind - Ochsen, Stiere - Gülle</v>
      </c>
      <c r="BG125" s="1601"/>
      <c r="BH125" s="1624" t="str">
        <f>IFERROR(IF($A$17=$BO$1,$BO124,IF($A$17=$BP$1,$BP124,IF($A$17=$BQ$1,$BQ124,IF($A$17=$BR$1,$BR124,IF($A$17=$BS$1,$BS124,IF($A$17=$BT$1,$BT124,IF($A$17=$BU$1,$BU124,IF($A$17="",INDEX(Tiere!$BN$2:$BN$153,_xlfn.AGGREGATE(15,6,(ROW(Tiere!$BN$2:$BN$153)-1)/(--(SEARCH(BI$2,Tiere!$BN$2:$BN$153)&gt;0)),ROW()-2),1))))))))),"")</f>
        <v>Zwergrind - Ochsen, Stiere - Gülle</v>
      </c>
      <c r="BI125" s="1601"/>
      <c r="BJ125" s="1624" t="str">
        <f>IFERROR(IF($A$18=$BO$1,$BO124,IF($A$18=$BP$1,$BP124,IF($A$18=$BQ$1,$BQ124,IF($A$18=$BR$1,$BR124,IF($A$18=$BS$1,$BS124,IF($A$18=$BT$1,$BT124,IF($A$18=$BU$1,$BU124,IF($A$18="",INDEX(Tiere!$BN$2:$BN$153,_xlfn.AGGREGATE(15,6,(ROW(Tiere!$BN$2:$BN$153)-1)/(--(SEARCH(BK$2,Tiere!$BN$2:$BN$153)&gt;0)),ROW()-2),1))))))))),"")</f>
        <v>Zwergrind - Ochsen, Stiere - Gülle</v>
      </c>
      <c r="BK125" s="1601"/>
      <c r="BL125" s="1624" t="str">
        <f>IFERROR(IF($A$19=$BO$1,$BO124,IF($A$19=$BP$1,$BP124,IF($A$19=$BQ$1,$BQ124,IF($A$19=$BR$1,$BR124,IF($A$19=$BS$1,$BS124,IF($A$19=$BT$1,$BT124,IF($A$19=$BU$1,$BU124,IF($A$19="",INDEX(Tiere!$BN$2:$BN$153,_xlfn.AGGREGATE(15,6,(ROW(Tiere!$BN$2:$BN$153)-1)/(--(SEARCH(BM$2,Tiere!$BN$2:$BN$153)&gt;0)),ROW()-2),1))))))))),"")</f>
        <v>Zwergrind - Ochsen, Stiere - Gülle</v>
      </c>
      <c r="BM125" s="1601"/>
      <c r="BN125" s="1630" t="s">
        <v>808</v>
      </c>
      <c r="BO125" s="1599"/>
      <c r="BP125" s="1599"/>
      <c r="BQ125" s="1599"/>
      <c r="BR125" s="1599"/>
      <c r="BS125" s="1599"/>
      <c r="BT125" s="1599"/>
      <c r="BU125" s="1599"/>
      <c r="CD125" s="1911" t="s">
        <v>808</v>
      </c>
    </row>
    <row r="126" spans="36:82" ht="13.5" thickBot="1">
      <c r="AJ126" s="1624" t="str">
        <f>IFERROR(IF($A$5=$BO$1,$BO125,IF($A$5=$BP$1,$BP125,IF($A$5=$BQ$1,$BQ125,IF($A$5=$BR$1,$BR125,IF($A$5=$BS$1,$BS125,IF($A$5=$BT$1,$BT125,IF($A$5=$BU$1,$BU125,IF($A$5="",INDEX(Tiere!$BN$2:$BN$153,_xlfn.AGGREGATE(15,6,(ROW(Tiere!$BN$2:$BN$153)-1)/(--(SEARCH(AK$2,Tiere!$BN$2:$BN$153)&gt;0)),ROW()-2),1))))))))),"")</f>
        <v>Zwergrind - Ochsen, Stiere - Mist/Jauche</v>
      </c>
      <c r="AK126" s="1599"/>
      <c r="AL126" s="1624" t="str">
        <f>IFERROR(IF($A$6=$BO$1,$BO125,IF($A$6=$BP$1,$BP125,IF($A$6=$BQ$1,$BQ125,IF($A$6=$BR$1,$BR125,IF($A$6=$BS$1,$BS125,IF($A$6=$BT$1,$BT125,IF($A$6=$BU$1,$BU125,IF($A$6="",INDEX(Tiere!$BN$2:$BN$153,_xlfn.AGGREGATE(15,6,(ROW(Tiere!$BN$2:$BN$153)-1)/(--(SEARCH(AM$2,Tiere!$BN$2:$BN$153)&gt;0)),ROW()-2),1))))))))),"")</f>
        <v>Zwergrind - Ochsen, Stiere - Mist/Jauche</v>
      </c>
      <c r="AM126" s="1599"/>
      <c r="AN126" s="1624" t="str">
        <f>IFERROR(IF($A$7=$BO$1,$BO125,IF($A$7=$BP$1,$BP125,IF($A$7=$BQ$1,$BQ125,IF($A$7=$BR$1,$BR125,IF($A$7=$BS$1,$BS125,IF($A$7=$BT$1,$BT125,IF($A$7=$BU$1,$BU125,IF($A$7="",INDEX(Tiere!$BN$2:$BN$153,_xlfn.AGGREGATE(15,6,(ROW(Tiere!$BN$2:$BN$153)-1)/(--(SEARCH(AM$2,Tiere!$BN$2:$BN$153)&gt;0)),ROW()-2),1))))))))),"")</f>
        <v>Zwergrind - Ochsen, Stiere - Mist/Jauche</v>
      </c>
      <c r="AO126" s="1599"/>
      <c r="AP126" s="1624" t="str">
        <f>IFERROR(IF($A$8=$BO$1,$BO125,IF($A$8=$BP$1,$BP125,IF($A$8=$BQ$1,$BQ125,IF($A$8=$BR$1,$BR125,IF($A$8=$BS$1,$BS125,IF($A$8=$BT$1,$BT125,IF($A$8=$BU$1,$BU125,IF($A$8="",INDEX(Tiere!$BN$2:$BN$153,_xlfn.AGGREGATE(15,6,(ROW(Tiere!$BN$2:$BN$153)-1)/(--(SEARCH(AQ$2,Tiere!$BN$2:$BN$153)&gt;0)),ROW()-2),1))))))))),"")</f>
        <v>Zwergrind - Ochsen, Stiere - Mist/Jauche</v>
      </c>
      <c r="AQ126" s="1599"/>
      <c r="AR126" s="1624" t="str">
        <f>IFERROR(IF($A$9=$BO$1,$BO125,IF($A$9=$BP$1,$BP125,IF($A$9=$BQ$1,$BQ125,IF($A$9=$BR$1,$BR125,IF($A$9=$BS$1,$BS125,IF($A$9=$BT$1,$BT125,IF($A$9=$BU$1,$BU125,IF($A$9="",INDEX(Tiere!$BN$2:$BN$153,_xlfn.AGGREGATE(15,6,(ROW(Tiere!$BN$2:$BN$153)-1)/(--(SEARCH(AS$2,Tiere!$BN$2:$BN$153)&gt;0)),ROW()-2),1))))))))),"")</f>
        <v>Zwergrind - Ochsen, Stiere - Mist/Jauche</v>
      </c>
      <c r="AS126" s="1599"/>
      <c r="AT126" s="1624" t="str">
        <f>IFERROR(IF($A$10=$BO$1,$BO125,IF($A$10=$BP$1,$BP125,IF($A$10=$BQ$1,$BQ125,IF($A$10=$BR$1,$BR125,IF($A$10=$BS$1,$BS125,IF($A$10=$BT$1,$BT125,IF($A$10=$BU$1,$BU125,IF($A$10="",INDEX(Tiere!$BN$2:$BN$153,_xlfn.AGGREGATE(15,6,(ROW(Tiere!$BN$2:$BN$153)-1)/(--(SEARCH(AU$2,Tiere!$BN$2:$BN$153)&gt;0)),ROW()-2),1))))))))),"")</f>
        <v>Zwergrind - Ochsen, Stiere - Mist/Jauche</v>
      </c>
      <c r="AU126" s="1599"/>
      <c r="AV126" s="1624" t="str">
        <f>IFERROR(IF($A$11=$BO$1,$BO125,IF($A$11=$BP$1,$BP125,IF($A$11=$BQ$1,$BQ125,IF($A$11=$BR$1,$BR125,IF($A$11=$BS$1,$BS125,IF($A$11=$BT$1,$BT125,IF($A$11=$BU$1,$BU125,IF($A$11="",INDEX(Tiere!$BN$2:$BN$153,_xlfn.AGGREGATE(15,6,(ROW(Tiere!$BN$2:$BN$153)-1)/(--(SEARCH(AW$2,Tiere!$BN$2:$BN$153)&gt;0)),ROW()-2),1))))))))),"")</f>
        <v>Zwergrind - Ochsen, Stiere - Mist/Jauche</v>
      </c>
      <c r="AW126" s="1599"/>
      <c r="AX126" s="1624" t="str">
        <f>IFERROR(IF($A$12=$BO$1,$BO125,IF($A$12=$BP$1,$BP125,IF($A$12=$BQ$1,$BQ125,IF($A$12=$BR$1,$BR125,IF($A$12=$BS$1,$BS125,IF($A$12=$BT$1,$BT125,IF($A$12=$BU$1,$BU125,IF($A$12="",INDEX(Tiere!$BN$2:$BN$153,_xlfn.AGGREGATE(15,6,(ROW(Tiere!$BN$2:$BN$153)-1)/(--(SEARCH(AY$2,Tiere!$BN$2:$BN$153)&gt;0)),ROW()-2),1))))))))),"")</f>
        <v>Zwergrind - Ochsen, Stiere - Mist/Jauche</v>
      </c>
      <c r="AY126" s="1599"/>
      <c r="AZ126" s="1624" t="str">
        <f>IFERROR(IF($A$13=$BO$1,$BO125,IF($A$13=$BP$1,$BP125,IF($A$13=$BQ$1,$BQ125,IF($A$13=$BR$1,$BR125,IF($A$13=$BS$1,$BS125,IF($A$13=$BT$1,$BT125,IF($A$13=$BU$1,$BU125,IF($A$13="",INDEX(Tiere!$BN$2:$BN$153,_xlfn.AGGREGATE(15,6,(ROW(Tiere!$BN$2:$BN$153)-1)/(--(SEARCH(BA$2,Tiere!$BN$2:$BN$153)&gt;0)),ROW()-2),1))))))))),"")</f>
        <v>Zwergrind - Ochsen, Stiere - Mist/Jauche</v>
      </c>
      <c r="BA126" s="1599"/>
      <c r="BB126" s="1624" t="str">
        <f>IFERROR(IF($A$14=$BO$1,$BO125,IF($A$14=$BP$1,$BP125,IF($A$14=$BQ$1,$BQ125,IF($A$14=$BR$1,$BR125,IF($A$14=$BS$1,$BS125,IF($A$14=$BT$1,$BT125,IF($A$14=$BU$1,$BU125,IF($A$14="",INDEX(Tiere!$BN$2:$BN$153,_xlfn.AGGREGATE(15,6,(ROW(Tiere!$BN$2:$BN$153)-1)/(--(SEARCH(BC$2,Tiere!$BN$2:$BN$153)&gt;0)),ROW()-2),1))))))))),"")</f>
        <v>Zwergrind - Ochsen, Stiere - Mist/Jauche</v>
      </c>
      <c r="BC126" s="1599"/>
      <c r="BD126" s="1624" t="str">
        <f>IFERROR(IF($A$15=$BO$1,$BO125,IF($A$15=$BP$1,$BP125,IF($A$15=$BQ$1,$BQ125,IF($A$15=$BR$1,$BR125,IF($A$15=$BS$1,$BS125,IF($A$15=$BT$1,$BT125,IF($A$15=$BU$1,$BU125,IF($A$15="",INDEX(Tiere!$BN$2:$BN$153,_xlfn.AGGREGATE(15,6,(ROW(Tiere!$BN$2:$BN$153)-1)/(--(SEARCH(BE$2,Tiere!$BN$2:$BN$153)&gt;0)),ROW()-2),1))))))))),"")</f>
        <v>Zwergrind - Ochsen, Stiere - Mist/Jauche</v>
      </c>
      <c r="BE126" s="1599"/>
      <c r="BF126" s="1624" t="str">
        <f>IFERROR(IF($A$16=$BO$1,$BO125,IF($A$16=$BP$1,$BP125,IF($A$16=$BQ$1,$BQ125,IF($A$16=$BR$1,$BR125,IF($A$16=$BS$1,$BS125,IF($A$16=$BT$1,$BT125,IF($A$16=$BU$1,$BU125,IF($A$16="",INDEX(Tiere!$BN$2:$BN$153,_xlfn.AGGREGATE(15,6,(ROW(Tiere!$BN$2:$BN$153)-1)/(--(SEARCH(BG$2,Tiere!$BN$2:$BN$153)&gt;0)),ROW()-2),1))))))))),"")</f>
        <v>Zwergrind - Ochsen, Stiere - Mist/Jauche</v>
      </c>
      <c r="BG126" s="1599"/>
      <c r="BH126" s="1624" t="str">
        <f>IFERROR(IF($A$17=$BO$1,$BO125,IF($A$17=$BP$1,$BP125,IF($A$17=$BQ$1,$BQ125,IF($A$17=$BR$1,$BR125,IF($A$17=$BS$1,$BS125,IF($A$17=$BT$1,$BT125,IF($A$17=$BU$1,$BU125,IF($A$17="",INDEX(Tiere!$BN$2:$BN$153,_xlfn.AGGREGATE(15,6,(ROW(Tiere!$BN$2:$BN$153)-1)/(--(SEARCH(BI$2,Tiere!$BN$2:$BN$153)&gt;0)),ROW()-2),1))))))))),"")</f>
        <v>Zwergrind - Ochsen, Stiere - Mist/Jauche</v>
      </c>
      <c r="BI126" s="1599"/>
      <c r="BJ126" s="1624" t="str">
        <f>IFERROR(IF($A$18=$BO$1,$BO125,IF($A$18=$BP$1,$BP125,IF($A$18=$BQ$1,$BQ125,IF($A$18=$BR$1,$BR125,IF($A$18=$BS$1,$BS125,IF($A$18=$BT$1,$BT125,IF($A$18=$BU$1,$BU125,IF($A$18="",INDEX(Tiere!$BN$2:$BN$153,_xlfn.AGGREGATE(15,6,(ROW(Tiere!$BN$2:$BN$153)-1)/(--(SEARCH(BK$2,Tiere!$BN$2:$BN$153)&gt;0)),ROW()-2),1))))))))),"")</f>
        <v>Zwergrind - Ochsen, Stiere - Mist/Jauche</v>
      </c>
      <c r="BK126" s="1599"/>
      <c r="BL126" s="1624" t="str">
        <f>IFERROR(IF($A$19=$BO$1,$BO125,IF($A$19=$BP$1,$BP125,IF($A$19=$BQ$1,$BQ125,IF($A$19=$BR$1,$BR125,IF($A$19=$BS$1,$BS125,IF($A$19=$BT$1,$BT125,IF($A$19=$BU$1,$BU125,IF($A$19="",INDEX(Tiere!$BN$2:$BN$153,_xlfn.AGGREGATE(15,6,(ROW(Tiere!$BN$2:$BN$153)-1)/(--(SEARCH(BM$2,Tiere!$BN$2:$BN$153)&gt;0)),ROW()-2),1))))))))),"")</f>
        <v>Zwergrind - Ochsen, Stiere - Mist/Jauche</v>
      </c>
      <c r="BM126" s="1599"/>
      <c r="BN126" s="1630" t="s">
        <v>809</v>
      </c>
      <c r="BO126" s="1599"/>
      <c r="BP126" s="1599"/>
      <c r="BQ126" s="1599"/>
      <c r="BR126" s="1599"/>
      <c r="BS126" s="1599"/>
      <c r="BT126" s="1599"/>
      <c r="BU126" s="1599"/>
      <c r="CD126" s="1911" t="s">
        <v>809</v>
      </c>
    </row>
    <row r="127" spans="36:82" ht="13.5" thickBot="1">
      <c r="AJ127" s="1624" t="str">
        <f>IFERROR(IF($A$5=$BO$1,$BO126,IF($A$5=$BP$1,$BP126,IF($A$5=$BQ$1,$BQ126,IF($A$5=$BR$1,$BR126,IF($A$5=$BS$1,$BS126,IF($A$5=$BT$1,$BT126,IF($A$5=$BU$1,$BU126,IF($A$5="",INDEX(Tiere!$BN$2:$BN$153,_xlfn.AGGREGATE(15,6,(ROW(Tiere!$BN$2:$BN$153)-1)/(--(SEARCH(AK$2,Tiere!$BN$2:$BN$153)&gt;0)),ROW()-2),1))))))))),"")</f>
        <v>Zwergrind - Ochsen, Stiere - Tiefstallmist</v>
      </c>
      <c r="AK127" s="1601"/>
      <c r="AL127" s="1624" t="str">
        <f>IFERROR(IF($A$6=$BO$1,$BO126,IF($A$6=$BP$1,$BP126,IF($A$6=$BQ$1,$BQ126,IF($A$6=$BR$1,$BR126,IF($A$6=$BS$1,$BS126,IF($A$6=$BT$1,$BT126,IF($A$6=$BU$1,$BU126,IF($A$6="",INDEX(Tiere!$BN$2:$BN$153,_xlfn.AGGREGATE(15,6,(ROW(Tiere!$BN$2:$BN$153)-1)/(--(SEARCH(AM$2,Tiere!$BN$2:$BN$153)&gt;0)),ROW()-2),1))))))))),"")</f>
        <v>Zwergrind - Ochsen, Stiere - Tiefstallmist</v>
      </c>
      <c r="AM127" s="1601"/>
      <c r="AN127" s="1624" t="str">
        <f>IFERROR(IF($A$7=$BO$1,$BO126,IF($A$7=$BP$1,$BP126,IF($A$7=$BQ$1,$BQ126,IF($A$7=$BR$1,$BR126,IF($A$7=$BS$1,$BS126,IF($A$7=$BT$1,$BT126,IF($A$7=$BU$1,$BU126,IF($A$7="",INDEX(Tiere!$BN$2:$BN$153,_xlfn.AGGREGATE(15,6,(ROW(Tiere!$BN$2:$BN$153)-1)/(--(SEARCH(AM$2,Tiere!$BN$2:$BN$153)&gt;0)),ROW()-2),1))))))))),"")</f>
        <v>Zwergrind - Ochsen, Stiere - Tiefstallmist</v>
      </c>
      <c r="AO127" s="1601"/>
      <c r="AP127" s="1624" t="str">
        <f>IFERROR(IF($A$8=$BO$1,$BO126,IF($A$8=$BP$1,$BP126,IF($A$8=$BQ$1,$BQ126,IF($A$8=$BR$1,$BR126,IF($A$8=$BS$1,$BS126,IF($A$8=$BT$1,$BT126,IF($A$8=$BU$1,$BU126,IF($A$8="",INDEX(Tiere!$BN$2:$BN$153,_xlfn.AGGREGATE(15,6,(ROW(Tiere!$BN$2:$BN$153)-1)/(--(SEARCH(AQ$2,Tiere!$BN$2:$BN$153)&gt;0)),ROW()-2),1))))))))),"")</f>
        <v>Zwergrind - Ochsen, Stiere - Tiefstallmist</v>
      </c>
      <c r="AQ127" s="1601"/>
      <c r="AR127" s="1624" t="str">
        <f>IFERROR(IF($A$9=$BO$1,$BO126,IF($A$9=$BP$1,$BP126,IF($A$9=$BQ$1,$BQ126,IF($A$9=$BR$1,$BR126,IF($A$9=$BS$1,$BS126,IF($A$9=$BT$1,$BT126,IF($A$9=$BU$1,$BU126,IF($A$9="",INDEX(Tiere!$BN$2:$BN$153,_xlfn.AGGREGATE(15,6,(ROW(Tiere!$BN$2:$BN$153)-1)/(--(SEARCH(AS$2,Tiere!$BN$2:$BN$153)&gt;0)),ROW()-2),1))))))))),"")</f>
        <v>Zwergrind - Ochsen, Stiere - Tiefstallmist</v>
      </c>
      <c r="AS127" s="1601"/>
      <c r="AT127" s="1624" t="str">
        <f>IFERROR(IF($A$10=$BO$1,$BO126,IF($A$10=$BP$1,$BP126,IF($A$10=$BQ$1,$BQ126,IF($A$10=$BR$1,$BR126,IF($A$10=$BS$1,$BS126,IF($A$10=$BT$1,$BT126,IF($A$10=$BU$1,$BU126,IF($A$10="",INDEX(Tiere!$BN$2:$BN$153,_xlfn.AGGREGATE(15,6,(ROW(Tiere!$BN$2:$BN$153)-1)/(--(SEARCH(AU$2,Tiere!$BN$2:$BN$153)&gt;0)),ROW()-2),1))))))))),"")</f>
        <v>Zwergrind - Ochsen, Stiere - Tiefstallmist</v>
      </c>
      <c r="AU127" s="1601"/>
      <c r="AV127" s="1624" t="str">
        <f>IFERROR(IF($A$11=$BO$1,$BO126,IF($A$11=$BP$1,$BP126,IF($A$11=$BQ$1,$BQ126,IF($A$11=$BR$1,$BR126,IF($A$11=$BS$1,$BS126,IF($A$11=$BT$1,$BT126,IF($A$11=$BU$1,$BU126,IF($A$11="",INDEX(Tiere!$BN$2:$BN$153,_xlfn.AGGREGATE(15,6,(ROW(Tiere!$BN$2:$BN$153)-1)/(--(SEARCH(AW$2,Tiere!$BN$2:$BN$153)&gt;0)),ROW()-2),1))))))))),"")</f>
        <v>Zwergrind - Ochsen, Stiere - Tiefstallmist</v>
      </c>
      <c r="AW127" s="1601"/>
      <c r="AX127" s="1624" t="str">
        <f>IFERROR(IF($A$12=$BO$1,$BO126,IF($A$12=$BP$1,$BP126,IF($A$12=$BQ$1,$BQ126,IF($A$12=$BR$1,$BR126,IF($A$12=$BS$1,$BS126,IF($A$12=$BT$1,$BT126,IF($A$12=$BU$1,$BU126,IF($A$12="",INDEX(Tiere!$BN$2:$BN$153,_xlfn.AGGREGATE(15,6,(ROW(Tiere!$BN$2:$BN$153)-1)/(--(SEARCH(AY$2,Tiere!$BN$2:$BN$153)&gt;0)),ROW()-2),1))))))))),"")</f>
        <v>Zwergrind - Ochsen, Stiere - Tiefstallmist</v>
      </c>
      <c r="AY127" s="1601"/>
      <c r="AZ127" s="1624" t="str">
        <f>IFERROR(IF($A$13=$BO$1,$BO126,IF($A$13=$BP$1,$BP126,IF($A$13=$BQ$1,$BQ126,IF($A$13=$BR$1,$BR126,IF($A$13=$BS$1,$BS126,IF($A$13=$BT$1,$BT126,IF($A$13=$BU$1,$BU126,IF($A$13="",INDEX(Tiere!$BN$2:$BN$153,_xlfn.AGGREGATE(15,6,(ROW(Tiere!$BN$2:$BN$153)-1)/(--(SEARCH(BA$2,Tiere!$BN$2:$BN$153)&gt;0)),ROW()-2),1))))))))),"")</f>
        <v>Zwergrind - Ochsen, Stiere - Tiefstallmist</v>
      </c>
      <c r="BA127" s="1601"/>
      <c r="BB127" s="1624" t="str">
        <f>IFERROR(IF($A$14=$BO$1,$BO126,IF($A$14=$BP$1,$BP126,IF($A$14=$BQ$1,$BQ126,IF($A$14=$BR$1,$BR126,IF($A$14=$BS$1,$BS126,IF($A$14=$BT$1,$BT126,IF($A$14=$BU$1,$BU126,IF($A$14="",INDEX(Tiere!$BN$2:$BN$153,_xlfn.AGGREGATE(15,6,(ROW(Tiere!$BN$2:$BN$153)-1)/(--(SEARCH(BC$2,Tiere!$BN$2:$BN$153)&gt;0)),ROW()-2),1))))))))),"")</f>
        <v>Zwergrind - Ochsen, Stiere - Tiefstallmist</v>
      </c>
      <c r="BC127" s="1601"/>
      <c r="BD127" s="1624" t="str">
        <f>IFERROR(IF($A$15=$BO$1,$BO126,IF($A$15=$BP$1,$BP126,IF($A$15=$BQ$1,$BQ126,IF($A$15=$BR$1,$BR126,IF($A$15=$BS$1,$BS126,IF($A$15=$BT$1,$BT126,IF($A$15=$BU$1,$BU126,IF($A$15="",INDEX(Tiere!$BN$2:$BN$153,_xlfn.AGGREGATE(15,6,(ROW(Tiere!$BN$2:$BN$153)-1)/(--(SEARCH(BE$2,Tiere!$BN$2:$BN$153)&gt;0)),ROW()-2),1))))))))),"")</f>
        <v>Zwergrind - Ochsen, Stiere - Tiefstallmist</v>
      </c>
      <c r="BE127" s="1601"/>
      <c r="BF127" s="1624" t="str">
        <f>IFERROR(IF($A$16=$BO$1,$BO126,IF($A$16=$BP$1,$BP126,IF($A$16=$BQ$1,$BQ126,IF($A$16=$BR$1,$BR126,IF($A$16=$BS$1,$BS126,IF($A$16=$BT$1,$BT126,IF($A$16=$BU$1,$BU126,IF($A$16="",INDEX(Tiere!$BN$2:$BN$153,_xlfn.AGGREGATE(15,6,(ROW(Tiere!$BN$2:$BN$153)-1)/(--(SEARCH(BG$2,Tiere!$BN$2:$BN$153)&gt;0)),ROW()-2),1))))))))),"")</f>
        <v>Zwergrind - Ochsen, Stiere - Tiefstallmist</v>
      </c>
      <c r="BG127" s="1601"/>
      <c r="BH127" s="1624" t="str">
        <f>IFERROR(IF($A$17=$BO$1,$BO126,IF($A$17=$BP$1,$BP126,IF($A$17=$BQ$1,$BQ126,IF($A$17=$BR$1,$BR126,IF($A$17=$BS$1,$BS126,IF($A$17=$BT$1,$BT126,IF($A$17=$BU$1,$BU126,IF($A$17="",INDEX(Tiere!$BN$2:$BN$153,_xlfn.AGGREGATE(15,6,(ROW(Tiere!$BN$2:$BN$153)-1)/(--(SEARCH(BI$2,Tiere!$BN$2:$BN$153)&gt;0)),ROW()-2),1))))))))),"")</f>
        <v>Zwergrind - Ochsen, Stiere - Tiefstallmist</v>
      </c>
      <c r="BI127" s="1601"/>
      <c r="BJ127" s="1624" t="str">
        <f>IFERROR(IF($A$18=$BO$1,$BO126,IF($A$18=$BP$1,$BP126,IF($A$18=$BQ$1,$BQ126,IF($A$18=$BR$1,$BR126,IF($A$18=$BS$1,$BS126,IF($A$18=$BT$1,$BT126,IF($A$18=$BU$1,$BU126,IF($A$18="",INDEX(Tiere!$BN$2:$BN$153,_xlfn.AGGREGATE(15,6,(ROW(Tiere!$BN$2:$BN$153)-1)/(--(SEARCH(BK$2,Tiere!$BN$2:$BN$153)&gt;0)),ROW()-2),1))))))))),"")</f>
        <v>Zwergrind - Ochsen, Stiere - Tiefstallmist</v>
      </c>
      <c r="BK127" s="1601"/>
      <c r="BL127" s="1624" t="str">
        <f>IFERROR(IF($A$19=$BO$1,$BO126,IF($A$19=$BP$1,$BP126,IF($A$19=$BQ$1,$BQ126,IF($A$19=$BR$1,$BR126,IF($A$19=$BS$1,$BS126,IF($A$19=$BT$1,$BT126,IF($A$19=$BU$1,$BU126,IF($A$19="",INDEX(Tiere!$BN$2:$BN$153,_xlfn.AGGREGATE(15,6,(ROW(Tiere!$BN$2:$BN$153)-1)/(--(SEARCH(BM$2,Tiere!$BN$2:$BN$153)&gt;0)),ROW()-2),1))))))))),"")</f>
        <v>Zwergrind - Ochsen, Stiere - Tiefstallmist</v>
      </c>
      <c r="BM127" s="1601"/>
      <c r="BN127" s="1630" t="s">
        <v>810</v>
      </c>
      <c r="BO127" s="1599"/>
      <c r="BP127" s="1599"/>
      <c r="BQ127" s="1599"/>
      <c r="BR127" s="1599"/>
      <c r="BS127" s="1599"/>
      <c r="BT127" s="1599"/>
      <c r="BU127" s="1599"/>
      <c r="CD127" s="1911" t="s">
        <v>810</v>
      </c>
    </row>
    <row r="128" spans="36:82" ht="13.5" thickBot="1">
      <c r="AJ128" s="1624" t="str">
        <f>IFERROR(IF($A$5=$BO$1,$BO127,IF($A$5=$BP$1,$BP127,IF($A$5=$BQ$1,$BQ127,IF($A$5=$BR$1,$BR127,IF($A$5=$BS$1,$BS127,IF($A$5=$BT$1,$BT127,IF($A$5=$BU$1,$BU127,IF($A$5="",INDEX(Tiere!$BN$2:$BN$153,_xlfn.AGGREGATE(15,6,(ROW(Tiere!$BN$2:$BN$153)-1)/(--(SEARCH(AK$2,Tiere!$BN$2:$BN$153)&gt;0)),ROW()-2),1))))))))),"")</f>
        <v>Zwergrind - Kalbinnen - Gülle</v>
      </c>
      <c r="AK128" s="1599"/>
      <c r="AL128" s="1624" t="str">
        <f>IFERROR(IF($A$6=$BO$1,$BO127,IF($A$6=$BP$1,$BP127,IF($A$6=$BQ$1,$BQ127,IF($A$6=$BR$1,$BR127,IF($A$6=$BS$1,$BS127,IF($A$6=$BT$1,$BT127,IF($A$6=$BU$1,$BU127,IF($A$6="",INDEX(Tiere!$BN$2:$BN$153,_xlfn.AGGREGATE(15,6,(ROW(Tiere!$BN$2:$BN$153)-1)/(--(SEARCH(AM$2,Tiere!$BN$2:$BN$153)&gt;0)),ROW()-2),1))))))))),"")</f>
        <v>Zwergrind - Kalbinnen - Gülle</v>
      </c>
      <c r="AM128" s="1599"/>
      <c r="AN128" s="1624" t="str">
        <f>IFERROR(IF($A$7=$BO$1,$BO127,IF($A$7=$BP$1,$BP127,IF($A$7=$BQ$1,$BQ127,IF($A$7=$BR$1,$BR127,IF($A$7=$BS$1,$BS127,IF($A$7=$BT$1,$BT127,IF($A$7=$BU$1,$BU127,IF($A$7="",INDEX(Tiere!$BN$2:$BN$153,_xlfn.AGGREGATE(15,6,(ROW(Tiere!$BN$2:$BN$153)-1)/(--(SEARCH(AM$2,Tiere!$BN$2:$BN$153)&gt;0)),ROW()-2),1))))))))),"")</f>
        <v>Zwergrind - Kalbinnen - Gülle</v>
      </c>
      <c r="AO128" s="1599"/>
      <c r="AP128" s="1624" t="str">
        <f>IFERROR(IF($A$8=$BO$1,$BO127,IF($A$8=$BP$1,$BP127,IF($A$8=$BQ$1,$BQ127,IF($A$8=$BR$1,$BR127,IF($A$8=$BS$1,$BS127,IF($A$8=$BT$1,$BT127,IF($A$8=$BU$1,$BU127,IF($A$8="",INDEX(Tiere!$BN$2:$BN$153,_xlfn.AGGREGATE(15,6,(ROW(Tiere!$BN$2:$BN$153)-1)/(--(SEARCH(AQ$2,Tiere!$BN$2:$BN$153)&gt;0)),ROW()-2),1))))))))),"")</f>
        <v>Zwergrind - Kalbinnen - Gülle</v>
      </c>
      <c r="AQ128" s="1599"/>
      <c r="AR128" s="1624" t="str">
        <f>IFERROR(IF($A$9=$BO$1,$BO127,IF($A$9=$BP$1,$BP127,IF($A$9=$BQ$1,$BQ127,IF($A$9=$BR$1,$BR127,IF($A$9=$BS$1,$BS127,IF($A$9=$BT$1,$BT127,IF($A$9=$BU$1,$BU127,IF($A$9="",INDEX(Tiere!$BN$2:$BN$153,_xlfn.AGGREGATE(15,6,(ROW(Tiere!$BN$2:$BN$153)-1)/(--(SEARCH(AS$2,Tiere!$BN$2:$BN$153)&gt;0)),ROW()-2),1))))))))),"")</f>
        <v>Zwergrind - Kalbinnen - Gülle</v>
      </c>
      <c r="AS128" s="1599"/>
      <c r="AT128" s="1624" t="str">
        <f>IFERROR(IF($A$10=$BO$1,$BO127,IF($A$10=$BP$1,$BP127,IF($A$10=$BQ$1,$BQ127,IF($A$10=$BR$1,$BR127,IF($A$10=$BS$1,$BS127,IF($A$10=$BT$1,$BT127,IF($A$10=$BU$1,$BU127,IF($A$10="",INDEX(Tiere!$BN$2:$BN$153,_xlfn.AGGREGATE(15,6,(ROW(Tiere!$BN$2:$BN$153)-1)/(--(SEARCH(AU$2,Tiere!$BN$2:$BN$153)&gt;0)),ROW()-2),1))))))))),"")</f>
        <v>Zwergrind - Kalbinnen - Gülle</v>
      </c>
      <c r="AU128" s="1599"/>
      <c r="AV128" s="1624" t="str">
        <f>IFERROR(IF($A$11=$BO$1,$BO127,IF($A$11=$BP$1,$BP127,IF($A$11=$BQ$1,$BQ127,IF($A$11=$BR$1,$BR127,IF($A$11=$BS$1,$BS127,IF($A$11=$BT$1,$BT127,IF($A$11=$BU$1,$BU127,IF($A$11="",INDEX(Tiere!$BN$2:$BN$153,_xlfn.AGGREGATE(15,6,(ROW(Tiere!$BN$2:$BN$153)-1)/(--(SEARCH(AW$2,Tiere!$BN$2:$BN$153)&gt;0)),ROW()-2),1))))))))),"")</f>
        <v>Zwergrind - Kalbinnen - Gülle</v>
      </c>
      <c r="AW128" s="1599"/>
      <c r="AX128" s="1624" t="str">
        <f>IFERROR(IF($A$12=$BO$1,$BO127,IF($A$12=$BP$1,$BP127,IF($A$12=$BQ$1,$BQ127,IF($A$12=$BR$1,$BR127,IF($A$12=$BS$1,$BS127,IF($A$12=$BT$1,$BT127,IF($A$12=$BU$1,$BU127,IF($A$12="",INDEX(Tiere!$BN$2:$BN$153,_xlfn.AGGREGATE(15,6,(ROW(Tiere!$BN$2:$BN$153)-1)/(--(SEARCH(AY$2,Tiere!$BN$2:$BN$153)&gt;0)),ROW()-2),1))))))))),"")</f>
        <v>Zwergrind - Kalbinnen - Gülle</v>
      </c>
      <c r="AY128" s="1599"/>
      <c r="AZ128" s="1624" t="str">
        <f>IFERROR(IF($A$13=$BO$1,$BO127,IF($A$13=$BP$1,$BP127,IF($A$13=$BQ$1,$BQ127,IF($A$13=$BR$1,$BR127,IF($A$13=$BS$1,$BS127,IF($A$13=$BT$1,$BT127,IF($A$13=$BU$1,$BU127,IF($A$13="",INDEX(Tiere!$BN$2:$BN$153,_xlfn.AGGREGATE(15,6,(ROW(Tiere!$BN$2:$BN$153)-1)/(--(SEARCH(BA$2,Tiere!$BN$2:$BN$153)&gt;0)),ROW()-2),1))))))))),"")</f>
        <v>Zwergrind - Kalbinnen - Gülle</v>
      </c>
      <c r="BA128" s="1599"/>
      <c r="BB128" s="1624" t="str">
        <f>IFERROR(IF($A$14=$BO$1,$BO127,IF($A$14=$BP$1,$BP127,IF($A$14=$BQ$1,$BQ127,IF($A$14=$BR$1,$BR127,IF($A$14=$BS$1,$BS127,IF($A$14=$BT$1,$BT127,IF($A$14=$BU$1,$BU127,IF($A$14="",INDEX(Tiere!$BN$2:$BN$153,_xlfn.AGGREGATE(15,6,(ROW(Tiere!$BN$2:$BN$153)-1)/(--(SEARCH(BC$2,Tiere!$BN$2:$BN$153)&gt;0)),ROW()-2),1))))))))),"")</f>
        <v>Zwergrind - Kalbinnen - Gülle</v>
      </c>
      <c r="BC128" s="1599"/>
      <c r="BD128" s="1624" t="str">
        <f>IFERROR(IF($A$15=$BO$1,$BO127,IF($A$15=$BP$1,$BP127,IF($A$15=$BQ$1,$BQ127,IF($A$15=$BR$1,$BR127,IF($A$15=$BS$1,$BS127,IF($A$15=$BT$1,$BT127,IF($A$15=$BU$1,$BU127,IF($A$15="",INDEX(Tiere!$BN$2:$BN$153,_xlfn.AGGREGATE(15,6,(ROW(Tiere!$BN$2:$BN$153)-1)/(--(SEARCH(BE$2,Tiere!$BN$2:$BN$153)&gt;0)),ROW()-2),1))))))))),"")</f>
        <v>Zwergrind - Kalbinnen - Gülle</v>
      </c>
      <c r="BE128" s="1599"/>
      <c r="BF128" s="1624" t="str">
        <f>IFERROR(IF($A$16=$BO$1,$BO127,IF($A$16=$BP$1,$BP127,IF($A$16=$BQ$1,$BQ127,IF($A$16=$BR$1,$BR127,IF($A$16=$BS$1,$BS127,IF($A$16=$BT$1,$BT127,IF($A$16=$BU$1,$BU127,IF($A$16="",INDEX(Tiere!$BN$2:$BN$153,_xlfn.AGGREGATE(15,6,(ROW(Tiere!$BN$2:$BN$153)-1)/(--(SEARCH(BG$2,Tiere!$BN$2:$BN$153)&gt;0)),ROW()-2),1))))))))),"")</f>
        <v>Zwergrind - Kalbinnen - Gülle</v>
      </c>
      <c r="BG128" s="1599"/>
      <c r="BH128" s="1624" t="str">
        <f>IFERROR(IF($A$17=$BO$1,$BO127,IF($A$17=$BP$1,$BP127,IF($A$17=$BQ$1,$BQ127,IF($A$17=$BR$1,$BR127,IF($A$17=$BS$1,$BS127,IF($A$17=$BT$1,$BT127,IF($A$17=$BU$1,$BU127,IF($A$17="",INDEX(Tiere!$BN$2:$BN$153,_xlfn.AGGREGATE(15,6,(ROW(Tiere!$BN$2:$BN$153)-1)/(--(SEARCH(BI$2,Tiere!$BN$2:$BN$153)&gt;0)),ROW()-2),1))))))))),"")</f>
        <v>Zwergrind - Kalbinnen - Gülle</v>
      </c>
      <c r="BI128" s="1599"/>
      <c r="BJ128" s="1624" t="str">
        <f>IFERROR(IF($A$18=$BO$1,$BO127,IF($A$18=$BP$1,$BP127,IF($A$18=$BQ$1,$BQ127,IF($A$18=$BR$1,$BR127,IF($A$18=$BS$1,$BS127,IF($A$18=$BT$1,$BT127,IF($A$18=$BU$1,$BU127,IF($A$18="",INDEX(Tiere!$BN$2:$BN$153,_xlfn.AGGREGATE(15,6,(ROW(Tiere!$BN$2:$BN$153)-1)/(--(SEARCH(BK$2,Tiere!$BN$2:$BN$153)&gt;0)),ROW()-2),1))))))))),"")</f>
        <v>Zwergrind - Kalbinnen - Gülle</v>
      </c>
      <c r="BK128" s="1599"/>
      <c r="BL128" s="1624" t="str">
        <f>IFERROR(IF($A$19=$BO$1,$BO127,IF($A$19=$BP$1,$BP127,IF($A$19=$BQ$1,$BQ127,IF($A$19=$BR$1,$BR127,IF($A$19=$BS$1,$BS127,IF($A$19=$BT$1,$BT127,IF($A$19=$BU$1,$BU127,IF($A$19="",INDEX(Tiere!$BN$2:$BN$153,_xlfn.AGGREGATE(15,6,(ROW(Tiere!$BN$2:$BN$153)-1)/(--(SEARCH(BM$2,Tiere!$BN$2:$BN$153)&gt;0)),ROW()-2),1))))))))),"")</f>
        <v>Zwergrind - Kalbinnen - Gülle</v>
      </c>
      <c r="BM128" s="1599"/>
      <c r="BN128" s="1630" t="s">
        <v>811</v>
      </c>
      <c r="BO128" s="1599"/>
      <c r="BP128" s="1599"/>
      <c r="BQ128" s="1599"/>
      <c r="BR128" s="1599"/>
      <c r="BS128" s="1599"/>
      <c r="BT128" s="1599"/>
      <c r="BU128" s="1599"/>
      <c r="CD128" s="1911" t="s">
        <v>811</v>
      </c>
    </row>
    <row r="129" spans="36:82" ht="13.5" thickBot="1">
      <c r="AJ129" s="1624" t="str">
        <f>IFERROR(IF($A$5=$BO$1,$BO128,IF($A$5=$BP$1,$BP128,IF($A$5=$BQ$1,$BQ128,IF($A$5=$BR$1,$BR128,IF($A$5=$BS$1,$BS128,IF($A$5=$BT$1,$BT128,IF($A$5=$BU$1,$BU128,IF($A$5="",INDEX(Tiere!$BN$2:$BN$153,_xlfn.AGGREGATE(15,6,(ROW(Tiere!$BN$2:$BN$153)-1)/(--(SEARCH(AK$2,Tiere!$BN$2:$BN$153)&gt;0)),ROW()-2),1))))))))),"")</f>
        <v>Zwergrind - Kalbinnen - Mist/Jauche</v>
      </c>
      <c r="AK129" s="1601"/>
      <c r="AL129" s="1624" t="str">
        <f>IFERROR(IF($A$6=$BO$1,$BO128,IF($A$6=$BP$1,$BP128,IF($A$6=$BQ$1,$BQ128,IF($A$6=$BR$1,$BR128,IF($A$6=$BS$1,$BS128,IF($A$6=$BT$1,$BT128,IF($A$6=$BU$1,$BU128,IF($A$6="",INDEX(Tiere!$BN$2:$BN$153,_xlfn.AGGREGATE(15,6,(ROW(Tiere!$BN$2:$BN$153)-1)/(--(SEARCH(AM$2,Tiere!$BN$2:$BN$153)&gt;0)),ROW()-2),1))))))))),"")</f>
        <v>Zwergrind - Kalbinnen - Mist/Jauche</v>
      </c>
      <c r="AM129" s="1601"/>
      <c r="AN129" s="1624" t="str">
        <f>IFERROR(IF($A$7=$BO$1,$BO128,IF($A$7=$BP$1,$BP128,IF($A$7=$BQ$1,$BQ128,IF($A$7=$BR$1,$BR128,IF($A$7=$BS$1,$BS128,IF($A$7=$BT$1,$BT128,IF($A$7=$BU$1,$BU128,IF($A$7="",INDEX(Tiere!$BN$2:$BN$153,_xlfn.AGGREGATE(15,6,(ROW(Tiere!$BN$2:$BN$153)-1)/(--(SEARCH(AM$2,Tiere!$BN$2:$BN$153)&gt;0)),ROW()-2),1))))))))),"")</f>
        <v>Zwergrind - Kalbinnen - Mist/Jauche</v>
      </c>
      <c r="AO129" s="1601"/>
      <c r="AP129" s="1624" t="str">
        <f>IFERROR(IF($A$8=$BO$1,$BO128,IF($A$8=$BP$1,$BP128,IF($A$8=$BQ$1,$BQ128,IF($A$8=$BR$1,$BR128,IF($A$8=$BS$1,$BS128,IF($A$8=$BT$1,$BT128,IF($A$8=$BU$1,$BU128,IF($A$8="",INDEX(Tiere!$BN$2:$BN$153,_xlfn.AGGREGATE(15,6,(ROW(Tiere!$BN$2:$BN$153)-1)/(--(SEARCH(AQ$2,Tiere!$BN$2:$BN$153)&gt;0)),ROW()-2),1))))))))),"")</f>
        <v>Zwergrind - Kalbinnen - Mist/Jauche</v>
      </c>
      <c r="AQ129" s="1601"/>
      <c r="AR129" s="1624" t="str">
        <f>IFERROR(IF($A$9=$BO$1,$BO128,IF($A$9=$BP$1,$BP128,IF($A$9=$BQ$1,$BQ128,IF($A$9=$BR$1,$BR128,IF($A$9=$BS$1,$BS128,IF($A$9=$BT$1,$BT128,IF($A$9=$BU$1,$BU128,IF($A$9="",INDEX(Tiere!$BN$2:$BN$153,_xlfn.AGGREGATE(15,6,(ROW(Tiere!$BN$2:$BN$153)-1)/(--(SEARCH(AS$2,Tiere!$BN$2:$BN$153)&gt;0)),ROW()-2),1))))))))),"")</f>
        <v>Zwergrind - Kalbinnen - Mist/Jauche</v>
      </c>
      <c r="AS129" s="1601"/>
      <c r="AT129" s="1624" t="str">
        <f>IFERROR(IF($A$10=$BO$1,$BO128,IF($A$10=$BP$1,$BP128,IF($A$10=$BQ$1,$BQ128,IF($A$10=$BR$1,$BR128,IF($A$10=$BS$1,$BS128,IF($A$10=$BT$1,$BT128,IF($A$10=$BU$1,$BU128,IF($A$10="",INDEX(Tiere!$BN$2:$BN$153,_xlfn.AGGREGATE(15,6,(ROW(Tiere!$BN$2:$BN$153)-1)/(--(SEARCH(AU$2,Tiere!$BN$2:$BN$153)&gt;0)),ROW()-2),1))))))))),"")</f>
        <v>Zwergrind - Kalbinnen - Mist/Jauche</v>
      </c>
      <c r="AU129" s="1601"/>
      <c r="AV129" s="1624" t="str">
        <f>IFERROR(IF($A$11=$BO$1,$BO128,IF($A$11=$BP$1,$BP128,IF($A$11=$BQ$1,$BQ128,IF($A$11=$BR$1,$BR128,IF($A$11=$BS$1,$BS128,IF($A$11=$BT$1,$BT128,IF($A$11=$BU$1,$BU128,IF($A$11="",INDEX(Tiere!$BN$2:$BN$153,_xlfn.AGGREGATE(15,6,(ROW(Tiere!$BN$2:$BN$153)-1)/(--(SEARCH(AW$2,Tiere!$BN$2:$BN$153)&gt;0)),ROW()-2),1))))))))),"")</f>
        <v>Zwergrind - Kalbinnen - Mist/Jauche</v>
      </c>
      <c r="AW129" s="1601"/>
      <c r="AX129" s="1624" t="str">
        <f>IFERROR(IF($A$12=$BO$1,$BO128,IF($A$12=$BP$1,$BP128,IF($A$12=$BQ$1,$BQ128,IF($A$12=$BR$1,$BR128,IF($A$12=$BS$1,$BS128,IF($A$12=$BT$1,$BT128,IF($A$12=$BU$1,$BU128,IF($A$12="",INDEX(Tiere!$BN$2:$BN$153,_xlfn.AGGREGATE(15,6,(ROW(Tiere!$BN$2:$BN$153)-1)/(--(SEARCH(AY$2,Tiere!$BN$2:$BN$153)&gt;0)),ROW()-2),1))))))))),"")</f>
        <v>Zwergrind - Kalbinnen - Mist/Jauche</v>
      </c>
      <c r="AY129" s="1601"/>
      <c r="AZ129" s="1624" t="str">
        <f>IFERROR(IF($A$13=$BO$1,$BO128,IF($A$13=$BP$1,$BP128,IF($A$13=$BQ$1,$BQ128,IF($A$13=$BR$1,$BR128,IF($A$13=$BS$1,$BS128,IF($A$13=$BT$1,$BT128,IF($A$13=$BU$1,$BU128,IF($A$13="",INDEX(Tiere!$BN$2:$BN$153,_xlfn.AGGREGATE(15,6,(ROW(Tiere!$BN$2:$BN$153)-1)/(--(SEARCH(BA$2,Tiere!$BN$2:$BN$153)&gt;0)),ROW()-2),1))))))))),"")</f>
        <v>Zwergrind - Kalbinnen - Mist/Jauche</v>
      </c>
      <c r="BA129" s="1601"/>
      <c r="BB129" s="1624" t="str">
        <f>IFERROR(IF($A$14=$BO$1,$BO128,IF($A$14=$BP$1,$BP128,IF($A$14=$BQ$1,$BQ128,IF($A$14=$BR$1,$BR128,IF($A$14=$BS$1,$BS128,IF($A$14=$BT$1,$BT128,IF($A$14=$BU$1,$BU128,IF($A$14="",INDEX(Tiere!$BN$2:$BN$153,_xlfn.AGGREGATE(15,6,(ROW(Tiere!$BN$2:$BN$153)-1)/(--(SEARCH(BC$2,Tiere!$BN$2:$BN$153)&gt;0)),ROW()-2),1))))))))),"")</f>
        <v>Zwergrind - Kalbinnen - Mist/Jauche</v>
      </c>
      <c r="BC129" s="1601"/>
      <c r="BD129" s="1624" t="str">
        <f>IFERROR(IF($A$15=$BO$1,$BO128,IF($A$15=$BP$1,$BP128,IF($A$15=$BQ$1,$BQ128,IF($A$15=$BR$1,$BR128,IF($A$15=$BS$1,$BS128,IF($A$15=$BT$1,$BT128,IF($A$15=$BU$1,$BU128,IF($A$15="",INDEX(Tiere!$BN$2:$BN$153,_xlfn.AGGREGATE(15,6,(ROW(Tiere!$BN$2:$BN$153)-1)/(--(SEARCH(BE$2,Tiere!$BN$2:$BN$153)&gt;0)),ROW()-2),1))))))))),"")</f>
        <v>Zwergrind - Kalbinnen - Mist/Jauche</v>
      </c>
      <c r="BE129" s="1601"/>
      <c r="BF129" s="1624" t="str">
        <f>IFERROR(IF($A$16=$BO$1,$BO128,IF($A$16=$BP$1,$BP128,IF($A$16=$BQ$1,$BQ128,IF($A$16=$BR$1,$BR128,IF($A$16=$BS$1,$BS128,IF($A$16=$BT$1,$BT128,IF($A$16=$BU$1,$BU128,IF($A$16="",INDEX(Tiere!$BN$2:$BN$153,_xlfn.AGGREGATE(15,6,(ROW(Tiere!$BN$2:$BN$153)-1)/(--(SEARCH(BG$2,Tiere!$BN$2:$BN$153)&gt;0)),ROW()-2),1))))))))),"")</f>
        <v>Zwergrind - Kalbinnen - Mist/Jauche</v>
      </c>
      <c r="BG129" s="1601"/>
      <c r="BH129" s="1624" t="str">
        <f>IFERROR(IF($A$17=$BO$1,$BO128,IF($A$17=$BP$1,$BP128,IF($A$17=$BQ$1,$BQ128,IF($A$17=$BR$1,$BR128,IF($A$17=$BS$1,$BS128,IF($A$17=$BT$1,$BT128,IF($A$17=$BU$1,$BU128,IF($A$17="",INDEX(Tiere!$BN$2:$BN$153,_xlfn.AGGREGATE(15,6,(ROW(Tiere!$BN$2:$BN$153)-1)/(--(SEARCH(BI$2,Tiere!$BN$2:$BN$153)&gt;0)),ROW()-2),1))))))))),"")</f>
        <v>Zwergrind - Kalbinnen - Mist/Jauche</v>
      </c>
      <c r="BI129" s="1601"/>
      <c r="BJ129" s="1624" t="str">
        <f>IFERROR(IF($A$18=$BO$1,$BO128,IF($A$18=$BP$1,$BP128,IF($A$18=$BQ$1,$BQ128,IF($A$18=$BR$1,$BR128,IF($A$18=$BS$1,$BS128,IF($A$18=$BT$1,$BT128,IF($A$18=$BU$1,$BU128,IF($A$18="",INDEX(Tiere!$BN$2:$BN$153,_xlfn.AGGREGATE(15,6,(ROW(Tiere!$BN$2:$BN$153)-1)/(--(SEARCH(BK$2,Tiere!$BN$2:$BN$153)&gt;0)),ROW()-2),1))))))))),"")</f>
        <v>Zwergrind - Kalbinnen - Mist/Jauche</v>
      </c>
      <c r="BK129" s="1601"/>
      <c r="BL129" s="1624" t="str">
        <f>IFERROR(IF($A$19=$BO$1,$BO128,IF($A$19=$BP$1,$BP128,IF($A$19=$BQ$1,$BQ128,IF($A$19=$BR$1,$BR128,IF($A$19=$BS$1,$BS128,IF($A$19=$BT$1,$BT128,IF($A$19=$BU$1,$BU128,IF($A$19="",INDEX(Tiere!$BN$2:$BN$153,_xlfn.AGGREGATE(15,6,(ROW(Tiere!$BN$2:$BN$153)-1)/(--(SEARCH(BM$2,Tiere!$BN$2:$BN$153)&gt;0)),ROW()-2),1))))))))),"")</f>
        <v>Zwergrind - Kalbinnen - Mist/Jauche</v>
      </c>
      <c r="BM129" s="1601"/>
      <c r="BN129" s="1630" t="s">
        <v>812</v>
      </c>
      <c r="BO129" s="1599"/>
      <c r="BP129" s="1599"/>
      <c r="BQ129" s="1599"/>
      <c r="BR129" s="1599"/>
      <c r="BS129" s="1599"/>
      <c r="BT129" s="1599"/>
      <c r="BU129" s="1599"/>
      <c r="CD129" s="1911" t="s">
        <v>812</v>
      </c>
    </row>
    <row r="130" spans="36:82" ht="13.5" thickBot="1">
      <c r="AJ130" s="1624" t="str">
        <f>IFERROR(IF($A$5=$BO$1,$BO129,IF($A$5=$BP$1,$BP129,IF($A$5=$BQ$1,$BQ129,IF($A$5=$BR$1,$BR129,IF($A$5=$BS$1,$BS129,IF($A$5=$BT$1,$BT129,IF($A$5=$BU$1,$BU129,IF($A$5="",INDEX(Tiere!$BN$2:$BN$153,_xlfn.AGGREGATE(15,6,(ROW(Tiere!$BN$2:$BN$153)-1)/(--(SEARCH(AK$2,Tiere!$BN$2:$BN$153)&gt;0)),ROW()-2),1))))))))),"")</f>
        <v>Zwergrind - Kalbinnen - Tiefstallmist</v>
      </c>
      <c r="AK130" s="1599"/>
      <c r="AL130" s="1624" t="str">
        <f>IFERROR(IF($A$6=$BO$1,$BO129,IF($A$6=$BP$1,$BP129,IF($A$6=$BQ$1,$BQ129,IF($A$6=$BR$1,$BR129,IF($A$6=$BS$1,$BS129,IF($A$6=$BT$1,$BT129,IF($A$6=$BU$1,$BU129,IF($A$6="",INDEX(Tiere!$BN$2:$BN$153,_xlfn.AGGREGATE(15,6,(ROW(Tiere!$BN$2:$BN$153)-1)/(--(SEARCH(AM$2,Tiere!$BN$2:$BN$153)&gt;0)),ROW()-2),1))))))))),"")</f>
        <v>Zwergrind - Kalbinnen - Tiefstallmist</v>
      </c>
      <c r="AM130" s="1599"/>
      <c r="AN130" s="1624" t="str">
        <f>IFERROR(IF($A$7=$BO$1,$BO129,IF($A$7=$BP$1,$BP129,IF($A$7=$BQ$1,$BQ129,IF($A$7=$BR$1,$BR129,IF($A$7=$BS$1,$BS129,IF($A$7=$BT$1,$BT129,IF($A$7=$BU$1,$BU129,IF($A$7="",INDEX(Tiere!$BN$2:$BN$153,_xlfn.AGGREGATE(15,6,(ROW(Tiere!$BN$2:$BN$153)-1)/(--(SEARCH(AM$2,Tiere!$BN$2:$BN$153)&gt;0)),ROW()-2),1))))))))),"")</f>
        <v>Zwergrind - Kalbinnen - Tiefstallmist</v>
      </c>
      <c r="AO130" s="1599"/>
      <c r="AP130" s="1624" t="str">
        <f>IFERROR(IF($A$8=$BO$1,$BO129,IF($A$8=$BP$1,$BP129,IF($A$8=$BQ$1,$BQ129,IF($A$8=$BR$1,$BR129,IF($A$8=$BS$1,$BS129,IF($A$8=$BT$1,$BT129,IF($A$8=$BU$1,$BU129,IF($A$8="",INDEX(Tiere!$BN$2:$BN$153,_xlfn.AGGREGATE(15,6,(ROW(Tiere!$BN$2:$BN$153)-1)/(--(SEARCH(AQ$2,Tiere!$BN$2:$BN$153)&gt;0)),ROW()-2),1))))))))),"")</f>
        <v>Zwergrind - Kalbinnen - Tiefstallmist</v>
      </c>
      <c r="AQ130" s="1599"/>
      <c r="AR130" s="1624" t="str">
        <f>IFERROR(IF($A$9=$BO$1,$BO129,IF($A$9=$BP$1,$BP129,IF($A$9=$BQ$1,$BQ129,IF($A$9=$BR$1,$BR129,IF($A$9=$BS$1,$BS129,IF($A$9=$BT$1,$BT129,IF($A$9=$BU$1,$BU129,IF($A$9="",INDEX(Tiere!$BN$2:$BN$153,_xlfn.AGGREGATE(15,6,(ROW(Tiere!$BN$2:$BN$153)-1)/(--(SEARCH(AS$2,Tiere!$BN$2:$BN$153)&gt;0)),ROW()-2),1))))))))),"")</f>
        <v>Zwergrind - Kalbinnen - Tiefstallmist</v>
      </c>
      <c r="AS130" s="1599"/>
      <c r="AT130" s="1624" t="str">
        <f>IFERROR(IF($A$10=$BO$1,$BO129,IF($A$10=$BP$1,$BP129,IF($A$10=$BQ$1,$BQ129,IF($A$10=$BR$1,$BR129,IF($A$10=$BS$1,$BS129,IF($A$10=$BT$1,$BT129,IF($A$10=$BU$1,$BU129,IF($A$10="",INDEX(Tiere!$BN$2:$BN$153,_xlfn.AGGREGATE(15,6,(ROW(Tiere!$BN$2:$BN$153)-1)/(--(SEARCH(AU$2,Tiere!$BN$2:$BN$153)&gt;0)),ROW()-2),1))))))))),"")</f>
        <v>Zwergrind - Kalbinnen - Tiefstallmist</v>
      </c>
      <c r="AU130" s="1599"/>
      <c r="AV130" s="1624" t="str">
        <f>IFERROR(IF($A$11=$BO$1,$BO129,IF($A$11=$BP$1,$BP129,IF($A$11=$BQ$1,$BQ129,IF($A$11=$BR$1,$BR129,IF($A$11=$BS$1,$BS129,IF($A$11=$BT$1,$BT129,IF($A$11=$BU$1,$BU129,IF($A$11="",INDEX(Tiere!$BN$2:$BN$153,_xlfn.AGGREGATE(15,6,(ROW(Tiere!$BN$2:$BN$153)-1)/(--(SEARCH(AW$2,Tiere!$BN$2:$BN$153)&gt;0)),ROW()-2),1))))))))),"")</f>
        <v>Zwergrind - Kalbinnen - Tiefstallmist</v>
      </c>
      <c r="AW130" s="1599"/>
      <c r="AX130" s="1624" t="str">
        <f>IFERROR(IF($A$12=$BO$1,$BO129,IF($A$12=$BP$1,$BP129,IF($A$12=$BQ$1,$BQ129,IF($A$12=$BR$1,$BR129,IF($A$12=$BS$1,$BS129,IF($A$12=$BT$1,$BT129,IF($A$12=$BU$1,$BU129,IF($A$12="",INDEX(Tiere!$BN$2:$BN$153,_xlfn.AGGREGATE(15,6,(ROW(Tiere!$BN$2:$BN$153)-1)/(--(SEARCH(AY$2,Tiere!$BN$2:$BN$153)&gt;0)),ROW()-2),1))))))))),"")</f>
        <v>Zwergrind - Kalbinnen - Tiefstallmist</v>
      </c>
      <c r="AY130" s="1599"/>
      <c r="AZ130" s="1624" t="str">
        <f>IFERROR(IF($A$13=$BO$1,$BO129,IF($A$13=$BP$1,$BP129,IF($A$13=$BQ$1,$BQ129,IF($A$13=$BR$1,$BR129,IF($A$13=$BS$1,$BS129,IF($A$13=$BT$1,$BT129,IF($A$13=$BU$1,$BU129,IF($A$13="",INDEX(Tiere!$BN$2:$BN$153,_xlfn.AGGREGATE(15,6,(ROW(Tiere!$BN$2:$BN$153)-1)/(--(SEARCH(BA$2,Tiere!$BN$2:$BN$153)&gt;0)),ROW()-2),1))))))))),"")</f>
        <v>Zwergrind - Kalbinnen - Tiefstallmist</v>
      </c>
      <c r="BA130" s="1599"/>
      <c r="BB130" s="1624" t="str">
        <f>IFERROR(IF($A$14=$BO$1,$BO129,IF($A$14=$BP$1,$BP129,IF($A$14=$BQ$1,$BQ129,IF($A$14=$BR$1,$BR129,IF($A$14=$BS$1,$BS129,IF($A$14=$BT$1,$BT129,IF($A$14=$BU$1,$BU129,IF($A$14="",INDEX(Tiere!$BN$2:$BN$153,_xlfn.AGGREGATE(15,6,(ROW(Tiere!$BN$2:$BN$153)-1)/(--(SEARCH(BC$2,Tiere!$BN$2:$BN$153)&gt;0)),ROW()-2),1))))))))),"")</f>
        <v>Zwergrind - Kalbinnen - Tiefstallmist</v>
      </c>
      <c r="BC130" s="1599"/>
      <c r="BD130" s="1624" t="str">
        <f>IFERROR(IF($A$15=$BO$1,$BO129,IF($A$15=$BP$1,$BP129,IF($A$15=$BQ$1,$BQ129,IF($A$15=$BR$1,$BR129,IF($A$15=$BS$1,$BS129,IF($A$15=$BT$1,$BT129,IF($A$15=$BU$1,$BU129,IF($A$15="",INDEX(Tiere!$BN$2:$BN$153,_xlfn.AGGREGATE(15,6,(ROW(Tiere!$BN$2:$BN$153)-1)/(--(SEARCH(BE$2,Tiere!$BN$2:$BN$153)&gt;0)),ROW()-2),1))))))))),"")</f>
        <v>Zwergrind - Kalbinnen - Tiefstallmist</v>
      </c>
      <c r="BE130" s="1599"/>
      <c r="BF130" s="1624" t="str">
        <f>IFERROR(IF($A$16=$BO$1,$BO129,IF($A$16=$BP$1,$BP129,IF($A$16=$BQ$1,$BQ129,IF($A$16=$BR$1,$BR129,IF($A$16=$BS$1,$BS129,IF($A$16=$BT$1,$BT129,IF($A$16=$BU$1,$BU129,IF($A$16="",INDEX(Tiere!$BN$2:$BN$153,_xlfn.AGGREGATE(15,6,(ROW(Tiere!$BN$2:$BN$153)-1)/(--(SEARCH(BG$2,Tiere!$BN$2:$BN$153)&gt;0)),ROW()-2),1))))))))),"")</f>
        <v>Zwergrind - Kalbinnen - Tiefstallmist</v>
      </c>
      <c r="BG130" s="1599"/>
      <c r="BH130" s="1624" t="str">
        <f>IFERROR(IF($A$17=$BO$1,$BO129,IF($A$17=$BP$1,$BP129,IF($A$17=$BQ$1,$BQ129,IF($A$17=$BR$1,$BR129,IF($A$17=$BS$1,$BS129,IF($A$17=$BT$1,$BT129,IF($A$17=$BU$1,$BU129,IF($A$17="",INDEX(Tiere!$BN$2:$BN$153,_xlfn.AGGREGATE(15,6,(ROW(Tiere!$BN$2:$BN$153)-1)/(--(SEARCH(BI$2,Tiere!$BN$2:$BN$153)&gt;0)),ROW()-2),1))))))))),"")</f>
        <v>Zwergrind - Kalbinnen - Tiefstallmist</v>
      </c>
      <c r="BI130" s="1599"/>
      <c r="BJ130" s="1624" t="str">
        <f>IFERROR(IF($A$18=$BO$1,$BO129,IF($A$18=$BP$1,$BP129,IF($A$18=$BQ$1,$BQ129,IF($A$18=$BR$1,$BR129,IF($A$18=$BS$1,$BS129,IF($A$18=$BT$1,$BT129,IF($A$18=$BU$1,$BU129,IF($A$18="",INDEX(Tiere!$BN$2:$BN$153,_xlfn.AGGREGATE(15,6,(ROW(Tiere!$BN$2:$BN$153)-1)/(--(SEARCH(BK$2,Tiere!$BN$2:$BN$153)&gt;0)),ROW()-2),1))))))))),"")</f>
        <v>Zwergrind - Kalbinnen - Tiefstallmist</v>
      </c>
      <c r="BK130" s="1599"/>
      <c r="BL130" s="1624" t="str">
        <f>IFERROR(IF($A$19=$BO$1,$BO129,IF($A$19=$BP$1,$BP129,IF($A$19=$BQ$1,$BQ129,IF($A$19=$BR$1,$BR129,IF($A$19=$BS$1,$BS129,IF($A$19=$BT$1,$BT129,IF($A$19=$BU$1,$BU129,IF($A$19="",INDEX(Tiere!$BN$2:$BN$153,_xlfn.AGGREGATE(15,6,(ROW(Tiere!$BN$2:$BN$153)-1)/(--(SEARCH(BM$2,Tiere!$BN$2:$BN$153)&gt;0)),ROW()-2),1))))))))),"")</f>
        <v>Zwergrind - Kalbinnen - Tiefstallmist</v>
      </c>
      <c r="BM130" s="1599"/>
      <c r="BN130" s="1630" t="s">
        <v>813</v>
      </c>
      <c r="BO130" s="1599"/>
      <c r="BP130" s="1599"/>
      <c r="BQ130" s="1599"/>
      <c r="BR130" s="1599"/>
      <c r="BS130" s="1599"/>
      <c r="BT130" s="1599"/>
      <c r="BU130" s="1599"/>
      <c r="CD130" s="1911" t="s">
        <v>813</v>
      </c>
    </row>
    <row r="131" spans="36:82" ht="14.25" thickTop="1" thickBot="1">
      <c r="AJ131" s="1624" t="str">
        <f>IFERROR(IF($A$5=$BO$1,$BO130,IF($A$5=$BP$1,$BP130,IF($A$5=$BQ$1,$BQ130,IF($A$5=$BR$1,$BR130,IF($A$5=$BS$1,$BS130,IF($A$5=$BT$1,$BT130,IF($A$5=$BU$1,$BU130,IF($A$5="",INDEX(Tiere!$BN$2:$BN$153,_xlfn.AGGREGATE(15,6,(ROW(Tiere!$BN$2:$BN$153)-1)/(--(SEARCH(AK$2,Tiere!$BN$2:$BN$153)&gt;0)),ROW()-2),1))))))))),"")</f>
        <v>Zwergrind - Milch- bzw. Mutterkühe (3000 kg Milch)  - Gülle</v>
      </c>
      <c r="AK131" s="1601"/>
      <c r="AL131" s="1624" t="str">
        <f>IFERROR(IF($A$6=$BO$1,$BO130,IF($A$6=$BP$1,$BP130,IF($A$6=$BQ$1,$BQ130,IF($A$6=$BR$1,$BR130,IF($A$6=$BS$1,$BS130,IF($A$6=$BT$1,$BT130,IF($A$6=$BU$1,$BU130,IF($A$6="",INDEX(Tiere!$BN$2:$BN$153,_xlfn.AGGREGATE(15,6,(ROW(Tiere!$BN$2:$BN$153)-1)/(--(SEARCH(AM$2,Tiere!$BN$2:$BN$153)&gt;0)),ROW()-2),1))))))))),"")</f>
        <v>Zwergrind - Milch- bzw. Mutterkühe (3000 kg Milch)  - Gülle</v>
      </c>
      <c r="AM131" s="1601"/>
      <c r="AN131" s="1624" t="str">
        <f>IFERROR(IF($A$7=$BO$1,$BO130,IF($A$7=$BP$1,$BP130,IF($A$7=$BQ$1,$BQ130,IF($A$7=$BR$1,$BR130,IF($A$7=$BS$1,$BS130,IF($A$7=$BT$1,$BT130,IF($A$7=$BU$1,$BU130,IF($A$7="",INDEX(Tiere!$BN$2:$BN$153,_xlfn.AGGREGATE(15,6,(ROW(Tiere!$BN$2:$BN$153)-1)/(--(SEARCH(AM$2,Tiere!$BN$2:$BN$153)&gt;0)),ROW()-2),1))))))))),"")</f>
        <v>Zwergrind - Milch- bzw. Mutterkühe (3000 kg Milch)  - Gülle</v>
      </c>
      <c r="AO131" s="1601"/>
      <c r="AP131" s="1624" t="str">
        <f>IFERROR(IF($A$8=$BO$1,$BO130,IF($A$8=$BP$1,$BP130,IF($A$8=$BQ$1,$BQ130,IF($A$8=$BR$1,$BR130,IF($A$8=$BS$1,$BS130,IF($A$8=$BT$1,$BT130,IF($A$8=$BU$1,$BU130,IF($A$8="",INDEX(Tiere!$BN$2:$BN$153,_xlfn.AGGREGATE(15,6,(ROW(Tiere!$BN$2:$BN$153)-1)/(--(SEARCH(AQ$2,Tiere!$BN$2:$BN$153)&gt;0)),ROW()-2),1))))))))),"")</f>
        <v>Zwergrind - Milch- bzw. Mutterkühe (3000 kg Milch)  - Gülle</v>
      </c>
      <c r="AQ131" s="1601"/>
      <c r="AR131" s="1624" t="str">
        <f>IFERROR(IF($A$9=$BO$1,$BO130,IF($A$9=$BP$1,$BP130,IF($A$9=$BQ$1,$BQ130,IF($A$9=$BR$1,$BR130,IF($A$9=$BS$1,$BS130,IF($A$9=$BT$1,$BT130,IF($A$9=$BU$1,$BU130,IF($A$9="",INDEX(Tiere!$BN$2:$BN$153,_xlfn.AGGREGATE(15,6,(ROW(Tiere!$BN$2:$BN$153)-1)/(--(SEARCH(AS$2,Tiere!$BN$2:$BN$153)&gt;0)),ROW()-2),1))))))))),"")</f>
        <v>Zwergrind - Milch- bzw. Mutterkühe (3000 kg Milch)  - Gülle</v>
      </c>
      <c r="AS131" s="1601"/>
      <c r="AT131" s="1624" t="str">
        <f>IFERROR(IF($A$10=$BO$1,$BO130,IF($A$10=$BP$1,$BP130,IF($A$10=$BQ$1,$BQ130,IF($A$10=$BR$1,$BR130,IF($A$10=$BS$1,$BS130,IF($A$10=$BT$1,$BT130,IF($A$10=$BU$1,$BU130,IF($A$10="",INDEX(Tiere!$BN$2:$BN$153,_xlfn.AGGREGATE(15,6,(ROW(Tiere!$BN$2:$BN$153)-1)/(--(SEARCH(AU$2,Tiere!$BN$2:$BN$153)&gt;0)),ROW()-2),1))))))))),"")</f>
        <v>Zwergrind - Milch- bzw. Mutterkühe (3000 kg Milch)  - Gülle</v>
      </c>
      <c r="AU131" s="1601"/>
      <c r="AV131" s="1624" t="str">
        <f>IFERROR(IF($A$11=$BO$1,$BO130,IF($A$11=$BP$1,$BP130,IF($A$11=$BQ$1,$BQ130,IF($A$11=$BR$1,$BR130,IF($A$11=$BS$1,$BS130,IF($A$11=$BT$1,$BT130,IF($A$11=$BU$1,$BU130,IF($A$11="",INDEX(Tiere!$BN$2:$BN$153,_xlfn.AGGREGATE(15,6,(ROW(Tiere!$BN$2:$BN$153)-1)/(--(SEARCH(AW$2,Tiere!$BN$2:$BN$153)&gt;0)),ROW()-2),1))))))))),"")</f>
        <v>Zwergrind - Milch- bzw. Mutterkühe (3000 kg Milch)  - Gülle</v>
      </c>
      <c r="AW131" s="1601"/>
      <c r="AX131" s="1624" t="str">
        <f>IFERROR(IF($A$12=$BO$1,$BO130,IF($A$12=$BP$1,$BP130,IF($A$12=$BQ$1,$BQ130,IF($A$12=$BR$1,$BR130,IF($A$12=$BS$1,$BS130,IF($A$12=$BT$1,$BT130,IF($A$12=$BU$1,$BU130,IF($A$12="",INDEX(Tiere!$BN$2:$BN$153,_xlfn.AGGREGATE(15,6,(ROW(Tiere!$BN$2:$BN$153)-1)/(--(SEARCH(AY$2,Tiere!$BN$2:$BN$153)&gt;0)),ROW()-2),1))))))))),"")</f>
        <v>Zwergrind - Milch- bzw. Mutterkühe (3000 kg Milch)  - Gülle</v>
      </c>
      <c r="AY131" s="1601"/>
      <c r="AZ131" s="1624" t="str">
        <f>IFERROR(IF($A$13=$BO$1,$BO130,IF($A$13=$BP$1,$BP130,IF($A$13=$BQ$1,$BQ130,IF($A$13=$BR$1,$BR130,IF($A$13=$BS$1,$BS130,IF($A$13=$BT$1,$BT130,IF($A$13=$BU$1,$BU130,IF($A$13="",INDEX(Tiere!$BN$2:$BN$153,_xlfn.AGGREGATE(15,6,(ROW(Tiere!$BN$2:$BN$153)-1)/(--(SEARCH(BA$2,Tiere!$BN$2:$BN$153)&gt;0)),ROW()-2),1))))))))),"")</f>
        <v>Zwergrind - Milch- bzw. Mutterkühe (3000 kg Milch)  - Gülle</v>
      </c>
      <c r="BA131" s="1601"/>
      <c r="BB131" s="1624" t="str">
        <f>IFERROR(IF($A$14=$BO$1,$BO130,IF($A$14=$BP$1,$BP130,IF($A$14=$BQ$1,$BQ130,IF($A$14=$BR$1,$BR130,IF($A$14=$BS$1,$BS130,IF($A$14=$BT$1,$BT130,IF($A$14=$BU$1,$BU130,IF($A$14="",INDEX(Tiere!$BN$2:$BN$153,_xlfn.AGGREGATE(15,6,(ROW(Tiere!$BN$2:$BN$153)-1)/(--(SEARCH(BC$2,Tiere!$BN$2:$BN$153)&gt;0)),ROW()-2),1))))))))),"")</f>
        <v>Zwergrind - Milch- bzw. Mutterkühe (3000 kg Milch)  - Gülle</v>
      </c>
      <c r="BC131" s="1601"/>
      <c r="BD131" s="1624" t="str">
        <f>IFERROR(IF($A$15=$BO$1,$BO130,IF($A$15=$BP$1,$BP130,IF($A$15=$BQ$1,$BQ130,IF($A$15=$BR$1,$BR130,IF($A$15=$BS$1,$BS130,IF($A$15=$BT$1,$BT130,IF($A$15=$BU$1,$BU130,IF($A$15="",INDEX(Tiere!$BN$2:$BN$153,_xlfn.AGGREGATE(15,6,(ROW(Tiere!$BN$2:$BN$153)-1)/(--(SEARCH(BE$2,Tiere!$BN$2:$BN$153)&gt;0)),ROW()-2),1))))))))),"")</f>
        <v>Zwergrind - Milch- bzw. Mutterkühe (3000 kg Milch)  - Gülle</v>
      </c>
      <c r="BE131" s="1601"/>
      <c r="BF131" s="1624" t="str">
        <f>IFERROR(IF($A$16=$BO$1,$BO130,IF($A$16=$BP$1,$BP130,IF($A$16=$BQ$1,$BQ130,IF($A$16=$BR$1,$BR130,IF($A$16=$BS$1,$BS130,IF($A$16=$BT$1,$BT130,IF($A$16=$BU$1,$BU130,IF($A$16="",INDEX(Tiere!$BN$2:$BN$153,_xlfn.AGGREGATE(15,6,(ROW(Tiere!$BN$2:$BN$153)-1)/(--(SEARCH(BG$2,Tiere!$BN$2:$BN$153)&gt;0)),ROW()-2),1))))))))),"")</f>
        <v>Zwergrind - Milch- bzw. Mutterkühe (3000 kg Milch)  - Gülle</v>
      </c>
      <c r="BG131" s="1601"/>
      <c r="BH131" s="1624" t="str">
        <f>IFERROR(IF($A$17=$BO$1,$BO130,IF($A$17=$BP$1,$BP130,IF($A$17=$BQ$1,$BQ130,IF($A$17=$BR$1,$BR130,IF($A$17=$BS$1,$BS130,IF($A$17=$BT$1,$BT130,IF($A$17=$BU$1,$BU130,IF($A$17="",INDEX(Tiere!$BN$2:$BN$153,_xlfn.AGGREGATE(15,6,(ROW(Tiere!$BN$2:$BN$153)-1)/(--(SEARCH(BI$2,Tiere!$BN$2:$BN$153)&gt;0)),ROW()-2),1))))))))),"")</f>
        <v>Zwergrind - Milch- bzw. Mutterkühe (3000 kg Milch)  - Gülle</v>
      </c>
      <c r="BI131" s="1601"/>
      <c r="BJ131" s="1624" t="str">
        <f>IFERROR(IF($A$18=$BO$1,$BO130,IF($A$18=$BP$1,$BP130,IF($A$18=$BQ$1,$BQ130,IF($A$18=$BR$1,$BR130,IF($A$18=$BS$1,$BS130,IF($A$18=$BT$1,$BT130,IF($A$18=$BU$1,$BU130,IF($A$18="",INDEX(Tiere!$BN$2:$BN$153,_xlfn.AGGREGATE(15,6,(ROW(Tiere!$BN$2:$BN$153)-1)/(--(SEARCH(BK$2,Tiere!$BN$2:$BN$153)&gt;0)),ROW()-2),1))))))))),"")</f>
        <v>Zwergrind - Milch- bzw. Mutterkühe (3000 kg Milch)  - Gülle</v>
      </c>
      <c r="BK131" s="1601"/>
      <c r="BL131" s="1624" t="str">
        <f>IFERROR(IF($A$19=$BO$1,$BO130,IF($A$19=$BP$1,$BP130,IF($A$19=$BQ$1,$BQ130,IF($A$19=$BR$1,$BR130,IF($A$19=$BS$1,$BS130,IF($A$19=$BT$1,$BT130,IF($A$19=$BU$1,$BU130,IF($A$19="",INDEX(Tiere!$BN$2:$BN$153,_xlfn.AGGREGATE(15,6,(ROW(Tiere!$BN$2:$BN$153)-1)/(--(SEARCH(BM$2,Tiere!$BN$2:$BN$153)&gt;0)),ROW()-2),1))))))))),"")</f>
        <v>Zwergrind - Milch- bzw. Mutterkühe (3000 kg Milch)  - Gülle</v>
      </c>
      <c r="BM131" s="1601"/>
      <c r="BN131" s="1632" t="s">
        <v>814</v>
      </c>
      <c r="BO131" s="1599"/>
      <c r="BP131" s="1599"/>
      <c r="BQ131" s="1599"/>
      <c r="BR131" s="1599"/>
      <c r="BS131" s="1599"/>
      <c r="BT131" s="1599"/>
      <c r="BU131" s="1599"/>
      <c r="CD131" s="1912" t="s">
        <v>814</v>
      </c>
    </row>
    <row r="132" spans="36:82" ht="13.5" thickBot="1">
      <c r="AJ132" s="1624" t="str">
        <f>IFERROR(IF($A$5=$BO$1,$BO131,IF($A$5=$BP$1,$BP131,IF($A$5=$BQ$1,$BQ131,IF($A$5=$BR$1,$BR131,IF($A$5=$BS$1,$BS131,IF($A$5=$BT$1,$BT131,IF($A$5=$BU$1,$BU131,IF($A$5="",INDEX(Tiere!$BN$2:$BN$153,_xlfn.AGGREGATE(15,6,(ROW(Tiere!$BN$2:$BN$153)-1)/(--(SEARCH(AK$2,Tiere!$BN$2:$BN$153)&gt;0)),ROW()-2),1))))))))),"")</f>
        <v>Zwergrind - Milch- bzw. Mutterkühe (3000 kg Milch)  - Mist / Jauche</v>
      </c>
      <c r="AK132" s="1599"/>
      <c r="AL132" s="1624" t="str">
        <f>IFERROR(IF($A$6=$BO$1,$BO131,IF($A$6=$BP$1,$BP131,IF($A$6=$BQ$1,$BQ131,IF($A$6=$BR$1,$BR131,IF($A$6=$BS$1,$BS131,IF($A$6=$BT$1,$BT131,IF($A$6=$BU$1,$BU131,IF($A$6="",INDEX(Tiere!$BN$2:$BN$153,_xlfn.AGGREGATE(15,6,(ROW(Tiere!$BN$2:$BN$153)-1)/(--(SEARCH(AM$2,Tiere!$BN$2:$BN$153)&gt;0)),ROW()-2),1))))))))),"")</f>
        <v>Zwergrind - Milch- bzw. Mutterkühe (3000 kg Milch)  - Mist / Jauche</v>
      </c>
      <c r="AM132" s="1599"/>
      <c r="AN132" s="1624" t="str">
        <f>IFERROR(IF($A$7=$BO$1,$BO131,IF($A$7=$BP$1,$BP131,IF($A$7=$BQ$1,$BQ131,IF($A$7=$BR$1,$BR131,IF($A$7=$BS$1,$BS131,IF($A$7=$BT$1,$BT131,IF($A$7=$BU$1,$BU131,IF($A$7="",INDEX(Tiere!$BN$2:$BN$153,_xlfn.AGGREGATE(15,6,(ROW(Tiere!$BN$2:$BN$153)-1)/(--(SEARCH(AM$2,Tiere!$BN$2:$BN$153)&gt;0)),ROW()-2),1))))))))),"")</f>
        <v>Zwergrind - Milch- bzw. Mutterkühe (3000 kg Milch)  - Mist / Jauche</v>
      </c>
      <c r="AO132" s="1599"/>
      <c r="AP132" s="1624" t="str">
        <f>IFERROR(IF($A$8=$BO$1,$BO131,IF($A$8=$BP$1,$BP131,IF($A$8=$BQ$1,$BQ131,IF($A$8=$BR$1,$BR131,IF($A$8=$BS$1,$BS131,IF($A$8=$BT$1,$BT131,IF($A$8=$BU$1,$BU131,IF($A$8="",INDEX(Tiere!$BN$2:$BN$153,_xlfn.AGGREGATE(15,6,(ROW(Tiere!$BN$2:$BN$153)-1)/(--(SEARCH(AQ$2,Tiere!$BN$2:$BN$153)&gt;0)),ROW()-2),1))))))))),"")</f>
        <v>Zwergrind - Milch- bzw. Mutterkühe (3000 kg Milch)  - Mist / Jauche</v>
      </c>
      <c r="AQ132" s="1599"/>
      <c r="AR132" s="1624" t="str">
        <f>IFERROR(IF($A$9=$BO$1,$BO131,IF($A$9=$BP$1,$BP131,IF($A$9=$BQ$1,$BQ131,IF($A$9=$BR$1,$BR131,IF($A$9=$BS$1,$BS131,IF($A$9=$BT$1,$BT131,IF($A$9=$BU$1,$BU131,IF($A$9="",INDEX(Tiere!$BN$2:$BN$153,_xlfn.AGGREGATE(15,6,(ROW(Tiere!$BN$2:$BN$153)-1)/(--(SEARCH(AS$2,Tiere!$BN$2:$BN$153)&gt;0)),ROW()-2),1))))))))),"")</f>
        <v>Zwergrind - Milch- bzw. Mutterkühe (3000 kg Milch)  - Mist / Jauche</v>
      </c>
      <c r="AS132" s="1599"/>
      <c r="AT132" s="1624" t="str">
        <f>IFERROR(IF($A$10=$BO$1,$BO131,IF($A$10=$BP$1,$BP131,IF($A$10=$BQ$1,$BQ131,IF($A$10=$BR$1,$BR131,IF($A$10=$BS$1,$BS131,IF($A$10=$BT$1,$BT131,IF($A$10=$BU$1,$BU131,IF($A$10="",INDEX(Tiere!$BN$2:$BN$153,_xlfn.AGGREGATE(15,6,(ROW(Tiere!$BN$2:$BN$153)-1)/(--(SEARCH(AU$2,Tiere!$BN$2:$BN$153)&gt;0)),ROW()-2),1))))))))),"")</f>
        <v>Zwergrind - Milch- bzw. Mutterkühe (3000 kg Milch)  - Mist / Jauche</v>
      </c>
      <c r="AU132" s="1599"/>
      <c r="AV132" s="1624" t="str">
        <f>IFERROR(IF($A$11=$BO$1,$BO131,IF($A$11=$BP$1,$BP131,IF($A$11=$BQ$1,$BQ131,IF($A$11=$BR$1,$BR131,IF($A$11=$BS$1,$BS131,IF($A$11=$BT$1,$BT131,IF($A$11=$BU$1,$BU131,IF($A$11="",INDEX(Tiere!$BN$2:$BN$153,_xlfn.AGGREGATE(15,6,(ROW(Tiere!$BN$2:$BN$153)-1)/(--(SEARCH(AW$2,Tiere!$BN$2:$BN$153)&gt;0)),ROW()-2),1))))))))),"")</f>
        <v>Zwergrind - Milch- bzw. Mutterkühe (3000 kg Milch)  - Mist / Jauche</v>
      </c>
      <c r="AW132" s="1599"/>
      <c r="AX132" s="1624" t="str">
        <f>IFERROR(IF($A$12=$BO$1,$BO131,IF($A$12=$BP$1,$BP131,IF($A$12=$BQ$1,$BQ131,IF($A$12=$BR$1,$BR131,IF($A$12=$BS$1,$BS131,IF($A$12=$BT$1,$BT131,IF($A$12=$BU$1,$BU131,IF($A$12="",INDEX(Tiere!$BN$2:$BN$153,_xlfn.AGGREGATE(15,6,(ROW(Tiere!$BN$2:$BN$153)-1)/(--(SEARCH(AY$2,Tiere!$BN$2:$BN$153)&gt;0)),ROW()-2),1))))))))),"")</f>
        <v>Zwergrind - Milch- bzw. Mutterkühe (3000 kg Milch)  - Mist / Jauche</v>
      </c>
      <c r="AY132" s="1599"/>
      <c r="AZ132" s="1624" t="str">
        <f>IFERROR(IF($A$13=$BO$1,$BO131,IF($A$13=$BP$1,$BP131,IF($A$13=$BQ$1,$BQ131,IF($A$13=$BR$1,$BR131,IF($A$13=$BS$1,$BS131,IF($A$13=$BT$1,$BT131,IF($A$13=$BU$1,$BU131,IF($A$13="",INDEX(Tiere!$BN$2:$BN$153,_xlfn.AGGREGATE(15,6,(ROW(Tiere!$BN$2:$BN$153)-1)/(--(SEARCH(BA$2,Tiere!$BN$2:$BN$153)&gt;0)),ROW()-2),1))))))))),"")</f>
        <v>Zwergrind - Milch- bzw. Mutterkühe (3000 kg Milch)  - Mist / Jauche</v>
      </c>
      <c r="BA132" s="1599"/>
      <c r="BB132" s="1624" t="str">
        <f>IFERROR(IF($A$14=$BO$1,$BO131,IF($A$14=$BP$1,$BP131,IF($A$14=$BQ$1,$BQ131,IF($A$14=$BR$1,$BR131,IF($A$14=$BS$1,$BS131,IF($A$14=$BT$1,$BT131,IF($A$14=$BU$1,$BU131,IF($A$14="",INDEX(Tiere!$BN$2:$BN$153,_xlfn.AGGREGATE(15,6,(ROW(Tiere!$BN$2:$BN$153)-1)/(--(SEARCH(BC$2,Tiere!$BN$2:$BN$153)&gt;0)),ROW()-2),1))))))))),"")</f>
        <v>Zwergrind - Milch- bzw. Mutterkühe (3000 kg Milch)  - Mist / Jauche</v>
      </c>
      <c r="BC132" s="1599"/>
      <c r="BD132" s="1624" t="str">
        <f>IFERROR(IF($A$15=$BO$1,$BO131,IF($A$15=$BP$1,$BP131,IF($A$15=$BQ$1,$BQ131,IF($A$15=$BR$1,$BR131,IF($A$15=$BS$1,$BS131,IF($A$15=$BT$1,$BT131,IF($A$15=$BU$1,$BU131,IF($A$15="",INDEX(Tiere!$BN$2:$BN$153,_xlfn.AGGREGATE(15,6,(ROW(Tiere!$BN$2:$BN$153)-1)/(--(SEARCH(BE$2,Tiere!$BN$2:$BN$153)&gt;0)),ROW()-2),1))))))))),"")</f>
        <v>Zwergrind - Milch- bzw. Mutterkühe (3000 kg Milch)  - Mist / Jauche</v>
      </c>
      <c r="BE132" s="1599"/>
      <c r="BF132" s="1624" t="str">
        <f>IFERROR(IF($A$16=$BO$1,$BO131,IF($A$16=$BP$1,$BP131,IF($A$16=$BQ$1,$BQ131,IF($A$16=$BR$1,$BR131,IF($A$16=$BS$1,$BS131,IF($A$16=$BT$1,$BT131,IF($A$16=$BU$1,$BU131,IF($A$16="",INDEX(Tiere!$BN$2:$BN$153,_xlfn.AGGREGATE(15,6,(ROW(Tiere!$BN$2:$BN$153)-1)/(--(SEARCH(BG$2,Tiere!$BN$2:$BN$153)&gt;0)),ROW()-2),1))))))))),"")</f>
        <v>Zwergrind - Milch- bzw. Mutterkühe (3000 kg Milch)  - Mist / Jauche</v>
      </c>
      <c r="BG132" s="1599"/>
      <c r="BH132" s="1624" t="str">
        <f>IFERROR(IF($A$17=$BO$1,$BO131,IF($A$17=$BP$1,$BP131,IF($A$17=$BQ$1,$BQ131,IF($A$17=$BR$1,$BR131,IF($A$17=$BS$1,$BS131,IF($A$17=$BT$1,$BT131,IF($A$17=$BU$1,$BU131,IF($A$17="",INDEX(Tiere!$BN$2:$BN$153,_xlfn.AGGREGATE(15,6,(ROW(Tiere!$BN$2:$BN$153)-1)/(--(SEARCH(BI$2,Tiere!$BN$2:$BN$153)&gt;0)),ROW()-2),1))))))))),"")</f>
        <v>Zwergrind - Milch- bzw. Mutterkühe (3000 kg Milch)  - Mist / Jauche</v>
      </c>
      <c r="BI132" s="1599"/>
      <c r="BJ132" s="1624" t="str">
        <f>IFERROR(IF($A$18=$BO$1,$BO131,IF($A$18=$BP$1,$BP131,IF($A$18=$BQ$1,$BQ131,IF($A$18=$BR$1,$BR131,IF($A$18=$BS$1,$BS131,IF($A$18=$BT$1,$BT131,IF($A$18=$BU$1,$BU131,IF($A$18="",INDEX(Tiere!$BN$2:$BN$153,_xlfn.AGGREGATE(15,6,(ROW(Tiere!$BN$2:$BN$153)-1)/(--(SEARCH(BK$2,Tiere!$BN$2:$BN$153)&gt;0)),ROW()-2),1))))))))),"")</f>
        <v>Zwergrind - Milch- bzw. Mutterkühe (3000 kg Milch)  - Mist / Jauche</v>
      </c>
      <c r="BK132" s="1599"/>
      <c r="BL132" s="1624" t="str">
        <f>IFERROR(IF($A$19=$BO$1,$BO131,IF($A$19=$BP$1,$BP131,IF($A$19=$BQ$1,$BQ131,IF($A$19=$BR$1,$BR131,IF($A$19=$BS$1,$BS131,IF($A$19=$BT$1,$BT131,IF($A$19=$BU$1,$BU131,IF($A$19="",INDEX(Tiere!$BN$2:$BN$153,_xlfn.AGGREGATE(15,6,(ROW(Tiere!$BN$2:$BN$153)-1)/(--(SEARCH(BM$2,Tiere!$BN$2:$BN$153)&gt;0)),ROW()-2),1))))))))),"")</f>
        <v>Zwergrind - Milch- bzw. Mutterkühe (3000 kg Milch)  - Mist / Jauche</v>
      </c>
      <c r="BM132" s="1599"/>
      <c r="BN132" s="1630" t="s">
        <v>815</v>
      </c>
      <c r="BO132" s="1599"/>
      <c r="BP132" s="1599"/>
      <c r="BQ132" s="1599"/>
      <c r="BR132" s="1599"/>
      <c r="BS132" s="1599"/>
      <c r="BT132" s="1599"/>
      <c r="BU132" s="1599"/>
      <c r="CD132" s="1911" t="s">
        <v>815</v>
      </c>
    </row>
    <row r="133" spans="36:82" ht="13.5" thickBot="1">
      <c r="AJ133" s="1624" t="str">
        <f>IFERROR(IF($A$5=$BO$1,$BO132,IF($A$5=$BP$1,$BP132,IF($A$5=$BQ$1,$BQ132,IF($A$5=$BR$1,$BR132,IF($A$5=$BS$1,$BS132,IF($A$5=$BT$1,$BT132,IF($A$5=$BU$1,$BU132,IF($A$5="",INDEX(Tiere!$BN$2:$BN$153,_xlfn.AGGREGATE(15,6,(ROW(Tiere!$BN$2:$BN$153)-1)/(--(SEARCH(AK$2,Tiere!$BN$2:$BN$153)&gt;0)),ROW()-2),1))))))))),"")</f>
        <v>Zwergrind - Milch- bzw. Mutterkühe (3000 kg Milch)  - Tiefstallmist</v>
      </c>
      <c r="AK133" s="1601"/>
      <c r="AL133" s="1624" t="str">
        <f>IFERROR(IF($A$6=$BO$1,$BO132,IF($A$6=$BP$1,$BP132,IF($A$6=$BQ$1,$BQ132,IF($A$6=$BR$1,$BR132,IF($A$6=$BS$1,$BS132,IF($A$6=$BT$1,$BT132,IF($A$6=$BU$1,$BU132,IF($A$6="",INDEX(Tiere!$BN$2:$BN$153,_xlfn.AGGREGATE(15,6,(ROW(Tiere!$BN$2:$BN$153)-1)/(--(SEARCH(AM$2,Tiere!$BN$2:$BN$153)&gt;0)),ROW()-2),1))))))))),"")</f>
        <v>Zwergrind - Milch- bzw. Mutterkühe (3000 kg Milch)  - Tiefstallmist</v>
      </c>
      <c r="AM133" s="1601"/>
      <c r="AN133" s="1624" t="str">
        <f>IFERROR(IF($A$7=$BO$1,$BO132,IF($A$7=$BP$1,$BP132,IF($A$7=$BQ$1,$BQ132,IF($A$7=$BR$1,$BR132,IF($A$7=$BS$1,$BS132,IF($A$7=$BT$1,$BT132,IF($A$7=$BU$1,$BU132,IF($A$7="",INDEX(Tiere!$BN$2:$BN$153,_xlfn.AGGREGATE(15,6,(ROW(Tiere!$BN$2:$BN$153)-1)/(--(SEARCH(AM$2,Tiere!$BN$2:$BN$153)&gt;0)),ROW()-2),1))))))))),"")</f>
        <v>Zwergrind - Milch- bzw. Mutterkühe (3000 kg Milch)  - Tiefstallmist</v>
      </c>
      <c r="AO133" s="1601"/>
      <c r="AP133" s="1624" t="str">
        <f>IFERROR(IF($A$8=$BO$1,$BO132,IF($A$8=$BP$1,$BP132,IF($A$8=$BQ$1,$BQ132,IF($A$8=$BR$1,$BR132,IF($A$8=$BS$1,$BS132,IF($A$8=$BT$1,$BT132,IF($A$8=$BU$1,$BU132,IF($A$8="",INDEX(Tiere!$BN$2:$BN$153,_xlfn.AGGREGATE(15,6,(ROW(Tiere!$BN$2:$BN$153)-1)/(--(SEARCH(AQ$2,Tiere!$BN$2:$BN$153)&gt;0)),ROW()-2),1))))))))),"")</f>
        <v>Zwergrind - Milch- bzw. Mutterkühe (3000 kg Milch)  - Tiefstallmist</v>
      </c>
      <c r="AQ133" s="1601"/>
      <c r="AR133" s="1624" t="str">
        <f>IFERROR(IF($A$9=$BO$1,$BO132,IF($A$9=$BP$1,$BP132,IF($A$9=$BQ$1,$BQ132,IF($A$9=$BR$1,$BR132,IF($A$9=$BS$1,$BS132,IF($A$9=$BT$1,$BT132,IF($A$9=$BU$1,$BU132,IF($A$9="",INDEX(Tiere!$BN$2:$BN$153,_xlfn.AGGREGATE(15,6,(ROW(Tiere!$BN$2:$BN$153)-1)/(--(SEARCH(AS$2,Tiere!$BN$2:$BN$153)&gt;0)),ROW()-2),1))))))))),"")</f>
        <v>Zwergrind - Milch- bzw. Mutterkühe (3000 kg Milch)  - Tiefstallmist</v>
      </c>
      <c r="AS133" s="1601"/>
      <c r="AT133" s="1624" t="str">
        <f>IFERROR(IF($A$10=$BO$1,$BO132,IF($A$10=$BP$1,$BP132,IF($A$10=$BQ$1,$BQ132,IF($A$10=$BR$1,$BR132,IF($A$10=$BS$1,$BS132,IF($A$10=$BT$1,$BT132,IF($A$10=$BU$1,$BU132,IF($A$10="",INDEX(Tiere!$BN$2:$BN$153,_xlfn.AGGREGATE(15,6,(ROW(Tiere!$BN$2:$BN$153)-1)/(--(SEARCH(AU$2,Tiere!$BN$2:$BN$153)&gt;0)),ROW()-2),1))))))))),"")</f>
        <v>Zwergrind - Milch- bzw. Mutterkühe (3000 kg Milch)  - Tiefstallmist</v>
      </c>
      <c r="AU133" s="1601"/>
      <c r="AV133" s="1624" t="str">
        <f>IFERROR(IF($A$11=$BO$1,$BO132,IF($A$11=$BP$1,$BP132,IF($A$11=$BQ$1,$BQ132,IF($A$11=$BR$1,$BR132,IF($A$11=$BS$1,$BS132,IF($A$11=$BT$1,$BT132,IF($A$11=$BU$1,$BU132,IF($A$11="",INDEX(Tiere!$BN$2:$BN$153,_xlfn.AGGREGATE(15,6,(ROW(Tiere!$BN$2:$BN$153)-1)/(--(SEARCH(AW$2,Tiere!$BN$2:$BN$153)&gt;0)),ROW()-2),1))))))))),"")</f>
        <v>Zwergrind - Milch- bzw. Mutterkühe (3000 kg Milch)  - Tiefstallmist</v>
      </c>
      <c r="AW133" s="1601"/>
      <c r="AX133" s="1624" t="str">
        <f>IFERROR(IF($A$12=$BO$1,$BO132,IF($A$12=$BP$1,$BP132,IF($A$12=$BQ$1,$BQ132,IF($A$12=$BR$1,$BR132,IF($A$12=$BS$1,$BS132,IF($A$12=$BT$1,$BT132,IF($A$12=$BU$1,$BU132,IF($A$12="",INDEX(Tiere!$BN$2:$BN$153,_xlfn.AGGREGATE(15,6,(ROW(Tiere!$BN$2:$BN$153)-1)/(--(SEARCH(AY$2,Tiere!$BN$2:$BN$153)&gt;0)),ROW()-2),1))))))))),"")</f>
        <v>Zwergrind - Milch- bzw. Mutterkühe (3000 kg Milch)  - Tiefstallmist</v>
      </c>
      <c r="AY133" s="1601"/>
      <c r="AZ133" s="1624" t="str">
        <f>IFERROR(IF($A$13=$BO$1,$BO132,IF($A$13=$BP$1,$BP132,IF($A$13=$BQ$1,$BQ132,IF($A$13=$BR$1,$BR132,IF($A$13=$BS$1,$BS132,IF($A$13=$BT$1,$BT132,IF($A$13=$BU$1,$BU132,IF($A$13="",INDEX(Tiere!$BN$2:$BN$153,_xlfn.AGGREGATE(15,6,(ROW(Tiere!$BN$2:$BN$153)-1)/(--(SEARCH(BA$2,Tiere!$BN$2:$BN$153)&gt;0)),ROW()-2),1))))))))),"")</f>
        <v>Zwergrind - Milch- bzw. Mutterkühe (3000 kg Milch)  - Tiefstallmist</v>
      </c>
      <c r="BA133" s="1601"/>
      <c r="BB133" s="1624" t="str">
        <f>IFERROR(IF($A$14=$BO$1,$BO132,IF($A$14=$BP$1,$BP132,IF($A$14=$BQ$1,$BQ132,IF($A$14=$BR$1,$BR132,IF($A$14=$BS$1,$BS132,IF($A$14=$BT$1,$BT132,IF($A$14=$BU$1,$BU132,IF($A$14="",INDEX(Tiere!$BN$2:$BN$153,_xlfn.AGGREGATE(15,6,(ROW(Tiere!$BN$2:$BN$153)-1)/(--(SEARCH(BC$2,Tiere!$BN$2:$BN$153)&gt;0)),ROW()-2),1))))))))),"")</f>
        <v>Zwergrind - Milch- bzw. Mutterkühe (3000 kg Milch)  - Tiefstallmist</v>
      </c>
      <c r="BC133" s="1601"/>
      <c r="BD133" s="1624" t="str">
        <f>IFERROR(IF($A$15=$BO$1,$BO132,IF($A$15=$BP$1,$BP132,IF($A$15=$BQ$1,$BQ132,IF($A$15=$BR$1,$BR132,IF($A$15=$BS$1,$BS132,IF($A$15=$BT$1,$BT132,IF($A$15=$BU$1,$BU132,IF($A$15="",INDEX(Tiere!$BN$2:$BN$153,_xlfn.AGGREGATE(15,6,(ROW(Tiere!$BN$2:$BN$153)-1)/(--(SEARCH(BE$2,Tiere!$BN$2:$BN$153)&gt;0)),ROW()-2),1))))))))),"")</f>
        <v>Zwergrind - Milch- bzw. Mutterkühe (3000 kg Milch)  - Tiefstallmist</v>
      </c>
      <c r="BE133" s="1601"/>
      <c r="BF133" s="1624" t="str">
        <f>IFERROR(IF($A$16=$BO$1,$BO132,IF($A$16=$BP$1,$BP132,IF($A$16=$BQ$1,$BQ132,IF($A$16=$BR$1,$BR132,IF($A$16=$BS$1,$BS132,IF($A$16=$BT$1,$BT132,IF($A$16=$BU$1,$BU132,IF($A$16="",INDEX(Tiere!$BN$2:$BN$153,_xlfn.AGGREGATE(15,6,(ROW(Tiere!$BN$2:$BN$153)-1)/(--(SEARCH(BG$2,Tiere!$BN$2:$BN$153)&gt;0)),ROW()-2),1))))))))),"")</f>
        <v>Zwergrind - Milch- bzw. Mutterkühe (3000 kg Milch)  - Tiefstallmist</v>
      </c>
      <c r="BG133" s="1601"/>
      <c r="BH133" s="1624" t="str">
        <f>IFERROR(IF($A$17=$BO$1,$BO132,IF($A$17=$BP$1,$BP132,IF($A$17=$BQ$1,$BQ132,IF($A$17=$BR$1,$BR132,IF($A$17=$BS$1,$BS132,IF($A$17=$BT$1,$BT132,IF($A$17=$BU$1,$BU132,IF($A$17="",INDEX(Tiere!$BN$2:$BN$153,_xlfn.AGGREGATE(15,6,(ROW(Tiere!$BN$2:$BN$153)-1)/(--(SEARCH(BI$2,Tiere!$BN$2:$BN$153)&gt;0)),ROW()-2),1))))))))),"")</f>
        <v>Zwergrind - Milch- bzw. Mutterkühe (3000 kg Milch)  - Tiefstallmist</v>
      </c>
      <c r="BI133" s="1601"/>
      <c r="BJ133" s="1624" t="str">
        <f>IFERROR(IF($A$18=$BO$1,$BO132,IF($A$18=$BP$1,$BP132,IF($A$18=$BQ$1,$BQ132,IF($A$18=$BR$1,$BR132,IF($A$18=$BS$1,$BS132,IF($A$18=$BT$1,$BT132,IF($A$18=$BU$1,$BU132,IF($A$18="",INDEX(Tiere!$BN$2:$BN$153,_xlfn.AGGREGATE(15,6,(ROW(Tiere!$BN$2:$BN$153)-1)/(--(SEARCH(BK$2,Tiere!$BN$2:$BN$153)&gt;0)),ROW()-2),1))))))))),"")</f>
        <v>Zwergrind - Milch- bzw. Mutterkühe (3000 kg Milch)  - Tiefstallmist</v>
      </c>
      <c r="BK133" s="1601"/>
      <c r="BL133" s="1624" t="str">
        <f>IFERROR(IF($A$19=$BO$1,$BO132,IF($A$19=$BP$1,$BP132,IF($A$19=$BQ$1,$BQ132,IF($A$19=$BR$1,$BR132,IF($A$19=$BS$1,$BS132,IF($A$19=$BT$1,$BT132,IF($A$19=$BU$1,$BU132,IF($A$19="",INDEX(Tiere!$BN$2:$BN$153,_xlfn.AGGREGATE(15,6,(ROW(Tiere!$BN$2:$BN$153)-1)/(--(SEARCH(BM$2,Tiere!$BN$2:$BN$153)&gt;0)),ROW()-2),1))))))))),"")</f>
        <v>Zwergrind - Milch- bzw. Mutterkühe (3000 kg Milch)  - Tiefstallmist</v>
      </c>
      <c r="BM133" s="1601"/>
      <c r="BN133" s="1630" t="s">
        <v>816</v>
      </c>
      <c r="BO133" s="1599"/>
      <c r="BP133" s="1599"/>
      <c r="BQ133" s="1599"/>
      <c r="BR133" s="1599"/>
      <c r="BS133" s="1599"/>
      <c r="BT133" s="1599"/>
      <c r="BU133" s="1599"/>
      <c r="CD133" s="1911" t="s">
        <v>816</v>
      </c>
    </row>
    <row r="134" spans="36:82" ht="13.5" thickBot="1">
      <c r="AJ134" s="1624" t="str">
        <f>IFERROR(IF($A$5=$BO$1,$BO133,IF($A$5=$BP$1,$BP133,IF($A$5=$BQ$1,$BQ133,IF($A$5=$BR$1,$BR133,IF($A$5=$BS$1,$BS133,IF($A$5=$BT$1,$BT133,IF($A$5=$BU$1,$BU133,IF($A$5="",INDEX(Tiere!$BN$2:$BN$153,_xlfn.AGGREGATE(15,6,(ROW(Tiere!$BN$2:$BN$153)-1)/(--(SEARCH(AK$2,Tiere!$BN$2:$BN$153)&gt;0)),ROW()-2),1))))))))),"")</f>
        <v>Zwergrind - Milch- bzw. Ammenkühe (4000 kg Milch)  - Gülle</v>
      </c>
      <c r="AK134" s="1599"/>
      <c r="AL134" s="1624" t="str">
        <f>IFERROR(IF($A$6=$BO$1,$BO133,IF($A$6=$BP$1,$BP133,IF($A$6=$BQ$1,$BQ133,IF($A$6=$BR$1,$BR133,IF($A$6=$BS$1,$BS133,IF($A$6=$BT$1,$BT133,IF($A$6=$BU$1,$BU133,IF($A$6="",INDEX(Tiere!$BN$2:$BN$153,_xlfn.AGGREGATE(15,6,(ROW(Tiere!$BN$2:$BN$153)-1)/(--(SEARCH(AM$2,Tiere!$BN$2:$BN$153)&gt;0)),ROW()-2),1))))))))),"")</f>
        <v>Zwergrind - Milch- bzw. Ammenkühe (4000 kg Milch)  - Gülle</v>
      </c>
      <c r="AM134" s="1599"/>
      <c r="AN134" s="1624" t="str">
        <f>IFERROR(IF($A$7=$BO$1,$BO133,IF($A$7=$BP$1,$BP133,IF($A$7=$BQ$1,$BQ133,IF($A$7=$BR$1,$BR133,IF($A$7=$BS$1,$BS133,IF($A$7=$BT$1,$BT133,IF($A$7=$BU$1,$BU133,IF($A$7="",INDEX(Tiere!$BN$2:$BN$153,_xlfn.AGGREGATE(15,6,(ROW(Tiere!$BN$2:$BN$153)-1)/(--(SEARCH(AM$2,Tiere!$BN$2:$BN$153)&gt;0)),ROW()-2),1))))))))),"")</f>
        <v>Zwergrind - Milch- bzw. Ammenkühe (4000 kg Milch)  - Gülle</v>
      </c>
      <c r="AO134" s="1599"/>
      <c r="AP134" s="1624" t="str">
        <f>IFERROR(IF($A$8=$BO$1,$BO133,IF($A$8=$BP$1,$BP133,IF($A$8=$BQ$1,$BQ133,IF($A$8=$BR$1,$BR133,IF($A$8=$BS$1,$BS133,IF($A$8=$BT$1,$BT133,IF($A$8=$BU$1,$BU133,IF($A$8="",INDEX(Tiere!$BN$2:$BN$153,_xlfn.AGGREGATE(15,6,(ROW(Tiere!$BN$2:$BN$153)-1)/(--(SEARCH(AQ$2,Tiere!$BN$2:$BN$153)&gt;0)),ROW()-2),1))))))))),"")</f>
        <v>Zwergrind - Milch- bzw. Ammenkühe (4000 kg Milch)  - Gülle</v>
      </c>
      <c r="AQ134" s="1599"/>
      <c r="AR134" s="1624" t="str">
        <f>IFERROR(IF($A$9=$BO$1,$BO133,IF($A$9=$BP$1,$BP133,IF($A$9=$BQ$1,$BQ133,IF($A$9=$BR$1,$BR133,IF($A$9=$BS$1,$BS133,IF($A$9=$BT$1,$BT133,IF($A$9=$BU$1,$BU133,IF($A$9="",INDEX(Tiere!$BN$2:$BN$153,_xlfn.AGGREGATE(15,6,(ROW(Tiere!$BN$2:$BN$153)-1)/(--(SEARCH(AS$2,Tiere!$BN$2:$BN$153)&gt;0)),ROW()-2),1))))))))),"")</f>
        <v>Zwergrind - Milch- bzw. Ammenkühe (4000 kg Milch)  - Gülle</v>
      </c>
      <c r="AS134" s="1599"/>
      <c r="AT134" s="1624" t="str">
        <f>IFERROR(IF($A$10=$BO$1,$BO133,IF($A$10=$BP$1,$BP133,IF($A$10=$BQ$1,$BQ133,IF($A$10=$BR$1,$BR133,IF($A$10=$BS$1,$BS133,IF($A$10=$BT$1,$BT133,IF($A$10=$BU$1,$BU133,IF($A$10="",INDEX(Tiere!$BN$2:$BN$153,_xlfn.AGGREGATE(15,6,(ROW(Tiere!$BN$2:$BN$153)-1)/(--(SEARCH(AU$2,Tiere!$BN$2:$BN$153)&gt;0)),ROW()-2),1))))))))),"")</f>
        <v>Zwergrind - Milch- bzw. Ammenkühe (4000 kg Milch)  - Gülle</v>
      </c>
      <c r="AU134" s="1599"/>
      <c r="AV134" s="1624" t="str">
        <f>IFERROR(IF($A$11=$BO$1,$BO133,IF($A$11=$BP$1,$BP133,IF($A$11=$BQ$1,$BQ133,IF($A$11=$BR$1,$BR133,IF($A$11=$BS$1,$BS133,IF($A$11=$BT$1,$BT133,IF($A$11=$BU$1,$BU133,IF($A$11="",INDEX(Tiere!$BN$2:$BN$153,_xlfn.AGGREGATE(15,6,(ROW(Tiere!$BN$2:$BN$153)-1)/(--(SEARCH(AW$2,Tiere!$BN$2:$BN$153)&gt;0)),ROW()-2),1))))))))),"")</f>
        <v>Zwergrind - Milch- bzw. Ammenkühe (4000 kg Milch)  - Gülle</v>
      </c>
      <c r="AW134" s="1599"/>
      <c r="AX134" s="1624" t="str">
        <f>IFERROR(IF($A$12=$BO$1,$BO133,IF($A$12=$BP$1,$BP133,IF($A$12=$BQ$1,$BQ133,IF($A$12=$BR$1,$BR133,IF($A$12=$BS$1,$BS133,IF($A$12=$BT$1,$BT133,IF($A$12=$BU$1,$BU133,IF($A$12="",INDEX(Tiere!$BN$2:$BN$153,_xlfn.AGGREGATE(15,6,(ROW(Tiere!$BN$2:$BN$153)-1)/(--(SEARCH(AY$2,Tiere!$BN$2:$BN$153)&gt;0)),ROW()-2),1))))))))),"")</f>
        <v>Zwergrind - Milch- bzw. Ammenkühe (4000 kg Milch)  - Gülle</v>
      </c>
      <c r="AY134" s="1599"/>
      <c r="AZ134" s="1624" t="str">
        <f>IFERROR(IF($A$13=$BO$1,$BO133,IF($A$13=$BP$1,$BP133,IF($A$13=$BQ$1,$BQ133,IF($A$13=$BR$1,$BR133,IF($A$13=$BS$1,$BS133,IF($A$13=$BT$1,$BT133,IF($A$13=$BU$1,$BU133,IF($A$13="",INDEX(Tiere!$BN$2:$BN$153,_xlfn.AGGREGATE(15,6,(ROW(Tiere!$BN$2:$BN$153)-1)/(--(SEARCH(BA$2,Tiere!$BN$2:$BN$153)&gt;0)),ROW()-2),1))))))))),"")</f>
        <v>Zwergrind - Milch- bzw. Ammenkühe (4000 kg Milch)  - Gülle</v>
      </c>
      <c r="BA134" s="1599"/>
      <c r="BB134" s="1624" t="str">
        <f>IFERROR(IF($A$14=$BO$1,$BO133,IF($A$14=$BP$1,$BP133,IF($A$14=$BQ$1,$BQ133,IF($A$14=$BR$1,$BR133,IF($A$14=$BS$1,$BS133,IF($A$14=$BT$1,$BT133,IF($A$14=$BU$1,$BU133,IF($A$14="",INDEX(Tiere!$BN$2:$BN$153,_xlfn.AGGREGATE(15,6,(ROW(Tiere!$BN$2:$BN$153)-1)/(--(SEARCH(BC$2,Tiere!$BN$2:$BN$153)&gt;0)),ROW()-2),1))))))))),"")</f>
        <v>Zwergrind - Milch- bzw. Ammenkühe (4000 kg Milch)  - Gülle</v>
      </c>
      <c r="BC134" s="1599"/>
      <c r="BD134" s="1624" t="str">
        <f>IFERROR(IF($A$15=$BO$1,$BO133,IF($A$15=$BP$1,$BP133,IF($A$15=$BQ$1,$BQ133,IF($A$15=$BR$1,$BR133,IF($A$15=$BS$1,$BS133,IF($A$15=$BT$1,$BT133,IF($A$15=$BU$1,$BU133,IF($A$15="",INDEX(Tiere!$BN$2:$BN$153,_xlfn.AGGREGATE(15,6,(ROW(Tiere!$BN$2:$BN$153)-1)/(--(SEARCH(BE$2,Tiere!$BN$2:$BN$153)&gt;0)),ROW()-2),1))))))))),"")</f>
        <v>Zwergrind - Milch- bzw. Ammenkühe (4000 kg Milch)  - Gülle</v>
      </c>
      <c r="BE134" s="1599"/>
      <c r="BF134" s="1624" t="str">
        <f>IFERROR(IF($A$16=$BO$1,$BO133,IF($A$16=$BP$1,$BP133,IF($A$16=$BQ$1,$BQ133,IF($A$16=$BR$1,$BR133,IF($A$16=$BS$1,$BS133,IF($A$16=$BT$1,$BT133,IF($A$16=$BU$1,$BU133,IF($A$16="",INDEX(Tiere!$BN$2:$BN$153,_xlfn.AGGREGATE(15,6,(ROW(Tiere!$BN$2:$BN$153)-1)/(--(SEARCH(BG$2,Tiere!$BN$2:$BN$153)&gt;0)),ROW()-2),1))))))))),"")</f>
        <v>Zwergrind - Milch- bzw. Ammenkühe (4000 kg Milch)  - Gülle</v>
      </c>
      <c r="BG134" s="1599"/>
      <c r="BH134" s="1624" t="str">
        <f>IFERROR(IF($A$17=$BO$1,$BO133,IF($A$17=$BP$1,$BP133,IF($A$17=$BQ$1,$BQ133,IF($A$17=$BR$1,$BR133,IF($A$17=$BS$1,$BS133,IF($A$17=$BT$1,$BT133,IF($A$17=$BU$1,$BU133,IF($A$17="",INDEX(Tiere!$BN$2:$BN$153,_xlfn.AGGREGATE(15,6,(ROW(Tiere!$BN$2:$BN$153)-1)/(--(SEARCH(BI$2,Tiere!$BN$2:$BN$153)&gt;0)),ROW()-2),1))))))))),"")</f>
        <v>Zwergrind - Milch- bzw. Ammenkühe (4000 kg Milch)  - Gülle</v>
      </c>
      <c r="BI134" s="1599"/>
      <c r="BJ134" s="1624" t="str">
        <f>IFERROR(IF($A$18=$BO$1,$BO133,IF($A$18=$BP$1,$BP133,IF($A$18=$BQ$1,$BQ133,IF($A$18=$BR$1,$BR133,IF($A$18=$BS$1,$BS133,IF($A$18=$BT$1,$BT133,IF($A$18=$BU$1,$BU133,IF($A$18="",INDEX(Tiere!$BN$2:$BN$153,_xlfn.AGGREGATE(15,6,(ROW(Tiere!$BN$2:$BN$153)-1)/(--(SEARCH(BK$2,Tiere!$BN$2:$BN$153)&gt;0)),ROW()-2),1))))))))),"")</f>
        <v>Zwergrind - Milch- bzw. Ammenkühe (4000 kg Milch)  - Gülle</v>
      </c>
      <c r="BK134" s="1599"/>
      <c r="BL134" s="1624" t="str">
        <f>IFERROR(IF($A$19=$BO$1,$BO133,IF($A$19=$BP$1,$BP133,IF($A$19=$BQ$1,$BQ133,IF($A$19=$BR$1,$BR133,IF($A$19=$BS$1,$BS133,IF($A$19=$BT$1,$BT133,IF($A$19=$BU$1,$BU133,IF($A$19="",INDEX(Tiere!$BN$2:$BN$153,_xlfn.AGGREGATE(15,6,(ROW(Tiere!$BN$2:$BN$153)-1)/(--(SEARCH(BM$2,Tiere!$BN$2:$BN$153)&gt;0)),ROW()-2),1))))))))),"")</f>
        <v>Zwergrind - Milch- bzw. Ammenkühe (4000 kg Milch)  - Gülle</v>
      </c>
      <c r="BM134" s="1599"/>
      <c r="BN134" s="1630" t="s">
        <v>817</v>
      </c>
      <c r="BO134" s="1599"/>
      <c r="BP134" s="1599"/>
      <c r="BQ134" s="1599"/>
      <c r="BR134" s="1599"/>
      <c r="BS134" s="1599"/>
      <c r="BT134" s="1599"/>
      <c r="BU134" s="1599"/>
      <c r="CD134" s="1911" t="s">
        <v>817</v>
      </c>
    </row>
    <row r="135" spans="36:82" ht="13.5" thickBot="1">
      <c r="AJ135" s="1624" t="str">
        <f>IFERROR(IF($A$5=$BO$1,$BO134,IF($A$5=$BP$1,$BP134,IF($A$5=$BQ$1,$BQ134,IF($A$5=$BR$1,$BR134,IF($A$5=$BS$1,$BS134,IF($A$5=$BT$1,$BT134,IF($A$5=$BU$1,$BU134,IF($A$5="",INDEX(Tiere!$BN$2:$BN$153,_xlfn.AGGREGATE(15,6,(ROW(Tiere!$BN$2:$BN$153)-1)/(--(SEARCH(AK$2,Tiere!$BN$2:$BN$153)&gt;0)),ROW()-2),1))))))))),"")</f>
        <v>Zwergrind - Milch- bzw. Ammenkühe (4000 kg Milch)  - Mist / Jauche</v>
      </c>
      <c r="AK135" s="1601"/>
      <c r="AL135" s="1624" t="str">
        <f>IFERROR(IF($A$6=$BO$1,$BO134,IF($A$6=$BP$1,$BP134,IF($A$6=$BQ$1,$BQ134,IF($A$6=$BR$1,$BR134,IF($A$6=$BS$1,$BS134,IF($A$6=$BT$1,$BT134,IF($A$6=$BU$1,$BU134,IF($A$6="",INDEX(Tiere!$BN$2:$BN$153,_xlfn.AGGREGATE(15,6,(ROW(Tiere!$BN$2:$BN$153)-1)/(--(SEARCH(AM$2,Tiere!$BN$2:$BN$153)&gt;0)),ROW()-2),1))))))))),"")</f>
        <v>Zwergrind - Milch- bzw. Ammenkühe (4000 kg Milch)  - Mist / Jauche</v>
      </c>
      <c r="AM135" s="1601"/>
      <c r="AN135" s="1624" t="str">
        <f>IFERROR(IF($A$7=$BO$1,$BO134,IF($A$7=$BP$1,$BP134,IF($A$7=$BQ$1,$BQ134,IF($A$7=$BR$1,$BR134,IF($A$7=$BS$1,$BS134,IF($A$7=$BT$1,$BT134,IF($A$7=$BU$1,$BU134,IF($A$7="",INDEX(Tiere!$BN$2:$BN$153,_xlfn.AGGREGATE(15,6,(ROW(Tiere!$BN$2:$BN$153)-1)/(--(SEARCH(AM$2,Tiere!$BN$2:$BN$153)&gt;0)),ROW()-2),1))))))))),"")</f>
        <v>Zwergrind - Milch- bzw. Ammenkühe (4000 kg Milch)  - Mist / Jauche</v>
      </c>
      <c r="AO135" s="1601"/>
      <c r="AP135" s="1624" t="str">
        <f>IFERROR(IF($A$8=$BO$1,$BO134,IF($A$8=$BP$1,$BP134,IF($A$8=$BQ$1,$BQ134,IF($A$8=$BR$1,$BR134,IF($A$8=$BS$1,$BS134,IF($A$8=$BT$1,$BT134,IF($A$8=$BU$1,$BU134,IF($A$8="",INDEX(Tiere!$BN$2:$BN$153,_xlfn.AGGREGATE(15,6,(ROW(Tiere!$BN$2:$BN$153)-1)/(--(SEARCH(AQ$2,Tiere!$BN$2:$BN$153)&gt;0)),ROW()-2),1))))))))),"")</f>
        <v>Zwergrind - Milch- bzw. Ammenkühe (4000 kg Milch)  - Mist / Jauche</v>
      </c>
      <c r="AQ135" s="1601"/>
      <c r="AR135" s="1624" t="str">
        <f>IFERROR(IF($A$9=$BO$1,$BO134,IF($A$9=$BP$1,$BP134,IF($A$9=$BQ$1,$BQ134,IF($A$9=$BR$1,$BR134,IF($A$9=$BS$1,$BS134,IF($A$9=$BT$1,$BT134,IF($A$9=$BU$1,$BU134,IF($A$9="",INDEX(Tiere!$BN$2:$BN$153,_xlfn.AGGREGATE(15,6,(ROW(Tiere!$BN$2:$BN$153)-1)/(--(SEARCH(AS$2,Tiere!$BN$2:$BN$153)&gt;0)),ROW()-2),1))))))))),"")</f>
        <v>Zwergrind - Milch- bzw. Ammenkühe (4000 kg Milch)  - Mist / Jauche</v>
      </c>
      <c r="AS135" s="1601"/>
      <c r="AT135" s="1624" t="str">
        <f>IFERROR(IF($A$10=$BO$1,$BO134,IF($A$10=$BP$1,$BP134,IF($A$10=$BQ$1,$BQ134,IF($A$10=$BR$1,$BR134,IF($A$10=$BS$1,$BS134,IF($A$10=$BT$1,$BT134,IF($A$10=$BU$1,$BU134,IF($A$10="",INDEX(Tiere!$BN$2:$BN$153,_xlfn.AGGREGATE(15,6,(ROW(Tiere!$BN$2:$BN$153)-1)/(--(SEARCH(AU$2,Tiere!$BN$2:$BN$153)&gt;0)),ROW()-2),1))))))))),"")</f>
        <v>Zwergrind - Milch- bzw. Ammenkühe (4000 kg Milch)  - Mist / Jauche</v>
      </c>
      <c r="AU135" s="1601"/>
      <c r="AV135" s="1624" t="str">
        <f>IFERROR(IF($A$11=$BO$1,$BO134,IF($A$11=$BP$1,$BP134,IF($A$11=$BQ$1,$BQ134,IF($A$11=$BR$1,$BR134,IF($A$11=$BS$1,$BS134,IF($A$11=$BT$1,$BT134,IF($A$11=$BU$1,$BU134,IF($A$11="",INDEX(Tiere!$BN$2:$BN$153,_xlfn.AGGREGATE(15,6,(ROW(Tiere!$BN$2:$BN$153)-1)/(--(SEARCH(AW$2,Tiere!$BN$2:$BN$153)&gt;0)),ROW()-2),1))))))))),"")</f>
        <v>Zwergrind - Milch- bzw. Ammenkühe (4000 kg Milch)  - Mist / Jauche</v>
      </c>
      <c r="AW135" s="1601"/>
      <c r="AX135" s="1624" t="str">
        <f>IFERROR(IF($A$12=$BO$1,$BO134,IF($A$12=$BP$1,$BP134,IF($A$12=$BQ$1,$BQ134,IF($A$12=$BR$1,$BR134,IF($A$12=$BS$1,$BS134,IF($A$12=$BT$1,$BT134,IF($A$12=$BU$1,$BU134,IF($A$12="",INDEX(Tiere!$BN$2:$BN$153,_xlfn.AGGREGATE(15,6,(ROW(Tiere!$BN$2:$BN$153)-1)/(--(SEARCH(AY$2,Tiere!$BN$2:$BN$153)&gt;0)),ROW()-2),1))))))))),"")</f>
        <v>Zwergrind - Milch- bzw. Ammenkühe (4000 kg Milch)  - Mist / Jauche</v>
      </c>
      <c r="AY135" s="1601"/>
      <c r="AZ135" s="1624" t="str">
        <f>IFERROR(IF($A$13=$BO$1,$BO134,IF($A$13=$BP$1,$BP134,IF($A$13=$BQ$1,$BQ134,IF($A$13=$BR$1,$BR134,IF($A$13=$BS$1,$BS134,IF($A$13=$BT$1,$BT134,IF($A$13=$BU$1,$BU134,IF($A$13="",INDEX(Tiere!$BN$2:$BN$153,_xlfn.AGGREGATE(15,6,(ROW(Tiere!$BN$2:$BN$153)-1)/(--(SEARCH(BA$2,Tiere!$BN$2:$BN$153)&gt;0)),ROW()-2),1))))))))),"")</f>
        <v>Zwergrind - Milch- bzw. Ammenkühe (4000 kg Milch)  - Mist / Jauche</v>
      </c>
      <c r="BA135" s="1601"/>
      <c r="BB135" s="1624" t="str">
        <f>IFERROR(IF($A$14=$BO$1,$BO134,IF($A$14=$BP$1,$BP134,IF($A$14=$BQ$1,$BQ134,IF($A$14=$BR$1,$BR134,IF($A$14=$BS$1,$BS134,IF($A$14=$BT$1,$BT134,IF($A$14=$BU$1,$BU134,IF($A$14="",INDEX(Tiere!$BN$2:$BN$153,_xlfn.AGGREGATE(15,6,(ROW(Tiere!$BN$2:$BN$153)-1)/(--(SEARCH(BC$2,Tiere!$BN$2:$BN$153)&gt;0)),ROW()-2),1))))))))),"")</f>
        <v>Zwergrind - Milch- bzw. Ammenkühe (4000 kg Milch)  - Mist / Jauche</v>
      </c>
      <c r="BC135" s="1601"/>
      <c r="BD135" s="1624" t="str">
        <f>IFERROR(IF($A$15=$BO$1,$BO134,IF($A$15=$BP$1,$BP134,IF($A$15=$BQ$1,$BQ134,IF($A$15=$BR$1,$BR134,IF($A$15=$BS$1,$BS134,IF($A$15=$BT$1,$BT134,IF($A$15=$BU$1,$BU134,IF($A$15="",INDEX(Tiere!$BN$2:$BN$153,_xlfn.AGGREGATE(15,6,(ROW(Tiere!$BN$2:$BN$153)-1)/(--(SEARCH(BE$2,Tiere!$BN$2:$BN$153)&gt;0)),ROW()-2),1))))))))),"")</f>
        <v>Zwergrind - Milch- bzw. Ammenkühe (4000 kg Milch)  - Mist / Jauche</v>
      </c>
      <c r="BE135" s="1601"/>
      <c r="BF135" s="1624" t="str">
        <f>IFERROR(IF($A$16=$BO$1,$BO134,IF($A$16=$BP$1,$BP134,IF($A$16=$BQ$1,$BQ134,IF($A$16=$BR$1,$BR134,IF($A$16=$BS$1,$BS134,IF($A$16=$BT$1,$BT134,IF($A$16=$BU$1,$BU134,IF($A$16="",INDEX(Tiere!$BN$2:$BN$153,_xlfn.AGGREGATE(15,6,(ROW(Tiere!$BN$2:$BN$153)-1)/(--(SEARCH(BG$2,Tiere!$BN$2:$BN$153)&gt;0)),ROW()-2),1))))))))),"")</f>
        <v>Zwergrind - Milch- bzw. Ammenkühe (4000 kg Milch)  - Mist / Jauche</v>
      </c>
      <c r="BG135" s="1601"/>
      <c r="BH135" s="1624" t="str">
        <f>IFERROR(IF($A$17=$BO$1,$BO134,IF($A$17=$BP$1,$BP134,IF($A$17=$BQ$1,$BQ134,IF($A$17=$BR$1,$BR134,IF($A$17=$BS$1,$BS134,IF($A$17=$BT$1,$BT134,IF($A$17=$BU$1,$BU134,IF($A$17="",INDEX(Tiere!$BN$2:$BN$153,_xlfn.AGGREGATE(15,6,(ROW(Tiere!$BN$2:$BN$153)-1)/(--(SEARCH(BI$2,Tiere!$BN$2:$BN$153)&gt;0)),ROW()-2),1))))))))),"")</f>
        <v>Zwergrind - Milch- bzw. Ammenkühe (4000 kg Milch)  - Mist / Jauche</v>
      </c>
      <c r="BI135" s="1601"/>
      <c r="BJ135" s="1624" t="str">
        <f>IFERROR(IF($A$18=$BO$1,$BO134,IF($A$18=$BP$1,$BP134,IF($A$18=$BQ$1,$BQ134,IF($A$18=$BR$1,$BR134,IF($A$18=$BS$1,$BS134,IF($A$18=$BT$1,$BT134,IF($A$18=$BU$1,$BU134,IF($A$18="",INDEX(Tiere!$BN$2:$BN$153,_xlfn.AGGREGATE(15,6,(ROW(Tiere!$BN$2:$BN$153)-1)/(--(SEARCH(BK$2,Tiere!$BN$2:$BN$153)&gt;0)),ROW()-2),1))))))))),"")</f>
        <v>Zwergrind - Milch- bzw. Ammenkühe (4000 kg Milch)  - Mist / Jauche</v>
      </c>
      <c r="BK135" s="1601"/>
      <c r="BL135" s="1624" t="str">
        <f>IFERROR(IF($A$19=$BO$1,$BO134,IF($A$19=$BP$1,$BP134,IF($A$19=$BQ$1,$BQ134,IF($A$19=$BR$1,$BR134,IF($A$19=$BS$1,$BS134,IF($A$19=$BT$1,$BT134,IF($A$19=$BU$1,$BU134,IF($A$19="",INDEX(Tiere!$BN$2:$BN$153,_xlfn.AGGREGATE(15,6,(ROW(Tiere!$BN$2:$BN$153)-1)/(--(SEARCH(BM$2,Tiere!$BN$2:$BN$153)&gt;0)),ROW()-2),1))))))))),"")</f>
        <v>Zwergrind - Milch- bzw. Ammenkühe (4000 kg Milch)  - Mist / Jauche</v>
      </c>
      <c r="BM135" s="1601"/>
      <c r="BN135" s="1630" t="s">
        <v>818</v>
      </c>
      <c r="BO135" s="1599"/>
      <c r="BP135" s="1599"/>
      <c r="BQ135" s="1599"/>
      <c r="BR135" s="1599"/>
      <c r="BS135" s="1599"/>
      <c r="BT135" s="1599"/>
      <c r="BU135" s="1599"/>
      <c r="CD135" s="1911" t="s">
        <v>818</v>
      </c>
    </row>
    <row r="136" spans="36:82" ht="13.5" thickBot="1">
      <c r="AJ136" s="1624" t="str">
        <f>IFERROR(IF($A$5=$BO$1,$BO135,IF($A$5=$BP$1,$BP135,IF($A$5=$BQ$1,$BQ135,IF($A$5=$BR$1,$BR135,IF($A$5=$BS$1,$BS135,IF($A$5=$BT$1,$BT135,IF($A$5=$BU$1,$BU135,IF($A$5="",INDEX(Tiere!$BN$2:$BN$153,_xlfn.AGGREGATE(15,6,(ROW(Tiere!$BN$2:$BN$153)-1)/(--(SEARCH(AK$2,Tiere!$BN$2:$BN$153)&gt;0)),ROW()-2),1))))))))),"")</f>
        <v>Zwergrind - Milch- bzw. Ammenkühe (4000 kg Milch)  - Tiefstallmist</v>
      </c>
      <c r="AK136" s="1599"/>
      <c r="AL136" s="1624" t="str">
        <f>IFERROR(IF($A$6=$BO$1,$BO135,IF($A$6=$BP$1,$BP135,IF($A$6=$BQ$1,$BQ135,IF($A$6=$BR$1,$BR135,IF($A$6=$BS$1,$BS135,IF($A$6=$BT$1,$BT135,IF($A$6=$BU$1,$BU135,IF($A$6="",INDEX(Tiere!$BN$2:$BN$153,_xlfn.AGGREGATE(15,6,(ROW(Tiere!$BN$2:$BN$153)-1)/(--(SEARCH(AM$2,Tiere!$BN$2:$BN$153)&gt;0)),ROW()-2),1))))))))),"")</f>
        <v>Zwergrind - Milch- bzw. Ammenkühe (4000 kg Milch)  - Tiefstallmist</v>
      </c>
      <c r="AM136" s="1599"/>
      <c r="AN136" s="1624" t="str">
        <f>IFERROR(IF($A$7=$BO$1,$BO135,IF($A$7=$BP$1,$BP135,IF($A$7=$BQ$1,$BQ135,IF($A$7=$BR$1,$BR135,IF($A$7=$BS$1,$BS135,IF($A$7=$BT$1,$BT135,IF($A$7=$BU$1,$BU135,IF($A$7="",INDEX(Tiere!$BN$2:$BN$153,_xlfn.AGGREGATE(15,6,(ROW(Tiere!$BN$2:$BN$153)-1)/(--(SEARCH(AM$2,Tiere!$BN$2:$BN$153)&gt;0)),ROW()-2),1))))))))),"")</f>
        <v>Zwergrind - Milch- bzw. Ammenkühe (4000 kg Milch)  - Tiefstallmist</v>
      </c>
      <c r="AO136" s="1599"/>
      <c r="AP136" s="1624" t="str">
        <f>IFERROR(IF($A$8=$BO$1,$BO135,IF($A$8=$BP$1,$BP135,IF($A$8=$BQ$1,$BQ135,IF($A$8=$BR$1,$BR135,IF($A$8=$BS$1,$BS135,IF($A$8=$BT$1,$BT135,IF($A$8=$BU$1,$BU135,IF($A$8="",INDEX(Tiere!$BN$2:$BN$153,_xlfn.AGGREGATE(15,6,(ROW(Tiere!$BN$2:$BN$153)-1)/(--(SEARCH(AQ$2,Tiere!$BN$2:$BN$153)&gt;0)),ROW()-2),1))))))))),"")</f>
        <v>Zwergrind - Milch- bzw. Ammenkühe (4000 kg Milch)  - Tiefstallmist</v>
      </c>
      <c r="AQ136" s="1599"/>
      <c r="AR136" s="1624" t="str">
        <f>IFERROR(IF($A$9=$BO$1,$BO135,IF($A$9=$BP$1,$BP135,IF($A$9=$BQ$1,$BQ135,IF($A$9=$BR$1,$BR135,IF($A$9=$BS$1,$BS135,IF($A$9=$BT$1,$BT135,IF($A$9=$BU$1,$BU135,IF($A$9="",INDEX(Tiere!$BN$2:$BN$153,_xlfn.AGGREGATE(15,6,(ROW(Tiere!$BN$2:$BN$153)-1)/(--(SEARCH(AS$2,Tiere!$BN$2:$BN$153)&gt;0)),ROW()-2),1))))))))),"")</f>
        <v>Zwergrind - Milch- bzw. Ammenkühe (4000 kg Milch)  - Tiefstallmist</v>
      </c>
      <c r="AS136" s="1599"/>
      <c r="AT136" s="1624" t="str">
        <f>IFERROR(IF($A$10=$BO$1,$BO135,IF($A$10=$BP$1,$BP135,IF($A$10=$BQ$1,$BQ135,IF($A$10=$BR$1,$BR135,IF($A$10=$BS$1,$BS135,IF($A$10=$BT$1,$BT135,IF($A$10=$BU$1,$BU135,IF($A$10="",INDEX(Tiere!$BN$2:$BN$153,_xlfn.AGGREGATE(15,6,(ROW(Tiere!$BN$2:$BN$153)-1)/(--(SEARCH(AU$2,Tiere!$BN$2:$BN$153)&gt;0)),ROW()-2),1))))))))),"")</f>
        <v>Zwergrind - Milch- bzw. Ammenkühe (4000 kg Milch)  - Tiefstallmist</v>
      </c>
      <c r="AU136" s="1599"/>
      <c r="AV136" s="1624" t="str">
        <f>IFERROR(IF($A$11=$BO$1,$BO135,IF($A$11=$BP$1,$BP135,IF($A$11=$BQ$1,$BQ135,IF($A$11=$BR$1,$BR135,IF($A$11=$BS$1,$BS135,IF($A$11=$BT$1,$BT135,IF($A$11=$BU$1,$BU135,IF($A$11="",INDEX(Tiere!$BN$2:$BN$153,_xlfn.AGGREGATE(15,6,(ROW(Tiere!$BN$2:$BN$153)-1)/(--(SEARCH(AW$2,Tiere!$BN$2:$BN$153)&gt;0)),ROW()-2),1))))))))),"")</f>
        <v>Zwergrind - Milch- bzw. Ammenkühe (4000 kg Milch)  - Tiefstallmist</v>
      </c>
      <c r="AW136" s="1599"/>
      <c r="AX136" s="1624" t="str">
        <f>IFERROR(IF($A$12=$BO$1,$BO135,IF($A$12=$BP$1,$BP135,IF($A$12=$BQ$1,$BQ135,IF($A$12=$BR$1,$BR135,IF($A$12=$BS$1,$BS135,IF($A$12=$BT$1,$BT135,IF($A$12=$BU$1,$BU135,IF($A$12="",INDEX(Tiere!$BN$2:$BN$153,_xlfn.AGGREGATE(15,6,(ROW(Tiere!$BN$2:$BN$153)-1)/(--(SEARCH(AY$2,Tiere!$BN$2:$BN$153)&gt;0)),ROW()-2),1))))))))),"")</f>
        <v>Zwergrind - Milch- bzw. Ammenkühe (4000 kg Milch)  - Tiefstallmist</v>
      </c>
      <c r="AY136" s="1599"/>
      <c r="AZ136" s="1624" t="str">
        <f>IFERROR(IF($A$13=$BO$1,$BO135,IF($A$13=$BP$1,$BP135,IF($A$13=$BQ$1,$BQ135,IF($A$13=$BR$1,$BR135,IF($A$13=$BS$1,$BS135,IF($A$13=$BT$1,$BT135,IF($A$13=$BU$1,$BU135,IF($A$13="",INDEX(Tiere!$BN$2:$BN$153,_xlfn.AGGREGATE(15,6,(ROW(Tiere!$BN$2:$BN$153)-1)/(--(SEARCH(BA$2,Tiere!$BN$2:$BN$153)&gt;0)),ROW()-2),1))))))))),"")</f>
        <v>Zwergrind - Milch- bzw. Ammenkühe (4000 kg Milch)  - Tiefstallmist</v>
      </c>
      <c r="BA136" s="1599"/>
      <c r="BB136" s="1624" t="str">
        <f>IFERROR(IF($A$14=$BO$1,$BO135,IF($A$14=$BP$1,$BP135,IF($A$14=$BQ$1,$BQ135,IF($A$14=$BR$1,$BR135,IF($A$14=$BS$1,$BS135,IF($A$14=$BT$1,$BT135,IF($A$14=$BU$1,$BU135,IF($A$14="",INDEX(Tiere!$BN$2:$BN$153,_xlfn.AGGREGATE(15,6,(ROW(Tiere!$BN$2:$BN$153)-1)/(--(SEARCH(BC$2,Tiere!$BN$2:$BN$153)&gt;0)),ROW()-2),1))))))))),"")</f>
        <v>Zwergrind - Milch- bzw. Ammenkühe (4000 kg Milch)  - Tiefstallmist</v>
      </c>
      <c r="BC136" s="1599"/>
      <c r="BD136" s="1624" t="str">
        <f>IFERROR(IF($A$15=$BO$1,$BO135,IF($A$15=$BP$1,$BP135,IF($A$15=$BQ$1,$BQ135,IF($A$15=$BR$1,$BR135,IF($A$15=$BS$1,$BS135,IF($A$15=$BT$1,$BT135,IF($A$15=$BU$1,$BU135,IF($A$15="",INDEX(Tiere!$BN$2:$BN$153,_xlfn.AGGREGATE(15,6,(ROW(Tiere!$BN$2:$BN$153)-1)/(--(SEARCH(BE$2,Tiere!$BN$2:$BN$153)&gt;0)),ROW()-2),1))))))))),"")</f>
        <v>Zwergrind - Milch- bzw. Ammenkühe (4000 kg Milch)  - Tiefstallmist</v>
      </c>
      <c r="BE136" s="1599"/>
      <c r="BF136" s="1624" t="str">
        <f>IFERROR(IF($A$16=$BO$1,$BO135,IF($A$16=$BP$1,$BP135,IF($A$16=$BQ$1,$BQ135,IF($A$16=$BR$1,$BR135,IF($A$16=$BS$1,$BS135,IF($A$16=$BT$1,$BT135,IF($A$16=$BU$1,$BU135,IF($A$16="",INDEX(Tiere!$BN$2:$BN$153,_xlfn.AGGREGATE(15,6,(ROW(Tiere!$BN$2:$BN$153)-1)/(--(SEARCH(BG$2,Tiere!$BN$2:$BN$153)&gt;0)),ROW()-2),1))))))))),"")</f>
        <v>Zwergrind - Milch- bzw. Ammenkühe (4000 kg Milch)  - Tiefstallmist</v>
      </c>
      <c r="BG136" s="1599"/>
      <c r="BH136" s="1624" t="str">
        <f>IFERROR(IF($A$17=$BO$1,$BO135,IF($A$17=$BP$1,$BP135,IF($A$17=$BQ$1,$BQ135,IF($A$17=$BR$1,$BR135,IF($A$17=$BS$1,$BS135,IF($A$17=$BT$1,$BT135,IF($A$17=$BU$1,$BU135,IF($A$17="",INDEX(Tiere!$BN$2:$BN$153,_xlfn.AGGREGATE(15,6,(ROW(Tiere!$BN$2:$BN$153)-1)/(--(SEARCH(BI$2,Tiere!$BN$2:$BN$153)&gt;0)),ROW()-2),1))))))))),"")</f>
        <v>Zwergrind - Milch- bzw. Ammenkühe (4000 kg Milch)  - Tiefstallmist</v>
      </c>
      <c r="BI136" s="1599"/>
      <c r="BJ136" s="1624" t="str">
        <f>IFERROR(IF($A$18=$BO$1,$BO135,IF($A$18=$BP$1,$BP135,IF($A$18=$BQ$1,$BQ135,IF($A$18=$BR$1,$BR135,IF($A$18=$BS$1,$BS135,IF($A$18=$BT$1,$BT135,IF($A$18=$BU$1,$BU135,IF($A$18="",INDEX(Tiere!$BN$2:$BN$153,_xlfn.AGGREGATE(15,6,(ROW(Tiere!$BN$2:$BN$153)-1)/(--(SEARCH(BK$2,Tiere!$BN$2:$BN$153)&gt;0)),ROW()-2),1))))))))),"")</f>
        <v>Zwergrind - Milch- bzw. Ammenkühe (4000 kg Milch)  - Tiefstallmist</v>
      </c>
      <c r="BK136" s="1599"/>
      <c r="BL136" s="1624" t="str">
        <f>IFERROR(IF($A$19=$BO$1,$BO135,IF($A$19=$BP$1,$BP135,IF($A$19=$BQ$1,$BQ135,IF($A$19=$BR$1,$BR135,IF($A$19=$BS$1,$BS135,IF($A$19=$BT$1,$BT135,IF($A$19=$BU$1,$BU135,IF($A$19="",INDEX(Tiere!$BN$2:$BN$153,_xlfn.AGGREGATE(15,6,(ROW(Tiere!$BN$2:$BN$153)-1)/(--(SEARCH(BM$2,Tiere!$BN$2:$BN$153)&gt;0)),ROW()-2),1))))))))),"")</f>
        <v>Zwergrind - Milch- bzw. Ammenkühe (4000 kg Milch)  - Tiefstallmist</v>
      </c>
      <c r="BM136" s="1599"/>
      <c r="BN136" s="1630" t="s">
        <v>819</v>
      </c>
      <c r="BO136" s="1599"/>
      <c r="BP136" s="1599"/>
      <c r="BQ136" s="1599"/>
      <c r="BR136" s="1599"/>
      <c r="BS136" s="1599"/>
      <c r="BT136" s="1599"/>
      <c r="BU136" s="1599"/>
      <c r="CD136" s="1911" t="s">
        <v>819</v>
      </c>
    </row>
    <row r="137" spans="36:82" ht="13.5" thickBot="1">
      <c r="AJ137" s="1624" t="str">
        <f>IFERROR(IF($A$5=$BO$1,$BO136,IF($A$5=$BP$1,$BP136,IF($A$5=$BQ$1,$BQ136,IF($A$5=$BR$1,$BR136,IF($A$5=$BS$1,$BS136,IF($A$5=$BT$1,$BT136,IF($A$5=$BU$1,$BU136,IF($A$5="",INDEX(Tiere!$BN$2:$BN$153,_xlfn.AGGREGATE(15,6,(ROW(Tiere!$BN$2:$BN$153)-1)/(--(SEARCH(AK$2,Tiere!$BN$2:$BN$153)&gt;0)),ROW()-2),1))))))))),"")</f>
        <v>Zwergrind - Milchkühe (5000 kg Milch) - Gülle</v>
      </c>
      <c r="AK137" s="1601"/>
      <c r="AL137" s="1624" t="str">
        <f>IFERROR(IF($A$6=$BO$1,$BO136,IF($A$6=$BP$1,$BP136,IF($A$6=$BQ$1,$BQ136,IF($A$6=$BR$1,$BR136,IF($A$6=$BS$1,$BS136,IF($A$6=$BT$1,$BT136,IF($A$6=$BU$1,$BU136,IF($A$6="",INDEX(Tiere!$BN$2:$BN$153,_xlfn.AGGREGATE(15,6,(ROW(Tiere!$BN$2:$BN$153)-1)/(--(SEARCH(AM$2,Tiere!$BN$2:$BN$153)&gt;0)),ROW()-2),1))))))))),"")</f>
        <v>Zwergrind - Milchkühe (5000 kg Milch) - Gülle</v>
      </c>
      <c r="AM137" s="1601"/>
      <c r="AN137" s="1624" t="str">
        <f>IFERROR(IF($A$7=$BO$1,$BO136,IF($A$7=$BP$1,$BP136,IF($A$7=$BQ$1,$BQ136,IF($A$7=$BR$1,$BR136,IF($A$7=$BS$1,$BS136,IF($A$7=$BT$1,$BT136,IF($A$7=$BU$1,$BU136,IF($A$7="",INDEX(Tiere!$BN$2:$BN$153,_xlfn.AGGREGATE(15,6,(ROW(Tiere!$BN$2:$BN$153)-1)/(--(SEARCH(AM$2,Tiere!$BN$2:$BN$153)&gt;0)),ROW()-2),1))))))))),"")</f>
        <v>Zwergrind - Milchkühe (5000 kg Milch) - Gülle</v>
      </c>
      <c r="AO137" s="1601"/>
      <c r="AP137" s="1624" t="str">
        <f>IFERROR(IF($A$8=$BO$1,$BO136,IF($A$8=$BP$1,$BP136,IF($A$8=$BQ$1,$BQ136,IF($A$8=$BR$1,$BR136,IF($A$8=$BS$1,$BS136,IF($A$8=$BT$1,$BT136,IF($A$8=$BU$1,$BU136,IF($A$8="",INDEX(Tiere!$BN$2:$BN$153,_xlfn.AGGREGATE(15,6,(ROW(Tiere!$BN$2:$BN$153)-1)/(--(SEARCH(AQ$2,Tiere!$BN$2:$BN$153)&gt;0)),ROW()-2),1))))))))),"")</f>
        <v>Zwergrind - Milchkühe (5000 kg Milch) - Gülle</v>
      </c>
      <c r="AQ137" s="1601"/>
      <c r="AR137" s="1624" t="str">
        <f>IFERROR(IF($A$9=$BO$1,$BO136,IF($A$9=$BP$1,$BP136,IF($A$9=$BQ$1,$BQ136,IF($A$9=$BR$1,$BR136,IF($A$9=$BS$1,$BS136,IF($A$9=$BT$1,$BT136,IF($A$9=$BU$1,$BU136,IF($A$9="",INDEX(Tiere!$BN$2:$BN$153,_xlfn.AGGREGATE(15,6,(ROW(Tiere!$BN$2:$BN$153)-1)/(--(SEARCH(AS$2,Tiere!$BN$2:$BN$153)&gt;0)),ROW()-2),1))))))))),"")</f>
        <v>Zwergrind - Milchkühe (5000 kg Milch) - Gülle</v>
      </c>
      <c r="AS137" s="1601"/>
      <c r="AT137" s="1624" t="str">
        <f>IFERROR(IF($A$10=$BO$1,$BO136,IF($A$10=$BP$1,$BP136,IF($A$10=$BQ$1,$BQ136,IF($A$10=$BR$1,$BR136,IF($A$10=$BS$1,$BS136,IF($A$10=$BT$1,$BT136,IF($A$10=$BU$1,$BU136,IF($A$10="",INDEX(Tiere!$BN$2:$BN$153,_xlfn.AGGREGATE(15,6,(ROW(Tiere!$BN$2:$BN$153)-1)/(--(SEARCH(AU$2,Tiere!$BN$2:$BN$153)&gt;0)),ROW()-2),1))))))))),"")</f>
        <v>Zwergrind - Milchkühe (5000 kg Milch) - Gülle</v>
      </c>
      <c r="AU137" s="1601"/>
      <c r="AV137" s="1624" t="str">
        <f>IFERROR(IF($A$11=$BO$1,$BO136,IF($A$11=$BP$1,$BP136,IF($A$11=$BQ$1,$BQ136,IF($A$11=$BR$1,$BR136,IF($A$11=$BS$1,$BS136,IF($A$11=$BT$1,$BT136,IF($A$11=$BU$1,$BU136,IF($A$11="",INDEX(Tiere!$BN$2:$BN$153,_xlfn.AGGREGATE(15,6,(ROW(Tiere!$BN$2:$BN$153)-1)/(--(SEARCH(AW$2,Tiere!$BN$2:$BN$153)&gt;0)),ROW()-2),1))))))))),"")</f>
        <v>Zwergrind - Milchkühe (5000 kg Milch) - Gülle</v>
      </c>
      <c r="AW137" s="1601"/>
      <c r="AX137" s="1624" t="str">
        <f>IFERROR(IF($A$12=$BO$1,$BO136,IF($A$12=$BP$1,$BP136,IF($A$12=$BQ$1,$BQ136,IF($A$12=$BR$1,$BR136,IF($A$12=$BS$1,$BS136,IF($A$12=$BT$1,$BT136,IF($A$12=$BU$1,$BU136,IF($A$12="",INDEX(Tiere!$BN$2:$BN$153,_xlfn.AGGREGATE(15,6,(ROW(Tiere!$BN$2:$BN$153)-1)/(--(SEARCH(AY$2,Tiere!$BN$2:$BN$153)&gt;0)),ROW()-2),1))))))))),"")</f>
        <v>Zwergrind - Milchkühe (5000 kg Milch) - Gülle</v>
      </c>
      <c r="AY137" s="1601"/>
      <c r="AZ137" s="1624" t="str">
        <f>IFERROR(IF($A$13=$BO$1,$BO136,IF($A$13=$BP$1,$BP136,IF($A$13=$BQ$1,$BQ136,IF($A$13=$BR$1,$BR136,IF($A$13=$BS$1,$BS136,IF($A$13=$BT$1,$BT136,IF($A$13=$BU$1,$BU136,IF($A$13="",INDEX(Tiere!$BN$2:$BN$153,_xlfn.AGGREGATE(15,6,(ROW(Tiere!$BN$2:$BN$153)-1)/(--(SEARCH(BA$2,Tiere!$BN$2:$BN$153)&gt;0)),ROW()-2),1))))))))),"")</f>
        <v>Zwergrind - Milchkühe (5000 kg Milch) - Gülle</v>
      </c>
      <c r="BA137" s="1601"/>
      <c r="BB137" s="1624" t="str">
        <f>IFERROR(IF($A$14=$BO$1,$BO136,IF($A$14=$BP$1,$BP136,IF($A$14=$BQ$1,$BQ136,IF($A$14=$BR$1,$BR136,IF($A$14=$BS$1,$BS136,IF($A$14=$BT$1,$BT136,IF($A$14=$BU$1,$BU136,IF($A$14="",INDEX(Tiere!$BN$2:$BN$153,_xlfn.AGGREGATE(15,6,(ROW(Tiere!$BN$2:$BN$153)-1)/(--(SEARCH(BC$2,Tiere!$BN$2:$BN$153)&gt;0)),ROW()-2),1))))))))),"")</f>
        <v>Zwergrind - Milchkühe (5000 kg Milch) - Gülle</v>
      </c>
      <c r="BC137" s="1601"/>
      <c r="BD137" s="1624" t="str">
        <f>IFERROR(IF($A$15=$BO$1,$BO136,IF($A$15=$BP$1,$BP136,IF($A$15=$BQ$1,$BQ136,IF($A$15=$BR$1,$BR136,IF($A$15=$BS$1,$BS136,IF($A$15=$BT$1,$BT136,IF($A$15=$BU$1,$BU136,IF($A$15="",INDEX(Tiere!$BN$2:$BN$153,_xlfn.AGGREGATE(15,6,(ROW(Tiere!$BN$2:$BN$153)-1)/(--(SEARCH(BE$2,Tiere!$BN$2:$BN$153)&gt;0)),ROW()-2),1))))))))),"")</f>
        <v>Zwergrind - Milchkühe (5000 kg Milch) - Gülle</v>
      </c>
      <c r="BE137" s="1601"/>
      <c r="BF137" s="1624" t="str">
        <f>IFERROR(IF($A$16=$BO$1,$BO136,IF($A$16=$BP$1,$BP136,IF($A$16=$BQ$1,$BQ136,IF($A$16=$BR$1,$BR136,IF($A$16=$BS$1,$BS136,IF($A$16=$BT$1,$BT136,IF($A$16=$BU$1,$BU136,IF($A$16="",INDEX(Tiere!$BN$2:$BN$153,_xlfn.AGGREGATE(15,6,(ROW(Tiere!$BN$2:$BN$153)-1)/(--(SEARCH(BG$2,Tiere!$BN$2:$BN$153)&gt;0)),ROW()-2),1))))))))),"")</f>
        <v>Zwergrind - Milchkühe (5000 kg Milch) - Gülle</v>
      </c>
      <c r="BG137" s="1601"/>
      <c r="BH137" s="1624" t="str">
        <f>IFERROR(IF($A$17=$BO$1,$BO136,IF($A$17=$BP$1,$BP136,IF($A$17=$BQ$1,$BQ136,IF($A$17=$BR$1,$BR136,IF($A$17=$BS$1,$BS136,IF($A$17=$BT$1,$BT136,IF($A$17=$BU$1,$BU136,IF($A$17="",INDEX(Tiere!$BN$2:$BN$153,_xlfn.AGGREGATE(15,6,(ROW(Tiere!$BN$2:$BN$153)-1)/(--(SEARCH(BI$2,Tiere!$BN$2:$BN$153)&gt;0)),ROW()-2),1))))))))),"")</f>
        <v>Zwergrind - Milchkühe (5000 kg Milch) - Gülle</v>
      </c>
      <c r="BI137" s="1601"/>
      <c r="BJ137" s="1624" t="str">
        <f>IFERROR(IF($A$18=$BO$1,$BO136,IF($A$18=$BP$1,$BP136,IF($A$18=$BQ$1,$BQ136,IF($A$18=$BR$1,$BR136,IF($A$18=$BS$1,$BS136,IF($A$18=$BT$1,$BT136,IF($A$18=$BU$1,$BU136,IF($A$18="",INDEX(Tiere!$BN$2:$BN$153,_xlfn.AGGREGATE(15,6,(ROW(Tiere!$BN$2:$BN$153)-1)/(--(SEARCH(BK$2,Tiere!$BN$2:$BN$153)&gt;0)),ROW()-2),1))))))))),"")</f>
        <v>Zwergrind - Milchkühe (5000 kg Milch) - Gülle</v>
      </c>
      <c r="BK137" s="1601"/>
      <c r="BL137" s="1624" t="str">
        <f>IFERROR(IF($A$19=$BO$1,$BO136,IF($A$19=$BP$1,$BP136,IF($A$19=$BQ$1,$BQ136,IF($A$19=$BR$1,$BR136,IF($A$19=$BS$1,$BS136,IF($A$19=$BT$1,$BT136,IF($A$19=$BU$1,$BU136,IF($A$19="",INDEX(Tiere!$BN$2:$BN$153,_xlfn.AGGREGATE(15,6,(ROW(Tiere!$BN$2:$BN$153)-1)/(--(SEARCH(BM$2,Tiere!$BN$2:$BN$153)&gt;0)),ROW()-2),1))))))))),"")</f>
        <v>Zwergrind - Milchkühe (5000 kg Milch) - Gülle</v>
      </c>
      <c r="BM137" s="1601"/>
      <c r="BN137" s="1630" t="s">
        <v>820</v>
      </c>
      <c r="BO137" s="1599"/>
      <c r="BP137" s="1599"/>
      <c r="BQ137" s="1599"/>
      <c r="BR137" s="1599"/>
      <c r="BS137" s="1599"/>
      <c r="BT137" s="1599"/>
      <c r="BU137" s="1599"/>
      <c r="CD137" s="1911" t="s">
        <v>820</v>
      </c>
    </row>
    <row r="138" spans="36:82" ht="13.5" thickBot="1">
      <c r="AJ138" s="1624" t="str">
        <f>IFERROR(IF($A$5=$BO$1,$BO137,IF($A$5=$BP$1,$BP137,IF($A$5=$BQ$1,$BQ137,IF($A$5=$BR$1,$BR137,IF($A$5=$BS$1,$BS137,IF($A$5=$BT$1,$BT137,IF($A$5=$BU$1,$BU137,IF($A$5="",INDEX(Tiere!$BN$2:$BN$153,_xlfn.AGGREGATE(15,6,(ROW(Tiere!$BN$2:$BN$153)-1)/(--(SEARCH(AK$2,Tiere!$BN$2:$BN$153)&gt;0)),ROW()-2),1))))))))),"")</f>
        <v>Zwergrind - Milchkühe (5000 kg Milch) - Mist/Jauche</v>
      </c>
      <c r="AK138" s="1599"/>
      <c r="AL138" s="1624" t="str">
        <f>IFERROR(IF($A$6=$BO$1,$BO137,IF($A$6=$BP$1,$BP137,IF($A$6=$BQ$1,$BQ137,IF($A$6=$BR$1,$BR137,IF($A$6=$BS$1,$BS137,IF($A$6=$BT$1,$BT137,IF($A$6=$BU$1,$BU137,IF($A$6="",INDEX(Tiere!$BN$2:$BN$153,_xlfn.AGGREGATE(15,6,(ROW(Tiere!$BN$2:$BN$153)-1)/(--(SEARCH(AM$2,Tiere!$BN$2:$BN$153)&gt;0)),ROW()-2),1))))))))),"")</f>
        <v>Zwergrind - Milchkühe (5000 kg Milch) - Mist/Jauche</v>
      </c>
      <c r="AM138" s="1599"/>
      <c r="AN138" s="1624" t="str">
        <f>IFERROR(IF($A$7=$BO$1,$BO137,IF($A$7=$BP$1,$BP137,IF($A$7=$BQ$1,$BQ137,IF($A$7=$BR$1,$BR137,IF($A$7=$BS$1,$BS137,IF($A$7=$BT$1,$BT137,IF($A$7=$BU$1,$BU137,IF($A$7="",INDEX(Tiere!$BN$2:$BN$153,_xlfn.AGGREGATE(15,6,(ROW(Tiere!$BN$2:$BN$153)-1)/(--(SEARCH(AM$2,Tiere!$BN$2:$BN$153)&gt;0)),ROW()-2),1))))))))),"")</f>
        <v>Zwergrind - Milchkühe (5000 kg Milch) - Mist/Jauche</v>
      </c>
      <c r="AO138" s="1599"/>
      <c r="AP138" s="1624" t="str">
        <f>IFERROR(IF($A$8=$BO$1,$BO137,IF($A$8=$BP$1,$BP137,IF($A$8=$BQ$1,$BQ137,IF($A$8=$BR$1,$BR137,IF($A$8=$BS$1,$BS137,IF($A$8=$BT$1,$BT137,IF($A$8=$BU$1,$BU137,IF($A$8="",INDEX(Tiere!$BN$2:$BN$153,_xlfn.AGGREGATE(15,6,(ROW(Tiere!$BN$2:$BN$153)-1)/(--(SEARCH(AQ$2,Tiere!$BN$2:$BN$153)&gt;0)),ROW()-2),1))))))))),"")</f>
        <v>Zwergrind - Milchkühe (5000 kg Milch) - Mist/Jauche</v>
      </c>
      <c r="AQ138" s="1599"/>
      <c r="AR138" s="1624" t="str">
        <f>IFERROR(IF($A$9=$BO$1,$BO137,IF($A$9=$BP$1,$BP137,IF($A$9=$BQ$1,$BQ137,IF($A$9=$BR$1,$BR137,IF($A$9=$BS$1,$BS137,IF($A$9=$BT$1,$BT137,IF($A$9=$BU$1,$BU137,IF($A$9="",INDEX(Tiere!$BN$2:$BN$153,_xlfn.AGGREGATE(15,6,(ROW(Tiere!$BN$2:$BN$153)-1)/(--(SEARCH(AS$2,Tiere!$BN$2:$BN$153)&gt;0)),ROW()-2),1))))))))),"")</f>
        <v>Zwergrind - Milchkühe (5000 kg Milch) - Mist/Jauche</v>
      </c>
      <c r="AS138" s="1599"/>
      <c r="AT138" s="1624" t="str">
        <f>IFERROR(IF($A$10=$BO$1,$BO137,IF($A$10=$BP$1,$BP137,IF($A$10=$BQ$1,$BQ137,IF($A$10=$BR$1,$BR137,IF($A$10=$BS$1,$BS137,IF($A$10=$BT$1,$BT137,IF($A$10=$BU$1,$BU137,IF($A$10="",INDEX(Tiere!$BN$2:$BN$153,_xlfn.AGGREGATE(15,6,(ROW(Tiere!$BN$2:$BN$153)-1)/(--(SEARCH(AU$2,Tiere!$BN$2:$BN$153)&gt;0)),ROW()-2),1))))))))),"")</f>
        <v>Zwergrind - Milchkühe (5000 kg Milch) - Mist/Jauche</v>
      </c>
      <c r="AU138" s="1599"/>
      <c r="AV138" s="1624" t="str">
        <f>IFERROR(IF($A$11=$BO$1,$BO137,IF($A$11=$BP$1,$BP137,IF($A$11=$BQ$1,$BQ137,IF($A$11=$BR$1,$BR137,IF($A$11=$BS$1,$BS137,IF($A$11=$BT$1,$BT137,IF($A$11=$BU$1,$BU137,IF($A$11="",INDEX(Tiere!$BN$2:$BN$153,_xlfn.AGGREGATE(15,6,(ROW(Tiere!$BN$2:$BN$153)-1)/(--(SEARCH(AW$2,Tiere!$BN$2:$BN$153)&gt;0)),ROW()-2),1))))))))),"")</f>
        <v>Zwergrind - Milchkühe (5000 kg Milch) - Mist/Jauche</v>
      </c>
      <c r="AW138" s="1599"/>
      <c r="AX138" s="1624" t="str">
        <f>IFERROR(IF($A$12=$BO$1,$BO137,IF($A$12=$BP$1,$BP137,IF($A$12=$BQ$1,$BQ137,IF($A$12=$BR$1,$BR137,IF($A$12=$BS$1,$BS137,IF($A$12=$BT$1,$BT137,IF($A$12=$BU$1,$BU137,IF($A$12="",INDEX(Tiere!$BN$2:$BN$153,_xlfn.AGGREGATE(15,6,(ROW(Tiere!$BN$2:$BN$153)-1)/(--(SEARCH(AY$2,Tiere!$BN$2:$BN$153)&gt;0)),ROW()-2),1))))))))),"")</f>
        <v>Zwergrind - Milchkühe (5000 kg Milch) - Mist/Jauche</v>
      </c>
      <c r="AY138" s="1599"/>
      <c r="AZ138" s="1624" t="str">
        <f>IFERROR(IF($A$13=$BO$1,$BO137,IF($A$13=$BP$1,$BP137,IF($A$13=$BQ$1,$BQ137,IF($A$13=$BR$1,$BR137,IF($A$13=$BS$1,$BS137,IF($A$13=$BT$1,$BT137,IF($A$13=$BU$1,$BU137,IF($A$13="",INDEX(Tiere!$BN$2:$BN$153,_xlfn.AGGREGATE(15,6,(ROW(Tiere!$BN$2:$BN$153)-1)/(--(SEARCH(BA$2,Tiere!$BN$2:$BN$153)&gt;0)),ROW()-2),1))))))))),"")</f>
        <v>Zwergrind - Milchkühe (5000 kg Milch) - Mist/Jauche</v>
      </c>
      <c r="BA138" s="1599"/>
      <c r="BB138" s="1624" t="str">
        <f>IFERROR(IF($A$14=$BO$1,$BO137,IF($A$14=$BP$1,$BP137,IF($A$14=$BQ$1,$BQ137,IF($A$14=$BR$1,$BR137,IF($A$14=$BS$1,$BS137,IF($A$14=$BT$1,$BT137,IF($A$14=$BU$1,$BU137,IF($A$14="",INDEX(Tiere!$BN$2:$BN$153,_xlfn.AGGREGATE(15,6,(ROW(Tiere!$BN$2:$BN$153)-1)/(--(SEARCH(BC$2,Tiere!$BN$2:$BN$153)&gt;0)),ROW()-2),1))))))))),"")</f>
        <v>Zwergrind - Milchkühe (5000 kg Milch) - Mist/Jauche</v>
      </c>
      <c r="BC138" s="1599"/>
      <c r="BD138" s="1624" t="str">
        <f>IFERROR(IF($A$15=$BO$1,$BO137,IF($A$15=$BP$1,$BP137,IF($A$15=$BQ$1,$BQ137,IF($A$15=$BR$1,$BR137,IF($A$15=$BS$1,$BS137,IF($A$15=$BT$1,$BT137,IF($A$15=$BU$1,$BU137,IF($A$15="",INDEX(Tiere!$BN$2:$BN$153,_xlfn.AGGREGATE(15,6,(ROW(Tiere!$BN$2:$BN$153)-1)/(--(SEARCH(BE$2,Tiere!$BN$2:$BN$153)&gt;0)),ROW()-2),1))))))))),"")</f>
        <v>Zwergrind - Milchkühe (5000 kg Milch) - Mist/Jauche</v>
      </c>
      <c r="BE138" s="1599"/>
      <c r="BF138" s="1624" t="str">
        <f>IFERROR(IF($A$16=$BO$1,$BO137,IF($A$16=$BP$1,$BP137,IF($A$16=$BQ$1,$BQ137,IF($A$16=$BR$1,$BR137,IF($A$16=$BS$1,$BS137,IF($A$16=$BT$1,$BT137,IF($A$16=$BU$1,$BU137,IF($A$16="",INDEX(Tiere!$BN$2:$BN$153,_xlfn.AGGREGATE(15,6,(ROW(Tiere!$BN$2:$BN$153)-1)/(--(SEARCH(BG$2,Tiere!$BN$2:$BN$153)&gt;0)),ROW()-2),1))))))))),"")</f>
        <v>Zwergrind - Milchkühe (5000 kg Milch) - Mist/Jauche</v>
      </c>
      <c r="BG138" s="1599"/>
      <c r="BH138" s="1624" t="str">
        <f>IFERROR(IF($A$17=$BO$1,$BO137,IF($A$17=$BP$1,$BP137,IF($A$17=$BQ$1,$BQ137,IF($A$17=$BR$1,$BR137,IF($A$17=$BS$1,$BS137,IF($A$17=$BT$1,$BT137,IF($A$17=$BU$1,$BU137,IF($A$17="",INDEX(Tiere!$BN$2:$BN$153,_xlfn.AGGREGATE(15,6,(ROW(Tiere!$BN$2:$BN$153)-1)/(--(SEARCH(BI$2,Tiere!$BN$2:$BN$153)&gt;0)),ROW()-2),1))))))))),"")</f>
        <v>Zwergrind - Milchkühe (5000 kg Milch) - Mist/Jauche</v>
      </c>
      <c r="BI138" s="1599"/>
      <c r="BJ138" s="1624" t="str">
        <f>IFERROR(IF($A$18=$BO$1,$BO137,IF($A$18=$BP$1,$BP137,IF($A$18=$BQ$1,$BQ137,IF($A$18=$BR$1,$BR137,IF($A$18=$BS$1,$BS137,IF($A$18=$BT$1,$BT137,IF($A$18=$BU$1,$BU137,IF($A$18="",INDEX(Tiere!$BN$2:$BN$153,_xlfn.AGGREGATE(15,6,(ROW(Tiere!$BN$2:$BN$153)-1)/(--(SEARCH(BK$2,Tiere!$BN$2:$BN$153)&gt;0)),ROW()-2),1))))))))),"")</f>
        <v>Zwergrind - Milchkühe (5000 kg Milch) - Mist/Jauche</v>
      </c>
      <c r="BK138" s="1599"/>
      <c r="BL138" s="1624" t="str">
        <f>IFERROR(IF($A$19=$BO$1,$BO137,IF($A$19=$BP$1,$BP137,IF($A$19=$BQ$1,$BQ137,IF($A$19=$BR$1,$BR137,IF($A$19=$BS$1,$BS137,IF($A$19=$BT$1,$BT137,IF($A$19=$BU$1,$BU137,IF($A$19="",INDEX(Tiere!$BN$2:$BN$153,_xlfn.AGGREGATE(15,6,(ROW(Tiere!$BN$2:$BN$153)-1)/(--(SEARCH(BM$2,Tiere!$BN$2:$BN$153)&gt;0)),ROW()-2),1))))))))),"")</f>
        <v>Zwergrind - Milchkühe (5000 kg Milch) - Mist/Jauche</v>
      </c>
      <c r="BM138" s="1599"/>
      <c r="BN138" s="1630" t="s">
        <v>821</v>
      </c>
      <c r="BO138" s="1599"/>
      <c r="BP138" s="1599"/>
      <c r="BQ138" s="1599"/>
      <c r="BR138" s="1599"/>
      <c r="BS138" s="1599"/>
      <c r="BT138" s="1599"/>
      <c r="BU138" s="1599"/>
      <c r="CD138" s="1911" t="s">
        <v>821</v>
      </c>
    </row>
    <row r="139" spans="36:82" ht="13.5" thickBot="1">
      <c r="AJ139" s="1624" t="str">
        <f>IFERROR(IF($A$5=$BO$1,$BO138,IF($A$5=$BP$1,$BP138,IF($A$5=$BQ$1,$BQ138,IF($A$5=$BR$1,$BR138,IF($A$5=$BS$1,$BS138,IF($A$5=$BT$1,$BT138,IF($A$5=$BU$1,$BU138,IF($A$5="",INDEX(Tiere!$BN$2:$BN$153,_xlfn.AGGREGATE(15,6,(ROW(Tiere!$BN$2:$BN$153)-1)/(--(SEARCH(AK$2,Tiere!$BN$2:$BN$153)&gt;0)),ROW()-2),1))))))))),"")</f>
        <v>Zwergrind - Milchkühe (5000 kg Milch) - Tiefstallmist</v>
      </c>
      <c r="AK139" s="1601"/>
      <c r="AL139" s="1624" t="str">
        <f>IFERROR(IF($A$6=$BO$1,$BO138,IF($A$6=$BP$1,$BP138,IF($A$6=$BQ$1,$BQ138,IF($A$6=$BR$1,$BR138,IF($A$6=$BS$1,$BS138,IF($A$6=$BT$1,$BT138,IF($A$6=$BU$1,$BU138,IF($A$6="",INDEX(Tiere!$BN$2:$BN$153,_xlfn.AGGREGATE(15,6,(ROW(Tiere!$BN$2:$BN$153)-1)/(--(SEARCH(AM$2,Tiere!$BN$2:$BN$153)&gt;0)),ROW()-2),1))))))))),"")</f>
        <v>Zwergrind - Milchkühe (5000 kg Milch) - Tiefstallmist</v>
      </c>
      <c r="AM139" s="1601"/>
      <c r="AN139" s="1624" t="str">
        <f>IFERROR(IF($A$7=$BO$1,$BO138,IF($A$7=$BP$1,$BP138,IF($A$7=$BQ$1,$BQ138,IF($A$7=$BR$1,$BR138,IF($A$7=$BS$1,$BS138,IF($A$7=$BT$1,$BT138,IF($A$7=$BU$1,$BU138,IF($A$7="",INDEX(Tiere!$BN$2:$BN$153,_xlfn.AGGREGATE(15,6,(ROW(Tiere!$BN$2:$BN$153)-1)/(--(SEARCH(AM$2,Tiere!$BN$2:$BN$153)&gt;0)),ROW()-2),1))))))))),"")</f>
        <v>Zwergrind - Milchkühe (5000 kg Milch) - Tiefstallmist</v>
      </c>
      <c r="AO139" s="1601"/>
      <c r="AP139" s="1624" t="str">
        <f>IFERROR(IF($A$8=$BO$1,$BO138,IF($A$8=$BP$1,$BP138,IF($A$8=$BQ$1,$BQ138,IF($A$8=$BR$1,$BR138,IF($A$8=$BS$1,$BS138,IF($A$8=$BT$1,$BT138,IF($A$8=$BU$1,$BU138,IF($A$8="",INDEX(Tiere!$BN$2:$BN$153,_xlfn.AGGREGATE(15,6,(ROW(Tiere!$BN$2:$BN$153)-1)/(--(SEARCH(AQ$2,Tiere!$BN$2:$BN$153)&gt;0)),ROW()-2),1))))))))),"")</f>
        <v>Zwergrind - Milchkühe (5000 kg Milch) - Tiefstallmist</v>
      </c>
      <c r="AQ139" s="1601"/>
      <c r="AR139" s="1624" t="str">
        <f>IFERROR(IF($A$9=$BO$1,$BO138,IF($A$9=$BP$1,$BP138,IF($A$9=$BQ$1,$BQ138,IF($A$9=$BR$1,$BR138,IF($A$9=$BS$1,$BS138,IF($A$9=$BT$1,$BT138,IF($A$9=$BU$1,$BU138,IF($A$9="",INDEX(Tiere!$BN$2:$BN$153,_xlfn.AGGREGATE(15,6,(ROW(Tiere!$BN$2:$BN$153)-1)/(--(SEARCH(AS$2,Tiere!$BN$2:$BN$153)&gt;0)),ROW()-2),1))))))))),"")</f>
        <v>Zwergrind - Milchkühe (5000 kg Milch) - Tiefstallmist</v>
      </c>
      <c r="AS139" s="1601"/>
      <c r="AT139" s="1624" t="str">
        <f>IFERROR(IF($A$10=$BO$1,$BO138,IF($A$10=$BP$1,$BP138,IF($A$10=$BQ$1,$BQ138,IF($A$10=$BR$1,$BR138,IF($A$10=$BS$1,$BS138,IF($A$10=$BT$1,$BT138,IF($A$10=$BU$1,$BU138,IF($A$10="",INDEX(Tiere!$BN$2:$BN$153,_xlfn.AGGREGATE(15,6,(ROW(Tiere!$BN$2:$BN$153)-1)/(--(SEARCH(AU$2,Tiere!$BN$2:$BN$153)&gt;0)),ROW()-2),1))))))))),"")</f>
        <v>Zwergrind - Milchkühe (5000 kg Milch) - Tiefstallmist</v>
      </c>
      <c r="AU139" s="1601"/>
      <c r="AV139" s="1624" t="str">
        <f>IFERROR(IF($A$11=$BO$1,$BO138,IF($A$11=$BP$1,$BP138,IF($A$11=$BQ$1,$BQ138,IF($A$11=$BR$1,$BR138,IF($A$11=$BS$1,$BS138,IF($A$11=$BT$1,$BT138,IF($A$11=$BU$1,$BU138,IF($A$11="",INDEX(Tiere!$BN$2:$BN$153,_xlfn.AGGREGATE(15,6,(ROW(Tiere!$BN$2:$BN$153)-1)/(--(SEARCH(AW$2,Tiere!$BN$2:$BN$153)&gt;0)),ROW()-2),1))))))))),"")</f>
        <v>Zwergrind - Milchkühe (5000 kg Milch) - Tiefstallmist</v>
      </c>
      <c r="AW139" s="1601"/>
      <c r="AX139" s="1624" t="str">
        <f>IFERROR(IF($A$12=$BO$1,$BO138,IF($A$12=$BP$1,$BP138,IF($A$12=$BQ$1,$BQ138,IF($A$12=$BR$1,$BR138,IF($A$12=$BS$1,$BS138,IF($A$12=$BT$1,$BT138,IF($A$12=$BU$1,$BU138,IF($A$12="",INDEX(Tiere!$BN$2:$BN$153,_xlfn.AGGREGATE(15,6,(ROW(Tiere!$BN$2:$BN$153)-1)/(--(SEARCH(AY$2,Tiere!$BN$2:$BN$153)&gt;0)),ROW()-2),1))))))))),"")</f>
        <v>Zwergrind - Milchkühe (5000 kg Milch) - Tiefstallmist</v>
      </c>
      <c r="AY139" s="1601"/>
      <c r="AZ139" s="1624" t="str">
        <f>IFERROR(IF($A$13=$BO$1,$BO138,IF($A$13=$BP$1,$BP138,IF($A$13=$BQ$1,$BQ138,IF($A$13=$BR$1,$BR138,IF($A$13=$BS$1,$BS138,IF($A$13=$BT$1,$BT138,IF($A$13=$BU$1,$BU138,IF($A$13="",INDEX(Tiere!$BN$2:$BN$153,_xlfn.AGGREGATE(15,6,(ROW(Tiere!$BN$2:$BN$153)-1)/(--(SEARCH(BA$2,Tiere!$BN$2:$BN$153)&gt;0)),ROW()-2),1))))))))),"")</f>
        <v>Zwergrind - Milchkühe (5000 kg Milch) - Tiefstallmist</v>
      </c>
      <c r="BA139" s="1601"/>
      <c r="BB139" s="1624" t="str">
        <f>IFERROR(IF($A$14=$BO$1,$BO138,IF($A$14=$BP$1,$BP138,IF($A$14=$BQ$1,$BQ138,IF($A$14=$BR$1,$BR138,IF($A$14=$BS$1,$BS138,IF($A$14=$BT$1,$BT138,IF($A$14=$BU$1,$BU138,IF($A$14="",INDEX(Tiere!$BN$2:$BN$153,_xlfn.AGGREGATE(15,6,(ROW(Tiere!$BN$2:$BN$153)-1)/(--(SEARCH(BC$2,Tiere!$BN$2:$BN$153)&gt;0)),ROW()-2),1))))))))),"")</f>
        <v>Zwergrind - Milchkühe (5000 kg Milch) - Tiefstallmist</v>
      </c>
      <c r="BC139" s="1601"/>
      <c r="BD139" s="1624" t="str">
        <f>IFERROR(IF($A$15=$BO$1,$BO138,IF($A$15=$BP$1,$BP138,IF($A$15=$BQ$1,$BQ138,IF($A$15=$BR$1,$BR138,IF($A$15=$BS$1,$BS138,IF($A$15=$BT$1,$BT138,IF($A$15=$BU$1,$BU138,IF($A$15="",INDEX(Tiere!$BN$2:$BN$153,_xlfn.AGGREGATE(15,6,(ROW(Tiere!$BN$2:$BN$153)-1)/(--(SEARCH(BE$2,Tiere!$BN$2:$BN$153)&gt;0)),ROW()-2),1))))))))),"")</f>
        <v>Zwergrind - Milchkühe (5000 kg Milch) - Tiefstallmist</v>
      </c>
      <c r="BE139" s="1601"/>
      <c r="BF139" s="1624" t="str">
        <f>IFERROR(IF($A$16=$BO$1,$BO138,IF($A$16=$BP$1,$BP138,IF($A$16=$BQ$1,$BQ138,IF($A$16=$BR$1,$BR138,IF($A$16=$BS$1,$BS138,IF($A$16=$BT$1,$BT138,IF($A$16=$BU$1,$BU138,IF($A$16="",INDEX(Tiere!$BN$2:$BN$153,_xlfn.AGGREGATE(15,6,(ROW(Tiere!$BN$2:$BN$153)-1)/(--(SEARCH(BG$2,Tiere!$BN$2:$BN$153)&gt;0)),ROW()-2),1))))))))),"")</f>
        <v>Zwergrind - Milchkühe (5000 kg Milch) - Tiefstallmist</v>
      </c>
      <c r="BG139" s="1601"/>
      <c r="BH139" s="1624" t="str">
        <f>IFERROR(IF($A$17=$BO$1,$BO138,IF($A$17=$BP$1,$BP138,IF($A$17=$BQ$1,$BQ138,IF($A$17=$BR$1,$BR138,IF($A$17=$BS$1,$BS138,IF($A$17=$BT$1,$BT138,IF($A$17=$BU$1,$BU138,IF($A$17="",INDEX(Tiere!$BN$2:$BN$153,_xlfn.AGGREGATE(15,6,(ROW(Tiere!$BN$2:$BN$153)-1)/(--(SEARCH(BI$2,Tiere!$BN$2:$BN$153)&gt;0)),ROW()-2),1))))))))),"")</f>
        <v>Zwergrind - Milchkühe (5000 kg Milch) - Tiefstallmist</v>
      </c>
      <c r="BI139" s="1601"/>
      <c r="BJ139" s="1624" t="str">
        <f>IFERROR(IF($A$18=$BO$1,$BO138,IF($A$18=$BP$1,$BP138,IF($A$18=$BQ$1,$BQ138,IF($A$18=$BR$1,$BR138,IF($A$18=$BS$1,$BS138,IF($A$18=$BT$1,$BT138,IF($A$18=$BU$1,$BU138,IF($A$18="",INDEX(Tiere!$BN$2:$BN$153,_xlfn.AGGREGATE(15,6,(ROW(Tiere!$BN$2:$BN$153)-1)/(--(SEARCH(BK$2,Tiere!$BN$2:$BN$153)&gt;0)),ROW()-2),1))))))))),"")</f>
        <v>Zwergrind - Milchkühe (5000 kg Milch) - Tiefstallmist</v>
      </c>
      <c r="BK139" s="1601"/>
      <c r="BL139" s="1624" t="str">
        <f>IFERROR(IF($A$19=$BO$1,$BO138,IF($A$19=$BP$1,$BP138,IF($A$19=$BQ$1,$BQ138,IF($A$19=$BR$1,$BR138,IF($A$19=$BS$1,$BS138,IF($A$19=$BT$1,$BT138,IF($A$19=$BU$1,$BU138,IF($A$19="",INDEX(Tiere!$BN$2:$BN$153,_xlfn.AGGREGATE(15,6,(ROW(Tiere!$BN$2:$BN$153)-1)/(--(SEARCH(BM$2,Tiere!$BN$2:$BN$153)&gt;0)),ROW()-2),1))))))))),"")</f>
        <v>Zwergrind - Milchkühe (5000 kg Milch) - Tiefstallmist</v>
      </c>
      <c r="BM139" s="1601"/>
      <c r="BN139" s="1630" t="s">
        <v>822</v>
      </c>
      <c r="BO139" s="1599"/>
      <c r="BP139" s="1599"/>
      <c r="BQ139" s="1599"/>
      <c r="BR139" s="1599"/>
      <c r="BS139" s="1599"/>
      <c r="BT139" s="1599"/>
      <c r="BU139" s="1599"/>
      <c r="CD139" s="1911" t="s">
        <v>822</v>
      </c>
    </row>
    <row r="140" spans="36:82" ht="13.5" thickBot="1">
      <c r="AJ140" s="1624" t="str">
        <f>IFERROR(IF($A$5=$BO$1,$BO139,IF($A$5=$BP$1,$BP139,IF($A$5=$BQ$1,$BQ139,IF($A$5=$BR$1,$BR139,IF($A$5=$BS$1,$BS139,IF($A$5=$BT$1,$BT139,IF($A$5=$BU$1,$BU139,IF($A$5="",INDEX(Tiere!$BN$2:$BN$153,_xlfn.AGGREGATE(15,6,(ROW(Tiere!$BN$2:$BN$153)-1)/(--(SEARCH(AK$2,Tiere!$BN$2:$BN$153)&gt;0)),ROW()-2),1))))))))),"")</f>
        <v>Zwergrind - Milchkühe (6000 kg Milch) - Gülle</v>
      </c>
      <c r="AK140" s="1599"/>
      <c r="AL140" s="1624" t="str">
        <f>IFERROR(IF($A$6=$BO$1,$BO139,IF($A$6=$BP$1,$BP139,IF($A$6=$BQ$1,$BQ139,IF($A$6=$BR$1,$BR139,IF($A$6=$BS$1,$BS139,IF($A$6=$BT$1,$BT139,IF($A$6=$BU$1,$BU139,IF($A$6="",INDEX(Tiere!$BN$2:$BN$153,_xlfn.AGGREGATE(15,6,(ROW(Tiere!$BN$2:$BN$153)-1)/(--(SEARCH(AM$2,Tiere!$BN$2:$BN$153)&gt;0)),ROW()-2),1))))))))),"")</f>
        <v>Zwergrind - Milchkühe (6000 kg Milch) - Gülle</v>
      </c>
      <c r="AM140" s="1599"/>
      <c r="AN140" s="1624" t="str">
        <f>IFERROR(IF($A$7=$BO$1,$BO139,IF($A$7=$BP$1,$BP139,IF($A$7=$BQ$1,$BQ139,IF($A$7=$BR$1,$BR139,IF($A$7=$BS$1,$BS139,IF($A$7=$BT$1,$BT139,IF($A$7=$BU$1,$BU139,IF($A$7="",INDEX(Tiere!$BN$2:$BN$153,_xlfn.AGGREGATE(15,6,(ROW(Tiere!$BN$2:$BN$153)-1)/(--(SEARCH(AM$2,Tiere!$BN$2:$BN$153)&gt;0)),ROW()-2),1))))))))),"")</f>
        <v>Zwergrind - Milchkühe (6000 kg Milch) - Gülle</v>
      </c>
      <c r="AO140" s="1599"/>
      <c r="AP140" s="1624" t="str">
        <f>IFERROR(IF($A$8=$BO$1,$BO139,IF($A$8=$BP$1,$BP139,IF($A$8=$BQ$1,$BQ139,IF($A$8=$BR$1,$BR139,IF($A$8=$BS$1,$BS139,IF($A$8=$BT$1,$BT139,IF($A$8=$BU$1,$BU139,IF($A$8="",INDEX(Tiere!$BN$2:$BN$153,_xlfn.AGGREGATE(15,6,(ROW(Tiere!$BN$2:$BN$153)-1)/(--(SEARCH(AQ$2,Tiere!$BN$2:$BN$153)&gt;0)),ROW()-2),1))))))))),"")</f>
        <v>Zwergrind - Milchkühe (6000 kg Milch) - Gülle</v>
      </c>
      <c r="AQ140" s="1599"/>
      <c r="AR140" s="1624" t="str">
        <f>IFERROR(IF($A$9=$BO$1,$BO139,IF($A$9=$BP$1,$BP139,IF($A$9=$BQ$1,$BQ139,IF($A$9=$BR$1,$BR139,IF($A$9=$BS$1,$BS139,IF($A$9=$BT$1,$BT139,IF($A$9=$BU$1,$BU139,IF($A$9="",INDEX(Tiere!$BN$2:$BN$153,_xlfn.AGGREGATE(15,6,(ROW(Tiere!$BN$2:$BN$153)-1)/(--(SEARCH(AS$2,Tiere!$BN$2:$BN$153)&gt;0)),ROW()-2),1))))))))),"")</f>
        <v>Zwergrind - Milchkühe (6000 kg Milch) - Gülle</v>
      </c>
      <c r="AS140" s="1599"/>
      <c r="AT140" s="1624" t="str">
        <f>IFERROR(IF($A$10=$BO$1,$BO139,IF($A$10=$BP$1,$BP139,IF($A$10=$BQ$1,$BQ139,IF($A$10=$BR$1,$BR139,IF($A$10=$BS$1,$BS139,IF($A$10=$BT$1,$BT139,IF($A$10=$BU$1,$BU139,IF($A$10="",INDEX(Tiere!$BN$2:$BN$153,_xlfn.AGGREGATE(15,6,(ROW(Tiere!$BN$2:$BN$153)-1)/(--(SEARCH(AU$2,Tiere!$BN$2:$BN$153)&gt;0)),ROW()-2),1))))))))),"")</f>
        <v>Zwergrind - Milchkühe (6000 kg Milch) - Gülle</v>
      </c>
      <c r="AU140" s="1599"/>
      <c r="AV140" s="1624" t="str">
        <f>IFERROR(IF($A$11=$BO$1,$BO139,IF($A$11=$BP$1,$BP139,IF($A$11=$BQ$1,$BQ139,IF($A$11=$BR$1,$BR139,IF($A$11=$BS$1,$BS139,IF($A$11=$BT$1,$BT139,IF($A$11=$BU$1,$BU139,IF($A$11="",INDEX(Tiere!$BN$2:$BN$153,_xlfn.AGGREGATE(15,6,(ROW(Tiere!$BN$2:$BN$153)-1)/(--(SEARCH(AW$2,Tiere!$BN$2:$BN$153)&gt;0)),ROW()-2),1))))))))),"")</f>
        <v>Zwergrind - Milchkühe (6000 kg Milch) - Gülle</v>
      </c>
      <c r="AW140" s="1599"/>
      <c r="AX140" s="1624" t="str">
        <f>IFERROR(IF($A$12=$BO$1,$BO139,IF($A$12=$BP$1,$BP139,IF($A$12=$BQ$1,$BQ139,IF($A$12=$BR$1,$BR139,IF($A$12=$BS$1,$BS139,IF($A$12=$BT$1,$BT139,IF($A$12=$BU$1,$BU139,IF($A$12="",INDEX(Tiere!$BN$2:$BN$153,_xlfn.AGGREGATE(15,6,(ROW(Tiere!$BN$2:$BN$153)-1)/(--(SEARCH(AY$2,Tiere!$BN$2:$BN$153)&gt;0)),ROW()-2),1))))))))),"")</f>
        <v>Zwergrind - Milchkühe (6000 kg Milch) - Gülle</v>
      </c>
      <c r="AY140" s="1599"/>
      <c r="AZ140" s="1624" t="str">
        <f>IFERROR(IF($A$13=$BO$1,$BO139,IF($A$13=$BP$1,$BP139,IF($A$13=$BQ$1,$BQ139,IF($A$13=$BR$1,$BR139,IF($A$13=$BS$1,$BS139,IF($A$13=$BT$1,$BT139,IF($A$13=$BU$1,$BU139,IF($A$13="",INDEX(Tiere!$BN$2:$BN$153,_xlfn.AGGREGATE(15,6,(ROW(Tiere!$BN$2:$BN$153)-1)/(--(SEARCH(BA$2,Tiere!$BN$2:$BN$153)&gt;0)),ROW()-2),1))))))))),"")</f>
        <v>Zwergrind - Milchkühe (6000 kg Milch) - Gülle</v>
      </c>
      <c r="BA140" s="1599"/>
      <c r="BB140" s="1624" t="str">
        <f>IFERROR(IF($A$14=$BO$1,$BO139,IF($A$14=$BP$1,$BP139,IF($A$14=$BQ$1,$BQ139,IF($A$14=$BR$1,$BR139,IF($A$14=$BS$1,$BS139,IF($A$14=$BT$1,$BT139,IF($A$14=$BU$1,$BU139,IF($A$14="",INDEX(Tiere!$BN$2:$BN$153,_xlfn.AGGREGATE(15,6,(ROW(Tiere!$BN$2:$BN$153)-1)/(--(SEARCH(BC$2,Tiere!$BN$2:$BN$153)&gt;0)),ROW()-2),1))))))))),"")</f>
        <v>Zwergrind - Milchkühe (6000 kg Milch) - Gülle</v>
      </c>
      <c r="BC140" s="1599"/>
      <c r="BD140" s="1624" t="str">
        <f>IFERROR(IF($A$15=$BO$1,$BO139,IF($A$15=$BP$1,$BP139,IF($A$15=$BQ$1,$BQ139,IF($A$15=$BR$1,$BR139,IF($A$15=$BS$1,$BS139,IF($A$15=$BT$1,$BT139,IF($A$15=$BU$1,$BU139,IF($A$15="",INDEX(Tiere!$BN$2:$BN$153,_xlfn.AGGREGATE(15,6,(ROW(Tiere!$BN$2:$BN$153)-1)/(--(SEARCH(BE$2,Tiere!$BN$2:$BN$153)&gt;0)),ROW()-2),1))))))))),"")</f>
        <v>Zwergrind - Milchkühe (6000 kg Milch) - Gülle</v>
      </c>
      <c r="BE140" s="1599"/>
      <c r="BF140" s="1624" t="str">
        <f>IFERROR(IF($A$16=$BO$1,$BO139,IF($A$16=$BP$1,$BP139,IF($A$16=$BQ$1,$BQ139,IF($A$16=$BR$1,$BR139,IF($A$16=$BS$1,$BS139,IF($A$16=$BT$1,$BT139,IF($A$16=$BU$1,$BU139,IF($A$16="",INDEX(Tiere!$BN$2:$BN$153,_xlfn.AGGREGATE(15,6,(ROW(Tiere!$BN$2:$BN$153)-1)/(--(SEARCH(BG$2,Tiere!$BN$2:$BN$153)&gt;0)),ROW()-2),1))))))))),"")</f>
        <v>Zwergrind - Milchkühe (6000 kg Milch) - Gülle</v>
      </c>
      <c r="BG140" s="1599"/>
      <c r="BH140" s="1624" t="str">
        <f>IFERROR(IF($A$17=$BO$1,$BO139,IF($A$17=$BP$1,$BP139,IF($A$17=$BQ$1,$BQ139,IF($A$17=$BR$1,$BR139,IF($A$17=$BS$1,$BS139,IF($A$17=$BT$1,$BT139,IF($A$17=$BU$1,$BU139,IF($A$17="",INDEX(Tiere!$BN$2:$BN$153,_xlfn.AGGREGATE(15,6,(ROW(Tiere!$BN$2:$BN$153)-1)/(--(SEARCH(BI$2,Tiere!$BN$2:$BN$153)&gt;0)),ROW()-2),1))))))))),"")</f>
        <v>Zwergrind - Milchkühe (6000 kg Milch) - Gülle</v>
      </c>
      <c r="BI140" s="1599"/>
      <c r="BJ140" s="1624" t="str">
        <f>IFERROR(IF($A$18=$BO$1,$BO139,IF($A$18=$BP$1,$BP139,IF($A$18=$BQ$1,$BQ139,IF($A$18=$BR$1,$BR139,IF($A$18=$BS$1,$BS139,IF($A$18=$BT$1,$BT139,IF($A$18=$BU$1,$BU139,IF($A$18="",INDEX(Tiere!$BN$2:$BN$153,_xlfn.AGGREGATE(15,6,(ROW(Tiere!$BN$2:$BN$153)-1)/(--(SEARCH(BK$2,Tiere!$BN$2:$BN$153)&gt;0)),ROW()-2),1))))))))),"")</f>
        <v>Zwergrind - Milchkühe (6000 kg Milch) - Gülle</v>
      </c>
      <c r="BK140" s="1599"/>
      <c r="BL140" s="1624" t="str">
        <f>IFERROR(IF($A$19=$BO$1,$BO139,IF($A$19=$BP$1,$BP139,IF($A$19=$BQ$1,$BQ139,IF($A$19=$BR$1,$BR139,IF($A$19=$BS$1,$BS139,IF($A$19=$BT$1,$BT139,IF($A$19=$BU$1,$BU139,IF($A$19="",INDEX(Tiere!$BN$2:$BN$153,_xlfn.AGGREGATE(15,6,(ROW(Tiere!$BN$2:$BN$153)-1)/(--(SEARCH(BM$2,Tiere!$BN$2:$BN$153)&gt;0)),ROW()-2),1))))))))),"")</f>
        <v>Zwergrind - Milchkühe (6000 kg Milch) - Gülle</v>
      </c>
      <c r="BM140" s="1599"/>
      <c r="BN140" s="1630" t="s">
        <v>823</v>
      </c>
      <c r="BO140" s="1599"/>
      <c r="BP140" s="1599"/>
      <c r="BQ140" s="1599"/>
      <c r="BR140" s="1599"/>
      <c r="BS140" s="1599"/>
      <c r="BT140" s="1599"/>
      <c r="BU140" s="1599"/>
      <c r="CD140" s="1911" t="s">
        <v>823</v>
      </c>
    </row>
    <row r="141" spans="36:82" ht="13.5" thickBot="1">
      <c r="AJ141" s="1624" t="str">
        <f>IFERROR(IF($A$5=$BO$1,$BO140,IF($A$5=$BP$1,$BP140,IF($A$5=$BQ$1,$BQ140,IF($A$5=$BR$1,$BR140,IF($A$5=$BS$1,$BS140,IF($A$5=$BT$1,$BT140,IF($A$5=$BU$1,$BU140,IF($A$5="",INDEX(Tiere!$BN$2:$BN$153,_xlfn.AGGREGATE(15,6,(ROW(Tiere!$BN$2:$BN$153)-1)/(--(SEARCH(AK$2,Tiere!$BN$2:$BN$153)&gt;0)),ROW()-2),1))))))))),"")</f>
        <v>Zwergrind - Milchkühe (6000 kg Milch) - Mist/Jauche</v>
      </c>
      <c r="AK141" s="1601"/>
      <c r="AL141" s="1624" t="str">
        <f>IFERROR(IF($A$6=$BO$1,$BO140,IF($A$6=$BP$1,$BP140,IF($A$6=$BQ$1,$BQ140,IF($A$6=$BR$1,$BR140,IF($A$6=$BS$1,$BS140,IF($A$6=$BT$1,$BT140,IF($A$6=$BU$1,$BU140,IF($A$6="",INDEX(Tiere!$BN$2:$BN$153,_xlfn.AGGREGATE(15,6,(ROW(Tiere!$BN$2:$BN$153)-1)/(--(SEARCH(AM$2,Tiere!$BN$2:$BN$153)&gt;0)),ROW()-2),1))))))))),"")</f>
        <v>Zwergrind - Milchkühe (6000 kg Milch) - Mist/Jauche</v>
      </c>
      <c r="AM141" s="1601"/>
      <c r="AN141" s="1624" t="str">
        <f>IFERROR(IF($A$7=$BO$1,$BO140,IF($A$7=$BP$1,$BP140,IF($A$7=$BQ$1,$BQ140,IF($A$7=$BR$1,$BR140,IF($A$7=$BS$1,$BS140,IF($A$7=$BT$1,$BT140,IF($A$7=$BU$1,$BU140,IF($A$7="",INDEX(Tiere!$BN$2:$BN$153,_xlfn.AGGREGATE(15,6,(ROW(Tiere!$BN$2:$BN$153)-1)/(--(SEARCH(AM$2,Tiere!$BN$2:$BN$153)&gt;0)),ROW()-2),1))))))))),"")</f>
        <v>Zwergrind - Milchkühe (6000 kg Milch) - Mist/Jauche</v>
      </c>
      <c r="AO141" s="1601"/>
      <c r="AP141" s="1624" t="str">
        <f>IFERROR(IF($A$8=$BO$1,$BO140,IF($A$8=$BP$1,$BP140,IF($A$8=$BQ$1,$BQ140,IF($A$8=$BR$1,$BR140,IF($A$8=$BS$1,$BS140,IF($A$8=$BT$1,$BT140,IF($A$8=$BU$1,$BU140,IF($A$8="",INDEX(Tiere!$BN$2:$BN$153,_xlfn.AGGREGATE(15,6,(ROW(Tiere!$BN$2:$BN$153)-1)/(--(SEARCH(AQ$2,Tiere!$BN$2:$BN$153)&gt;0)),ROW()-2),1))))))))),"")</f>
        <v>Zwergrind - Milchkühe (6000 kg Milch) - Mist/Jauche</v>
      </c>
      <c r="AQ141" s="1601"/>
      <c r="AR141" s="1624" t="str">
        <f>IFERROR(IF($A$9=$BO$1,$BO140,IF($A$9=$BP$1,$BP140,IF($A$9=$BQ$1,$BQ140,IF($A$9=$BR$1,$BR140,IF($A$9=$BS$1,$BS140,IF($A$9=$BT$1,$BT140,IF($A$9=$BU$1,$BU140,IF($A$9="",INDEX(Tiere!$BN$2:$BN$153,_xlfn.AGGREGATE(15,6,(ROW(Tiere!$BN$2:$BN$153)-1)/(--(SEARCH(AS$2,Tiere!$BN$2:$BN$153)&gt;0)),ROW()-2),1))))))))),"")</f>
        <v>Zwergrind - Milchkühe (6000 kg Milch) - Mist/Jauche</v>
      </c>
      <c r="AS141" s="1601"/>
      <c r="AT141" s="1624" t="str">
        <f>IFERROR(IF($A$10=$BO$1,$BO140,IF($A$10=$BP$1,$BP140,IF($A$10=$BQ$1,$BQ140,IF($A$10=$BR$1,$BR140,IF($A$10=$BS$1,$BS140,IF($A$10=$BT$1,$BT140,IF($A$10=$BU$1,$BU140,IF($A$10="",INDEX(Tiere!$BN$2:$BN$153,_xlfn.AGGREGATE(15,6,(ROW(Tiere!$BN$2:$BN$153)-1)/(--(SEARCH(AU$2,Tiere!$BN$2:$BN$153)&gt;0)),ROW()-2),1))))))))),"")</f>
        <v>Zwergrind - Milchkühe (6000 kg Milch) - Mist/Jauche</v>
      </c>
      <c r="AU141" s="1601"/>
      <c r="AV141" s="1624" t="str">
        <f>IFERROR(IF($A$11=$BO$1,$BO140,IF($A$11=$BP$1,$BP140,IF($A$11=$BQ$1,$BQ140,IF($A$11=$BR$1,$BR140,IF($A$11=$BS$1,$BS140,IF($A$11=$BT$1,$BT140,IF($A$11=$BU$1,$BU140,IF($A$11="",INDEX(Tiere!$BN$2:$BN$153,_xlfn.AGGREGATE(15,6,(ROW(Tiere!$BN$2:$BN$153)-1)/(--(SEARCH(AW$2,Tiere!$BN$2:$BN$153)&gt;0)),ROW()-2),1))))))))),"")</f>
        <v>Zwergrind - Milchkühe (6000 kg Milch) - Mist/Jauche</v>
      </c>
      <c r="AW141" s="1601"/>
      <c r="AX141" s="1624" t="str">
        <f>IFERROR(IF($A$12=$BO$1,$BO140,IF($A$12=$BP$1,$BP140,IF($A$12=$BQ$1,$BQ140,IF($A$12=$BR$1,$BR140,IF($A$12=$BS$1,$BS140,IF($A$12=$BT$1,$BT140,IF($A$12=$BU$1,$BU140,IF($A$12="",INDEX(Tiere!$BN$2:$BN$153,_xlfn.AGGREGATE(15,6,(ROW(Tiere!$BN$2:$BN$153)-1)/(--(SEARCH(AY$2,Tiere!$BN$2:$BN$153)&gt;0)),ROW()-2),1))))))))),"")</f>
        <v>Zwergrind - Milchkühe (6000 kg Milch) - Mist/Jauche</v>
      </c>
      <c r="AY141" s="1601"/>
      <c r="AZ141" s="1624" t="str">
        <f>IFERROR(IF($A$13=$BO$1,$BO140,IF($A$13=$BP$1,$BP140,IF($A$13=$BQ$1,$BQ140,IF($A$13=$BR$1,$BR140,IF($A$13=$BS$1,$BS140,IF($A$13=$BT$1,$BT140,IF($A$13=$BU$1,$BU140,IF($A$13="",INDEX(Tiere!$BN$2:$BN$153,_xlfn.AGGREGATE(15,6,(ROW(Tiere!$BN$2:$BN$153)-1)/(--(SEARCH(BA$2,Tiere!$BN$2:$BN$153)&gt;0)),ROW()-2),1))))))))),"")</f>
        <v>Zwergrind - Milchkühe (6000 kg Milch) - Mist/Jauche</v>
      </c>
      <c r="BA141" s="1601"/>
      <c r="BB141" s="1624" t="str">
        <f>IFERROR(IF($A$14=$BO$1,$BO140,IF($A$14=$BP$1,$BP140,IF($A$14=$BQ$1,$BQ140,IF($A$14=$BR$1,$BR140,IF($A$14=$BS$1,$BS140,IF($A$14=$BT$1,$BT140,IF($A$14=$BU$1,$BU140,IF($A$14="",INDEX(Tiere!$BN$2:$BN$153,_xlfn.AGGREGATE(15,6,(ROW(Tiere!$BN$2:$BN$153)-1)/(--(SEARCH(BC$2,Tiere!$BN$2:$BN$153)&gt;0)),ROW()-2),1))))))))),"")</f>
        <v>Zwergrind - Milchkühe (6000 kg Milch) - Mist/Jauche</v>
      </c>
      <c r="BC141" s="1601"/>
      <c r="BD141" s="1624" t="str">
        <f>IFERROR(IF($A$15=$BO$1,$BO140,IF($A$15=$BP$1,$BP140,IF($A$15=$BQ$1,$BQ140,IF($A$15=$BR$1,$BR140,IF($A$15=$BS$1,$BS140,IF($A$15=$BT$1,$BT140,IF($A$15=$BU$1,$BU140,IF($A$15="",INDEX(Tiere!$BN$2:$BN$153,_xlfn.AGGREGATE(15,6,(ROW(Tiere!$BN$2:$BN$153)-1)/(--(SEARCH(BE$2,Tiere!$BN$2:$BN$153)&gt;0)),ROW()-2),1))))))))),"")</f>
        <v>Zwergrind - Milchkühe (6000 kg Milch) - Mist/Jauche</v>
      </c>
      <c r="BE141" s="1601"/>
      <c r="BF141" s="1624" t="str">
        <f>IFERROR(IF($A$16=$BO$1,$BO140,IF($A$16=$BP$1,$BP140,IF($A$16=$BQ$1,$BQ140,IF($A$16=$BR$1,$BR140,IF($A$16=$BS$1,$BS140,IF($A$16=$BT$1,$BT140,IF($A$16=$BU$1,$BU140,IF($A$16="",INDEX(Tiere!$BN$2:$BN$153,_xlfn.AGGREGATE(15,6,(ROW(Tiere!$BN$2:$BN$153)-1)/(--(SEARCH(BG$2,Tiere!$BN$2:$BN$153)&gt;0)),ROW()-2),1))))))))),"")</f>
        <v>Zwergrind - Milchkühe (6000 kg Milch) - Mist/Jauche</v>
      </c>
      <c r="BG141" s="1601"/>
      <c r="BH141" s="1624" t="str">
        <f>IFERROR(IF($A$17=$BO$1,$BO140,IF($A$17=$BP$1,$BP140,IF($A$17=$BQ$1,$BQ140,IF($A$17=$BR$1,$BR140,IF($A$17=$BS$1,$BS140,IF($A$17=$BT$1,$BT140,IF($A$17=$BU$1,$BU140,IF($A$17="",INDEX(Tiere!$BN$2:$BN$153,_xlfn.AGGREGATE(15,6,(ROW(Tiere!$BN$2:$BN$153)-1)/(--(SEARCH(BI$2,Tiere!$BN$2:$BN$153)&gt;0)),ROW()-2),1))))))))),"")</f>
        <v>Zwergrind - Milchkühe (6000 kg Milch) - Mist/Jauche</v>
      </c>
      <c r="BI141" s="1601"/>
      <c r="BJ141" s="1624" t="str">
        <f>IFERROR(IF($A$18=$BO$1,$BO140,IF($A$18=$BP$1,$BP140,IF($A$18=$BQ$1,$BQ140,IF($A$18=$BR$1,$BR140,IF($A$18=$BS$1,$BS140,IF($A$18=$BT$1,$BT140,IF($A$18=$BU$1,$BU140,IF($A$18="",INDEX(Tiere!$BN$2:$BN$153,_xlfn.AGGREGATE(15,6,(ROW(Tiere!$BN$2:$BN$153)-1)/(--(SEARCH(BK$2,Tiere!$BN$2:$BN$153)&gt;0)),ROW()-2),1))))))))),"")</f>
        <v>Zwergrind - Milchkühe (6000 kg Milch) - Mist/Jauche</v>
      </c>
      <c r="BK141" s="1601"/>
      <c r="BL141" s="1624" t="str">
        <f>IFERROR(IF($A$19=$BO$1,$BO140,IF($A$19=$BP$1,$BP140,IF($A$19=$BQ$1,$BQ140,IF($A$19=$BR$1,$BR140,IF($A$19=$BS$1,$BS140,IF($A$19=$BT$1,$BT140,IF($A$19=$BU$1,$BU140,IF($A$19="",INDEX(Tiere!$BN$2:$BN$153,_xlfn.AGGREGATE(15,6,(ROW(Tiere!$BN$2:$BN$153)-1)/(--(SEARCH(BM$2,Tiere!$BN$2:$BN$153)&gt;0)),ROW()-2),1))))))))),"")</f>
        <v>Zwergrind - Milchkühe (6000 kg Milch) - Mist/Jauche</v>
      </c>
      <c r="BM141" s="1601"/>
      <c r="BN141" s="1630" t="s">
        <v>824</v>
      </c>
      <c r="BO141" s="1599"/>
      <c r="BP141" s="1599"/>
      <c r="BQ141" s="1599"/>
      <c r="BR141" s="1599"/>
      <c r="BS141" s="1599"/>
      <c r="BT141" s="1599"/>
      <c r="BU141" s="1599"/>
      <c r="CD141" s="1911" t="s">
        <v>824</v>
      </c>
    </row>
    <row r="142" spans="36:82" ht="13.5" thickBot="1">
      <c r="AJ142" s="1624" t="str">
        <f>IFERROR(IF($A$5=$BO$1,$BO141,IF($A$5=$BP$1,$BP141,IF($A$5=$BQ$1,$BQ141,IF($A$5=$BR$1,$BR141,IF($A$5=$BS$1,$BS141,IF($A$5=$BT$1,$BT141,IF($A$5=$BU$1,$BU141,IF($A$5="",INDEX(Tiere!$BN$2:$BN$153,_xlfn.AGGREGATE(15,6,(ROW(Tiere!$BN$2:$BN$153)-1)/(--(SEARCH(AK$2,Tiere!$BN$2:$BN$153)&gt;0)),ROW()-2),1))))))))),"")</f>
        <v>Zwergrind - Milchkühe (6000 kg Milch) - Tiefstallmist</v>
      </c>
      <c r="AK142" s="1599"/>
      <c r="AL142" s="1624" t="str">
        <f>IFERROR(IF($A$6=$BO$1,$BO141,IF($A$6=$BP$1,$BP141,IF($A$6=$BQ$1,$BQ141,IF($A$6=$BR$1,$BR141,IF($A$6=$BS$1,$BS141,IF($A$6=$BT$1,$BT141,IF($A$6=$BU$1,$BU141,IF($A$6="",INDEX(Tiere!$BN$2:$BN$153,_xlfn.AGGREGATE(15,6,(ROW(Tiere!$BN$2:$BN$153)-1)/(--(SEARCH(AM$2,Tiere!$BN$2:$BN$153)&gt;0)),ROW()-2),1))))))))),"")</f>
        <v>Zwergrind - Milchkühe (6000 kg Milch) - Tiefstallmist</v>
      </c>
      <c r="AM142" s="1599"/>
      <c r="AN142" s="1624" t="str">
        <f>IFERROR(IF($A$7=$BO$1,$BO141,IF($A$7=$BP$1,$BP141,IF($A$7=$BQ$1,$BQ141,IF($A$7=$BR$1,$BR141,IF($A$7=$BS$1,$BS141,IF($A$7=$BT$1,$BT141,IF($A$7=$BU$1,$BU141,IF($A$7="",INDEX(Tiere!$BN$2:$BN$153,_xlfn.AGGREGATE(15,6,(ROW(Tiere!$BN$2:$BN$153)-1)/(--(SEARCH(AM$2,Tiere!$BN$2:$BN$153)&gt;0)),ROW()-2),1))))))))),"")</f>
        <v>Zwergrind - Milchkühe (6000 kg Milch) - Tiefstallmist</v>
      </c>
      <c r="AO142" s="1599"/>
      <c r="AP142" s="1624" t="str">
        <f>IFERROR(IF($A$8=$BO$1,$BO141,IF($A$8=$BP$1,$BP141,IF($A$8=$BQ$1,$BQ141,IF($A$8=$BR$1,$BR141,IF($A$8=$BS$1,$BS141,IF($A$8=$BT$1,$BT141,IF($A$8=$BU$1,$BU141,IF($A$8="",INDEX(Tiere!$BN$2:$BN$153,_xlfn.AGGREGATE(15,6,(ROW(Tiere!$BN$2:$BN$153)-1)/(--(SEARCH(AQ$2,Tiere!$BN$2:$BN$153)&gt;0)),ROW()-2),1))))))))),"")</f>
        <v>Zwergrind - Milchkühe (6000 kg Milch) - Tiefstallmist</v>
      </c>
      <c r="AQ142" s="1599"/>
      <c r="AR142" s="1624" t="str">
        <f>IFERROR(IF($A$9=$BO$1,$BO141,IF($A$9=$BP$1,$BP141,IF($A$9=$BQ$1,$BQ141,IF($A$9=$BR$1,$BR141,IF($A$9=$BS$1,$BS141,IF($A$9=$BT$1,$BT141,IF($A$9=$BU$1,$BU141,IF($A$9="",INDEX(Tiere!$BN$2:$BN$153,_xlfn.AGGREGATE(15,6,(ROW(Tiere!$BN$2:$BN$153)-1)/(--(SEARCH(AS$2,Tiere!$BN$2:$BN$153)&gt;0)),ROW()-2),1))))))))),"")</f>
        <v>Zwergrind - Milchkühe (6000 kg Milch) - Tiefstallmist</v>
      </c>
      <c r="AS142" s="1599"/>
      <c r="AT142" s="1624" t="str">
        <f>IFERROR(IF($A$10=$BO$1,$BO141,IF($A$10=$BP$1,$BP141,IF($A$10=$BQ$1,$BQ141,IF($A$10=$BR$1,$BR141,IF($A$10=$BS$1,$BS141,IF($A$10=$BT$1,$BT141,IF($A$10=$BU$1,$BU141,IF($A$10="",INDEX(Tiere!$BN$2:$BN$153,_xlfn.AGGREGATE(15,6,(ROW(Tiere!$BN$2:$BN$153)-1)/(--(SEARCH(AU$2,Tiere!$BN$2:$BN$153)&gt;0)),ROW()-2),1))))))))),"")</f>
        <v>Zwergrind - Milchkühe (6000 kg Milch) - Tiefstallmist</v>
      </c>
      <c r="AU142" s="1599"/>
      <c r="AV142" s="1624" t="str">
        <f>IFERROR(IF($A$11=$BO$1,$BO141,IF($A$11=$BP$1,$BP141,IF($A$11=$BQ$1,$BQ141,IF($A$11=$BR$1,$BR141,IF($A$11=$BS$1,$BS141,IF($A$11=$BT$1,$BT141,IF($A$11=$BU$1,$BU141,IF($A$11="",INDEX(Tiere!$BN$2:$BN$153,_xlfn.AGGREGATE(15,6,(ROW(Tiere!$BN$2:$BN$153)-1)/(--(SEARCH(AW$2,Tiere!$BN$2:$BN$153)&gt;0)),ROW()-2),1))))))))),"")</f>
        <v>Zwergrind - Milchkühe (6000 kg Milch) - Tiefstallmist</v>
      </c>
      <c r="AW142" s="1599"/>
      <c r="AX142" s="1624" t="str">
        <f>IFERROR(IF($A$12=$BO$1,$BO141,IF($A$12=$BP$1,$BP141,IF($A$12=$BQ$1,$BQ141,IF($A$12=$BR$1,$BR141,IF($A$12=$BS$1,$BS141,IF($A$12=$BT$1,$BT141,IF($A$12=$BU$1,$BU141,IF($A$12="",INDEX(Tiere!$BN$2:$BN$153,_xlfn.AGGREGATE(15,6,(ROW(Tiere!$BN$2:$BN$153)-1)/(--(SEARCH(AY$2,Tiere!$BN$2:$BN$153)&gt;0)),ROW()-2),1))))))))),"")</f>
        <v>Zwergrind - Milchkühe (6000 kg Milch) - Tiefstallmist</v>
      </c>
      <c r="AY142" s="1599"/>
      <c r="AZ142" s="1624" t="str">
        <f>IFERROR(IF($A$13=$BO$1,$BO141,IF($A$13=$BP$1,$BP141,IF($A$13=$BQ$1,$BQ141,IF($A$13=$BR$1,$BR141,IF($A$13=$BS$1,$BS141,IF($A$13=$BT$1,$BT141,IF($A$13=$BU$1,$BU141,IF($A$13="",INDEX(Tiere!$BN$2:$BN$153,_xlfn.AGGREGATE(15,6,(ROW(Tiere!$BN$2:$BN$153)-1)/(--(SEARCH(BA$2,Tiere!$BN$2:$BN$153)&gt;0)),ROW()-2),1))))))))),"")</f>
        <v>Zwergrind - Milchkühe (6000 kg Milch) - Tiefstallmist</v>
      </c>
      <c r="BA142" s="1599"/>
      <c r="BB142" s="1624" t="str">
        <f>IFERROR(IF($A$14=$BO$1,$BO141,IF($A$14=$BP$1,$BP141,IF($A$14=$BQ$1,$BQ141,IF($A$14=$BR$1,$BR141,IF($A$14=$BS$1,$BS141,IF($A$14=$BT$1,$BT141,IF($A$14=$BU$1,$BU141,IF($A$14="",INDEX(Tiere!$BN$2:$BN$153,_xlfn.AGGREGATE(15,6,(ROW(Tiere!$BN$2:$BN$153)-1)/(--(SEARCH(BC$2,Tiere!$BN$2:$BN$153)&gt;0)),ROW()-2),1))))))))),"")</f>
        <v>Zwergrind - Milchkühe (6000 kg Milch) - Tiefstallmist</v>
      </c>
      <c r="BC142" s="1599"/>
      <c r="BD142" s="1624" t="str">
        <f>IFERROR(IF($A$15=$BO$1,$BO141,IF($A$15=$BP$1,$BP141,IF($A$15=$BQ$1,$BQ141,IF($A$15=$BR$1,$BR141,IF($A$15=$BS$1,$BS141,IF($A$15=$BT$1,$BT141,IF($A$15=$BU$1,$BU141,IF($A$15="",INDEX(Tiere!$BN$2:$BN$153,_xlfn.AGGREGATE(15,6,(ROW(Tiere!$BN$2:$BN$153)-1)/(--(SEARCH(BE$2,Tiere!$BN$2:$BN$153)&gt;0)),ROW()-2),1))))))))),"")</f>
        <v>Zwergrind - Milchkühe (6000 kg Milch) - Tiefstallmist</v>
      </c>
      <c r="BE142" s="1599"/>
      <c r="BF142" s="1624" t="str">
        <f>IFERROR(IF($A$16=$BO$1,$BO141,IF($A$16=$BP$1,$BP141,IF($A$16=$BQ$1,$BQ141,IF($A$16=$BR$1,$BR141,IF($A$16=$BS$1,$BS141,IF($A$16=$BT$1,$BT141,IF($A$16=$BU$1,$BU141,IF($A$16="",INDEX(Tiere!$BN$2:$BN$153,_xlfn.AGGREGATE(15,6,(ROW(Tiere!$BN$2:$BN$153)-1)/(--(SEARCH(BG$2,Tiere!$BN$2:$BN$153)&gt;0)),ROW()-2),1))))))))),"")</f>
        <v>Zwergrind - Milchkühe (6000 kg Milch) - Tiefstallmist</v>
      </c>
      <c r="BG142" s="1599"/>
      <c r="BH142" s="1624" t="str">
        <f>IFERROR(IF($A$17=$BO$1,$BO141,IF($A$17=$BP$1,$BP141,IF($A$17=$BQ$1,$BQ141,IF($A$17=$BR$1,$BR141,IF($A$17=$BS$1,$BS141,IF($A$17=$BT$1,$BT141,IF($A$17=$BU$1,$BU141,IF($A$17="",INDEX(Tiere!$BN$2:$BN$153,_xlfn.AGGREGATE(15,6,(ROW(Tiere!$BN$2:$BN$153)-1)/(--(SEARCH(BI$2,Tiere!$BN$2:$BN$153)&gt;0)),ROW()-2),1))))))))),"")</f>
        <v>Zwergrind - Milchkühe (6000 kg Milch) - Tiefstallmist</v>
      </c>
      <c r="BI142" s="1599"/>
      <c r="BJ142" s="1624" t="str">
        <f>IFERROR(IF($A$18=$BO$1,$BO141,IF($A$18=$BP$1,$BP141,IF($A$18=$BQ$1,$BQ141,IF($A$18=$BR$1,$BR141,IF($A$18=$BS$1,$BS141,IF($A$18=$BT$1,$BT141,IF($A$18=$BU$1,$BU141,IF($A$18="",INDEX(Tiere!$BN$2:$BN$153,_xlfn.AGGREGATE(15,6,(ROW(Tiere!$BN$2:$BN$153)-1)/(--(SEARCH(BK$2,Tiere!$BN$2:$BN$153)&gt;0)),ROW()-2),1))))))))),"")</f>
        <v>Zwergrind - Milchkühe (6000 kg Milch) - Tiefstallmist</v>
      </c>
      <c r="BK142" s="1599"/>
      <c r="BL142" s="1624" t="str">
        <f>IFERROR(IF($A$19=$BO$1,$BO141,IF($A$19=$BP$1,$BP141,IF($A$19=$BQ$1,$BQ141,IF($A$19=$BR$1,$BR141,IF($A$19=$BS$1,$BS141,IF($A$19=$BT$1,$BT141,IF($A$19=$BU$1,$BU141,IF($A$19="",INDEX(Tiere!$BN$2:$BN$153,_xlfn.AGGREGATE(15,6,(ROW(Tiere!$BN$2:$BN$153)-1)/(--(SEARCH(BM$2,Tiere!$BN$2:$BN$153)&gt;0)),ROW()-2),1))))))))),"")</f>
        <v>Zwergrind - Milchkühe (6000 kg Milch) - Tiefstallmist</v>
      </c>
      <c r="BM142" s="1599"/>
      <c r="BN142" s="1630" t="s">
        <v>825</v>
      </c>
      <c r="BO142" s="1599"/>
      <c r="BP142" s="1599"/>
      <c r="BQ142" s="1599"/>
      <c r="BR142" s="1599"/>
      <c r="BS142" s="1599"/>
      <c r="BT142" s="1599"/>
      <c r="BU142" s="1599"/>
      <c r="CD142" s="1911" t="s">
        <v>825</v>
      </c>
    </row>
    <row r="143" spans="36:82" ht="13.5" thickBot="1">
      <c r="AJ143" s="1624" t="str">
        <f>IFERROR(IF($A$5=$BO$1,$BO142,IF($A$5=$BP$1,$BP142,IF($A$5=$BQ$1,$BQ142,IF($A$5=$BR$1,$BR142,IF($A$5=$BS$1,$BS142,IF($A$5=$BT$1,$BT142,IF($A$5=$BU$1,$BU142,IF($A$5="",INDEX(Tiere!$BN$2:$BN$153,_xlfn.AGGREGATE(15,6,(ROW(Tiere!$BN$2:$BN$153)-1)/(--(SEARCH(AK$2,Tiere!$BN$2:$BN$153)&gt;0)),ROW()-2),1))))))))),"")</f>
        <v>Zwergrind - Milchkühe (7000 kg Milch) - Gülle</v>
      </c>
      <c r="AK143" s="1601"/>
      <c r="AL143" s="1624" t="str">
        <f>IFERROR(IF($A$6=$BO$1,$BO142,IF($A$6=$BP$1,$BP142,IF($A$6=$BQ$1,$BQ142,IF($A$6=$BR$1,$BR142,IF($A$6=$BS$1,$BS142,IF($A$6=$BT$1,$BT142,IF($A$6=$BU$1,$BU142,IF($A$6="",INDEX(Tiere!$BN$2:$BN$153,_xlfn.AGGREGATE(15,6,(ROW(Tiere!$BN$2:$BN$153)-1)/(--(SEARCH(AM$2,Tiere!$BN$2:$BN$153)&gt;0)),ROW()-2),1))))))))),"")</f>
        <v>Zwergrind - Milchkühe (7000 kg Milch) - Gülle</v>
      </c>
      <c r="AM143" s="1601"/>
      <c r="AN143" s="1624" t="str">
        <f>IFERROR(IF($A$7=$BO$1,$BO142,IF($A$7=$BP$1,$BP142,IF($A$7=$BQ$1,$BQ142,IF($A$7=$BR$1,$BR142,IF($A$7=$BS$1,$BS142,IF($A$7=$BT$1,$BT142,IF($A$7=$BU$1,$BU142,IF($A$7="",INDEX(Tiere!$BN$2:$BN$153,_xlfn.AGGREGATE(15,6,(ROW(Tiere!$BN$2:$BN$153)-1)/(--(SEARCH(AM$2,Tiere!$BN$2:$BN$153)&gt;0)),ROW()-2),1))))))))),"")</f>
        <v>Zwergrind - Milchkühe (7000 kg Milch) - Gülle</v>
      </c>
      <c r="AO143" s="1601"/>
      <c r="AP143" s="1624" t="str">
        <f>IFERROR(IF($A$8=$BO$1,$BO142,IF($A$8=$BP$1,$BP142,IF($A$8=$BQ$1,$BQ142,IF($A$8=$BR$1,$BR142,IF($A$8=$BS$1,$BS142,IF($A$8=$BT$1,$BT142,IF($A$8=$BU$1,$BU142,IF($A$8="",INDEX(Tiere!$BN$2:$BN$153,_xlfn.AGGREGATE(15,6,(ROW(Tiere!$BN$2:$BN$153)-1)/(--(SEARCH(AQ$2,Tiere!$BN$2:$BN$153)&gt;0)),ROW()-2),1))))))))),"")</f>
        <v>Zwergrind - Milchkühe (7000 kg Milch) - Gülle</v>
      </c>
      <c r="AQ143" s="1601"/>
      <c r="AR143" s="1624" t="str">
        <f>IFERROR(IF($A$9=$BO$1,$BO142,IF($A$9=$BP$1,$BP142,IF($A$9=$BQ$1,$BQ142,IF($A$9=$BR$1,$BR142,IF($A$9=$BS$1,$BS142,IF($A$9=$BT$1,$BT142,IF($A$9=$BU$1,$BU142,IF($A$9="",INDEX(Tiere!$BN$2:$BN$153,_xlfn.AGGREGATE(15,6,(ROW(Tiere!$BN$2:$BN$153)-1)/(--(SEARCH(AS$2,Tiere!$BN$2:$BN$153)&gt;0)),ROW()-2),1))))))))),"")</f>
        <v>Zwergrind - Milchkühe (7000 kg Milch) - Gülle</v>
      </c>
      <c r="AS143" s="1601"/>
      <c r="AT143" s="1624" t="str">
        <f>IFERROR(IF($A$10=$BO$1,$BO142,IF($A$10=$BP$1,$BP142,IF($A$10=$BQ$1,$BQ142,IF($A$10=$BR$1,$BR142,IF($A$10=$BS$1,$BS142,IF($A$10=$BT$1,$BT142,IF($A$10=$BU$1,$BU142,IF($A$10="",INDEX(Tiere!$BN$2:$BN$153,_xlfn.AGGREGATE(15,6,(ROW(Tiere!$BN$2:$BN$153)-1)/(--(SEARCH(AU$2,Tiere!$BN$2:$BN$153)&gt;0)),ROW()-2),1))))))))),"")</f>
        <v>Zwergrind - Milchkühe (7000 kg Milch) - Gülle</v>
      </c>
      <c r="AU143" s="1601"/>
      <c r="AV143" s="1624" t="str">
        <f>IFERROR(IF($A$11=$BO$1,$BO142,IF($A$11=$BP$1,$BP142,IF($A$11=$BQ$1,$BQ142,IF($A$11=$BR$1,$BR142,IF($A$11=$BS$1,$BS142,IF($A$11=$BT$1,$BT142,IF($A$11=$BU$1,$BU142,IF($A$11="",INDEX(Tiere!$BN$2:$BN$153,_xlfn.AGGREGATE(15,6,(ROW(Tiere!$BN$2:$BN$153)-1)/(--(SEARCH(AW$2,Tiere!$BN$2:$BN$153)&gt;0)),ROW()-2),1))))))))),"")</f>
        <v>Zwergrind - Milchkühe (7000 kg Milch) - Gülle</v>
      </c>
      <c r="AW143" s="1601"/>
      <c r="AX143" s="1624" t="str">
        <f>IFERROR(IF($A$12=$BO$1,$BO142,IF($A$12=$BP$1,$BP142,IF($A$12=$BQ$1,$BQ142,IF($A$12=$BR$1,$BR142,IF($A$12=$BS$1,$BS142,IF($A$12=$BT$1,$BT142,IF($A$12=$BU$1,$BU142,IF($A$12="",INDEX(Tiere!$BN$2:$BN$153,_xlfn.AGGREGATE(15,6,(ROW(Tiere!$BN$2:$BN$153)-1)/(--(SEARCH(AY$2,Tiere!$BN$2:$BN$153)&gt;0)),ROW()-2),1))))))))),"")</f>
        <v>Zwergrind - Milchkühe (7000 kg Milch) - Gülle</v>
      </c>
      <c r="AY143" s="1601"/>
      <c r="AZ143" s="1624" t="str">
        <f>IFERROR(IF($A$13=$BO$1,$BO142,IF($A$13=$BP$1,$BP142,IF($A$13=$BQ$1,$BQ142,IF($A$13=$BR$1,$BR142,IF($A$13=$BS$1,$BS142,IF($A$13=$BT$1,$BT142,IF($A$13=$BU$1,$BU142,IF($A$13="",INDEX(Tiere!$BN$2:$BN$153,_xlfn.AGGREGATE(15,6,(ROW(Tiere!$BN$2:$BN$153)-1)/(--(SEARCH(BA$2,Tiere!$BN$2:$BN$153)&gt;0)),ROW()-2),1))))))))),"")</f>
        <v>Zwergrind - Milchkühe (7000 kg Milch) - Gülle</v>
      </c>
      <c r="BA143" s="1601"/>
      <c r="BB143" s="1624" t="str">
        <f>IFERROR(IF($A$14=$BO$1,$BO142,IF($A$14=$BP$1,$BP142,IF($A$14=$BQ$1,$BQ142,IF($A$14=$BR$1,$BR142,IF($A$14=$BS$1,$BS142,IF($A$14=$BT$1,$BT142,IF($A$14=$BU$1,$BU142,IF($A$14="",INDEX(Tiere!$BN$2:$BN$153,_xlfn.AGGREGATE(15,6,(ROW(Tiere!$BN$2:$BN$153)-1)/(--(SEARCH(BC$2,Tiere!$BN$2:$BN$153)&gt;0)),ROW()-2),1))))))))),"")</f>
        <v>Zwergrind - Milchkühe (7000 kg Milch) - Gülle</v>
      </c>
      <c r="BC143" s="1601"/>
      <c r="BD143" s="1624" t="str">
        <f>IFERROR(IF($A$15=$BO$1,$BO142,IF($A$15=$BP$1,$BP142,IF($A$15=$BQ$1,$BQ142,IF($A$15=$BR$1,$BR142,IF($A$15=$BS$1,$BS142,IF($A$15=$BT$1,$BT142,IF($A$15=$BU$1,$BU142,IF($A$15="",INDEX(Tiere!$BN$2:$BN$153,_xlfn.AGGREGATE(15,6,(ROW(Tiere!$BN$2:$BN$153)-1)/(--(SEARCH(BE$2,Tiere!$BN$2:$BN$153)&gt;0)),ROW()-2),1))))))))),"")</f>
        <v>Zwergrind - Milchkühe (7000 kg Milch) - Gülle</v>
      </c>
      <c r="BE143" s="1601"/>
      <c r="BF143" s="1624" t="str">
        <f>IFERROR(IF($A$16=$BO$1,$BO142,IF($A$16=$BP$1,$BP142,IF($A$16=$BQ$1,$BQ142,IF($A$16=$BR$1,$BR142,IF($A$16=$BS$1,$BS142,IF($A$16=$BT$1,$BT142,IF($A$16=$BU$1,$BU142,IF($A$16="",INDEX(Tiere!$BN$2:$BN$153,_xlfn.AGGREGATE(15,6,(ROW(Tiere!$BN$2:$BN$153)-1)/(--(SEARCH(BG$2,Tiere!$BN$2:$BN$153)&gt;0)),ROW()-2),1))))))))),"")</f>
        <v>Zwergrind - Milchkühe (7000 kg Milch) - Gülle</v>
      </c>
      <c r="BG143" s="1601"/>
      <c r="BH143" s="1624" t="str">
        <f>IFERROR(IF($A$17=$BO$1,$BO142,IF($A$17=$BP$1,$BP142,IF($A$17=$BQ$1,$BQ142,IF($A$17=$BR$1,$BR142,IF($A$17=$BS$1,$BS142,IF($A$17=$BT$1,$BT142,IF($A$17=$BU$1,$BU142,IF($A$17="",INDEX(Tiere!$BN$2:$BN$153,_xlfn.AGGREGATE(15,6,(ROW(Tiere!$BN$2:$BN$153)-1)/(--(SEARCH(BI$2,Tiere!$BN$2:$BN$153)&gt;0)),ROW()-2),1))))))))),"")</f>
        <v>Zwergrind - Milchkühe (7000 kg Milch) - Gülle</v>
      </c>
      <c r="BI143" s="1601"/>
      <c r="BJ143" s="1624" t="str">
        <f>IFERROR(IF($A$18=$BO$1,$BO142,IF($A$18=$BP$1,$BP142,IF($A$18=$BQ$1,$BQ142,IF($A$18=$BR$1,$BR142,IF($A$18=$BS$1,$BS142,IF($A$18=$BT$1,$BT142,IF($A$18=$BU$1,$BU142,IF($A$18="",INDEX(Tiere!$BN$2:$BN$153,_xlfn.AGGREGATE(15,6,(ROW(Tiere!$BN$2:$BN$153)-1)/(--(SEARCH(BK$2,Tiere!$BN$2:$BN$153)&gt;0)),ROW()-2),1))))))))),"")</f>
        <v>Zwergrind - Milchkühe (7000 kg Milch) - Gülle</v>
      </c>
      <c r="BK143" s="1601"/>
      <c r="BL143" s="1624" t="str">
        <f>IFERROR(IF($A$19=$BO$1,$BO142,IF($A$19=$BP$1,$BP142,IF($A$19=$BQ$1,$BQ142,IF($A$19=$BR$1,$BR142,IF($A$19=$BS$1,$BS142,IF($A$19=$BT$1,$BT142,IF($A$19=$BU$1,$BU142,IF($A$19="",INDEX(Tiere!$BN$2:$BN$153,_xlfn.AGGREGATE(15,6,(ROW(Tiere!$BN$2:$BN$153)-1)/(--(SEARCH(BM$2,Tiere!$BN$2:$BN$153)&gt;0)),ROW()-2),1))))))))),"")</f>
        <v>Zwergrind - Milchkühe (7000 kg Milch) - Gülle</v>
      </c>
      <c r="BM143" s="1601"/>
      <c r="BN143" s="1630" t="s">
        <v>826</v>
      </c>
      <c r="BO143" s="1599"/>
      <c r="BP143" s="1599"/>
      <c r="BQ143" s="1599"/>
      <c r="BR143" s="1599"/>
      <c r="BS143" s="1599"/>
      <c r="BT143" s="1599"/>
      <c r="BU143" s="1599"/>
      <c r="CD143" s="1911" t="s">
        <v>826</v>
      </c>
    </row>
    <row r="144" spans="36:82" ht="13.5" thickBot="1">
      <c r="AJ144" s="1624" t="str">
        <f>IFERROR(IF($A$5=$BO$1,$BO143,IF($A$5=$BP$1,$BP143,IF($A$5=$BQ$1,$BQ143,IF($A$5=$BR$1,$BR143,IF($A$5=$BS$1,$BS143,IF($A$5=$BT$1,$BT143,IF($A$5=$BU$1,$BU143,IF($A$5="",INDEX(Tiere!$BN$2:$BN$153,_xlfn.AGGREGATE(15,6,(ROW(Tiere!$BN$2:$BN$153)-1)/(--(SEARCH(AK$2,Tiere!$BN$2:$BN$153)&gt;0)),ROW()-2),1))))))))),"")</f>
        <v>Zwergrind - Milchkühe (7000 kg Milch) - Mist/Jauche</v>
      </c>
      <c r="AK144" s="1599"/>
      <c r="AL144" s="1624" t="str">
        <f>IFERROR(IF($A$6=$BO$1,$BO143,IF($A$6=$BP$1,$BP143,IF($A$6=$BQ$1,$BQ143,IF($A$6=$BR$1,$BR143,IF($A$6=$BS$1,$BS143,IF($A$6=$BT$1,$BT143,IF($A$6=$BU$1,$BU143,IF($A$6="",INDEX(Tiere!$BN$2:$BN$153,_xlfn.AGGREGATE(15,6,(ROW(Tiere!$BN$2:$BN$153)-1)/(--(SEARCH(AM$2,Tiere!$BN$2:$BN$153)&gt;0)),ROW()-2),1))))))))),"")</f>
        <v>Zwergrind - Milchkühe (7000 kg Milch) - Mist/Jauche</v>
      </c>
      <c r="AM144" s="1599"/>
      <c r="AN144" s="1624" t="str">
        <f>IFERROR(IF($A$7=$BO$1,$BO143,IF($A$7=$BP$1,$BP143,IF($A$7=$BQ$1,$BQ143,IF($A$7=$BR$1,$BR143,IF($A$7=$BS$1,$BS143,IF($A$7=$BT$1,$BT143,IF($A$7=$BU$1,$BU143,IF($A$7="",INDEX(Tiere!$BN$2:$BN$153,_xlfn.AGGREGATE(15,6,(ROW(Tiere!$BN$2:$BN$153)-1)/(--(SEARCH(AM$2,Tiere!$BN$2:$BN$153)&gt;0)),ROW()-2),1))))))))),"")</f>
        <v>Zwergrind - Milchkühe (7000 kg Milch) - Mist/Jauche</v>
      </c>
      <c r="AO144" s="1599"/>
      <c r="AP144" s="1624" t="str">
        <f>IFERROR(IF($A$8=$BO$1,$BO143,IF($A$8=$BP$1,$BP143,IF($A$8=$BQ$1,$BQ143,IF($A$8=$BR$1,$BR143,IF($A$8=$BS$1,$BS143,IF($A$8=$BT$1,$BT143,IF($A$8=$BU$1,$BU143,IF($A$8="",INDEX(Tiere!$BN$2:$BN$153,_xlfn.AGGREGATE(15,6,(ROW(Tiere!$BN$2:$BN$153)-1)/(--(SEARCH(AQ$2,Tiere!$BN$2:$BN$153)&gt;0)),ROW()-2),1))))))))),"")</f>
        <v>Zwergrind - Milchkühe (7000 kg Milch) - Mist/Jauche</v>
      </c>
      <c r="AQ144" s="1599"/>
      <c r="AR144" s="1624" t="str">
        <f>IFERROR(IF($A$9=$BO$1,$BO143,IF($A$9=$BP$1,$BP143,IF($A$9=$BQ$1,$BQ143,IF($A$9=$BR$1,$BR143,IF($A$9=$BS$1,$BS143,IF($A$9=$BT$1,$BT143,IF($A$9=$BU$1,$BU143,IF($A$9="",INDEX(Tiere!$BN$2:$BN$153,_xlfn.AGGREGATE(15,6,(ROW(Tiere!$BN$2:$BN$153)-1)/(--(SEARCH(AS$2,Tiere!$BN$2:$BN$153)&gt;0)),ROW()-2),1))))))))),"")</f>
        <v>Zwergrind - Milchkühe (7000 kg Milch) - Mist/Jauche</v>
      </c>
      <c r="AS144" s="1599"/>
      <c r="AT144" s="1624" t="str">
        <f>IFERROR(IF($A$10=$BO$1,$BO143,IF($A$10=$BP$1,$BP143,IF($A$10=$BQ$1,$BQ143,IF($A$10=$BR$1,$BR143,IF($A$10=$BS$1,$BS143,IF($A$10=$BT$1,$BT143,IF($A$10=$BU$1,$BU143,IF($A$10="",INDEX(Tiere!$BN$2:$BN$153,_xlfn.AGGREGATE(15,6,(ROW(Tiere!$BN$2:$BN$153)-1)/(--(SEARCH(AU$2,Tiere!$BN$2:$BN$153)&gt;0)),ROW()-2),1))))))))),"")</f>
        <v>Zwergrind - Milchkühe (7000 kg Milch) - Mist/Jauche</v>
      </c>
      <c r="AU144" s="1599"/>
      <c r="AV144" s="1624" t="str">
        <f>IFERROR(IF($A$11=$BO$1,$BO143,IF($A$11=$BP$1,$BP143,IF($A$11=$BQ$1,$BQ143,IF($A$11=$BR$1,$BR143,IF($A$11=$BS$1,$BS143,IF($A$11=$BT$1,$BT143,IF($A$11=$BU$1,$BU143,IF($A$11="",INDEX(Tiere!$BN$2:$BN$153,_xlfn.AGGREGATE(15,6,(ROW(Tiere!$BN$2:$BN$153)-1)/(--(SEARCH(AW$2,Tiere!$BN$2:$BN$153)&gt;0)),ROW()-2),1))))))))),"")</f>
        <v>Zwergrind - Milchkühe (7000 kg Milch) - Mist/Jauche</v>
      </c>
      <c r="AW144" s="1599"/>
      <c r="AX144" s="1624" t="str">
        <f>IFERROR(IF($A$12=$BO$1,$BO143,IF($A$12=$BP$1,$BP143,IF($A$12=$BQ$1,$BQ143,IF($A$12=$BR$1,$BR143,IF($A$12=$BS$1,$BS143,IF($A$12=$BT$1,$BT143,IF($A$12=$BU$1,$BU143,IF($A$12="",INDEX(Tiere!$BN$2:$BN$153,_xlfn.AGGREGATE(15,6,(ROW(Tiere!$BN$2:$BN$153)-1)/(--(SEARCH(AY$2,Tiere!$BN$2:$BN$153)&gt;0)),ROW()-2),1))))))))),"")</f>
        <v>Zwergrind - Milchkühe (7000 kg Milch) - Mist/Jauche</v>
      </c>
      <c r="AY144" s="1599"/>
      <c r="AZ144" s="1624" t="str">
        <f>IFERROR(IF($A$13=$BO$1,$BO143,IF($A$13=$BP$1,$BP143,IF($A$13=$BQ$1,$BQ143,IF($A$13=$BR$1,$BR143,IF($A$13=$BS$1,$BS143,IF($A$13=$BT$1,$BT143,IF($A$13=$BU$1,$BU143,IF($A$13="",INDEX(Tiere!$BN$2:$BN$153,_xlfn.AGGREGATE(15,6,(ROW(Tiere!$BN$2:$BN$153)-1)/(--(SEARCH(BA$2,Tiere!$BN$2:$BN$153)&gt;0)),ROW()-2),1))))))))),"")</f>
        <v>Zwergrind - Milchkühe (7000 kg Milch) - Mist/Jauche</v>
      </c>
      <c r="BA144" s="1599"/>
      <c r="BB144" s="1624" t="str">
        <f>IFERROR(IF($A$14=$BO$1,$BO143,IF($A$14=$BP$1,$BP143,IF($A$14=$BQ$1,$BQ143,IF($A$14=$BR$1,$BR143,IF($A$14=$BS$1,$BS143,IF($A$14=$BT$1,$BT143,IF($A$14=$BU$1,$BU143,IF($A$14="",INDEX(Tiere!$BN$2:$BN$153,_xlfn.AGGREGATE(15,6,(ROW(Tiere!$BN$2:$BN$153)-1)/(--(SEARCH(BC$2,Tiere!$BN$2:$BN$153)&gt;0)),ROW()-2),1))))))))),"")</f>
        <v>Zwergrind - Milchkühe (7000 kg Milch) - Mist/Jauche</v>
      </c>
      <c r="BC144" s="1599"/>
      <c r="BD144" s="1624" t="str">
        <f>IFERROR(IF($A$15=$BO$1,$BO143,IF($A$15=$BP$1,$BP143,IF($A$15=$BQ$1,$BQ143,IF($A$15=$BR$1,$BR143,IF($A$15=$BS$1,$BS143,IF($A$15=$BT$1,$BT143,IF($A$15=$BU$1,$BU143,IF($A$15="",INDEX(Tiere!$BN$2:$BN$153,_xlfn.AGGREGATE(15,6,(ROW(Tiere!$BN$2:$BN$153)-1)/(--(SEARCH(BE$2,Tiere!$BN$2:$BN$153)&gt;0)),ROW()-2),1))))))))),"")</f>
        <v>Zwergrind - Milchkühe (7000 kg Milch) - Mist/Jauche</v>
      </c>
      <c r="BE144" s="1599"/>
      <c r="BF144" s="1624" t="str">
        <f>IFERROR(IF($A$16=$BO$1,$BO143,IF($A$16=$BP$1,$BP143,IF($A$16=$BQ$1,$BQ143,IF($A$16=$BR$1,$BR143,IF($A$16=$BS$1,$BS143,IF($A$16=$BT$1,$BT143,IF($A$16=$BU$1,$BU143,IF($A$16="",INDEX(Tiere!$BN$2:$BN$153,_xlfn.AGGREGATE(15,6,(ROW(Tiere!$BN$2:$BN$153)-1)/(--(SEARCH(BG$2,Tiere!$BN$2:$BN$153)&gt;0)),ROW()-2),1))))))))),"")</f>
        <v>Zwergrind - Milchkühe (7000 kg Milch) - Mist/Jauche</v>
      </c>
      <c r="BG144" s="1599"/>
      <c r="BH144" s="1624" t="str">
        <f>IFERROR(IF($A$17=$BO$1,$BO143,IF($A$17=$BP$1,$BP143,IF($A$17=$BQ$1,$BQ143,IF($A$17=$BR$1,$BR143,IF($A$17=$BS$1,$BS143,IF($A$17=$BT$1,$BT143,IF($A$17=$BU$1,$BU143,IF($A$17="",INDEX(Tiere!$BN$2:$BN$153,_xlfn.AGGREGATE(15,6,(ROW(Tiere!$BN$2:$BN$153)-1)/(--(SEARCH(BI$2,Tiere!$BN$2:$BN$153)&gt;0)),ROW()-2),1))))))))),"")</f>
        <v>Zwergrind - Milchkühe (7000 kg Milch) - Mist/Jauche</v>
      </c>
      <c r="BI144" s="1599"/>
      <c r="BJ144" s="1624" t="str">
        <f>IFERROR(IF($A$18=$BO$1,$BO143,IF($A$18=$BP$1,$BP143,IF($A$18=$BQ$1,$BQ143,IF($A$18=$BR$1,$BR143,IF($A$18=$BS$1,$BS143,IF($A$18=$BT$1,$BT143,IF($A$18=$BU$1,$BU143,IF($A$18="",INDEX(Tiere!$BN$2:$BN$153,_xlfn.AGGREGATE(15,6,(ROW(Tiere!$BN$2:$BN$153)-1)/(--(SEARCH(BK$2,Tiere!$BN$2:$BN$153)&gt;0)),ROW()-2),1))))))))),"")</f>
        <v>Zwergrind - Milchkühe (7000 kg Milch) - Mist/Jauche</v>
      </c>
      <c r="BK144" s="1599"/>
      <c r="BL144" s="1624" t="str">
        <f>IFERROR(IF($A$19=$BO$1,$BO143,IF($A$19=$BP$1,$BP143,IF($A$19=$BQ$1,$BQ143,IF($A$19=$BR$1,$BR143,IF($A$19=$BS$1,$BS143,IF($A$19=$BT$1,$BT143,IF($A$19=$BU$1,$BU143,IF($A$19="",INDEX(Tiere!$BN$2:$BN$153,_xlfn.AGGREGATE(15,6,(ROW(Tiere!$BN$2:$BN$153)-1)/(--(SEARCH(BM$2,Tiere!$BN$2:$BN$153)&gt;0)),ROW()-2),1))))))))),"")</f>
        <v>Zwergrind - Milchkühe (7000 kg Milch) - Mist/Jauche</v>
      </c>
      <c r="BM144" s="1599"/>
      <c r="BN144" s="1630" t="s">
        <v>827</v>
      </c>
      <c r="BO144" s="1599"/>
      <c r="BP144" s="1599"/>
      <c r="BQ144" s="1599"/>
      <c r="BR144" s="1599"/>
      <c r="BS144" s="1599"/>
      <c r="BT144" s="1599"/>
      <c r="BU144" s="1599"/>
      <c r="CD144" s="1911" t="s">
        <v>827</v>
      </c>
    </row>
    <row r="145" spans="36:82" ht="13.5" thickBot="1">
      <c r="AJ145" s="1624" t="str">
        <f>IFERROR(IF($A$5=$BO$1,$BO144,IF($A$5=$BP$1,$BP144,IF($A$5=$BQ$1,$BQ144,IF($A$5=$BR$1,$BR144,IF($A$5=$BS$1,$BS144,IF($A$5=$BT$1,$BT144,IF($A$5=$BU$1,$BU144,IF($A$5="",INDEX(Tiere!$BN$2:$BN$153,_xlfn.AGGREGATE(15,6,(ROW(Tiere!$BN$2:$BN$153)-1)/(--(SEARCH(AK$2,Tiere!$BN$2:$BN$153)&gt;0)),ROW()-2),1))))))))),"")</f>
        <v>Zwergrind - Milchkühe (7000 kg Milch) - Tiefstallmist</v>
      </c>
      <c r="AK145" s="1599" t="str">
        <f t="shared" ref="AK145:AK154" si="2">IF(AND($A$5=$BW$2,$B148=""),"",IF(AND($A$5=$BW$2,$B148&lt;&gt;""),$B148,IF($A148=$BO$1,$BO$1,IF($A$5=$BP$1,$BP$1,IF($A148=$BQ$1,$BQ$1,IF($A148=$BR$1,$BR$1,IF($A148=$BS$1,$BS$1,IF($A148=$BT$1,$BT$1,IF($A148=$BU$1,$BU$1,$B148)))))))))</f>
        <v/>
      </c>
      <c r="AL145" s="1624" t="str">
        <f>IFERROR(IF($A$6=$BO$1,$BO144,IF($A$6=$BP$1,$BP144,IF($A$6=$BQ$1,$BQ144,IF($A$6=$BR$1,$BR144,IF($A$6=$BS$1,$BS144,IF($A$6=$BT$1,$BT144,IF($A$6=$BU$1,$BU144,IF($A$6="",INDEX(Tiere!$BN$2:$BN$153,_xlfn.AGGREGATE(15,6,(ROW(Tiere!$BN$2:$BN$153)-1)/(--(SEARCH(AM$2,Tiere!$BN$2:$BN$153)&gt;0)),ROW()-2),1))))))))),"")</f>
        <v>Zwergrind - Milchkühe (7000 kg Milch) - Tiefstallmist</v>
      </c>
      <c r="AM145" s="1599"/>
      <c r="AN145" s="1624" t="str">
        <f>IFERROR(IF($A$7=$BO$1,$BO144,IF($A$7=$BP$1,$BP144,IF($A$7=$BQ$1,$BQ144,IF($A$7=$BR$1,$BR144,IF($A$7=$BS$1,$BS144,IF($A$7=$BT$1,$BT144,IF($A$7=$BU$1,$BU144,IF($A$7="",INDEX(Tiere!$BN$2:$BN$153,_xlfn.AGGREGATE(15,6,(ROW(Tiere!$BN$2:$BN$153)-1)/(--(SEARCH(AM$2,Tiere!$BN$2:$BN$153)&gt;0)),ROW()-2),1))))))))),"")</f>
        <v>Zwergrind - Milchkühe (7000 kg Milch) - Tiefstallmist</v>
      </c>
      <c r="AO145" s="1599"/>
      <c r="AP145" s="1624" t="str">
        <f>IFERROR(IF($A$8=$BO$1,$BO144,IF($A$8=$BP$1,$BP144,IF($A$8=$BQ$1,$BQ144,IF($A$8=$BR$1,$BR144,IF($A$8=$BS$1,$BS144,IF($A$8=$BT$1,$BT144,IF($A$8=$BU$1,$BU144,IF($A$8="",INDEX(Tiere!$BN$2:$BN$153,_xlfn.AGGREGATE(15,6,(ROW(Tiere!$BN$2:$BN$153)-1)/(--(SEARCH(AQ$2,Tiere!$BN$2:$BN$153)&gt;0)),ROW()-2),1))))))))),"")</f>
        <v>Zwergrind - Milchkühe (7000 kg Milch) - Tiefstallmist</v>
      </c>
      <c r="AQ145" s="1599"/>
      <c r="AR145" s="1624" t="str">
        <f>IFERROR(IF($A$9=$BO$1,$BO144,IF($A$9=$BP$1,$BP144,IF($A$9=$BQ$1,$BQ144,IF($A$9=$BR$1,$BR144,IF($A$9=$BS$1,$BS144,IF($A$9=$BT$1,$BT144,IF($A$9=$BU$1,$BU144,IF($A$9="",INDEX(Tiere!$BN$2:$BN$153,_xlfn.AGGREGATE(15,6,(ROW(Tiere!$BN$2:$BN$153)-1)/(--(SEARCH(AS$2,Tiere!$BN$2:$BN$153)&gt;0)),ROW()-2),1))))))))),"")</f>
        <v>Zwergrind - Milchkühe (7000 kg Milch) - Tiefstallmist</v>
      </c>
      <c r="AS145" s="1599"/>
      <c r="AT145" s="1624" t="str">
        <f>IFERROR(IF($A$10=$BO$1,$BO144,IF($A$10=$BP$1,$BP144,IF($A$10=$BQ$1,$BQ144,IF($A$10=$BR$1,$BR144,IF($A$10=$BS$1,$BS144,IF($A$10=$BT$1,$BT144,IF($A$10=$BU$1,$BU144,IF($A$10="",INDEX(Tiere!$BN$2:$BN$153,_xlfn.AGGREGATE(15,6,(ROW(Tiere!$BN$2:$BN$153)-1)/(--(SEARCH(AU$2,Tiere!$BN$2:$BN$153)&gt;0)),ROW()-2),1))))))))),"")</f>
        <v>Zwergrind - Milchkühe (7000 kg Milch) - Tiefstallmist</v>
      </c>
      <c r="AU145" s="1599"/>
      <c r="AV145" s="1624" t="str">
        <f>IFERROR(IF($A$11=$BO$1,$BO144,IF($A$11=$BP$1,$BP144,IF($A$11=$BQ$1,$BQ144,IF($A$11=$BR$1,$BR144,IF($A$11=$BS$1,$BS144,IF($A$11=$BT$1,$BT144,IF($A$11=$BU$1,$BU144,IF($A$11="",INDEX(Tiere!$BN$2:$BN$153,_xlfn.AGGREGATE(15,6,(ROW(Tiere!$BN$2:$BN$153)-1)/(--(SEARCH(AW$2,Tiere!$BN$2:$BN$153)&gt;0)),ROW()-2),1))))))))),"")</f>
        <v>Zwergrind - Milchkühe (7000 kg Milch) - Tiefstallmist</v>
      </c>
      <c r="AW145" s="1599"/>
      <c r="AX145" s="1624" t="str">
        <f>IFERROR(IF($A$12=$BO$1,$BO144,IF($A$12=$BP$1,$BP144,IF($A$12=$BQ$1,$BQ144,IF($A$12=$BR$1,$BR144,IF($A$12=$BS$1,$BS144,IF($A$12=$BT$1,$BT144,IF($A$12=$BU$1,$BU144,IF($A$12="",INDEX(Tiere!$BN$2:$BN$153,_xlfn.AGGREGATE(15,6,(ROW(Tiere!$BN$2:$BN$153)-1)/(--(SEARCH(AY$2,Tiere!$BN$2:$BN$153)&gt;0)),ROW()-2),1))))))))),"")</f>
        <v>Zwergrind - Milchkühe (7000 kg Milch) - Tiefstallmist</v>
      </c>
      <c r="AY145" s="1599"/>
      <c r="AZ145" s="1624" t="str">
        <f>IFERROR(IF($A$13=$BO$1,$BO144,IF($A$13=$BP$1,$BP144,IF($A$13=$BQ$1,$BQ144,IF($A$13=$BR$1,$BR144,IF($A$13=$BS$1,$BS144,IF($A$13=$BT$1,$BT144,IF($A$13=$BU$1,$BU144,IF($A$13="",INDEX(Tiere!$BN$2:$BN$153,_xlfn.AGGREGATE(15,6,(ROW(Tiere!$BN$2:$BN$153)-1)/(--(SEARCH(BA$2,Tiere!$BN$2:$BN$153)&gt;0)),ROW()-2),1))))))))),"")</f>
        <v>Zwergrind - Milchkühe (7000 kg Milch) - Tiefstallmist</v>
      </c>
      <c r="BA145" s="1599"/>
      <c r="BB145" s="1624" t="str">
        <f>IFERROR(IF($A$14=$BO$1,$BO144,IF($A$14=$BP$1,$BP144,IF($A$14=$BQ$1,$BQ144,IF($A$14=$BR$1,$BR144,IF($A$14=$BS$1,$BS144,IF($A$14=$BT$1,$BT144,IF($A$14=$BU$1,$BU144,IF($A$14="",INDEX(Tiere!$BN$2:$BN$153,_xlfn.AGGREGATE(15,6,(ROW(Tiere!$BN$2:$BN$153)-1)/(--(SEARCH(BC$2,Tiere!$BN$2:$BN$153)&gt;0)),ROW()-2),1))))))))),"")</f>
        <v>Zwergrind - Milchkühe (7000 kg Milch) - Tiefstallmist</v>
      </c>
      <c r="BC145" s="1599"/>
      <c r="BD145" s="1624" t="str">
        <f>IFERROR(IF($A$15=$BO$1,$BO144,IF($A$15=$BP$1,$BP144,IF($A$15=$BQ$1,$BQ144,IF($A$15=$BR$1,$BR144,IF($A$15=$BS$1,$BS144,IF($A$15=$BT$1,$BT144,IF($A$15=$BU$1,$BU144,IF($A$15="",INDEX(Tiere!$BN$2:$BN$153,_xlfn.AGGREGATE(15,6,(ROW(Tiere!$BN$2:$BN$153)-1)/(--(SEARCH(BE$2,Tiere!$BN$2:$BN$153)&gt;0)),ROW()-2),1))))))))),"")</f>
        <v>Zwergrind - Milchkühe (7000 kg Milch) - Tiefstallmist</v>
      </c>
      <c r="BE145" s="1599"/>
      <c r="BF145" s="1624" t="str">
        <f>IFERROR(IF($A$16=$BO$1,$BO144,IF($A$16=$BP$1,$BP144,IF($A$16=$BQ$1,$BQ144,IF($A$16=$BR$1,$BR144,IF($A$16=$BS$1,$BS144,IF($A$16=$BT$1,$BT144,IF($A$16=$BU$1,$BU144,IF($A$16="",INDEX(Tiere!$BN$2:$BN$153,_xlfn.AGGREGATE(15,6,(ROW(Tiere!$BN$2:$BN$153)-1)/(--(SEARCH(BG$2,Tiere!$BN$2:$BN$153)&gt;0)),ROW()-2),1))))))))),"")</f>
        <v>Zwergrind - Milchkühe (7000 kg Milch) - Tiefstallmist</v>
      </c>
      <c r="BG145" s="1599"/>
      <c r="BH145" s="1624" t="str">
        <f>IFERROR(IF($A$17=$BO$1,$BO144,IF($A$17=$BP$1,$BP144,IF($A$17=$BQ$1,$BQ144,IF($A$17=$BR$1,$BR144,IF($A$17=$BS$1,$BS144,IF($A$17=$BT$1,$BT144,IF($A$17=$BU$1,$BU144,IF($A$17="",INDEX(Tiere!$BN$2:$BN$153,_xlfn.AGGREGATE(15,6,(ROW(Tiere!$BN$2:$BN$153)-1)/(--(SEARCH(BI$2,Tiere!$BN$2:$BN$153)&gt;0)),ROW()-2),1))))))))),"")</f>
        <v>Zwergrind - Milchkühe (7000 kg Milch) - Tiefstallmist</v>
      </c>
      <c r="BI145" s="1599"/>
      <c r="BJ145" s="1624" t="str">
        <f>IFERROR(IF($A$18=$BO$1,$BO144,IF($A$18=$BP$1,$BP144,IF($A$18=$BQ$1,$BQ144,IF($A$18=$BR$1,$BR144,IF($A$18=$BS$1,$BS144,IF($A$18=$BT$1,$BT144,IF($A$18=$BU$1,$BU144,IF($A$18="",INDEX(Tiere!$BN$2:$BN$153,_xlfn.AGGREGATE(15,6,(ROW(Tiere!$BN$2:$BN$153)-1)/(--(SEARCH(BK$2,Tiere!$BN$2:$BN$153)&gt;0)),ROW()-2),1))))))))),"")</f>
        <v>Zwergrind - Milchkühe (7000 kg Milch) - Tiefstallmist</v>
      </c>
      <c r="BK145" s="1599"/>
      <c r="BL145" s="1624" t="str">
        <f>IFERROR(IF($A$19=$BO$1,$BO144,IF($A$19=$BP$1,$BP144,IF($A$19=$BQ$1,$BQ144,IF($A$19=$BR$1,$BR144,IF($A$19=$BS$1,$BS144,IF($A$19=$BT$1,$BT144,IF($A$19=$BU$1,$BU144,IF($A$19="",INDEX(Tiere!$BN$2:$BN$153,_xlfn.AGGREGATE(15,6,(ROW(Tiere!$BN$2:$BN$153)-1)/(--(SEARCH(BM$2,Tiere!$BN$2:$BN$153)&gt;0)),ROW()-2),1))))))))),"")</f>
        <v>Zwergrind - Milchkühe (7000 kg Milch) - Tiefstallmist</v>
      </c>
      <c r="BM145" s="1599"/>
      <c r="BN145" s="1630" t="s">
        <v>828</v>
      </c>
      <c r="BO145" s="1599"/>
      <c r="BP145" s="1599"/>
      <c r="BQ145" s="1599"/>
      <c r="BR145" s="1599"/>
      <c r="BS145" s="1599"/>
      <c r="BT145" s="1599"/>
      <c r="BU145" s="1599"/>
      <c r="CD145" s="1911" t="s">
        <v>828</v>
      </c>
    </row>
    <row r="146" spans="36:82" ht="13.5" thickBot="1">
      <c r="AJ146" s="1624" t="str">
        <f>IFERROR(IF($A$5=$BO$1,$BO145,IF($A$5=$BP$1,$BP145,IF($A$5=$BQ$1,$BQ145,IF($A$5=$BR$1,$BR145,IF($A$5=$BS$1,$BS145,IF($A$5=$BT$1,$BT145,IF($A$5=$BU$1,$BU145,IF($A$5="",INDEX(Tiere!$BN$2:$BN$153,_xlfn.AGGREGATE(15,6,(ROW(Tiere!$BN$2:$BN$153)-1)/(--(SEARCH(AK$2,Tiere!$BN$2:$BN$153)&gt;0)),ROW()-2),1))))))))),"")</f>
        <v>Zwergrind - Milchkühe (8000 kg Milch) - Gülle</v>
      </c>
      <c r="AK146" s="1901" t="str">
        <f t="shared" si="2"/>
        <v/>
      </c>
      <c r="AL146" s="1624" t="str">
        <f>IFERROR(IF($A$6=$BO$1,$BO145,IF($A$6=$BP$1,$BP145,IF($A$6=$BQ$1,$BQ145,IF($A$6=$BR$1,$BR145,IF($A$6=$BS$1,$BS145,IF($A$6=$BT$1,$BT145,IF($A$6=$BU$1,$BU145,IF($A$6="",INDEX(Tiere!$BN$2:$BN$153,_xlfn.AGGREGATE(15,6,(ROW(Tiere!$BN$2:$BN$153)-1)/(--(SEARCH(AM$2,Tiere!$BN$2:$BN$153)&gt;0)),ROW()-2),1))))))))),"")</f>
        <v>Zwergrind - Milchkühe (8000 kg Milch) - Gülle</v>
      </c>
      <c r="AM146" s="1901"/>
      <c r="AN146" s="1624" t="str">
        <f>IFERROR(IF($A$7=$BO$1,$BO145,IF($A$7=$BP$1,$BP145,IF($A$7=$BQ$1,$BQ145,IF($A$7=$BR$1,$BR145,IF($A$7=$BS$1,$BS145,IF($A$7=$BT$1,$BT145,IF($A$7=$BU$1,$BU145,IF($A$7="",INDEX(Tiere!$BN$2:$BN$153,_xlfn.AGGREGATE(15,6,(ROW(Tiere!$BN$2:$BN$153)-1)/(--(SEARCH(AM$2,Tiere!$BN$2:$BN$153)&gt;0)),ROW()-2),1))))))))),"")</f>
        <v>Zwergrind - Milchkühe (8000 kg Milch) - Gülle</v>
      </c>
      <c r="AO146" s="1901" t="str">
        <f t="shared" ref="AO146:AO154" si="3">IF(AND($A151=$BW$2,$B151=""),"",IF(AND($A151=$BW$2,$B151&lt;&gt;""),$B151,IF($A151=$BO$1,$BO$1,IF($A151=$BP$1,$BP$1,IF($A151=$BQ$1,$BQ$1,IF($A151=$BR$1,$BR$1,IF($A151=$BS$1,$BS$1,IF($A151=$BT$1,$BT$1,IF($A151=$BU$1,$BU$1,$B151)))))))))</f>
        <v/>
      </c>
      <c r="AP146" s="1624" t="str">
        <f>IFERROR(IF($A$8=$BO$1,$BO145,IF($A$8=$BP$1,$BP145,IF($A$8=$BQ$1,$BQ145,IF($A$8=$BR$1,$BR145,IF($A$8=$BS$1,$BS145,IF($A$8=$BT$1,$BT145,IF($A$8=$BU$1,$BU145,IF($A$8="",INDEX(Tiere!$BN$2:$BN$153,_xlfn.AGGREGATE(15,6,(ROW(Tiere!$BN$2:$BN$153)-1)/(--(SEARCH(AQ$2,Tiere!$BN$2:$BN$153)&gt;0)),ROW()-2),1))))))))),"")</f>
        <v>Zwergrind - Milchkühe (8000 kg Milch) - Gülle</v>
      </c>
      <c r="AQ146" s="1901" t="str">
        <f t="shared" ref="AQ146:AQ154" si="4">IF(AND($A152=$BW$2,$B152=""),"",IF(AND($A152=$BW$2,$B152&lt;&gt;""),$B152,IF($A152=$BO$1,$BO$1,IF($A152=$BP$1,$BP$1,IF($A152=$BQ$1,$BQ$1,IF($A152=$BR$1,$BR$1,IF($A152=$BS$1,$BS$1,IF($A152=$BT$1,$BT$1,IF($A152=$BU$1,$BU$1,$B152)))))))))</f>
        <v/>
      </c>
      <c r="AR146" s="1624" t="str">
        <f>IFERROR(IF($A$9=$BO$1,$BO145,IF($A$9=$BP$1,$BP145,IF($A$9=$BQ$1,$BQ145,IF($A$9=$BR$1,$BR145,IF($A$9=$BS$1,$BS145,IF($A$9=$BT$1,$BT145,IF($A$9=$BU$1,$BU145,IF($A$9="",INDEX(Tiere!$BN$2:$BN$153,_xlfn.AGGREGATE(15,6,(ROW(Tiere!$BN$2:$BN$153)-1)/(--(SEARCH(AS$2,Tiere!$BN$2:$BN$153)&gt;0)),ROW()-2),1))))))))),"")</f>
        <v>Zwergrind - Milchkühe (8000 kg Milch) - Gülle</v>
      </c>
      <c r="AS146" s="1901" t="str">
        <f t="shared" ref="AS146:AS154" si="5">IF(AND($A153=$BW$2,$B153=""),"",IF(AND($A153=$BW$2,$B153&lt;&gt;""),$B153,IF($A153=$BO$1,$BO$1,IF($A153=$BP$1,$BP$1,IF($A153=$BQ$1,$BQ$1,IF($A153=$BR$1,$BR$1,IF($A153=$BS$1,$BS$1,IF($A153=$BT$1,$BT$1,IF($A153=$BU$1,$BU$1,$B153)))))))))</f>
        <v/>
      </c>
      <c r="AT146" s="1624" t="str">
        <f>IFERROR(IF($A$10=$BO$1,$BO145,IF($A$10=$BP$1,$BP145,IF($A$10=$BQ$1,$BQ145,IF($A$10=$BR$1,$BR145,IF($A$10=$BS$1,$BS145,IF($A$10=$BT$1,$BT145,IF($A$10=$BU$1,$BU145,IF($A$10="",INDEX(Tiere!$BN$2:$BN$153,_xlfn.AGGREGATE(15,6,(ROW(Tiere!$BN$2:$BN$153)-1)/(--(SEARCH(AU$2,Tiere!$BN$2:$BN$153)&gt;0)),ROW()-2),1))))))))),"")</f>
        <v>Zwergrind - Milchkühe (8000 kg Milch) - Gülle</v>
      </c>
      <c r="AU146" s="1901" t="str">
        <f t="shared" ref="AU146:AU154" si="6">IF(AND($A154=$BW$2,$B154=""),"",IF(AND($A154=$BW$2,$B154&lt;&gt;""),$B154,IF($A154=$BO$1,$BO$1,IF($A154=$BP$1,$BP$1,IF($A154=$BQ$1,$BQ$1,IF($A154=$BR$1,$BR$1,IF($A154=$BS$1,$BS$1,IF($A154=$BT$1,$BT$1,IF($A154=$BU$1,$BU$1,$B154)))))))))</f>
        <v/>
      </c>
      <c r="AV146" s="1624" t="str">
        <f>IFERROR(IF($A$11=$BO$1,$BO145,IF($A$11=$BP$1,$BP145,IF($A$11=$BQ$1,$BQ145,IF($A$11=$BR$1,$BR145,IF($A$11=$BS$1,$BS145,IF($A$11=$BT$1,$BT145,IF($A$11=$BU$1,$BU145,IF($A$11="",INDEX(Tiere!$BN$2:$BN$153,_xlfn.AGGREGATE(15,6,(ROW(Tiere!$BN$2:$BN$153)-1)/(--(SEARCH(AW$2,Tiere!$BN$2:$BN$153)&gt;0)),ROW()-2),1))))))))),"")</f>
        <v>Zwergrind - Milchkühe (8000 kg Milch) - Gülle</v>
      </c>
      <c r="AW146" s="1901" t="str">
        <f t="shared" ref="AW146:AW154" si="7">IF(AND($A155=$BW$2,$B155=""),"",IF(AND($A155=$BW$2,$B155&lt;&gt;""),$B154,IF($A155=$BO$1,$BO$1,IF($A155=$BP$1,$BP$1,IF($A155=$BQ$1,$BQ$1,IF($A155=$BR$1,$BR$1,IF($A155=$BS$1,$BS$1,IF($A155=$BT$1,$BT$1,IF($A155=$BU$1,$BU$1,$B155)))))))))</f>
        <v/>
      </c>
      <c r="AX146" s="1624" t="str">
        <f>IFERROR(IF($A$12=$BO$1,$BO145,IF($A$12=$BP$1,$BP145,IF($A$12=$BQ$1,$BQ145,IF($A$12=$BR$1,$BR145,IF($A$12=$BS$1,$BS145,IF($A$12=$BT$1,$BT145,IF($A$12=$BU$1,$BU145,IF($A$12="",INDEX(Tiere!$BN$2:$BN$153,_xlfn.AGGREGATE(15,6,(ROW(Tiere!$BN$2:$BN$153)-1)/(--(SEARCH(AY$2,Tiere!$BN$2:$BN$153)&gt;0)),ROW()-2),1))))))))),"")</f>
        <v>Zwergrind - Milchkühe (8000 kg Milch) - Gülle</v>
      </c>
      <c r="AY146" s="1901" t="str">
        <f t="shared" ref="AY146:AY154" si="8">IF(AND($A156=$BW$2,$B156=""),"",IF(AND($A156=$BW$2,$B156&lt;&gt;""),$B156,IF($A156=$BO$1,$BO$1,IF($A156=$BP$1,$BP$1,IF($A156=$BQ$1,$BQ$1,IF($A156=$BR$1,$BR$1,IF($A156=$BS$1,$BS$1,IF($A156=$BT$1,$BT$1,IF($A156=$BU$1,$BU$1,$B156)))))))))</f>
        <v/>
      </c>
      <c r="AZ146" s="1624" t="str">
        <f>IFERROR(IF($A$13=$BO$1,$BO145,IF($A$13=$BP$1,$BP145,IF($A$13=$BQ$1,$BQ145,IF($A$13=$BR$1,$BR145,IF($A$13=$BS$1,$BS145,IF($A$13=$BT$1,$BT145,IF($A$13=$BU$1,$BU145,IF($A$13="",INDEX(Tiere!$BN$2:$BN$153,_xlfn.AGGREGATE(15,6,(ROW(Tiere!$BN$2:$BN$153)-1)/(--(SEARCH(BA$2,Tiere!$BN$2:$BN$153)&gt;0)),ROW()-2),1))))))))),"")</f>
        <v>Zwergrind - Milchkühe (8000 kg Milch) - Gülle</v>
      </c>
      <c r="BA146" s="1901" t="str">
        <f t="shared" ref="BA146:BA154" si="9">IF(AND($A157=$BW$2,$B157=""),"",IF(AND($A157=$BW$2,$B157&lt;&gt;""),$B157,IF($A157=$BO$1,$BO$1,IF($A157=$BP$1,$BP$1,IF($A157=$BQ$1,$BQ$1,IF($A157=$BR$1,$BR$1,IF($A157=$BS$1,$BS$1,IF($A157=$BT$1,$BT$1,IF($A157=$BU$1,$BU$1,$B157)))))))))</f>
        <v/>
      </c>
      <c r="BB146" s="1624" t="str">
        <f>IFERROR(IF($A$14=$BO$1,$BO145,IF($A$14=$BP$1,$BP145,IF($A$14=$BQ$1,$BQ145,IF($A$14=$BR$1,$BR145,IF($A$14=$BS$1,$BS145,IF($A$14=$BT$1,$BT145,IF($A$14=$BU$1,$BU145,IF($A$14="",INDEX(Tiere!$BN$2:$BN$153,_xlfn.AGGREGATE(15,6,(ROW(Tiere!$BN$2:$BN$153)-1)/(--(SEARCH(BC$2,Tiere!$BN$2:$BN$153)&gt;0)),ROW()-2),1))))))))),"")</f>
        <v>Zwergrind - Milchkühe (8000 kg Milch) - Gülle</v>
      </c>
      <c r="BC146" s="1901" t="str">
        <f t="shared" ref="BC146:BC154" si="10">IF(AND($A158=$BW$2,$B158=""),"",IF(AND($A158=$BW$2,$B158&lt;&gt;""),$B158,IF($A158=$BO$1,$BO$1,IF($A158=$BP$1,$BP$1,IF($A158=$BQ$1,$BQ$1,IF($A158=$BR$1,$BR$1,IF($A158=$BS$1,$BS$1,IF($A158=$BT$1,$BT$1,IF($A158=$BU$1,$BU$1,$B158)))))))))</f>
        <v/>
      </c>
      <c r="BD146" s="1624" t="str">
        <f>IFERROR(IF($A$15=$BO$1,$BO145,IF($A$15=$BP$1,$BP145,IF($A$15=$BQ$1,$BQ145,IF($A$15=$BR$1,$BR145,IF($A$15=$BS$1,$BS145,IF($A$15=$BT$1,$BT145,IF($A$15=$BU$1,$BU145,IF($A$15="",INDEX(Tiere!$BN$2:$BN$153,_xlfn.AGGREGATE(15,6,(ROW(Tiere!$BN$2:$BN$153)-1)/(--(SEARCH(BE$2,Tiere!$BN$2:$BN$153)&gt;0)),ROW()-2),1))))))))),"")</f>
        <v>Zwergrind - Milchkühe (8000 kg Milch) - Gülle</v>
      </c>
      <c r="BE146" s="1901" t="str">
        <f t="shared" ref="BE146:BE154" si="11">IF(AND($A159=$BW$2,$B159=""),"",IF(AND($A159=$BW$2,$B159&lt;&gt;""),$B159,IF($A159=$BO$1,$BO$1,IF($A159=$BP$1,$BP$1,IF($A159=$BQ$1,$BQ$1,IF($A159=$BR$1,$BR$1,IF($A159=$BS$1,$BS$1,IF($A159=$BT$1,$BT$1,IF($A159=$BU$1,$BU$1,$B159)))))))))</f>
        <v/>
      </c>
      <c r="BF146" s="1624" t="str">
        <f>IFERROR(IF($A$16=$BO$1,$BO145,IF($A$16=$BP$1,$BP145,IF($A$16=$BQ$1,$BQ145,IF($A$16=$BR$1,$BR145,IF($A$16=$BS$1,$BS145,IF($A$16=$BT$1,$BT145,IF($A$16=$BU$1,$BU145,IF($A$16="",INDEX(Tiere!$BN$2:$BN$153,_xlfn.AGGREGATE(15,6,(ROW(Tiere!$BN$2:$BN$153)-1)/(--(SEARCH(BG$2,Tiere!$BN$2:$BN$153)&gt;0)),ROW()-2),1))))))))),"")</f>
        <v>Zwergrind - Milchkühe (8000 kg Milch) - Gülle</v>
      </c>
      <c r="BG146" s="1901" t="str">
        <f t="shared" ref="BG146:BG154" si="12">IF(AND($A160=$BW$2,$B160=""),"",IF(AND($A160=$BW$2,$B160&lt;&gt;""),$B160,IF($A160=$BO$1,$BO$1,IF($A160=$BP$1,$BP$1,IF($A160=$BQ$1,$BQ$1,IF($A160=$BR$1,$BR$1,IF($A160=$BS$1,$BS$1,IF($A160=$BT$1,$BT$1,IF($A160=$BU$1,$BU$1,$B160)))))))))</f>
        <v/>
      </c>
      <c r="BH146" s="1624" t="str">
        <f>IFERROR(IF($A$17=$BO$1,$BO145,IF($A$17=$BP$1,$BP145,IF($A$17=$BQ$1,$BQ145,IF($A$17=$BR$1,$BR145,IF($A$17=$BS$1,$BS145,IF($A$17=$BT$1,$BT145,IF($A$17=$BU$1,$BU145,IF($A$17="",INDEX(Tiere!$BN$2:$BN$153,_xlfn.AGGREGATE(15,6,(ROW(Tiere!$BN$2:$BN$153)-1)/(--(SEARCH(BI$2,Tiere!$BN$2:$BN$153)&gt;0)),ROW()-2),1))))))))),"")</f>
        <v>Zwergrind - Milchkühe (8000 kg Milch) - Gülle</v>
      </c>
      <c r="BI146" s="1901" t="str">
        <f t="shared" ref="BI146:BI154" si="13">IF(AND($A161=$BW$2,$B161=""),"",IF(AND($A161=$BW$2,$B161&lt;&gt;""),$B161,IF($A161=$BO$1,$BO$1,IF($A161=$BP$1,$BP$1,IF($A161=$BQ$1,$BQ$1,IF($A161=$BR$1,$BR$1,IF($A161=$BS$1,$BS$1,IF($A161=$BT$1,$BT$1,IF($A161=$BU$1,$BU$1,$B161)))))))))</f>
        <v/>
      </c>
      <c r="BJ146" s="1624" t="str">
        <f>IFERROR(IF($A$18=$BO$1,$BO145,IF($A$18=$BP$1,$BP145,IF($A$18=$BQ$1,$BQ145,IF($A$18=$BR$1,$BR145,IF($A$18=$BS$1,$BS145,IF($A$18=$BT$1,$BT145,IF($A$18=$BU$1,$BU145,IF($A$18="",INDEX(Tiere!$BN$2:$BN$153,_xlfn.AGGREGATE(15,6,(ROW(Tiere!$BN$2:$BN$153)-1)/(--(SEARCH(BK$2,Tiere!$BN$2:$BN$153)&gt;0)),ROW()-2),1))))))))),"")</f>
        <v>Zwergrind - Milchkühe (8000 kg Milch) - Gülle</v>
      </c>
      <c r="BK146" s="1901" t="str">
        <f t="shared" ref="BK146:BK154" si="14">IF(AND($A162=$BW$2,$B162=""),"",IF(AND($A162=$BW$2,$B162&lt;&gt;""),$B162,IF($A162=$BO$1,$BO$1,IF($A162=$BP$1,$BP$1,IF($A162=$BQ$1,$BQ$1,IF($A162=$BR$1,$BR$1,IF($A162=$BS$1,$BS$1,IF($A162=$BT$1,$BT$1,IF($A162=$BU$1,$BU$1,$B162)))))))))</f>
        <v/>
      </c>
      <c r="BL146" s="1624" t="str">
        <f>IFERROR(IF($A$19=$BO$1,$BO145,IF($A$19=$BP$1,$BP145,IF($A$19=$BQ$1,$BQ145,IF($A$19=$BR$1,$BR145,IF($A$19=$BS$1,$BS145,IF($A$19=$BT$1,$BT145,IF($A$19=$BU$1,$BU145,IF($A$19="",INDEX(Tiere!$BN$2:$BN$153,_xlfn.AGGREGATE(15,6,(ROW(Tiere!$BN$2:$BN$153)-1)/(--(SEARCH(BM$2,Tiere!$BN$2:$BN$153)&gt;0)),ROW()-2),1))))))))),"")</f>
        <v>Zwergrind - Milchkühe (8000 kg Milch) - Gülle</v>
      </c>
      <c r="BM146" s="1901" t="str">
        <f t="shared" ref="BM146:BM154" si="15">IF(AND($A163=$BW$2,$B163=""),"",IF(AND($A163=$BW$2,$B163&lt;&gt;""),$B163,IF($A163=$BO$1,$BO$1,IF($A163=$BP$1,$BP$1,IF($A163=$BQ$1,$BQ$1,IF($A163=$BR$1,$BR$1,IF($A163=$BS$1,$BS$1,IF($A163=$BT$1,$BT$1,IF($A163=$BU$1,$BU$1,$B163)))))))))</f>
        <v/>
      </c>
      <c r="BN146" s="1630" t="s">
        <v>829</v>
      </c>
      <c r="BO146" s="1898"/>
      <c r="BP146" s="1898"/>
      <c r="BQ146" s="1898"/>
      <c r="BR146" s="1898"/>
      <c r="BS146" s="1898"/>
      <c r="BT146" s="1898"/>
      <c r="BU146" s="1898"/>
      <c r="CD146" s="1911" t="s">
        <v>829</v>
      </c>
    </row>
    <row r="147" spans="36:82" ht="13.5" thickBot="1">
      <c r="AJ147" s="1624" t="str">
        <f>IFERROR(IF($A$5=$BO$1,$BO146,IF($A$5=$BP$1,$BP146,IF($A$5=$BQ$1,$BQ146,IF($A$5=$BR$1,$BR146,IF($A$5=$BS$1,$BS146,IF($A$5=$BT$1,$BT146,IF($A$5=$BU$1,$BU146,IF($A$5="",INDEX(Tiere!$BN$2:$BN$153,_xlfn.AGGREGATE(15,6,(ROW(Tiere!$BN$2:$BN$153)-1)/(--(SEARCH(AK$2,Tiere!$BN$2:$BN$153)&gt;0)),ROW()-2),1))))))))),"")</f>
        <v>Zwergrind - Milchkühe (8000 kg Milch) - Mist/Jauche</v>
      </c>
      <c r="AK147" s="1901" t="str">
        <f t="shared" si="2"/>
        <v/>
      </c>
      <c r="AL147" s="1624" t="str">
        <f>IFERROR(IF($A$6=$BO$1,$BO146,IF($A$6=$BP$1,$BP146,IF($A$6=$BQ$1,$BQ146,IF($A$6=$BR$1,$BR146,IF($A$6=$BS$1,$BS146,IF($A$6=$BT$1,$BT146,IF($A$6=$BU$1,$BU146,IF($A$6="",INDEX(Tiere!$BN$2:$BN$153,_xlfn.AGGREGATE(15,6,(ROW(Tiere!$BN$2:$BN$153)-1)/(--(SEARCH(AM$2,Tiere!$BN$2:$BN$153)&gt;0)),ROW()-2),1))))))))),"")</f>
        <v>Zwergrind - Milchkühe (8000 kg Milch) - Mist/Jauche</v>
      </c>
      <c r="AM147" s="1901"/>
      <c r="AN147" s="1624" t="str">
        <f>IFERROR(IF($A$7=$BO$1,$BO146,IF($A$7=$BP$1,$BP146,IF($A$7=$BQ$1,$BQ146,IF($A$7=$BR$1,$BR146,IF($A$7=$BS$1,$BS146,IF($A$7=$BT$1,$BT146,IF($A$7=$BU$1,$BU146,IF($A$7="",INDEX(Tiere!$BN$2:$BN$153,_xlfn.AGGREGATE(15,6,(ROW(Tiere!$BN$2:$BN$153)-1)/(--(SEARCH(AM$2,Tiere!$BN$2:$BN$153)&gt;0)),ROW()-2),1))))))))),"")</f>
        <v>Zwergrind - Milchkühe (8000 kg Milch) - Mist/Jauche</v>
      </c>
      <c r="AO147" s="1901" t="str">
        <f t="shared" si="3"/>
        <v/>
      </c>
      <c r="AP147" s="1624" t="str">
        <f>IFERROR(IF($A$8=$BO$1,$BO146,IF($A$8=$BP$1,$BP146,IF($A$8=$BQ$1,$BQ146,IF($A$8=$BR$1,$BR146,IF($A$8=$BS$1,$BS146,IF($A$8=$BT$1,$BT146,IF($A$8=$BU$1,$BU146,IF($A$8="",INDEX(Tiere!$BN$2:$BN$153,_xlfn.AGGREGATE(15,6,(ROW(Tiere!$BN$2:$BN$153)-1)/(--(SEARCH(AQ$2,Tiere!$BN$2:$BN$153)&gt;0)),ROW()-2),1))))))))),"")</f>
        <v>Zwergrind - Milchkühe (8000 kg Milch) - Mist/Jauche</v>
      </c>
      <c r="AQ147" s="1901" t="str">
        <f t="shared" si="4"/>
        <v/>
      </c>
      <c r="AR147" s="1624" t="str">
        <f>IFERROR(IF($A$9=$BO$1,$BO146,IF($A$9=$BP$1,$BP146,IF($A$9=$BQ$1,$BQ146,IF($A$9=$BR$1,$BR146,IF($A$9=$BS$1,$BS146,IF($A$9=$BT$1,$BT146,IF($A$9=$BU$1,$BU146,IF($A$9="",INDEX(Tiere!$BN$2:$BN$153,_xlfn.AGGREGATE(15,6,(ROW(Tiere!$BN$2:$BN$153)-1)/(--(SEARCH(AS$2,Tiere!$BN$2:$BN$153)&gt;0)),ROW()-2),1))))))))),"")</f>
        <v>Zwergrind - Milchkühe (8000 kg Milch) - Mist/Jauche</v>
      </c>
      <c r="AS147" s="1901" t="str">
        <f t="shared" si="5"/>
        <v/>
      </c>
      <c r="AT147" s="1624" t="str">
        <f>IFERROR(IF($A$10=$BO$1,$BO146,IF($A$10=$BP$1,$BP146,IF($A$10=$BQ$1,$BQ146,IF($A$10=$BR$1,$BR146,IF($A$10=$BS$1,$BS146,IF($A$10=$BT$1,$BT146,IF($A$10=$BU$1,$BU146,IF($A$10="",INDEX(Tiere!$BN$2:$BN$153,_xlfn.AGGREGATE(15,6,(ROW(Tiere!$BN$2:$BN$153)-1)/(--(SEARCH(AU$2,Tiere!$BN$2:$BN$153)&gt;0)),ROW()-2),1))))))))),"")</f>
        <v>Zwergrind - Milchkühe (8000 kg Milch) - Mist/Jauche</v>
      </c>
      <c r="AU147" s="1901" t="str">
        <f t="shared" si="6"/>
        <v/>
      </c>
      <c r="AV147" s="1624" t="str">
        <f>IFERROR(IF($A$11=$BO$1,$BO146,IF($A$11=$BP$1,$BP146,IF($A$11=$BQ$1,$BQ146,IF($A$11=$BR$1,$BR146,IF($A$11=$BS$1,$BS146,IF($A$11=$BT$1,$BT146,IF($A$11=$BU$1,$BU146,IF($A$11="",INDEX(Tiere!$BN$2:$BN$153,_xlfn.AGGREGATE(15,6,(ROW(Tiere!$BN$2:$BN$153)-1)/(--(SEARCH(AW$2,Tiere!$BN$2:$BN$153)&gt;0)),ROW()-2),1))))))))),"")</f>
        <v>Zwergrind - Milchkühe (8000 kg Milch) - Mist/Jauche</v>
      </c>
      <c r="AW147" s="1901" t="str">
        <f t="shared" si="7"/>
        <v/>
      </c>
      <c r="AX147" s="1624" t="str">
        <f>IFERROR(IF($A$12=$BO$1,$BO146,IF($A$12=$BP$1,$BP146,IF($A$12=$BQ$1,$BQ146,IF($A$12=$BR$1,$BR146,IF($A$12=$BS$1,$BS146,IF($A$12=$BT$1,$BT146,IF($A$12=$BU$1,$BU146,IF($A$12="",INDEX(Tiere!$BN$2:$BN$153,_xlfn.AGGREGATE(15,6,(ROW(Tiere!$BN$2:$BN$153)-1)/(--(SEARCH(AY$2,Tiere!$BN$2:$BN$153)&gt;0)),ROW()-2),1))))))))),"")</f>
        <v>Zwergrind - Milchkühe (8000 kg Milch) - Mist/Jauche</v>
      </c>
      <c r="AY147" s="1901" t="str">
        <f t="shared" si="8"/>
        <v/>
      </c>
      <c r="AZ147" s="1624" t="str">
        <f>IFERROR(IF($A$13=$BO$1,$BO146,IF($A$13=$BP$1,$BP146,IF($A$13=$BQ$1,$BQ146,IF($A$13=$BR$1,$BR146,IF($A$13=$BS$1,$BS146,IF($A$13=$BT$1,$BT146,IF($A$13=$BU$1,$BU146,IF($A$13="",INDEX(Tiere!$BN$2:$BN$153,_xlfn.AGGREGATE(15,6,(ROW(Tiere!$BN$2:$BN$153)-1)/(--(SEARCH(BA$2,Tiere!$BN$2:$BN$153)&gt;0)),ROW()-2),1))))))))),"")</f>
        <v>Zwergrind - Milchkühe (8000 kg Milch) - Mist/Jauche</v>
      </c>
      <c r="BA147" s="1901" t="str">
        <f t="shared" si="9"/>
        <v/>
      </c>
      <c r="BB147" s="1624" t="str">
        <f>IFERROR(IF($A$14=$BO$1,$BO146,IF($A$14=$BP$1,$BP146,IF($A$14=$BQ$1,$BQ146,IF($A$14=$BR$1,$BR146,IF($A$14=$BS$1,$BS146,IF($A$14=$BT$1,$BT146,IF($A$14=$BU$1,$BU146,IF($A$14="",INDEX(Tiere!$BN$2:$BN$153,_xlfn.AGGREGATE(15,6,(ROW(Tiere!$BN$2:$BN$153)-1)/(--(SEARCH(BC$2,Tiere!$BN$2:$BN$153)&gt;0)),ROW()-2),1))))))))),"")</f>
        <v>Zwergrind - Milchkühe (8000 kg Milch) - Mist/Jauche</v>
      </c>
      <c r="BC147" s="1901" t="str">
        <f t="shared" si="10"/>
        <v/>
      </c>
      <c r="BD147" s="1624" t="str">
        <f>IFERROR(IF($A$15=$BO$1,$BO146,IF($A$15=$BP$1,$BP146,IF($A$15=$BQ$1,$BQ146,IF($A$15=$BR$1,$BR146,IF($A$15=$BS$1,$BS146,IF($A$15=$BT$1,$BT146,IF($A$15=$BU$1,$BU146,IF($A$15="",INDEX(Tiere!$BN$2:$BN$153,_xlfn.AGGREGATE(15,6,(ROW(Tiere!$BN$2:$BN$153)-1)/(--(SEARCH(BE$2,Tiere!$BN$2:$BN$153)&gt;0)),ROW()-2),1))))))))),"")</f>
        <v>Zwergrind - Milchkühe (8000 kg Milch) - Mist/Jauche</v>
      </c>
      <c r="BE147" s="1901" t="str">
        <f t="shared" si="11"/>
        <v/>
      </c>
      <c r="BF147" s="1624" t="str">
        <f>IFERROR(IF($A$16=$BO$1,$BO146,IF($A$16=$BP$1,$BP146,IF($A$16=$BQ$1,$BQ146,IF($A$16=$BR$1,$BR146,IF($A$16=$BS$1,$BS146,IF($A$16=$BT$1,$BT146,IF($A$16=$BU$1,$BU146,IF($A$16="",INDEX(Tiere!$BN$2:$BN$153,_xlfn.AGGREGATE(15,6,(ROW(Tiere!$BN$2:$BN$153)-1)/(--(SEARCH(BG$2,Tiere!$BN$2:$BN$153)&gt;0)),ROW()-2),1))))))))),"")</f>
        <v>Zwergrind - Milchkühe (8000 kg Milch) - Mist/Jauche</v>
      </c>
      <c r="BG147" s="1901" t="str">
        <f t="shared" si="12"/>
        <v/>
      </c>
      <c r="BH147" s="1624" t="str">
        <f>IFERROR(IF($A$17=$BO$1,$BO146,IF($A$17=$BP$1,$BP146,IF($A$17=$BQ$1,$BQ146,IF($A$17=$BR$1,$BR146,IF($A$17=$BS$1,$BS146,IF($A$17=$BT$1,$BT146,IF($A$17=$BU$1,$BU146,IF($A$17="",INDEX(Tiere!$BN$2:$BN$153,_xlfn.AGGREGATE(15,6,(ROW(Tiere!$BN$2:$BN$153)-1)/(--(SEARCH(BI$2,Tiere!$BN$2:$BN$153)&gt;0)),ROW()-2),1))))))))),"")</f>
        <v>Zwergrind - Milchkühe (8000 kg Milch) - Mist/Jauche</v>
      </c>
      <c r="BI147" s="1901" t="str">
        <f t="shared" si="13"/>
        <v/>
      </c>
      <c r="BJ147" s="1624" t="str">
        <f>IFERROR(IF($A$18=$BO$1,$BO146,IF($A$18=$BP$1,$BP146,IF($A$18=$BQ$1,$BQ146,IF($A$18=$BR$1,$BR146,IF($A$18=$BS$1,$BS146,IF($A$18=$BT$1,$BT146,IF($A$18=$BU$1,$BU146,IF($A$18="",INDEX(Tiere!$BN$2:$BN$153,_xlfn.AGGREGATE(15,6,(ROW(Tiere!$BN$2:$BN$153)-1)/(--(SEARCH(BK$2,Tiere!$BN$2:$BN$153)&gt;0)),ROW()-2),1))))))))),"")</f>
        <v>Zwergrind - Milchkühe (8000 kg Milch) - Mist/Jauche</v>
      </c>
      <c r="BK147" s="1901" t="str">
        <f t="shared" si="14"/>
        <v/>
      </c>
      <c r="BL147" s="1624" t="str">
        <f>IFERROR(IF($A$19=$BO$1,$BO146,IF($A$19=$BP$1,$BP146,IF($A$19=$BQ$1,$BQ146,IF($A$19=$BR$1,$BR146,IF($A$19=$BS$1,$BS146,IF($A$19=$BT$1,$BT146,IF($A$19=$BU$1,$BU146,IF($A$19="",INDEX(Tiere!$BN$2:$BN$153,_xlfn.AGGREGATE(15,6,(ROW(Tiere!$BN$2:$BN$153)-1)/(--(SEARCH(BM$2,Tiere!$BN$2:$BN$153)&gt;0)),ROW()-2),1))))))))),"")</f>
        <v>Zwergrind - Milchkühe (8000 kg Milch) - Mist/Jauche</v>
      </c>
      <c r="BM147" s="1901" t="str">
        <f t="shared" si="15"/>
        <v/>
      </c>
      <c r="BN147" s="1630" t="s">
        <v>830</v>
      </c>
      <c r="BO147" s="1899"/>
      <c r="BP147" s="1899"/>
      <c r="BQ147" s="1899"/>
      <c r="BR147" s="1899"/>
      <c r="BS147" s="1899"/>
      <c r="BT147" s="1899"/>
      <c r="BU147" s="1899"/>
      <c r="CD147" s="1911" t="s">
        <v>830</v>
      </c>
    </row>
    <row r="148" spans="36:82" ht="13.5" thickBot="1">
      <c r="AJ148" s="1624" t="str">
        <f>IFERROR(IF($A$5=$BO$1,$BO147,IF($A$5=$BP$1,$BP147,IF($A$5=$BQ$1,$BQ147,IF($A$5=$BR$1,$BR147,IF($A$5=$BS$1,$BS147,IF($A$5=$BT$1,$BT147,IF($A$5=$BU$1,$BU147,IF($A$5="",INDEX(Tiere!$BN$2:$BN$153,_xlfn.AGGREGATE(15,6,(ROW(Tiere!$BN$2:$BN$153)-1)/(--(SEARCH(AK$2,Tiere!$BN$2:$BN$153)&gt;0)),ROW()-2),1))))))))),"")</f>
        <v>Zwergrind - Milchkühe (8000 kg Milch) - Tiefstallmist</v>
      </c>
      <c r="AK148" s="1901" t="str">
        <f t="shared" si="2"/>
        <v/>
      </c>
      <c r="AL148" s="1624" t="str">
        <f>IFERROR(IF($A$6=$BO$1,$BO147,IF($A$6=$BP$1,$BP147,IF($A$6=$BQ$1,$BQ147,IF($A$6=$BR$1,$BR147,IF($A$6=$BS$1,$BS147,IF($A$6=$BT$1,$BT147,IF($A$6=$BU$1,$BU147,IF($A$6="",INDEX(Tiere!$BN$2:$BN$153,_xlfn.AGGREGATE(15,6,(ROW(Tiere!$BN$2:$BN$153)-1)/(--(SEARCH(AM$2,Tiere!$BN$2:$BN$153)&gt;0)),ROW()-2),1))))))))),"")</f>
        <v>Zwergrind - Milchkühe (8000 kg Milch) - Tiefstallmist</v>
      </c>
      <c r="AM148" s="1901"/>
      <c r="AN148" s="1624" t="str">
        <f>IFERROR(IF($A$7=$BO$1,$BO147,IF($A$7=$BP$1,$BP147,IF($A$7=$BQ$1,$BQ147,IF($A$7=$BR$1,$BR147,IF($A$7=$BS$1,$BS147,IF($A$7=$BT$1,$BT147,IF($A$7=$BU$1,$BU147,IF($A$7="",INDEX(Tiere!$BN$2:$BN$153,_xlfn.AGGREGATE(15,6,(ROW(Tiere!$BN$2:$BN$153)-1)/(--(SEARCH(AM$2,Tiere!$BN$2:$BN$153)&gt;0)),ROW()-2),1))))))))),"")</f>
        <v>Zwergrind - Milchkühe (8000 kg Milch) - Tiefstallmist</v>
      </c>
      <c r="AO148" s="1901" t="str">
        <f t="shared" si="3"/>
        <v/>
      </c>
      <c r="AP148" s="1624" t="str">
        <f>IFERROR(IF($A$8=$BO$1,$BO147,IF($A$8=$BP$1,$BP147,IF($A$8=$BQ$1,$BQ147,IF($A$8=$BR$1,$BR147,IF($A$8=$BS$1,$BS147,IF($A$8=$BT$1,$BT147,IF($A$8=$BU$1,$BU147,IF($A$8="",INDEX(Tiere!$BN$2:$BN$153,_xlfn.AGGREGATE(15,6,(ROW(Tiere!$BN$2:$BN$153)-1)/(--(SEARCH(AQ$2,Tiere!$BN$2:$BN$153)&gt;0)),ROW()-2),1))))))))),"")</f>
        <v>Zwergrind - Milchkühe (8000 kg Milch) - Tiefstallmist</v>
      </c>
      <c r="AQ148" s="1901" t="str">
        <f t="shared" si="4"/>
        <v/>
      </c>
      <c r="AR148" s="1624" t="str">
        <f>IFERROR(IF($A$9=$BO$1,$BO147,IF($A$9=$BP$1,$BP147,IF($A$9=$BQ$1,$BQ147,IF($A$9=$BR$1,$BR147,IF($A$9=$BS$1,$BS147,IF($A$9=$BT$1,$BT147,IF($A$9=$BU$1,$BU147,IF($A$9="",INDEX(Tiere!$BN$2:$BN$153,_xlfn.AGGREGATE(15,6,(ROW(Tiere!$BN$2:$BN$153)-1)/(--(SEARCH(AS$2,Tiere!$BN$2:$BN$153)&gt;0)),ROW()-2),1))))))))),"")</f>
        <v>Zwergrind - Milchkühe (8000 kg Milch) - Tiefstallmist</v>
      </c>
      <c r="AS148" s="1901" t="str">
        <f t="shared" si="5"/>
        <v/>
      </c>
      <c r="AT148" s="1624" t="str">
        <f>IFERROR(IF($A$10=$BO$1,$BO147,IF($A$10=$BP$1,$BP147,IF($A$10=$BQ$1,$BQ147,IF($A$10=$BR$1,$BR147,IF($A$10=$BS$1,$BS147,IF($A$10=$BT$1,$BT147,IF($A$10=$BU$1,$BU147,IF($A$10="",INDEX(Tiere!$BN$2:$BN$153,_xlfn.AGGREGATE(15,6,(ROW(Tiere!$BN$2:$BN$153)-1)/(--(SEARCH(AU$2,Tiere!$BN$2:$BN$153)&gt;0)),ROW()-2),1))))))))),"")</f>
        <v>Zwergrind - Milchkühe (8000 kg Milch) - Tiefstallmist</v>
      </c>
      <c r="AU148" s="1901" t="str">
        <f t="shared" si="6"/>
        <v/>
      </c>
      <c r="AV148" s="1624" t="str">
        <f>IFERROR(IF($A$11=$BO$1,$BO147,IF($A$11=$BP$1,$BP147,IF($A$11=$BQ$1,$BQ147,IF($A$11=$BR$1,$BR147,IF($A$11=$BS$1,$BS147,IF($A$11=$BT$1,$BT147,IF($A$11=$BU$1,$BU147,IF($A$11="",INDEX(Tiere!$BN$2:$BN$153,_xlfn.AGGREGATE(15,6,(ROW(Tiere!$BN$2:$BN$153)-1)/(--(SEARCH(AW$2,Tiere!$BN$2:$BN$153)&gt;0)),ROW()-2),1))))))))),"")</f>
        <v>Zwergrind - Milchkühe (8000 kg Milch) - Tiefstallmist</v>
      </c>
      <c r="AW148" s="1901" t="str">
        <f t="shared" si="7"/>
        <v/>
      </c>
      <c r="AX148" s="1624" t="str">
        <f>IFERROR(IF($A$12=$BO$1,$BO147,IF($A$12=$BP$1,$BP147,IF($A$12=$BQ$1,$BQ147,IF($A$12=$BR$1,$BR147,IF($A$12=$BS$1,$BS147,IF($A$12=$BT$1,$BT147,IF($A$12=$BU$1,$BU147,IF($A$12="",INDEX(Tiere!$BN$2:$BN$153,_xlfn.AGGREGATE(15,6,(ROW(Tiere!$BN$2:$BN$153)-1)/(--(SEARCH(AY$2,Tiere!$BN$2:$BN$153)&gt;0)),ROW()-2),1))))))))),"")</f>
        <v>Zwergrind - Milchkühe (8000 kg Milch) - Tiefstallmist</v>
      </c>
      <c r="AY148" s="1901" t="str">
        <f t="shared" si="8"/>
        <v/>
      </c>
      <c r="AZ148" s="1624" t="str">
        <f>IFERROR(IF($A$13=$BO$1,$BO147,IF($A$13=$BP$1,$BP147,IF($A$13=$BQ$1,$BQ147,IF($A$13=$BR$1,$BR147,IF($A$13=$BS$1,$BS147,IF($A$13=$BT$1,$BT147,IF($A$13=$BU$1,$BU147,IF($A$13="",INDEX(Tiere!$BN$2:$BN$153,_xlfn.AGGREGATE(15,6,(ROW(Tiere!$BN$2:$BN$153)-1)/(--(SEARCH(BA$2,Tiere!$BN$2:$BN$153)&gt;0)),ROW()-2),1))))))))),"")</f>
        <v>Zwergrind - Milchkühe (8000 kg Milch) - Tiefstallmist</v>
      </c>
      <c r="BA148" s="1901" t="str">
        <f t="shared" si="9"/>
        <v/>
      </c>
      <c r="BB148" s="1624" t="str">
        <f>IFERROR(IF($A$14=$BO$1,$BO147,IF($A$14=$BP$1,$BP147,IF($A$14=$BQ$1,$BQ147,IF($A$14=$BR$1,$BR147,IF($A$14=$BS$1,$BS147,IF($A$14=$BT$1,$BT147,IF($A$14=$BU$1,$BU147,IF($A$14="",INDEX(Tiere!$BN$2:$BN$153,_xlfn.AGGREGATE(15,6,(ROW(Tiere!$BN$2:$BN$153)-1)/(--(SEARCH(BC$2,Tiere!$BN$2:$BN$153)&gt;0)),ROW()-2),1))))))))),"")</f>
        <v>Zwergrind - Milchkühe (8000 kg Milch) - Tiefstallmist</v>
      </c>
      <c r="BC148" s="1901" t="str">
        <f t="shared" si="10"/>
        <v/>
      </c>
      <c r="BD148" s="1624" t="str">
        <f>IFERROR(IF($A$15=$BO$1,$BO147,IF($A$15=$BP$1,$BP147,IF($A$15=$BQ$1,$BQ147,IF($A$15=$BR$1,$BR147,IF($A$15=$BS$1,$BS147,IF($A$15=$BT$1,$BT147,IF($A$15=$BU$1,$BU147,IF($A$15="",INDEX(Tiere!$BN$2:$BN$153,_xlfn.AGGREGATE(15,6,(ROW(Tiere!$BN$2:$BN$153)-1)/(--(SEARCH(BE$2,Tiere!$BN$2:$BN$153)&gt;0)),ROW()-2),1))))))))),"")</f>
        <v>Zwergrind - Milchkühe (8000 kg Milch) - Tiefstallmist</v>
      </c>
      <c r="BE148" s="1901" t="str">
        <f t="shared" si="11"/>
        <v/>
      </c>
      <c r="BF148" s="1624" t="str">
        <f>IFERROR(IF($A$16=$BO$1,$BO147,IF($A$16=$BP$1,$BP147,IF($A$16=$BQ$1,$BQ147,IF($A$16=$BR$1,$BR147,IF($A$16=$BS$1,$BS147,IF($A$16=$BT$1,$BT147,IF($A$16=$BU$1,$BU147,IF($A$16="",INDEX(Tiere!$BN$2:$BN$153,_xlfn.AGGREGATE(15,6,(ROW(Tiere!$BN$2:$BN$153)-1)/(--(SEARCH(BG$2,Tiere!$BN$2:$BN$153)&gt;0)),ROW()-2),1))))))))),"")</f>
        <v>Zwergrind - Milchkühe (8000 kg Milch) - Tiefstallmist</v>
      </c>
      <c r="BG148" s="1901" t="str">
        <f t="shared" si="12"/>
        <v/>
      </c>
      <c r="BH148" s="1624" t="str">
        <f>IFERROR(IF($A$17=$BO$1,$BO147,IF($A$17=$BP$1,$BP147,IF($A$17=$BQ$1,$BQ147,IF($A$17=$BR$1,$BR147,IF($A$17=$BS$1,$BS147,IF($A$17=$BT$1,$BT147,IF($A$17=$BU$1,$BU147,IF($A$17="",INDEX(Tiere!$BN$2:$BN$153,_xlfn.AGGREGATE(15,6,(ROW(Tiere!$BN$2:$BN$153)-1)/(--(SEARCH(BI$2,Tiere!$BN$2:$BN$153)&gt;0)),ROW()-2),1))))))))),"")</f>
        <v>Zwergrind - Milchkühe (8000 kg Milch) - Tiefstallmist</v>
      </c>
      <c r="BI148" s="1901" t="str">
        <f t="shared" si="13"/>
        <v/>
      </c>
      <c r="BJ148" s="1624" t="str">
        <f>IFERROR(IF($A$18=$BO$1,$BO147,IF($A$18=$BP$1,$BP147,IF($A$18=$BQ$1,$BQ147,IF($A$18=$BR$1,$BR147,IF($A$18=$BS$1,$BS147,IF($A$18=$BT$1,$BT147,IF($A$18=$BU$1,$BU147,IF($A$18="",INDEX(Tiere!$BN$2:$BN$153,_xlfn.AGGREGATE(15,6,(ROW(Tiere!$BN$2:$BN$153)-1)/(--(SEARCH(BK$2,Tiere!$BN$2:$BN$153)&gt;0)),ROW()-2),1))))))))),"")</f>
        <v>Zwergrind - Milchkühe (8000 kg Milch) - Tiefstallmist</v>
      </c>
      <c r="BK148" s="1901" t="str">
        <f t="shared" si="14"/>
        <v/>
      </c>
      <c r="BL148" s="1624" t="str">
        <f>IFERROR(IF($A$19=$BO$1,$BO147,IF($A$19=$BP$1,$BP147,IF($A$19=$BQ$1,$BQ147,IF($A$19=$BR$1,$BR147,IF($A$19=$BS$1,$BS147,IF($A$19=$BT$1,$BT147,IF($A$19=$BU$1,$BU147,IF($A$19="",INDEX(Tiere!$BN$2:$BN$153,_xlfn.AGGREGATE(15,6,(ROW(Tiere!$BN$2:$BN$153)-1)/(--(SEARCH(BM$2,Tiere!$BN$2:$BN$153)&gt;0)),ROW()-2),1))))))))),"")</f>
        <v>Zwergrind - Milchkühe (8000 kg Milch) - Tiefstallmist</v>
      </c>
      <c r="BM148" s="1901" t="str">
        <f t="shared" si="15"/>
        <v/>
      </c>
      <c r="BN148" s="1630" t="s">
        <v>831</v>
      </c>
      <c r="BO148" s="1899"/>
      <c r="BP148" s="1899"/>
      <c r="BQ148" s="1899"/>
      <c r="BR148" s="1899"/>
      <c r="BS148" s="1899"/>
      <c r="BT148" s="1899"/>
      <c r="BU148" s="1899"/>
      <c r="CD148" s="1911" t="s">
        <v>831</v>
      </c>
    </row>
    <row r="149" spans="36:82" ht="13.5" thickBot="1">
      <c r="AJ149" s="1624" t="str">
        <f>IFERROR(IF($A$5=$BO$1,$BO148,IF($A$5=$BP$1,$BP148,IF($A$5=$BQ$1,$BQ148,IF($A$5=$BR$1,$BR148,IF($A$5=$BS$1,$BS148,IF($A$5=$BT$1,$BT148,IF($A$5=$BU$1,$BU148,IF($A$5="",INDEX(Tiere!$BN$2:$BN$153,_xlfn.AGGREGATE(15,6,(ROW(Tiere!$BN$2:$BN$153)-1)/(--(SEARCH(AK$2,Tiere!$BN$2:$BN$153)&gt;0)),ROW()-2),1))))))))),"")</f>
        <v>Zwergrind - Milchkühe (9000 kg Milch) - Gülle</v>
      </c>
      <c r="AK149" s="1901" t="str">
        <f t="shared" si="2"/>
        <v/>
      </c>
      <c r="AL149" s="1624" t="str">
        <f>IFERROR(IF($A$6=$BO$1,$BO148,IF($A$6=$BP$1,$BP148,IF($A$6=$BQ$1,$BQ148,IF($A$6=$BR$1,$BR148,IF($A$6=$BS$1,$BS148,IF($A$6=$BT$1,$BT148,IF($A$6=$BU$1,$BU148,IF($A$6="",INDEX(Tiere!$BN$2:$BN$153,_xlfn.AGGREGATE(15,6,(ROW(Tiere!$BN$2:$BN$153)-1)/(--(SEARCH(AM$2,Tiere!$BN$2:$BN$153)&gt;0)),ROW()-2),1))))))))),"")</f>
        <v>Zwergrind - Milchkühe (9000 kg Milch) - Gülle</v>
      </c>
      <c r="AM149" s="1901"/>
      <c r="AN149" s="1624" t="str">
        <f>IFERROR(IF($A$7=$BO$1,$BO148,IF($A$7=$BP$1,$BP148,IF($A$7=$BQ$1,$BQ148,IF($A$7=$BR$1,$BR148,IF($A$7=$BS$1,$BS148,IF($A$7=$BT$1,$BT148,IF($A$7=$BU$1,$BU148,IF($A$7="",INDEX(Tiere!$BN$2:$BN$153,_xlfn.AGGREGATE(15,6,(ROW(Tiere!$BN$2:$BN$153)-1)/(--(SEARCH(AM$2,Tiere!$BN$2:$BN$153)&gt;0)),ROW()-2),1))))))))),"")</f>
        <v>Zwergrind - Milchkühe (9000 kg Milch) - Gülle</v>
      </c>
      <c r="AO149" s="1901" t="str">
        <f t="shared" si="3"/>
        <v/>
      </c>
      <c r="AP149" s="1624" t="str">
        <f>IFERROR(IF($A$8=$BO$1,$BO148,IF($A$8=$BP$1,$BP148,IF($A$8=$BQ$1,$BQ148,IF($A$8=$BR$1,$BR148,IF($A$8=$BS$1,$BS148,IF($A$8=$BT$1,$BT148,IF($A$8=$BU$1,$BU148,IF($A$8="",INDEX(Tiere!$BN$2:$BN$153,_xlfn.AGGREGATE(15,6,(ROW(Tiere!$BN$2:$BN$153)-1)/(--(SEARCH(AQ$2,Tiere!$BN$2:$BN$153)&gt;0)),ROW()-2),1))))))))),"")</f>
        <v>Zwergrind - Milchkühe (9000 kg Milch) - Gülle</v>
      </c>
      <c r="AQ149" s="1901" t="str">
        <f t="shared" si="4"/>
        <v/>
      </c>
      <c r="AR149" s="1624" t="str">
        <f>IFERROR(IF($A$9=$BO$1,$BO148,IF($A$9=$BP$1,$BP148,IF($A$9=$BQ$1,$BQ148,IF($A$9=$BR$1,$BR148,IF($A$9=$BS$1,$BS148,IF($A$9=$BT$1,$BT148,IF($A$9=$BU$1,$BU148,IF($A$9="",INDEX(Tiere!$BN$2:$BN$153,_xlfn.AGGREGATE(15,6,(ROW(Tiere!$BN$2:$BN$153)-1)/(--(SEARCH(AS$2,Tiere!$BN$2:$BN$153)&gt;0)),ROW()-2),1))))))))),"")</f>
        <v>Zwergrind - Milchkühe (9000 kg Milch) - Gülle</v>
      </c>
      <c r="AS149" s="1901" t="str">
        <f t="shared" si="5"/>
        <v/>
      </c>
      <c r="AT149" s="1624" t="str">
        <f>IFERROR(IF($A$10=$BO$1,$BO148,IF($A$10=$BP$1,$BP148,IF($A$10=$BQ$1,$BQ148,IF($A$10=$BR$1,$BR148,IF($A$10=$BS$1,$BS148,IF($A$10=$BT$1,$BT148,IF($A$10=$BU$1,$BU148,IF($A$10="",INDEX(Tiere!$BN$2:$BN$153,_xlfn.AGGREGATE(15,6,(ROW(Tiere!$BN$2:$BN$153)-1)/(--(SEARCH(AU$2,Tiere!$BN$2:$BN$153)&gt;0)),ROW()-2),1))))))))),"")</f>
        <v>Zwergrind - Milchkühe (9000 kg Milch) - Gülle</v>
      </c>
      <c r="AU149" s="1901" t="str">
        <f t="shared" si="6"/>
        <v/>
      </c>
      <c r="AV149" s="1624" t="str">
        <f>IFERROR(IF($A$11=$BO$1,$BO148,IF($A$11=$BP$1,$BP148,IF($A$11=$BQ$1,$BQ148,IF($A$11=$BR$1,$BR148,IF($A$11=$BS$1,$BS148,IF($A$11=$BT$1,$BT148,IF($A$11=$BU$1,$BU148,IF($A$11="",INDEX(Tiere!$BN$2:$BN$153,_xlfn.AGGREGATE(15,6,(ROW(Tiere!$BN$2:$BN$153)-1)/(--(SEARCH(AW$2,Tiere!$BN$2:$BN$153)&gt;0)),ROW()-2),1))))))))),"")</f>
        <v>Zwergrind - Milchkühe (9000 kg Milch) - Gülle</v>
      </c>
      <c r="AW149" s="1901" t="str">
        <f t="shared" si="7"/>
        <v/>
      </c>
      <c r="AX149" s="1624" t="str">
        <f>IFERROR(IF($A$12=$BO$1,$BO148,IF($A$12=$BP$1,$BP148,IF($A$12=$BQ$1,$BQ148,IF($A$12=$BR$1,$BR148,IF($A$12=$BS$1,$BS148,IF($A$12=$BT$1,$BT148,IF($A$12=$BU$1,$BU148,IF($A$12="",INDEX(Tiere!$BN$2:$BN$153,_xlfn.AGGREGATE(15,6,(ROW(Tiere!$BN$2:$BN$153)-1)/(--(SEARCH(AY$2,Tiere!$BN$2:$BN$153)&gt;0)),ROW()-2),1))))))))),"")</f>
        <v>Zwergrind - Milchkühe (9000 kg Milch) - Gülle</v>
      </c>
      <c r="AY149" s="1901" t="str">
        <f t="shared" si="8"/>
        <v/>
      </c>
      <c r="AZ149" s="1624" t="str">
        <f>IFERROR(IF($A$13=$BO$1,$BO148,IF($A$13=$BP$1,$BP148,IF($A$13=$BQ$1,$BQ148,IF($A$13=$BR$1,$BR148,IF($A$13=$BS$1,$BS148,IF($A$13=$BT$1,$BT148,IF($A$13=$BU$1,$BU148,IF($A$13="",INDEX(Tiere!$BN$2:$BN$153,_xlfn.AGGREGATE(15,6,(ROW(Tiere!$BN$2:$BN$153)-1)/(--(SEARCH(BA$2,Tiere!$BN$2:$BN$153)&gt;0)),ROW()-2),1))))))))),"")</f>
        <v>Zwergrind - Milchkühe (9000 kg Milch) - Gülle</v>
      </c>
      <c r="BA149" s="1901" t="str">
        <f t="shared" si="9"/>
        <v/>
      </c>
      <c r="BB149" s="1624" t="str">
        <f>IFERROR(IF($A$14=$BO$1,$BO148,IF($A$14=$BP$1,$BP148,IF($A$14=$BQ$1,$BQ148,IF($A$14=$BR$1,$BR148,IF($A$14=$BS$1,$BS148,IF($A$14=$BT$1,$BT148,IF($A$14=$BU$1,$BU148,IF($A$14="",INDEX(Tiere!$BN$2:$BN$153,_xlfn.AGGREGATE(15,6,(ROW(Tiere!$BN$2:$BN$153)-1)/(--(SEARCH(BC$2,Tiere!$BN$2:$BN$153)&gt;0)),ROW()-2),1))))))))),"")</f>
        <v>Zwergrind - Milchkühe (9000 kg Milch) - Gülle</v>
      </c>
      <c r="BC149" s="1901" t="str">
        <f t="shared" si="10"/>
        <v/>
      </c>
      <c r="BD149" s="1624" t="str">
        <f>IFERROR(IF($A$15=$BO$1,$BO148,IF($A$15=$BP$1,$BP148,IF($A$15=$BQ$1,$BQ148,IF($A$15=$BR$1,$BR148,IF($A$15=$BS$1,$BS148,IF($A$15=$BT$1,$BT148,IF($A$15=$BU$1,$BU148,IF($A$15="",INDEX(Tiere!$BN$2:$BN$153,_xlfn.AGGREGATE(15,6,(ROW(Tiere!$BN$2:$BN$153)-1)/(--(SEARCH(BE$2,Tiere!$BN$2:$BN$153)&gt;0)),ROW()-2),1))))))))),"")</f>
        <v>Zwergrind - Milchkühe (9000 kg Milch) - Gülle</v>
      </c>
      <c r="BE149" s="1901" t="str">
        <f t="shared" si="11"/>
        <v/>
      </c>
      <c r="BF149" s="1624" t="str">
        <f>IFERROR(IF($A$16=$BO$1,$BO148,IF($A$16=$BP$1,$BP148,IF($A$16=$BQ$1,$BQ148,IF($A$16=$BR$1,$BR148,IF($A$16=$BS$1,$BS148,IF($A$16=$BT$1,$BT148,IF($A$16=$BU$1,$BU148,IF($A$16="",INDEX(Tiere!$BN$2:$BN$153,_xlfn.AGGREGATE(15,6,(ROW(Tiere!$BN$2:$BN$153)-1)/(--(SEARCH(BG$2,Tiere!$BN$2:$BN$153)&gt;0)),ROW()-2),1))))))))),"")</f>
        <v>Zwergrind - Milchkühe (9000 kg Milch) - Gülle</v>
      </c>
      <c r="BG149" s="1901" t="str">
        <f t="shared" si="12"/>
        <v/>
      </c>
      <c r="BH149" s="1624" t="str">
        <f>IFERROR(IF($A$17=$BO$1,$BO148,IF($A$17=$BP$1,$BP148,IF($A$17=$BQ$1,$BQ148,IF($A$17=$BR$1,$BR148,IF($A$17=$BS$1,$BS148,IF($A$17=$BT$1,$BT148,IF($A$17=$BU$1,$BU148,IF($A$17="",INDEX(Tiere!$BN$2:$BN$153,_xlfn.AGGREGATE(15,6,(ROW(Tiere!$BN$2:$BN$153)-1)/(--(SEARCH(BI$2,Tiere!$BN$2:$BN$153)&gt;0)),ROW()-2),1))))))))),"")</f>
        <v>Zwergrind - Milchkühe (9000 kg Milch) - Gülle</v>
      </c>
      <c r="BI149" s="1901" t="str">
        <f t="shared" si="13"/>
        <v/>
      </c>
      <c r="BJ149" s="1624" t="str">
        <f>IFERROR(IF($A$18=$BO$1,$BO148,IF($A$18=$BP$1,$BP148,IF($A$18=$BQ$1,$BQ148,IF($A$18=$BR$1,$BR148,IF($A$18=$BS$1,$BS148,IF($A$18=$BT$1,$BT148,IF($A$18=$BU$1,$BU148,IF($A$18="",INDEX(Tiere!$BN$2:$BN$153,_xlfn.AGGREGATE(15,6,(ROW(Tiere!$BN$2:$BN$153)-1)/(--(SEARCH(BK$2,Tiere!$BN$2:$BN$153)&gt;0)),ROW()-2),1))))))))),"")</f>
        <v>Zwergrind - Milchkühe (9000 kg Milch) - Gülle</v>
      </c>
      <c r="BK149" s="1901" t="str">
        <f t="shared" si="14"/>
        <v/>
      </c>
      <c r="BL149" s="1624" t="str">
        <f>IFERROR(IF($A$19=$BO$1,$BO148,IF($A$19=$BP$1,$BP148,IF($A$19=$BQ$1,$BQ148,IF($A$19=$BR$1,$BR148,IF($A$19=$BS$1,$BS148,IF($A$19=$BT$1,$BT148,IF($A$19=$BU$1,$BU148,IF($A$19="",INDEX(Tiere!$BN$2:$BN$153,_xlfn.AGGREGATE(15,6,(ROW(Tiere!$BN$2:$BN$153)-1)/(--(SEARCH(BM$2,Tiere!$BN$2:$BN$153)&gt;0)),ROW()-2),1))))))))),"")</f>
        <v>Zwergrind - Milchkühe (9000 kg Milch) - Gülle</v>
      </c>
      <c r="BM149" s="1901" t="str">
        <f t="shared" si="15"/>
        <v/>
      </c>
      <c r="BN149" s="1630" t="s">
        <v>832</v>
      </c>
      <c r="BO149" s="1899"/>
      <c r="BP149" s="1899"/>
      <c r="BQ149" s="1899"/>
      <c r="BR149" s="1899"/>
      <c r="BS149" s="1899"/>
      <c r="BT149" s="1899"/>
      <c r="BU149" s="1899"/>
      <c r="CD149" s="1911" t="s">
        <v>832</v>
      </c>
    </row>
    <row r="150" spans="36:82" ht="13.5" thickBot="1">
      <c r="AJ150" s="1624" t="str">
        <f>IFERROR(IF($A$5=$BO$1,$BO149,IF($A$5=$BP$1,$BP149,IF($A$5=$BQ$1,$BQ149,IF($A$5=$BR$1,$BR149,IF($A$5=$BS$1,$BS149,IF($A$5=$BT$1,$BT149,IF($A$5=$BU$1,$BU149,IF($A$5="",INDEX(Tiere!$BN$2:$BN$153,_xlfn.AGGREGATE(15,6,(ROW(Tiere!$BN$2:$BN$153)-1)/(--(SEARCH(AK$2,Tiere!$BN$2:$BN$153)&gt;0)),ROW()-2),1))))))))),"")</f>
        <v>Zwergrind - Milchkühe (9000 kg Milch) - Mist/Jauche</v>
      </c>
      <c r="AK150" s="1901" t="str">
        <f t="shared" si="2"/>
        <v/>
      </c>
      <c r="AL150" s="1624" t="str">
        <f>IFERROR(IF($A$6=$BO$1,$BO149,IF($A$6=$BP$1,$BP149,IF($A$6=$BQ$1,$BQ149,IF($A$6=$BR$1,$BR149,IF($A$6=$BS$1,$BS149,IF($A$6=$BT$1,$BT149,IF($A$6=$BU$1,$BU149,IF($A$6="",INDEX(Tiere!$BN$2:$BN$153,_xlfn.AGGREGATE(15,6,(ROW(Tiere!$BN$2:$BN$153)-1)/(--(SEARCH(AM$2,Tiere!$BN$2:$BN$153)&gt;0)),ROW()-2),1))))))))),"")</f>
        <v>Zwergrind - Milchkühe (9000 kg Milch) - Mist/Jauche</v>
      </c>
      <c r="AM150" s="1901"/>
      <c r="AN150" s="1624" t="str">
        <f>IFERROR(IF($A$7=$BO$1,$BO149,IF($A$7=$BP$1,$BP149,IF($A$7=$BQ$1,$BQ149,IF($A$7=$BR$1,$BR149,IF($A$7=$BS$1,$BS149,IF($A$7=$BT$1,$BT149,IF($A$7=$BU$1,$BU149,IF($A$7="",INDEX(Tiere!$BN$2:$BN$153,_xlfn.AGGREGATE(15,6,(ROW(Tiere!$BN$2:$BN$153)-1)/(--(SEARCH(AM$2,Tiere!$BN$2:$BN$153)&gt;0)),ROW()-2),1))))))))),"")</f>
        <v>Zwergrind - Milchkühe (9000 kg Milch) - Mist/Jauche</v>
      </c>
      <c r="AO150" s="1901" t="str">
        <f t="shared" si="3"/>
        <v/>
      </c>
      <c r="AP150" s="1624" t="str">
        <f>IFERROR(IF($A$8=$BO$1,$BO149,IF($A$8=$BP$1,$BP149,IF($A$8=$BQ$1,$BQ149,IF($A$8=$BR$1,$BR149,IF($A$8=$BS$1,$BS149,IF($A$8=$BT$1,$BT149,IF($A$8=$BU$1,$BU149,IF($A$8="",INDEX(Tiere!$BN$2:$BN$153,_xlfn.AGGREGATE(15,6,(ROW(Tiere!$BN$2:$BN$153)-1)/(--(SEARCH(AQ$2,Tiere!$BN$2:$BN$153)&gt;0)),ROW()-2),1))))))))),"")</f>
        <v>Zwergrind - Milchkühe (9000 kg Milch) - Mist/Jauche</v>
      </c>
      <c r="AQ150" s="1901" t="str">
        <f t="shared" si="4"/>
        <v/>
      </c>
      <c r="AR150" s="1624" t="str">
        <f>IFERROR(IF($A$9=$BO$1,$BO149,IF($A$9=$BP$1,$BP149,IF($A$9=$BQ$1,$BQ149,IF($A$9=$BR$1,$BR149,IF($A$9=$BS$1,$BS149,IF($A$9=$BT$1,$BT149,IF($A$9=$BU$1,$BU149,IF($A$9="",INDEX(Tiere!$BN$2:$BN$153,_xlfn.AGGREGATE(15,6,(ROW(Tiere!$BN$2:$BN$153)-1)/(--(SEARCH(AS$2,Tiere!$BN$2:$BN$153)&gt;0)),ROW()-2),1))))))))),"")</f>
        <v>Zwergrind - Milchkühe (9000 kg Milch) - Mist/Jauche</v>
      </c>
      <c r="AS150" s="1901" t="str">
        <f t="shared" si="5"/>
        <v/>
      </c>
      <c r="AT150" s="1624" t="str">
        <f>IFERROR(IF($A$10=$BO$1,$BO149,IF($A$10=$BP$1,$BP149,IF($A$10=$BQ$1,$BQ149,IF($A$10=$BR$1,$BR149,IF($A$10=$BS$1,$BS149,IF($A$10=$BT$1,$BT149,IF($A$10=$BU$1,$BU149,IF($A$10="",INDEX(Tiere!$BN$2:$BN$153,_xlfn.AGGREGATE(15,6,(ROW(Tiere!$BN$2:$BN$153)-1)/(--(SEARCH(AU$2,Tiere!$BN$2:$BN$153)&gt;0)),ROW()-2),1))))))))),"")</f>
        <v>Zwergrind - Milchkühe (9000 kg Milch) - Mist/Jauche</v>
      </c>
      <c r="AU150" s="1901" t="str">
        <f t="shared" si="6"/>
        <v/>
      </c>
      <c r="AV150" s="1624" t="str">
        <f>IFERROR(IF($A$11=$BO$1,$BO149,IF($A$11=$BP$1,$BP149,IF($A$11=$BQ$1,$BQ149,IF($A$11=$BR$1,$BR149,IF($A$11=$BS$1,$BS149,IF($A$11=$BT$1,$BT149,IF($A$11=$BU$1,$BU149,IF($A$11="",INDEX(Tiere!$BN$2:$BN$153,_xlfn.AGGREGATE(15,6,(ROW(Tiere!$BN$2:$BN$153)-1)/(--(SEARCH(AW$2,Tiere!$BN$2:$BN$153)&gt;0)),ROW()-2),1))))))))),"")</f>
        <v>Zwergrind - Milchkühe (9000 kg Milch) - Mist/Jauche</v>
      </c>
      <c r="AW150" s="1901" t="str">
        <f t="shared" si="7"/>
        <v/>
      </c>
      <c r="AX150" s="1624" t="str">
        <f>IFERROR(IF($A$12=$BO$1,$BO149,IF($A$12=$BP$1,$BP149,IF($A$12=$BQ$1,$BQ149,IF($A$12=$BR$1,$BR149,IF($A$12=$BS$1,$BS149,IF($A$12=$BT$1,$BT149,IF($A$12=$BU$1,$BU149,IF($A$12="",INDEX(Tiere!$BN$2:$BN$153,_xlfn.AGGREGATE(15,6,(ROW(Tiere!$BN$2:$BN$153)-1)/(--(SEARCH(AY$2,Tiere!$BN$2:$BN$153)&gt;0)),ROW()-2),1))))))))),"")</f>
        <v>Zwergrind - Milchkühe (9000 kg Milch) - Mist/Jauche</v>
      </c>
      <c r="AY150" s="1901" t="str">
        <f t="shared" si="8"/>
        <v/>
      </c>
      <c r="AZ150" s="1624" t="str">
        <f>IFERROR(IF($A$13=$BO$1,$BO149,IF($A$13=$BP$1,$BP149,IF($A$13=$BQ$1,$BQ149,IF($A$13=$BR$1,$BR149,IF($A$13=$BS$1,$BS149,IF($A$13=$BT$1,$BT149,IF($A$13=$BU$1,$BU149,IF($A$13="",INDEX(Tiere!$BN$2:$BN$153,_xlfn.AGGREGATE(15,6,(ROW(Tiere!$BN$2:$BN$153)-1)/(--(SEARCH(BA$2,Tiere!$BN$2:$BN$153)&gt;0)),ROW()-2),1))))))))),"")</f>
        <v>Zwergrind - Milchkühe (9000 kg Milch) - Mist/Jauche</v>
      </c>
      <c r="BA150" s="1901" t="str">
        <f t="shared" si="9"/>
        <v/>
      </c>
      <c r="BB150" s="1624" t="str">
        <f>IFERROR(IF($A$14=$BO$1,$BO149,IF($A$14=$BP$1,$BP149,IF($A$14=$BQ$1,$BQ149,IF($A$14=$BR$1,$BR149,IF($A$14=$BS$1,$BS149,IF($A$14=$BT$1,$BT149,IF($A$14=$BU$1,$BU149,IF($A$14="",INDEX(Tiere!$BN$2:$BN$153,_xlfn.AGGREGATE(15,6,(ROW(Tiere!$BN$2:$BN$153)-1)/(--(SEARCH(BC$2,Tiere!$BN$2:$BN$153)&gt;0)),ROW()-2),1))))))))),"")</f>
        <v>Zwergrind - Milchkühe (9000 kg Milch) - Mist/Jauche</v>
      </c>
      <c r="BC150" s="1901" t="str">
        <f t="shared" si="10"/>
        <v/>
      </c>
      <c r="BD150" s="1624" t="str">
        <f>IFERROR(IF($A$15=$BO$1,$BO149,IF($A$15=$BP$1,$BP149,IF($A$15=$BQ$1,$BQ149,IF($A$15=$BR$1,$BR149,IF($A$15=$BS$1,$BS149,IF($A$15=$BT$1,$BT149,IF($A$15=$BU$1,$BU149,IF($A$15="",INDEX(Tiere!$BN$2:$BN$153,_xlfn.AGGREGATE(15,6,(ROW(Tiere!$BN$2:$BN$153)-1)/(--(SEARCH(BE$2,Tiere!$BN$2:$BN$153)&gt;0)),ROW()-2),1))))))))),"")</f>
        <v>Zwergrind - Milchkühe (9000 kg Milch) - Mist/Jauche</v>
      </c>
      <c r="BE150" s="1901" t="str">
        <f t="shared" si="11"/>
        <v/>
      </c>
      <c r="BF150" s="1624" t="str">
        <f>IFERROR(IF($A$16=$BO$1,$BO149,IF($A$16=$BP$1,$BP149,IF($A$16=$BQ$1,$BQ149,IF($A$16=$BR$1,$BR149,IF($A$16=$BS$1,$BS149,IF($A$16=$BT$1,$BT149,IF($A$16=$BU$1,$BU149,IF($A$16="",INDEX(Tiere!$BN$2:$BN$153,_xlfn.AGGREGATE(15,6,(ROW(Tiere!$BN$2:$BN$153)-1)/(--(SEARCH(BG$2,Tiere!$BN$2:$BN$153)&gt;0)),ROW()-2),1))))))))),"")</f>
        <v>Zwergrind - Milchkühe (9000 kg Milch) - Mist/Jauche</v>
      </c>
      <c r="BG150" s="1901" t="str">
        <f t="shared" si="12"/>
        <v/>
      </c>
      <c r="BH150" s="1624" t="str">
        <f>IFERROR(IF($A$17=$BO$1,$BO149,IF($A$17=$BP$1,$BP149,IF($A$17=$BQ$1,$BQ149,IF($A$17=$BR$1,$BR149,IF($A$17=$BS$1,$BS149,IF($A$17=$BT$1,$BT149,IF($A$17=$BU$1,$BU149,IF($A$17="",INDEX(Tiere!$BN$2:$BN$153,_xlfn.AGGREGATE(15,6,(ROW(Tiere!$BN$2:$BN$153)-1)/(--(SEARCH(BI$2,Tiere!$BN$2:$BN$153)&gt;0)),ROW()-2),1))))))))),"")</f>
        <v>Zwergrind - Milchkühe (9000 kg Milch) - Mist/Jauche</v>
      </c>
      <c r="BI150" s="1901" t="str">
        <f t="shared" si="13"/>
        <v/>
      </c>
      <c r="BJ150" s="1624" t="str">
        <f>IFERROR(IF($A$18=$BO$1,$BO149,IF($A$18=$BP$1,$BP149,IF($A$18=$BQ$1,$BQ149,IF($A$18=$BR$1,$BR149,IF($A$18=$BS$1,$BS149,IF($A$18=$BT$1,$BT149,IF($A$18=$BU$1,$BU149,IF($A$18="",INDEX(Tiere!$BN$2:$BN$153,_xlfn.AGGREGATE(15,6,(ROW(Tiere!$BN$2:$BN$153)-1)/(--(SEARCH(BK$2,Tiere!$BN$2:$BN$153)&gt;0)),ROW()-2),1))))))))),"")</f>
        <v>Zwergrind - Milchkühe (9000 kg Milch) - Mist/Jauche</v>
      </c>
      <c r="BK150" s="1901" t="str">
        <f t="shared" si="14"/>
        <v/>
      </c>
      <c r="BL150" s="1624" t="str">
        <f>IFERROR(IF($A$19=$BO$1,$BO149,IF($A$19=$BP$1,$BP149,IF($A$19=$BQ$1,$BQ149,IF($A$19=$BR$1,$BR149,IF($A$19=$BS$1,$BS149,IF($A$19=$BT$1,$BT149,IF($A$19=$BU$1,$BU149,IF($A$19="",INDEX(Tiere!$BN$2:$BN$153,_xlfn.AGGREGATE(15,6,(ROW(Tiere!$BN$2:$BN$153)-1)/(--(SEARCH(BM$2,Tiere!$BN$2:$BN$153)&gt;0)),ROW()-2),1))))))))),"")</f>
        <v>Zwergrind - Milchkühe (9000 kg Milch) - Mist/Jauche</v>
      </c>
      <c r="BM150" s="1901" t="str">
        <f t="shared" si="15"/>
        <v/>
      </c>
      <c r="BN150" s="1630" t="s">
        <v>833</v>
      </c>
      <c r="BO150" s="1899"/>
      <c r="BP150" s="1899"/>
      <c r="BQ150" s="1899"/>
      <c r="BR150" s="1899"/>
      <c r="BS150" s="1899"/>
      <c r="BT150" s="1899"/>
      <c r="BU150" s="1899"/>
      <c r="CD150" s="1911" t="s">
        <v>833</v>
      </c>
    </row>
    <row r="151" spans="36:82" ht="13.5" thickBot="1">
      <c r="AJ151" s="1624" t="str">
        <f>IFERROR(IF($A$5=$BO$1,$BO150,IF($A$5=$BP$1,$BP150,IF($A$5=$BQ$1,$BQ150,IF($A$5=$BR$1,$BR150,IF($A$5=$BS$1,$BS150,IF($A$5=$BT$1,$BT150,IF($A$5=$BU$1,$BU150,IF($A$5="",INDEX(Tiere!$BN$2:$BN$153,_xlfn.AGGREGATE(15,6,(ROW(Tiere!$BN$2:$BN$153)-1)/(--(SEARCH(AK$2,Tiere!$BN$2:$BN$153)&gt;0)),ROW()-2),1))))))))),"")</f>
        <v>Zwergrind - Milchkühe (9000 kg Milch) - Tiefstallmist</v>
      </c>
      <c r="AK151" s="1901" t="str">
        <f t="shared" si="2"/>
        <v/>
      </c>
      <c r="AL151" s="1624" t="str">
        <f>IFERROR(IF($A$6=$BO$1,$BO150,IF($A$6=$BP$1,$BP150,IF($A$6=$BQ$1,$BQ150,IF($A$6=$BR$1,$BR150,IF($A$6=$BS$1,$BS150,IF($A$6=$BT$1,$BT150,IF($A$6=$BU$1,$BU150,IF($A$6="",INDEX(Tiere!$BN$2:$BN$153,_xlfn.AGGREGATE(15,6,(ROW(Tiere!$BN$2:$BN$153)-1)/(--(SEARCH(AM$2,Tiere!$BN$2:$BN$153)&gt;0)),ROW()-2),1))))))))),"")</f>
        <v>Zwergrind - Milchkühe (9000 kg Milch) - Tiefstallmist</v>
      </c>
      <c r="AM151" s="1901"/>
      <c r="AN151" s="1624" t="str">
        <f>IFERROR(IF($A$7=$BO$1,$BO150,IF($A$7=$BP$1,$BP150,IF($A$7=$BQ$1,$BQ150,IF($A$7=$BR$1,$BR150,IF($A$7=$BS$1,$BS150,IF($A$7=$BT$1,$BT150,IF($A$7=$BU$1,$BU150,IF($A$7="",INDEX(Tiere!$BN$2:$BN$153,_xlfn.AGGREGATE(15,6,(ROW(Tiere!$BN$2:$BN$153)-1)/(--(SEARCH(AM$2,Tiere!$BN$2:$BN$153)&gt;0)),ROW()-2),1))))))))),"")</f>
        <v>Zwergrind - Milchkühe (9000 kg Milch) - Tiefstallmist</v>
      </c>
      <c r="AO151" s="1901" t="str">
        <f t="shared" si="3"/>
        <v/>
      </c>
      <c r="AP151" s="1624" t="str">
        <f>IFERROR(IF($A$8=$BO$1,$BO150,IF($A$8=$BP$1,$BP150,IF($A$8=$BQ$1,$BQ150,IF($A$8=$BR$1,$BR150,IF($A$8=$BS$1,$BS150,IF($A$8=$BT$1,$BT150,IF($A$8=$BU$1,$BU150,IF($A$8="",INDEX(Tiere!$BN$2:$BN$153,_xlfn.AGGREGATE(15,6,(ROW(Tiere!$BN$2:$BN$153)-1)/(--(SEARCH(AQ$2,Tiere!$BN$2:$BN$153)&gt;0)),ROW()-2),1))))))))),"")</f>
        <v>Zwergrind - Milchkühe (9000 kg Milch) - Tiefstallmist</v>
      </c>
      <c r="AQ151" s="1901" t="str">
        <f t="shared" si="4"/>
        <v/>
      </c>
      <c r="AR151" s="1624" t="str">
        <f>IFERROR(IF($A$9=$BO$1,$BO150,IF($A$9=$BP$1,$BP150,IF($A$9=$BQ$1,$BQ150,IF($A$9=$BR$1,$BR150,IF($A$9=$BS$1,$BS150,IF($A$9=$BT$1,$BT150,IF($A$9=$BU$1,$BU150,IF($A$9="",INDEX(Tiere!$BN$2:$BN$153,_xlfn.AGGREGATE(15,6,(ROW(Tiere!$BN$2:$BN$153)-1)/(--(SEARCH(AS$2,Tiere!$BN$2:$BN$153)&gt;0)),ROW()-2),1))))))))),"")</f>
        <v>Zwergrind - Milchkühe (9000 kg Milch) - Tiefstallmist</v>
      </c>
      <c r="AS151" s="1901" t="str">
        <f t="shared" si="5"/>
        <v/>
      </c>
      <c r="AT151" s="1624" t="str">
        <f>IFERROR(IF($A$10=$BO$1,$BO150,IF($A$10=$BP$1,$BP150,IF($A$10=$BQ$1,$BQ150,IF($A$10=$BR$1,$BR150,IF($A$10=$BS$1,$BS150,IF($A$10=$BT$1,$BT150,IF($A$10=$BU$1,$BU150,IF($A$10="",INDEX(Tiere!$BN$2:$BN$153,_xlfn.AGGREGATE(15,6,(ROW(Tiere!$BN$2:$BN$153)-1)/(--(SEARCH(AU$2,Tiere!$BN$2:$BN$153)&gt;0)),ROW()-2),1))))))))),"")</f>
        <v>Zwergrind - Milchkühe (9000 kg Milch) - Tiefstallmist</v>
      </c>
      <c r="AU151" s="1901" t="str">
        <f t="shared" si="6"/>
        <v/>
      </c>
      <c r="AV151" s="1624" t="str">
        <f>IFERROR(IF($A$11=$BO$1,$BO150,IF($A$11=$BP$1,$BP150,IF($A$11=$BQ$1,$BQ150,IF($A$11=$BR$1,$BR150,IF($A$11=$BS$1,$BS150,IF($A$11=$BT$1,$BT150,IF($A$11=$BU$1,$BU150,IF($A$11="",INDEX(Tiere!$BN$2:$BN$153,_xlfn.AGGREGATE(15,6,(ROW(Tiere!$BN$2:$BN$153)-1)/(--(SEARCH(AW$2,Tiere!$BN$2:$BN$153)&gt;0)),ROW()-2),1))))))))),"")</f>
        <v>Zwergrind - Milchkühe (9000 kg Milch) - Tiefstallmist</v>
      </c>
      <c r="AW151" s="1901" t="str">
        <f t="shared" si="7"/>
        <v/>
      </c>
      <c r="AX151" s="1624" t="str">
        <f>IFERROR(IF($A$12=$BO$1,$BO150,IF($A$12=$BP$1,$BP150,IF($A$12=$BQ$1,$BQ150,IF($A$12=$BR$1,$BR150,IF($A$12=$BS$1,$BS150,IF($A$12=$BT$1,$BT150,IF($A$12=$BU$1,$BU150,IF($A$12="",INDEX(Tiere!$BN$2:$BN$153,_xlfn.AGGREGATE(15,6,(ROW(Tiere!$BN$2:$BN$153)-1)/(--(SEARCH(AY$2,Tiere!$BN$2:$BN$153)&gt;0)),ROW()-2),1))))))))),"")</f>
        <v>Zwergrind - Milchkühe (9000 kg Milch) - Tiefstallmist</v>
      </c>
      <c r="AY151" s="1901" t="str">
        <f t="shared" si="8"/>
        <v/>
      </c>
      <c r="AZ151" s="1624" t="str">
        <f>IFERROR(IF($A$13=$BO$1,$BO150,IF($A$13=$BP$1,$BP150,IF($A$13=$BQ$1,$BQ150,IF($A$13=$BR$1,$BR150,IF($A$13=$BS$1,$BS150,IF($A$13=$BT$1,$BT150,IF($A$13=$BU$1,$BU150,IF($A$13="",INDEX(Tiere!$BN$2:$BN$153,_xlfn.AGGREGATE(15,6,(ROW(Tiere!$BN$2:$BN$153)-1)/(--(SEARCH(BA$2,Tiere!$BN$2:$BN$153)&gt;0)),ROW()-2),1))))))))),"")</f>
        <v>Zwergrind - Milchkühe (9000 kg Milch) - Tiefstallmist</v>
      </c>
      <c r="BA151" s="1901" t="str">
        <f t="shared" si="9"/>
        <v/>
      </c>
      <c r="BB151" s="1624" t="str">
        <f>IFERROR(IF($A$14=$BO$1,$BO150,IF($A$14=$BP$1,$BP150,IF($A$14=$BQ$1,$BQ150,IF($A$14=$BR$1,$BR150,IF($A$14=$BS$1,$BS150,IF($A$14=$BT$1,$BT150,IF($A$14=$BU$1,$BU150,IF($A$14="",INDEX(Tiere!$BN$2:$BN$153,_xlfn.AGGREGATE(15,6,(ROW(Tiere!$BN$2:$BN$153)-1)/(--(SEARCH(BC$2,Tiere!$BN$2:$BN$153)&gt;0)),ROW()-2),1))))))))),"")</f>
        <v>Zwergrind - Milchkühe (9000 kg Milch) - Tiefstallmist</v>
      </c>
      <c r="BC151" s="1901" t="str">
        <f t="shared" si="10"/>
        <v/>
      </c>
      <c r="BD151" s="1624" t="str">
        <f>IFERROR(IF($A$15=$BO$1,$BO150,IF($A$15=$BP$1,$BP150,IF($A$15=$BQ$1,$BQ150,IF($A$15=$BR$1,$BR150,IF($A$15=$BS$1,$BS150,IF($A$15=$BT$1,$BT150,IF($A$15=$BU$1,$BU150,IF($A$15="",INDEX(Tiere!$BN$2:$BN$153,_xlfn.AGGREGATE(15,6,(ROW(Tiere!$BN$2:$BN$153)-1)/(--(SEARCH(BE$2,Tiere!$BN$2:$BN$153)&gt;0)),ROW()-2),1))))))))),"")</f>
        <v>Zwergrind - Milchkühe (9000 kg Milch) - Tiefstallmist</v>
      </c>
      <c r="BE151" s="1901" t="str">
        <f t="shared" si="11"/>
        <v/>
      </c>
      <c r="BF151" s="1624" t="str">
        <f>IFERROR(IF($A$16=$BO$1,$BO150,IF($A$16=$BP$1,$BP150,IF($A$16=$BQ$1,$BQ150,IF($A$16=$BR$1,$BR150,IF($A$16=$BS$1,$BS150,IF($A$16=$BT$1,$BT150,IF($A$16=$BU$1,$BU150,IF($A$16="",INDEX(Tiere!$BN$2:$BN$153,_xlfn.AGGREGATE(15,6,(ROW(Tiere!$BN$2:$BN$153)-1)/(--(SEARCH(BG$2,Tiere!$BN$2:$BN$153)&gt;0)),ROW()-2),1))))))))),"")</f>
        <v>Zwergrind - Milchkühe (9000 kg Milch) - Tiefstallmist</v>
      </c>
      <c r="BG151" s="1901" t="str">
        <f t="shared" si="12"/>
        <v/>
      </c>
      <c r="BH151" s="1624" t="str">
        <f>IFERROR(IF($A$17=$BO$1,$BO150,IF($A$17=$BP$1,$BP150,IF($A$17=$BQ$1,$BQ150,IF($A$17=$BR$1,$BR150,IF($A$17=$BS$1,$BS150,IF($A$17=$BT$1,$BT150,IF($A$17=$BU$1,$BU150,IF($A$17="",INDEX(Tiere!$BN$2:$BN$153,_xlfn.AGGREGATE(15,6,(ROW(Tiere!$BN$2:$BN$153)-1)/(--(SEARCH(BI$2,Tiere!$BN$2:$BN$153)&gt;0)),ROW()-2),1))))))))),"")</f>
        <v>Zwergrind - Milchkühe (9000 kg Milch) - Tiefstallmist</v>
      </c>
      <c r="BI151" s="1901" t="str">
        <f t="shared" si="13"/>
        <v/>
      </c>
      <c r="BJ151" s="1624" t="str">
        <f>IFERROR(IF($A$18=$BO$1,$BO150,IF($A$18=$BP$1,$BP150,IF($A$18=$BQ$1,$BQ150,IF($A$18=$BR$1,$BR150,IF($A$18=$BS$1,$BS150,IF($A$18=$BT$1,$BT150,IF($A$18=$BU$1,$BU150,IF($A$18="",INDEX(Tiere!$BN$2:$BN$153,_xlfn.AGGREGATE(15,6,(ROW(Tiere!$BN$2:$BN$153)-1)/(--(SEARCH(BK$2,Tiere!$BN$2:$BN$153)&gt;0)),ROW()-2),1))))))))),"")</f>
        <v>Zwergrind - Milchkühe (9000 kg Milch) - Tiefstallmist</v>
      </c>
      <c r="BK151" s="1901" t="str">
        <f t="shared" si="14"/>
        <v/>
      </c>
      <c r="BL151" s="1624" t="str">
        <f>IFERROR(IF($A$19=$BO$1,$BO150,IF($A$19=$BP$1,$BP150,IF($A$19=$BQ$1,$BQ150,IF($A$19=$BR$1,$BR150,IF($A$19=$BS$1,$BS150,IF($A$19=$BT$1,$BT150,IF($A$19=$BU$1,$BU150,IF($A$19="",INDEX(Tiere!$BN$2:$BN$153,_xlfn.AGGREGATE(15,6,(ROW(Tiere!$BN$2:$BN$153)-1)/(--(SEARCH(BM$2,Tiere!$BN$2:$BN$153)&gt;0)),ROW()-2),1))))))))),"")</f>
        <v>Zwergrind - Milchkühe (9000 kg Milch) - Tiefstallmist</v>
      </c>
      <c r="BM151" s="1901" t="str">
        <f t="shared" si="15"/>
        <v/>
      </c>
      <c r="BN151" s="1630" t="s">
        <v>834</v>
      </c>
      <c r="BO151" s="1899"/>
      <c r="BP151" s="1899"/>
      <c r="BQ151" s="1899"/>
      <c r="BR151" s="1899"/>
      <c r="BS151" s="1899"/>
      <c r="BT151" s="1899"/>
      <c r="BU151" s="1899"/>
      <c r="CD151" s="1911" t="s">
        <v>834</v>
      </c>
    </row>
    <row r="152" spans="36:82" ht="13.5" thickBot="1">
      <c r="AJ152" s="1624" t="str">
        <f>IFERROR(IF($A$5=$BO$1,$BO151,IF($A$5=$BP$1,$BP151,IF($A$5=$BQ$1,$BQ151,IF($A$5=$BR$1,$BR151,IF($A$5=$BS$1,$BS151,IF($A$5=$BT$1,$BT151,IF($A$5=$BU$1,$BU151,IF($A$5="",INDEX(Tiere!$BN$2:$BN$153,_xlfn.AGGREGATE(15,6,(ROW(Tiere!$BN$2:$BN$153)-1)/(--(SEARCH(AK$2,Tiere!$BN$2:$BN$153)&gt;0)),ROW()-2),1))))))))),"")</f>
        <v>Zwergrind - Milchkühe (&gt; 10.000 kg Milch) - Gülle</v>
      </c>
      <c r="AK152" s="1901" t="str">
        <f t="shared" si="2"/>
        <v/>
      </c>
      <c r="AL152" s="1624" t="str">
        <f>IFERROR(IF($A$6=$BO$1,$BO151,IF($A$6=$BP$1,$BP151,IF($A$6=$BQ$1,$BQ151,IF($A$6=$BR$1,$BR151,IF($A$6=$BS$1,$BS151,IF($A$6=$BT$1,$BT151,IF($A$6=$BU$1,$BU151,IF($A$6="",INDEX(Tiere!$BN$2:$BN$153,_xlfn.AGGREGATE(15,6,(ROW(Tiere!$BN$2:$BN$153)-1)/(--(SEARCH(AM$2,Tiere!$BN$2:$BN$153)&gt;0)),ROW()-2),1))))))))),"")</f>
        <v>Zwergrind - Milchkühe (&gt; 10.000 kg Milch) - Gülle</v>
      </c>
      <c r="AM152" s="1901"/>
      <c r="AN152" s="1624" t="str">
        <f>IFERROR(IF($A$7=$BO$1,$BO151,IF($A$7=$BP$1,$BP151,IF($A$7=$BQ$1,$BQ151,IF($A$7=$BR$1,$BR151,IF($A$7=$BS$1,$BS151,IF($A$7=$BT$1,$BT151,IF($A$7=$BU$1,$BU151,IF($A$7="",INDEX(Tiere!$BN$2:$BN$153,_xlfn.AGGREGATE(15,6,(ROW(Tiere!$BN$2:$BN$153)-1)/(--(SEARCH(AM$2,Tiere!$BN$2:$BN$153)&gt;0)),ROW()-2),1))))))))),"")</f>
        <v>Zwergrind - Milchkühe (&gt; 10.000 kg Milch) - Gülle</v>
      </c>
      <c r="AO152" s="1901" t="str">
        <f t="shared" si="3"/>
        <v/>
      </c>
      <c r="AP152" s="1624" t="str">
        <f>IFERROR(IF($A$8=$BO$1,$BO151,IF($A$8=$BP$1,$BP151,IF($A$8=$BQ$1,$BQ151,IF($A$8=$BR$1,$BR151,IF($A$8=$BS$1,$BS151,IF($A$8=$BT$1,$BT151,IF($A$8=$BU$1,$BU151,IF($A$8="",INDEX(Tiere!$BN$2:$BN$153,_xlfn.AGGREGATE(15,6,(ROW(Tiere!$BN$2:$BN$153)-1)/(--(SEARCH(AQ$2,Tiere!$BN$2:$BN$153)&gt;0)),ROW()-2),1))))))))),"")</f>
        <v>Zwergrind - Milchkühe (&gt; 10.000 kg Milch) - Gülle</v>
      </c>
      <c r="AQ152" s="1901" t="str">
        <f t="shared" si="4"/>
        <v/>
      </c>
      <c r="AR152" s="1624" t="str">
        <f>IFERROR(IF($A$9=$BO$1,$BO151,IF($A$9=$BP$1,$BP151,IF($A$9=$BQ$1,$BQ151,IF($A$9=$BR$1,$BR151,IF($A$9=$BS$1,$BS151,IF($A$9=$BT$1,$BT151,IF($A$9=$BU$1,$BU151,IF($A$9="",INDEX(Tiere!$BN$2:$BN$153,_xlfn.AGGREGATE(15,6,(ROW(Tiere!$BN$2:$BN$153)-1)/(--(SEARCH(AS$2,Tiere!$BN$2:$BN$153)&gt;0)),ROW()-2),1))))))))),"")</f>
        <v>Zwergrind - Milchkühe (&gt; 10.000 kg Milch) - Gülle</v>
      </c>
      <c r="AS152" s="1901" t="str">
        <f t="shared" si="5"/>
        <v/>
      </c>
      <c r="AT152" s="1624" t="str">
        <f>IFERROR(IF($A$10=$BO$1,$BO151,IF($A$10=$BP$1,$BP151,IF($A$10=$BQ$1,$BQ151,IF($A$10=$BR$1,$BR151,IF($A$10=$BS$1,$BS151,IF($A$10=$BT$1,$BT151,IF($A$10=$BU$1,$BU151,IF($A$10="",INDEX(Tiere!$BN$2:$BN$153,_xlfn.AGGREGATE(15,6,(ROW(Tiere!$BN$2:$BN$153)-1)/(--(SEARCH(AU$2,Tiere!$BN$2:$BN$153)&gt;0)),ROW()-2),1))))))))),"")</f>
        <v>Zwergrind - Milchkühe (&gt; 10.000 kg Milch) - Gülle</v>
      </c>
      <c r="AU152" s="1901" t="str">
        <f t="shared" si="6"/>
        <v/>
      </c>
      <c r="AV152" s="1624" t="str">
        <f>IFERROR(IF($A$11=$BO$1,$BO151,IF($A$11=$BP$1,$BP151,IF($A$11=$BQ$1,$BQ151,IF($A$11=$BR$1,$BR151,IF($A$11=$BS$1,$BS151,IF($A$11=$BT$1,$BT151,IF($A$11=$BU$1,$BU151,IF($A$11="",INDEX(Tiere!$BN$2:$BN$153,_xlfn.AGGREGATE(15,6,(ROW(Tiere!$BN$2:$BN$153)-1)/(--(SEARCH(AW$2,Tiere!$BN$2:$BN$153)&gt;0)),ROW()-2),1))))))))),"")</f>
        <v>Zwergrind - Milchkühe (&gt; 10.000 kg Milch) - Gülle</v>
      </c>
      <c r="AW152" s="1901" t="str">
        <f t="shared" si="7"/>
        <v/>
      </c>
      <c r="AX152" s="1624" t="str">
        <f>IFERROR(IF($A$12=$BO$1,$BO151,IF($A$12=$BP$1,$BP151,IF($A$12=$BQ$1,$BQ151,IF($A$12=$BR$1,$BR151,IF($A$12=$BS$1,$BS151,IF($A$12=$BT$1,$BT151,IF($A$12=$BU$1,$BU151,IF($A$12="",INDEX(Tiere!$BN$2:$BN$153,_xlfn.AGGREGATE(15,6,(ROW(Tiere!$BN$2:$BN$153)-1)/(--(SEARCH(AY$2,Tiere!$BN$2:$BN$153)&gt;0)),ROW()-2),1))))))))),"")</f>
        <v>Zwergrind - Milchkühe (&gt; 10.000 kg Milch) - Gülle</v>
      </c>
      <c r="AY152" s="1901" t="str">
        <f t="shared" si="8"/>
        <v/>
      </c>
      <c r="AZ152" s="1624" t="str">
        <f>IFERROR(IF($A$13=$BO$1,$BO151,IF($A$13=$BP$1,$BP151,IF($A$13=$BQ$1,$BQ151,IF($A$13=$BR$1,$BR151,IF($A$13=$BS$1,$BS151,IF($A$13=$BT$1,$BT151,IF($A$13=$BU$1,$BU151,IF($A$13="",INDEX(Tiere!$BN$2:$BN$153,_xlfn.AGGREGATE(15,6,(ROW(Tiere!$BN$2:$BN$153)-1)/(--(SEARCH(BA$2,Tiere!$BN$2:$BN$153)&gt;0)),ROW()-2),1))))))))),"")</f>
        <v>Zwergrind - Milchkühe (&gt; 10.000 kg Milch) - Gülle</v>
      </c>
      <c r="BA152" s="1901" t="str">
        <f t="shared" si="9"/>
        <v/>
      </c>
      <c r="BB152" s="1624" t="str">
        <f>IFERROR(IF($A$14=$BO$1,$BO151,IF($A$14=$BP$1,$BP151,IF($A$14=$BQ$1,$BQ151,IF($A$14=$BR$1,$BR151,IF($A$14=$BS$1,$BS151,IF($A$14=$BT$1,$BT151,IF($A$14=$BU$1,$BU151,IF($A$14="",INDEX(Tiere!$BN$2:$BN$153,_xlfn.AGGREGATE(15,6,(ROW(Tiere!$BN$2:$BN$153)-1)/(--(SEARCH(BC$2,Tiere!$BN$2:$BN$153)&gt;0)),ROW()-2),1))))))))),"")</f>
        <v>Zwergrind - Milchkühe (&gt; 10.000 kg Milch) - Gülle</v>
      </c>
      <c r="BC152" s="1901" t="str">
        <f t="shared" si="10"/>
        <v/>
      </c>
      <c r="BD152" s="1624" t="str">
        <f>IFERROR(IF($A$15=$BO$1,$BO151,IF($A$15=$BP$1,$BP151,IF($A$15=$BQ$1,$BQ151,IF($A$15=$BR$1,$BR151,IF($A$15=$BS$1,$BS151,IF($A$15=$BT$1,$BT151,IF($A$15=$BU$1,$BU151,IF($A$15="",INDEX(Tiere!$BN$2:$BN$153,_xlfn.AGGREGATE(15,6,(ROW(Tiere!$BN$2:$BN$153)-1)/(--(SEARCH(BE$2,Tiere!$BN$2:$BN$153)&gt;0)),ROW()-2),1))))))))),"")</f>
        <v>Zwergrind - Milchkühe (&gt; 10.000 kg Milch) - Gülle</v>
      </c>
      <c r="BE152" s="1901" t="str">
        <f t="shared" si="11"/>
        <v/>
      </c>
      <c r="BF152" s="1624" t="str">
        <f>IFERROR(IF($A$16=$BO$1,$BO151,IF($A$16=$BP$1,$BP151,IF($A$16=$BQ$1,$BQ151,IF($A$16=$BR$1,$BR151,IF($A$16=$BS$1,$BS151,IF($A$16=$BT$1,$BT151,IF($A$16=$BU$1,$BU151,IF($A$16="",INDEX(Tiere!$BN$2:$BN$153,_xlfn.AGGREGATE(15,6,(ROW(Tiere!$BN$2:$BN$153)-1)/(--(SEARCH(BG$2,Tiere!$BN$2:$BN$153)&gt;0)),ROW()-2),1))))))))),"")</f>
        <v>Zwergrind - Milchkühe (&gt; 10.000 kg Milch) - Gülle</v>
      </c>
      <c r="BG152" s="1901" t="str">
        <f t="shared" si="12"/>
        <v/>
      </c>
      <c r="BH152" s="1624" t="str">
        <f>IFERROR(IF($A$17=$BO$1,$BO151,IF($A$17=$BP$1,$BP151,IF($A$17=$BQ$1,$BQ151,IF($A$17=$BR$1,$BR151,IF($A$17=$BS$1,$BS151,IF($A$17=$BT$1,$BT151,IF($A$17=$BU$1,$BU151,IF($A$17="",INDEX(Tiere!$BN$2:$BN$153,_xlfn.AGGREGATE(15,6,(ROW(Tiere!$BN$2:$BN$153)-1)/(--(SEARCH(BI$2,Tiere!$BN$2:$BN$153)&gt;0)),ROW()-2),1))))))))),"")</f>
        <v>Zwergrind - Milchkühe (&gt; 10.000 kg Milch) - Gülle</v>
      </c>
      <c r="BI152" s="1901" t="str">
        <f t="shared" si="13"/>
        <v/>
      </c>
      <c r="BJ152" s="1624" t="str">
        <f>IFERROR(IF($A$18=$BO$1,$BO151,IF($A$18=$BP$1,$BP151,IF($A$18=$BQ$1,$BQ151,IF($A$18=$BR$1,$BR151,IF($A$18=$BS$1,$BS151,IF($A$18=$BT$1,$BT151,IF($A$18=$BU$1,$BU151,IF($A$18="",INDEX(Tiere!$BN$2:$BN$153,_xlfn.AGGREGATE(15,6,(ROW(Tiere!$BN$2:$BN$153)-1)/(--(SEARCH(BK$2,Tiere!$BN$2:$BN$153)&gt;0)),ROW()-2),1))))))))),"")</f>
        <v>Zwergrind - Milchkühe (&gt; 10.000 kg Milch) - Gülle</v>
      </c>
      <c r="BK152" s="1901" t="str">
        <f t="shared" si="14"/>
        <v/>
      </c>
      <c r="BL152" s="1624" t="str">
        <f>IFERROR(IF($A$19=$BO$1,$BO151,IF($A$19=$BP$1,$BP151,IF($A$19=$BQ$1,$BQ151,IF($A$19=$BR$1,$BR151,IF($A$19=$BS$1,$BS151,IF($A$19=$BT$1,$BT151,IF($A$19=$BU$1,$BU151,IF($A$19="",INDEX(Tiere!$BN$2:$BN$153,_xlfn.AGGREGATE(15,6,(ROW(Tiere!$BN$2:$BN$153)-1)/(--(SEARCH(BM$2,Tiere!$BN$2:$BN$153)&gt;0)),ROW()-2),1))))))))),"")</f>
        <v>Zwergrind - Milchkühe (&gt; 10.000 kg Milch) - Gülle</v>
      </c>
      <c r="BM152" s="1901" t="str">
        <f t="shared" si="15"/>
        <v/>
      </c>
      <c r="BN152" s="1630" t="s">
        <v>835</v>
      </c>
      <c r="BO152" s="1898"/>
      <c r="BP152" s="1898"/>
      <c r="BQ152" s="1898"/>
      <c r="BR152" s="1898"/>
      <c r="BS152" s="1898"/>
      <c r="BT152" s="1898"/>
      <c r="BU152" s="1898"/>
      <c r="CD152" s="1911" t="s">
        <v>835</v>
      </c>
    </row>
    <row r="153" spans="36:82" ht="13.5" thickBot="1">
      <c r="AJ153" s="1624" t="str">
        <f>IFERROR(IF($A$5=$BO$1,$BO152,IF($A$5=$BP$1,$BP152,IF($A$5=$BQ$1,$BQ152,IF($A$5=$BR$1,$BR152,IF($A$5=$BS$1,$BS152,IF($A$5=$BT$1,$BT152,IF($A$5=$BU$1,$BU152,IF($A$5="",INDEX(Tiere!$BN$2:$BN$153,_xlfn.AGGREGATE(15,6,(ROW(Tiere!$BN$2:$BN$153)-1)/(--(SEARCH(AK$2,Tiere!$BN$2:$BN$153)&gt;0)),ROW()-2),1))))))))),"")</f>
        <v>Zwergrind - Milchkühe (&gt; 10.000 kg Milch) - Mist/Jauche</v>
      </c>
      <c r="AK153" s="1901" t="str">
        <f t="shared" si="2"/>
        <v/>
      </c>
      <c r="AL153" s="1624" t="str">
        <f>IFERROR(IF($A$6=$BO$1,$BO152,IF($A$6=$BP$1,$BP152,IF($A$6=$BQ$1,$BQ152,IF($A$6=$BR$1,$BR152,IF($A$6=$BS$1,$BS152,IF($A$6=$BT$1,$BT152,IF($A$6=$BU$1,$BU152,IF($A$6="",INDEX(Tiere!$BN$2:$BN$153,_xlfn.AGGREGATE(15,6,(ROW(Tiere!$BN$2:$BN$153)-1)/(--(SEARCH(AM$2,Tiere!$BN$2:$BN$153)&gt;0)),ROW()-2),1))))))))),"")</f>
        <v>Zwergrind - Milchkühe (&gt; 10.000 kg Milch) - Mist/Jauche</v>
      </c>
      <c r="AM153" s="1901"/>
      <c r="AN153" s="1624" t="str">
        <f>IFERROR(IF($A$7=$BO$1,$BO152,IF($A$7=$BP$1,$BP152,IF($A$7=$BQ$1,$BQ152,IF($A$7=$BR$1,$BR152,IF($A$7=$BS$1,$BS152,IF($A$7=$BT$1,$BT152,IF($A$7=$BU$1,$BU152,IF($A$7="",INDEX(Tiere!$BN$2:$BN$153,_xlfn.AGGREGATE(15,6,(ROW(Tiere!$BN$2:$BN$153)-1)/(--(SEARCH(AM$2,Tiere!$BN$2:$BN$153)&gt;0)),ROW()-2),1))))))))),"")</f>
        <v>Zwergrind - Milchkühe (&gt; 10.000 kg Milch) - Mist/Jauche</v>
      </c>
      <c r="AO153" s="1901" t="str">
        <f t="shared" si="3"/>
        <v/>
      </c>
      <c r="AP153" s="1624" t="str">
        <f>IFERROR(IF($A$8=$BO$1,$BO152,IF($A$8=$BP$1,$BP152,IF($A$8=$BQ$1,$BQ152,IF($A$8=$BR$1,$BR152,IF($A$8=$BS$1,$BS152,IF($A$8=$BT$1,$BT152,IF($A$8=$BU$1,$BU152,IF($A$8="",INDEX(Tiere!$BN$2:$BN$153,_xlfn.AGGREGATE(15,6,(ROW(Tiere!$BN$2:$BN$153)-1)/(--(SEARCH(AQ$2,Tiere!$BN$2:$BN$153)&gt;0)),ROW()-2),1))))))))),"")</f>
        <v>Zwergrind - Milchkühe (&gt; 10.000 kg Milch) - Mist/Jauche</v>
      </c>
      <c r="AQ153" s="1901" t="str">
        <f t="shared" si="4"/>
        <v/>
      </c>
      <c r="AR153" s="1624" t="str">
        <f>IFERROR(IF($A$9=$BO$1,$BO152,IF($A$9=$BP$1,$BP152,IF($A$9=$BQ$1,$BQ152,IF($A$9=$BR$1,$BR152,IF($A$9=$BS$1,$BS152,IF($A$9=$BT$1,$BT152,IF($A$9=$BU$1,$BU152,IF($A$9="",INDEX(Tiere!$BN$2:$BN$153,_xlfn.AGGREGATE(15,6,(ROW(Tiere!$BN$2:$BN$153)-1)/(--(SEARCH(AS$2,Tiere!$BN$2:$BN$153)&gt;0)),ROW()-2),1))))))))),"")</f>
        <v>Zwergrind - Milchkühe (&gt; 10.000 kg Milch) - Mist/Jauche</v>
      </c>
      <c r="AS153" s="1901" t="str">
        <f t="shared" si="5"/>
        <v/>
      </c>
      <c r="AT153" s="1624" t="str">
        <f>IFERROR(IF($A$10=$BO$1,$BO152,IF($A$10=$BP$1,$BP152,IF($A$10=$BQ$1,$BQ152,IF($A$10=$BR$1,$BR152,IF($A$10=$BS$1,$BS152,IF($A$10=$BT$1,$BT152,IF($A$10=$BU$1,$BU152,IF($A$10="",INDEX(Tiere!$BN$2:$BN$153,_xlfn.AGGREGATE(15,6,(ROW(Tiere!$BN$2:$BN$153)-1)/(--(SEARCH(AU$2,Tiere!$BN$2:$BN$153)&gt;0)),ROW()-2),1))))))))),"")</f>
        <v>Zwergrind - Milchkühe (&gt; 10.000 kg Milch) - Mist/Jauche</v>
      </c>
      <c r="AU153" s="1901" t="str">
        <f t="shared" si="6"/>
        <v/>
      </c>
      <c r="AV153" s="1624" t="str">
        <f>IFERROR(IF($A$11=$BO$1,$BO152,IF($A$11=$BP$1,$BP152,IF($A$11=$BQ$1,$BQ152,IF($A$11=$BR$1,$BR152,IF($A$11=$BS$1,$BS152,IF($A$11=$BT$1,$BT152,IF($A$11=$BU$1,$BU152,IF($A$11="",INDEX(Tiere!$BN$2:$BN$153,_xlfn.AGGREGATE(15,6,(ROW(Tiere!$BN$2:$BN$153)-1)/(--(SEARCH(AW$2,Tiere!$BN$2:$BN$153)&gt;0)),ROW()-2),1))))))))),"")</f>
        <v>Zwergrind - Milchkühe (&gt; 10.000 kg Milch) - Mist/Jauche</v>
      </c>
      <c r="AW153" s="1901" t="str">
        <f t="shared" si="7"/>
        <v/>
      </c>
      <c r="AX153" s="1624" t="str">
        <f>IFERROR(IF($A$12=$BO$1,$BO152,IF($A$12=$BP$1,$BP152,IF($A$12=$BQ$1,$BQ152,IF($A$12=$BR$1,$BR152,IF($A$12=$BS$1,$BS152,IF($A$12=$BT$1,$BT152,IF($A$12=$BU$1,$BU152,IF($A$12="",INDEX(Tiere!$BN$2:$BN$153,_xlfn.AGGREGATE(15,6,(ROW(Tiere!$BN$2:$BN$153)-1)/(--(SEARCH(AY$2,Tiere!$BN$2:$BN$153)&gt;0)),ROW()-2),1))))))))),"")</f>
        <v>Zwergrind - Milchkühe (&gt; 10.000 kg Milch) - Mist/Jauche</v>
      </c>
      <c r="AY153" s="1901" t="str">
        <f t="shared" si="8"/>
        <v/>
      </c>
      <c r="AZ153" s="1624" t="str">
        <f>IFERROR(IF($A$13=$BO$1,$BO152,IF($A$13=$BP$1,$BP152,IF($A$13=$BQ$1,$BQ152,IF($A$13=$BR$1,$BR152,IF($A$13=$BS$1,$BS152,IF($A$13=$BT$1,$BT152,IF($A$13=$BU$1,$BU152,IF($A$13="",INDEX(Tiere!$BN$2:$BN$153,_xlfn.AGGREGATE(15,6,(ROW(Tiere!$BN$2:$BN$153)-1)/(--(SEARCH(BA$2,Tiere!$BN$2:$BN$153)&gt;0)),ROW()-2),1))))))))),"")</f>
        <v>Zwergrind - Milchkühe (&gt; 10.000 kg Milch) - Mist/Jauche</v>
      </c>
      <c r="BA153" s="1901" t="str">
        <f t="shared" si="9"/>
        <v/>
      </c>
      <c r="BB153" s="1624" t="str">
        <f>IFERROR(IF($A$14=$BO$1,$BO152,IF($A$14=$BP$1,$BP152,IF($A$14=$BQ$1,$BQ152,IF($A$14=$BR$1,$BR152,IF($A$14=$BS$1,$BS152,IF($A$14=$BT$1,$BT152,IF($A$14=$BU$1,$BU152,IF($A$14="",INDEX(Tiere!$BN$2:$BN$153,_xlfn.AGGREGATE(15,6,(ROW(Tiere!$BN$2:$BN$153)-1)/(--(SEARCH(BC$2,Tiere!$BN$2:$BN$153)&gt;0)),ROW()-2),1))))))))),"")</f>
        <v>Zwergrind - Milchkühe (&gt; 10.000 kg Milch) - Mist/Jauche</v>
      </c>
      <c r="BC153" s="1901" t="str">
        <f t="shared" si="10"/>
        <v/>
      </c>
      <c r="BD153" s="1624" t="str">
        <f>IFERROR(IF($A$15=$BO$1,$BO152,IF($A$15=$BP$1,$BP152,IF($A$15=$BQ$1,$BQ152,IF($A$15=$BR$1,$BR152,IF($A$15=$BS$1,$BS152,IF($A$15=$BT$1,$BT152,IF($A$15=$BU$1,$BU152,IF($A$15="",INDEX(Tiere!$BN$2:$BN$153,_xlfn.AGGREGATE(15,6,(ROW(Tiere!$BN$2:$BN$153)-1)/(--(SEARCH(BE$2,Tiere!$BN$2:$BN$153)&gt;0)),ROW()-2),1))))))))),"")</f>
        <v>Zwergrind - Milchkühe (&gt; 10.000 kg Milch) - Mist/Jauche</v>
      </c>
      <c r="BE153" s="1901" t="str">
        <f t="shared" si="11"/>
        <v/>
      </c>
      <c r="BF153" s="1624" t="str">
        <f>IFERROR(IF($A$16=$BO$1,$BO152,IF($A$16=$BP$1,$BP152,IF($A$16=$BQ$1,$BQ152,IF($A$16=$BR$1,$BR152,IF($A$16=$BS$1,$BS152,IF($A$16=$BT$1,$BT152,IF($A$16=$BU$1,$BU152,IF($A$16="",INDEX(Tiere!$BN$2:$BN$153,_xlfn.AGGREGATE(15,6,(ROW(Tiere!$BN$2:$BN$153)-1)/(--(SEARCH(BG$2,Tiere!$BN$2:$BN$153)&gt;0)),ROW()-2),1))))))))),"")</f>
        <v>Zwergrind - Milchkühe (&gt; 10.000 kg Milch) - Mist/Jauche</v>
      </c>
      <c r="BG153" s="1901" t="str">
        <f t="shared" si="12"/>
        <v/>
      </c>
      <c r="BH153" s="1624" t="str">
        <f>IFERROR(IF($A$17=$BO$1,$BO152,IF($A$17=$BP$1,$BP152,IF($A$17=$BQ$1,$BQ152,IF($A$17=$BR$1,$BR152,IF($A$17=$BS$1,$BS152,IF($A$17=$BT$1,$BT152,IF($A$17=$BU$1,$BU152,IF($A$17="",INDEX(Tiere!$BN$2:$BN$153,_xlfn.AGGREGATE(15,6,(ROW(Tiere!$BN$2:$BN$153)-1)/(--(SEARCH(BI$2,Tiere!$BN$2:$BN$153)&gt;0)),ROW()-2),1))))))))),"")</f>
        <v>Zwergrind - Milchkühe (&gt; 10.000 kg Milch) - Mist/Jauche</v>
      </c>
      <c r="BI153" s="1901" t="str">
        <f t="shared" si="13"/>
        <v/>
      </c>
      <c r="BJ153" s="1624" t="str">
        <f>IFERROR(IF($A$18=$BO$1,$BO152,IF($A$18=$BP$1,$BP152,IF($A$18=$BQ$1,$BQ152,IF($A$18=$BR$1,$BR152,IF($A$18=$BS$1,$BS152,IF($A$18=$BT$1,$BT152,IF($A$18=$BU$1,$BU152,IF($A$18="",INDEX(Tiere!$BN$2:$BN$153,_xlfn.AGGREGATE(15,6,(ROW(Tiere!$BN$2:$BN$153)-1)/(--(SEARCH(BK$2,Tiere!$BN$2:$BN$153)&gt;0)),ROW()-2),1))))))))),"")</f>
        <v>Zwergrind - Milchkühe (&gt; 10.000 kg Milch) - Mist/Jauche</v>
      </c>
      <c r="BK153" s="1901" t="str">
        <f t="shared" si="14"/>
        <v/>
      </c>
      <c r="BL153" s="1624" t="str">
        <f>IFERROR(IF($A$19=$BO$1,$BO152,IF($A$19=$BP$1,$BP152,IF($A$19=$BQ$1,$BQ152,IF($A$19=$BR$1,$BR152,IF($A$19=$BS$1,$BS152,IF($A$19=$BT$1,$BT152,IF($A$19=$BU$1,$BU152,IF($A$19="",INDEX(Tiere!$BN$2:$BN$153,_xlfn.AGGREGATE(15,6,(ROW(Tiere!$BN$2:$BN$153)-1)/(--(SEARCH(BM$2,Tiere!$BN$2:$BN$153)&gt;0)),ROW()-2),1))))))))),"")</f>
        <v>Zwergrind - Milchkühe (&gt; 10.000 kg Milch) - Mist/Jauche</v>
      </c>
      <c r="BM153" s="1901" t="str">
        <f t="shared" si="15"/>
        <v/>
      </c>
      <c r="BN153" s="1630" t="s">
        <v>836</v>
      </c>
      <c r="BO153" s="1899"/>
      <c r="BP153" s="1899"/>
      <c r="BQ153" s="1899"/>
      <c r="BR153" s="1899"/>
      <c r="BS153" s="1899"/>
      <c r="BT153" s="1899"/>
      <c r="BU153" s="1899"/>
      <c r="CD153" s="1911" t="s">
        <v>836</v>
      </c>
    </row>
    <row r="154" spans="36:82" ht="13.5" thickBot="1">
      <c r="AJ154" s="1624" t="str">
        <f>IFERROR(IF($A$5=$BO$1,$BO153,IF($A$5=$BP$1,$BP153,IF($A$5=$BQ$1,$BQ153,IF($A$5=$BR$1,$BR153,IF($A$5=$BS$1,$BS153,IF($A$5=$BT$1,$BT153,IF($A$5=$BU$1,$BU153,IF($A$5="",INDEX(Tiere!$BN$2:$BN$153,_xlfn.AGGREGATE(15,6,(ROW(Tiere!$BN$2:$BN$153)-1)/(--(SEARCH(AK$2,Tiere!$BN$2:$BN$153)&gt;0)),ROW()-2),1))))))))),"")</f>
        <v>Zwergrind - Milchkühe (&gt; 10.000 kg Milch) - Tiefstallmist</v>
      </c>
      <c r="AK154" s="1901" t="str">
        <f t="shared" si="2"/>
        <v/>
      </c>
      <c r="AL154" s="1624" t="str">
        <f>IFERROR(IF($A$6=$BO$1,$BO153,IF($A$6=$BP$1,$BP153,IF($A$6=$BQ$1,$BQ153,IF($A$6=$BR$1,$BR153,IF($A$6=$BS$1,$BS153,IF($A$6=$BT$1,$BT153,IF($A$6=$BU$1,$BU153,IF($A$6="",INDEX(Tiere!$BN$2:$BN$153,_xlfn.AGGREGATE(15,6,(ROW(Tiere!$BN$2:$BN$153)-1)/(--(SEARCH(AM$2,Tiere!$BN$2:$BN$153)&gt;0)),ROW()-2),1))))))))),"")</f>
        <v>Zwergrind - Milchkühe (&gt; 10.000 kg Milch) - Tiefstallmist</v>
      </c>
      <c r="AM154" s="1901"/>
      <c r="AN154" s="1624" t="str">
        <f>IFERROR(IF($A$7=$BO$1,$BO153,IF($A$7=$BP$1,$BP153,IF($A$7=$BQ$1,$BQ153,IF($A$7=$BR$1,$BR153,IF($A$7=$BS$1,$BS153,IF($A$7=$BT$1,$BT153,IF($A$7=$BU$1,$BU153,IF($A$7="",INDEX(Tiere!$BN$2:$BN$153,_xlfn.AGGREGATE(15,6,(ROW(Tiere!$BN$2:$BN$153)-1)/(--(SEARCH(AM$2,Tiere!$BN$2:$BN$153)&gt;0)),ROW()-2),1))))))))),"")</f>
        <v>Zwergrind - Milchkühe (&gt; 10.000 kg Milch) - Tiefstallmist</v>
      </c>
      <c r="AO154" s="1901" t="str">
        <f t="shared" si="3"/>
        <v/>
      </c>
      <c r="AP154" s="1624" t="str">
        <f>IFERROR(IF($A$8=$BO$1,$BO153,IF($A$8=$BP$1,$BP153,IF($A$8=$BQ$1,$BQ153,IF($A$8=$BR$1,$BR153,IF($A$8=$BS$1,$BS153,IF($A$8=$BT$1,$BT153,IF($A$8=$BU$1,$BU153,IF($A$8="",INDEX(Tiere!$BN$2:$BN$153,_xlfn.AGGREGATE(15,6,(ROW(Tiere!$BN$2:$BN$153)-1)/(--(SEARCH(AQ$2,Tiere!$BN$2:$BN$153)&gt;0)),ROW()-2),1))))))))),"")</f>
        <v>Zwergrind - Milchkühe (&gt; 10.000 kg Milch) - Tiefstallmist</v>
      </c>
      <c r="AQ154" s="1901" t="str">
        <f t="shared" si="4"/>
        <v/>
      </c>
      <c r="AR154" s="1624" t="str">
        <f>IFERROR(IF($A$9=$BO$1,$BO153,IF($A$9=$BP$1,$BP153,IF($A$9=$BQ$1,$BQ153,IF($A$9=$BR$1,$BR153,IF($A$9=$BS$1,$BS153,IF($A$9=$BT$1,$BT153,IF($A$9=$BU$1,$BU153,IF($A$9="",INDEX(Tiere!$BN$2:$BN$153,_xlfn.AGGREGATE(15,6,(ROW(Tiere!$BN$2:$BN$153)-1)/(--(SEARCH(AS$2,Tiere!$BN$2:$BN$153)&gt;0)),ROW()-2),1))))))))),"")</f>
        <v>Zwergrind - Milchkühe (&gt; 10.000 kg Milch) - Tiefstallmist</v>
      </c>
      <c r="AS154" s="1901" t="str">
        <f t="shared" si="5"/>
        <v/>
      </c>
      <c r="AT154" s="1624" t="str">
        <f>IFERROR(IF($A$10=$BO$1,$BO153,IF($A$10=$BP$1,$BP153,IF($A$10=$BQ$1,$BQ153,IF($A$10=$BR$1,$BR153,IF($A$10=$BS$1,$BS153,IF($A$10=$BT$1,$BT153,IF($A$10=$BU$1,$BU153,IF($A$10="",INDEX(Tiere!$BN$2:$BN$153,_xlfn.AGGREGATE(15,6,(ROW(Tiere!$BN$2:$BN$153)-1)/(--(SEARCH(AU$2,Tiere!$BN$2:$BN$153)&gt;0)),ROW()-2),1))))))))),"")</f>
        <v>Zwergrind - Milchkühe (&gt; 10.000 kg Milch) - Tiefstallmist</v>
      </c>
      <c r="AU154" s="1901" t="str">
        <f t="shared" si="6"/>
        <v/>
      </c>
      <c r="AV154" s="1624" t="str">
        <f>IFERROR(IF($A$11=$BO$1,$BO153,IF($A$11=$BP$1,$BP153,IF($A$11=$BQ$1,$BQ153,IF($A$11=$BR$1,$BR153,IF($A$11=$BS$1,$BS153,IF($A$11=$BT$1,$BT153,IF($A$11=$BU$1,$BU153,IF($A$11="",INDEX(Tiere!$BN$2:$BN$153,_xlfn.AGGREGATE(15,6,(ROW(Tiere!$BN$2:$BN$153)-1)/(--(SEARCH(AW$2,Tiere!$BN$2:$BN$153)&gt;0)),ROW()-2),1))))))))),"")</f>
        <v>Zwergrind - Milchkühe (&gt; 10.000 kg Milch) - Tiefstallmist</v>
      </c>
      <c r="AW154" s="1901" t="str">
        <f t="shared" si="7"/>
        <v/>
      </c>
      <c r="AX154" s="1624" t="str">
        <f>IFERROR(IF($A$12=$BO$1,$BO153,IF($A$12=$BP$1,$BP153,IF($A$12=$BQ$1,$BQ153,IF($A$12=$BR$1,$BR153,IF($A$12=$BS$1,$BS153,IF($A$12=$BT$1,$BT153,IF($A$12=$BU$1,$BU153,IF($A$12="",INDEX(Tiere!$BN$2:$BN$153,_xlfn.AGGREGATE(15,6,(ROW(Tiere!$BN$2:$BN$153)-1)/(--(SEARCH(AY$2,Tiere!$BN$2:$BN$153)&gt;0)),ROW()-2),1))))))))),"")</f>
        <v>Zwergrind - Milchkühe (&gt; 10.000 kg Milch) - Tiefstallmist</v>
      </c>
      <c r="AY154" s="1901" t="str">
        <f t="shared" si="8"/>
        <v/>
      </c>
      <c r="AZ154" s="1624" t="str">
        <f>IFERROR(IF($A$13=$BO$1,$BO153,IF($A$13=$BP$1,$BP153,IF($A$13=$BQ$1,$BQ153,IF($A$13=$BR$1,$BR153,IF($A$13=$BS$1,$BS153,IF($A$13=$BT$1,$BT153,IF($A$13=$BU$1,$BU153,IF($A$13="",INDEX(Tiere!$BN$2:$BN$153,_xlfn.AGGREGATE(15,6,(ROW(Tiere!$BN$2:$BN$153)-1)/(--(SEARCH(BA$2,Tiere!$BN$2:$BN$153)&gt;0)),ROW()-2),1))))))))),"")</f>
        <v>Zwergrind - Milchkühe (&gt; 10.000 kg Milch) - Tiefstallmist</v>
      </c>
      <c r="BA154" s="1901" t="str">
        <f t="shared" si="9"/>
        <v/>
      </c>
      <c r="BB154" s="1624" t="str">
        <f>IFERROR(IF($A$14=$BO$1,$BO153,IF($A$14=$BP$1,$BP153,IF($A$14=$BQ$1,$BQ153,IF($A$14=$BR$1,$BR153,IF($A$14=$BS$1,$BS153,IF($A$14=$BT$1,$BT153,IF($A$14=$BU$1,$BU153,IF($A$14="",INDEX(Tiere!$BN$2:$BN$153,_xlfn.AGGREGATE(15,6,(ROW(Tiere!$BN$2:$BN$153)-1)/(--(SEARCH(BC$2,Tiere!$BN$2:$BN$153)&gt;0)),ROW()-2),1))))))))),"")</f>
        <v>Zwergrind - Milchkühe (&gt; 10.000 kg Milch) - Tiefstallmist</v>
      </c>
      <c r="BC154" s="1901" t="str">
        <f t="shared" si="10"/>
        <v/>
      </c>
      <c r="BD154" s="1624" t="str">
        <f>IFERROR(IF($A$15=$BO$1,$BO153,IF($A$15=$BP$1,$BP153,IF($A$15=$BQ$1,$BQ153,IF($A$15=$BR$1,$BR153,IF($A$15=$BS$1,$BS153,IF($A$15=$BT$1,$BT153,IF($A$15=$BU$1,$BU153,IF($A$15="",INDEX(Tiere!$BN$2:$BN$153,_xlfn.AGGREGATE(15,6,(ROW(Tiere!$BN$2:$BN$153)-1)/(--(SEARCH(BE$2,Tiere!$BN$2:$BN$153)&gt;0)),ROW()-2),1))))))))),"")</f>
        <v>Zwergrind - Milchkühe (&gt; 10.000 kg Milch) - Tiefstallmist</v>
      </c>
      <c r="BE154" s="1901" t="str">
        <f t="shared" si="11"/>
        <v/>
      </c>
      <c r="BF154" s="1624" t="str">
        <f>IFERROR(IF($A$16=$BO$1,$BO153,IF($A$16=$BP$1,$BP153,IF($A$16=$BQ$1,$BQ153,IF($A$16=$BR$1,$BR153,IF($A$16=$BS$1,$BS153,IF($A$16=$BT$1,$BT153,IF($A$16=$BU$1,$BU153,IF($A$16="",INDEX(Tiere!$BN$2:$BN$153,_xlfn.AGGREGATE(15,6,(ROW(Tiere!$BN$2:$BN$153)-1)/(--(SEARCH(BG$2,Tiere!$BN$2:$BN$153)&gt;0)),ROW()-2),1))))))))),"")</f>
        <v>Zwergrind - Milchkühe (&gt; 10.000 kg Milch) - Tiefstallmist</v>
      </c>
      <c r="BG154" s="1901" t="str">
        <f t="shared" si="12"/>
        <v/>
      </c>
      <c r="BH154" s="1624" t="str">
        <f>IFERROR(IF($A$17=$BO$1,$BO153,IF($A$17=$BP$1,$BP153,IF($A$17=$BQ$1,$BQ153,IF($A$17=$BR$1,$BR153,IF($A$17=$BS$1,$BS153,IF($A$17=$BT$1,$BT153,IF($A$17=$BU$1,$BU153,IF($A$17="",INDEX(Tiere!$BN$2:$BN$153,_xlfn.AGGREGATE(15,6,(ROW(Tiere!$BN$2:$BN$153)-1)/(--(SEARCH(BI$2,Tiere!$BN$2:$BN$153)&gt;0)),ROW()-2),1))))))))),"")</f>
        <v>Zwergrind - Milchkühe (&gt; 10.000 kg Milch) - Tiefstallmist</v>
      </c>
      <c r="BI154" s="1901" t="str">
        <f t="shared" si="13"/>
        <v/>
      </c>
      <c r="BJ154" s="1624" t="str">
        <f>IFERROR(IF($A$18=$BO$1,$BO153,IF($A$18=$BP$1,$BP153,IF($A$18=$BQ$1,$BQ153,IF($A$18=$BR$1,$BR153,IF($A$18=$BS$1,$BS153,IF($A$18=$BT$1,$BT153,IF($A$18=$BU$1,$BU153,IF($A$18="",INDEX(Tiere!$BN$2:$BN$153,_xlfn.AGGREGATE(15,6,(ROW(Tiere!$BN$2:$BN$153)-1)/(--(SEARCH(BK$2,Tiere!$BN$2:$BN$153)&gt;0)),ROW()-2),1))))))))),"")</f>
        <v>Zwergrind - Milchkühe (&gt; 10.000 kg Milch) - Tiefstallmist</v>
      </c>
      <c r="BK154" s="1901" t="str">
        <f t="shared" si="14"/>
        <v/>
      </c>
      <c r="BL154" s="1624" t="str">
        <f>IFERROR(IF($A$19=$BO$1,$BO153,IF($A$19=$BP$1,$BP153,IF($A$19=$BQ$1,$BQ153,IF($A$19=$BR$1,$BR153,IF($A$19=$BS$1,$BS153,IF($A$19=$BT$1,$BT153,IF($A$19=$BU$1,$BU153,IF($A$19="",INDEX(Tiere!$BN$2:$BN$153,_xlfn.AGGREGATE(15,6,(ROW(Tiere!$BN$2:$BN$153)-1)/(--(SEARCH(BM$2,Tiere!$BN$2:$BN$153)&gt;0)),ROW()-2),1))))))))),"")</f>
        <v>Zwergrind - Milchkühe (&gt; 10.000 kg Milch) - Tiefstallmist</v>
      </c>
      <c r="BM154" s="1901" t="str">
        <f t="shared" si="15"/>
        <v/>
      </c>
      <c r="BN154" s="1900"/>
      <c r="BO154" s="1899"/>
      <c r="BP154" s="1899"/>
      <c r="BQ154" s="1899"/>
      <c r="BR154" s="1899"/>
      <c r="BS154" s="1899"/>
      <c r="BT154" s="1899"/>
      <c r="BU154" s="1899"/>
    </row>
    <row r="155" spans="36:82" ht="12.75">
      <c r="AJ155" s="1624" t="str">
        <f>IFERROR(IF($A$5=$BO$1,$BO154,IF($A$5=$BP$1,$BP154,IF($A$5=$BQ$1,$BQ154,IF($A$5=$BR$1,$BR154,IF($A$5=$BS$1,$BS154,IF($A$5=$BT$1,$BT154,IF($A$5=$BU$1,$BU154,IF($A$5="",INDEX(Tiere!$BN$2:$BN$153,_xlfn.AGGREGATE(15,6,(ROW(Tiere!$BN$2:$BN$153)-1)/(--(SEARCH(AK$2,Tiere!$BN$2:$BN$153)&gt;0)),ROW()-2),1))))))))),"")</f>
        <v/>
      </c>
      <c r="AK155" s="1599" t="str">
        <f>IF(AND($A$5=$BW$2,$B158=""),"",IF(AND($A$5=$BW$2,$B158&lt;&gt;""),$B158,IF($A158=$BO$1,$BO$1,IF($A$5=$BP$1,$BP$1,IF($A158=$BQ$1,$BQ$1,IF($A158=$BR$1,$BR$1,IF($A158=$BS$1,$BS$1,IF($A158=$BT$1,$BT$1,IF($A158=$BU$1,$BU$1,$B158)))))))))</f>
        <v/>
      </c>
      <c r="AL155" s="1624" t="str">
        <f>IFERROR(IF($A$6=$BO$1,$BO154,IF($A$6=$BP$1,$BP154,IF($A$6=$BQ$1,$BQ154,IF($A$6=$BR$1,$BR154,IF($A$6=$BS$1,$BS154,IF($A$6=$BT$1,$BT154,IF($A$6=$BU$1,$BU154,IF($A$6="",INDEX(Tiere!$BN$2:$BN$153,_xlfn.AGGREGATE(15,6,(ROW(Tiere!$BN$2:$BN$153)-1)/(--(SEARCH(AM$2,Tiere!$BN$2:$BN$153)&gt;0)),ROW()-2),1))))))))),"")</f>
        <v/>
      </c>
      <c r="AM155" s="1599"/>
      <c r="AN155" s="1624" t="str">
        <f>IFERROR(IF($A$7=$BO$1,$BO154,IF($A$7=$BP$1,$BP154,IF($A$7=$BQ$1,$BQ154,IF($A$7=$BR$1,$BR154,IF($A$7=$BS$1,$BS154,IF($A$7=$BT$1,$BT154,IF($A$7=$BU$1,$BU154,IF($A$7="",INDEX(Tiere!$BN$2:$BN$153,_xlfn.AGGREGATE(15,6,(ROW(Tiere!$BN$2:$BN$153)-1)/(--(SEARCH(AM$2,Tiere!$BN$2:$BN$153)&gt;0)),ROW()-2),1))))))))),"")</f>
        <v/>
      </c>
      <c r="AO155" s="1599" t="str">
        <f>IF(AND($A160=$BW$2,$B160=""),"",IF(AND($A160=$BW$2,$B160&lt;&gt;""),$B160,IF($A160=$BO$1,$BO$1,IF($A160=$BP$1,$BP$1,IF($A160=$BQ$1,$BQ$1,IF($A160=$BR$1,$BR$1,IF($A160=$BS$1,$BS$1,IF($A160=$BT$1,$BT$1,IF($A160=$BU$1,$BU$1,$B160)))))))))</f>
        <v/>
      </c>
      <c r="AP155" s="1624" t="str">
        <f>IFERROR(IF($A$8=$BO$1,$BO154,IF($A$8=$BP$1,$BP154,IF($A$8=$BQ$1,$BQ154,IF($A$8=$BR$1,$BR154,IF($A$8=$BS$1,$BS154,IF($A$8=$BT$1,$BT154,IF($A$8=$BU$1,$BU154,IF($A$8="",INDEX(Tiere!$BN$2:$BN$153,_xlfn.AGGREGATE(15,6,(ROW(Tiere!$BN$2:$BN$153)-1)/(--(SEARCH(AQ$2,Tiere!$BN$2:$BN$153)&gt;0)),ROW()-2),1))))))))),"")</f>
        <v/>
      </c>
      <c r="AQ155" s="1599" t="str">
        <f>IF(AND($A161=$BW$2,$B161=""),"",IF(AND($A161=$BW$2,$B161&lt;&gt;""),$B161,IF($A161=$BO$1,$BO$1,IF($A161=$BP$1,$BP$1,IF($A161=$BQ$1,$BQ$1,IF($A161=$BR$1,$BR$1,IF($A161=$BS$1,$BS$1,IF($A161=$BT$1,$BT$1,IF($A161=$BU$1,$BU$1,$B161)))))))))</f>
        <v/>
      </c>
      <c r="AR155" s="1624" t="str">
        <f>IFERROR(IF($A$9=$BO$1,$BO154,IF($A$9=$BP$1,$BP154,IF($A$9=$BQ$1,$BQ154,IF($A$9=$BR$1,$BR154,IF($A$9=$BS$1,$BS154,IF($A$9=$BT$1,$BT154,IF($A$9=$BU$1,$BU154,IF($A$9="",INDEX(Tiere!$BN$2:$BN$153,_xlfn.AGGREGATE(15,6,(ROW(Tiere!$BN$2:$BN$153)-1)/(--(SEARCH(AS$2,Tiere!$BN$2:$BN$153)&gt;0)),ROW()-2),1))))))))),"")</f>
        <v/>
      </c>
      <c r="AS155" s="1599" t="str">
        <f>IF(AND($A162=$BW$2,$B162=""),"",IF(AND($A162=$BW$2,$B162&lt;&gt;""),$B162,IF($A162=$BO$1,$BO$1,IF($A162=$BP$1,$BP$1,IF($A162=$BQ$1,$BQ$1,IF($A162=$BR$1,$BR$1,IF($A162=$BS$1,$BS$1,IF($A162=$BT$1,$BT$1,IF($A162=$BU$1,$BU$1,$B162)))))))))</f>
        <v/>
      </c>
      <c r="AT155" s="1624" t="str">
        <f>IFERROR(IF($A$10=$BO$1,$BO154,IF($A$10=$BP$1,$BP154,IF($A$10=$BQ$1,$BQ154,IF($A$10=$BR$1,$BR154,IF($A$10=$BS$1,$BS154,IF($A$10=$BT$1,$BT154,IF($A$10=$BU$1,$BU154,IF($A$10="",INDEX(Tiere!$BN$2:$BN$153,_xlfn.AGGREGATE(15,6,(ROW(Tiere!$BN$2:$BN$153)-1)/(--(SEARCH(AU$2,Tiere!$BN$2:$BN$153)&gt;0)),ROW()-2),1))))))))),"")</f>
        <v/>
      </c>
      <c r="AU155" s="1599" t="str">
        <f>IF(AND($A163=$BW$2,$B163=""),"",IF(AND($A163=$BW$2,$B163&lt;&gt;""),$B163,IF($A163=$BO$1,$BO$1,IF($A163=$BP$1,$BP$1,IF($A163=$BQ$1,$BQ$1,IF($A163=$BR$1,$BR$1,IF($A163=$BS$1,$BS$1,IF($A163=$BT$1,$BT$1,IF($A163=$BU$1,$BU$1,$B163)))))))))</f>
        <v/>
      </c>
      <c r="AV155" s="1624" t="str">
        <f>IFERROR(IF($A$11=$BO$1,$BO154,IF($A$11=$BP$1,$BP154,IF($A$11=$BQ$1,$BQ154,IF($A$11=$BR$1,$BR154,IF($A$11=$BS$1,$BS154,IF($A$11=$BT$1,$BT154,IF($A$11=$BU$1,$BU154,IF($A$11="",INDEX(Tiere!$BN$2:$BN$153,_xlfn.AGGREGATE(15,6,(ROW(Tiere!$BN$2:$BN$153)-1)/(--(SEARCH(AW$2,Tiere!$BN$2:$BN$153)&gt;0)),ROW()-2),1))))))))),"")</f>
        <v/>
      </c>
      <c r="AW155" s="1599" t="str">
        <f>IF(AND($A164=$BW$2,$B164=""),"",IF(AND($A164=$BW$2,$B164&lt;&gt;""),$B163,IF($A164=$BO$1,$BO$1,IF($A164=$BP$1,$BP$1,IF($A164=$BQ$1,$BQ$1,IF($A164=$BR$1,$BR$1,IF($A164=$BS$1,$BS$1,IF($A164=$BT$1,$BT$1,IF($A164=$BU$1,$BU$1,$B164)))))))))</f>
        <v/>
      </c>
      <c r="AX155" s="1624" t="str">
        <f>IFERROR(IF($A$12=$BO$1,$BO154,IF($A$12=$BP$1,$BP154,IF($A$12=$BQ$1,$BQ154,IF($A$12=$BR$1,$BR154,IF($A$12=$BS$1,$BS154,IF($A$12=$BT$1,$BT154,IF($A$12=$BU$1,$BU154,IF($A$12="",INDEX(Tiere!$BN$2:$BN$153,_xlfn.AGGREGATE(15,6,(ROW(Tiere!$BN$2:$BN$153)-1)/(--(SEARCH(AY$2,Tiere!$BN$2:$BN$153)&gt;0)),ROW()-2),1))))))))),"")</f>
        <v/>
      </c>
      <c r="AY155" s="1599" t="str">
        <f>IF(AND($A165=$BW$2,$B165=""),"",IF(AND($A165=$BW$2,$B165&lt;&gt;""),$B165,IF($A165=$BO$1,$BO$1,IF($A165=$BP$1,$BP$1,IF($A165=$BQ$1,$BQ$1,IF($A165=$BR$1,$BR$1,IF($A165=$BS$1,$BS$1,IF($A165=$BT$1,$BT$1,IF($A165=$BU$1,$BU$1,$B165)))))))))</f>
        <v/>
      </c>
      <c r="AZ155" s="1624" t="str">
        <f>IFERROR(IF($A$13=$BO$1,$BO154,IF($A$13=$BP$1,$BP154,IF($A$13=$BQ$1,$BQ154,IF($A$13=$BR$1,$BR154,IF($A$13=$BS$1,$BS154,IF($A$13=$BT$1,$BT154,IF($A$13=$BU$1,$BU154,IF($A$13="",INDEX(Tiere!$BN$2:$BN$153,_xlfn.AGGREGATE(15,6,(ROW(Tiere!$BN$2:$BN$153)-1)/(--(SEARCH(BA$2,Tiere!$BN$2:$BN$153)&gt;0)),ROW()-2),1))))))))),"")</f>
        <v/>
      </c>
      <c r="BA155" s="1599" t="str">
        <f>IF(AND($A166=$BW$2,$B166=""),"",IF(AND($A166=$BW$2,$B166&lt;&gt;""),$B166,IF($A166=$BO$1,$BO$1,IF($A166=$BP$1,$BP$1,IF($A166=$BQ$1,$BQ$1,IF($A166=$BR$1,$BR$1,IF($A166=$BS$1,$BS$1,IF($A166=$BT$1,$BT$1,IF($A166=$BU$1,$BU$1,$B166)))))))))</f>
        <v/>
      </c>
      <c r="BB155" s="1624" t="str">
        <f>IFERROR(IF($A$14=$BO$1,$BO154,IF($A$14=$BP$1,$BP154,IF($A$14=$BQ$1,$BQ154,IF($A$14=$BR$1,$BR154,IF($A$14=$BS$1,$BS154,IF($A$14=$BT$1,$BT154,IF($A$14=$BU$1,$BU154,IF($A$14="",INDEX(Tiere!$BN$2:$BN$153,_xlfn.AGGREGATE(15,6,(ROW(Tiere!$BN$2:$BN$153)-1)/(--(SEARCH(BC$2,Tiere!$BN$2:$BN$153)&gt;0)),ROW()-2),1))))))))),"")</f>
        <v/>
      </c>
      <c r="BC155" s="1599" t="str">
        <f>IF(AND($A167=$BW$2,$B167=""),"",IF(AND($A167=$BW$2,$B167&lt;&gt;""),$B167,IF($A167=$BO$1,$BO$1,IF($A167=$BP$1,$BP$1,IF($A167=$BQ$1,$BQ$1,IF($A167=$BR$1,$BR$1,IF($A167=$BS$1,$BS$1,IF($A167=$BT$1,$BT$1,IF($A167=$BU$1,$BU$1,$B167)))))))))</f>
        <v/>
      </c>
      <c r="BD155" s="1624" t="str">
        <f>IFERROR(IF($A$15=$BO$1,$BO154,IF($A$15=$BP$1,$BP154,IF($A$15=$BQ$1,$BQ154,IF($A$15=$BR$1,$BR154,IF($A$15=$BS$1,$BS154,IF($A$15=$BT$1,$BT154,IF($A$15=$BU$1,$BU154,IF($A$15="",INDEX(Tiere!$BN$2:$BN$153,_xlfn.AGGREGATE(15,6,(ROW(Tiere!$BN$2:$BN$153)-1)/(--(SEARCH(BE$2,Tiere!$BN$2:$BN$153)&gt;0)),ROW()-2),1))))))))),"")</f>
        <v/>
      </c>
      <c r="BE155" s="1599" t="str">
        <f>IF(AND($A168=$BW$2,$B168=""),"",IF(AND($A168=$BW$2,$B168&lt;&gt;""),$B168,IF($A168=$BO$1,$BO$1,IF($A168=$BP$1,$BP$1,IF($A168=$BQ$1,$BQ$1,IF($A168=$BR$1,$BR$1,IF($A168=$BS$1,$BS$1,IF($A168=$BT$1,$BT$1,IF($A168=$BU$1,$BU$1,$B168)))))))))</f>
        <v/>
      </c>
      <c r="BF155" s="1624" t="str">
        <f>IFERROR(IF($A$16=$BO$1,$BO154,IF($A$16=$BP$1,$BP154,IF($A$16=$BQ$1,$BQ154,IF($A$16=$BR$1,$BR154,IF($A$16=$BS$1,$BS154,IF($A$16=$BT$1,$BT154,IF($A$16=$BU$1,$BU154,IF($A$16="",INDEX(Tiere!$BN$2:$BN$153,_xlfn.AGGREGATE(15,6,(ROW(Tiere!$BN$2:$BN$153)-1)/(--(SEARCH(BG$2,Tiere!$BN$2:$BN$153)&gt;0)),ROW()-2),1))))))))),"")</f>
        <v/>
      </c>
      <c r="BG155" s="1599" t="str">
        <f>IF(AND($A169=$BW$2,$B169=""),"",IF(AND($A169=$BW$2,$B169&lt;&gt;""),$B169,IF($A169=$BO$1,$BO$1,IF($A169=$BP$1,$BP$1,IF($A169=$BQ$1,$BQ$1,IF($A169=$BR$1,$BR$1,IF($A169=$BS$1,$BS$1,IF($A169=$BT$1,$BT$1,IF($A169=$BU$1,$BU$1,$B169)))))))))</f>
        <v/>
      </c>
      <c r="BH155" s="1624" t="str">
        <f>IFERROR(IF($A$17=$BO$1,$BO154,IF($A$17=$BP$1,$BP154,IF($A$17=$BQ$1,$BQ154,IF($A$17=$BR$1,$BR154,IF($A$17=$BS$1,$BS154,IF($A$17=$BT$1,$BT154,IF($A$17=$BU$1,$BU154,IF($A$17="",INDEX(Tiere!$BN$2:$BN$153,_xlfn.AGGREGATE(15,6,(ROW(Tiere!$BN$2:$BN$153)-1)/(--(SEARCH(BI$2,Tiere!$BN$2:$BN$153)&gt;0)),ROW()-2),1))))))))),"")</f>
        <v/>
      </c>
      <c r="BI155" s="1599" t="str">
        <f>IF(AND($A170=$BW$2,$B170=""),"",IF(AND($A170=$BW$2,$B170&lt;&gt;""),$B170,IF($A170=$BO$1,$BO$1,IF($A170=$BP$1,$BP$1,IF($A170=$BQ$1,$BQ$1,IF($A170=$BR$1,$BR$1,IF($A170=$BS$1,$BS$1,IF($A170=$BT$1,$BT$1,IF($A170=$BU$1,$BU$1,$B170)))))))))</f>
        <v/>
      </c>
      <c r="BJ155" s="1624" t="str">
        <f>IFERROR(IF($A$18=$BO$1,$BO154,IF($A$18=$BP$1,$BP154,IF($A$18=$BQ$1,$BQ154,IF($A$18=$BR$1,$BR154,IF($A$18=$BS$1,$BS154,IF($A$18=$BT$1,$BT154,IF($A$18=$BU$1,$BU154,IF($A$18="",INDEX(Tiere!$BN$2:$BN$153,_xlfn.AGGREGATE(15,6,(ROW(Tiere!$BN$2:$BN$153)-1)/(--(SEARCH(BK$2,Tiere!$BN$2:$BN$153)&gt;0)),ROW()-2),1))))))))),"")</f>
        <v/>
      </c>
      <c r="BK155" s="1599" t="str">
        <f>IF(AND($A171=$BW$2,$B171=""),"",IF(AND($A171=$BW$2,$B171&lt;&gt;""),$B171,IF($A171=$BO$1,$BO$1,IF($A171=$BP$1,$BP$1,IF($A171=$BQ$1,$BQ$1,IF($A171=$BR$1,$BR$1,IF($A171=$BS$1,$BS$1,IF($A171=$BT$1,$BT$1,IF($A171=$BU$1,$BU$1,$B171)))))))))</f>
        <v/>
      </c>
      <c r="BL155" s="1624" t="str">
        <f>IFERROR(IF($A$19=$BO$1,$BO154,IF($A$19=$BP$1,$BP154,IF($A$19=$BQ$1,$BQ154,IF($A$19=$BR$1,$BR154,IF($A$19=$BS$1,$BS154,IF($A$19=$BT$1,$BT154,IF($A$19=$BU$1,$BU154,IF($A$19="",INDEX(Tiere!$BN$2:$BN$153,_xlfn.AGGREGATE(15,6,(ROW(Tiere!$BN$2:$BN$153)-1)/(--(SEARCH(BM$2,Tiere!$BN$2:$BN$153)&gt;0)),ROW()-2),1))))))))),"")</f>
        <v/>
      </c>
      <c r="BM155" s="1599" t="str">
        <f>IF(AND($A172=$BW$2,$B172=""),"",IF(AND($A172=$BW$2,$B172&lt;&gt;""),$B172,IF($A172=$BO$1,$BO$1,IF($A172=$BP$1,$BP$1,IF($A172=$BQ$1,$BQ$1,IF($A172=$BR$1,$BR$1,IF($A172=$BS$1,$BS$1,IF($A172=$BT$1,$BT$1,IF($A172=$BU$1,$BU$1,$B172)))))))))</f>
        <v/>
      </c>
    </row>
  </sheetData>
  <sheetProtection password="CAEF" sheet="1" formatCells="0" formatRows="0"/>
  <mergeCells count="53">
    <mergeCell ref="M32:O33"/>
    <mergeCell ref="P32:P33"/>
    <mergeCell ref="T32:T33"/>
    <mergeCell ref="V22:X22"/>
    <mergeCell ref="U32:U33"/>
    <mergeCell ref="O22:Q23"/>
    <mergeCell ref="Q32:Q33"/>
    <mergeCell ref="R32:S33"/>
    <mergeCell ref="Z30:Z31"/>
    <mergeCell ref="V32:X33"/>
    <mergeCell ref="R34:S35"/>
    <mergeCell ref="T34:T35"/>
    <mergeCell ref="U34:U35"/>
    <mergeCell ref="V34:X35"/>
    <mergeCell ref="B18:H18"/>
    <mergeCell ref="B19:H19"/>
    <mergeCell ref="B14:H14"/>
    <mergeCell ref="V3:W3"/>
    <mergeCell ref="B13:H13"/>
    <mergeCell ref="O4:Q4"/>
    <mergeCell ref="B5:H5"/>
    <mergeCell ref="B6:H6"/>
    <mergeCell ref="B12:H12"/>
    <mergeCell ref="B11:H11"/>
    <mergeCell ref="S3:U3"/>
    <mergeCell ref="B10:H10"/>
    <mergeCell ref="B4:F4"/>
    <mergeCell ref="B3:F3"/>
    <mergeCell ref="G3:H3"/>
    <mergeCell ref="A29:F29"/>
    <mergeCell ref="A21:A22"/>
    <mergeCell ref="S1:X1"/>
    <mergeCell ref="R22:T22"/>
    <mergeCell ref="O1:P1"/>
    <mergeCell ref="Q1:R1"/>
    <mergeCell ref="B9:H9"/>
    <mergeCell ref="J3:J4"/>
    <mergeCell ref="K4:L4"/>
    <mergeCell ref="M4:N4"/>
    <mergeCell ref="I3:I4"/>
    <mergeCell ref="B7:H7"/>
    <mergeCell ref="B8:H8"/>
    <mergeCell ref="B15:H15"/>
    <mergeCell ref="B16:H16"/>
    <mergeCell ref="B17:H17"/>
    <mergeCell ref="A32:C32"/>
    <mergeCell ref="A33:C33"/>
    <mergeCell ref="A34:C34"/>
    <mergeCell ref="A35:C35"/>
    <mergeCell ref="G33:J33"/>
    <mergeCell ref="G34:J34"/>
    <mergeCell ref="E35:J35"/>
    <mergeCell ref="H32:J32"/>
  </mergeCells>
  <phoneticPr fontId="41" type="noConversion"/>
  <conditionalFormatting sqref="B5:H19">
    <cfRule type="expression" dxfId="168" priority="2">
      <formula>AND($A5="",$B5="")</formula>
    </cfRule>
    <cfRule type="expression" dxfId="167" priority="3">
      <formula>COUNTIF($BN$2:$BN$153,$B5)&lt;1</formula>
    </cfRule>
    <cfRule type="expression" dxfId="166" priority="4">
      <formula>AND(COUNTIF($BW$3:$BW$9,$A5),$B5="")</formula>
    </cfRule>
    <cfRule type="expression" dxfId="165" priority="5">
      <formula>AND(COUNTIF($BW$3:$BW$9,$A5),$BZ5&lt;1)</formula>
    </cfRule>
  </conditionalFormatting>
  <conditionalFormatting sqref="D32:D34">
    <cfRule type="cellIs" dxfId="164" priority="23" stopIfTrue="1" operator="greaterThan">
      <formula>0</formula>
    </cfRule>
  </conditionalFormatting>
  <conditionalFormatting sqref="D35">
    <cfRule type="cellIs" dxfId="163" priority="20" stopIfTrue="1" operator="notEqual">
      <formula>0</formula>
    </cfRule>
  </conditionalFormatting>
  <conditionalFormatting sqref="E35">
    <cfRule type="expression" dxfId="162" priority="21" stopIfTrue="1">
      <formula>$D$35&gt;0</formula>
    </cfRule>
  </conditionalFormatting>
  <conditionalFormatting sqref="F32:F34">
    <cfRule type="cellIs" dxfId="161" priority="26" stopIfTrue="1" operator="greaterThan">
      <formula>0</formula>
    </cfRule>
  </conditionalFormatting>
  <conditionalFormatting sqref="G33">
    <cfRule type="cellIs" dxfId="160" priority="31" stopIfTrue="1" operator="equal">
      <formula>"Zuviel Wirtschaftsdünger!"</formula>
    </cfRule>
  </conditionalFormatting>
  <conditionalFormatting sqref="G34">
    <cfRule type="cellIs" dxfId="159" priority="22" stopIfTrue="1" operator="equal">
      <formula>"Wasserrechtsgesetz nicht eingehalten!"</formula>
    </cfRule>
  </conditionalFormatting>
  <conditionalFormatting sqref="I5:I19">
    <cfRule type="expression" dxfId="157" priority="1">
      <formula>AND(COUNTIF($BN$3:$BN$154,$B5)&gt;0,$I5="")</formula>
    </cfRule>
  </conditionalFormatting>
  <conditionalFormatting sqref="V32">
    <cfRule type="cellIs" dxfId="156" priority="32" stopIfTrue="1" operator="equal">
      <formula>"Bestimmungen eingehalten"</formula>
    </cfRule>
    <cfRule type="cellIs" dxfId="155" priority="33" stopIfTrue="1" operator="equal">
      <formula>"Achtung, für Gülle und Jauche zu gering!"</formula>
    </cfRule>
  </conditionalFormatting>
  <conditionalFormatting sqref="V34">
    <cfRule type="cellIs" dxfId="154" priority="34" stopIfTrue="1" operator="equal">
      <formula>"Bestimmungen eingehalten"</formula>
    </cfRule>
    <cfRule type="cellIs" dxfId="153" priority="35" stopIfTrue="1" operator="equal">
      <formula>"Achtung, Lagerraum für Mist zu gering!"</formula>
    </cfRule>
  </conditionalFormatting>
  <dataValidations count="18">
    <dataValidation type="list" operator="equal" allowBlank="1" showErrorMessage="1" sqref="G4" xr:uid="{00000000-0002-0000-0300-000000000000}">
      <formula1>Liste_ja</formula1>
      <formula2>0</formula2>
    </dataValidation>
    <dataValidation type="list" operator="equal" sqref="B5" xr:uid="{00000000-0002-0000-0300-000001000000}">
      <formula1>TiereB5</formula1>
    </dataValidation>
    <dataValidation type="list" operator="equal" allowBlank="1" sqref="B6" xr:uid="{00000000-0002-0000-0300-000002000000}">
      <formula1>TiereB6</formula1>
    </dataValidation>
    <dataValidation type="list" operator="equal" allowBlank="1" sqref="B7" xr:uid="{00000000-0002-0000-0300-000003000000}">
      <formula1>TiereB7</formula1>
    </dataValidation>
    <dataValidation type="list" operator="equal" allowBlank="1" sqref="B8" xr:uid="{00000000-0002-0000-0300-000004000000}">
      <formula1>TiereB8</formula1>
    </dataValidation>
    <dataValidation type="list" operator="equal" allowBlank="1" sqref="B9" xr:uid="{00000000-0002-0000-0300-000005000000}">
      <formula1>TiereB9</formula1>
    </dataValidation>
    <dataValidation type="list" operator="equal" allowBlank="1" sqref="B10" xr:uid="{00000000-0002-0000-0300-000006000000}">
      <formula1>TiereB10</formula1>
    </dataValidation>
    <dataValidation type="list" operator="equal" allowBlank="1" sqref="B11" xr:uid="{00000000-0002-0000-0300-000007000000}">
      <formula1>TiereB11</formula1>
    </dataValidation>
    <dataValidation type="list" operator="equal" allowBlank="1" sqref="B12" xr:uid="{00000000-0002-0000-0300-000008000000}">
      <formula1>TiereB12</formula1>
    </dataValidation>
    <dataValidation type="list" operator="equal" allowBlank="1" sqref="B13" xr:uid="{00000000-0002-0000-0300-000009000000}">
      <formula1>TiereB13</formula1>
    </dataValidation>
    <dataValidation type="list" operator="equal" allowBlank="1" sqref="B14" xr:uid="{00000000-0002-0000-0300-00000A000000}">
      <formula1>TiereB14</formula1>
    </dataValidation>
    <dataValidation type="list" operator="equal" allowBlank="1" sqref="B15" xr:uid="{00000000-0002-0000-0300-00000B000000}">
      <formula1>TiereB15</formula1>
    </dataValidation>
    <dataValidation type="list" operator="equal" allowBlank="1" sqref="B16" xr:uid="{00000000-0002-0000-0300-00000C000000}">
      <formula1>TiereB16</formula1>
    </dataValidation>
    <dataValidation type="list" operator="equal" allowBlank="1" sqref="B17" xr:uid="{00000000-0002-0000-0300-00000D000000}">
      <formula1>TiereB17</formula1>
    </dataValidation>
    <dataValidation type="list" operator="equal" allowBlank="1" sqref="B18" xr:uid="{00000000-0002-0000-0300-00000E000000}">
      <formula1>TiereB18</formula1>
    </dataValidation>
    <dataValidation type="list" operator="equal" allowBlank="1" sqref="B19" xr:uid="{00000000-0002-0000-0300-00000F000000}">
      <formula1>TiereB19</formula1>
    </dataValidation>
    <dataValidation type="list" allowBlank="1" showInputMessage="1" showErrorMessage="1" sqref="A6:A19" xr:uid="{00000000-0002-0000-0300-000010000000}">
      <formula1>$BW$2:$BW$9</formula1>
    </dataValidation>
    <dataValidation type="list" allowBlank="1" showInputMessage="1" showErrorMessage="1" errorTitle="Nur Listeneinträge zugelassen" error="Wählen Sie einen Eintrag aus dem DropDown Menü aus" sqref="A5" xr:uid="{00000000-0002-0000-0300-000011000000}">
      <formula1>$BW$2:$BW$9</formula1>
    </dataValidation>
  </dataValidations>
  <hyperlinks>
    <hyperlink ref="O1" location="Betrieb!E10" display="◄" xr:uid="{00000000-0004-0000-0300-000000000000}"/>
    <hyperlink ref="Q1" location="Organ__Dü!B4" display="  ►" xr:uid="{00000000-0004-0000-0300-000001000000}"/>
    <hyperlink ref="Z32" r:id="rId1" xr:uid="{00000000-0004-0000-0300-000002000000}"/>
    <hyperlink ref="O1:P1" location="N_Bedarf!E4" display="◄" xr:uid="{00000000-0004-0000-0300-000003000000}"/>
    <hyperlink ref="Q1:R1" location="Hofdung!B4" display="  ►" xr:uid="{00000000-0004-0000-0300-000004000000}"/>
  </hyperlinks>
  <pageMargins left="0.51181102362204722" right="0.31496062992125984" top="0.74803149606299213" bottom="0.43307086614173229" header="0.31496062992125984" footer="0.27559055118110237"/>
  <pageSetup paperSize="9" scale="60" firstPageNumber="0" fitToHeight="0" orientation="landscape" blackAndWhite="1" horizontalDpi="300" verticalDpi="300" r:id="rId2"/>
  <headerFooter alignWithMargins="0">
    <oddHeader>&amp;R&amp;O</oddHeader>
    <oddFooter>&amp;L&amp;F&amp;C&amp;A&amp;R&amp;P von &amp;N</oddFooter>
  </headerFooter>
  <legacyDrawingHF r:id="rId3"/>
  <tableParts count="2">
    <tablePart r:id="rId4"/>
    <tablePart r:id="rId5"/>
  </tableParts>
  <extLst>
    <ext xmlns:x14="http://schemas.microsoft.com/office/spreadsheetml/2009/9/main" uri="{78C0D931-6437-407d-A8EE-F0AAD7539E65}">
      <x14:conditionalFormattings>
        <x14:conditionalFormatting xmlns:xm="http://schemas.microsoft.com/office/excel/2006/main">
          <x14:cfRule type="expression" priority="13" id="{F68D472E-1F4E-4DB6-9433-A0000AB037AB}">
            <xm:f>AND(OR(Tabelle1!$DE$23=1,Tabelle1!$DG$23=1),Betrieb!$D$18&gt;0)</xm:f>
            <x14:dxf>
              <font>
                <b/>
                <i val="0"/>
              </font>
              <fill>
                <patternFill>
                  <bgColor rgb="FFFFC000"/>
                </patternFill>
              </fill>
              <border>
                <left style="thin">
                  <color auto="1"/>
                </left>
                <right style="thin">
                  <color auto="1"/>
                </right>
                <top style="thin">
                  <color auto="1"/>
                </top>
                <bottom style="thin">
                  <color auto="1"/>
                </bottom>
                <vertical/>
                <horizontal/>
              </border>
            </x14:dxf>
          </x14:cfRule>
          <xm:sqref>G32:H32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theme="9" tint="0.39997558519241921"/>
    <pageSetUpPr fitToPage="1"/>
  </sheetPr>
  <dimension ref="A1:AX97"/>
  <sheetViews>
    <sheetView showZeros="0" zoomScaleNormal="100" workbookViewId="0">
      <selection activeCell="F13" sqref="F13"/>
    </sheetView>
  </sheetViews>
  <sheetFormatPr baseColWidth="10" defaultColWidth="7.28515625" defaultRowHeight="12.75"/>
  <cols>
    <col min="1" max="1" width="17" customWidth="1"/>
    <col min="2" max="2" width="19" customWidth="1"/>
    <col min="3" max="5" width="10.42578125" customWidth="1"/>
    <col min="6" max="6" width="9.140625" customWidth="1"/>
    <col min="7" max="7" width="9.28515625" customWidth="1"/>
    <col min="8" max="8" width="9.42578125" customWidth="1"/>
    <col min="9" max="9" width="8.85546875" customWidth="1"/>
    <col min="10" max="10" width="9.28515625" customWidth="1"/>
    <col min="11" max="11" width="6.7109375" customWidth="1"/>
    <col min="12" max="13" width="8" customWidth="1"/>
    <col min="16" max="16" width="7.7109375" customWidth="1"/>
    <col min="17" max="17" width="8.85546875" customWidth="1"/>
    <col min="18" max="18" width="9.28515625" customWidth="1"/>
    <col min="19" max="19" width="9.42578125" customWidth="1"/>
    <col min="20" max="20" width="8" customWidth="1"/>
    <col min="21" max="21" width="6.7109375" customWidth="1"/>
    <col min="22" max="22" width="7.7109375" customWidth="1"/>
    <col min="23" max="23" width="8" customWidth="1"/>
    <col min="24" max="24" width="7.28515625" hidden="1" customWidth="1"/>
    <col min="25" max="25" width="12.5703125" hidden="1" customWidth="1"/>
    <col min="26" max="50" width="7.28515625" hidden="1" customWidth="1"/>
    <col min="51" max="240" width="12.7109375" customWidth="1"/>
    <col min="241" max="241" width="15.85546875" customWidth="1"/>
    <col min="242" max="242" width="19" customWidth="1"/>
    <col min="243" max="245" width="10.42578125" customWidth="1"/>
    <col min="246" max="246" width="9.140625" customWidth="1"/>
    <col min="247" max="247" width="9.28515625" customWidth="1"/>
    <col min="248" max="248" width="9.42578125" customWidth="1"/>
    <col min="249" max="249" width="8.85546875" customWidth="1"/>
    <col min="250" max="251" width="6.7109375" customWidth="1"/>
    <col min="252" max="252" width="8" customWidth="1"/>
    <col min="253" max="253" width="7.42578125" customWidth="1"/>
  </cols>
  <sheetData>
    <row r="1" spans="1:50" ht="27.2" customHeight="1">
      <c r="A1" s="1041" t="s">
        <v>1083</v>
      </c>
      <c r="B1" s="1041"/>
      <c r="C1" s="1041"/>
      <c r="D1" s="1041"/>
      <c r="E1" s="1041"/>
      <c r="F1" s="1041"/>
      <c r="G1" s="1041"/>
      <c r="H1" s="1041"/>
      <c r="I1" s="1041"/>
      <c r="J1" s="1041"/>
      <c r="K1" s="1041"/>
      <c r="L1" s="1041"/>
      <c r="M1" s="2674" t="s">
        <v>891</v>
      </c>
      <c r="N1" s="2674"/>
      <c r="O1" s="2674" t="s">
        <v>867</v>
      </c>
      <c r="P1" s="2674"/>
      <c r="Q1" s="189"/>
      <c r="R1" s="1041"/>
      <c r="S1" s="1041"/>
      <c r="T1" s="1041"/>
      <c r="U1" s="1041"/>
      <c r="V1" s="1041"/>
      <c r="W1" s="1041"/>
      <c r="X1" s="181"/>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row>
    <row r="2" spans="1:50" ht="20.25" customHeight="1">
      <c r="A2" s="432" t="s">
        <v>1084</v>
      </c>
      <c r="B2" s="432"/>
      <c r="C2" s="428"/>
      <c r="D2" s="428"/>
      <c r="E2" s="428"/>
      <c r="F2" s="428"/>
      <c r="G2" s="428"/>
      <c r="H2" s="428"/>
      <c r="I2" s="428"/>
      <c r="T2" s="265"/>
      <c r="U2" s="494"/>
      <c r="V2" s="494"/>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row>
    <row r="3" spans="1:50" ht="31.5" customHeight="1">
      <c r="A3" s="1412" t="s">
        <v>1085</v>
      </c>
      <c r="B3" s="1413"/>
      <c r="C3" s="1414" t="s">
        <v>1086</v>
      </c>
      <c r="D3" s="1414" t="s">
        <v>1087</v>
      </c>
      <c r="E3" s="1414" t="s">
        <v>1088</v>
      </c>
      <c r="F3" s="1302" t="s">
        <v>1089</v>
      </c>
      <c r="G3" s="1302" t="s">
        <v>674</v>
      </c>
      <c r="H3" s="1302" t="s">
        <v>678</v>
      </c>
      <c r="I3" s="1302" t="s">
        <v>680</v>
      </c>
      <c r="J3" s="1302" t="s">
        <v>684</v>
      </c>
      <c r="K3" s="2680" t="s">
        <v>1090</v>
      </c>
      <c r="L3" s="2680"/>
      <c r="M3" s="2680"/>
      <c r="N3" s="2680"/>
      <c r="O3" s="2675" t="s">
        <v>1091</v>
      </c>
      <c r="P3" s="2675"/>
      <c r="R3" s="2677" t="s">
        <v>1092</v>
      </c>
      <c r="S3" s="2677"/>
      <c r="T3" s="1415" t="s">
        <v>1093</v>
      </c>
      <c r="U3" s="1416" t="s">
        <v>1094</v>
      </c>
      <c r="V3" s="1286" t="s">
        <v>1095</v>
      </c>
      <c r="W3" s="1286" t="s">
        <v>1096</v>
      </c>
      <c r="X3" s="176"/>
      <c r="Y3" s="182" t="s">
        <v>1097</v>
      </c>
      <c r="Z3" s="176"/>
      <c r="AG3" s="176"/>
      <c r="AH3" s="176"/>
      <c r="AI3" s="176"/>
      <c r="AJ3" s="176"/>
      <c r="AK3" s="176"/>
      <c r="AL3" s="176"/>
      <c r="AM3" s="176"/>
      <c r="AN3" s="176"/>
      <c r="AO3" s="176"/>
      <c r="AP3" s="176"/>
      <c r="AQ3" s="176"/>
      <c r="AR3" s="176"/>
      <c r="AS3" s="176"/>
      <c r="AT3" s="176"/>
      <c r="AU3" s="176"/>
      <c r="AV3" s="176"/>
      <c r="AW3" s="176"/>
      <c r="AX3" s="176"/>
    </row>
    <row r="4" spans="1:50" ht="15.75">
      <c r="A4" s="1164" t="s">
        <v>1008</v>
      </c>
      <c r="B4" s="1165"/>
      <c r="C4" s="1163">
        <f>Tabelle1!AS36</f>
        <v>0</v>
      </c>
      <c r="D4" s="1124">
        <f>Tabelle1!BD30</f>
        <v>0</v>
      </c>
      <c r="E4" s="1124">
        <f>Tabelle1!BJ30</f>
        <v>0</v>
      </c>
      <c r="F4" s="425" t="s">
        <v>714</v>
      </c>
      <c r="G4" s="1160">
        <f>1-$N4</f>
        <v>1</v>
      </c>
      <c r="H4" s="1161"/>
      <c r="I4" s="1161"/>
      <c r="J4" s="1161"/>
      <c r="K4" s="2676" t="str">
        <f>IF(G4=1,"  in Grube 1",IF(Y4&gt;1,"Zuviel verteilt!","  Ok!"))</f>
        <v xml:space="preserve">  in Grube 1</v>
      </c>
      <c r="L4" s="2676"/>
      <c r="M4" s="2676"/>
      <c r="N4" s="425">
        <f>H4+I4+J4</f>
        <v>0</v>
      </c>
      <c r="O4" s="2679">
        <f>Tiere!D33</f>
        <v>0</v>
      </c>
      <c r="P4" s="2679"/>
      <c r="R4" s="1417" t="s">
        <v>1055</v>
      </c>
      <c r="S4" s="1418"/>
      <c r="T4" s="923">
        <v>0.87</v>
      </c>
      <c r="U4" s="924">
        <v>0.7</v>
      </c>
      <c r="V4" s="925">
        <v>0.5</v>
      </c>
      <c r="W4" s="922" t="s">
        <v>854</v>
      </c>
      <c r="X4" s="176"/>
      <c r="Y4" s="177">
        <f t="shared" ref="Y4:Y9" si="0">N4</f>
        <v>0</v>
      </c>
      <c r="Z4" s="176"/>
      <c r="AG4" s="176"/>
      <c r="AH4" s="176"/>
      <c r="AI4" s="176"/>
      <c r="AJ4" s="176"/>
      <c r="AK4" s="176"/>
      <c r="AL4" s="176"/>
      <c r="AM4" s="176"/>
      <c r="AN4" s="176"/>
      <c r="AO4" s="176"/>
      <c r="AP4" s="176"/>
      <c r="AQ4" s="176"/>
      <c r="AR4" s="176"/>
      <c r="AS4" s="176"/>
      <c r="AT4" s="176"/>
      <c r="AU4" s="176"/>
      <c r="AV4" s="176"/>
      <c r="AW4" s="176"/>
      <c r="AX4" s="176"/>
    </row>
    <row r="5" spans="1:50" ht="15.75">
      <c r="A5" s="1164" t="s">
        <v>1012</v>
      </c>
      <c r="B5" s="1165"/>
      <c r="C5" s="1124">
        <f>Tabelle1!AT36</f>
        <v>0</v>
      </c>
      <c r="D5" s="1124">
        <f>Tabelle1!BE30</f>
        <v>0</v>
      </c>
      <c r="E5" s="1124">
        <f>Tabelle1!BK30</f>
        <v>0</v>
      </c>
      <c r="F5" s="425" t="s">
        <v>714</v>
      </c>
      <c r="G5" s="1161"/>
      <c r="H5" s="1160">
        <f>1-$N5</f>
        <v>1</v>
      </c>
      <c r="I5" s="1161"/>
      <c r="J5" s="1161"/>
      <c r="K5" s="2676" t="str">
        <f>IF(H5=1,"  in Grube 2",IF(Y5&gt;1,"Zuviel verteilt!","  Ok!"))</f>
        <v xml:space="preserve">  in Grube 2</v>
      </c>
      <c r="L5" s="2676"/>
      <c r="M5" s="2676"/>
      <c r="N5" s="2337">
        <f>G5+I5+J5</f>
        <v>0</v>
      </c>
      <c r="O5" s="2682" t="s">
        <v>1098</v>
      </c>
      <c r="P5" s="2682"/>
      <c r="R5" s="1419" t="s">
        <v>1099</v>
      </c>
      <c r="S5" s="1418"/>
      <c r="T5" s="923">
        <v>0.87</v>
      </c>
      <c r="U5" s="924">
        <v>0.8</v>
      </c>
      <c r="V5" s="925">
        <v>0.65</v>
      </c>
      <c r="W5" s="922" t="s">
        <v>854</v>
      </c>
      <c r="X5" s="183"/>
      <c r="Y5" s="177">
        <f t="shared" si="0"/>
        <v>0</v>
      </c>
      <c r="Z5" s="176"/>
      <c r="AG5" s="176"/>
      <c r="AH5" s="176"/>
      <c r="AI5" s="176"/>
      <c r="AJ5" s="176"/>
      <c r="AK5" s="176"/>
      <c r="AL5" s="176"/>
      <c r="AM5" s="176"/>
      <c r="AN5" s="176"/>
      <c r="AO5" s="176"/>
      <c r="AP5" s="176"/>
      <c r="AQ5" s="176"/>
      <c r="AR5" s="176"/>
      <c r="AS5" s="176"/>
      <c r="AT5" s="176"/>
      <c r="AU5" s="176"/>
      <c r="AV5" s="176"/>
      <c r="AW5" s="176"/>
      <c r="AX5" s="176"/>
    </row>
    <row r="6" spans="1:50" ht="15.75">
      <c r="A6" s="1164" t="s">
        <v>1100</v>
      </c>
      <c r="B6" s="1165"/>
      <c r="C6" s="1124">
        <f>Tabelle1!AU36</f>
        <v>0</v>
      </c>
      <c r="D6" s="1124">
        <f>Tabelle1!BF30</f>
        <v>0</v>
      </c>
      <c r="E6" s="1124">
        <f>Tabelle1!BL30</f>
        <v>0</v>
      </c>
      <c r="F6" s="425" t="s">
        <v>714</v>
      </c>
      <c r="G6" s="1161"/>
      <c r="H6" s="1161"/>
      <c r="I6" s="1160">
        <f>1-$N6</f>
        <v>1</v>
      </c>
      <c r="J6" s="1161"/>
      <c r="K6" s="2676" t="str">
        <f>IF(I6=1,"  in Grube 3",IF(Y6&gt;1,"Zuviel verteilt!","  Ok!"))</f>
        <v xml:space="preserve">  in Grube 3</v>
      </c>
      <c r="L6" s="2676"/>
      <c r="M6" s="2676"/>
      <c r="N6" s="425">
        <f>G6+H6+J6</f>
        <v>0</v>
      </c>
      <c r="O6" s="2683">
        <f>Tiere!F33</f>
        <v>0</v>
      </c>
      <c r="P6" s="2683"/>
      <c r="R6" s="1417" t="s">
        <v>1057</v>
      </c>
      <c r="S6" s="1418"/>
      <c r="T6" s="923">
        <v>0.87</v>
      </c>
      <c r="U6" s="924">
        <v>0.85</v>
      </c>
      <c r="V6" s="925">
        <v>0.6</v>
      </c>
      <c r="W6" s="922" t="s">
        <v>854</v>
      </c>
      <c r="X6" s="176"/>
      <c r="Y6" s="177">
        <f t="shared" si="0"/>
        <v>0</v>
      </c>
      <c r="Z6" s="176"/>
      <c r="AG6" s="176"/>
      <c r="AH6" s="176"/>
      <c r="AI6" s="176"/>
      <c r="AJ6" s="176"/>
      <c r="AK6" s="176"/>
      <c r="AL6" s="176"/>
      <c r="AM6" s="176"/>
      <c r="AN6" s="176"/>
      <c r="AO6" s="176"/>
      <c r="AP6" s="176"/>
      <c r="AQ6" s="176"/>
      <c r="AR6" s="176"/>
      <c r="AS6" s="176"/>
      <c r="AT6" s="176"/>
      <c r="AU6" s="176"/>
      <c r="AV6" s="176"/>
      <c r="AW6" s="176"/>
      <c r="AX6" s="176"/>
    </row>
    <row r="7" spans="1:50" ht="15.75">
      <c r="A7" s="1164" t="s">
        <v>459</v>
      </c>
      <c r="B7" s="1165"/>
      <c r="C7" s="1124">
        <f>Tabelle1!AV36</f>
        <v>0</v>
      </c>
      <c r="D7" s="1124">
        <f>Tabelle1!BG30</f>
        <v>0</v>
      </c>
      <c r="E7" s="1124">
        <f>Tabelle1!BM30</f>
        <v>0</v>
      </c>
      <c r="F7" s="425" t="s">
        <v>714</v>
      </c>
      <c r="G7" s="1161"/>
      <c r="H7" s="1161"/>
      <c r="I7" s="1161"/>
      <c r="J7" s="1160">
        <f>1-$N7</f>
        <v>1</v>
      </c>
      <c r="K7" s="2676" t="str">
        <f>IF(J7=1,"  in Grube 4",IF(Y7&gt;1,"Zuviel verteilt!","  Ok!"))</f>
        <v xml:space="preserve">  in Grube 4</v>
      </c>
      <c r="L7" s="2676"/>
      <c r="M7" s="2676"/>
      <c r="N7" s="425">
        <f>G7+H7+I7</f>
        <v>0</v>
      </c>
      <c r="R7" s="1417" t="s">
        <v>1061</v>
      </c>
      <c r="S7" s="1418"/>
      <c r="T7" s="923">
        <v>0.87</v>
      </c>
      <c r="U7" s="924">
        <v>1</v>
      </c>
      <c r="V7" s="925">
        <v>0.9</v>
      </c>
      <c r="W7" s="922" t="s">
        <v>854</v>
      </c>
      <c r="X7" s="176"/>
      <c r="Y7" s="177">
        <f t="shared" si="0"/>
        <v>0</v>
      </c>
      <c r="Z7" s="176"/>
      <c r="AG7" s="176"/>
      <c r="AH7" s="176"/>
      <c r="AI7" s="176"/>
      <c r="AJ7" s="176"/>
      <c r="AK7" s="176"/>
      <c r="AL7" s="176"/>
      <c r="AM7" s="176"/>
      <c r="AN7" s="176"/>
      <c r="AO7" s="176"/>
      <c r="AP7" s="176"/>
      <c r="AQ7" s="176"/>
      <c r="AR7" s="176"/>
      <c r="AS7" s="176"/>
      <c r="AT7" s="176"/>
      <c r="AU7" s="176"/>
      <c r="AV7" s="176"/>
      <c r="AW7" s="176"/>
      <c r="AX7" s="176"/>
    </row>
    <row r="8" spans="1:50" ht="15.75">
      <c r="A8" s="1164" t="s">
        <v>1101</v>
      </c>
      <c r="B8" s="1165"/>
      <c r="C8" s="1124">
        <f>Tabelle1!AW36-C9</f>
        <v>0</v>
      </c>
      <c r="D8" s="1124">
        <f>Tabelle1!BH30-D9</f>
        <v>0</v>
      </c>
      <c r="E8" s="1124">
        <f>Tabelle1!BN30-E9</f>
        <v>0</v>
      </c>
      <c r="F8" s="1152">
        <f>1-N8</f>
        <v>1</v>
      </c>
      <c r="G8" s="1161"/>
      <c r="H8" s="1161"/>
      <c r="I8" s="1161"/>
      <c r="J8" s="1161"/>
      <c r="K8" s="2676" t="str">
        <f>IF(F8=1,"  auf Mistlager",IF(Y8&gt;1,"Zuviel verteilt!","  Ok!"))</f>
        <v xml:space="preserve">  auf Mistlager</v>
      </c>
      <c r="L8" s="2676"/>
      <c r="M8" s="2676"/>
      <c r="N8" s="425">
        <f>G8+H8+I8+J8</f>
        <v>0</v>
      </c>
      <c r="R8" s="1417" t="s">
        <v>1063</v>
      </c>
      <c r="S8" s="1418"/>
      <c r="T8" s="923">
        <v>0.91</v>
      </c>
      <c r="U8" s="924">
        <v>0.5</v>
      </c>
      <c r="V8" s="925">
        <v>0.15</v>
      </c>
      <c r="W8" s="922" t="s">
        <v>854</v>
      </c>
      <c r="X8" s="176"/>
      <c r="Y8" s="177">
        <f t="shared" si="0"/>
        <v>0</v>
      </c>
      <c r="Z8" s="176"/>
      <c r="AG8" s="176"/>
      <c r="AH8" s="176"/>
      <c r="AI8" s="176"/>
      <c r="AJ8" s="176"/>
      <c r="AK8" s="176"/>
      <c r="AL8" s="176"/>
      <c r="AM8" s="176"/>
      <c r="AN8" s="176"/>
      <c r="AO8" s="176"/>
      <c r="AP8" s="176"/>
      <c r="AQ8" s="176"/>
      <c r="AR8" s="176"/>
      <c r="AS8" s="176"/>
      <c r="AT8" s="176"/>
      <c r="AU8" s="176"/>
      <c r="AV8" s="176"/>
      <c r="AW8" s="176"/>
      <c r="AX8" s="176"/>
    </row>
    <row r="9" spans="1:50" ht="15.75">
      <c r="A9" s="1164" t="s">
        <v>1102</v>
      </c>
      <c r="B9" s="1165"/>
      <c r="C9" s="1162"/>
      <c r="D9" s="1162"/>
      <c r="E9" s="1162"/>
      <c r="F9" s="1152">
        <f>1-N9</f>
        <v>1</v>
      </c>
      <c r="G9" s="1161"/>
      <c r="H9" s="1161"/>
      <c r="I9" s="1161"/>
      <c r="J9" s="1161"/>
      <c r="K9" s="2676" t="str">
        <f>IF(F9=1,"  auf Extralager",IF(Y9&gt;1,"Zuviel verteilt!","  Ok!"))</f>
        <v xml:space="preserve">  auf Extralager</v>
      </c>
      <c r="L9" s="2676"/>
      <c r="M9" s="2676"/>
      <c r="N9" s="425">
        <f>G9+H9+I9+J9</f>
        <v>0</v>
      </c>
      <c r="R9" s="1417" t="s">
        <v>1065</v>
      </c>
      <c r="S9" s="1418"/>
      <c r="T9" s="923">
        <v>0.91</v>
      </c>
      <c r="U9" s="924">
        <v>0.3</v>
      </c>
      <c r="V9" s="925">
        <v>0.05</v>
      </c>
      <c r="W9" s="922" t="s">
        <v>854</v>
      </c>
      <c r="X9" s="176"/>
      <c r="Y9" s="177">
        <f t="shared" si="0"/>
        <v>0</v>
      </c>
      <c r="Z9" s="176"/>
      <c r="AG9" s="176"/>
      <c r="AH9" s="176"/>
      <c r="AI9" s="176"/>
      <c r="AJ9" s="176"/>
      <c r="AK9" s="176"/>
      <c r="AL9" s="176"/>
      <c r="AM9" s="176"/>
      <c r="AN9" s="176"/>
      <c r="AO9" s="176"/>
      <c r="AP9" s="176"/>
      <c r="AQ9" s="176"/>
      <c r="AR9" s="176"/>
      <c r="AS9" s="176"/>
      <c r="AT9" s="176"/>
      <c r="AU9" s="176"/>
      <c r="AV9" s="176"/>
      <c r="AW9" s="176"/>
      <c r="AX9" s="176"/>
    </row>
    <row r="10" spans="1:50" ht="15" thickBot="1">
      <c r="A10" s="491"/>
      <c r="B10" s="491"/>
      <c r="C10" s="492" t="s">
        <v>1103</v>
      </c>
      <c r="D10" s="491"/>
      <c r="E10" s="491"/>
      <c r="F10" s="491"/>
      <c r="G10" s="491"/>
      <c r="H10" s="491"/>
      <c r="I10" s="493"/>
      <c r="R10" s="1420" t="s">
        <v>993</v>
      </c>
      <c r="S10" s="1421"/>
      <c r="T10" s="926">
        <v>0.91</v>
      </c>
      <c r="U10" s="927">
        <v>0.1</v>
      </c>
      <c r="V10" s="928">
        <v>0.01</v>
      </c>
      <c r="W10" s="929" t="s">
        <v>854</v>
      </c>
      <c r="X10" s="176"/>
      <c r="Y10" s="176"/>
      <c r="Z10" s="176"/>
      <c r="AG10" s="176"/>
      <c r="AH10" s="176"/>
      <c r="AI10" s="176"/>
      <c r="AJ10" s="176"/>
      <c r="AK10" s="176"/>
      <c r="AL10" s="176"/>
      <c r="AM10" s="176"/>
      <c r="AN10" s="176"/>
      <c r="AO10" s="176"/>
      <c r="AP10" s="176"/>
      <c r="AQ10" s="176"/>
      <c r="AR10" s="176"/>
      <c r="AS10" s="176"/>
      <c r="AT10" s="176"/>
      <c r="AU10" s="176"/>
      <c r="AV10" s="176"/>
      <c r="AW10" s="176"/>
      <c r="AX10" s="176"/>
    </row>
    <row r="11" spans="1:50" ht="69.75" customHeight="1" thickBot="1">
      <c r="A11" s="2684" t="str">
        <f>IFERROR(IF(Betrieb!$D$18=0,"Flächenangabe am Tabellenblatt Betrieb nicht angeführt",IF(AND(Ergebnis!$F$10&gt;170,SUM($F$13:$F$18)=0,(Betrieb!$D$18&gt;0))," Zu viel Wirtschaftsdünger am Betrieb - 
jährliche Anfallsmengen sind zu schätzen und Wirtschaftsdünger ist abzugeben !",IF(AND(Ergebnis!$F$10&gt;170,SUM($F$13:$F$18)&gt;0,Betrieb!$D$18&gt;0),CONCATENATE("Wirtschaftsdünger ist abzugeben, es sind noch ",ROUND((Ergebnis!$F$10-170)*Betrieb!$D$18,0)," kg N ab Lager zuviel am Betrieb.
Mindestabgabemenge entspricht ",ROUND((((Tabelle1!$AX$20+Tabelle1!$AX$28-Tabelle1!$AX$30+Tabelle1!$AX$31)/Betrieb!$D$18)-170)*Betrieb!$D$18,0)," kg NaL bzw. ",ROUND(((((((Tabelle1!$AX$20+Tabelle1!$AX$28-Tabelle1!$AX$30+Tabelle1!$AX$31)/Betrieb!$D$18)-170)*Betrieb!$D$18)/SUM($C$13:$C$18))*100),0)," % des anfallenden WD"),IF(AND(SUM($F$13:$F$18)=0,SUM($C$13:$C$18)/Betrieb!$D$18&gt;=100,Betrieb!$D$18&gt;0),"Bitte Schätzung der jährlichen Anfallsmenge vornehmen!",IF(AND(((Tabelle1!$AX$20+Tabelle1!$AX$28-Tabelle1!$AX$30+Tabelle1!$AX$31)/Betrieb!$D$18)&gt;170,Ergebnis!$F$10&lt;170,(170-Ergebnis!$F$10)&gt;=10,SUM($G$13:$G$18)&gt;0,Betrieb!$D$18&gt;0),CONCATENATE("Wirtschaftsdüngerabgabevertrag ist abzuschließen - siehe Tabellenblatt WD-Vertrag!"," 
Es werden ",SUM(Tiere!$H$23:$H$28)," kg NaL (das entspricht ",ROUND((SUM(Tiere!$H$23:$H$28)/SUM($C$13:$C$18))*100,0)," % des anfallenden WD) abgegeben"),IF(AND(((Tabelle1!$AX$20+Tabelle1!$AX$28-Tabelle1!$AX$30+Tabelle1!$AX$31)/Betrieb!$D$18)&gt;170,Ergebnis!$F$10&lt;170,(170-Ergebnis!$F$10)&lt;10,SUM($G$13:$G$18)&gt;0,Betrieb!$D$18&gt;0),CONCATENATE("Wirtschaftsdüngerabgabevertrag ist abzuschließen - siehe Tabellenblatt WD-Vertrag!"," 
Es werden ",ROUND(SUM(Tiere!$H$23:$H$28),0)," kg NaL (das entspricht ",ROUND((SUM(Tiere!$H$23:$H$28)/SUM($C$13:$C$18))*100,0)," % des anfallenden WD) abgegeben"),IF(AND(SUM($G$13:$G$18)&gt;0,((Tabelle1!AX20+Tabelle1!AX28-Tabelle1!AX30+Tabelle1!AX31)/Betrieb!$D$18)&lt;170,Betrieb!$D$18&gt;0,(170-Ergebnis!$F$10)&gt;=10),CONCATENATE("Bei Wirtschaftsdüngerabgabe ist einen Wirtschaftsdüngervertrag abschließen.",
" 
Es werden ",SUM(Tiere!$H$23:$H$28)," kg NaL (das entspricht ",ROUND((SUM(Tiere!$H$23:$H$28)/SUM($C$13:$C$18))*100,0)," % des anfallenden WD) abgegeben"),"Berechnung der Nährstoffkonzentration in Wirtschaftsdüngern und
 Eingabe der Wirtschaftsdüngerabgabe"))))))),"")</f>
        <v>Flächenangabe am Tabellenblatt Betrieb nicht angeführt</v>
      </c>
      <c r="B11" s="2685"/>
      <c r="C11" s="2685"/>
      <c r="D11" s="2685"/>
      <c r="E11" s="2685"/>
      <c r="F11" s="2685"/>
      <c r="G11" s="2685"/>
      <c r="H11" s="2685"/>
      <c r="I11" s="2685"/>
      <c r="J11" s="2685"/>
      <c r="K11" s="2685"/>
      <c r="L11" s="2686"/>
      <c r="M11" s="2687" t="s">
        <v>1602</v>
      </c>
      <c r="N11" s="2688"/>
      <c r="O11" s="2688"/>
      <c r="P11" s="2688"/>
      <c r="Q11" s="2689"/>
      <c r="R11" s="2689"/>
      <c r="S11" s="2689"/>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row>
    <row r="12" spans="1:50" ht="44.25" customHeight="1">
      <c r="A12" s="2699" t="s">
        <v>1104</v>
      </c>
      <c r="B12" s="2699"/>
      <c r="C12" s="1581" t="s">
        <v>1086</v>
      </c>
      <c r="D12" s="1581" t="s">
        <v>1105</v>
      </c>
      <c r="E12" s="1582" t="s">
        <v>1106</v>
      </c>
      <c r="F12" s="1583" t="s">
        <v>1107</v>
      </c>
      <c r="G12" s="1584" t="s">
        <v>1108</v>
      </c>
      <c r="H12" s="1585" t="s">
        <v>1109</v>
      </c>
      <c r="I12" s="1586" t="s">
        <v>1110</v>
      </c>
      <c r="J12" s="1585" t="s">
        <v>1111</v>
      </c>
      <c r="K12" s="1585" t="s">
        <v>1112</v>
      </c>
      <c r="L12" s="1585" t="s">
        <v>1113</v>
      </c>
      <c r="M12" s="1287" t="s">
        <v>1095</v>
      </c>
      <c r="N12" s="1414" t="s">
        <v>843</v>
      </c>
      <c r="O12" s="1414" t="s">
        <v>1114</v>
      </c>
      <c r="P12" s="1287" t="s">
        <v>1115</v>
      </c>
      <c r="R12" s="2681" t="s">
        <v>396</v>
      </c>
      <c r="S12" s="2681"/>
      <c r="T12" s="2681"/>
      <c r="U12" s="2681"/>
      <c r="V12" s="2681"/>
      <c r="W12" s="2681"/>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row>
    <row r="13" spans="1:50" ht="18" customHeight="1">
      <c r="A13" s="1154" t="s">
        <v>674</v>
      </c>
      <c r="B13" s="1155" t="s">
        <v>1425</v>
      </c>
      <c r="C13" s="1156">
        <f>IFERROR(Z22,0)</f>
        <v>0</v>
      </c>
      <c r="D13" s="1156">
        <f>IFERROR(AC22,0)</f>
        <v>0</v>
      </c>
      <c r="E13" s="1156">
        <f>IFERROR(AD22,0)</f>
        <v>0</v>
      </c>
      <c r="F13" s="1157"/>
      <c r="G13" s="1580"/>
      <c r="H13" s="1151">
        <f t="shared" ref="H13:H18" si="1">IF(F13&gt;0,C13/F13,0)</f>
        <v>0</v>
      </c>
      <c r="I13" s="520">
        <f>IF(ISBLANK(F13),0,IF(ISBLANK(AA22),0,AA22/F13))</f>
        <v>0</v>
      </c>
      <c r="J13" s="520">
        <f>IF(ISBLANK(F13),0,IF(ISBLANK(AB22),0,AB22/F13))</f>
        <v>0</v>
      </c>
      <c r="K13" s="1151">
        <f t="shared" ref="K13:K18" si="2">IF($F13=0,0,D13/$F13)</f>
        <v>0</v>
      </c>
      <c r="L13" s="1151">
        <f t="shared" ref="L13:L18" si="3">IF($F13=0,0,E13/$F13)</f>
        <v>0</v>
      </c>
      <c r="M13" s="1152">
        <f>IF(ISERROR(AE29),0,AE29)</f>
        <v>0</v>
      </c>
      <c r="N13" s="1152">
        <v>1</v>
      </c>
      <c r="O13" s="1153" t="s">
        <v>854</v>
      </c>
      <c r="P13" s="1158">
        <f>IF(ISERROR(AC29),0,AC29/100)</f>
        <v>0</v>
      </c>
      <c r="R13" s="2681"/>
      <c r="S13" s="2681"/>
      <c r="T13" s="2681"/>
      <c r="U13" s="2681"/>
      <c r="V13" s="2681"/>
      <c r="W13" s="2681"/>
      <c r="X13" s="176"/>
      <c r="Y13" s="187"/>
      <c r="Z13" s="188" t="s">
        <v>1116</v>
      </c>
      <c r="AA13" s="45">
        <v>0</v>
      </c>
      <c r="AX13" s="176"/>
    </row>
    <row r="14" spans="1:50" ht="18" customHeight="1">
      <c r="A14" s="1154" t="s">
        <v>678</v>
      </c>
      <c r="B14" s="1155" t="s">
        <v>1012</v>
      </c>
      <c r="C14" s="1156">
        <f>IFERROR(AF22,0)</f>
        <v>0</v>
      </c>
      <c r="D14" s="1156">
        <f>IFERROR(AI22,0)</f>
        <v>0</v>
      </c>
      <c r="E14" s="1156">
        <f>IFERROR(AJ22,0)</f>
        <v>0</v>
      </c>
      <c r="F14" s="1157"/>
      <c r="G14" s="1580"/>
      <c r="H14" s="1151">
        <f t="shared" si="1"/>
        <v>0</v>
      </c>
      <c r="I14" s="520">
        <f>IF(ISBLANK(F14),0,IF(ISBLANK(AG22),0,AG22/F14))</f>
        <v>0</v>
      </c>
      <c r="J14" s="520">
        <f>IF(ISBLANK(F14),0,IF(ISBLANK(AH22),0,AH22/F14))</f>
        <v>0</v>
      </c>
      <c r="K14" s="1151">
        <f t="shared" si="2"/>
        <v>0</v>
      </c>
      <c r="L14" s="1151">
        <f t="shared" si="3"/>
        <v>0</v>
      </c>
      <c r="M14" s="1152">
        <f>IF(ISERROR(AK29),0,AK29)</f>
        <v>0</v>
      </c>
      <c r="N14" s="1152">
        <v>1</v>
      </c>
      <c r="O14" s="1153" t="s">
        <v>854</v>
      </c>
      <c r="P14" s="1158">
        <f>IF(ISERROR(AI29),0,AI29/100)</f>
        <v>0</v>
      </c>
      <c r="R14" s="2681"/>
      <c r="S14" s="2681"/>
      <c r="T14" s="2681"/>
      <c r="U14" s="2681"/>
      <c r="V14" s="2681"/>
      <c r="W14" s="2681"/>
      <c r="X14" s="176"/>
      <c r="Z14" s="1" t="s">
        <v>674</v>
      </c>
      <c r="AF14" s="189" t="s">
        <v>678</v>
      </c>
      <c r="AG14" s="189"/>
      <c r="AH14" s="189"/>
      <c r="AI14" s="189"/>
      <c r="AJ14" s="189"/>
      <c r="AK14" s="189"/>
      <c r="AL14" s="189" t="s">
        <v>680</v>
      </c>
      <c r="AM14" s="189"/>
      <c r="AN14" s="189"/>
      <c r="AO14" s="189"/>
      <c r="AR14" s="189" t="s">
        <v>684</v>
      </c>
      <c r="AS14" s="189"/>
      <c r="AT14" s="189"/>
      <c r="AU14" s="189"/>
      <c r="AV14" s="189"/>
      <c r="AW14" s="189"/>
      <c r="AX14" s="176"/>
    </row>
    <row r="15" spans="1:50" ht="18" customHeight="1">
      <c r="A15" s="1154" t="s">
        <v>680</v>
      </c>
      <c r="B15" s="1155" t="s">
        <v>1100</v>
      </c>
      <c r="C15" s="1156">
        <f>IFERROR(AL22,0)</f>
        <v>0</v>
      </c>
      <c r="D15" s="1156">
        <f>IFERROR(AO22,0)</f>
        <v>0</v>
      </c>
      <c r="E15" s="1156">
        <f>IFERROR(AP22,0)</f>
        <v>0</v>
      </c>
      <c r="F15" s="1157"/>
      <c r="G15" s="1580"/>
      <c r="H15" s="1151">
        <f t="shared" si="1"/>
        <v>0</v>
      </c>
      <c r="I15" s="520">
        <f>IF(ISBLANK(F15),0,IF(ISBLANK(AM22),0,AM22/F15))</f>
        <v>0</v>
      </c>
      <c r="J15" s="520">
        <f>IF(ISBLANK(F15),0,IF(ISBLANK(AN22),0,AN22/F15))</f>
        <v>0</v>
      </c>
      <c r="K15" s="1151">
        <f t="shared" si="2"/>
        <v>0</v>
      </c>
      <c r="L15" s="1151">
        <f t="shared" si="3"/>
        <v>0</v>
      </c>
      <c r="M15" s="1152">
        <f>IF(ISERROR(AQ29),0,AQ29)</f>
        <v>0</v>
      </c>
      <c r="N15" s="1152">
        <v>1</v>
      </c>
      <c r="O15" s="1153" t="s">
        <v>854</v>
      </c>
      <c r="P15" s="1158">
        <f>IF(ISERROR(AO29),0,AO29/100)</f>
        <v>0</v>
      </c>
      <c r="R15" s="2681"/>
      <c r="S15" s="2681"/>
      <c r="T15" s="2681"/>
      <c r="U15" s="2681"/>
      <c r="V15" s="2681"/>
      <c r="W15" s="2681"/>
      <c r="X15" s="176"/>
      <c r="Z15" s="190" t="s">
        <v>1117</v>
      </c>
      <c r="AA15" s="190" t="s">
        <v>1118</v>
      </c>
      <c r="AB15" s="190" t="s">
        <v>864</v>
      </c>
      <c r="AC15" s="190" t="s">
        <v>612</v>
      </c>
      <c r="AD15" s="190" t="s">
        <v>613</v>
      </c>
      <c r="AE15" s="190" t="s">
        <v>1119</v>
      </c>
      <c r="AF15" s="178" t="s">
        <v>1117</v>
      </c>
      <c r="AG15" s="178" t="s">
        <v>1118</v>
      </c>
      <c r="AH15" s="178" t="s">
        <v>864</v>
      </c>
      <c r="AI15" s="178" t="s">
        <v>612</v>
      </c>
      <c r="AJ15" s="178" t="s">
        <v>613</v>
      </c>
      <c r="AK15" s="178" t="s">
        <v>1119</v>
      </c>
      <c r="AL15" s="178" t="s">
        <v>1117</v>
      </c>
      <c r="AM15" s="178" t="s">
        <v>1118</v>
      </c>
      <c r="AN15" s="178" t="s">
        <v>864</v>
      </c>
      <c r="AO15" s="178" t="s">
        <v>612</v>
      </c>
      <c r="AP15" s="178" t="s">
        <v>613</v>
      </c>
      <c r="AQ15" s="178" t="s">
        <v>1119</v>
      </c>
      <c r="AR15" s="178" t="s">
        <v>1117</v>
      </c>
      <c r="AS15" s="178" t="s">
        <v>1118</v>
      </c>
      <c r="AT15" s="178" t="s">
        <v>864</v>
      </c>
      <c r="AU15" s="178" t="s">
        <v>612</v>
      </c>
      <c r="AV15" s="178" t="s">
        <v>613</v>
      </c>
      <c r="AW15" s="178" t="s">
        <v>1119</v>
      </c>
      <c r="AX15" s="176"/>
    </row>
    <row r="16" spans="1:50" ht="18" customHeight="1">
      <c r="A16" s="1154" t="s">
        <v>684</v>
      </c>
      <c r="B16" s="1155" t="s">
        <v>459</v>
      </c>
      <c r="C16" s="1156">
        <f>IFERROR(AR22,0)</f>
        <v>0</v>
      </c>
      <c r="D16" s="1156">
        <f>IFERROR(AU22,0)</f>
        <v>0</v>
      </c>
      <c r="E16" s="1156">
        <f>IFERROR(AV22,0)</f>
        <v>0</v>
      </c>
      <c r="F16" s="1157"/>
      <c r="G16" s="1580"/>
      <c r="H16" s="1151">
        <f t="shared" si="1"/>
        <v>0</v>
      </c>
      <c r="I16" s="520">
        <f>IF(ISBLANK(F16),0,IF(ISBLANK(AS22),0,AS22/F16))</f>
        <v>0</v>
      </c>
      <c r="J16" s="520">
        <f>IF(ISBLANK(F16),0,IF(ISBLANK(AT22),0,AT22/F16))</f>
        <v>0</v>
      </c>
      <c r="K16" s="1151">
        <f t="shared" si="2"/>
        <v>0</v>
      </c>
      <c r="L16" s="1151">
        <f t="shared" si="3"/>
        <v>0</v>
      </c>
      <c r="M16" s="1152">
        <f>IF(ISERROR(AW29),0,AW29)</f>
        <v>0</v>
      </c>
      <c r="N16" s="1152">
        <v>1</v>
      </c>
      <c r="O16" s="1153" t="s">
        <v>854</v>
      </c>
      <c r="P16" s="1158">
        <f>IF(ISERROR(AU29),0,AU29/100)</f>
        <v>0</v>
      </c>
      <c r="R16" s="2681"/>
      <c r="S16" s="2681"/>
      <c r="T16" s="2681"/>
      <c r="U16" s="2681"/>
      <c r="V16" s="2681"/>
      <c r="W16" s="2681"/>
      <c r="X16" s="176"/>
      <c r="Y16" s="43" t="s">
        <v>1120</v>
      </c>
      <c r="Z16" s="191">
        <f t="shared" ref="Z16:Z21" si="4">C4*$G4</f>
        <v>0</v>
      </c>
      <c r="AA16" s="192">
        <f>Z16*0.87</f>
        <v>0</v>
      </c>
      <c r="AB16" s="192">
        <f>AA16*$U$4</f>
        <v>0</v>
      </c>
      <c r="AC16" s="192">
        <f t="shared" ref="AC16:AD21" si="5">D4*$G4</f>
        <v>0</v>
      </c>
      <c r="AD16" s="192">
        <f t="shared" si="5"/>
        <v>0</v>
      </c>
      <c r="AE16" s="193" t="e">
        <f t="shared" ref="AE16:AE21" si="6">Z16/Z$22</f>
        <v>#DIV/0!</v>
      </c>
      <c r="AF16" s="194">
        <f t="shared" ref="AF16:AF21" si="7">C4*$H4</f>
        <v>0</v>
      </c>
      <c r="AG16" s="195">
        <f>AF16*0.87</f>
        <v>0</v>
      </c>
      <c r="AH16" s="195">
        <f>AG16*$U$4</f>
        <v>0</v>
      </c>
      <c r="AI16" s="196">
        <f t="shared" ref="AI16:AJ21" si="8">D4*$H4</f>
        <v>0</v>
      </c>
      <c r="AJ16" s="196">
        <f t="shared" si="8"/>
        <v>0</v>
      </c>
      <c r="AK16" s="184" t="e">
        <f t="shared" ref="AK16:AK21" si="9">AF16/AF$22</f>
        <v>#DIV/0!</v>
      </c>
      <c r="AL16" s="194">
        <f t="shared" ref="AL16:AL21" si="10">C4*$I4</f>
        <v>0</v>
      </c>
      <c r="AM16" s="195">
        <f>AL16*0.87</f>
        <v>0</v>
      </c>
      <c r="AN16" s="195">
        <f>AM16*$U$4</f>
        <v>0</v>
      </c>
      <c r="AO16" s="196">
        <f t="shared" ref="AO16:AP21" si="11">D4*$I4</f>
        <v>0</v>
      </c>
      <c r="AP16" s="196">
        <f t="shared" si="11"/>
        <v>0</v>
      </c>
      <c r="AQ16" s="184" t="e">
        <f t="shared" ref="AQ16:AQ21" si="12">AL16/AL$22</f>
        <v>#DIV/0!</v>
      </c>
      <c r="AR16" s="194">
        <f t="shared" ref="AR16:AR21" si="13">C4*$J4</f>
        <v>0</v>
      </c>
      <c r="AS16" s="195">
        <f>AR16*0.87</f>
        <v>0</v>
      </c>
      <c r="AT16" s="195">
        <f>AS16*$U$4</f>
        <v>0</v>
      </c>
      <c r="AU16" s="196">
        <f t="shared" ref="AU16:AV21" si="14">D4*$J4</f>
        <v>0</v>
      </c>
      <c r="AV16" s="196">
        <f t="shared" si="14"/>
        <v>0</v>
      </c>
      <c r="AW16" s="184" t="e">
        <f t="shared" ref="AW16:AW21" si="15">AR16/AR$22</f>
        <v>#DIV/0!</v>
      </c>
      <c r="AX16" s="176"/>
    </row>
    <row r="17" spans="1:50" ht="18" customHeight="1">
      <c r="A17" s="1154" t="s">
        <v>1121</v>
      </c>
      <c r="B17" s="1155" t="s">
        <v>317</v>
      </c>
      <c r="C17" s="1156">
        <f>IFERROR(Z33,0)</f>
        <v>0</v>
      </c>
      <c r="D17" s="1156">
        <f>IFERROR(AA33,0)</f>
        <v>0</v>
      </c>
      <c r="E17" s="1156">
        <f>IFERROR(AB33,0)</f>
        <v>0</v>
      </c>
      <c r="F17" s="1157"/>
      <c r="G17" s="1580"/>
      <c r="H17" s="1151">
        <f t="shared" si="1"/>
        <v>0</v>
      </c>
      <c r="I17" s="520">
        <f>H17*0.91</f>
        <v>0</v>
      </c>
      <c r="J17" s="520">
        <f>I17*U8</f>
        <v>0</v>
      </c>
      <c r="K17" s="1151">
        <f t="shared" si="2"/>
        <v>0</v>
      </c>
      <c r="L17" s="1151">
        <f t="shared" si="3"/>
        <v>0</v>
      </c>
      <c r="M17" s="1152">
        <v>0.15</v>
      </c>
      <c r="N17" s="1152">
        <v>1</v>
      </c>
      <c r="O17" s="1153" t="s">
        <v>854</v>
      </c>
      <c r="P17" s="1158">
        <f>U8</f>
        <v>0.5</v>
      </c>
      <c r="R17" s="2681"/>
      <c r="S17" s="2681"/>
      <c r="T17" s="2681"/>
      <c r="U17" s="2681"/>
      <c r="V17" s="2681"/>
      <c r="W17" s="2681"/>
      <c r="X17" s="176"/>
      <c r="Y17" s="43" t="s">
        <v>1122</v>
      </c>
      <c r="Z17" s="191">
        <f t="shared" si="4"/>
        <v>0</v>
      </c>
      <c r="AA17" s="192">
        <f>Z17*0.87</f>
        <v>0</v>
      </c>
      <c r="AB17" s="192">
        <f>AA17*$U$5</f>
        <v>0</v>
      </c>
      <c r="AC17" s="192">
        <f t="shared" si="5"/>
        <v>0</v>
      </c>
      <c r="AD17" s="192">
        <f t="shared" si="5"/>
        <v>0</v>
      </c>
      <c r="AE17" s="193" t="e">
        <f t="shared" si="6"/>
        <v>#DIV/0!</v>
      </c>
      <c r="AF17" s="194">
        <f t="shared" si="7"/>
        <v>0</v>
      </c>
      <c r="AG17" s="195">
        <f>AF17*0.87</f>
        <v>0</v>
      </c>
      <c r="AH17" s="195">
        <f>AG17*$U$5</f>
        <v>0</v>
      </c>
      <c r="AI17" s="194">
        <f t="shared" si="8"/>
        <v>0</v>
      </c>
      <c r="AJ17" s="194">
        <f t="shared" si="8"/>
        <v>0</v>
      </c>
      <c r="AK17" s="184" t="e">
        <f t="shared" si="9"/>
        <v>#DIV/0!</v>
      </c>
      <c r="AL17" s="194">
        <f t="shared" si="10"/>
        <v>0</v>
      </c>
      <c r="AM17" s="195">
        <f>AL17*0.87</f>
        <v>0</v>
      </c>
      <c r="AN17" s="195">
        <f>AM17*$U$5</f>
        <v>0</v>
      </c>
      <c r="AO17" s="194">
        <f t="shared" si="11"/>
        <v>0</v>
      </c>
      <c r="AP17" s="194">
        <f t="shared" si="11"/>
        <v>0</v>
      </c>
      <c r="AQ17" s="184" t="e">
        <f t="shared" si="12"/>
        <v>#DIV/0!</v>
      </c>
      <c r="AR17" s="194">
        <f t="shared" si="13"/>
        <v>0</v>
      </c>
      <c r="AS17" s="195">
        <f>AR17*0.87</f>
        <v>0</v>
      </c>
      <c r="AT17" s="195">
        <f>AS17*$U$5</f>
        <v>0</v>
      </c>
      <c r="AU17" s="194">
        <f t="shared" si="14"/>
        <v>0</v>
      </c>
      <c r="AV17" s="194">
        <f t="shared" si="14"/>
        <v>0</v>
      </c>
      <c r="AW17" s="184" t="e">
        <f t="shared" si="15"/>
        <v>#DIV/0!</v>
      </c>
      <c r="AX17" s="176"/>
    </row>
    <row r="18" spans="1:50" ht="18" customHeight="1">
      <c r="A18" s="1159" t="s">
        <v>1123</v>
      </c>
      <c r="B18" s="1155" t="s">
        <v>694</v>
      </c>
      <c r="C18" s="1156">
        <f>Z34</f>
        <v>0</v>
      </c>
      <c r="D18" s="1156">
        <f>AA34</f>
        <v>0</v>
      </c>
      <c r="E18" s="1156">
        <f>AB34</f>
        <v>0</v>
      </c>
      <c r="F18" s="1157"/>
      <c r="G18" s="1580"/>
      <c r="H18" s="1151">
        <f t="shared" si="1"/>
        <v>0</v>
      </c>
      <c r="I18" s="1151">
        <f>H18*0.91</f>
        <v>0</v>
      </c>
      <c r="J18" s="520">
        <f>I18*U8</f>
        <v>0</v>
      </c>
      <c r="K18" s="1151">
        <f t="shared" si="2"/>
        <v>0</v>
      </c>
      <c r="L18" s="1151">
        <f t="shared" si="3"/>
        <v>0</v>
      </c>
      <c r="M18" s="1152">
        <v>0.15</v>
      </c>
      <c r="N18" s="1152">
        <v>1</v>
      </c>
      <c r="O18" s="1153" t="s">
        <v>854</v>
      </c>
      <c r="P18" s="1158">
        <f>U8</f>
        <v>0.5</v>
      </c>
      <c r="R18" s="2681"/>
      <c r="S18" s="2681"/>
      <c r="T18" s="2681"/>
      <c r="U18" s="2681"/>
      <c r="V18" s="2681"/>
      <c r="W18" s="2681"/>
      <c r="X18" s="176"/>
      <c r="Y18" s="43" t="s">
        <v>1124</v>
      </c>
      <c r="Z18" s="191">
        <f t="shared" si="4"/>
        <v>0</v>
      </c>
      <c r="AA18" s="192">
        <f>Z18*0.87</f>
        <v>0</v>
      </c>
      <c r="AB18" s="192">
        <f>AA18*$U$6</f>
        <v>0</v>
      </c>
      <c r="AC18" s="192">
        <f t="shared" si="5"/>
        <v>0</v>
      </c>
      <c r="AD18" s="192">
        <f t="shared" si="5"/>
        <v>0</v>
      </c>
      <c r="AE18" s="197" t="e">
        <f t="shared" si="6"/>
        <v>#DIV/0!</v>
      </c>
      <c r="AF18" s="198">
        <f t="shared" si="7"/>
        <v>0</v>
      </c>
      <c r="AG18" s="195">
        <f>AF18*0.87</f>
        <v>0</v>
      </c>
      <c r="AH18" s="195">
        <f>AG18*$U$6</f>
        <v>0</v>
      </c>
      <c r="AI18" s="198">
        <f t="shared" si="8"/>
        <v>0</v>
      </c>
      <c r="AJ18" s="198">
        <f t="shared" si="8"/>
        <v>0</v>
      </c>
      <c r="AK18" s="199" t="e">
        <f t="shared" si="9"/>
        <v>#DIV/0!</v>
      </c>
      <c r="AL18" s="198">
        <f t="shared" si="10"/>
        <v>0</v>
      </c>
      <c r="AM18" s="195">
        <f>AL18*0.87</f>
        <v>0</v>
      </c>
      <c r="AN18" s="195">
        <f>AM18*$U$6</f>
        <v>0</v>
      </c>
      <c r="AO18" s="198">
        <f t="shared" si="11"/>
        <v>0</v>
      </c>
      <c r="AP18" s="198">
        <f t="shared" si="11"/>
        <v>0</v>
      </c>
      <c r="AQ18" s="199" t="e">
        <f t="shared" si="12"/>
        <v>#DIV/0!</v>
      </c>
      <c r="AR18" s="198">
        <f t="shared" si="13"/>
        <v>0</v>
      </c>
      <c r="AS18" s="195">
        <f>AR18*0.87</f>
        <v>0</v>
      </c>
      <c r="AT18" s="195">
        <f>AS18*$U$6</f>
        <v>0</v>
      </c>
      <c r="AU18" s="198">
        <f t="shared" si="14"/>
        <v>0</v>
      </c>
      <c r="AV18" s="198">
        <f t="shared" si="14"/>
        <v>0</v>
      </c>
      <c r="AW18" s="199" t="e">
        <f t="shared" si="15"/>
        <v>#DIV/0!</v>
      </c>
      <c r="AX18" s="176"/>
    </row>
    <row r="19" spans="1:50" ht="10.5" customHeight="1">
      <c r="R19" s="2681"/>
      <c r="S19" s="2681"/>
      <c r="T19" s="2681"/>
      <c r="U19" s="2681"/>
      <c r="V19" s="2681"/>
      <c r="W19" s="2681"/>
      <c r="X19" s="176"/>
      <c r="Y19" s="43" t="s">
        <v>1125</v>
      </c>
      <c r="Z19" s="191">
        <f t="shared" si="4"/>
        <v>0</v>
      </c>
      <c r="AA19" s="192">
        <f>Z19*0.87</f>
        <v>0</v>
      </c>
      <c r="AB19" s="192">
        <f>AA19*$U$7</f>
        <v>0</v>
      </c>
      <c r="AC19" s="192">
        <f t="shared" si="5"/>
        <v>0</v>
      </c>
      <c r="AD19" s="192">
        <f t="shared" si="5"/>
        <v>0</v>
      </c>
      <c r="AE19" s="193" t="e">
        <f t="shared" si="6"/>
        <v>#DIV/0!</v>
      </c>
      <c r="AF19" s="194">
        <f t="shared" si="7"/>
        <v>0</v>
      </c>
      <c r="AG19" s="194">
        <f>AF19*0.87</f>
        <v>0</v>
      </c>
      <c r="AH19" s="194">
        <f>AG19*$U$7</f>
        <v>0</v>
      </c>
      <c r="AI19" s="194">
        <f t="shared" si="8"/>
        <v>0</v>
      </c>
      <c r="AJ19" s="194">
        <f t="shared" si="8"/>
        <v>0</v>
      </c>
      <c r="AK19" s="184" t="e">
        <f t="shared" si="9"/>
        <v>#DIV/0!</v>
      </c>
      <c r="AL19" s="194">
        <f t="shared" si="10"/>
        <v>0</v>
      </c>
      <c r="AM19" s="194">
        <f>AL19*0.87</f>
        <v>0</v>
      </c>
      <c r="AN19" s="194">
        <f>AM19*$U$7</f>
        <v>0</v>
      </c>
      <c r="AO19" s="194">
        <f t="shared" si="11"/>
        <v>0</v>
      </c>
      <c r="AP19" s="194">
        <f t="shared" si="11"/>
        <v>0</v>
      </c>
      <c r="AQ19" s="184" t="e">
        <f t="shared" si="12"/>
        <v>#DIV/0!</v>
      </c>
      <c r="AR19" s="194">
        <f t="shared" si="13"/>
        <v>0</v>
      </c>
      <c r="AS19" s="194">
        <f>AR19*0.87</f>
        <v>0</v>
      </c>
      <c r="AT19" s="194">
        <f>AS19*$U$7</f>
        <v>0</v>
      </c>
      <c r="AU19" s="194">
        <f t="shared" si="14"/>
        <v>0</v>
      </c>
      <c r="AV19" s="194">
        <f t="shared" si="14"/>
        <v>0</v>
      </c>
      <c r="AW19" s="184" t="e">
        <f t="shared" si="15"/>
        <v>#DIV/0!</v>
      </c>
      <c r="AX19" s="176"/>
    </row>
    <row r="20" spans="1:50" ht="36.75" customHeight="1">
      <c r="A20" s="2700" t="s">
        <v>1126</v>
      </c>
      <c r="B20" s="2700"/>
      <c r="C20" s="1274" t="s">
        <v>1127</v>
      </c>
      <c r="D20" s="1274" t="s">
        <v>1128</v>
      </c>
      <c r="E20" s="1274" t="s">
        <v>1129</v>
      </c>
      <c r="F20" s="1422" t="s">
        <v>656</v>
      </c>
      <c r="G20" s="1423"/>
      <c r="H20" s="1414" t="s">
        <v>1130</v>
      </c>
      <c r="I20" s="1414" t="s">
        <v>1131</v>
      </c>
      <c r="J20" s="1414" t="s">
        <v>1132</v>
      </c>
      <c r="K20" s="1414" t="s">
        <v>1133</v>
      </c>
      <c r="L20" s="1414" t="s">
        <v>1134</v>
      </c>
      <c r="M20" s="1287" t="s">
        <v>842</v>
      </c>
      <c r="N20" s="1414" t="s">
        <v>843</v>
      </c>
      <c r="O20" s="1414" t="s">
        <v>1114</v>
      </c>
      <c r="P20" s="1287" t="s">
        <v>1135</v>
      </c>
      <c r="R20" s="2681"/>
      <c r="S20" s="2681"/>
      <c r="T20" s="2681"/>
      <c r="U20" s="2681"/>
      <c r="V20" s="2681"/>
      <c r="W20" s="2681"/>
      <c r="X20" s="176"/>
      <c r="Y20" s="43" t="s">
        <v>1136</v>
      </c>
      <c r="Z20" s="191">
        <f t="shared" si="4"/>
        <v>0</v>
      </c>
      <c r="AA20" s="194">
        <f>Z20*0.91</f>
        <v>0</v>
      </c>
      <c r="AB20" s="194">
        <f>AA20*$U$8</f>
        <v>0</v>
      </c>
      <c r="AC20" s="192">
        <f t="shared" si="5"/>
        <v>0</v>
      </c>
      <c r="AD20" s="192">
        <f t="shared" si="5"/>
        <v>0</v>
      </c>
      <c r="AE20" s="184" t="e">
        <f t="shared" si="6"/>
        <v>#DIV/0!</v>
      </c>
      <c r="AF20" s="194">
        <f t="shared" si="7"/>
        <v>0</v>
      </c>
      <c r="AG20" s="200">
        <f>AF20*0.91</f>
        <v>0</v>
      </c>
      <c r="AH20" s="200">
        <f>AG20*$U$8</f>
        <v>0</v>
      </c>
      <c r="AI20" s="194">
        <f t="shared" si="8"/>
        <v>0</v>
      </c>
      <c r="AJ20" s="194">
        <f t="shared" si="8"/>
        <v>0</v>
      </c>
      <c r="AK20" s="184" t="e">
        <f t="shared" si="9"/>
        <v>#DIV/0!</v>
      </c>
      <c r="AL20" s="194">
        <f t="shared" si="10"/>
        <v>0</v>
      </c>
      <c r="AM20" s="200">
        <f>AL20*0.91</f>
        <v>0</v>
      </c>
      <c r="AN20" s="200">
        <f>AM20*$U$8</f>
        <v>0</v>
      </c>
      <c r="AO20" s="194">
        <f t="shared" si="11"/>
        <v>0</v>
      </c>
      <c r="AP20" s="194">
        <f t="shared" si="11"/>
        <v>0</v>
      </c>
      <c r="AQ20" s="184" t="e">
        <f t="shared" si="12"/>
        <v>#DIV/0!</v>
      </c>
      <c r="AR20" s="194">
        <f t="shared" si="13"/>
        <v>0</v>
      </c>
      <c r="AS20" s="200">
        <f>AR20*0.91</f>
        <v>0</v>
      </c>
      <c r="AT20" s="200">
        <f>AS20*$U$8</f>
        <v>0</v>
      </c>
      <c r="AU20" s="194">
        <f t="shared" si="14"/>
        <v>0</v>
      </c>
      <c r="AV20" s="194">
        <f t="shared" si="14"/>
        <v>0</v>
      </c>
      <c r="AW20" s="184" t="e">
        <f t="shared" si="15"/>
        <v>#DIV/0!</v>
      </c>
      <c r="AX20" s="176"/>
    </row>
    <row r="21" spans="1:50" ht="15.95" customHeight="1" thickBot="1">
      <c r="A21" s="1147" t="s">
        <v>1053</v>
      </c>
      <c r="B21" s="1148" t="str">
        <f>Organ__Dü!B4</f>
        <v>Biogasgülle 1</v>
      </c>
      <c r="C21" s="1149">
        <f>Organ__Dü!J4</f>
        <v>0</v>
      </c>
      <c r="D21" s="1149">
        <f>Organ__Dü!K4</f>
        <v>0</v>
      </c>
      <c r="E21" s="1149">
        <f>Organ__Dü!L4</f>
        <v>0</v>
      </c>
      <c r="F21" s="1150">
        <f>Organ__Dü!I4</f>
        <v>0</v>
      </c>
      <c r="G21" s="922"/>
      <c r="H21" s="1151">
        <f>Organ__Dü!D4</f>
        <v>0</v>
      </c>
      <c r="I21" s="1151">
        <f>Organ__Dü!U63</f>
        <v>0</v>
      </c>
      <c r="J21" s="1151">
        <f>Organ__Dü!V63</f>
        <v>0</v>
      </c>
      <c r="K21" s="1151">
        <f>Organ__Dü!E4</f>
        <v>0</v>
      </c>
      <c r="L21" s="1151">
        <f>Organ__Dü!F4</f>
        <v>0</v>
      </c>
      <c r="M21" s="1152">
        <f>Organ__Dü!W63</f>
        <v>0</v>
      </c>
      <c r="N21" s="1152">
        <f>Organ__Dü!G4</f>
        <v>0</v>
      </c>
      <c r="O21" s="1153" t="s">
        <v>854</v>
      </c>
      <c r="P21" s="931"/>
      <c r="R21" s="2681"/>
      <c r="S21" s="2681"/>
      <c r="T21" s="2681"/>
      <c r="U21" s="2681"/>
      <c r="V21" s="2681"/>
      <c r="W21" s="2681"/>
      <c r="X21" s="176"/>
      <c r="Y21" s="201" t="s">
        <v>1137</v>
      </c>
      <c r="Z21" s="191">
        <f t="shared" si="4"/>
        <v>0</v>
      </c>
      <c r="AA21" s="198">
        <f>Z21*0.91</f>
        <v>0</v>
      </c>
      <c r="AB21" s="198">
        <f>AA21*$U$8</f>
        <v>0</v>
      </c>
      <c r="AC21" s="192">
        <f t="shared" si="5"/>
        <v>0</v>
      </c>
      <c r="AD21" s="192">
        <f t="shared" si="5"/>
        <v>0</v>
      </c>
      <c r="AE21" s="199" t="e">
        <f t="shared" si="6"/>
        <v>#DIV/0!</v>
      </c>
      <c r="AF21" s="194">
        <f t="shared" si="7"/>
        <v>0</v>
      </c>
      <c r="AG21" s="202">
        <f>AF21*0.91</f>
        <v>0</v>
      </c>
      <c r="AH21" s="202">
        <f>AG21*$U$8</f>
        <v>0</v>
      </c>
      <c r="AI21" s="194">
        <f t="shared" si="8"/>
        <v>0</v>
      </c>
      <c r="AJ21" s="194">
        <f t="shared" si="8"/>
        <v>0</v>
      </c>
      <c r="AK21" s="184" t="e">
        <f t="shared" si="9"/>
        <v>#DIV/0!</v>
      </c>
      <c r="AL21" s="194">
        <f t="shared" si="10"/>
        <v>0</v>
      </c>
      <c r="AM21" s="202">
        <f>AL21*0.91</f>
        <v>0</v>
      </c>
      <c r="AN21" s="202">
        <f>AM21*$U$8</f>
        <v>0</v>
      </c>
      <c r="AO21" s="194">
        <f t="shared" si="11"/>
        <v>0</v>
      </c>
      <c r="AP21" s="194">
        <f t="shared" si="11"/>
        <v>0</v>
      </c>
      <c r="AQ21" s="184" t="e">
        <f t="shared" si="12"/>
        <v>#DIV/0!</v>
      </c>
      <c r="AR21" s="194">
        <f t="shared" si="13"/>
        <v>0</v>
      </c>
      <c r="AS21" s="202">
        <f>AR21*0.91</f>
        <v>0</v>
      </c>
      <c r="AT21" s="202">
        <f>AS21*$U$8</f>
        <v>0</v>
      </c>
      <c r="AU21" s="194">
        <f t="shared" si="14"/>
        <v>0</v>
      </c>
      <c r="AV21" s="194">
        <f t="shared" si="14"/>
        <v>0</v>
      </c>
      <c r="AW21" s="184" t="e">
        <f t="shared" si="15"/>
        <v>#DIV/0!</v>
      </c>
      <c r="AX21" s="176"/>
    </row>
    <row r="22" spans="1:50" ht="15.95" customHeight="1" thickBot="1">
      <c r="A22" s="1147" t="s">
        <v>1067</v>
      </c>
      <c r="B22" s="1148" t="str">
        <f>Organ__Dü!B5</f>
        <v>…</v>
      </c>
      <c r="C22" s="1149">
        <f>Organ__Dü!J5</f>
        <v>0</v>
      </c>
      <c r="D22" s="1149">
        <f>Organ__Dü!K5</f>
        <v>0</v>
      </c>
      <c r="E22" s="1149">
        <f>Organ__Dü!L5</f>
        <v>0</v>
      </c>
      <c r="F22" s="1150">
        <f>Organ__Dü!I5</f>
        <v>0</v>
      </c>
      <c r="G22" s="922"/>
      <c r="H22" s="1151">
        <f>Organ__Dü!D5</f>
        <v>0</v>
      </c>
      <c r="I22" s="1151">
        <f>Organ__Dü!U69</f>
        <v>0</v>
      </c>
      <c r="J22" s="1151">
        <f>Organ__Dü!V69</f>
        <v>0</v>
      </c>
      <c r="K22" s="1151">
        <f>Organ__Dü!E5</f>
        <v>0</v>
      </c>
      <c r="L22" s="1151">
        <f>Organ__Dü!F5</f>
        <v>0</v>
      </c>
      <c r="M22" s="1152">
        <f>Organ__Dü!W69</f>
        <v>0</v>
      </c>
      <c r="N22" s="1152">
        <f>Organ__Dü!G5</f>
        <v>0</v>
      </c>
      <c r="O22" s="1153" t="s">
        <v>854</v>
      </c>
      <c r="P22" s="931"/>
      <c r="R22" s="2681"/>
      <c r="S22" s="2681"/>
      <c r="T22" s="2681"/>
      <c r="U22" s="2681"/>
      <c r="V22" s="2681"/>
      <c r="W22" s="2681"/>
      <c r="X22" s="176"/>
      <c r="Y22" s="203" t="s">
        <v>1138</v>
      </c>
      <c r="Z22" s="204">
        <f>SUM(Z16:Z21)</f>
        <v>0</v>
      </c>
      <c r="AA22" s="205">
        <f>SUM(AA16:AA21)</f>
        <v>0</v>
      </c>
      <c r="AB22" s="206">
        <f>SUM(AB16:AB21)</f>
        <v>0</v>
      </c>
      <c r="AC22" s="206">
        <f>SUM(AC16:AC21)</f>
        <v>0</v>
      </c>
      <c r="AD22" s="206">
        <f>SUM(AD16:AD21)</f>
        <v>0</v>
      </c>
      <c r="AE22" s="207" t="e">
        <f>SUM(AE16:AE19)</f>
        <v>#DIV/0!</v>
      </c>
      <c r="AF22" s="205">
        <f>SUM(AF16:AF21)</f>
        <v>0</v>
      </c>
      <c r="AG22" s="205">
        <f>SUM(AG16:AG21)</f>
        <v>0</v>
      </c>
      <c r="AH22" s="206">
        <f>SUM(AH16:AH21)</f>
        <v>0</v>
      </c>
      <c r="AI22" s="208">
        <f>SUM(AI16:AI21)</f>
        <v>0</v>
      </c>
      <c r="AJ22" s="204">
        <f>SUM(AJ16:AJ21)</f>
        <v>0</v>
      </c>
      <c r="AK22" s="207" t="e">
        <f>SUM(AK16:AK19)</f>
        <v>#DIV/0!</v>
      </c>
      <c r="AL22" s="205">
        <f>SUM(AL16:AL21)</f>
        <v>0</v>
      </c>
      <c r="AM22" s="205">
        <f>SUM(AM16:AM21)</f>
        <v>0</v>
      </c>
      <c r="AN22" s="206">
        <f>SUM(AN16:AN21)</f>
        <v>0</v>
      </c>
      <c r="AO22" s="208">
        <f>SUM(AO16:AO21)</f>
        <v>0</v>
      </c>
      <c r="AP22" s="204">
        <f>SUM(AP16:AP21)</f>
        <v>0</v>
      </c>
      <c r="AQ22" s="207" t="e">
        <f>SUM(AQ16:AQ19)</f>
        <v>#DIV/0!</v>
      </c>
      <c r="AR22" s="205">
        <f>SUM(AR16:AR21)</f>
        <v>0</v>
      </c>
      <c r="AS22" s="205">
        <f>SUM(AS16:AS21)</f>
        <v>0</v>
      </c>
      <c r="AT22" s="206">
        <f>SUM(AT16:AT21)</f>
        <v>0</v>
      </c>
      <c r="AU22" s="208">
        <f>SUM(AU16:AU21)</f>
        <v>0</v>
      </c>
      <c r="AV22" s="204">
        <f>SUM(AV16:AV21)</f>
        <v>0</v>
      </c>
      <c r="AW22" s="207" t="e">
        <f>SUM(AW16:AW19)</f>
        <v>#DIV/0!</v>
      </c>
      <c r="AX22" s="176"/>
    </row>
    <row r="23" spans="1:50" ht="15.95" customHeight="1">
      <c r="A23" s="1147" t="s">
        <v>1069</v>
      </c>
      <c r="B23" s="1148" t="str">
        <f>Organ__Dü!B6</f>
        <v>…</v>
      </c>
      <c r="C23" s="1149">
        <f>Organ__Dü!J6</f>
        <v>0</v>
      </c>
      <c r="D23" s="1149">
        <f>Organ__Dü!K6</f>
        <v>0</v>
      </c>
      <c r="E23" s="1149">
        <f>Organ__Dü!L6</f>
        <v>0</v>
      </c>
      <c r="F23" s="1150">
        <f>Organ__Dü!I6</f>
        <v>0</v>
      </c>
      <c r="G23" s="922"/>
      <c r="H23" s="1151">
        <f>Organ__Dü!D6</f>
        <v>0</v>
      </c>
      <c r="I23" s="1151">
        <f>Organ__Dü!U75</f>
        <v>0</v>
      </c>
      <c r="J23" s="1151">
        <f>Organ__Dü!V75</f>
        <v>0</v>
      </c>
      <c r="K23" s="1151">
        <f>Organ__Dü!E6</f>
        <v>0</v>
      </c>
      <c r="L23" s="1151">
        <f>Organ__Dü!F6</f>
        <v>0</v>
      </c>
      <c r="M23" s="1152">
        <f>Organ__Dü!W75</f>
        <v>0</v>
      </c>
      <c r="N23" s="1152">
        <f>Organ__Dü!G6</f>
        <v>0</v>
      </c>
      <c r="O23" s="1153" t="s">
        <v>854</v>
      </c>
      <c r="P23" s="931"/>
      <c r="R23" s="2681"/>
      <c r="S23" s="2681"/>
      <c r="T23" s="2681"/>
      <c r="U23" s="2681"/>
      <c r="V23" s="2681"/>
      <c r="W23" s="2681"/>
      <c r="X23" s="176"/>
      <c r="Y23" s="189" t="s">
        <v>440</v>
      </c>
      <c r="AB23" s="209">
        <f>$U$4</f>
        <v>0.7</v>
      </c>
      <c r="AC23" s="210" t="e">
        <f t="shared" ref="AC23:AC28" si="16">(AE16*AB23)*100</f>
        <v>#DIV/0!</v>
      </c>
      <c r="AD23" s="211">
        <v>0.5</v>
      </c>
      <c r="AE23" s="210" t="e">
        <f t="shared" ref="AE23:AE28" si="17">(AE16*AD23)</f>
        <v>#DIV/0!</v>
      </c>
      <c r="AH23" s="209">
        <f>$U$4</f>
        <v>0.7</v>
      </c>
      <c r="AI23" s="210" t="e">
        <f t="shared" ref="AI23:AI28" si="18">(AK16*AH23)*100</f>
        <v>#DIV/0!</v>
      </c>
      <c r="AJ23" s="211">
        <v>0.5</v>
      </c>
      <c r="AK23" s="210" t="e">
        <f t="shared" ref="AK23:AK28" si="19">(AK16*AJ23)</f>
        <v>#DIV/0!</v>
      </c>
      <c r="AN23" s="209">
        <f>$U$4</f>
        <v>0.7</v>
      </c>
      <c r="AO23" s="210" t="e">
        <f t="shared" ref="AO23:AO28" si="20">(AQ16*AN23)*100</f>
        <v>#DIV/0!</v>
      </c>
      <c r="AP23" s="211">
        <v>0.5</v>
      </c>
      <c r="AQ23" s="210" t="e">
        <f t="shared" ref="AQ23:AQ28" si="21">(AQ16*AP23)</f>
        <v>#DIV/0!</v>
      </c>
      <c r="AT23" s="209">
        <f>$U$4</f>
        <v>0.7</v>
      </c>
      <c r="AU23" s="210" t="e">
        <f t="shared" ref="AU23:AU28" si="22">(AW16*AT23)*100</f>
        <v>#DIV/0!</v>
      </c>
      <c r="AV23" s="211">
        <v>0.5</v>
      </c>
      <c r="AW23" s="210" t="e">
        <f t="shared" ref="AW23:AW28" si="23">(AW16*AV23)</f>
        <v>#DIV/0!</v>
      </c>
      <c r="AX23" s="176"/>
    </row>
    <row r="24" spans="1:50" ht="15.95" customHeight="1">
      <c r="A24" s="1147" t="s">
        <v>1070</v>
      </c>
      <c r="B24" s="1148" t="str">
        <f>Organ__Dü!B7</f>
        <v>…</v>
      </c>
      <c r="C24" s="1149">
        <f>Organ__Dü!J7</f>
        <v>0</v>
      </c>
      <c r="D24" s="1149">
        <f>Organ__Dü!K7</f>
        <v>0</v>
      </c>
      <c r="E24" s="1149">
        <f>Organ__Dü!L7</f>
        <v>0</v>
      </c>
      <c r="F24" s="1150">
        <f>Organ__Dü!I7</f>
        <v>0</v>
      </c>
      <c r="G24" s="922"/>
      <c r="H24" s="1151">
        <f>Organ__Dü!D7</f>
        <v>0</v>
      </c>
      <c r="I24" s="1151">
        <f>Organ__Dü!U81</f>
        <v>0</v>
      </c>
      <c r="J24" s="1151">
        <f>Organ__Dü!V81</f>
        <v>0</v>
      </c>
      <c r="K24" s="1151">
        <f>Organ__Dü!E7</f>
        <v>0</v>
      </c>
      <c r="L24" s="1151">
        <f>Organ__Dü!F7</f>
        <v>0</v>
      </c>
      <c r="M24" s="1152">
        <f>Organ__Dü!W81</f>
        <v>0</v>
      </c>
      <c r="N24" s="1152">
        <f>Organ__Dü!G7</f>
        <v>0</v>
      </c>
      <c r="O24" s="1153" t="s">
        <v>854</v>
      </c>
      <c r="P24" s="931"/>
      <c r="R24" s="2681"/>
      <c r="S24" s="2681"/>
      <c r="T24" s="2681"/>
      <c r="U24" s="2681"/>
      <c r="V24" s="2681"/>
      <c r="W24" s="2681"/>
      <c r="X24" s="176"/>
      <c r="Y24" s="189" t="s">
        <v>1139</v>
      </c>
      <c r="AB24" s="186">
        <f>$U$5</f>
        <v>0.8</v>
      </c>
      <c r="AC24" s="212" t="e">
        <f t="shared" si="16"/>
        <v>#DIV/0!</v>
      </c>
      <c r="AD24" s="213">
        <v>0.65</v>
      </c>
      <c r="AE24" s="210" t="e">
        <f t="shared" si="17"/>
        <v>#DIV/0!</v>
      </c>
      <c r="AH24" s="186">
        <f>$U$5</f>
        <v>0.8</v>
      </c>
      <c r="AI24" s="212" t="e">
        <f t="shared" si="18"/>
        <v>#DIV/0!</v>
      </c>
      <c r="AJ24" s="213">
        <v>0.65</v>
      </c>
      <c r="AK24" s="212" t="e">
        <f t="shared" si="19"/>
        <v>#DIV/0!</v>
      </c>
      <c r="AN24" s="186">
        <f>$U$5</f>
        <v>0.8</v>
      </c>
      <c r="AO24" s="212" t="e">
        <f t="shared" si="20"/>
        <v>#DIV/0!</v>
      </c>
      <c r="AP24" s="213">
        <v>0.65</v>
      </c>
      <c r="AQ24" s="212" t="e">
        <f t="shared" si="21"/>
        <v>#DIV/0!</v>
      </c>
      <c r="AT24" s="186">
        <f>$U$5</f>
        <v>0.8</v>
      </c>
      <c r="AU24" s="212" t="e">
        <f t="shared" si="22"/>
        <v>#DIV/0!</v>
      </c>
      <c r="AV24" s="213">
        <v>0.65</v>
      </c>
      <c r="AW24" s="212" t="e">
        <f t="shared" si="23"/>
        <v>#DIV/0!</v>
      </c>
      <c r="AX24" s="176"/>
    </row>
    <row r="25" spans="1:50" ht="15.95" customHeight="1">
      <c r="A25" s="1147" t="s">
        <v>1140</v>
      </c>
      <c r="B25" s="1148" t="str">
        <f>Organ__Dü!B9</f>
        <v>Feststoff 1</v>
      </c>
      <c r="C25" s="1149">
        <f>Organ__Dü!J9</f>
        <v>0</v>
      </c>
      <c r="D25" s="1149">
        <f>Organ__Dü!K9</f>
        <v>0</v>
      </c>
      <c r="E25" s="1149">
        <f>Organ__Dü!L9</f>
        <v>0</v>
      </c>
      <c r="F25" s="1150">
        <f>Organ__Dü!I9</f>
        <v>0</v>
      </c>
      <c r="G25" s="922"/>
      <c r="H25" s="1151">
        <f>Organ__Dü!D9</f>
        <v>0</v>
      </c>
      <c r="I25" s="1151">
        <f>Organ__Dü!U85</f>
        <v>0</v>
      </c>
      <c r="J25" s="1151">
        <f>Organ__Dü!V85</f>
        <v>0</v>
      </c>
      <c r="K25" s="1151">
        <f>Organ__Dü!E9</f>
        <v>0</v>
      </c>
      <c r="L25" s="1151">
        <f>Organ__Dü!F9</f>
        <v>0</v>
      </c>
      <c r="M25" s="1152">
        <f>Organ__Dü!W85</f>
        <v>0</v>
      </c>
      <c r="N25" s="1152">
        <f>Organ__Dü!G9</f>
        <v>0</v>
      </c>
      <c r="O25" s="1153" t="s">
        <v>854</v>
      </c>
      <c r="P25" s="931"/>
      <c r="X25" s="176"/>
      <c r="Y25" s="189" t="s">
        <v>746</v>
      </c>
      <c r="AB25" s="186">
        <f>$U$6</f>
        <v>0.85</v>
      </c>
      <c r="AC25" s="212" t="e">
        <f t="shared" si="16"/>
        <v>#DIV/0!</v>
      </c>
      <c r="AD25" s="213">
        <v>0.6</v>
      </c>
      <c r="AE25" s="212" t="e">
        <f t="shared" si="17"/>
        <v>#DIV/0!</v>
      </c>
      <c r="AH25" s="186">
        <f>$U$6</f>
        <v>0.85</v>
      </c>
      <c r="AI25" s="212" t="e">
        <f t="shared" si="18"/>
        <v>#DIV/0!</v>
      </c>
      <c r="AJ25" s="213">
        <v>0.6</v>
      </c>
      <c r="AK25" s="212" t="e">
        <f t="shared" si="19"/>
        <v>#DIV/0!</v>
      </c>
      <c r="AN25" s="186">
        <f>$U$6</f>
        <v>0.85</v>
      </c>
      <c r="AO25" s="212" t="e">
        <f t="shared" si="20"/>
        <v>#DIV/0!</v>
      </c>
      <c r="AP25" s="213">
        <v>0.6</v>
      </c>
      <c r="AQ25" s="212" t="e">
        <f t="shared" si="21"/>
        <v>#DIV/0!</v>
      </c>
      <c r="AT25" s="186">
        <f>$U$6</f>
        <v>0.85</v>
      </c>
      <c r="AU25" s="212" t="e">
        <f t="shared" si="22"/>
        <v>#DIV/0!</v>
      </c>
      <c r="AV25" s="213">
        <v>0.6</v>
      </c>
      <c r="AW25" s="210" t="e">
        <f t="shared" si="23"/>
        <v>#DIV/0!</v>
      </c>
      <c r="AX25" s="176"/>
    </row>
    <row r="26" spans="1:50" ht="15.95" customHeight="1">
      <c r="A26" s="1147" t="s">
        <v>1141</v>
      </c>
      <c r="B26" s="1148" t="str">
        <f>Organ__Dü!B10</f>
        <v>……</v>
      </c>
      <c r="C26" s="1149">
        <f>Organ__Dü!J10</f>
        <v>0</v>
      </c>
      <c r="D26" s="1149">
        <f>Organ__Dü!K10</f>
        <v>0</v>
      </c>
      <c r="E26" s="1149">
        <f>Organ__Dü!L10</f>
        <v>0</v>
      </c>
      <c r="F26" s="1150">
        <f>Organ__Dü!I10</f>
        <v>0</v>
      </c>
      <c r="G26" s="922"/>
      <c r="H26" s="1151">
        <f>Organ__Dü!D10</f>
        <v>0</v>
      </c>
      <c r="I26" s="1151">
        <f>Organ__Dü!U89</f>
        <v>0</v>
      </c>
      <c r="J26" s="1151">
        <f>Organ__Dü!V89</f>
        <v>0</v>
      </c>
      <c r="K26" s="1151">
        <f>Organ__Dü!E10</f>
        <v>0</v>
      </c>
      <c r="L26" s="1151">
        <f>Organ__Dü!F10</f>
        <v>0</v>
      </c>
      <c r="M26" s="1152">
        <f>Organ__Dü!W89</f>
        <v>0</v>
      </c>
      <c r="N26" s="1152">
        <f>Organ__Dü!G10</f>
        <v>0</v>
      </c>
      <c r="O26" s="1153" t="s">
        <v>854</v>
      </c>
      <c r="P26" s="931"/>
      <c r="X26" s="176"/>
      <c r="Y26" s="189" t="s">
        <v>459</v>
      </c>
      <c r="AB26" s="186">
        <f>$U$7</f>
        <v>1</v>
      </c>
      <c r="AC26" s="212" t="e">
        <f t="shared" si="16"/>
        <v>#DIV/0!</v>
      </c>
      <c r="AD26" s="213">
        <v>0.9</v>
      </c>
      <c r="AE26" s="212" t="e">
        <f t="shared" si="17"/>
        <v>#DIV/0!</v>
      </c>
      <c r="AH26" s="186">
        <f>$U$7</f>
        <v>1</v>
      </c>
      <c r="AI26" s="212" t="e">
        <f t="shared" si="18"/>
        <v>#DIV/0!</v>
      </c>
      <c r="AJ26" s="213">
        <v>0.9</v>
      </c>
      <c r="AK26" s="212" t="e">
        <f t="shared" si="19"/>
        <v>#DIV/0!</v>
      </c>
      <c r="AN26" s="186">
        <f>$U$7</f>
        <v>1</v>
      </c>
      <c r="AO26" s="212" t="e">
        <f t="shared" si="20"/>
        <v>#DIV/0!</v>
      </c>
      <c r="AP26" s="213">
        <v>0.9</v>
      </c>
      <c r="AQ26" s="212" t="e">
        <f t="shared" si="21"/>
        <v>#DIV/0!</v>
      </c>
      <c r="AT26" s="186">
        <f>$U$7</f>
        <v>1</v>
      </c>
      <c r="AU26" s="212" t="e">
        <f t="shared" si="22"/>
        <v>#DIV/0!</v>
      </c>
      <c r="AV26" s="213">
        <v>0.9</v>
      </c>
      <c r="AW26" s="210" t="e">
        <f t="shared" si="23"/>
        <v>#DIV/0!</v>
      </c>
      <c r="AX26" s="176"/>
    </row>
    <row r="27" spans="1:50" ht="15.75">
      <c r="A27" s="1147" t="s">
        <v>1142</v>
      </c>
      <c r="B27" s="1148" t="str">
        <f>Organ__Dü!B11</f>
        <v>……</v>
      </c>
      <c r="C27" s="1149">
        <f>Organ__Dü!J11</f>
        <v>0</v>
      </c>
      <c r="D27" s="1149">
        <f>Organ__Dü!K11</f>
        <v>0</v>
      </c>
      <c r="E27" s="1149">
        <f>Organ__Dü!L11</f>
        <v>0</v>
      </c>
      <c r="F27" s="1150">
        <f>Organ__Dü!I11</f>
        <v>0</v>
      </c>
      <c r="G27" s="922"/>
      <c r="H27" s="1151">
        <f>Organ__Dü!D11</f>
        <v>0</v>
      </c>
      <c r="I27" s="1151">
        <f>Organ__Dü!U93</f>
        <v>0</v>
      </c>
      <c r="J27" s="1151">
        <f>Organ__Dü!V93</f>
        <v>0</v>
      </c>
      <c r="K27" s="1151">
        <f>Organ__Dü!E11</f>
        <v>0</v>
      </c>
      <c r="L27" s="1151">
        <f>Organ__Dü!F11</f>
        <v>0</v>
      </c>
      <c r="M27" s="1152">
        <f>Organ__Dü!W93</f>
        <v>0</v>
      </c>
      <c r="N27" s="1152">
        <f>Organ__Dü!G11</f>
        <v>0</v>
      </c>
      <c r="O27" s="1153" t="s">
        <v>854</v>
      </c>
      <c r="P27" s="931"/>
      <c r="R27" s="2540" t="str">
        <f>IFERROR(IF(AND(Ergebnis!$F$10&gt;170,SUM($F$13:$F$18)=0,SUM($C$13:$C$18)&gt;0,(Betrieb!$D$18&gt;0)),"Wirtschaftsdüngermengen sind abzuschätzen und Wirtschaftsdünger ist abzugeben !",IF(AND(Ergebnis!$F$10&gt;170,SUM($C$13:$C$18)&gt;0,SUM($F$13:$F$18)&gt;0,Betrieb!$D$18&gt;0),CONCATENATE("Wirtschaftsdünger ist abzugeben, es sind ",ROUND((Ergebnis!$F$10-170)*Betrieb!$D$18,1)," kg N ab Lager zuviel am Betrieb"),IF(AND(SUM($F$13:$F$18)=0,SUM($C$13:$C$18)&gt;0,Betrieb!$D$18=0),"Mengenabschätzung - bitte unbedingt vornehmen!",IF(AND(((Tabelle1!$AX$20+Tabelle1!$AX$28-Tabelle1!$AX$30+Tabelle1!$AX$31)/Betrieb!$D$18)&gt;170,Ergebnis!$F$10&lt;170,SUM($G$13:$G$18)&gt;0,Betrieb!$D$18&gt;0),"Wirtschaftsdüngerabgabevertrag ist abzuschließen - siehe Tabellenbaltt WD-Vertrag!",IF(AND(SUM($G$13:$G$18)&gt;0,((Tabelle1!AX20+Tabelle1!AX28-Tabelle1!AX30+Tabelle1!AX31)/Betrieb!$D$18)&lt;170,Betrieb!$D$18&gt;0),"Bei Wirtschaftsdüngerabgabe bitte einen Wirtschaftsdüngervertrag abschließen",IF(AND(Betrieb!$D$18=0,SUM($C$13:$C$18)&gt;0,SUM($F$13:$F$18)&gt;0),"Flächenangabe am Tabellenblatt Betrieb ist noch einzugeben","Mengenabschätzung für die am Betrieb anfallenden Wirtschaftdünger")))))),"")</f>
        <v/>
      </c>
      <c r="S27" s="2540"/>
      <c r="T27" s="2540"/>
      <c r="U27" s="2540"/>
      <c r="V27" s="2540"/>
      <c r="W27" s="2540"/>
      <c r="X27" s="176"/>
      <c r="Y27" s="189" t="s">
        <v>460</v>
      </c>
      <c r="AB27" s="186">
        <f>$U$8</f>
        <v>0.5</v>
      </c>
      <c r="AC27" s="212" t="e">
        <f t="shared" si="16"/>
        <v>#DIV/0!</v>
      </c>
      <c r="AD27" s="213">
        <v>0.15</v>
      </c>
      <c r="AE27" s="212" t="e">
        <f t="shared" si="17"/>
        <v>#DIV/0!</v>
      </c>
      <c r="AH27" s="186">
        <f>$U$8</f>
        <v>0.5</v>
      </c>
      <c r="AI27" s="212" t="e">
        <f t="shared" si="18"/>
        <v>#DIV/0!</v>
      </c>
      <c r="AJ27" s="213">
        <v>0.15</v>
      </c>
      <c r="AK27" s="212" t="e">
        <f t="shared" si="19"/>
        <v>#DIV/0!</v>
      </c>
      <c r="AN27" s="186">
        <f>$U$8</f>
        <v>0.5</v>
      </c>
      <c r="AO27" s="212" t="e">
        <f t="shared" si="20"/>
        <v>#DIV/0!</v>
      </c>
      <c r="AP27" s="213">
        <v>0.15</v>
      </c>
      <c r="AQ27" s="212" t="e">
        <f t="shared" si="21"/>
        <v>#DIV/0!</v>
      </c>
      <c r="AT27" s="186">
        <f>$U$8</f>
        <v>0.5</v>
      </c>
      <c r="AU27" s="212" t="e">
        <f t="shared" si="22"/>
        <v>#DIV/0!</v>
      </c>
      <c r="AV27" s="213">
        <v>0.15</v>
      </c>
      <c r="AW27" s="210" t="e">
        <f t="shared" si="23"/>
        <v>#DIV/0!</v>
      </c>
      <c r="AX27" s="176"/>
    </row>
    <row r="28" spans="1:50" ht="16.5" thickBot="1">
      <c r="A28" s="1147" t="s">
        <v>1143</v>
      </c>
      <c r="B28" s="1148" t="str">
        <f>Organ__Dü!B13</f>
        <v>…..</v>
      </c>
      <c r="C28" s="1149">
        <f>Organ__Dü!J13</f>
        <v>0</v>
      </c>
      <c r="D28" s="1149">
        <f>Organ__Dü!K13</f>
        <v>0</v>
      </c>
      <c r="E28" s="1149">
        <f>Organ__Dü!L13</f>
        <v>0</v>
      </c>
      <c r="F28" s="1150">
        <f>Organ__Dü!I13</f>
        <v>0</v>
      </c>
      <c r="G28" s="922"/>
      <c r="H28" s="1151">
        <f>Organ__Dü!D13</f>
        <v>0</v>
      </c>
      <c r="I28" s="1151">
        <f>Organ__Dü!U102</f>
        <v>0</v>
      </c>
      <c r="J28" s="1151">
        <f>Organ__Dü!V102</f>
        <v>0</v>
      </c>
      <c r="K28" s="1151">
        <f>Organ__Dü!E13</f>
        <v>0</v>
      </c>
      <c r="L28" s="1151">
        <f>Organ__Dü!F13</f>
        <v>0</v>
      </c>
      <c r="M28" s="1152">
        <f>Organ__Dü!W102</f>
        <v>0</v>
      </c>
      <c r="N28" s="1152">
        <f>Organ__Dü!G13</f>
        <v>0</v>
      </c>
      <c r="O28" s="1153" t="s">
        <v>854</v>
      </c>
      <c r="P28" s="931"/>
      <c r="R28" s="2540"/>
      <c r="S28" s="2540"/>
      <c r="T28" s="2540"/>
      <c r="U28" s="2540"/>
      <c r="V28" s="2540"/>
      <c r="W28" s="2540"/>
      <c r="X28" s="176"/>
      <c r="Y28" s="189" t="s">
        <v>460</v>
      </c>
      <c r="AB28" s="186">
        <f>$U$8</f>
        <v>0.5</v>
      </c>
      <c r="AC28" s="214" t="e">
        <f t="shared" si="16"/>
        <v>#DIV/0!</v>
      </c>
      <c r="AD28" s="213">
        <v>0.15</v>
      </c>
      <c r="AE28" s="212" t="e">
        <f t="shared" si="17"/>
        <v>#DIV/0!</v>
      </c>
      <c r="AH28" s="186">
        <f>$U$8</f>
        <v>0.5</v>
      </c>
      <c r="AI28" s="212" t="e">
        <f t="shared" si="18"/>
        <v>#DIV/0!</v>
      </c>
      <c r="AJ28" s="213">
        <v>0.15</v>
      </c>
      <c r="AK28" s="212" t="e">
        <f t="shared" si="19"/>
        <v>#DIV/0!</v>
      </c>
      <c r="AN28" s="186">
        <f>$U$8</f>
        <v>0.5</v>
      </c>
      <c r="AO28" s="212" t="e">
        <f t="shared" si="20"/>
        <v>#DIV/0!</v>
      </c>
      <c r="AP28" s="213">
        <v>0.15</v>
      </c>
      <c r="AQ28" s="212" t="e">
        <f t="shared" si="21"/>
        <v>#DIV/0!</v>
      </c>
      <c r="AT28" s="186">
        <f>$U$8</f>
        <v>0.5</v>
      </c>
      <c r="AU28" s="212" t="e">
        <f t="shared" si="22"/>
        <v>#DIV/0!</v>
      </c>
      <c r="AV28" s="213">
        <v>0.15</v>
      </c>
      <c r="AW28" s="212" t="e">
        <f t="shared" si="23"/>
        <v>#DIV/0!</v>
      </c>
      <c r="AX28" s="176"/>
    </row>
    <row r="29" spans="1:50" ht="15.95" customHeight="1">
      <c r="A29" s="1147" t="s">
        <v>1144</v>
      </c>
      <c r="B29" s="1148" t="str">
        <f>Organ__Dü!B14</f>
        <v>…..</v>
      </c>
      <c r="C29" s="1149">
        <f>Organ__Dü!J14</f>
        <v>0</v>
      </c>
      <c r="D29" s="1149">
        <f>Organ__Dü!K14</f>
        <v>0</v>
      </c>
      <c r="E29" s="1149">
        <f>Organ__Dü!L14</f>
        <v>0</v>
      </c>
      <c r="F29" s="1150">
        <f>Organ__Dü!I14</f>
        <v>0</v>
      </c>
      <c r="G29" s="922"/>
      <c r="H29" s="1151">
        <f>Organ__Dü!D14</f>
        <v>0</v>
      </c>
      <c r="I29" s="1151">
        <f>Organ__Dü!U111</f>
        <v>0</v>
      </c>
      <c r="J29" s="1151">
        <f>Organ__Dü!V111</f>
        <v>0</v>
      </c>
      <c r="K29" s="1151">
        <f>Organ__Dü!E14</f>
        <v>0</v>
      </c>
      <c r="L29" s="1151">
        <f>Organ__Dü!F14</f>
        <v>0</v>
      </c>
      <c r="M29" s="1152">
        <f>Organ__Dü!W111</f>
        <v>0</v>
      </c>
      <c r="N29" s="1152">
        <f>Organ__Dü!G14</f>
        <v>0</v>
      </c>
      <c r="O29" s="1153" t="s">
        <v>854</v>
      </c>
      <c r="P29" s="931"/>
      <c r="X29" s="176"/>
      <c r="AB29" s="186" t="s">
        <v>1145</v>
      </c>
      <c r="AC29" s="212" t="e">
        <f>SUM(AC23:AC28)</f>
        <v>#DIV/0!</v>
      </c>
      <c r="AD29" s="213" t="s">
        <v>1146</v>
      </c>
      <c r="AE29" s="215" t="e">
        <f>SUM(AE23:AE28)</f>
        <v>#DIV/0!</v>
      </c>
      <c r="AH29" s="216" t="s">
        <v>1145</v>
      </c>
      <c r="AI29" s="217" t="e">
        <f>SUM(AI23:AI28)</f>
        <v>#DIV/0!</v>
      </c>
      <c r="AJ29" s="217" t="s">
        <v>1146</v>
      </c>
      <c r="AK29" s="215" t="e">
        <f>SUM(AK23:AK28)</f>
        <v>#DIV/0!</v>
      </c>
      <c r="AN29" s="216" t="s">
        <v>1145</v>
      </c>
      <c r="AO29" s="217" t="e">
        <f>SUM(AO23:AO28)</f>
        <v>#DIV/0!</v>
      </c>
      <c r="AP29" s="217" t="s">
        <v>1146</v>
      </c>
      <c r="AQ29" s="215" t="e">
        <f>SUM(AQ23:AQ28)</f>
        <v>#DIV/0!</v>
      </c>
      <c r="AT29" s="216" t="s">
        <v>1145</v>
      </c>
      <c r="AU29" s="217" t="e">
        <f>SUM(AU23:AU28)</f>
        <v>#DIV/0!</v>
      </c>
      <c r="AV29" s="217" t="s">
        <v>1146</v>
      </c>
      <c r="AW29" s="215" t="e">
        <f>SUM(AW23:AW28)</f>
        <v>#DIV/0!</v>
      </c>
      <c r="AX29" s="176"/>
    </row>
    <row r="30" spans="1:50" ht="15.75">
      <c r="A30" s="1147" t="s">
        <v>1147</v>
      </c>
      <c r="B30" s="1148" t="str">
        <f>Organ__Dü!B15</f>
        <v>….</v>
      </c>
      <c r="C30" s="1149">
        <f>Organ__Dü!J15</f>
        <v>0</v>
      </c>
      <c r="D30" s="1149">
        <f>Organ__Dü!K15</f>
        <v>0</v>
      </c>
      <c r="E30" s="1149">
        <f>Organ__Dü!L15</f>
        <v>0</v>
      </c>
      <c r="F30" s="1150">
        <f>Organ__Dü!I15</f>
        <v>0</v>
      </c>
      <c r="G30" s="922"/>
      <c r="H30" s="1151">
        <f>Organ__Dü!D15</f>
        <v>0</v>
      </c>
      <c r="I30" s="1151">
        <f>Organ__Dü!U120</f>
        <v>0</v>
      </c>
      <c r="J30" s="1151">
        <f>Organ__Dü!V120</f>
        <v>0</v>
      </c>
      <c r="K30" s="1151">
        <f>Organ__Dü!E15</f>
        <v>0</v>
      </c>
      <c r="L30" s="1151">
        <f>Organ__Dü!F15</f>
        <v>0</v>
      </c>
      <c r="M30" s="1152">
        <f>Organ__Dü!W120</f>
        <v>0</v>
      </c>
      <c r="N30" s="1152">
        <f>Organ__Dü!G15</f>
        <v>0</v>
      </c>
      <c r="O30" s="1153" t="s">
        <v>854</v>
      </c>
      <c r="P30" s="931"/>
      <c r="X30" s="181"/>
      <c r="AX30" s="176"/>
    </row>
    <row r="31" spans="1:50" ht="13.5" customHeight="1">
      <c r="A31" s="2704" t="s">
        <v>1148</v>
      </c>
      <c r="B31" s="1148" t="str">
        <f>Organ__Dü!B18</f>
        <v>…..</v>
      </c>
      <c r="C31" s="1149">
        <f>Organ__Dü!J18</f>
        <v>0</v>
      </c>
      <c r="D31" s="1149">
        <f>Organ__Dü!K18</f>
        <v>0</v>
      </c>
      <c r="E31" s="1149">
        <f>Organ__Dü!L18</f>
        <v>0</v>
      </c>
      <c r="F31" s="1150">
        <f>Organ__Dü!I18</f>
        <v>0</v>
      </c>
      <c r="G31" s="922"/>
      <c r="H31" s="1151">
        <f>Organ__Dü!D18</f>
        <v>0</v>
      </c>
      <c r="I31" s="1151">
        <f>H31*0.87</f>
        <v>0</v>
      </c>
      <c r="J31" s="1151">
        <f>I31*U4</f>
        <v>0</v>
      </c>
      <c r="K31" s="1151">
        <f>Organ__Dü!E18</f>
        <v>0</v>
      </c>
      <c r="L31" s="1151">
        <f>Organ__Dü!F18</f>
        <v>0</v>
      </c>
      <c r="M31" s="1152">
        <v>0.5</v>
      </c>
      <c r="N31" s="1152">
        <v>0</v>
      </c>
      <c r="O31" s="1153" t="s">
        <v>854</v>
      </c>
      <c r="P31" s="931"/>
      <c r="X31" s="181"/>
      <c r="AX31" s="176"/>
    </row>
    <row r="32" spans="1:50" ht="13.5" customHeight="1">
      <c r="A32" s="2704"/>
      <c r="B32" s="1148" t="str">
        <f>Organ__Dü!B19</f>
        <v>…..</v>
      </c>
      <c r="C32" s="1149">
        <f>Organ__Dü!J19</f>
        <v>0</v>
      </c>
      <c r="D32" s="1149">
        <f>Organ__Dü!K19</f>
        <v>0</v>
      </c>
      <c r="E32" s="1149">
        <f>Organ__Dü!L19</f>
        <v>0</v>
      </c>
      <c r="F32" s="1150">
        <f>Organ__Dü!I19</f>
        <v>0</v>
      </c>
      <c r="G32" s="922"/>
      <c r="H32" s="1151">
        <f>Organ__Dü!D19</f>
        <v>0</v>
      </c>
      <c r="I32" s="1151">
        <f>H32*0.91</f>
        <v>0</v>
      </c>
      <c r="J32" s="1151">
        <f>I32*U8</f>
        <v>0</v>
      </c>
      <c r="K32" s="1151">
        <f>Organ__Dü!E19</f>
        <v>0</v>
      </c>
      <c r="L32" s="1151">
        <f>Organ__Dü!F19</f>
        <v>0</v>
      </c>
      <c r="M32" s="1152">
        <v>0.15</v>
      </c>
      <c r="N32" s="1152">
        <v>0</v>
      </c>
      <c r="O32" s="1153" t="s">
        <v>854</v>
      </c>
      <c r="P32" s="931"/>
      <c r="X32" s="176"/>
      <c r="Z32" s="148" t="s">
        <v>668</v>
      </c>
      <c r="AA32" s="213" t="s">
        <v>612</v>
      </c>
      <c r="AB32" s="213" t="s">
        <v>613</v>
      </c>
      <c r="AX32" s="176"/>
    </row>
    <row r="33" spans="1:50" ht="13.5" customHeight="1">
      <c r="A33" s="2704"/>
      <c r="B33" s="1148" t="str">
        <f>Organ__Dü!B20</f>
        <v>…..</v>
      </c>
      <c r="C33" s="1149">
        <f>Organ__Dü!J20</f>
        <v>0</v>
      </c>
      <c r="D33" s="1149">
        <f>Organ__Dü!K20</f>
        <v>0</v>
      </c>
      <c r="E33" s="1149">
        <f>Organ__Dü!L20</f>
        <v>0</v>
      </c>
      <c r="F33" s="1150">
        <f>Organ__Dü!I20</f>
        <v>0</v>
      </c>
      <c r="G33" s="922"/>
      <c r="H33" s="1151">
        <f>Organ__Dü!D20</f>
        <v>0</v>
      </c>
      <c r="I33" s="1151">
        <f>H33*0.91</f>
        <v>0</v>
      </c>
      <c r="J33" s="1151">
        <f>I33*U8</f>
        <v>0</v>
      </c>
      <c r="K33" s="1151">
        <f>Organ__Dü!E20</f>
        <v>0</v>
      </c>
      <c r="L33" s="1151">
        <f>Organ__Dü!F20</f>
        <v>0</v>
      </c>
      <c r="M33" s="1152">
        <v>0.15</v>
      </c>
      <c r="N33" s="1152">
        <v>0</v>
      </c>
      <c r="O33" s="1153" t="s">
        <v>854</v>
      </c>
      <c r="P33" s="931"/>
      <c r="X33" s="176"/>
      <c r="Y33" s="218" t="s">
        <v>1149</v>
      </c>
      <c r="Z33" s="219">
        <f t="shared" ref="Z33:AB34" si="24">C8*$F8</f>
        <v>0</v>
      </c>
      <c r="AA33" s="219">
        <f t="shared" si="24"/>
        <v>0</v>
      </c>
      <c r="AB33" s="219">
        <f t="shared" si="24"/>
        <v>0</v>
      </c>
      <c r="AX33" s="176"/>
    </row>
    <row r="34" spans="1:50" ht="13.5" customHeight="1">
      <c r="A34" s="2704"/>
      <c r="B34" s="1148" t="str">
        <f>Organ__Dü!B21</f>
        <v>…..</v>
      </c>
      <c r="C34" s="1149">
        <f>Organ__Dü!J21</f>
        <v>0</v>
      </c>
      <c r="D34" s="1149">
        <f>Organ__Dü!K21</f>
        <v>0</v>
      </c>
      <c r="E34" s="1149">
        <f>Organ__Dü!L21</f>
        <v>0</v>
      </c>
      <c r="F34" s="1150">
        <f>Organ__Dü!I21</f>
        <v>0</v>
      </c>
      <c r="G34" s="922"/>
      <c r="H34" s="1151">
        <f>Organ__Dü!D21</f>
        <v>0</v>
      </c>
      <c r="I34" s="1151">
        <f>H34*0.91</f>
        <v>0</v>
      </c>
      <c r="J34" s="1151">
        <f>I34*U10</f>
        <v>0</v>
      </c>
      <c r="K34" s="1151">
        <f>Organ__Dü!E21</f>
        <v>0</v>
      </c>
      <c r="L34" s="1151">
        <f>Organ__Dü!F21</f>
        <v>0</v>
      </c>
      <c r="M34" s="1152">
        <v>0.01</v>
      </c>
      <c r="N34" s="1152">
        <v>0</v>
      </c>
      <c r="O34" s="1153" t="s">
        <v>854</v>
      </c>
      <c r="P34" s="931"/>
      <c r="X34" s="176"/>
      <c r="Y34" s="218" t="s">
        <v>1150</v>
      </c>
      <c r="Z34" s="219">
        <f t="shared" si="24"/>
        <v>0</v>
      </c>
      <c r="AA34" s="219">
        <f t="shared" si="24"/>
        <v>0</v>
      </c>
      <c r="AB34" s="219">
        <f t="shared" si="24"/>
        <v>0</v>
      </c>
      <c r="AX34" s="176"/>
    </row>
    <row r="35" spans="1:50" ht="22.5" customHeight="1">
      <c r="X35" s="176"/>
      <c r="AX35" s="176"/>
    </row>
    <row r="36" spans="1:50" ht="22.5" customHeight="1">
      <c r="X36" s="176"/>
      <c r="AX36" s="176"/>
    </row>
    <row r="37" spans="1:50">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row>
    <row r="38" spans="1:50" ht="18" customHeight="1">
      <c r="A38" s="2691" t="s">
        <v>1151</v>
      </c>
      <c r="B38" s="2691"/>
      <c r="C38" s="2693" t="s">
        <v>1152</v>
      </c>
      <c r="D38" s="2694" t="s">
        <v>906</v>
      </c>
      <c r="E38" s="2678" t="s">
        <v>466</v>
      </c>
      <c r="F38" s="2678"/>
      <c r="G38" s="2678"/>
      <c r="H38" s="2678"/>
      <c r="I38" s="2678"/>
      <c r="J38" s="2678" t="s">
        <v>470</v>
      </c>
      <c r="K38" s="2678"/>
      <c r="L38" s="2678"/>
      <c r="M38" s="2678"/>
      <c r="N38" s="2678"/>
      <c r="O38" s="2678" t="s">
        <v>471</v>
      </c>
      <c r="P38" s="2678"/>
      <c r="Q38" s="2678"/>
      <c r="R38" s="2678"/>
      <c r="S38" s="2678"/>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row>
    <row r="39" spans="1:50" ht="18" customHeight="1">
      <c r="A39" s="2691"/>
      <c r="B39" s="2691"/>
      <c r="C39" s="2693"/>
      <c r="D39" s="2694"/>
      <c r="E39" s="1114" t="s">
        <v>456</v>
      </c>
      <c r="F39" s="1114" t="s">
        <v>457</v>
      </c>
      <c r="G39" s="1114" t="s">
        <v>458</v>
      </c>
      <c r="H39" s="1114" t="s">
        <v>459</v>
      </c>
      <c r="I39" s="1114" t="s">
        <v>460</v>
      </c>
      <c r="J39" s="1114" t="s">
        <v>456</v>
      </c>
      <c r="K39" s="1114" t="s">
        <v>457</v>
      </c>
      <c r="L39" s="1114" t="s">
        <v>458</v>
      </c>
      <c r="M39" s="1114" t="s">
        <v>459</v>
      </c>
      <c r="N39" s="1114" t="s">
        <v>460</v>
      </c>
      <c r="O39" s="1114" t="s">
        <v>456</v>
      </c>
      <c r="P39" s="1114" t="s">
        <v>457</v>
      </c>
      <c r="Q39" s="1114" t="s">
        <v>458</v>
      </c>
      <c r="R39" s="1114" t="s">
        <v>459</v>
      </c>
      <c r="S39" s="1114" t="s">
        <v>460</v>
      </c>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row>
    <row r="40" spans="1:50" ht="16.5" customHeight="1">
      <c r="A40" s="2692">
        <f>Tiere!B5</f>
        <v>0</v>
      </c>
      <c r="B40" s="2692"/>
      <c r="C40" s="930">
        <f>Tabelle1!AQ5</f>
        <v>0</v>
      </c>
      <c r="D40" s="930">
        <f>Tabelle1!AR5</f>
        <v>0</v>
      </c>
      <c r="E40" s="930">
        <f>Tabelle1!AS5</f>
        <v>0</v>
      </c>
      <c r="F40" s="930">
        <f>Tabelle1!AT5</f>
        <v>0</v>
      </c>
      <c r="G40" s="930">
        <f>Tabelle1!AU5</f>
        <v>0</v>
      </c>
      <c r="H40" s="930">
        <f>Tabelle1!AV5</f>
        <v>0</v>
      </c>
      <c r="I40" s="930">
        <f>Tabelle1!AW5</f>
        <v>0</v>
      </c>
      <c r="J40" s="930">
        <f>Tabelle1!BD5</f>
        <v>0</v>
      </c>
      <c r="K40" s="930">
        <f>Tabelle1!BE5</f>
        <v>0</v>
      </c>
      <c r="L40" s="930">
        <f>Tabelle1!BF5</f>
        <v>0</v>
      </c>
      <c r="M40" s="930">
        <f>Tabelle1!BG5</f>
        <v>0</v>
      </c>
      <c r="N40" s="930">
        <f>Tabelle1!BH5</f>
        <v>0</v>
      </c>
      <c r="O40" s="930">
        <f>Tabelle1!BJ5</f>
        <v>0</v>
      </c>
      <c r="P40" s="930">
        <f>Tabelle1!BK5</f>
        <v>0</v>
      </c>
      <c r="Q40" s="930">
        <f>Tabelle1!BL5</f>
        <v>0</v>
      </c>
      <c r="R40" s="930">
        <f>Tabelle1!BM5</f>
        <v>0</v>
      </c>
      <c r="S40" s="930">
        <f>Tabelle1!BN5</f>
        <v>0</v>
      </c>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row>
    <row r="41" spans="1:50" ht="16.5" customHeight="1">
      <c r="A41" s="2692">
        <f>Tiere!B6</f>
        <v>0</v>
      </c>
      <c r="B41" s="2692"/>
      <c r="C41" s="930">
        <f>Tabelle1!AQ6</f>
        <v>0</v>
      </c>
      <c r="D41" s="930">
        <f>Tabelle1!AR6</f>
        <v>0</v>
      </c>
      <c r="E41" s="930">
        <f>Tabelle1!AS6</f>
        <v>0</v>
      </c>
      <c r="F41" s="930">
        <f>Tabelle1!AT6</f>
        <v>0</v>
      </c>
      <c r="G41" s="930">
        <f>Tabelle1!AU6</f>
        <v>0</v>
      </c>
      <c r="H41" s="930">
        <f>Tabelle1!AV6</f>
        <v>0</v>
      </c>
      <c r="I41" s="930">
        <f>Tabelle1!AW6</f>
        <v>0</v>
      </c>
      <c r="J41" s="930">
        <f>Tabelle1!BD6</f>
        <v>0</v>
      </c>
      <c r="K41" s="930">
        <f>Tabelle1!BE6</f>
        <v>0</v>
      </c>
      <c r="L41" s="930">
        <f>Tabelle1!BF6</f>
        <v>0</v>
      </c>
      <c r="M41" s="930">
        <f>Tabelle1!BG6</f>
        <v>0</v>
      </c>
      <c r="N41" s="930">
        <f>Tabelle1!BH6</f>
        <v>0</v>
      </c>
      <c r="O41" s="930">
        <f>Tabelle1!BJ6</f>
        <v>0</v>
      </c>
      <c r="P41" s="930">
        <f>Tabelle1!BK6</f>
        <v>0</v>
      </c>
      <c r="Q41" s="930">
        <f>Tabelle1!BL6</f>
        <v>0</v>
      </c>
      <c r="R41" s="930">
        <f>Tabelle1!BM6</f>
        <v>0</v>
      </c>
      <c r="S41" s="930">
        <f>Tabelle1!BN6</f>
        <v>0</v>
      </c>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row>
    <row r="42" spans="1:50" ht="16.5" customHeight="1">
      <c r="A42" s="2692">
        <f>Tiere!B7</f>
        <v>0</v>
      </c>
      <c r="B42" s="2692"/>
      <c r="C42" s="930">
        <f>Tabelle1!AQ7</f>
        <v>0</v>
      </c>
      <c r="D42" s="930">
        <f>Tabelle1!AR7</f>
        <v>0</v>
      </c>
      <c r="E42" s="930">
        <f>Tabelle1!AS7</f>
        <v>0</v>
      </c>
      <c r="F42" s="930">
        <f>Tabelle1!AT7</f>
        <v>0</v>
      </c>
      <c r="G42" s="930">
        <f>Tabelle1!AU7</f>
        <v>0</v>
      </c>
      <c r="H42" s="930">
        <f>Tabelle1!AV7</f>
        <v>0</v>
      </c>
      <c r="I42" s="930">
        <f>Tabelle1!AW7</f>
        <v>0</v>
      </c>
      <c r="J42" s="930">
        <f>Tabelle1!BD7</f>
        <v>0</v>
      </c>
      <c r="K42" s="930">
        <f>Tabelle1!BE7</f>
        <v>0</v>
      </c>
      <c r="L42" s="930">
        <f>Tabelle1!BF7</f>
        <v>0</v>
      </c>
      <c r="M42" s="930">
        <f>Tabelle1!BG7</f>
        <v>0</v>
      </c>
      <c r="N42" s="930">
        <f>Tabelle1!BH7</f>
        <v>0</v>
      </c>
      <c r="O42" s="930">
        <f>Tabelle1!BJ7</f>
        <v>0</v>
      </c>
      <c r="P42" s="930">
        <f>Tabelle1!BK7</f>
        <v>0</v>
      </c>
      <c r="Q42" s="930">
        <f>Tabelle1!BL7</f>
        <v>0</v>
      </c>
      <c r="R42" s="930">
        <f>Tabelle1!BM7</f>
        <v>0</v>
      </c>
      <c r="S42" s="930">
        <f>Tabelle1!BN7</f>
        <v>0</v>
      </c>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row>
    <row r="43" spans="1:50" ht="16.5" customHeight="1">
      <c r="A43" s="2692">
        <f>Tiere!B8</f>
        <v>0</v>
      </c>
      <c r="B43" s="2692"/>
      <c r="C43" s="930">
        <f>Tabelle1!AQ8</f>
        <v>0</v>
      </c>
      <c r="D43" s="930">
        <f>Tabelle1!AR8</f>
        <v>0</v>
      </c>
      <c r="E43" s="930">
        <f>Tabelle1!AS8</f>
        <v>0</v>
      </c>
      <c r="F43" s="930">
        <f>Tabelle1!AT8</f>
        <v>0</v>
      </c>
      <c r="G43" s="930">
        <f>Tabelle1!AU8</f>
        <v>0</v>
      </c>
      <c r="H43" s="930">
        <f>Tabelle1!AV8</f>
        <v>0</v>
      </c>
      <c r="I43" s="930">
        <f>Tabelle1!AW8</f>
        <v>0</v>
      </c>
      <c r="J43" s="930">
        <f>Tabelle1!BD8</f>
        <v>0</v>
      </c>
      <c r="K43" s="930">
        <f>Tabelle1!BE8</f>
        <v>0</v>
      </c>
      <c r="L43" s="930">
        <f>Tabelle1!BF8</f>
        <v>0</v>
      </c>
      <c r="M43" s="930">
        <f>Tabelle1!BG8</f>
        <v>0</v>
      </c>
      <c r="N43" s="930">
        <f>Tabelle1!BH8</f>
        <v>0</v>
      </c>
      <c r="O43" s="930">
        <f>Tabelle1!BJ8</f>
        <v>0</v>
      </c>
      <c r="P43" s="930">
        <f>Tabelle1!BK8</f>
        <v>0</v>
      </c>
      <c r="Q43" s="930">
        <f>Tabelle1!BL8</f>
        <v>0</v>
      </c>
      <c r="R43" s="930">
        <f>Tabelle1!BM8</f>
        <v>0</v>
      </c>
      <c r="S43" s="930">
        <f>Tabelle1!BN8</f>
        <v>0</v>
      </c>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row>
    <row r="44" spans="1:50" ht="16.5" customHeight="1">
      <c r="A44" s="2692">
        <f>Tiere!B9</f>
        <v>0</v>
      </c>
      <c r="B44" s="2692"/>
      <c r="C44" s="930">
        <f>Tabelle1!AQ9</f>
        <v>0</v>
      </c>
      <c r="D44" s="930">
        <f>Tabelle1!AR9</f>
        <v>0</v>
      </c>
      <c r="E44" s="930">
        <f>Tabelle1!AS9</f>
        <v>0</v>
      </c>
      <c r="F44" s="930">
        <f>Tabelle1!AT9</f>
        <v>0</v>
      </c>
      <c r="G44" s="930">
        <f>Tabelle1!AU9</f>
        <v>0</v>
      </c>
      <c r="H44" s="930">
        <f>Tabelle1!AV9</f>
        <v>0</v>
      </c>
      <c r="I44" s="930">
        <f>Tabelle1!AW9</f>
        <v>0</v>
      </c>
      <c r="J44" s="930">
        <f>Tabelle1!BD9</f>
        <v>0</v>
      </c>
      <c r="K44" s="930">
        <f>Tabelle1!BE9</f>
        <v>0</v>
      </c>
      <c r="L44" s="930">
        <f>Tabelle1!BF9</f>
        <v>0</v>
      </c>
      <c r="M44" s="930">
        <f>Tabelle1!BG9</f>
        <v>0</v>
      </c>
      <c r="N44" s="930">
        <f>Tabelle1!BH9</f>
        <v>0</v>
      </c>
      <c r="O44" s="930">
        <f>Tabelle1!BJ9</f>
        <v>0</v>
      </c>
      <c r="P44" s="930">
        <f>Tabelle1!BK9</f>
        <v>0</v>
      </c>
      <c r="Q44" s="930">
        <f>Tabelle1!BL9</f>
        <v>0</v>
      </c>
      <c r="R44" s="930">
        <f>Tabelle1!BM9</f>
        <v>0</v>
      </c>
      <c r="S44" s="930">
        <f>Tabelle1!BN9</f>
        <v>0</v>
      </c>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row>
    <row r="45" spans="1:50" ht="16.5" customHeight="1">
      <c r="A45" s="2692">
        <f>Tiere!B10</f>
        <v>0</v>
      </c>
      <c r="B45" s="2692"/>
      <c r="C45" s="930">
        <f>Tabelle1!AQ10</f>
        <v>0</v>
      </c>
      <c r="D45" s="930">
        <f>Tabelle1!AR10</f>
        <v>0</v>
      </c>
      <c r="E45" s="930">
        <f>Tabelle1!AS10</f>
        <v>0</v>
      </c>
      <c r="F45" s="930">
        <f>Tabelle1!AT10</f>
        <v>0</v>
      </c>
      <c r="G45" s="930">
        <f>Tabelle1!AU10</f>
        <v>0</v>
      </c>
      <c r="H45" s="930">
        <f>Tabelle1!AV10</f>
        <v>0</v>
      </c>
      <c r="I45" s="930">
        <f>Tabelle1!AW10</f>
        <v>0</v>
      </c>
      <c r="J45" s="930">
        <f>Tabelle1!BD10</f>
        <v>0</v>
      </c>
      <c r="K45" s="930">
        <f>Tabelle1!BE10</f>
        <v>0</v>
      </c>
      <c r="L45" s="930">
        <f>Tabelle1!BF10</f>
        <v>0</v>
      </c>
      <c r="M45" s="930">
        <f>Tabelle1!BG10</f>
        <v>0</v>
      </c>
      <c r="N45" s="930">
        <f>Tabelle1!BH10</f>
        <v>0</v>
      </c>
      <c r="O45" s="930">
        <f>Tabelle1!BJ10</f>
        <v>0</v>
      </c>
      <c r="P45" s="930">
        <f>Tabelle1!BK10</f>
        <v>0</v>
      </c>
      <c r="Q45" s="930">
        <f>Tabelle1!BL10</f>
        <v>0</v>
      </c>
      <c r="R45" s="930">
        <f>Tabelle1!BM10</f>
        <v>0</v>
      </c>
      <c r="S45" s="930">
        <f>Tabelle1!BN10</f>
        <v>0</v>
      </c>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row>
    <row r="46" spans="1:50" ht="16.5" customHeight="1">
      <c r="A46" s="2692">
        <f>Tiere!B11</f>
        <v>0</v>
      </c>
      <c r="B46" s="2692"/>
      <c r="C46" s="930">
        <f>Tabelle1!AQ11</f>
        <v>0</v>
      </c>
      <c r="D46" s="930">
        <f>Tabelle1!AR11</f>
        <v>0</v>
      </c>
      <c r="E46" s="930">
        <f>Tabelle1!AS11</f>
        <v>0</v>
      </c>
      <c r="F46" s="930">
        <f>Tabelle1!AT11</f>
        <v>0</v>
      </c>
      <c r="G46" s="930">
        <f>Tabelle1!AU11</f>
        <v>0</v>
      </c>
      <c r="H46" s="930">
        <f>Tabelle1!AV11</f>
        <v>0</v>
      </c>
      <c r="I46" s="930">
        <f>Tabelle1!AW11</f>
        <v>0</v>
      </c>
      <c r="J46" s="930">
        <f>Tabelle1!BD11</f>
        <v>0</v>
      </c>
      <c r="K46" s="930">
        <f>Tabelle1!BE11</f>
        <v>0</v>
      </c>
      <c r="L46" s="930">
        <f>Tabelle1!BF11</f>
        <v>0</v>
      </c>
      <c r="M46" s="930">
        <f>Tabelle1!BG11</f>
        <v>0</v>
      </c>
      <c r="N46" s="930">
        <f>Tabelle1!BH11</f>
        <v>0</v>
      </c>
      <c r="O46" s="930">
        <f>Tabelle1!BJ11</f>
        <v>0</v>
      </c>
      <c r="P46" s="930">
        <f>Tabelle1!BK11</f>
        <v>0</v>
      </c>
      <c r="Q46" s="930">
        <f>Tabelle1!BL11</f>
        <v>0</v>
      </c>
      <c r="R46" s="930">
        <f>Tabelle1!BM11</f>
        <v>0</v>
      </c>
      <c r="S46" s="930">
        <f>Tabelle1!BN11</f>
        <v>0</v>
      </c>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row>
    <row r="47" spans="1:50" ht="16.5" customHeight="1">
      <c r="A47" s="2692">
        <f>Tiere!B12</f>
        <v>0</v>
      </c>
      <c r="B47" s="2692"/>
      <c r="C47" s="930">
        <f>Tabelle1!AQ12</f>
        <v>0</v>
      </c>
      <c r="D47" s="930">
        <f>Tabelle1!AR12</f>
        <v>0</v>
      </c>
      <c r="E47" s="930">
        <f>Tabelle1!AS12</f>
        <v>0</v>
      </c>
      <c r="F47" s="930">
        <f>Tabelle1!AT12</f>
        <v>0</v>
      </c>
      <c r="G47" s="930">
        <f>Tabelle1!AU12</f>
        <v>0</v>
      </c>
      <c r="H47" s="930">
        <f>Tabelle1!AV12</f>
        <v>0</v>
      </c>
      <c r="I47" s="930">
        <f>Tabelle1!AW12</f>
        <v>0</v>
      </c>
      <c r="J47" s="930">
        <f>Tabelle1!BD12</f>
        <v>0</v>
      </c>
      <c r="K47" s="930">
        <f>Tabelle1!BE12</f>
        <v>0</v>
      </c>
      <c r="L47" s="930">
        <f>Tabelle1!BF12</f>
        <v>0</v>
      </c>
      <c r="M47" s="930">
        <f>Tabelle1!BG12</f>
        <v>0</v>
      </c>
      <c r="N47" s="930">
        <f>Tabelle1!BH12</f>
        <v>0</v>
      </c>
      <c r="O47" s="930">
        <f>Tabelle1!BJ12</f>
        <v>0</v>
      </c>
      <c r="P47" s="930">
        <f>Tabelle1!BK12</f>
        <v>0</v>
      </c>
      <c r="Q47" s="930">
        <f>Tabelle1!BL12</f>
        <v>0</v>
      </c>
      <c r="R47" s="930">
        <f>Tabelle1!BM12</f>
        <v>0</v>
      </c>
      <c r="S47" s="930">
        <f>Tabelle1!BN12</f>
        <v>0</v>
      </c>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row>
    <row r="48" spans="1:50" ht="16.5" customHeight="1">
      <c r="A48" s="2692">
        <f>Tiere!B13</f>
        <v>0</v>
      </c>
      <c r="B48" s="2692"/>
      <c r="C48" s="930">
        <f>Tabelle1!AQ13</f>
        <v>0</v>
      </c>
      <c r="D48" s="930">
        <f>Tabelle1!AR13</f>
        <v>0</v>
      </c>
      <c r="E48" s="930">
        <f>Tabelle1!AS13</f>
        <v>0</v>
      </c>
      <c r="F48" s="930">
        <f>Tabelle1!AT13</f>
        <v>0</v>
      </c>
      <c r="G48" s="930">
        <f>Tabelle1!AU13</f>
        <v>0</v>
      </c>
      <c r="H48" s="930">
        <f>Tabelle1!AV13</f>
        <v>0</v>
      </c>
      <c r="I48" s="930">
        <f>Tabelle1!AW13</f>
        <v>0</v>
      </c>
      <c r="J48" s="930">
        <f>Tabelle1!BD13</f>
        <v>0</v>
      </c>
      <c r="K48" s="930">
        <f>Tabelle1!BE13</f>
        <v>0</v>
      </c>
      <c r="L48" s="930">
        <f>Tabelle1!BF13</f>
        <v>0</v>
      </c>
      <c r="M48" s="930">
        <f>Tabelle1!BG13</f>
        <v>0</v>
      </c>
      <c r="N48" s="930">
        <f>Tabelle1!BH13</f>
        <v>0</v>
      </c>
      <c r="O48" s="930">
        <f>Tabelle1!BJ13</f>
        <v>0</v>
      </c>
      <c r="P48" s="930">
        <f>Tabelle1!BK13</f>
        <v>0</v>
      </c>
      <c r="Q48" s="930">
        <f>Tabelle1!BL13</f>
        <v>0</v>
      </c>
      <c r="R48" s="930">
        <f>Tabelle1!BM13</f>
        <v>0</v>
      </c>
      <c r="S48" s="930">
        <f>Tabelle1!BN13</f>
        <v>0</v>
      </c>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row>
    <row r="49" spans="1:50" ht="16.5" customHeight="1">
      <c r="A49" s="2692">
        <f>Tiere!B14</f>
        <v>0</v>
      </c>
      <c r="B49" s="2692"/>
      <c r="C49" s="930">
        <f>Tabelle1!AQ14</f>
        <v>0</v>
      </c>
      <c r="D49" s="930">
        <f>Tabelle1!AR14</f>
        <v>0</v>
      </c>
      <c r="E49" s="930">
        <f>Tabelle1!AS14</f>
        <v>0</v>
      </c>
      <c r="F49" s="930">
        <f>Tabelle1!AT14</f>
        <v>0</v>
      </c>
      <c r="G49" s="930">
        <f>Tabelle1!AU14</f>
        <v>0</v>
      </c>
      <c r="H49" s="930">
        <f>Tabelle1!AV14</f>
        <v>0</v>
      </c>
      <c r="I49" s="930">
        <f>Tabelle1!AW14</f>
        <v>0</v>
      </c>
      <c r="J49" s="930">
        <f>Tabelle1!BD14</f>
        <v>0</v>
      </c>
      <c r="K49" s="930">
        <f>Tabelle1!BE14</f>
        <v>0</v>
      </c>
      <c r="L49" s="930">
        <f>Tabelle1!BF14</f>
        <v>0</v>
      </c>
      <c r="M49" s="930">
        <f>Tabelle1!BG14</f>
        <v>0</v>
      </c>
      <c r="N49" s="930">
        <f>Tabelle1!BH14</f>
        <v>0</v>
      </c>
      <c r="O49" s="930">
        <f>Tabelle1!BJ14</f>
        <v>0</v>
      </c>
      <c r="P49" s="930">
        <f>Tabelle1!BK14</f>
        <v>0</v>
      </c>
      <c r="Q49" s="930">
        <f>Tabelle1!BL14</f>
        <v>0</v>
      </c>
      <c r="R49" s="930">
        <f>Tabelle1!BM14</f>
        <v>0</v>
      </c>
      <c r="S49" s="930">
        <f>Tabelle1!BN14</f>
        <v>0</v>
      </c>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row>
    <row r="50" spans="1:50" ht="16.5" customHeight="1">
      <c r="A50" s="2692">
        <f>Tiere!B15</f>
        <v>0</v>
      </c>
      <c r="B50" s="2692"/>
      <c r="C50" s="930">
        <f>Tabelle1!AQ15</f>
        <v>0</v>
      </c>
      <c r="D50" s="930">
        <f>Tabelle1!AR15</f>
        <v>0</v>
      </c>
      <c r="E50" s="930">
        <f>Tabelle1!AS15</f>
        <v>0</v>
      </c>
      <c r="F50" s="930">
        <f>Tabelle1!AT15</f>
        <v>0</v>
      </c>
      <c r="G50" s="930">
        <f>Tabelle1!AU15</f>
        <v>0</v>
      </c>
      <c r="H50" s="930">
        <f>Tabelle1!AV15</f>
        <v>0</v>
      </c>
      <c r="I50" s="930">
        <f>Tabelle1!AW15</f>
        <v>0</v>
      </c>
      <c r="J50" s="930">
        <f>Tabelle1!BD15</f>
        <v>0</v>
      </c>
      <c r="K50" s="930">
        <f>Tabelle1!BE15</f>
        <v>0</v>
      </c>
      <c r="L50" s="930">
        <f>Tabelle1!BF15</f>
        <v>0</v>
      </c>
      <c r="M50" s="930">
        <f>Tabelle1!BG15</f>
        <v>0</v>
      </c>
      <c r="N50" s="930">
        <f>Tabelle1!BH15</f>
        <v>0</v>
      </c>
      <c r="O50" s="930">
        <f>Tabelle1!BJ15</f>
        <v>0</v>
      </c>
      <c r="P50" s="930">
        <f>Tabelle1!BK15</f>
        <v>0</v>
      </c>
      <c r="Q50" s="930">
        <f>Tabelle1!BL15</f>
        <v>0</v>
      </c>
      <c r="R50" s="930">
        <f>Tabelle1!BM15</f>
        <v>0</v>
      </c>
      <c r="S50" s="930">
        <f>Tabelle1!BN15</f>
        <v>0</v>
      </c>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row>
    <row r="51" spans="1:50" ht="16.5" customHeight="1">
      <c r="A51" s="2692">
        <f>Tiere!B16</f>
        <v>0</v>
      </c>
      <c r="B51" s="2692"/>
      <c r="C51" s="930">
        <f>Tabelle1!AQ16</f>
        <v>0</v>
      </c>
      <c r="D51" s="930">
        <f>Tabelle1!AR16</f>
        <v>0</v>
      </c>
      <c r="E51" s="930">
        <f>Tabelle1!AS16</f>
        <v>0</v>
      </c>
      <c r="F51" s="930">
        <f>Tabelle1!AT16</f>
        <v>0</v>
      </c>
      <c r="G51" s="930">
        <f>Tabelle1!AU16</f>
        <v>0</v>
      </c>
      <c r="H51" s="930">
        <f>Tabelle1!AV16</f>
        <v>0</v>
      </c>
      <c r="I51" s="930">
        <f>Tabelle1!AW16</f>
        <v>0</v>
      </c>
      <c r="J51" s="930">
        <f>Tabelle1!BD16</f>
        <v>0</v>
      </c>
      <c r="K51" s="930">
        <f>Tabelle1!BE16</f>
        <v>0</v>
      </c>
      <c r="L51" s="930">
        <f>Tabelle1!BF16</f>
        <v>0</v>
      </c>
      <c r="M51" s="930">
        <f>Tabelle1!BG16</f>
        <v>0</v>
      </c>
      <c r="N51" s="930">
        <f>Tabelle1!BH16</f>
        <v>0</v>
      </c>
      <c r="O51" s="930">
        <f>Tabelle1!BJ16</f>
        <v>0</v>
      </c>
      <c r="P51" s="930">
        <f>Tabelle1!BK16</f>
        <v>0</v>
      </c>
      <c r="Q51" s="930">
        <f>Tabelle1!BL16</f>
        <v>0</v>
      </c>
      <c r="R51" s="930">
        <f>Tabelle1!BM16</f>
        <v>0</v>
      </c>
      <c r="S51" s="930">
        <f>Tabelle1!BN16</f>
        <v>0</v>
      </c>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row>
    <row r="52" spans="1:50" ht="16.5" customHeight="1">
      <c r="A52" s="2692">
        <f>Tiere!B17</f>
        <v>0</v>
      </c>
      <c r="B52" s="2692"/>
      <c r="C52" s="930">
        <f>Tabelle1!AQ17</f>
        <v>0</v>
      </c>
      <c r="D52" s="930">
        <f>Tabelle1!AR17</f>
        <v>0</v>
      </c>
      <c r="E52" s="930">
        <f>Tabelle1!AS17</f>
        <v>0</v>
      </c>
      <c r="F52" s="930">
        <f>Tabelle1!AT17</f>
        <v>0</v>
      </c>
      <c r="G52" s="930">
        <f>Tabelle1!AU17</f>
        <v>0</v>
      </c>
      <c r="H52" s="930">
        <f>Tabelle1!AV17</f>
        <v>0</v>
      </c>
      <c r="I52" s="930">
        <f>Tabelle1!AW17</f>
        <v>0</v>
      </c>
      <c r="J52" s="930">
        <f>Tabelle1!BD17</f>
        <v>0</v>
      </c>
      <c r="K52" s="930">
        <f>Tabelle1!BE17</f>
        <v>0</v>
      </c>
      <c r="L52" s="930">
        <f>Tabelle1!BF17</f>
        <v>0</v>
      </c>
      <c r="M52" s="930">
        <f>Tabelle1!BG17</f>
        <v>0</v>
      </c>
      <c r="N52" s="930">
        <f>Tabelle1!BH17</f>
        <v>0</v>
      </c>
      <c r="O52" s="930">
        <f>Tabelle1!BJ17</f>
        <v>0</v>
      </c>
      <c r="P52" s="930">
        <f>Tabelle1!BK17</f>
        <v>0</v>
      </c>
      <c r="Q52" s="930">
        <f>Tabelle1!BL17</f>
        <v>0</v>
      </c>
      <c r="R52" s="930">
        <f>Tabelle1!BM17</f>
        <v>0</v>
      </c>
      <c r="S52" s="930">
        <f>Tabelle1!BN17</f>
        <v>0</v>
      </c>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row>
    <row r="53" spans="1:50" ht="16.5" customHeight="1">
      <c r="A53" s="2692">
        <f>Tiere!B18</f>
        <v>0</v>
      </c>
      <c r="B53" s="2692"/>
      <c r="C53" s="930">
        <f>Tabelle1!AQ18</f>
        <v>0</v>
      </c>
      <c r="D53" s="930">
        <f>Tabelle1!AR18</f>
        <v>0</v>
      </c>
      <c r="E53" s="930">
        <f>Tabelle1!AS18</f>
        <v>0</v>
      </c>
      <c r="F53" s="930">
        <f>Tabelle1!AT18</f>
        <v>0</v>
      </c>
      <c r="G53" s="930">
        <f>Tabelle1!AU18</f>
        <v>0</v>
      </c>
      <c r="H53" s="930">
        <f>Tabelle1!AV18</f>
        <v>0</v>
      </c>
      <c r="I53" s="930">
        <f>Tabelle1!AW18</f>
        <v>0</v>
      </c>
      <c r="J53" s="930">
        <f>Tabelle1!BD18</f>
        <v>0</v>
      </c>
      <c r="K53" s="930">
        <f>Tabelle1!BE18</f>
        <v>0</v>
      </c>
      <c r="L53" s="930">
        <f>Tabelle1!BF18</f>
        <v>0</v>
      </c>
      <c r="M53" s="930">
        <f>Tabelle1!BG18</f>
        <v>0</v>
      </c>
      <c r="N53" s="930">
        <f>Tabelle1!BH18</f>
        <v>0</v>
      </c>
      <c r="O53" s="930">
        <f>Tabelle1!BJ18</f>
        <v>0</v>
      </c>
      <c r="P53" s="930">
        <f>Tabelle1!BK18</f>
        <v>0</v>
      </c>
      <c r="Q53" s="930">
        <f>Tabelle1!BL18</f>
        <v>0</v>
      </c>
      <c r="R53" s="930">
        <f>Tabelle1!BM18</f>
        <v>0</v>
      </c>
      <c r="S53" s="930">
        <f>Tabelle1!BN18</f>
        <v>0</v>
      </c>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row>
    <row r="54" spans="1:50" ht="16.5" customHeight="1">
      <c r="A54" s="2692">
        <f>Tiere!B19</f>
        <v>0</v>
      </c>
      <c r="B54" s="2692"/>
      <c r="C54" s="930">
        <f>Tabelle1!AQ19</f>
        <v>0</v>
      </c>
      <c r="D54" s="930">
        <f>Tabelle1!AR19</f>
        <v>0</v>
      </c>
      <c r="E54" s="930">
        <f>Tabelle1!AS19</f>
        <v>0</v>
      </c>
      <c r="F54" s="930">
        <f>Tabelle1!AT19</f>
        <v>0</v>
      </c>
      <c r="G54" s="930">
        <f>Tabelle1!AU19</f>
        <v>0</v>
      </c>
      <c r="H54" s="930">
        <f>Tabelle1!AV19</f>
        <v>0</v>
      </c>
      <c r="I54" s="930">
        <f>Tabelle1!AW19</f>
        <v>0</v>
      </c>
      <c r="J54" s="930">
        <f>Tabelle1!BD19</f>
        <v>0</v>
      </c>
      <c r="K54" s="930">
        <f>Tabelle1!BE19</f>
        <v>0</v>
      </c>
      <c r="L54" s="930">
        <f>Tabelle1!BF19</f>
        <v>0</v>
      </c>
      <c r="M54" s="930">
        <f>Tabelle1!BG19</f>
        <v>0</v>
      </c>
      <c r="N54" s="930">
        <f>Tabelle1!BH19</f>
        <v>0</v>
      </c>
      <c r="O54" s="930">
        <f>Tabelle1!BJ19</f>
        <v>0</v>
      </c>
      <c r="P54" s="930">
        <f>Tabelle1!BK19</f>
        <v>0</v>
      </c>
      <c r="Q54" s="930">
        <f>Tabelle1!BL19</f>
        <v>0</v>
      </c>
      <c r="R54" s="930">
        <f>Tabelle1!BM19</f>
        <v>0</v>
      </c>
      <c r="S54" s="930">
        <f>Tabelle1!BN19</f>
        <v>0</v>
      </c>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row>
    <row r="55" spans="1:50" ht="19.5" customHeight="1">
      <c r="A55" s="1117"/>
      <c r="B55" s="1118" t="s">
        <v>1153</v>
      </c>
      <c r="C55" s="1117"/>
      <c r="D55" s="1117"/>
      <c r="E55" s="1115">
        <f t="shared" ref="E55:S55" si="25">SUM(E40:E54)</f>
        <v>0</v>
      </c>
      <c r="F55" s="1115">
        <f t="shared" si="25"/>
        <v>0</v>
      </c>
      <c r="G55" s="1115">
        <f t="shared" si="25"/>
        <v>0</v>
      </c>
      <c r="H55" s="1115">
        <f t="shared" si="25"/>
        <v>0</v>
      </c>
      <c r="I55" s="1115">
        <f t="shared" si="25"/>
        <v>0</v>
      </c>
      <c r="J55" s="1115">
        <f t="shared" si="25"/>
        <v>0</v>
      </c>
      <c r="K55" s="1115">
        <f t="shared" si="25"/>
        <v>0</v>
      </c>
      <c r="L55" s="1115">
        <f t="shared" si="25"/>
        <v>0</v>
      </c>
      <c r="M55" s="1115">
        <f t="shared" si="25"/>
        <v>0</v>
      </c>
      <c r="N55" s="1115">
        <f t="shared" si="25"/>
        <v>0</v>
      </c>
      <c r="O55" s="1115">
        <f t="shared" si="25"/>
        <v>0</v>
      </c>
      <c r="P55" s="1115">
        <f t="shared" si="25"/>
        <v>0</v>
      </c>
      <c r="Q55" s="1115">
        <f t="shared" si="25"/>
        <v>0</v>
      </c>
      <c r="R55" s="1115">
        <f t="shared" si="25"/>
        <v>0</v>
      </c>
      <c r="S55" s="1115">
        <f t="shared" si="25"/>
        <v>0</v>
      </c>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row>
    <row r="56" spans="1:50" ht="15.6" customHeight="1">
      <c r="A56" s="931"/>
      <c r="B56" s="931"/>
      <c r="C56" s="931"/>
      <c r="D56" s="932" t="s">
        <v>428</v>
      </c>
      <c r="E56" s="1116">
        <f>Tabelle1!AS35</f>
        <v>0</v>
      </c>
      <c r="F56" s="1116">
        <f>Tabelle1!AT35</f>
        <v>0</v>
      </c>
      <c r="G56" s="1116">
        <f>Tabelle1!AU35</f>
        <v>0</v>
      </c>
      <c r="H56" s="1116">
        <f>Tabelle1!AV35</f>
        <v>0</v>
      </c>
      <c r="I56" s="1116">
        <f>Tabelle1!AW35</f>
        <v>0</v>
      </c>
      <c r="J56" s="1116">
        <f>Tabelle1!BD29</f>
        <v>0</v>
      </c>
      <c r="K56" s="1116">
        <f>Tabelle1!BE29</f>
        <v>0</v>
      </c>
      <c r="L56" s="1116">
        <f>Tabelle1!BF29</f>
        <v>0</v>
      </c>
      <c r="M56" s="1116">
        <f>Tabelle1!BG29</f>
        <v>0</v>
      </c>
      <c r="N56" s="1116">
        <f>Tabelle1!BH29</f>
        <v>0</v>
      </c>
      <c r="O56" s="1116">
        <f>Tabelle1!BJ29</f>
        <v>0</v>
      </c>
      <c r="P56" s="1116">
        <f>Tabelle1!BK29</f>
        <v>0</v>
      </c>
      <c r="Q56" s="1116">
        <f>Tabelle1!BL29</f>
        <v>0</v>
      </c>
      <c r="R56" s="1116">
        <f>Tabelle1!BM29</f>
        <v>0</v>
      </c>
      <c r="S56" s="1116">
        <f>Tabelle1!BN29</f>
        <v>0</v>
      </c>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row>
    <row r="57" spans="1:50" ht="17.850000000000001" customHeight="1">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row>
    <row r="58" spans="1:50" ht="30.75" customHeight="1">
      <c r="A58" s="2690" t="s">
        <v>1154</v>
      </c>
      <c r="B58" s="2690"/>
      <c r="C58" s="2690"/>
      <c r="D58" s="2690"/>
      <c r="E58" s="2690"/>
      <c r="F58" s="2690"/>
      <c r="G58" s="2690"/>
      <c r="H58" s="2690"/>
      <c r="U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row>
    <row r="59" spans="1:50" ht="15.95" customHeight="1">
      <c r="A59" s="2702" t="s">
        <v>1155</v>
      </c>
      <c r="B59" s="2702"/>
      <c r="C59" s="2702"/>
      <c r="D59" s="2702"/>
      <c r="E59" s="2702"/>
      <c r="F59" s="2702"/>
      <c r="G59" s="2702"/>
      <c r="H59" s="2702"/>
      <c r="T59" s="220"/>
      <c r="U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row>
    <row r="60" spans="1:50" ht="23.25" customHeight="1">
      <c r="A60" s="2702"/>
      <c r="B60" s="2702"/>
      <c r="C60" s="2702"/>
      <c r="D60" s="2702"/>
      <c r="E60" s="2702"/>
      <c r="F60" s="2702"/>
      <c r="G60" s="2702"/>
      <c r="H60" s="2702"/>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row>
    <row r="61" spans="1:50" ht="15" customHeight="1">
      <c r="A61" s="2702"/>
      <c r="B61" s="2702"/>
      <c r="C61" s="2702"/>
      <c r="D61" s="2702"/>
      <c r="E61" s="2702"/>
      <c r="F61" s="2702"/>
      <c r="G61" s="2702"/>
      <c r="H61" s="2702"/>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row>
    <row r="62" spans="1:50" ht="28.5" customHeight="1">
      <c r="A62" s="2701" t="s">
        <v>1156</v>
      </c>
      <c r="B62" s="2701"/>
      <c r="C62" s="2701" t="s">
        <v>1157</v>
      </c>
      <c r="D62" s="1119" t="s">
        <v>1158</v>
      </c>
      <c r="E62" s="1119" t="s">
        <v>1159</v>
      </c>
      <c r="F62" s="1119" t="s">
        <v>1160</v>
      </c>
      <c r="G62" s="1119" t="s">
        <v>1161</v>
      </c>
      <c r="H62" s="1119" t="s">
        <v>1162</v>
      </c>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row>
    <row r="63" spans="1:50" ht="15.95" customHeight="1">
      <c r="A63" s="2701"/>
      <c r="B63" s="2701"/>
      <c r="C63" s="2701"/>
      <c r="D63" s="2703" t="s">
        <v>1163</v>
      </c>
      <c r="E63" s="2703"/>
      <c r="F63" s="2703"/>
      <c r="G63" s="2703"/>
      <c r="H63" s="2703"/>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row>
    <row r="64" spans="1:50" ht="15" customHeight="1">
      <c r="A64" s="2695" t="s">
        <v>440</v>
      </c>
      <c r="B64" s="2695"/>
      <c r="C64" s="2695"/>
      <c r="D64" s="2695"/>
      <c r="E64" s="2695"/>
      <c r="F64" s="2695"/>
      <c r="G64" s="2695"/>
      <c r="H64" s="2695"/>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row>
    <row r="65" spans="1:46" ht="15" customHeight="1">
      <c r="A65" s="2697" t="s">
        <v>1164</v>
      </c>
      <c r="B65" s="2697"/>
      <c r="C65" s="2697"/>
      <c r="D65" s="2697"/>
      <c r="E65" s="2697"/>
      <c r="F65" s="2697"/>
      <c r="G65" s="2697"/>
      <c r="H65" s="2697"/>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row>
    <row r="66" spans="1:46" ht="15.6" customHeight="1">
      <c r="A66" s="2696" t="s">
        <v>1165</v>
      </c>
      <c r="B66" s="2696"/>
      <c r="C66" s="478" t="s">
        <v>1166</v>
      </c>
      <c r="D66" s="221">
        <v>4.4000000000000004</v>
      </c>
      <c r="E66" s="221">
        <v>4</v>
      </c>
      <c r="F66" s="221">
        <v>4.2</v>
      </c>
      <c r="G66" s="221">
        <v>9.1</v>
      </c>
      <c r="H66" s="478">
        <v>129</v>
      </c>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row>
    <row r="67" spans="1:46">
      <c r="A67" s="2696" t="s">
        <v>1024</v>
      </c>
      <c r="B67" s="2696"/>
      <c r="C67" s="478" t="s">
        <v>1167</v>
      </c>
      <c r="D67" s="221">
        <v>2.1</v>
      </c>
      <c r="E67" s="221">
        <v>1.9</v>
      </c>
      <c r="F67" s="221">
        <v>2</v>
      </c>
      <c r="G67" s="221">
        <v>4.4000000000000004</v>
      </c>
      <c r="H67" s="478">
        <v>62</v>
      </c>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row>
    <row r="68" spans="1:46" ht="15.95" customHeight="1">
      <c r="A68" s="2696" t="s">
        <v>1168</v>
      </c>
      <c r="B68" s="2696"/>
      <c r="C68" s="479" t="s">
        <v>1169</v>
      </c>
      <c r="D68" s="222">
        <v>3.2</v>
      </c>
      <c r="E68" s="222">
        <v>2.9</v>
      </c>
      <c r="F68" s="222">
        <v>2.5</v>
      </c>
      <c r="G68" s="222">
        <v>4.2</v>
      </c>
      <c r="H68" s="479">
        <v>145</v>
      </c>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row>
    <row r="69" spans="1:46" ht="15" customHeight="1">
      <c r="A69" s="2696" t="s">
        <v>1170</v>
      </c>
      <c r="B69" s="2696"/>
      <c r="C69" s="480">
        <v>3</v>
      </c>
      <c r="D69" s="223">
        <v>3.3959999999999999</v>
      </c>
      <c r="E69" s="223">
        <v>3</v>
      </c>
      <c r="F69" s="223">
        <v>0.2</v>
      </c>
      <c r="G69" s="223">
        <v>9.5</v>
      </c>
      <c r="H69" s="480">
        <v>13</v>
      </c>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row>
    <row r="70" spans="1:46" ht="17.850000000000001" customHeight="1">
      <c r="A70" s="2696" t="s">
        <v>1171</v>
      </c>
      <c r="B70" s="2696"/>
      <c r="C70" s="478">
        <v>5</v>
      </c>
      <c r="D70" s="221">
        <v>2</v>
      </c>
      <c r="E70" s="221">
        <v>1.7</v>
      </c>
      <c r="F70" s="221">
        <v>1</v>
      </c>
      <c r="G70" s="221">
        <v>3.3</v>
      </c>
      <c r="H70" s="478">
        <v>38</v>
      </c>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row>
    <row r="71" spans="1:46" ht="15.95" customHeight="1">
      <c r="A71" s="2696" t="s">
        <v>1172</v>
      </c>
      <c r="B71" s="2696"/>
      <c r="C71" s="478">
        <v>10</v>
      </c>
      <c r="D71" s="221">
        <v>3.9</v>
      </c>
      <c r="E71" s="221">
        <v>3.4</v>
      </c>
      <c r="F71" s="221">
        <v>2</v>
      </c>
      <c r="G71" s="221">
        <v>6.5</v>
      </c>
      <c r="H71" s="478">
        <v>76</v>
      </c>
      <c r="I71" s="15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4"/>
      <c r="AT71" s="154"/>
    </row>
    <row r="72" spans="1:46" ht="14.25" customHeight="1">
      <c r="A72" s="2698" t="s">
        <v>1173</v>
      </c>
      <c r="B72" s="2698"/>
      <c r="C72" s="2698"/>
      <c r="D72" s="2698"/>
      <c r="E72" s="2698"/>
      <c r="F72" s="2698"/>
      <c r="G72" s="2698"/>
      <c r="H72" s="2698"/>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c r="AP72" s="154"/>
      <c r="AQ72" s="154"/>
      <c r="AR72" s="154"/>
      <c r="AS72" s="154"/>
      <c r="AT72" s="154"/>
    </row>
    <row r="73" spans="1:46">
      <c r="A73" s="2696" t="s">
        <v>1172</v>
      </c>
      <c r="B73" s="2696"/>
      <c r="C73" s="478">
        <v>10</v>
      </c>
      <c r="D73" s="221">
        <v>5.2</v>
      </c>
      <c r="E73" s="221">
        <v>4.5</v>
      </c>
      <c r="F73" s="221">
        <v>2.5</v>
      </c>
      <c r="G73" s="221">
        <v>5</v>
      </c>
      <c r="H73" s="478">
        <v>75</v>
      </c>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row>
    <row r="74" spans="1:46" ht="14.25" customHeight="1">
      <c r="A74" s="2698" t="s">
        <v>1174</v>
      </c>
      <c r="B74" s="2698"/>
      <c r="C74" s="2698"/>
      <c r="D74" s="2698"/>
      <c r="E74" s="2698"/>
      <c r="F74" s="2698"/>
      <c r="G74" s="2698"/>
      <c r="H74" s="2698"/>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row>
    <row r="75" spans="1:46">
      <c r="A75" s="2696" t="s">
        <v>1172</v>
      </c>
      <c r="B75" s="2696"/>
      <c r="C75" s="478">
        <v>5</v>
      </c>
      <c r="D75" s="221">
        <v>6.1</v>
      </c>
      <c r="E75" s="221">
        <v>5.3</v>
      </c>
      <c r="F75" s="221">
        <v>2.5</v>
      </c>
      <c r="G75" s="221">
        <v>4</v>
      </c>
      <c r="H75" s="478">
        <v>35</v>
      </c>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c r="AP75" s="154"/>
      <c r="AQ75" s="154"/>
      <c r="AR75" s="154"/>
      <c r="AS75" s="154"/>
      <c r="AT75" s="154"/>
    </row>
    <row r="76" spans="1:46" ht="15.6" customHeight="1">
      <c r="A76" s="2705" t="s">
        <v>1175</v>
      </c>
      <c r="B76" s="2705"/>
      <c r="C76" s="2705"/>
      <c r="D76" s="2705"/>
      <c r="E76" s="2705"/>
      <c r="F76" s="2705"/>
      <c r="G76" s="2705"/>
      <c r="H76" s="2705"/>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c r="AS76" s="154"/>
      <c r="AT76" s="154"/>
    </row>
    <row r="77" spans="1:46">
      <c r="A77" s="2696" t="s">
        <v>1176</v>
      </c>
      <c r="B77" s="2696"/>
      <c r="C77" s="226" t="s">
        <v>1177</v>
      </c>
      <c r="D77" s="221">
        <v>4.3</v>
      </c>
      <c r="E77" s="224">
        <v>3.9</v>
      </c>
      <c r="F77" s="224">
        <v>2.1</v>
      </c>
      <c r="G77" s="224">
        <v>4.9000000000000004</v>
      </c>
      <c r="H77" s="481">
        <v>140</v>
      </c>
    </row>
    <row r="78" spans="1:46" ht="14.25" customHeight="1">
      <c r="A78" s="2705" t="s">
        <v>1178</v>
      </c>
      <c r="B78" s="2705"/>
      <c r="C78" s="2705"/>
      <c r="D78" s="2705"/>
      <c r="E78" s="2705"/>
      <c r="F78" s="2705"/>
      <c r="G78" s="2705"/>
      <c r="H78" s="2705"/>
    </row>
    <row r="79" spans="1:46">
      <c r="A79" s="2696" t="s">
        <v>1016</v>
      </c>
      <c r="B79" s="2696"/>
      <c r="C79" s="482" t="s">
        <v>1177</v>
      </c>
      <c r="D79" s="221">
        <v>2.2999999999999998</v>
      </c>
      <c r="E79" s="224">
        <v>2.1</v>
      </c>
      <c r="F79" s="224">
        <v>1.5</v>
      </c>
      <c r="G79" s="224">
        <v>3</v>
      </c>
      <c r="H79" s="483">
        <v>113</v>
      </c>
    </row>
    <row r="80" spans="1:46" ht="31.5" customHeight="1">
      <c r="A80" s="2695" t="s">
        <v>1179</v>
      </c>
      <c r="B80" s="2695"/>
      <c r="C80" s="2695"/>
      <c r="D80" s="2695"/>
      <c r="E80" s="2695"/>
      <c r="F80" s="2695"/>
      <c r="G80" s="2695"/>
      <c r="H80" s="2695"/>
    </row>
    <row r="81" spans="1:8" ht="14.25" customHeight="1">
      <c r="A81" s="2697" t="s">
        <v>1180</v>
      </c>
      <c r="B81" s="2697"/>
      <c r="C81" s="2697"/>
      <c r="D81" s="2697"/>
      <c r="E81" s="2697"/>
      <c r="F81" s="2697"/>
      <c r="G81" s="2697"/>
      <c r="H81" s="2697"/>
    </row>
    <row r="82" spans="1:8">
      <c r="A82" s="2696" t="s">
        <v>1016</v>
      </c>
      <c r="B82" s="2696"/>
      <c r="C82" s="479">
        <v>25</v>
      </c>
      <c r="D82" s="222">
        <v>4.2</v>
      </c>
      <c r="E82" s="222">
        <v>3.8</v>
      </c>
      <c r="F82" s="484">
        <v>5.5</v>
      </c>
      <c r="G82" s="484">
        <v>3.6</v>
      </c>
      <c r="H82" s="479">
        <v>182</v>
      </c>
    </row>
    <row r="83" spans="1:8">
      <c r="A83" s="2696" t="s">
        <v>459</v>
      </c>
      <c r="B83" s="2696"/>
      <c r="C83" s="480">
        <v>2</v>
      </c>
      <c r="D83" s="223">
        <v>3.9</v>
      </c>
      <c r="E83" s="223">
        <v>3.4</v>
      </c>
      <c r="F83" s="485">
        <v>1</v>
      </c>
      <c r="G83" s="485">
        <v>3</v>
      </c>
      <c r="H83" s="480">
        <v>8</v>
      </c>
    </row>
    <row r="84" spans="1:8">
      <c r="A84" s="2696" t="s">
        <v>1171</v>
      </c>
      <c r="B84" s="2696"/>
      <c r="C84" s="478">
        <v>5</v>
      </c>
      <c r="D84" s="221">
        <v>3.2</v>
      </c>
      <c r="E84" s="221">
        <v>2.8</v>
      </c>
      <c r="F84" s="486">
        <v>2.2000000000000002</v>
      </c>
      <c r="G84" s="487">
        <v>2</v>
      </c>
      <c r="H84" s="478">
        <v>38</v>
      </c>
    </row>
    <row r="85" spans="1:8">
      <c r="A85" s="2696" t="s">
        <v>1172</v>
      </c>
      <c r="B85" s="2696"/>
      <c r="C85" s="226">
        <v>10</v>
      </c>
      <c r="D85" s="221">
        <v>6.4</v>
      </c>
      <c r="E85" s="225">
        <v>5.6</v>
      </c>
      <c r="F85" s="488">
        <v>4.4000000000000004</v>
      </c>
      <c r="G85" s="489">
        <v>4</v>
      </c>
      <c r="H85" s="226">
        <v>76</v>
      </c>
    </row>
    <row r="86" spans="1:8" ht="14.25" customHeight="1">
      <c r="A86" s="2697" t="s">
        <v>1181</v>
      </c>
      <c r="B86" s="2697"/>
      <c r="C86" s="2697"/>
      <c r="D86" s="2697"/>
      <c r="E86" s="2697"/>
      <c r="F86" s="2697"/>
      <c r="G86" s="2697"/>
      <c r="H86" s="2697"/>
    </row>
    <row r="87" spans="1:8">
      <c r="A87" s="2696" t="s">
        <v>1182</v>
      </c>
      <c r="B87" s="2696"/>
      <c r="C87" s="478">
        <v>5</v>
      </c>
      <c r="D87" s="221">
        <v>5.2</v>
      </c>
      <c r="E87" s="221">
        <v>4.5</v>
      </c>
      <c r="F87" s="221">
        <v>3.5</v>
      </c>
      <c r="G87" s="221">
        <v>3.5</v>
      </c>
      <c r="H87" s="478">
        <v>35</v>
      </c>
    </row>
    <row r="88" spans="1:8">
      <c r="A88" s="2696" t="s">
        <v>1183</v>
      </c>
      <c r="B88" s="2696"/>
      <c r="C88" s="478">
        <v>10</v>
      </c>
      <c r="D88" s="221">
        <v>6.9</v>
      </c>
      <c r="E88" s="221">
        <v>6</v>
      </c>
      <c r="F88" s="221">
        <v>5</v>
      </c>
      <c r="G88" s="221">
        <v>4</v>
      </c>
      <c r="H88" s="478">
        <v>75</v>
      </c>
    </row>
    <row r="89" spans="1:8">
      <c r="A89" s="2696" t="s">
        <v>1176</v>
      </c>
      <c r="B89" s="2696"/>
      <c r="C89" s="226">
        <v>30</v>
      </c>
      <c r="D89" s="221">
        <v>7.4</v>
      </c>
      <c r="E89" s="225">
        <v>6.7</v>
      </c>
      <c r="F89" s="225">
        <v>4.5999999999999996</v>
      </c>
      <c r="G89" s="225">
        <v>7.3</v>
      </c>
      <c r="H89" s="225" t="s">
        <v>714</v>
      </c>
    </row>
    <row r="90" spans="1:8" ht="14.25" customHeight="1">
      <c r="A90" s="2695" t="s">
        <v>746</v>
      </c>
      <c r="B90" s="2695"/>
      <c r="C90" s="2695"/>
      <c r="D90" s="2695"/>
      <c r="E90" s="2695"/>
      <c r="F90" s="2695"/>
      <c r="G90" s="2695"/>
      <c r="H90" s="2695"/>
    </row>
    <row r="91" spans="1:8" ht="14.25" customHeight="1">
      <c r="A91" s="2697" t="s">
        <v>1184</v>
      </c>
      <c r="B91" s="2697"/>
      <c r="C91" s="2697"/>
      <c r="D91" s="2697"/>
      <c r="E91" s="2697"/>
      <c r="F91" s="2697"/>
      <c r="G91" s="2697"/>
      <c r="H91" s="2697"/>
    </row>
    <row r="92" spans="1:8">
      <c r="A92" s="2696" t="s">
        <v>1185</v>
      </c>
      <c r="B92" s="2696"/>
      <c r="C92" s="478">
        <v>10</v>
      </c>
      <c r="D92" s="221">
        <v>2.6</v>
      </c>
      <c r="E92" s="221">
        <v>2.2999999999999998</v>
      </c>
      <c r="F92" s="478">
        <v>2.5</v>
      </c>
      <c r="G92" s="478">
        <v>1.5</v>
      </c>
      <c r="H92" s="478">
        <v>38</v>
      </c>
    </row>
    <row r="93" spans="1:8">
      <c r="A93" s="2696" t="s">
        <v>1186</v>
      </c>
      <c r="B93" s="2696"/>
      <c r="C93" s="478">
        <v>50</v>
      </c>
      <c r="D93" s="221">
        <v>8.5</v>
      </c>
      <c r="E93" s="221">
        <v>7.7</v>
      </c>
      <c r="F93" s="487">
        <v>12</v>
      </c>
      <c r="G93" s="487">
        <v>7</v>
      </c>
      <c r="H93" s="478">
        <v>180</v>
      </c>
    </row>
    <row r="94" spans="1:8" ht="14.25" customHeight="1">
      <c r="A94" s="2697" t="s">
        <v>1187</v>
      </c>
      <c r="B94" s="2697"/>
      <c r="C94" s="2697"/>
      <c r="D94" s="2697"/>
      <c r="E94" s="2697"/>
      <c r="F94" s="2697"/>
      <c r="G94" s="2697"/>
      <c r="H94" s="2697"/>
    </row>
    <row r="95" spans="1:8">
      <c r="A95" s="2696" t="s">
        <v>1188</v>
      </c>
      <c r="B95" s="2696"/>
      <c r="C95" s="478">
        <v>60</v>
      </c>
      <c r="D95" s="221">
        <v>9.1999999999999993</v>
      </c>
      <c r="E95" s="221">
        <v>8.4</v>
      </c>
      <c r="F95" s="221">
        <v>10</v>
      </c>
      <c r="G95" s="221">
        <v>8</v>
      </c>
      <c r="H95" s="478">
        <v>250</v>
      </c>
    </row>
    <row r="96" spans="1:8" ht="14.25" customHeight="1">
      <c r="A96" s="2697" t="s">
        <v>1189</v>
      </c>
      <c r="B96" s="2697"/>
      <c r="C96" s="2697"/>
      <c r="D96" s="2697"/>
      <c r="E96" s="2697"/>
      <c r="F96" s="2697"/>
      <c r="G96" s="2697"/>
      <c r="H96" s="2697"/>
    </row>
    <row r="97" spans="1:8">
      <c r="A97" s="2696" t="s">
        <v>1188</v>
      </c>
      <c r="B97" s="2696"/>
      <c r="C97" s="478">
        <v>50</v>
      </c>
      <c r="D97" s="221">
        <v>7.7</v>
      </c>
      <c r="E97" s="221">
        <v>7</v>
      </c>
      <c r="F97" s="221">
        <v>10</v>
      </c>
      <c r="G97" s="221">
        <v>8</v>
      </c>
      <c r="H97" s="478">
        <v>190</v>
      </c>
    </row>
  </sheetData>
  <sheetProtection password="CAEF" sheet="1" formatCells="0" formatRows="0"/>
  <mergeCells count="82">
    <mergeCell ref="A89:B89"/>
    <mergeCell ref="A78:H78"/>
    <mergeCell ref="A79:B79"/>
    <mergeCell ref="A80:H80"/>
    <mergeCell ref="A81:H81"/>
    <mergeCell ref="A82:B82"/>
    <mergeCell ref="A83:B83"/>
    <mergeCell ref="A84:B84"/>
    <mergeCell ref="A85:B85"/>
    <mergeCell ref="A86:H86"/>
    <mergeCell ref="A87:B87"/>
    <mergeCell ref="A88:B88"/>
    <mergeCell ref="A97:B97"/>
    <mergeCell ref="A90:H90"/>
    <mergeCell ref="A91:H91"/>
    <mergeCell ref="A92:B92"/>
    <mergeCell ref="A93:B93"/>
    <mergeCell ref="A94:H94"/>
    <mergeCell ref="A95:B95"/>
    <mergeCell ref="A96:H96"/>
    <mergeCell ref="A77:B77"/>
    <mergeCell ref="A67:B67"/>
    <mergeCell ref="A68:B68"/>
    <mergeCell ref="A69:B69"/>
    <mergeCell ref="A70:B70"/>
    <mergeCell ref="A71:B71"/>
    <mergeCell ref="A72:H72"/>
    <mergeCell ref="A73:B73"/>
    <mergeCell ref="A75:B75"/>
    <mergeCell ref="A76:H76"/>
    <mergeCell ref="A64:H64"/>
    <mergeCell ref="A66:B66"/>
    <mergeCell ref="A65:H65"/>
    <mergeCell ref="A74:H74"/>
    <mergeCell ref="A12:B12"/>
    <mergeCell ref="A20:B20"/>
    <mergeCell ref="A54:B54"/>
    <mergeCell ref="A62:B63"/>
    <mergeCell ref="C62:C63"/>
    <mergeCell ref="A59:H61"/>
    <mergeCell ref="D63:H63"/>
    <mergeCell ref="A48:B48"/>
    <mergeCell ref="A49:B49"/>
    <mergeCell ref="A40:B40"/>
    <mergeCell ref="A41:B41"/>
    <mergeCell ref="A31:A34"/>
    <mergeCell ref="A58:H58"/>
    <mergeCell ref="A38:B39"/>
    <mergeCell ref="A50:B50"/>
    <mergeCell ref="A51:B51"/>
    <mergeCell ref="A52:B52"/>
    <mergeCell ref="A47:B47"/>
    <mergeCell ref="A53:B53"/>
    <mergeCell ref="A42:B42"/>
    <mergeCell ref="A43:B43"/>
    <mergeCell ref="A44:B44"/>
    <mergeCell ref="A45:B45"/>
    <mergeCell ref="A46:B46"/>
    <mergeCell ref="C38:C39"/>
    <mergeCell ref="D38:D39"/>
    <mergeCell ref="E38:I38"/>
    <mergeCell ref="J38:N38"/>
    <mergeCell ref="O4:P4"/>
    <mergeCell ref="K3:N3"/>
    <mergeCell ref="K8:M8"/>
    <mergeCell ref="K7:M7"/>
    <mergeCell ref="K6:M6"/>
    <mergeCell ref="O38:S38"/>
    <mergeCell ref="R12:W24"/>
    <mergeCell ref="K5:M5"/>
    <mergeCell ref="K4:M4"/>
    <mergeCell ref="O5:P5"/>
    <mergeCell ref="O6:P6"/>
    <mergeCell ref="A11:L11"/>
    <mergeCell ref="M11:P11"/>
    <mergeCell ref="R27:W28"/>
    <mergeCell ref="Q11:S11"/>
    <mergeCell ref="M1:N1"/>
    <mergeCell ref="O1:P1"/>
    <mergeCell ref="O3:P3"/>
    <mergeCell ref="K9:M9"/>
    <mergeCell ref="R3:S3"/>
  </mergeCells>
  <phoneticPr fontId="41" type="noConversion"/>
  <conditionalFormatting sqref="O6:P6">
    <cfRule type="expression" dxfId="137" priority="4">
      <formula>$O$6&gt;170</formula>
    </cfRule>
  </conditionalFormatting>
  <dataValidations count="2">
    <dataValidation operator="equal" allowBlank="1" showErrorMessage="1" promptTitle="Hinweis" prompt="Schätzen Sie den Jahresanfall ab und tragen ihn hier ein." sqref="F13:F18 IL13:IL18" xr:uid="{00000000-0002-0000-0400-000000000000}">
      <formula1>0</formula1>
      <formula2>0</formula2>
    </dataValidation>
    <dataValidation operator="equal" allowBlank="1" showErrorMessage="1" sqref="IH13:IH18" xr:uid="{00000000-0002-0000-0400-000001000000}">
      <formula1>0</formula1>
      <formula2>0</formula2>
    </dataValidation>
  </dataValidations>
  <hyperlinks>
    <hyperlink ref="M1" location="Organ__Dü!B4" display="◄" xr:uid="{00000000-0004-0000-0400-000000000000}"/>
    <hyperlink ref="O1" location="Mineral!B3" display="  ►" xr:uid="{00000000-0004-0000-0400-000001000000}"/>
    <hyperlink ref="M1:N1" location="Tiere!B4" display="◄" xr:uid="{00000000-0004-0000-0400-000002000000}"/>
    <hyperlink ref="O1:P1" location="Organ__Dü!B4" display="  ►" xr:uid="{00000000-0004-0000-0400-000003000000}"/>
    <hyperlink ref="M11:P11" location="'WD-Vertrag'!A1" display="'WD-Vertrag'!A1" xr:uid="{00000000-0004-0000-0400-000004000000}"/>
  </hyperlinks>
  <pageMargins left="0.43307086614173229" right="0.43307086614173229" top="0.27559055118110237" bottom="0.35433070866141736" header="0.31496062992125984" footer="0.15748031496062992"/>
  <pageSetup paperSize="9" scale="84" firstPageNumber="0" orientation="landscape" blackAndWhite="1" horizontalDpi="300" verticalDpi="300" r:id="rId1"/>
  <headerFooter alignWithMargins="0">
    <oddFooter>&amp;L&amp;11&amp;F&amp;C&amp;A&amp;R&amp;P von &amp;N</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6" id="{756E9461-69CA-4B36-B95C-8DDCDCEC4972}">
            <xm:f>Betrieb!$D$18=0</xm:f>
            <x14:dxf>
              <font>
                <b/>
                <i val="0"/>
                <color auto="1"/>
              </font>
              <fill>
                <patternFill>
                  <bgColor rgb="FFFFC000"/>
                </patternFill>
              </fill>
            </x14:dxf>
          </x14:cfRule>
          <x14:cfRule type="expression" priority="7" id="{B529DED3-78ED-485E-A76C-D7AFC194392A}">
            <xm:f>AND((SUM($G$13:$G$18)&gt;0),((Tabelle1!$AX$20+Tabelle1!$AX$28-Tabelle1!$AX$30+Tabelle1!$AX$31)/Betrieb!$D$18)&lt;170)</xm:f>
            <x14:dxf>
              <font>
                <b/>
                <i val="0"/>
                <color theme="0"/>
              </font>
              <fill>
                <patternFill>
                  <bgColor rgb="FF0066FF"/>
                </patternFill>
              </fill>
              <border>
                <left style="thin">
                  <color auto="1"/>
                </left>
                <right/>
                <top style="thin">
                  <color auto="1"/>
                </top>
                <bottom style="thin">
                  <color auto="1"/>
                </bottom>
              </border>
            </x14:dxf>
          </x14:cfRule>
          <x14:cfRule type="expression" priority="16" id="{5F13CF4A-4BC4-47F4-9063-3C053E687A0E}">
            <xm:f>AND((SUM($G$13:$G$18)&gt;0),(((Tabelle1!$AX$20+Tabelle1!$AX$28-Tabelle1!$AX$30+Tabelle1!$AX$31)/Betrieb!$D$18)&gt;170),(Ergebnis!$F$10&lt;=170))</xm:f>
            <x14:dxf>
              <font>
                <b/>
                <i val="0"/>
              </font>
              <fill>
                <patternFill>
                  <bgColor rgb="FFFFC000"/>
                </patternFill>
              </fill>
            </x14:dxf>
          </x14:cfRule>
          <x14:cfRule type="expression" priority="27" id="{EE735B7E-8C13-4638-BC50-37B5AECD2951}">
            <xm:f>AND(Ergebnis!$F$10&gt;170,Betrieb!$D$18&gt;0)</xm:f>
            <x14:dxf>
              <font>
                <b/>
                <i val="0"/>
                <color rgb="FFFF0000"/>
              </font>
              <fill>
                <patternFill>
                  <bgColor rgb="FFFFC000"/>
                </patternFill>
              </fill>
            </x14:dxf>
          </x14:cfRule>
          <x14:cfRule type="expression" priority="28" id="{D2589CCF-72F7-45E3-B443-8D7930A65178}">
            <xm:f>AND((SUM($C$13:$C$18)/Betrieb!$D$18)&gt;=100,SUM($C$13:$E$18)&gt;0,SUM($F$13:$F$18)=0)</xm:f>
            <x14:dxf>
              <fill>
                <patternFill>
                  <bgColor rgb="FFFFC000"/>
                </patternFill>
              </fill>
            </x14:dxf>
          </x14:cfRule>
          <xm:sqref>A11:L11</xm:sqref>
        </x14:conditionalFormatting>
        <x14:conditionalFormatting xmlns:xm="http://schemas.microsoft.com/office/excel/2006/main">
          <x14:cfRule type="expression" priority="31" id="{210987BE-5EB8-40A1-A1FA-763B9DDB06D8}">
            <xm:f>AND($C13&gt;0,$F13="",Ergebnis!$F$10&gt;170,Betrieb!$D$18&gt;0)</xm:f>
            <x14:dxf>
              <fill>
                <patternFill>
                  <bgColor theme="9" tint="-0.24994659260841701"/>
                </patternFill>
              </fill>
            </x14:dxf>
          </x14:cfRule>
          <x14:cfRule type="expression" priority="32" id="{527EDD4A-9742-4129-B4B0-B0C490F3B1D0}">
            <xm:f>AND($F13="",Ergebnis!$F$10&lt;=170,$C13&gt;0,Betrieb!$D$18&gt;0)</xm:f>
            <x14:dxf>
              <fill>
                <patternFill>
                  <bgColor rgb="FFFFC000"/>
                </patternFill>
              </fill>
            </x14:dxf>
          </x14:cfRule>
          <x14:cfRule type="expression" priority="33" id="{ED8E81B2-A3C6-4573-9D7D-1B6254E31E66}">
            <xm:f>AND($C13&gt;0,$F13="",Betrieb!$D$18&gt;0)</xm:f>
            <x14:dxf>
              <fill>
                <patternFill>
                  <bgColor rgb="FFFFC000"/>
                </patternFill>
              </fill>
            </x14:dxf>
          </x14:cfRule>
          <xm:sqref>F13:F18</xm:sqref>
        </x14:conditionalFormatting>
        <x14:conditionalFormatting xmlns:xm="http://schemas.microsoft.com/office/excel/2006/main">
          <x14:cfRule type="expression" priority="29" id="{A64018C6-0C67-4457-87C4-2CF78798F138}">
            <xm:f>AND($C13&gt;0,Ergebnis!$F$10&gt;170,$G13&lt;&gt;$F13)</xm:f>
            <x14:dxf>
              <fill>
                <patternFill>
                  <bgColor rgb="FFFF0000"/>
                </patternFill>
              </fill>
            </x14:dxf>
          </x14:cfRule>
          <x14:cfRule type="expression" priority="30" id="{D0BD7E2B-DBAC-489B-B3BF-D3B32A2F253F}">
            <xm:f>Ergebnis!$F$10&lt;170</xm:f>
            <x14:dxf>
              <font>
                <b/>
                <i val="0"/>
                <color rgb="FFFF0000"/>
              </font>
              <fill>
                <patternFill>
                  <bgColor rgb="FFFFFFCC"/>
                </patternFill>
              </fill>
            </x14:dxf>
          </x14:cfRule>
          <xm:sqref>G13:G18</xm:sqref>
        </x14:conditionalFormatting>
        <x14:conditionalFormatting xmlns:xm="http://schemas.microsoft.com/office/excel/2006/main">
          <x14:cfRule type="expression" priority="25" id="{DEBACBCE-308D-4D3B-B8FC-5F56E944F777}">
            <xm:f>AND(((Tabelle1!$AX$20+Tabelle1!$AX$28-Tabelle1!$AX$30+Tabelle1!$AX$31)/Betrieb!$D$18)&gt;170,SUM($F$13:$F$18)&gt;0,SUM($G$13:$G$18)&gt;0,Ergebnis!$F$10&lt;=170)</xm:f>
            <x14:dxf>
              <font>
                <b/>
                <i val="0"/>
                <color auto="1"/>
              </font>
              <fill>
                <patternFill>
                  <bgColor rgb="FFFF6600"/>
                </patternFill>
              </fill>
              <border>
                <left style="thin">
                  <color auto="1"/>
                </left>
                <right style="thin">
                  <color auto="1"/>
                </right>
                <top style="thin">
                  <color auto="1"/>
                </top>
                <bottom style="thin">
                  <color auto="1"/>
                </bottom>
              </border>
            </x14:dxf>
          </x14:cfRule>
          <x14:cfRule type="expression" priority="26" id="{F03CADCF-5263-463A-8360-649799699FD4}">
            <xm:f>AND(SUM($F$13:$F$18)&gt;0,SUM($G$13:$G$18)&gt;0,((Tabelle1!$AX$20+Tabelle1!$AX$28-Tabelle1!$AX$30+Tabelle1!$AX$31)/Betrieb!$D$18)&lt;170)</xm:f>
            <x14:dxf>
              <font>
                <b/>
                <i val="0"/>
                <color theme="0"/>
              </font>
              <fill>
                <patternFill>
                  <bgColor rgb="FF0066FF"/>
                </patternFill>
              </fill>
              <border>
                <left style="thin">
                  <color auto="1"/>
                </left>
                <right style="thin">
                  <color auto="1"/>
                </right>
                <top style="thin">
                  <color auto="1"/>
                </top>
                <bottom style="thin">
                  <color auto="1"/>
                </bottom>
              </border>
            </x14:dxf>
          </x14:cfRule>
          <xm:sqref>M11:P11</xm:sqref>
        </x14:conditionalFormatting>
        <x14:conditionalFormatting xmlns:xm="http://schemas.microsoft.com/office/excel/2006/main">
          <x14:cfRule type="expression" priority="1" id="{B7C78D38-CA1D-4689-A721-9C866E8E9EF6}">
            <xm:f>AND($O$6&lt;165,SUM($G$13:$G$18)&gt;0,(SUM($C$13:$C$18)/Betrieb!$D$18)&gt;170)</xm:f>
            <x14:dxf>
              <font>
                <color theme="0"/>
              </font>
              <fill>
                <patternFill>
                  <bgColor rgb="FF0070C0"/>
                </patternFill>
              </fill>
            </x14:dxf>
          </x14:cfRule>
          <x14:cfRule type="expression" priority="2" id="{E4127420-EEF5-4F78-8461-22270527D211}">
            <xm:f>AND($O$6&lt;=170,SUM($G$13:$G$18)&gt;0,(SUM($C$13:$C$18)/Betrieb!$D$18)&lt;=170)</xm:f>
            <x14:dxf>
              <font>
                <color theme="0"/>
              </font>
              <fill>
                <patternFill>
                  <bgColor rgb="FF0070C0"/>
                </patternFill>
              </fill>
            </x14:dxf>
          </x14:cfRule>
          <x14:cfRule type="expression" priority="3" id="{3B7D03D9-1209-454A-9333-F72CE0ADC09D}">
            <xm:f>AND($O$6&lt;=170,$O$6&gt;=165,SUM($G$13:$G$18)&gt;0,(SUM($C$13:$C$18)/Betrieb!$D$18)&gt;170)</xm:f>
            <x14:dxf>
              <fill>
                <patternFill>
                  <bgColor rgb="FFFFC000"/>
                </patternFill>
              </fill>
            </x14:dxf>
          </x14:cfRule>
          <xm:sqref>O6:P6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DH226"/>
  <sheetViews>
    <sheetView zoomScale="115" zoomScaleNormal="115" workbookViewId="0">
      <selection activeCell="O71" sqref="O71"/>
    </sheetView>
  </sheetViews>
  <sheetFormatPr baseColWidth="10" defaultColWidth="5.85546875" defaultRowHeight="12.75"/>
  <cols>
    <col min="1" max="1" width="4.85546875" style="1" customWidth="1"/>
    <col min="2" max="2" width="77" customWidth="1"/>
    <col min="3" max="3" width="78" bestFit="1" customWidth="1"/>
    <col min="4" max="8" width="7.7109375" style="1" customWidth="1"/>
    <col min="9" max="10" width="8.42578125" style="1" customWidth="1"/>
    <col min="11" max="11" width="10.42578125" style="1" customWidth="1"/>
    <col min="12" max="14" width="8.42578125" style="1" customWidth="1"/>
    <col min="15" max="15" width="8.85546875" style="1" customWidth="1"/>
    <col min="16" max="19" width="8.42578125" style="1" customWidth="1"/>
    <col min="20" max="20" width="9.85546875" style="1" customWidth="1"/>
    <col min="21" max="31" width="8.42578125" style="1" customWidth="1"/>
    <col min="32" max="32" width="9.28515625" style="1" customWidth="1"/>
    <col min="33" max="33" width="8.85546875" style="1" customWidth="1"/>
    <col min="34" max="34" width="8.42578125" style="1" customWidth="1"/>
    <col min="35" max="35" width="43.85546875" style="1" customWidth="1"/>
    <col min="36" max="36" width="8" style="2" customWidth="1"/>
    <col min="37" max="38" width="8" style="1" customWidth="1"/>
    <col min="39" max="39" width="13.42578125" style="1" customWidth="1"/>
    <col min="40" max="40" width="19.42578125" style="1" customWidth="1"/>
    <col min="41" max="41" width="7.7109375" customWidth="1"/>
    <col min="42" max="42" width="45.7109375" customWidth="1"/>
    <col min="43" max="44" width="10.42578125" customWidth="1"/>
    <col min="45" max="49" width="9.42578125" style="1" customWidth="1"/>
    <col min="50" max="50" width="10.140625" style="1" customWidth="1"/>
    <col min="51" max="51" width="8.85546875" style="1" customWidth="1"/>
    <col min="52" max="52" width="10.140625" style="1" customWidth="1"/>
    <col min="53" max="53" width="8.85546875" style="1" customWidth="1"/>
    <col min="54" max="54" width="12" style="1" customWidth="1"/>
    <col min="55" max="55" width="11.28515625" style="1" customWidth="1"/>
    <col min="56" max="56" width="9.85546875" style="1" customWidth="1"/>
    <col min="57" max="67" width="8.85546875" style="1" customWidth="1"/>
    <col min="68" max="71" width="7" style="1" customWidth="1"/>
    <col min="72" max="72" width="8.85546875" style="1" customWidth="1"/>
    <col min="73" max="73" width="7.42578125" style="1" customWidth="1"/>
    <col min="74" max="78" width="7.7109375" style="1" customWidth="1"/>
    <col min="79" max="79" width="8.85546875" style="1" customWidth="1"/>
    <col min="80" max="80" width="8.7109375" customWidth="1"/>
    <col min="81" max="84" width="8.140625" customWidth="1"/>
    <col min="85" max="85" width="7.7109375" customWidth="1"/>
    <col min="86" max="95" width="8.140625" customWidth="1"/>
    <col min="106" max="107" width="8" customWidth="1"/>
    <col min="108" max="108" width="25.85546875" customWidth="1"/>
    <col min="109" max="109" width="6.85546875" customWidth="1"/>
    <col min="110" max="110" width="7.42578125" customWidth="1"/>
    <col min="111" max="111" width="7.140625" customWidth="1"/>
    <col min="112" max="112" width="52.7109375" customWidth="1"/>
  </cols>
  <sheetData>
    <row r="1" spans="1:112" ht="21.75" customHeight="1" thickBot="1">
      <c r="A1"/>
      <c r="B1" s="665" t="s">
        <v>385</v>
      </c>
      <c r="C1" s="662"/>
      <c r="D1" s="663"/>
      <c r="E1" s="663"/>
      <c r="F1" s="663"/>
      <c r="G1" s="663"/>
      <c r="H1" s="663"/>
      <c r="I1" s="664"/>
      <c r="J1" s="664"/>
      <c r="K1" s="664"/>
      <c r="L1" s="664"/>
      <c r="M1" s="664"/>
      <c r="N1" s="661"/>
      <c r="O1" s="661"/>
      <c r="P1" s="661"/>
      <c r="Q1" s="661"/>
      <c r="R1" s="661"/>
      <c r="S1" s="661"/>
      <c r="T1" s="661"/>
      <c r="U1" s="661"/>
      <c r="V1" s="661"/>
      <c r="W1" s="661"/>
      <c r="X1" s="661"/>
      <c r="Y1" s="661"/>
      <c r="Z1" s="661"/>
      <c r="AA1" s="661"/>
      <c r="AB1" s="661"/>
      <c r="AC1" s="661"/>
      <c r="AD1" s="661"/>
      <c r="AE1" s="661"/>
      <c r="AF1" s="661"/>
      <c r="AG1" s="661"/>
      <c r="AH1" s="661"/>
      <c r="AI1" s="747"/>
      <c r="AJ1" s="747" t="s">
        <v>438</v>
      </c>
      <c r="AK1" s="661"/>
      <c r="AL1"/>
      <c r="AM1"/>
      <c r="AN1"/>
      <c r="AP1" s="3"/>
      <c r="AQ1" s="3"/>
      <c r="AR1" s="3"/>
      <c r="AS1"/>
      <c r="AT1"/>
      <c r="AU1"/>
      <c r="AV1"/>
      <c r="AW1"/>
      <c r="AX1"/>
      <c r="AY1"/>
      <c r="AZ1"/>
      <c r="BA1"/>
      <c r="BB1" s="3" t="s">
        <v>439</v>
      </c>
      <c r="BC1"/>
      <c r="BD1"/>
      <c r="BE1"/>
      <c r="BF1"/>
      <c r="BG1"/>
      <c r="BH1"/>
      <c r="BI1"/>
      <c r="BJ1"/>
      <c r="BK1"/>
      <c r="BL1"/>
      <c r="BM1"/>
      <c r="BN1"/>
      <c r="BO1"/>
      <c r="BP1"/>
      <c r="BQ1"/>
      <c r="BR1"/>
      <c r="BS1"/>
      <c r="BT1"/>
      <c r="BU1"/>
      <c r="BV1"/>
      <c r="BW1"/>
      <c r="BX1"/>
      <c r="BY1"/>
      <c r="BZ1"/>
      <c r="CA1"/>
    </row>
    <row r="2" spans="1:112" ht="16.5" customHeight="1" thickBot="1">
      <c r="A2"/>
      <c r="B2" s="1179"/>
      <c r="C2" s="1180" t="s">
        <v>440</v>
      </c>
      <c r="D2" s="2706" t="s">
        <v>441</v>
      </c>
      <c r="E2" s="2706"/>
      <c r="F2" s="2706"/>
      <c r="G2" s="2706"/>
      <c r="H2" s="2706"/>
      <c r="I2" s="2707" t="s">
        <v>442</v>
      </c>
      <c r="J2" s="2707"/>
      <c r="K2" s="2707"/>
      <c r="L2" s="1181"/>
      <c r="M2" s="1182" t="s">
        <v>443</v>
      </c>
      <c r="N2" s="1183" t="s">
        <v>444</v>
      </c>
      <c r="O2" s="1184"/>
      <c r="P2" s="1185"/>
      <c r="Q2" s="1186"/>
      <c r="R2" s="1187"/>
      <c r="S2" s="1183" t="s">
        <v>445</v>
      </c>
      <c r="T2" s="1184"/>
      <c r="U2" s="1185"/>
      <c r="V2" s="1186"/>
      <c r="W2" s="1186"/>
      <c r="X2" s="1188" t="s">
        <v>446</v>
      </c>
      <c r="Y2" s="1186"/>
      <c r="Z2" s="1186"/>
      <c r="AA2" s="1187"/>
      <c r="AB2" s="1189" t="s">
        <v>447</v>
      </c>
      <c r="AC2" s="1186"/>
      <c r="AD2" s="1186"/>
      <c r="AE2" s="1187"/>
      <c r="AF2" s="1190" t="s">
        <v>448</v>
      </c>
      <c r="AG2" s="1186"/>
      <c r="AH2" s="1187"/>
      <c r="AI2" s="1191" t="s">
        <v>440</v>
      </c>
      <c r="AJ2" s="2708" t="s">
        <v>449</v>
      </c>
      <c r="AK2" s="2709" t="s">
        <v>450</v>
      </c>
      <c r="AL2" s="4" t="s">
        <v>451</v>
      </c>
      <c r="AM2" s="744"/>
      <c r="AN2"/>
      <c r="AP2" s="617"/>
      <c r="AQ2" s="617" t="s">
        <v>452</v>
      </c>
      <c r="AR2" s="618">
        <v>15</v>
      </c>
      <c r="AS2" s="619">
        <v>3</v>
      </c>
      <c r="AT2" s="620">
        <v>4</v>
      </c>
      <c r="AU2" s="620">
        <v>5</v>
      </c>
      <c r="AV2" s="620">
        <v>6</v>
      </c>
      <c r="AW2" s="621">
        <v>7</v>
      </c>
      <c r="AX2" s="622"/>
      <c r="AY2" s="623">
        <v>8</v>
      </c>
      <c r="AZ2" s="620">
        <v>9</v>
      </c>
      <c r="BA2" s="621">
        <v>10</v>
      </c>
      <c r="BB2" s="622">
        <v>11</v>
      </c>
      <c r="BC2" s="622">
        <v>12</v>
      </c>
      <c r="BD2" s="623">
        <v>13</v>
      </c>
      <c r="BE2" s="620">
        <v>14</v>
      </c>
      <c r="BF2" s="620">
        <v>15</v>
      </c>
      <c r="BG2" s="620">
        <v>16</v>
      </c>
      <c r="BH2" s="621">
        <v>17</v>
      </c>
      <c r="BI2" s="622"/>
      <c r="BJ2" s="623">
        <v>18</v>
      </c>
      <c r="BK2" s="620">
        <v>19</v>
      </c>
      <c r="BL2" s="620">
        <v>20</v>
      </c>
      <c r="BM2" s="620">
        <v>21</v>
      </c>
      <c r="BN2" s="621">
        <v>22</v>
      </c>
      <c r="BO2" s="624"/>
      <c r="BP2" s="625" t="s">
        <v>453</v>
      </c>
      <c r="BQ2" s="626"/>
      <c r="BR2" s="626"/>
      <c r="BS2" s="626"/>
      <c r="BT2" s="627"/>
      <c r="BU2" s="627"/>
      <c r="BV2" s="367"/>
      <c r="BW2" s="367"/>
      <c r="BX2" s="367"/>
      <c r="BY2" s="367"/>
      <c r="BZ2" s="367"/>
      <c r="CA2" s="367"/>
      <c r="CB2" s="367"/>
      <c r="CC2" s="367"/>
      <c r="CD2" s="367"/>
      <c r="CE2" s="367"/>
      <c r="CF2" s="367"/>
      <c r="CG2" s="367"/>
      <c r="CH2" s="628" t="s">
        <v>454</v>
      </c>
      <c r="CI2" s="629"/>
      <c r="CJ2" s="629"/>
      <c r="CK2" s="629"/>
      <c r="CL2" s="629"/>
      <c r="CM2" s="629"/>
      <c r="CN2" s="629"/>
      <c r="CO2" s="629"/>
      <c r="CP2" s="629"/>
      <c r="CQ2" s="630"/>
      <c r="CR2" s="628" t="s">
        <v>455</v>
      </c>
      <c r="CS2" s="631"/>
      <c r="CT2" s="631"/>
      <c r="CU2" s="631"/>
      <c r="CV2" s="631"/>
      <c r="CW2" s="631"/>
      <c r="CX2" s="631"/>
      <c r="CY2" s="631"/>
      <c r="CZ2" s="631"/>
      <c r="DA2" s="632"/>
      <c r="DB2" s="367"/>
      <c r="DC2" s="367"/>
      <c r="DD2" s="367"/>
      <c r="DE2" s="367"/>
      <c r="DF2" s="367"/>
      <c r="DG2" s="367"/>
    </row>
    <row r="3" spans="1:112" ht="15.95" customHeight="1" thickBot="1">
      <c r="A3"/>
      <c r="B3" s="1179"/>
      <c r="C3" s="1180"/>
      <c r="D3" s="1192" t="s">
        <v>456</v>
      </c>
      <c r="E3" s="1193" t="s">
        <v>457</v>
      </c>
      <c r="F3" s="1193" t="s">
        <v>458</v>
      </c>
      <c r="G3" s="1193" t="s">
        <v>459</v>
      </c>
      <c r="H3" s="1194" t="s">
        <v>460</v>
      </c>
      <c r="I3" s="1195" t="s">
        <v>461</v>
      </c>
      <c r="J3" s="1196" t="s">
        <v>459</v>
      </c>
      <c r="K3" s="1197" t="s">
        <v>460</v>
      </c>
      <c r="L3" s="1198" t="s">
        <v>462</v>
      </c>
      <c r="M3" s="1199" t="s">
        <v>463</v>
      </c>
      <c r="N3" s="1200" t="s">
        <v>456</v>
      </c>
      <c r="O3" s="1201" t="s">
        <v>457</v>
      </c>
      <c r="P3" s="1201" t="s">
        <v>458</v>
      </c>
      <c r="Q3" s="1202" t="s">
        <v>459</v>
      </c>
      <c r="R3" s="1203" t="s">
        <v>460</v>
      </c>
      <c r="S3" s="1200" t="s">
        <v>456</v>
      </c>
      <c r="T3" s="1201" t="s">
        <v>457</v>
      </c>
      <c r="U3" s="1201" t="s">
        <v>458</v>
      </c>
      <c r="V3" s="1202" t="s">
        <v>459</v>
      </c>
      <c r="W3" s="1204" t="s">
        <v>460</v>
      </c>
      <c r="X3" s="1205" t="s">
        <v>457</v>
      </c>
      <c r="Y3" s="1202" t="s">
        <v>458</v>
      </c>
      <c r="Z3" s="1202" t="s">
        <v>459</v>
      </c>
      <c r="AA3" s="1203" t="s">
        <v>460</v>
      </c>
      <c r="AB3" s="1205" t="s">
        <v>457</v>
      </c>
      <c r="AC3" s="1202" t="s">
        <v>458</v>
      </c>
      <c r="AD3" s="1202" t="s">
        <v>459</v>
      </c>
      <c r="AE3" s="1203" t="s">
        <v>460</v>
      </c>
      <c r="AF3" s="1206" t="s">
        <v>461</v>
      </c>
      <c r="AG3" s="1202" t="s">
        <v>459</v>
      </c>
      <c r="AH3" s="1203" t="s">
        <v>460</v>
      </c>
      <c r="AI3" s="1191"/>
      <c r="AJ3" s="2708"/>
      <c r="AK3" s="2709"/>
      <c r="AL3" s="4" t="s">
        <v>464</v>
      </c>
      <c r="AM3" s="744"/>
      <c r="AN3"/>
      <c r="AP3" s="617"/>
      <c r="AQ3" s="617"/>
      <c r="AR3" s="2710" t="s">
        <v>465</v>
      </c>
      <c r="AS3" s="2717" t="s">
        <v>466</v>
      </c>
      <c r="AT3" s="2717"/>
      <c r="AU3" s="2717"/>
      <c r="AV3" s="2717"/>
      <c r="AW3" s="2717"/>
      <c r="AX3" s="633" t="s">
        <v>467</v>
      </c>
      <c r="AY3" s="2726" t="s">
        <v>468</v>
      </c>
      <c r="AZ3" s="2726"/>
      <c r="BA3" s="2726"/>
      <c r="BB3" s="634" t="s">
        <v>469</v>
      </c>
      <c r="BC3" s="2727" t="s">
        <v>465</v>
      </c>
      <c r="BD3" s="2718" t="s">
        <v>470</v>
      </c>
      <c r="BE3" s="2718"/>
      <c r="BF3" s="2718"/>
      <c r="BG3" s="2718"/>
      <c r="BH3" s="2718"/>
      <c r="BI3" s="633" t="s">
        <v>446</v>
      </c>
      <c r="BJ3" s="2718" t="s">
        <v>471</v>
      </c>
      <c r="BK3" s="2718"/>
      <c r="BL3" s="2718"/>
      <c r="BM3" s="2718"/>
      <c r="BN3" s="2718"/>
      <c r="BO3" s="635" t="s">
        <v>472</v>
      </c>
      <c r="BP3" s="2714" t="s">
        <v>473</v>
      </c>
      <c r="BQ3" s="2719" t="s">
        <v>474</v>
      </c>
      <c r="BR3" s="2714" t="s">
        <v>473</v>
      </c>
      <c r="BS3" s="2715" t="s">
        <v>475</v>
      </c>
      <c r="BT3" s="2716" t="s">
        <v>476</v>
      </c>
      <c r="BU3" s="2716"/>
      <c r="BV3" s="2713" t="s">
        <v>477</v>
      </c>
      <c r="BW3" s="2713"/>
      <c r="BX3" s="2713"/>
      <c r="BY3" s="2713"/>
      <c r="BZ3" s="2713"/>
      <c r="CA3" s="633" t="s">
        <v>478</v>
      </c>
      <c r="CB3" s="2713" t="s">
        <v>479</v>
      </c>
      <c r="CC3" s="2713"/>
      <c r="CD3" s="2713"/>
      <c r="CE3" s="2713"/>
      <c r="CF3" s="2713"/>
      <c r="CG3" s="633" t="s">
        <v>478</v>
      </c>
      <c r="CH3" s="2713" t="s">
        <v>480</v>
      </c>
      <c r="CI3" s="2713"/>
      <c r="CJ3" s="2713"/>
      <c r="CK3" s="2713"/>
      <c r="CL3" s="2713"/>
      <c r="CM3" s="2713" t="s">
        <v>481</v>
      </c>
      <c r="CN3" s="2713"/>
      <c r="CO3" s="2713"/>
      <c r="CP3" s="2713"/>
      <c r="CQ3" s="2713"/>
      <c r="CR3" s="2713" t="s">
        <v>482</v>
      </c>
      <c r="CS3" s="2713"/>
      <c r="CT3" s="2713"/>
      <c r="CU3" s="2713"/>
      <c r="CV3" s="2713"/>
      <c r="CW3" s="2713" t="s">
        <v>481</v>
      </c>
      <c r="CX3" s="2713"/>
      <c r="CY3" s="2713"/>
      <c r="CZ3" s="2713"/>
      <c r="DA3" s="2713"/>
      <c r="DB3" s="636" t="s">
        <v>483</v>
      </c>
      <c r="DC3" s="2711" t="s">
        <v>484</v>
      </c>
      <c r="DD3" s="637" t="s">
        <v>485</v>
      </c>
      <c r="DE3" s="638"/>
      <c r="DF3" s="639" t="s">
        <v>486</v>
      </c>
      <c r="DG3" s="640"/>
    </row>
    <row r="4" spans="1:112" ht="29.25" thickBot="1">
      <c r="B4" s="1207">
        <v>0</v>
      </c>
      <c r="C4" s="1208">
        <v>0</v>
      </c>
      <c r="D4" s="1209">
        <v>0</v>
      </c>
      <c r="E4" s="1210">
        <v>0</v>
      </c>
      <c r="F4" s="1210">
        <v>0</v>
      </c>
      <c r="G4" s="1210">
        <v>0</v>
      </c>
      <c r="H4" s="1210">
        <v>0</v>
      </c>
      <c r="I4" s="1210">
        <v>0</v>
      </c>
      <c r="J4" s="1210">
        <v>0</v>
      </c>
      <c r="K4" s="1210">
        <v>0</v>
      </c>
      <c r="L4" s="1210">
        <v>0</v>
      </c>
      <c r="M4" s="1210">
        <v>0</v>
      </c>
      <c r="N4" s="1211">
        <v>0</v>
      </c>
      <c r="O4" s="1211">
        <v>0</v>
      </c>
      <c r="P4" s="1211">
        <v>0</v>
      </c>
      <c r="Q4" s="1211">
        <v>0</v>
      </c>
      <c r="R4" s="1211">
        <v>0</v>
      </c>
      <c r="S4" s="1210">
        <v>0</v>
      </c>
      <c r="T4" s="1210">
        <v>0</v>
      </c>
      <c r="U4" s="1210">
        <v>0</v>
      </c>
      <c r="V4" s="1210">
        <v>0</v>
      </c>
      <c r="W4" s="1210">
        <v>0</v>
      </c>
      <c r="X4" s="1212"/>
      <c r="Y4" s="1213"/>
      <c r="Z4" s="1213"/>
      <c r="AA4" s="1213"/>
      <c r="AB4" s="1213"/>
      <c r="AC4" s="1213"/>
      <c r="AD4" s="1213"/>
      <c r="AE4" s="1214"/>
      <c r="AF4" s="1210">
        <v>0</v>
      </c>
      <c r="AG4" s="1210">
        <v>0</v>
      </c>
      <c r="AH4" s="1210">
        <v>0</v>
      </c>
      <c r="AI4" s="1215" t="s">
        <v>440</v>
      </c>
      <c r="AJ4" s="2712"/>
      <c r="AK4" s="2712"/>
      <c r="AL4" s="4"/>
      <c r="AM4" s="744"/>
      <c r="AN4" s="14" t="s">
        <v>487</v>
      </c>
      <c r="AP4" s="617"/>
      <c r="AQ4" s="617" t="s">
        <v>488</v>
      </c>
      <c r="AR4" s="2710"/>
      <c r="AS4" s="641" t="s">
        <v>456</v>
      </c>
      <c r="AT4" s="617" t="s">
        <v>457</v>
      </c>
      <c r="AU4" s="617" t="s">
        <v>458</v>
      </c>
      <c r="AV4" s="617" t="s">
        <v>459</v>
      </c>
      <c r="AW4" s="642" t="s">
        <v>460</v>
      </c>
      <c r="AX4" s="643" t="s">
        <v>489</v>
      </c>
      <c r="AY4" s="644" t="s">
        <v>461</v>
      </c>
      <c r="AZ4" s="617" t="s">
        <v>459</v>
      </c>
      <c r="BA4" s="642" t="s">
        <v>460</v>
      </c>
      <c r="BB4" s="645" t="s">
        <v>462</v>
      </c>
      <c r="BC4" s="2727"/>
      <c r="BD4" s="644" t="s">
        <v>456</v>
      </c>
      <c r="BE4" s="617" t="s">
        <v>457</v>
      </c>
      <c r="BF4" s="617" t="s">
        <v>458</v>
      </c>
      <c r="BG4" s="617" t="s">
        <v>459</v>
      </c>
      <c r="BH4" s="642" t="s">
        <v>460</v>
      </c>
      <c r="BI4" s="643" t="s">
        <v>489</v>
      </c>
      <c r="BJ4" s="644" t="s">
        <v>456</v>
      </c>
      <c r="BK4" s="617" t="s">
        <v>457</v>
      </c>
      <c r="BL4" s="617" t="s">
        <v>458</v>
      </c>
      <c r="BM4" s="617" t="s">
        <v>459</v>
      </c>
      <c r="BN4" s="642" t="s">
        <v>460</v>
      </c>
      <c r="BO4" s="646" t="s">
        <v>489</v>
      </c>
      <c r="BP4" s="2714"/>
      <c r="BQ4" s="2719"/>
      <c r="BR4" s="2714"/>
      <c r="BS4" s="2715"/>
      <c r="BT4" s="814" t="s">
        <v>490</v>
      </c>
      <c r="BU4" s="815" t="s">
        <v>491</v>
      </c>
      <c r="BV4" s="644" t="s">
        <v>456</v>
      </c>
      <c r="BW4" s="617" t="s">
        <v>457</v>
      </c>
      <c r="BX4" s="617" t="s">
        <v>458</v>
      </c>
      <c r="BY4" s="617" t="s">
        <v>459</v>
      </c>
      <c r="BZ4" s="647" t="s">
        <v>460</v>
      </c>
      <c r="CA4" s="643" t="s">
        <v>492</v>
      </c>
      <c r="CB4" s="641" t="s">
        <v>456</v>
      </c>
      <c r="CC4" s="617" t="s">
        <v>457</v>
      </c>
      <c r="CD4" s="617" t="s">
        <v>458</v>
      </c>
      <c r="CE4" s="617" t="s">
        <v>459</v>
      </c>
      <c r="CF4" s="647" t="s">
        <v>460</v>
      </c>
      <c r="CG4" s="643" t="s">
        <v>493</v>
      </c>
      <c r="CH4" s="648" t="s">
        <v>456</v>
      </c>
      <c r="CI4" s="649" t="s">
        <v>457</v>
      </c>
      <c r="CJ4" s="649" t="s">
        <v>458</v>
      </c>
      <c r="CK4" s="649" t="s">
        <v>459</v>
      </c>
      <c r="CL4" s="650" t="s">
        <v>460</v>
      </c>
      <c r="CM4" s="648" t="s">
        <v>456</v>
      </c>
      <c r="CN4" s="649" t="s">
        <v>457</v>
      </c>
      <c r="CO4" s="649" t="s">
        <v>458</v>
      </c>
      <c r="CP4" s="649" t="s">
        <v>459</v>
      </c>
      <c r="CQ4" s="650" t="s">
        <v>460</v>
      </c>
      <c r="CR4" s="648" t="s">
        <v>456</v>
      </c>
      <c r="CS4" s="649" t="s">
        <v>457</v>
      </c>
      <c r="CT4" s="649" t="s">
        <v>458</v>
      </c>
      <c r="CU4" s="649" t="s">
        <v>459</v>
      </c>
      <c r="CV4" s="650" t="s">
        <v>460</v>
      </c>
      <c r="CW4" s="648" t="s">
        <v>456</v>
      </c>
      <c r="CX4" s="649" t="s">
        <v>457</v>
      </c>
      <c r="CY4" s="649" t="s">
        <v>458</v>
      </c>
      <c r="CZ4" s="649" t="s">
        <v>459</v>
      </c>
      <c r="DA4" s="650" t="s">
        <v>460</v>
      </c>
      <c r="DB4" s="651" t="s">
        <v>494</v>
      </c>
      <c r="DC4" s="2711"/>
      <c r="DD4" s="652" t="s">
        <v>495</v>
      </c>
      <c r="DE4" s="653" t="s">
        <v>496</v>
      </c>
      <c r="DF4" s="654" t="s">
        <v>495</v>
      </c>
      <c r="DG4" s="655" t="s">
        <v>496</v>
      </c>
    </row>
    <row r="5" spans="1:112" ht="13.5" thickBot="1">
      <c r="B5" s="1207" t="s">
        <v>440</v>
      </c>
      <c r="C5" s="1208" t="s">
        <v>440</v>
      </c>
      <c r="D5" s="1209">
        <v>3</v>
      </c>
      <c r="E5" s="1210">
        <v>4</v>
      </c>
      <c r="F5" s="1210">
        <v>5</v>
      </c>
      <c r="G5" s="1210">
        <v>6</v>
      </c>
      <c r="H5" s="1216">
        <v>7</v>
      </c>
      <c r="I5" s="1217">
        <v>8</v>
      </c>
      <c r="J5" s="1218">
        <v>9</v>
      </c>
      <c r="K5" s="1219">
        <v>10</v>
      </c>
      <c r="L5" s="1217">
        <v>11</v>
      </c>
      <c r="M5" s="1219">
        <v>12</v>
      </c>
      <c r="N5" s="1217">
        <v>13</v>
      </c>
      <c r="O5" s="1219">
        <v>14</v>
      </c>
      <c r="P5" s="1217">
        <v>15</v>
      </c>
      <c r="Q5" s="1219">
        <v>16</v>
      </c>
      <c r="R5" s="1217">
        <v>17</v>
      </c>
      <c r="S5" s="1219">
        <v>18</v>
      </c>
      <c r="T5" s="1217">
        <v>19</v>
      </c>
      <c r="U5" s="1219">
        <v>20</v>
      </c>
      <c r="V5" s="1217">
        <v>21</v>
      </c>
      <c r="W5" s="1219">
        <v>22</v>
      </c>
      <c r="X5" s="1217">
        <v>23</v>
      </c>
      <c r="Y5" s="1219">
        <v>24</v>
      </c>
      <c r="Z5" s="1217">
        <v>25</v>
      </c>
      <c r="AA5" s="1219">
        <v>26</v>
      </c>
      <c r="AB5" s="1217">
        <v>27</v>
      </c>
      <c r="AC5" s="1219">
        <v>28</v>
      </c>
      <c r="AD5" s="1217">
        <v>29</v>
      </c>
      <c r="AE5" s="1219">
        <v>30</v>
      </c>
      <c r="AF5" s="1217">
        <v>31</v>
      </c>
      <c r="AG5" s="1219">
        <v>32</v>
      </c>
      <c r="AH5" s="1217">
        <v>33</v>
      </c>
      <c r="AI5" s="1215" t="s">
        <v>440</v>
      </c>
      <c r="AJ5" s="1220">
        <v>35</v>
      </c>
      <c r="AK5" s="1221">
        <v>36</v>
      </c>
      <c r="AL5" s="4">
        <v>37</v>
      </c>
      <c r="AM5" s="744"/>
      <c r="AN5" s="4" t="s">
        <v>497</v>
      </c>
      <c r="AP5" s="18">
        <f>Tiere!B5</f>
        <v>0</v>
      </c>
      <c r="AQ5" s="19">
        <f>IF(AP5=0,0,Tiere!I5)</f>
        <v>0</v>
      </c>
      <c r="AR5" s="20">
        <f>IFERROR(IF(Tiere!$BZ5&gt;0,VLOOKUP($AP5,Tabelle1!$B$4:$AE$162,12,0)*$AQ5,0),0)</f>
        <v>0</v>
      </c>
      <c r="AS5" s="21">
        <f>IFERROR(IF(Tiere!$BZ5&gt;0,VLOOKUP($AP5,Tabelle1!$B$4:$W$162,3,0)*$AR5,0),0)</f>
        <v>0</v>
      </c>
      <c r="AT5" s="22">
        <f>IFERROR(IF(Tiere!$BZ5&gt;0,VLOOKUP($AP5,Tabelle1!$B$4:$W$162,4,0)*$AR5,0),0)</f>
        <v>0</v>
      </c>
      <c r="AU5" s="23">
        <f>IFERROR(IF(Tiere!$BZ5&gt;0,VLOOKUP($AP5,Tabelle1!$B$4:$W$162,5,0)*$AR5,0),0)</f>
        <v>0</v>
      </c>
      <c r="AV5" s="23">
        <f>IFERROR(IF(Tiere!$BZ5&gt;0,VLOOKUP($AP5,Tabelle1!$B$4:$W$162,6,0)*$AR5,0),0)</f>
        <v>0</v>
      </c>
      <c r="AW5" s="24">
        <f>IFERROR(IF(Tiere!$BZ5&gt;0,VLOOKUP($AP5,Tabelle1!$B$4:$W$162,7,0)*$AR5,0),0)</f>
        <v>0</v>
      </c>
      <c r="AX5" s="25">
        <f>IF(Tiere!$BZ5&gt;0,SUM(AS5:AW5),0)</f>
        <v>0</v>
      </c>
      <c r="AY5" s="26">
        <f>IFERROR(IF(Tiere!$BZ5&gt;0,VLOOKUP($AP5,Tabelle1!$B$4:$W$162,8,0)*$AQ5,0),0)</f>
        <v>0</v>
      </c>
      <c r="AZ5" s="27">
        <f>IFERROR(IF(Tiere!$BZ5&gt;0,VLOOKUP($AP5,Tabelle1!$B$4:$W$162,9,0)*$AQ5,0),0)</f>
        <v>0</v>
      </c>
      <c r="BA5" s="28">
        <f>IFERROR(IF(Tiere!$BZ5&gt;0,VLOOKUP($AP5,Tabelle1!$B$4:$W$162,10,0)*$AQ5,0),0)</f>
        <v>0</v>
      </c>
      <c r="BB5" s="29">
        <f>IFERROR(IF(Tiere!$BZ5&gt;0,VLOOKUP($AP5,Tabelle1!$B$4:$W$162,11,0)*$AQ5,0),0)</f>
        <v>0</v>
      </c>
      <c r="BC5" s="52">
        <f>IFERROR(IF(Tiere!$BZ5&gt;0,VLOOKUP($AP5,Tabelle1!$B$4:$W$153,12,0)*$AQ5,0),0)</f>
        <v>0</v>
      </c>
      <c r="BD5" s="22">
        <f>IFERROR(IF(Tiere!$BZ5&gt;0,VLOOKUP($AP5,Tabelle1!$B$4:$W$162,13,0)*$AR5,0),0)</f>
        <v>0</v>
      </c>
      <c r="BE5" s="23">
        <f>IFERROR(IF(Tiere!$BZ5&gt;0,VLOOKUP($AP5,Tabelle1!$B$4:$W$162,14,0)*$AR5,0),0)</f>
        <v>0</v>
      </c>
      <c r="BF5" s="23">
        <f>IFERROR(IF(Tiere!$BZ5&gt;0,VLOOKUP($AP5,Tabelle1!$B$4:$W$162,15,0)*$AR5,0),0)</f>
        <v>0</v>
      </c>
      <c r="BG5" s="23">
        <f>IFERROR(IF(Tiere!$BZ5&gt;0,VLOOKUP($AP5,Tabelle1!$B$4:$W$162,16,0)*$AR5,0),0)</f>
        <v>0</v>
      </c>
      <c r="BH5" s="24">
        <f>IFERROR(IF(Tiere!$BZ5&gt;0,VLOOKUP($AP5,Tabelle1!$B$4:$W$162,17,0)*$AR5,0),0)</f>
        <v>0</v>
      </c>
      <c r="BI5" s="30">
        <f>IF(Tiere!$BZ5&gt;0,SUM(BD5:BH5),0)</f>
        <v>0</v>
      </c>
      <c r="BJ5" s="22">
        <f>IFERROR(IF(Tiere!$BZ5&gt;0,VLOOKUP($AP5,Tabelle1!$B$4:$W$162,18,0)*$AR5,0),0)</f>
        <v>0</v>
      </c>
      <c r="BK5" s="23">
        <f>IFERROR(IF(Tiere!$BZ5&gt;0,VLOOKUP($AP5,Tabelle1!$B$4:$W$162,19,0)*$AR5,0),0)</f>
        <v>0</v>
      </c>
      <c r="BL5" s="23">
        <f>IFERROR(IF(Tiere!$BZ5&gt;0,VLOOKUP($AP5,Tabelle1!$B$4:$W$162,20,0)*$AR5,0),0)</f>
        <v>0</v>
      </c>
      <c r="BM5" s="23">
        <f>IFERROR(IF(Tiere!$BZ5&gt;0,VLOOKUP($AP5,Tabelle1!$B$4:$W$162,21,0)*$AR5,0),0)</f>
        <v>0</v>
      </c>
      <c r="BN5" s="24">
        <f>IFERROR(IF(Tiere!$BZ5&gt;0,VLOOKUP($AP5,Tabelle1!$B$4:$W$162,22,0)*$AR5,0),0)</f>
        <v>0</v>
      </c>
      <c r="BO5" s="32">
        <f>IF(Tiere!$BZ5&gt;0,SUM(BJ5:BN5),0)</f>
        <v>0</v>
      </c>
      <c r="BP5" s="33">
        <f>IF(Tiere!$BZ5&gt;0,Tiere!K5,0)</f>
        <v>0</v>
      </c>
      <c r="BQ5" s="34">
        <f>IF(Tiere!$BZ5&gt;0,Tiere!L5,0)</f>
        <v>0</v>
      </c>
      <c r="BR5" s="33">
        <f>IF(Tiere!$BZ5&gt;0,Tiere!M5,0)</f>
        <v>0</v>
      </c>
      <c r="BS5" s="20">
        <f>IF(Tiere!$BZ5&gt;0,Tiere!N5,0)</f>
        <v>0</v>
      </c>
      <c r="BT5" s="816">
        <f>IF($AR5=0,0,BP5/$AR5)*(BQ5/365)</f>
        <v>0</v>
      </c>
      <c r="BU5" s="817">
        <f>IF($AR5=0,0,BR5/$AR5)*(BS5/365)</f>
        <v>0</v>
      </c>
      <c r="BV5" s="22">
        <f>IF(Tiere!$BZ5&gt;0,AS5*$BT5,0)</f>
        <v>0</v>
      </c>
      <c r="BW5" s="22">
        <f>IF(Tiere!$BZ5&gt;0,AT5*$BT5,0)</f>
        <v>0</v>
      </c>
      <c r="BX5" s="23">
        <f>IF(Tiere!$BZ5&gt;0,AU5*$BT5,0)</f>
        <v>0</v>
      </c>
      <c r="BY5" s="23">
        <f>IF(Tiere!$BZ5&gt;0,AV5*$BT5,0)</f>
        <v>0</v>
      </c>
      <c r="BZ5" s="35">
        <f>IF(Tiere!$BZ5&gt;0,AW5*$BT5,0)</f>
        <v>0</v>
      </c>
      <c r="CA5" s="25">
        <f>IF(Tiere!$BZ5&gt;0,SUM(BV5:BZ5),0)</f>
        <v>0</v>
      </c>
      <c r="CB5" s="29">
        <f>IF(Tiere!$BZ5&gt;0,AS5*$BU5,0)</f>
        <v>0</v>
      </c>
      <c r="CC5" s="29">
        <f>IF(Tiere!$BZ5&gt;0,AT5*$BU5,0)</f>
        <v>0</v>
      </c>
      <c r="CD5" s="29">
        <f>IF(Tiere!$BZ5&gt;0,AU5*$BU5,0)</f>
        <v>0</v>
      </c>
      <c r="CE5" s="29">
        <f>IF(Tiere!$BZ5&gt;0,AV5*$BU5,0)</f>
        <v>0</v>
      </c>
      <c r="CF5" s="36">
        <f>IF(Tiere!$BZ5&gt;0,AW5*$BU5,0)</f>
        <v>0</v>
      </c>
      <c r="CG5" s="25">
        <f>IF(Tiere!$BZ5&gt;0,SUM(CB5:CF5),0)</f>
        <v>0</v>
      </c>
      <c r="CH5" s="21">
        <f>IFERROR(IF(Tiere!$BZ5&gt;0,BD5*$BT5,0),0)</f>
        <v>0</v>
      </c>
      <c r="CI5" s="22">
        <f>IFERROR(IF(Tiere!$BZ5&gt;0,BE5*$BT5,0),0)</f>
        <v>0</v>
      </c>
      <c r="CJ5" s="23">
        <f>IFERROR(IF(Tiere!$BZ5&gt;0,BF5*$BT5,0),0)</f>
        <v>0</v>
      </c>
      <c r="CK5" s="23">
        <f>IFERROR(IF(Tiere!$BZ5&gt;0,BG5*$BT5,0),0)</f>
        <v>0</v>
      </c>
      <c r="CL5" s="35">
        <f>IFERROR(IF(Tiere!$BZ5&gt;0,BH5*$BT5,0),0)</f>
        <v>0</v>
      </c>
      <c r="CM5" s="21">
        <f>IFERROR(IF(Tiere!$BZ5&gt;0,BJ5*$BT5,0),0)</f>
        <v>0</v>
      </c>
      <c r="CN5" s="22">
        <f>IFERROR(IF(Tiere!$BZ5&gt;0,BK5*$BT5,0),0)</f>
        <v>0</v>
      </c>
      <c r="CO5" s="23">
        <f>IFERROR(IF(Tiere!$BZ5&gt;0,BL5*$BT5,0),0)</f>
        <v>0</v>
      </c>
      <c r="CP5" s="23">
        <f>IFERROR(IF(Tiere!$BZ5&gt;0,BM5*$BT5,0),0)</f>
        <v>0</v>
      </c>
      <c r="CQ5" s="35">
        <f>IFERROR(IF(Tiere!$BZ5&gt;0,BN5*$BT5,0),0)</f>
        <v>0</v>
      </c>
      <c r="CR5" s="21">
        <f>IFERROR(IF(Tiere!$BZ5&gt;0,BD5*$BU5,0),0)</f>
        <v>0</v>
      </c>
      <c r="CS5" s="22">
        <f>IFERROR(IF(Tiere!$BZ5&gt;0,BE5*$BU5,0),0)</f>
        <v>0</v>
      </c>
      <c r="CT5" s="23">
        <f>IFERROR(IF(Tiere!$BZ5&gt;0,BF5*$BU5,0),0)</f>
        <v>0</v>
      </c>
      <c r="CU5" s="23">
        <f>IFERROR(IF(Tiere!$BZ5&gt;0,BG5*$BU5,0),0)</f>
        <v>0</v>
      </c>
      <c r="CV5" s="35">
        <f>IFERROR(IF(Tiere!$BZ5&gt;0,BH5*$BU5,0),0)</f>
        <v>0</v>
      </c>
      <c r="CW5" s="21">
        <f>IFERROR(IF(Tiere!$BZ5&gt;0,BJ5*$BU5,0),0)</f>
        <v>0</v>
      </c>
      <c r="CX5" s="22">
        <f>IFERROR(IF(Tiere!$BZ5&gt;0,BK5*$BU5,0),0)</f>
        <v>0</v>
      </c>
      <c r="CY5" s="23">
        <f>IFERROR(IF(Tiere!$BZ5&gt;0,BL5*$BU5,0),0)</f>
        <v>0</v>
      </c>
      <c r="CZ5" s="23">
        <f>IFERROR(IF(Tiere!$BZ5&gt;0,BM5*$BU5,0),0)</f>
        <v>0</v>
      </c>
      <c r="DA5" s="35">
        <f>IFERROR(IF(Tiere!$BZ5&gt;0,BN5*$BU5,0),0)</f>
        <v>0</v>
      </c>
      <c r="DB5" s="37">
        <f>IFERROR(IF(Tiere!$BZ5&gt;0,VLOOKUP($AP5,Tabelle1!$B$4:$W$162,11,0)*$BR5,0),0)</f>
        <v>0</v>
      </c>
      <c r="DC5" s="38">
        <f>IF(Tiere!$BZ5&gt;0,AR5,0)</f>
        <v>0</v>
      </c>
      <c r="DD5" s="39">
        <f>IFERROR(IF(Tiere!$BZ5&gt;0,VLOOKUP($AP5,Tabelle1!$B$4:$AJ$162,35,0),0),0)</f>
        <v>0</v>
      </c>
      <c r="DE5" s="40">
        <f>IFERROR(IF(Tiere!$BZ5&gt;0,IF(DD5&gt;0,(DD5*DC5)/170,AX5/170),0),0)</f>
        <v>0</v>
      </c>
      <c r="DF5" s="41">
        <f>IFERROR(IF(Tiere!$BZ5&gt;0,VLOOKUP($AP5,Tabelle1!$B$4:$AK$162,36,0),0),0)</f>
        <v>0</v>
      </c>
      <c r="DG5" s="42">
        <f>IFERROR(IF(DF5&gt;0,(DF5*DC5)/170,AX5/170),0)</f>
        <v>0</v>
      </c>
      <c r="DH5">
        <f t="shared" ref="DH5:DH19" si="0">AP5</f>
        <v>0</v>
      </c>
    </row>
    <row r="6" spans="1:112">
      <c r="A6" s="1">
        <v>1</v>
      </c>
      <c r="B6" s="43" t="str">
        <f>C6</f>
        <v>andere Kälber und Jungrinder unter 1/2 Jahr - Gülle</v>
      </c>
      <c r="C6" s="44" t="s">
        <v>498</v>
      </c>
      <c r="D6" s="823">
        <v>12.7</v>
      </c>
      <c r="E6" s="824"/>
      <c r="F6" s="824"/>
      <c r="G6" s="824"/>
      <c r="H6" s="825"/>
      <c r="I6" s="826">
        <v>1.3</v>
      </c>
      <c r="J6" s="827"/>
      <c r="K6" s="828"/>
      <c r="L6" s="826">
        <v>0.4</v>
      </c>
      <c r="M6" s="828">
        <v>1</v>
      </c>
      <c r="N6" s="826">
        <v>7.1</v>
      </c>
      <c r="O6" s="827"/>
      <c r="P6" s="827"/>
      <c r="Q6" s="829"/>
      <c r="R6" s="830"/>
      <c r="S6" s="831">
        <v>10.9</v>
      </c>
      <c r="T6" s="829"/>
      <c r="U6" s="829"/>
      <c r="V6" s="829"/>
      <c r="W6" s="830"/>
      <c r="X6" s="1170"/>
      <c r="Y6" s="1171"/>
      <c r="Z6" s="1171"/>
      <c r="AA6" s="1172"/>
      <c r="AB6" s="1171"/>
      <c r="AC6" s="1171"/>
      <c r="AD6" s="1171"/>
      <c r="AE6" s="1172"/>
      <c r="AF6" s="826">
        <v>11</v>
      </c>
      <c r="AG6" s="827"/>
      <c r="AH6" s="828"/>
      <c r="AI6" s="49" t="s">
        <v>498</v>
      </c>
      <c r="AJ6" s="50">
        <v>34</v>
      </c>
      <c r="AK6" s="51">
        <v>12.8</v>
      </c>
      <c r="AL6" s="41">
        <f t="shared" ref="AL6:AL44" si="1">170/AK6</f>
        <v>13.28125</v>
      </c>
      <c r="AM6" s="744"/>
      <c r="AN6" s="4" t="s">
        <v>499</v>
      </c>
      <c r="AP6" s="18">
        <f>Tiere!B6</f>
        <v>0</v>
      </c>
      <c r="AQ6" s="19">
        <f>IF(AP6=0,0,Tiere!I6)</f>
        <v>0</v>
      </c>
      <c r="AR6" s="20">
        <f>IFERROR(IF(Tiere!$BZ6&gt;0,VLOOKUP($AP6,Tabelle1!$B$4:$AE$162,12,0)*$AQ6,0),0)</f>
        <v>0</v>
      </c>
      <c r="AS6" s="21">
        <f>IFERROR(IF(Tiere!$BZ6&gt;0,VLOOKUP($AP6,Tabelle1!$B$4:$W$162,3,0)*$AR6,0),0)</f>
        <v>0</v>
      </c>
      <c r="AT6" s="22">
        <f>IFERROR(IF(Tiere!$BZ6&gt;0,VLOOKUP($AP6,Tabelle1!$B$4:$W$162,4,0)*$AR6,0),0)</f>
        <v>0</v>
      </c>
      <c r="AU6" s="23">
        <f>IFERROR(IF(Tiere!$BZ6&gt;0,VLOOKUP($AP6,Tabelle1!$B$4:$W$162,5,0)*$AR6,0),0)</f>
        <v>0</v>
      </c>
      <c r="AV6" s="23">
        <f>IFERROR(IF(Tiere!$BZ6&gt;0,VLOOKUP($AP6,Tabelle1!$B$4:$W$162,6,0)*$AR6,0),0)</f>
        <v>0</v>
      </c>
      <c r="AW6" s="24">
        <f>IFERROR(IF(Tiere!$BZ6&gt;0,VLOOKUP($AP6,Tabelle1!$B$4:$W$162,7,0)*$AR6,0),0)</f>
        <v>0</v>
      </c>
      <c r="AX6" s="25">
        <f>IF(Tiere!$BZ6&gt;0,SUM(AS6:AW6),0)</f>
        <v>0</v>
      </c>
      <c r="AY6" s="26">
        <f>IFERROR(IF(Tiere!$BZ6&gt;0,VLOOKUP($AP6,Tabelle1!$B$4:$W$162,8,0)*$AQ6,0),0)</f>
        <v>0</v>
      </c>
      <c r="AZ6" s="27">
        <f>IFERROR(IF(Tiere!$BZ6&gt;0,VLOOKUP($AP6,Tabelle1!$B$4:$W$162,9,0)*$AQ6,0),0)</f>
        <v>0</v>
      </c>
      <c r="BA6" s="28">
        <f>IFERROR(IF(Tiere!$BZ6&gt;0,VLOOKUP($AP6,Tabelle1!$B$4:$W$162,10,0)*$AQ6,0),0)</f>
        <v>0</v>
      </c>
      <c r="BB6" s="29">
        <f>IFERROR(IF(Tiere!$BZ6&gt;0,VLOOKUP($AP6,Tabelle1!$B$4:$W$162,11,0)*$AQ6,0),0)</f>
        <v>0</v>
      </c>
      <c r="BC6" s="52">
        <f>IFERROR(IF(Tiere!$BZ6&gt;0,VLOOKUP($AP6,Tabelle1!$B$4:$W$153,12,0)*$AQ6,0),0)</f>
        <v>0</v>
      </c>
      <c r="BD6" s="22">
        <f>IFERROR(IF(Tiere!$BZ6&gt;0,VLOOKUP($AP6,Tabelle1!$B$4:$W$162,13,0)*$AR6,0),0)</f>
        <v>0</v>
      </c>
      <c r="BE6" s="23">
        <f>IFERROR(IF(Tiere!$BZ6&gt;0,VLOOKUP($AP6,Tabelle1!$B$4:$W$162,14,0)*$AR6,0),0)</f>
        <v>0</v>
      </c>
      <c r="BF6" s="23">
        <f>IFERROR(IF(Tiere!$BZ6&gt;0,VLOOKUP($AP6,Tabelle1!$B$4:$W$162,15,0)*$AR6,0),0)</f>
        <v>0</v>
      </c>
      <c r="BG6" s="23">
        <f>IFERROR(IF(Tiere!$BZ6&gt;0,VLOOKUP($AP6,Tabelle1!$B$4:$W$162,16,0)*$AR6,0),0)</f>
        <v>0</v>
      </c>
      <c r="BH6" s="24">
        <f>IFERROR(IF(Tiere!$BZ6&gt;0,VLOOKUP($AP6,Tabelle1!$B$4:$W$162,17,0)*$AR6,0),0)</f>
        <v>0</v>
      </c>
      <c r="BI6" s="30">
        <f>IF(Tiere!$BZ6&gt;0,SUM(BD6:BH6),0)</f>
        <v>0</v>
      </c>
      <c r="BJ6" s="22">
        <f>IFERROR(IF(Tiere!$BZ6&gt;0,VLOOKUP($AP6,Tabelle1!$B$4:$W$162,18,0)*$AR6,0),0)</f>
        <v>0</v>
      </c>
      <c r="BK6" s="23">
        <f>IFERROR(IF(Tiere!$BZ6&gt;0,VLOOKUP($AP6,Tabelle1!$B$4:$W$162,19,0)*$AR6,0),0)</f>
        <v>0</v>
      </c>
      <c r="BL6" s="23">
        <f>IFERROR(IF(Tiere!$BZ6&gt;0,VLOOKUP($AP6,Tabelle1!$B$4:$W$162,20,0)*$AR6,0),0)</f>
        <v>0</v>
      </c>
      <c r="BM6" s="23">
        <f>IFERROR(IF(Tiere!$BZ6&gt;0,VLOOKUP($AP6,Tabelle1!$B$4:$W$162,21,0)*$AR6,0),0)</f>
        <v>0</v>
      </c>
      <c r="BN6" s="24">
        <f>IFERROR(IF(Tiere!$BZ6&gt;0,VLOOKUP($AP6,Tabelle1!$B$4:$W$162,22,0)*$AR6,0),0)</f>
        <v>0</v>
      </c>
      <c r="BO6" s="32">
        <f>IF(Tiere!$BZ6&gt;0,SUM(BJ6:BN6),0)</f>
        <v>0</v>
      </c>
      <c r="BP6" s="33">
        <f>IF(Tiere!$BZ6&gt;0,Tiere!K6,0)</f>
        <v>0</v>
      </c>
      <c r="BQ6" s="34">
        <f>IF(Tiere!$BZ6&gt;0,Tiere!L6,0)</f>
        <v>0</v>
      </c>
      <c r="BR6" s="33">
        <f>IF(Tiere!$BZ6&gt;0,Tiere!M6,0)</f>
        <v>0</v>
      </c>
      <c r="BS6" s="20">
        <f>IF(Tiere!$BZ6&gt;0,Tiere!N6,0)</f>
        <v>0</v>
      </c>
      <c r="BT6" s="816">
        <f t="shared" ref="BT6:BT19" si="2">IF($AR6=0,0,BP6/$AR6)*(BQ6/365)</f>
        <v>0</v>
      </c>
      <c r="BU6" s="817">
        <f t="shared" ref="BU6:BU19" si="3">IF($AR6=0,0,BR6/$AR6)*(BS6/365)</f>
        <v>0</v>
      </c>
      <c r="BV6" s="22">
        <f>IF(Tiere!$BZ6&gt;0,AS6*$BT6,0)</f>
        <v>0</v>
      </c>
      <c r="BW6" s="22">
        <f>IF(Tiere!$BZ6&gt;0,AT6*$BT6,0)</f>
        <v>0</v>
      </c>
      <c r="BX6" s="23">
        <f>IF(Tiere!$BZ6&gt;0,AU6*$BT6,0)</f>
        <v>0</v>
      </c>
      <c r="BY6" s="23">
        <f>IF(Tiere!$BZ6&gt;0,AV6*$BT6,0)</f>
        <v>0</v>
      </c>
      <c r="BZ6" s="35">
        <f>IF(Tiere!$BZ6&gt;0,AW6*$BT6,0)</f>
        <v>0</v>
      </c>
      <c r="CA6" s="25">
        <f>IF(Tiere!$BZ6&gt;0,SUM(BV6:BZ6),0)</f>
        <v>0</v>
      </c>
      <c r="CB6" s="29">
        <f>IF(Tiere!$BZ6&gt;0,AS6*$BU6,0)</f>
        <v>0</v>
      </c>
      <c r="CC6" s="29">
        <f>IF(Tiere!$BZ6&gt;0,AT6*$BU6,0)</f>
        <v>0</v>
      </c>
      <c r="CD6" s="29">
        <f>IF(Tiere!$BZ6&gt;0,AU6*$BU6,0)</f>
        <v>0</v>
      </c>
      <c r="CE6" s="29">
        <f>IF(Tiere!$BZ6&gt;0,AV6*$BU6,0)</f>
        <v>0</v>
      </c>
      <c r="CF6" s="36">
        <f>IF(Tiere!$BZ6&gt;0,AW6*$BU6,0)</f>
        <v>0</v>
      </c>
      <c r="CG6" s="25">
        <f>IF(Tiere!$BZ6&gt;0,SUM(CB6:CF6),0)</f>
        <v>0</v>
      </c>
      <c r="CH6" s="21">
        <f>IFERROR(IF(Tiere!$BZ6&gt;0,BD6*$BT6,0),0)</f>
        <v>0</v>
      </c>
      <c r="CI6" s="22">
        <f>IFERROR(IF(Tiere!$BZ6&gt;0,BE6*$BT6,0),0)</f>
        <v>0</v>
      </c>
      <c r="CJ6" s="23">
        <f>IFERROR(IF(Tiere!$BZ6&gt;0,BF6*$BT6,0),0)</f>
        <v>0</v>
      </c>
      <c r="CK6" s="23">
        <f>IFERROR(IF(Tiere!$BZ6&gt;0,BG6*$BT6,0),0)</f>
        <v>0</v>
      </c>
      <c r="CL6" s="35">
        <f>IFERROR(IF(Tiere!$BZ6&gt;0,BH6*$BT6,0),0)</f>
        <v>0</v>
      </c>
      <c r="CM6" s="21">
        <f>IFERROR(IF(Tiere!$BZ6&gt;0,BJ6*$BT6,0),0)</f>
        <v>0</v>
      </c>
      <c r="CN6" s="22">
        <f>IFERROR(IF(Tiere!$BZ6&gt;0,BK6*$BT6,0),0)</f>
        <v>0</v>
      </c>
      <c r="CO6" s="23">
        <f>IFERROR(IF(Tiere!$BZ6&gt;0,BL6*$BT6,0),0)</f>
        <v>0</v>
      </c>
      <c r="CP6" s="23">
        <f>IFERROR(IF(Tiere!$BZ6&gt;0,BM6*$BT6,0),0)</f>
        <v>0</v>
      </c>
      <c r="CQ6" s="35">
        <f>IFERROR(IF(Tiere!$BZ6&gt;0,BN6*$BT6,0),0)</f>
        <v>0</v>
      </c>
      <c r="CR6" s="21">
        <f>IFERROR(IF(Tiere!$BZ6&gt;0,BD6*$BU6,0),0)</f>
        <v>0</v>
      </c>
      <c r="CS6" s="22">
        <f>IFERROR(IF(Tiere!$BZ6&gt;0,BE6*$BU6,0),0)</f>
        <v>0</v>
      </c>
      <c r="CT6" s="23">
        <f>IFERROR(IF(Tiere!$BZ6&gt;0,BF6*$BU6,0),0)</f>
        <v>0</v>
      </c>
      <c r="CU6" s="23">
        <f>IFERROR(IF(Tiere!$BZ6&gt;0,BG6*$BU6,0),0)</f>
        <v>0</v>
      </c>
      <c r="CV6" s="35">
        <f>IFERROR(IF(Tiere!$BZ6&gt;0,BH6*$BU6,0),0)</f>
        <v>0</v>
      </c>
      <c r="CW6" s="21">
        <f>IFERROR(IF(Tiere!$BZ6&gt;0,BJ6*$BU6,0),0)</f>
        <v>0</v>
      </c>
      <c r="CX6" s="22">
        <f>IFERROR(IF(Tiere!$BZ6&gt;0,BK6*$BU6,0),0)</f>
        <v>0</v>
      </c>
      <c r="CY6" s="23">
        <f>IFERROR(IF(Tiere!$BZ6&gt;0,BL6*$BU6,0),0)</f>
        <v>0</v>
      </c>
      <c r="CZ6" s="23">
        <f>IFERROR(IF(Tiere!$BZ6&gt;0,BM6*$BU6,0),0)</f>
        <v>0</v>
      </c>
      <c r="DA6" s="35">
        <f>IFERROR(IF(Tiere!$BZ6&gt;0,BN6*$BU6,0),0)</f>
        <v>0</v>
      </c>
      <c r="DB6" s="37">
        <f>IFERROR(IF(Tiere!$BZ6&gt;0,VLOOKUP($AP6,Tabelle1!$B$4:$W$162,11,0)*$BR6,0),0)</f>
        <v>0</v>
      </c>
      <c r="DC6" s="38">
        <f>IF(Tiere!$BZ6&gt;0,AR6,0)</f>
        <v>0</v>
      </c>
      <c r="DD6" s="39">
        <f>IFERROR(IF(Tiere!$BZ6&gt;0,VLOOKUP($AP6,Tabelle1!$B$4:$AJ$162,35,0),0),0)</f>
        <v>0</v>
      </c>
      <c r="DE6" s="40">
        <f>IFERROR(IF(Tiere!$BZ6&gt;0,IF(DD6&gt;0,(DD6*DC6)/170,AX6/170),0),0)</f>
        <v>0</v>
      </c>
      <c r="DF6" s="41">
        <f>IFERROR(IF(Tiere!$BZ6&gt;0,VLOOKUP($AP6,Tabelle1!$B$4:$AK$162,36,0),0),0)</f>
        <v>0</v>
      </c>
      <c r="DG6" s="42">
        <f t="shared" ref="DG6:DG19" si="4">IFERROR(IF(DF6&gt;0,(DF6*DC6)/170,AX6/170),0)</f>
        <v>0</v>
      </c>
      <c r="DH6">
        <f t="shared" si="0"/>
        <v>0</v>
      </c>
    </row>
    <row r="7" spans="1:112" ht="15" customHeight="1">
      <c r="A7" s="1">
        <v>2</v>
      </c>
      <c r="B7" s="43" t="str">
        <f t="shared" ref="B7:B44" si="5">C7</f>
        <v>andere Kälber und Jungrinder unter 1/2 Jahr - Mist/Jauche</v>
      </c>
      <c r="C7" s="44" t="s">
        <v>500</v>
      </c>
      <c r="D7" s="823"/>
      <c r="E7" s="824"/>
      <c r="F7" s="824"/>
      <c r="G7" s="824">
        <v>5.2</v>
      </c>
      <c r="H7" s="825">
        <v>5.2</v>
      </c>
      <c r="I7" s="826"/>
      <c r="J7" s="827">
        <v>0.7</v>
      </c>
      <c r="K7" s="828">
        <v>0.8</v>
      </c>
      <c r="L7" s="826">
        <v>0.4</v>
      </c>
      <c r="M7" s="828">
        <v>1</v>
      </c>
      <c r="N7" s="826"/>
      <c r="O7" s="827"/>
      <c r="P7" s="827"/>
      <c r="Q7" s="829">
        <v>3.55</v>
      </c>
      <c r="R7" s="830">
        <v>3.55</v>
      </c>
      <c r="S7" s="831"/>
      <c r="T7" s="829"/>
      <c r="U7" s="829"/>
      <c r="V7" s="829">
        <v>5.45</v>
      </c>
      <c r="W7" s="830">
        <v>5.45</v>
      </c>
      <c r="X7" s="1173"/>
      <c r="Y7" s="1174"/>
      <c r="Z7" s="1174"/>
      <c r="AA7" s="1175"/>
      <c r="AB7" s="1174"/>
      <c r="AC7" s="1174"/>
      <c r="AD7" s="1174"/>
      <c r="AE7" s="1175"/>
      <c r="AF7" s="826"/>
      <c r="AG7" s="827">
        <v>4.5</v>
      </c>
      <c r="AH7" s="828">
        <v>4.7</v>
      </c>
      <c r="AI7" s="49" t="s">
        <v>500</v>
      </c>
      <c r="AJ7" s="50">
        <v>34</v>
      </c>
      <c r="AK7" s="51">
        <v>12.8</v>
      </c>
      <c r="AL7" s="41">
        <f t="shared" si="1"/>
        <v>13.28125</v>
      </c>
      <c r="AM7" s="744"/>
      <c r="AN7"/>
      <c r="AP7" s="18">
        <f>Tiere!B7</f>
        <v>0</v>
      </c>
      <c r="AQ7" s="19">
        <f>IF(AP7=0,0,Tiere!I7)</f>
        <v>0</v>
      </c>
      <c r="AR7" s="20">
        <f>IFERROR(IF(Tiere!$BZ7&gt;0,VLOOKUP($AP7,Tabelle1!$B$4:$AE$162,12,0)*$AQ7,0),0)</f>
        <v>0</v>
      </c>
      <c r="AS7" s="21">
        <f>IFERROR(IF(Tiere!$BZ7&gt;0,VLOOKUP($AP7,Tabelle1!$B$4:$W$162,3,0)*$AR7,0),0)</f>
        <v>0</v>
      </c>
      <c r="AT7" s="22">
        <f>IFERROR(IF(Tiere!$BZ7&gt;0,VLOOKUP($AP7,Tabelle1!$B$4:$W$162,4,0)*$AR7,0),0)</f>
        <v>0</v>
      </c>
      <c r="AU7" s="23">
        <f>IFERROR(IF(Tiere!$BZ7&gt;0,VLOOKUP($AP7,Tabelle1!$B$4:$W$162,5,0)*$AR7,0),0)</f>
        <v>0</v>
      </c>
      <c r="AV7" s="23">
        <f>IFERROR(IF(Tiere!$BZ7&gt;0,VLOOKUP($AP7,Tabelle1!$B$4:$W$162,6,0)*$AR7,0),0)</f>
        <v>0</v>
      </c>
      <c r="AW7" s="24">
        <f>IFERROR(IF(Tiere!$BZ7&gt;0,VLOOKUP($AP7,Tabelle1!$B$4:$W$162,7,0)*$AR7,0),0)</f>
        <v>0</v>
      </c>
      <c r="AX7" s="25">
        <f>IF(Tiere!$BZ7&gt;0,SUM(AS7:AW7),0)</f>
        <v>0</v>
      </c>
      <c r="AY7" s="26">
        <f>IFERROR(IF(Tiere!$BZ7&gt;0,VLOOKUP($AP7,Tabelle1!$B$4:$W$162,8,0)*$AQ7,0),0)</f>
        <v>0</v>
      </c>
      <c r="AZ7" s="27">
        <f>IFERROR(IF(Tiere!$BZ7&gt;0,VLOOKUP($AP7,Tabelle1!$B$4:$W$162,9,0)*$AQ7,0),0)</f>
        <v>0</v>
      </c>
      <c r="BA7" s="28">
        <f>IFERROR(IF(Tiere!$BZ7&gt;0,VLOOKUP($AP7,Tabelle1!$B$4:$W$162,10,0)*$AQ7,0),0)</f>
        <v>0</v>
      </c>
      <c r="BB7" s="29">
        <f>IFERROR(IF(Tiere!$BZ7&gt;0,VLOOKUP($AP7,Tabelle1!$B$4:$W$162,11,0)*$AQ7,0),0)</f>
        <v>0</v>
      </c>
      <c r="BC7" s="52">
        <f>IFERROR(IF(Tiere!$BZ7&gt;0,VLOOKUP($AP7,Tabelle1!$B$4:$W$153,12,0)*$AQ7,0),0)</f>
        <v>0</v>
      </c>
      <c r="BD7" s="22">
        <f>IFERROR(IF(Tiere!$BZ7&gt;0,VLOOKUP($AP7,Tabelle1!$B$4:$W$162,13,0)*$AR7,0),0)</f>
        <v>0</v>
      </c>
      <c r="BE7" s="23">
        <f>IFERROR(IF(Tiere!$BZ7&gt;0,VLOOKUP($AP7,Tabelle1!$B$4:$W$162,14,0)*$AR7,0),0)</f>
        <v>0</v>
      </c>
      <c r="BF7" s="23">
        <f>IFERROR(IF(Tiere!$BZ7&gt;0,VLOOKUP($AP7,Tabelle1!$B$4:$W$162,15,0)*$AR7,0),0)</f>
        <v>0</v>
      </c>
      <c r="BG7" s="23">
        <f>IFERROR(IF(Tiere!$BZ7&gt;0,VLOOKUP($AP7,Tabelle1!$B$4:$W$162,16,0)*$AR7,0),0)</f>
        <v>0</v>
      </c>
      <c r="BH7" s="24">
        <f>IFERROR(IF(Tiere!$BZ7&gt;0,VLOOKUP($AP7,Tabelle1!$B$4:$W$162,17,0)*$AR7,0),0)</f>
        <v>0</v>
      </c>
      <c r="BI7" s="30">
        <f>IF(Tiere!$BZ7&gt;0,SUM(BD7:BH7),0)</f>
        <v>0</v>
      </c>
      <c r="BJ7" s="22">
        <f>IFERROR(IF(Tiere!$BZ7&gt;0,VLOOKUP($AP7,Tabelle1!$B$4:$W$162,18,0)*$AR7,0),0)</f>
        <v>0</v>
      </c>
      <c r="BK7" s="23">
        <f>IFERROR(IF(Tiere!$BZ7&gt;0,VLOOKUP($AP7,Tabelle1!$B$4:$W$162,19,0)*$AR7,0),0)</f>
        <v>0</v>
      </c>
      <c r="BL7" s="23">
        <f>IFERROR(IF(Tiere!$BZ7&gt;0,VLOOKUP($AP7,Tabelle1!$B$4:$W$162,20,0)*$AR7,0),0)</f>
        <v>0</v>
      </c>
      <c r="BM7" s="23">
        <f>IFERROR(IF(Tiere!$BZ7&gt;0,VLOOKUP($AP7,Tabelle1!$B$4:$W$162,21,0)*$AR7,0),0)</f>
        <v>0</v>
      </c>
      <c r="BN7" s="24">
        <f>IFERROR(IF(Tiere!$BZ7&gt;0,VLOOKUP($AP7,Tabelle1!$B$4:$W$162,22,0)*$AR7,0),0)</f>
        <v>0</v>
      </c>
      <c r="BO7" s="32">
        <f>IF(Tiere!$BZ7&gt;0,SUM(BJ7:BN7),0)</f>
        <v>0</v>
      </c>
      <c r="BP7" s="33">
        <f>IF(Tiere!$BZ7&gt;0,Tiere!K7,0)</f>
        <v>0</v>
      </c>
      <c r="BQ7" s="34">
        <f>IF(Tiere!$BZ7&gt;0,Tiere!L7,0)</f>
        <v>0</v>
      </c>
      <c r="BR7" s="33">
        <f>IF(Tiere!$BZ7&gt;0,Tiere!M7,0)</f>
        <v>0</v>
      </c>
      <c r="BS7" s="20">
        <f>IF(Tiere!$BZ7&gt;0,Tiere!N7,0)</f>
        <v>0</v>
      </c>
      <c r="BT7" s="816">
        <f t="shared" si="2"/>
        <v>0</v>
      </c>
      <c r="BU7" s="817">
        <f t="shared" si="3"/>
        <v>0</v>
      </c>
      <c r="BV7" s="22">
        <f>IF(Tiere!$BZ7&gt;0,AS7*$BT7,0)</f>
        <v>0</v>
      </c>
      <c r="BW7" s="22">
        <f>IF(Tiere!$BZ7&gt;0,AT7*$BT7,0)</f>
        <v>0</v>
      </c>
      <c r="BX7" s="23">
        <f>IF(Tiere!$BZ7&gt;0,AU7*$BT7,0)</f>
        <v>0</v>
      </c>
      <c r="BY7" s="23">
        <f>IF(Tiere!$BZ7&gt;0,AV7*$BT7,0)</f>
        <v>0</v>
      </c>
      <c r="BZ7" s="35">
        <f>IF(Tiere!$BZ7&gt;0,AW7*$BT7,0)</f>
        <v>0</v>
      </c>
      <c r="CA7" s="25">
        <f>IF(Tiere!$BZ7&gt;0,SUM(BV7:BZ7),0)</f>
        <v>0</v>
      </c>
      <c r="CB7" s="29">
        <f>IF(Tiere!$BZ7&gt;0,AS7*$BU7,0)</f>
        <v>0</v>
      </c>
      <c r="CC7" s="29">
        <f>IF(Tiere!$BZ7&gt;0,AT7*$BU7,0)</f>
        <v>0</v>
      </c>
      <c r="CD7" s="29">
        <f>IF(Tiere!$BZ7&gt;0,AU7*$BU7,0)</f>
        <v>0</v>
      </c>
      <c r="CE7" s="29">
        <f>IF(Tiere!$BZ7&gt;0,AV7*$BU7,0)</f>
        <v>0</v>
      </c>
      <c r="CF7" s="36">
        <f>IF(Tiere!$BZ7&gt;0,AW7*$BU7,0)</f>
        <v>0</v>
      </c>
      <c r="CG7" s="25">
        <f>IF(Tiere!$BZ7&gt;0,SUM(CB7:CF7),0)</f>
        <v>0</v>
      </c>
      <c r="CH7" s="21">
        <f>IFERROR(IF(Tiere!$BZ7&gt;0,BD7*$BT7,0),0)</f>
        <v>0</v>
      </c>
      <c r="CI7" s="22">
        <f>IFERROR(IF(Tiere!$BZ7&gt;0,BE7*$BT7,0),0)</f>
        <v>0</v>
      </c>
      <c r="CJ7" s="23">
        <f>IFERROR(IF(Tiere!$BZ7&gt;0,BF7*$BT7,0),0)</f>
        <v>0</v>
      </c>
      <c r="CK7" s="23">
        <f>IFERROR(IF(Tiere!$BZ7&gt;0,BG7*$BT7,0),0)</f>
        <v>0</v>
      </c>
      <c r="CL7" s="35">
        <f>IFERROR(IF(Tiere!$BZ7&gt;0,BH7*$BT7,0),0)</f>
        <v>0</v>
      </c>
      <c r="CM7" s="21">
        <f>IFERROR(IF(Tiere!$BZ7&gt;0,BJ7*$BT7,0),0)</f>
        <v>0</v>
      </c>
      <c r="CN7" s="22">
        <f>IFERROR(IF(Tiere!$BZ7&gt;0,BK7*$BT7,0),0)</f>
        <v>0</v>
      </c>
      <c r="CO7" s="23">
        <f>IFERROR(IF(Tiere!$BZ7&gt;0,BL7*$BT7,0),0)</f>
        <v>0</v>
      </c>
      <c r="CP7" s="23">
        <f>IFERROR(IF(Tiere!$BZ7&gt;0,BM7*$BT7,0),0)</f>
        <v>0</v>
      </c>
      <c r="CQ7" s="35">
        <f>IFERROR(IF(Tiere!$BZ7&gt;0,BN7*$BT7,0),0)</f>
        <v>0</v>
      </c>
      <c r="CR7" s="21">
        <f>IFERROR(IF(Tiere!$BZ7&gt;0,BD7*$BU7,0),0)</f>
        <v>0</v>
      </c>
      <c r="CS7" s="22">
        <f>IFERROR(IF(Tiere!$BZ7&gt;0,BE7*$BU7,0),0)</f>
        <v>0</v>
      </c>
      <c r="CT7" s="23">
        <f>IFERROR(IF(Tiere!$BZ7&gt;0,BF7*$BU7,0),0)</f>
        <v>0</v>
      </c>
      <c r="CU7" s="23">
        <f>IFERROR(IF(Tiere!$BZ7&gt;0,BG7*$BU7,0),0)</f>
        <v>0</v>
      </c>
      <c r="CV7" s="35">
        <f>IFERROR(IF(Tiere!$BZ7&gt;0,BH7*$BU7,0),0)</f>
        <v>0</v>
      </c>
      <c r="CW7" s="21">
        <f>IFERROR(IF(Tiere!$BZ7&gt;0,BJ7*$BU7,0),0)</f>
        <v>0</v>
      </c>
      <c r="CX7" s="22">
        <f>IFERROR(IF(Tiere!$BZ7&gt;0,BK7*$BU7,0),0)</f>
        <v>0</v>
      </c>
      <c r="CY7" s="23">
        <f>IFERROR(IF(Tiere!$BZ7&gt;0,BL7*$BU7,0),0)</f>
        <v>0</v>
      </c>
      <c r="CZ7" s="23">
        <f>IFERROR(IF(Tiere!$BZ7&gt;0,BM7*$BU7,0),0)</f>
        <v>0</v>
      </c>
      <c r="DA7" s="35">
        <f>IFERROR(IF(Tiere!$BZ7&gt;0,BN7*$BU7,0),0)</f>
        <v>0</v>
      </c>
      <c r="DB7" s="37">
        <f>IFERROR(IF(Tiere!$BZ7&gt;0,VLOOKUP($AP7,Tabelle1!$B$4:$W$162,11,0)*$BR7,0),0)</f>
        <v>0</v>
      </c>
      <c r="DC7" s="38">
        <f>IF(Tiere!$BZ7&gt;0,AR7,0)</f>
        <v>0</v>
      </c>
      <c r="DD7" s="39">
        <f>IFERROR(IF(Tiere!$BZ7&gt;0,VLOOKUP($AP7,Tabelle1!$B$4:$AJ$162,35,0),0),0)</f>
        <v>0</v>
      </c>
      <c r="DE7" s="40">
        <f>IFERROR(IF(Tiere!$BZ7&gt;0,IF(DD7&gt;0,(DD7*DC7)/170,AX7/170),0),0)</f>
        <v>0</v>
      </c>
      <c r="DF7" s="41">
        <f>IFERROR(IF(Tiere!$BZ7&gt;0,VLOOKUP($AP7,Tabelle1!$B$4:$AK$162,36,0),0),0)</f>
        <v>0</v>
      </c>
      <c r="DG7" s="42">
        <f t="shared" si="4"/>
        <v>0</v>
      </c>
      <c r="DH7">
        <f t="shared" si="0"/>
        <v>0</v>
      </c>
    </row>
    <row r="8" spans="1:112" ht="15">
      <c r="A8" s="1">
        <v>3</v>
      </c>
      <c r="B8" s="43" t="str">
        <f t="shared" si="5"/>
        <v>andere Kälber und Jungrinder unter 1/2 Jahr - Tiefstallmist</v>
      </c>
      <c r="C8" s="44" t="s">
        <v>501</v>
      </c>
      <c r="D8" s="823"/>
      <c r="E8" s="824"/>
      <c r="F8" s="824"/>
      <c r="G8" s="824"/>
      <c r="H8" s="825">
        <v>10.4</v>
      </c>
      <c r="I8" s="826"/>
      <c r="J8" s="827"/>
      <c r="K8" s="828">
        <v>1.7</v>
      </c>
      <c r="L8" s="826">
        <v>0.4</v>
      </c>
      <c r="M8" s="828">
        <v>1</v>
      </c>
      <c r="N8" s="826"/>
      <c r="O8" s="827"/>
      <c r="P8" s="827"/>
      <c r="Q8" s="829"/>
      <c r="R8" s="830">
        <v>7.1</v>
      </c>
      <c r="S8" s="831"/>
      <c r="T8" s="829"/>
      <c r="U8" s="829"/>
      <c r="V8" s="829"/>
      <c r="W8" s="830">
        <v>10.9</v>
      </c>
      <c r="X8" s="1173"/>
      <c r="Y8" s="1174"/>
      <c r="Z8" s="1174"/>
      <c r="AA8" s="1175"/>
      <c r="AB8" s="1174"/>
      <c r="AC8" s="1174"/>
      <c r="AD8" s="1174"/>
      <c r="AE8" s="1175"/>
      <c r="AF8" s="826"/>
      <c r="AG8" s="827"/>
      <c r="AH8" s="828">
        <v>9.5</v>
      </c>
      <c r="AI8" s="49" t="s">
        <v>501</v>
      </c>
      <c r="AJ8" s="50">
        <v>34</v>
      </c>
      <c r="AK8" s="51">
        <v>12.8</v>
      </c>
      <c r="AL8" s="41">
        <f t="shared" si="1"/>
        <v>13.28125</v>
      </c>
      <c r="AM8" s="745" t="s">
        <v>502</v>
      </c>
      <c r="AN8" s="53" t="s">
        <v>503</v>
      </c>
      <c r="AO8" s="43"/>
      <c r="AP8" s="18">
        <f>Tiere!B8</f>
        <v>0</v>
      </c>
      <c r="AQ8" s="19">
        <f>IF(AP8=0,0,Tiere!I8)</f>
        <v>0</v>
      </c>
      <c r="AR8" s="20">
        <f>IFERROR(IF(Tiere!$BZ8&gt;0,VLOOKUP($AP8,Tabelle1!$B$4:$AE$162,12,0)*$AQ8,0),0)</f>
        <v>0</v>
      </c>
      <c r="AS8" s="21">
        <f>IFERROR(IF(Tiere!$BZ8&gt;0,VLOOKUP($AP8,Tabelle1!$B$4:$W$162,3,0)*$AR8,0),0)</f>
        <v>0</v>
      </c>
      <c r="AT8" s="22">
        <f>IFERROR(IF(Tiere!$BZ8&gt;0,VLOOKUP($AP8,Tabelle1!$B$4:$W$162,4,0)*$AR8,0),0)</f>
        <v>0</v>
      </c>
      <c r="AU8" s="23">
        <f>IFERROR(IF(Tiere!$BZ8&gt;0,VLOOKUP($AP8,Tabelle1!$B$4:$W$162,5,0)*$AR8,0),0)</f>
        <v>0</v>
      </c>
      <c r="AV8" s="23">
        <f>IFERROR(IF(Tiere!$BZ8&gt;0,VLOOKUP($AP8,Tabelle1!$B$4:$W$162,6,0)*$AR8,0),0)</f>
        <v>0</v>
      </c>
      <c r="AW8" s="24">
        <f>IFERROR(IF(Tiere!$BZ8&gt;0,VLOOKUP($AP8,Tabelle1!$B$4:$W$162,7,0)*$AR8,0),0)</f>
        <v>0</v>
      </c>
      <c r="AX8" s="25">
        <f>IF(Tiere!$BZ8&gt;0,SUM(AS8:AW8),0)</f>
        <v>0</v>
      </c>
      <c r="AY8" s="26">
        <f>IFERROR(IF(Tiere!$BZ8&gt;0,VLOOKUP($AP8,Tabelle1!$B$4:$W$162,8,0)*$AQ8,0),0)</f>
        <v>0</v>
      </c>
      <c r="AZ8" s="27">
        <f>IFERROR(IF(Tiere!$BZ8&gt;0,VLOOKUP($AP8,Tabelle1!$B$4:$W$162,9,0)*$AQ8,0),0)</f>
        <v>0</v>
      </c>
      <c r="BA8" s="28">
        <f>IFERROR(IF(Tiere!$BZ8&gt;0,VLOOKUP($AP8,Tabelle1!$B$4:$W$162,10,0)*$AQ8,0),0)</f>
        <v>0</v>
      </c>
      <c r="BB8" s="29">
        <f>IFERROR(IF(Tiere!$BZ8&gt;0,VLOOKUP($AP8,Tabelle1!$B$4:$W$162,11,0)*$AQ8,0),0)</f>
        <v>0</v>
      </c>
      <c r="BC8" s="52">
        <f>IFERROR(IF(Tiere!$BZ8&gt;0,VLOOKUP($AP8,Tabelle1!$B$4:$W$153,12,0)*$AQ8,0),0)</f>
        <v>0</v>
      </c>
      <c r="BD8" s="22">
        <f>IFERROR(IF(Tiere!$BZ8&gt;0,VLOOKUP($AP8,Tabelle1!$B$4:$W$162,13,0)*$AR8,0),0)</f>
        <v>0</v>
      </c>
      <c r="BE8" s="23">
        <f>IFERROR(IF(Tiere!$BZ8&gt;0,VLOOKUP($AP8,Tabelle1!$B$4:$W$162,14,0)*$AR8,0),0)</f>
        <v>0</v>
      </c>
      <c r="BF8" s="23">
        <f>IFERROR(IF(Tiere!$BZ8&gt;0,VLOOKUP($AP8,Tabelle1!$B$4:$W$162,15,0)*$AR8,0),0)</f>
        <v>0</v>
      </c>
      <c r="BG8" s="23">
        <f>IFERROR(IF(Tiere!$BZ8&gt;0,VLOOKUP($AP8,Tabelle1!$B$4:$W$162,16,0)*$AR8,0),0)</f>
        <v>0</v>
      </c>
      <c r="BH8" s="24">
        <f>IFERROR(IF(Tiere!$BZ8&gt;0,VLOOKUP($AP8,Tabelle1!$B$4:$W$162,17,0)*$AR8,0),0)</f>
        <v>0</v>
      </c>
      <c r="BI8" s="30">
        <f>IF(Tiere!$BZ8&gt;0,SUM(BD8:BH8),0)</f>
        <v>0</v>
      </c>
      <c r="BJ8" s="22">
        <f>IFERROR(IF(Tiere!$BZ8&gt;0,VLOOKUP($AP8,Tabelle1!$B$4:$W$162,18,0)*$AR8,0),0)</f>
        <v>0</v>
      </c>
      <c r="BK8" s="23">
        <f>IFERROR(IF(Tiere!$BZ8&gt;0,VLOOKUP($AP8,Tabelle1!$B$4:$W$162,19,0)*$AR8,0),0)</f>
        <v>0</v>
      </c>
      <c r="BL8" s="23">
        <f>IFERROR(IF(Tiere!$BZ8&gt;0,VLOOKUP($AP8,Tabelle1!$B$4:$W$162,20,0)*$AR8,0),0)</f>
        <v>0</v>
      </c>
      <c r="BM8" s="23">
        <f>IFERROR(IF(Tiere!$BZ8&gt;0,VLOOKUP($AP8,Tabelle1!$B$4:$W$162,21,0)*$AR8,0),0)</f>
        <v>0</v>
      </c>
      <c r="BN8" s="24">
        <f>IFERROR(IF(Tiere!$BZ8&gt;0,VLOOKUP($AP8,Tabelle1!$B$4:$W$162,22,0)*$AR8,0),0)</f>
        <v>0</v>
      </c>
      <c r="BO8" s="32">
        <f>IF(Tiere!$BZ8&gt;0,SUM(BJ8:BN8),0)</f>
        <v>0</v>
      </c>
      <c r="BP8" s="33">
        <f>IF(Tiere!$BZ8&gt;0,Tiere!K8,0)</f>
        <v>0</v>
      </c>
      <c r="BQ8" s="34">
        <f>IF(Tiere!$BZ8&gt;0,Tiere!L8,0)</f>
        <v>0</v>
      </c>
      <c r="BR8" s="33">
        <f>IF(Tiere!$BZ8&gt;0,Tiere!M8,0)</f>
        <v>0</v>
      </c>
      <c r="BS8" s="20">
        <f>IF(Tiere!$BZ8&gt;0,Tiere!N8,0)</f>
        <v>0</v>
      </c>
      <c r="BT8" s="816">
        <f t="shared" si="2"/>
        <v>0</v>
      </c>
      <c r="BU8" s="817">
        <f t="shared" si="3"/>
        <v>0</v>
      </c>
      <c r="BV8" s="22">
        <f>IF(Tiere!$BZ8&gt;0,AS8*$BT8,0)</f>
        <v>0</v>
      </c>
      <c r="BW8" s="22">
        <f>IF(Tiere!$BZ8&gt;0,AT8*$BT8,0)</f>
        <v>0</v>
      </c>
      <c r="BX8" s="23">
        <f>IF(Tiere!$BZ8&gt;0,AU8*$BT8,0)</f>
        <v>0</v>
      </c>
      <c r="BY8" s="23">
        <f>IF(Tiere!$BZ8&gt;0,AV8*$BT8,0)</f>
        <v>0</v>
      </c>
      <c r="BZ8" s="35">
        <f>IF(Tiere!$BZ8&gt;0,AW8*$BT8,0)</f>
        <v>0</v>
      </c>
      <c r="CA8" s="25">
        <f>IF(Tiere!$BZ8&gt;0,SUM(BV8:BZ8),0)</f>
        <v>0</v>
      </c>
      <c r="CB8" s="29">
        <f>IF(Tiere!$BZ8&gt;0,AS8*$BU8,0)</f>
        <v>0</v>
      </c>
      <c r="CC8" s="29">
        <f>IF(Tiere!$BZ8&gt;0,AT8*$BU8,0)</f>
        <v>0</v>
      </c>
      <c r="CD8" s="29">
        <f>IF(Tiere!$BZ8&gt;0,AU8*$BU8,0)</f>
        <v>0</v>
      </c>
      <c r="CE8" s="29">
        <f>IF(Tiere!$BZ8&gt;0,AV8*$BU8,0)</f>
        <v>0</v>
      </c>
      <c r="CF8" s="36">
        <f>IF(Tiere!$BZ8&gt;0,AW8*$BU8,0)</f>
        <v>0</v>
      </c>
      <c r="CG8" s="25">
        <f>IF(Tiere!$BZ8&gt;0,SUM(CB8:CF8),0)</f>
        <v>0</v>
      </c>
      <c r="CH8" s="21">
        <f>IFERROR(IF(Tiere!$BZ8&gt;0,BD8*$BT8,0),0)</f>
        <v>0</v>
      </c>
      <c r="CI8" s="22">
        <f>IFERROR(IF(Tiere!$BZ8&gt;0,BE8*$BT8,0),0)</f>
        <v>0</v>
      </c>
      <c r="CJ8" s="23">
        <f>IFERROR(IF(Tiere!$BZ8&gt;0,BF8*$BT8,0),0)</f>
        <v>0</v>
      </c>
      <c r="CK8" s="23">
        <f>IFERROR(IF(Tiere!$BZ8&gt;0,BG8*$BT8,0),0)</f>
        <v>0</v>
      </c>
      <c r="CL8" s="35">
        <f>IFERROR(IF(Tiere!$BZ8&gt;0,BH8*$BT8,0),0)</f>
        <v>0</v>
      </c>
      <c r="CM8" s="21">
        <f>IFERROR(IF(Tiere!$BZ8&gt;0,BJ8*$BT8,0),0)</f>
        <v>0</v>
      </c>
      <c r="CN8" s="22">
        <f>IFERROR(IF(Tiere!$BZ8&gt;0,BK8*$BT8,0),0)</f>
        <v>0</v>
      </c>
      <c r="CO8" s="23">
        <f>IFERROR(IF(Tiere!$BZ8&gt;0,BL8*$BT8,0),0)</f>
        <v>0</v>
      </c>
      <c r="CP8" s="23">
        <f>IFERROR(IF(Tiere!$BZ8&gt;0,BM8*$BT8,0),0)</f>
        <v>0</v>
      </c>
      <c r="CQ8" s="35">
        <f>IFERROR(IF(Tiere!$BZ8&gt;0,BN8*$BT8,0),0)</f>
        <v>0</v>
      </c>
      <c r="CR8" s="21">
        <f>IFERROR(IF(Tiere!$BZ8&gt;0,BD8*$BU8,0),0)</f>
        <v>0</v>
      </c>
      <c r="CS8" s="22">
        <f>IFERROR(IF(Tiere!$BZ8&gt;0,BE8*$BU8,0),0)</f>
        <v>0</v>
      </c>
      <c r="CT8" s="23">
        <f>IFERROR(IF(Tiere!$BZ8&gt;0,BF8*$BU8,0),0)</f>
        <v>0</v>
      </c>
      <c r="CU8" s="23">
        <f>IFERROR(IF(Tiere!$BZ8&gt;0,BG8*$BU8,0),0)</f>
        <v>0</v>
      </c>
      <c r="CV8" s="35">
        <f>IFERROR(IF(Tiere!$BZ8&gt;0,BH8*$BU8,0),0)</f>
        <v>0</v>
      </c>
      <c r="CW8" s="21">
        <f>IFERROR(IF(Tiere!$BZ8&gt;0,BJ8*$BU8,0),0)</f>
        <v>0</v>
      </c>
      <c r="CX8" s="22">
        <f>IFERROR(IF(Tiere!$BZ8&gt;0,BK8*$BU8,0),0)</f>
        <v>0</v>
      </c>
      <c r="CY8" s="23">
        <f>IFERROR(IF(Tiere!$BZ8&gt;0,BL8*$BU8,0),0)</f>
        <v>0</v>
      </c>
      <c r="CZ8" s="23">
        <f>IFERROR(IF(Tiere!$BZ8&gt;0,BM8*$BU8,0),0)</f>
        <v>0</v>
      </c>
      <c r="DA8" s="35">
        <f>IFERROR(IF(Tiere!$BZ8&gt;0,BN8*$BU8,0),0)</f>
        <v>0</v>
      </c>
      <c r="DB8" s="37">
        <f>IFERROR(IF(Tiere!$BZ8&gt;0,VLOOKUP($AP8,Tabelle1!$B$4:$W$162,11,0)*$BR8,0),0)</f>
        <v>0</v>
      </c>
      <c r="DC8" s="38">
        <f>IF(Tiere!$BZ8&gt;0,AR8,0)</f>
        <v>0</v>
      </c>
      <c r="DD8" s="39">
        <f>IFERROR(IF(Tiere!$BZ8&gt;0,VLOOKUP($AP8,Tabelle1!$B$4:$AJ$162,35,0),0),0)</f>
        <v>0</v>
      </c>
      <c r="DE8" s="40">
        <f>IFERROR(IF(Tiere!$BZ8&gt;0,IF(DD8&gt;0,(DD8*DC8)/170,AX8/170),0),0)</f>
        <v>0</v>
      </c>
      <c r="DF8" s="41">
        <f>IFERROR(IF(Tiere!$BZ8&gt;0,VLOOKUP($AP8,Tabelle1!$B$4:$AK$162,36,0),0),0)</f>
        <v>0</v>
      </c>
      <c r="DG8" s="42">
        <f t="shared" si="4"/>
        <v>0</v>
      </c>
      <c r="DH8">
        <f t="shared" si="0"/>
        <v>0</v>
      </c>
    </row>
    <row r="9" spans="1:112" ht="14.25">
      <c r="A9" s="1">
        <v>4</v>
      </c>
      <c r="B9" s="43" t="str">
        <f t="shared" si="5"/>
        <v>Jungvieh 1/2 bis 1 Jahr - Gülle</v>
      </c>
      <c r="C9" s="44" t="s">
        <v>504</v>
      </c>
      <c r="D9" s="823">
        <v>34.4</v>
      </c>
      <c r="E9" s="824"/>
      <c r="F9" s="824"/>
      <c r="G9" s="824"/>
      <c r="H9" s="825"/>
      <c r="I9" s="826">
        <v>3.4</v>
      </c>
      <c r="J9" s="827"/>
      <c r="K9" s="828"/>
      <c r="L9" s="826">
        <v>0.6</v>
      </c>
      <c r="M9" s="828">
        <v>1</v>
      </c>
      <c r="N9" s="826">
        <v>13.5</v>
      </c>
      <c r="O9" s="827"/>
      <c r="P9" s="827"/>
      <c r="Q9" s="829"/>
      <c r="R9" s="830"/>
      <c r="S9" s="831">
        <v>43.1</v>
      </c>
      <c r="T9" s="829"/>
      <c r="U9" s="829"/>
      <c r="V9" s="829"/>
      <c r="W9" s="830"/>
      <c r="X9" s="1173"/>
      <c r="Y9" s="1174"/>
      <c r="Z9" s="1174"/>
      <c r="AA9" s="1175"/>
      <c r="AB9" s="1174"/>
      <c r="AC9" s="1174"/>
      <c r="AD9" s="1174"/>
      <c r="AE9" s="1175"/>
      <c r="AF9" s="826">
        <v>29.9</v>
      </c>
      <c r="AG9" s="827"/>
      <c r="AH9" s="828"/>
      <c r="AI9" s="49" t="s">
        <v>504</v>
      </c>
      <c r="AJ9" s="50">
        <v>34</v>
      </c>
      <c r="AK9" s="51">
        <v>42.5</v>
      </c>
      <c r="AL9" s="41">
        <f t="shared" si="1"/>
        <v>4</v>
      </c>
      <c r="AM9" s="745" t="s">
        <v>505</v>
      </c>
      <c r="AN9" s="54"/>
      <c r="AO9" s="55"/>
      <c r="AP9" s="18">
        <f>Tiere!B9</f>
        <v>0</v>
      </c>
      <c r="AQ9" s="19">
        <f>IF(AP9=0,0,Tiere!I9)</f>
        <v>0</v>
      </c>
      <c r="AR9" s="20">
        <f>IFERROR(IF(Tiere!$BZ9&gt;0,VLOOKUP($AP9,Tabelle1!$B$4:$AE$162,12,0)*$AQ9,0),0)</f>
        <v>0</v>
      </c>
      <c r="AS9" s="21">
        <f>IFERROR(IF(Tiere!$BZ9&gt;0,VLOOKUP($AP9,Tabelle1!$B$4:$W$162,3,0)*$AR9,0),0)</f>
        <v>0</v>
      </c>
      <c r="AT9" s="22">
        <f>IFERROR(IF(Tiere!$BZ9&gt;0,VLOOKUP($AP9,Tabelle1!$B$4:$W$162,4,0)*$AR9,0),0)</f>
        <v>0</v>
      </c>
      <c r="AU9" s="23">
        <f>IFERROR(IF(Tiere!$BZ9&gt;0,VLOOKUP($AP9,Tabelle1!$B$4:$W$162,5,0)*$AR9,0),0)</f>
        <v>0</v>
      </c>
      <c r="AV9" s="23">
        <f>IFERROR(IF(Tiere!$BZ9&gt;0,VLOOKUP($AP9,Tabelle1!$B$4:$W$162,6,0)*$AR9,0),0)</f>
        <v>0</v>
      </c>
      <c r="AW9" s="24">
        <f>IFERROR(IF(Tiere!$BZ9&gt;0,VLOOKUP($AP9,Tabelle1!$B$4:$W$162,7,0)*$AR9,0),0)</f>
        <v>0</v>
      </c>
      <c r="AX9" s="25">
        <f>IF(Tiere!$BZ9&gt;0,SUM(AS9:AW9),0)</f>
        <v>0</v>
      </c>
      <c r="AY9" s="26">
        <f>IFERROR(IF(Tiere!$BZ9&gt;0,VLOOKUP($AP9,Tabelle1!$B$4:$W$162,8,0)*$AQ9,0),0)</f>
        <v>0</v>
      </c>
      <c r="AZ9" s="27">
        <f>IFERROR(IF(Tiere!$BZ9&gt;0,VLOOKUP($AP9,Tabelle1!$B$4:$W$162,9,0)*$AQ9,0),0)</f>
        <v>0</v>
      </c>
      <c r="BA9" s="28">
        <f>IFERROR(IF(Tiere!$BZ9&gt;0,VLOOKUP($AP9,Tabelle1!$B$4:$W$162,10,0)*$AQ9,0),0)</f>
        <v>0</v>
      </c>
      <c r="BB9" s="29">
        <f>IFERROR(IF(Tiere!$BZ9&gt;0,VLOOKUP($AP9,Tabelle1!$B$4:$W$162,11,0)*$AQ9,0),0)</f>
        <v>0</v>
      </c>
      <c r="BC9" s="52">
        <f>IFERROR(IF(Tiere!$BZ9&gt;0,VLOOKUP($AP9,Tabelle1!$B$4:$W$153,12,0)*$AQ9,0),0)</f>
        <v>0</v>
      </c>
      <c r="BD9" s="22">
        <f>IFERROR(IF(Tiere!$BZ9&gt;0,VLOOKUP($AP9,Tabelle1!$B$4:$W$162,13,0)*$AR9,0),0)</f>
        <v>0</v>
      </c>
      <c r="BE9" s="23">
        <f>IFERROR(IF(Tiere!$BZ9&gt;0,VLOOKUP($AP9,Tabelle1!$B$4:$W$162,14,0)*$AR9,0),0)</f>
        <v>0</v>
      </c>
      <c r="BF9" s="23">
        <f>IFERROR(IF(Tiere!$BZ9&gt;0,VLOOKUP($AP9,Tabelle1!$B$4:$W$162,15,0)*$AR9,0),0)</f>
        <v>0</v>
      </c>
      <c r="BG9" s="23">
        <f>IFERROR(IF(Tiere!$BZ9&gt;0,VLOOKUP($AP9,Tabelle1!$B$4:$W$162,16,0)*$AR9,0),0)</f>
        <v>0</v>
      </c>
      <c r="BH9" s="24">
        <f>IFERROR(IF(Tiere!$BZ9&gt;0,VLOOKUP($AP9,Tabelle1!$B$4:$W$162,17,0)*$AR9,0),0)</f>
        <v>0</v>
      </c>
      <c r="BI9" s="30">
        <f>IF(Tiere!$BZ9&gt;0,SUM(BD9:BH9),0)</f>
        <v>0</v>
      </c>
      <c r="BJ9" s="22">
        <f>IFERROR(IF(Tiere!$BZ9&gt;0,VLOOKUP($AP9,Tabelle1!$B$4:$W$162,18,0)*$AR9,0),0)</f>
        <v>0</v>
      </c>
      <c r="BK9" s="23">
        <f>IFERROR(IF(Tiere!$BZ9&gt;0,VLOOKUP($AP9,Tabelle1!$B$4:$W$162,19,0)*$AR9,0),0)</f>
        <v>0</v>
      </c>
      <c r="BL9" s="23">
        <f>IFERROR(IF(Tiere!$BZ9&gt;0,VLOOKUP($AP9,Tabelle1!$B$4:$W$162,20,0)*$AR9,0),0)</f>
        <v>0</v>
      </c>
      <c r="BM9" s="23">
        <f>IFERROR(IF(Tiere!$BZ9&gt;0,VLOOKUP($AP9,Tabelle1!$B$4:$W$162,21,0)*$AR9,0),0)</f>
        <v>0</v>
      </c>
      <c r="BN9" s="24">
        <f>IFERROR(IF(Tiere!$BZ9&gt;0,VLOOKUP($AP9,Tabelle1!$B$4:$W$162,22,0)*$AR9,0),0)</f>
        <v>0</v>
      </c>
      <c r="BO9" s="32">
        <f>IF(Tiere!$BZ9&gt;0,SUM(BJ9:BN9),0)</f>
        <v>0</v>
      </c>
      <c r="BP9" s="33">
        <f>IF(Tiere!$BZ9&gt;0,Tiere!K9,0)</f>
        <v>0</v>
      </c>
      <c r="BQ9" s="34">
        <f>IF(Tiere!$BZ9&gt;0,Tiere!L9,0)</f>
        <v>0</v>
      </c>
      <c r="BR9" s="33">
        <f>IF(Tiere!$BZ9&gt;0,Tiere!M9,0)</f>
        <v>0</v>
      </c>
      <c r="BS9" s="20">
        <f>IF(Tiere!$BZ9&gt;0,Tiere!N9,0)</f>
        <v>0</v>
      </c>
      <c r="BT9" s="816">
        <f t="shared" si="2"/>
        <v>0</v>
      </c>
      <c r="BU9" s="817">
        <f t="shared" si="3"/>
        <v>0</v>
      </c>
      <c r="BV9" s="22">
        <f>IF(Tiere!$BZ9&gt;0,AS9*$BT9,0)</f>
        <v>0</v>
      </c>
      <c r="BW9" s="22">
        <f>IF(Tiere!$BZ9&gt;0,AT9*$BT9,0)</f>
        <v>0</v>
      </c>
      <c r="BX9" s="23">
        <f>IF(Tiere!$BZ9&gt;0,AU9*$BT9,0)</f>
        <v>0</v>
      </c>
      <c r="BY9" s="23">
        <f>IF(Tiere!$BZ9&gt;0,AV9*$BT9,0)</f>
        <v>0</v>
      </c>
      <c r="BZ9" s="35">
        <f>IF(Tiere!$BZ9&gt;0,AW9*$BT9,0)</f>
        <v>0</v>
      </c>
      <c r="CA9" s="25">
        <f>IF(Tiere!$BZ9&gt;0,SUM(BV9:BZ9),0)</f>
        <v>0</v>
      </c>
      <c r="CB9" s="29">
        <f>IF(Tiere!$BZ9&gt;0,AS9*$BU9,0)</f>
        <v>0</v>
      </c>
      <c r="CC9" s="29">
        <f>IF(Tiere!$BZ9&gt;0,AT9*$BU9,0)</f>
        <v>0</v>
      </c>
      <c r="CD9" s="29">
        <f>IF(Tiere!$BZ9&gt;0,AU9*$BU9,0)</f>
        <v>0</v>
      </c>
      <c r="CE9" s="29">
        <f>IF(Tiere!$BZ9&gt;0,AV9*$BU9,0)</f>
        <v>0</v>
      </c>
      <c r="CF9" s="36">
        <f>IF(Tiere!$BZ9&gt;0,AW9*$BU9,0)</f>
        <v>0</v>
      </c>
      <c r="CG9" s="25">
        <f>IF(Tiere!$BZ9&gt;0,SUM(CB9:CF9),0)</f>
        <v>0</v>
      </c>
      <c r="CH9" s="21">
        <f>IFERROR(IF(Tiere!$BZ9&gt;0,BD9*$BT9,0),0)</f>
        <v>0</v>
      </c>
      <c r="CI9" s="22">
        <f>IFERROR(IF(Tiere!$BZ9&gt;0,BE9*$BT9,0),0)</f>
        <v>0</v>
      </c>
      <c r="CJ9" s="23">
        <f>IFERROR(IF(Tiere!$BZ9&gt;0,BF9*$BT9,0),0)</f>
        <v>0</v>
      </c>
      <c r="CK9" s="23">
        <f>IFERROR(IF(Tiere!$BZ9&gt;0,BG9*$BT9,0),0)</f>
        <v>0</v>
      </c>
      <c r="CL9" s="35">
        <f>IFERROR(IF(Tiere!$BZ9&gt;0,BH9*$BT9,0),0)</f>
        <v>0</v>
      </c>
      <c r="CM9" s="21">
        <f>IFERROR(IF(Tiere!$BZ9&gt;0,BJ9*$BT9,0),0)</f>
        <v>0</v>
      </c>
      <c r="CN9" s="22">
        <f>IFERROR(IF(Tiere!$BZ9&gt;0,BK9*$BT9,0),0)</f>
        <v>0</v>
      </c>
      <c r="CO9" s="23">
        <f>IFERROR(IF(Tiere!$BZ9&gt;0,BL9*$BT9,0),0)</f>
        <v>0</v>
      </c>
      <c r="CP9" s="23">
        <f>IFERROR(IF(Tiere!$BZ9&gt;0,BM9*$BT9,0),0)</f>
        <v>0</v>
      </c>
      <c r="CQ9" s="35">
        <f>IFERROR(IF(Tiere!$BZ9&gt;0,BN9*$BT9,0),0)</f>
        <v>0</v>
      </c>
      <c r="CR9" s="21">
        <f>IFERROR(IF(Tiere!$BZ9&gt;0,BD9*$BU9,0),0)</f>
        <v>0</v>
      </c>
      <c r="CS9" s="22">
        <f>IFERROR(IF(Tiere!$BZ9&gt;0,BE9*$BU9,0),0)</f>
        <v>0</v>
      </c>
      <c r="CT9" s="23">
        <f>IFERROR(IF(Tiere!$BZ9&gt;0,BF9*$BU9,0),0)</f>
        <v>0</v>
      </c>
      <c r="CU9" s="23">
        <f>IFERROR(IF(Tiere!$BZ9&gt;0,BG9*$BU9,0),0)</f>
        <v>0</v>
      </c>
      <c r="CV9" s="35">
        <f>IFERROR(IF(Tiere!$BZ9&gt;0,BH9*$BU9,0),0)</f>
        <v>0</v>
      </c>
      <c r="CW9" s="21">
        <f>IFERROR(IF(Tiere!$BZ9&gt;0,BJ9*$BU9,0),0)</f>
        <v>0</v>
      </c>
      <c r="CX9" s="22">
        <f>IFERROR(IF(Tiere!$BZ9&gt;0,BK9*$BU9,0),0)</f>
        <v>0</v>
      </c>
      <c r="CY9" s="23">
        <f>IFERROR(IF(Tiere!$BZ9&gt;0,BL9*$BU9,0),0)</f>
        <v>0</v>
      </c>
      <c r="CZ9" s="23">
        <f>IFERROR(IF(Tiere!$BZ9&gt;0,BM9*$BU9,0),0)</f>
        <v>0</v>
      </c>
      <c r="DA9" s="35">
        <f>IFERROR(IF(Tiere!$BZ9&gt;0,BN9*$BU9,0),0)</f>
        <v>0</v>
      </c>
      <c r="DB9" s="37">
        <f>IFERROR(IF(Tiere!$BZ9&gt;0,VLOOKUP($AP9,Tabelle1!$B$4:$W$162,11,0)*$BR9,0),0)</f>
        <v>0</v>
      </c>
      <c r="DC9" s="38">
        <f>IF(Tiere!$BZ9&gt;0,AR9,0)</f>
        <v>0</v>
      </c>
      <c r="DD9" s="39">
        <f>IFERROR(IF(Tiere!$BZ9&gt;0,VLOOKUP($AP9,Tabelle1!$B$4:$AJ$162,35,0),0),0)</f>
        <v>0</v>
      </c>
      <c r="DE9" s="40">
        <f>IFERROR(IF(Tiere!$BZ9&gt;0,IF(DD9&gt;0,(DD9*DC9)/170,AX9/170),0),0)</f>
        <v>0</v>
      </c>
      <c r="DF9" s="41">
        <f>IFERROR(IF(Tiere!$BZ9&gt;0,VLOOKUP($AP9,Tabelle1!$B$4:$AK$162,36,0),0),0)</f>
        <v>0</v>
      </c>
      <c r="DG9" s="42">
        <f t="shared" si="4"/>
        <v>0</v>
      </c>
      <c r="DH9">
        <f t="shared" si="0"/>
        <v>0</v>
      </c>
    </row>
    <row r="10" spans="1:112" ht="14.25">
      <c r="A10" s="1">
        <v>5</v>
      </c>
      <c r="B10" s="43" t="str">
        <f t="shared" si="5"/>
        <v>Jungvieh 1/2 bis 1 Jahr - Mist/Jauche</v>
      </c>
      <c r="C10" s="44" t="s">
        <v>506</v>
      </c>
      <c r="D10" s="823"/>
      <c r="E10" s="824"/>
      <c r="F10" s="824"/>
      <c r="G10" s="824">
        <v>14.2</v>
      </c>
      <c r="H10" s="825">
        <v>14.2</v>
      </c>
      <c r="I10" s="826"/>
      <c r="J10" s="827">
        <v>1.7</v>
      </c>
      <c r="K10" s="828">
        <v>1.8</v>
      </c>
      <c r="L10" s="826">
        <v>0.6</v>
      </c>
      <c r="M10" s="828">
        <v>1</v>
      </c>
      <c r="N10" s="826"/>
      <c r="O10" s="827"/>
      <c r="P10" s="827"/>
      <c r="Q10" s="829">
        <v>6.75</v>
      </c>
      <c r="R10" s="830">
        <v>6.75</v>
      </c>
      <c r="S10" s="831"/>
      <c r="T10" s="829"/>
      <c r="U10" s="829"/>
      <c r="V10" s="829">
        <v>21.55</v>
      </c>
      <c r="W10" s="830">
        <v>21.55</v>
      </c>
      <c r="X10" s="1173"/>
      <c r="Y10" s="1174"/>
      <c r="Z10" s="1174"/>
      <c r="AA10" s="1175"/>
      <c r="AB10" s="1174"/>
      <c r="AC10" s="1174"/>
      <c r="AD10" s="1174"/>
      <c r="AE10" s="1175"/>
      <c r="AF10" s="826"/>
      <c r="AG10" s="827">
        <v>12.4</v>
      </c>
      <c r="AH10" s="828">
        <v>12.9</v>
      </c>
      <c r="AI10" s="49" t="s">
        <v>506</v>
      </c>
      <c r="AJ10" s="50">
        <v>34</v>
      </c>
      <c r="AK10" s="51">
        <v>42.5</v>
      </c>
      <c r="AL10" s="41">
        <f t="shared" si="1"/>
        <v>4</v>
      </c>
      <c r="AM10" s="745" t="s">
        <v>507</v>
      </c>
      <c r="AN10" s="56"/>
      <c r="AO10" s="55"/>
      <c r="AP10" s="57">
        <f>Tiere!B10</f>
        <v>0</v>
      </c>
      <c r="AQ10" s="19">
        <f>IF(AP10=0,0,Tiere!I10)</f>
        <v>0</v>
      </c>
      <c r="AR10" s="20">
        <f>IFERROR(IF(Tiere!$BZ10&gt;0,VLOOKUP($AP10,Tabelle1!$B$4:$AE$162,12,0)*$AQ10,0),0)</f>
        <v>0</v>
      </c>
      <c r="AS10" s="21">
        <f>IFERROR(IF(Tiere!$BZ10&gt;0,VLOOKUP($AP10,Tabelle1!$B$4:$W$162,3,0)*$AR10,0),0)</f>
        <v>0</v>
      </c>
      <c r="AT10" s="22">
        <f>IFERROR(IF(Tiere!$BZ10&gt;0,VLOOKUP($AP10,Tabelle1!$B$4:$W$162,4,0)*$AR10,0),0)</f>
        <v>0</v>
      </c>
      <c r="AU10" s="23">
        <f>IFERROR(IF(Tiere!$BZ10&gt;0,VLOOKUP($AP10,Tabelle1!$B$4:$W$162,5,0)*$AR10,0),0)</f>
        <v>0</v>
      </c>
      <c r="AV10" s="23">
        <f>IFERROR(IF(Tiere!$BZ10&gt;0,VLOOKUP($AP10,Tabelle1!$B$4:$W$162,6,0)*$AR10,0),0)</f>
        <v>0</v>
      </c>
      <c r="AW10" s="24">
        <f>IFERROR(IF(Tiere!$BZ10&gt;0,VLOOKUP($AP10,Tabelle1!$B$4:$W$162,7,0)*$AR10,0),0)</f>
        <v>0</v>
      </c>
      <c r="AX10" s="25">
        <f>IF(Tiere!$BZ10&gt;0,SUM(AS10:AW10),0)</f>
        <v>0</v>
      </c>
      <c r="AY10" s="26">
        <f>IFERROR(IF(Tiere!$BZ10&gt;0,VLOOKUP($AP10,Tabelle1!$B$4:$W$162,8,0)*$AQ10,0),0)</f>
        <v>0</v>
      </c>
      <c r="AZ10" s="27">
        <f>IFERROR(IF(Tiere!$BZ10&gt;0,VLOOKUP($AP10,Tabelle1!$B$4:$W$162,9,0)*$AQ10,0),0)</f>
        <v>0</v>
      </c>
      <c r="BA10" s="28">
        <f>IFERROR(IF(Tiere!$BZ10&gt;0,VLOOKUP($AP10,Tabelle1!$B$4:$W$162,10,0)*$AQ10,0),0)</f>
        <v>0</v>
      </c>
      <c r="BB10" s="29">
        <f>IFERROR(IF(Tiere!$BZ10&gt;0,VLOOKUP($AP10,Tabelle1!$B$4:$W$162,11,0)*$AQ10,0),0)</f>
        <v>0</v>
      </c>
      <c r="BC10" s="52">
        <f>IFERROR(IF(Tiere!$BZ10&gt;0,VLOOKUP($AP10,Tabelle1!$B$4:$W$153,12,0)*$AQ10,0),0)</f>
        <v>0</v>
      </c>
      <c r="BD10" s="22">
        <f>IFERROR(IF(Tiere!$BZ10&gt;0,VLOOKUP($AP10,Tabelle1!$B$4:$W$162,13,0)*$AR10,0),0)</f>
        <v>0</v>
      </c>
      <c r="BE10" s="23">
        <f>IFERROR(IF(Tiere!$BZ10&gt;0,VLOOKUP($AP10,Tabelle1!$B$4:$W$162,14,0)*$AR10,0),0)</f>
        <v>0</v>
      </c>
      <c r="BF10" s="23">
        <f>IFERROR(IF(Tiere!$BZ10&gt;0,VLOOKUP($AP10,Tabelle1!$B$4:$W$162,15,0)*$AR10,0),0)</f>
        <v>0</v>
      </c>
      <c r="BG10" s="23">
        <f>IFERROR(IF(Tiere!$BZ10&gt;0,VLOOKUP($AP10,Tabelle1!$B$4:$W$162,16,0)*$AR10,0),0)</f>
        <v>0</v>
      </c>
      <c r="BH10" s="24">
        <f>IFERROR(IF(Tiere!$BZ10&gt;0,VLOOKUP($AP10,Tabelle1!$B$4:$W$162,17,0)*$AR10,0),0)</f>
        <v>0</v>
      </c>
      <c r="BI10" s="30">
        <f>IF(Tiere!$BZ10&gt;0,SUM(BD10:BH10),0)</f>
        <v>0</v>
      </c>
      <c r="BJ10" s="22">
        <f>IFERROR(IF(Tiere!$BZ10&gt;0,VLOOKUP($AP10,Tabelle1!$B$4:$W$162,18,0)*$AR10,0),0)</f>
        <v>0</v>
      </c>
      <c r="BK10" s="23">
        <f>IFERROR(IF(Tiere!$BZ10&gt;0,VLOOKUP($AP10,Tabelle1!$B$4:$W$162,19,0)*$AR10,0),0)</f>
        <v>0</v>
      </c>
      <c r="BL10" s="23">
        <f>IFERROR(IF(Tiere!$BZ10&gt;0,VLOOKUP($AP10,Tabelle1!$B$4:$W$162,20,0)*$AR10,0),0)</f>
        <v>0</v>
      </c>
      <c r="BM10" s="23">
        <f>IFERROR(IF(Tiere!$BZ10&gt;0,VLOOKUP($AP10,Tabelle1!$B$4:$W$162,21,0)*$AR10,0),0)</f>
        <v>0</v>
      </c>
      <c r="BN10" s="24">
        <f>IFERROR(IF(Tiere!$BZ10&gt;0,VLOOKUP($AP10,Tabelle1!$B$4:$W$162,22,0)*$AR10,0),0)</f>
        <v>0</v>
      </c>
      <c r="BO10" s="32">
        <f>IF(Tiere!$BZ10&gt;0,SUM(BJ10:BN10),0)</f>
        <v>0</v>
      </c>
      <c r="BP10" s="33">
        <f>IF(Tiere!$BZ10&gt;0,Tiere!K10,0)</f>
        <v>0</v>
      </c>
      <c r="BQ10" s="34">
        <f>IF(Tiere!$BZ10&gt;0,Tiere!L10,0)</f>
        <v>0</v>
      </c>
      <c r="BR10" s="33">
        <f>IF(Tiere!$BZ10&gt;0,Tiere!M10,0)</f>
        <v>0</v>
      </c>
      <c r="BS10" s="20">
        <f>IF(Tiere!$BZ10&gt;0,Tiere!N10,0)</f>
        <v>0</v>
      </c>
      <c r="BT10" s="816">
        <f t="shared" si="2"/>
        <v>0</v>
      </c>
      <c r="BU10" s="817">
        <f t="shared" si="3"/>
        <v>0</v>
      </c>
      <c r="BV10" s="22">
        <f>IF(Tiere!$BZ10&gt;0,AS10*$BT10,0)</f>
        <v>0</v>
      </c>
      <c r="BW10" s="22">
        <f>IF(Tiere!$BZ10&gt;0,AT10*$BT10,0)</f>
        <v>0</v>
      </c>
      <c r="BX10" s="23">
        <f>IF(Tiere!$BZ10&gt;0,AU10*$BT10,0)</f>
        <v>0</v>
      </c>
      <c r="BY10" s="23">
        <f>IF(Tiere!$BZ10&gt;0,AV10*$BT10,0)</f>
        <v>0</v>
      </c>
      <c r="BZ10" s="35">
        <f>IF(Tiere!$BZ10&gt;0,AW10*$BT10,0)</f>
        <v>0</v>
      </c>
      <c r="CA10" s="25">
        <f>IF(Tiere!$BZ10&gt;0,SUM(BV10:BZ10),0)</f>
        <v>0</v>
      </c>
      <c r="CB10" s="29">
        <f>IF(Tiere!$BZ10&gt;0,AS10*$BU10,0)</f>
        <v>0</v>
      </c>
      <c r="CC10" s="29">
        <f>IF(Tiere!$BZ10&gt;0,AT10*$BU10,0)</f>
        <v>0</v>
      </c>
      <c r="CD10" s="29">
        <f>IF(Tiere!$BZ10&gt;0,AU10*$BU10,0)</f>
        <v>0</v>
      </c>
      <c r="CE10" s="29">
        <f>IF(Tiere!$BZ10&gt;0,AV10*$BU10,0)</f>
        <v>0</v>
      </c>
      <c r="CF10" s="36">
        <f>IF(Tiere!$BZ10&gt;0,AW10*$BU10,0)</f>
        <v>0</v>
      </c>
      <c r="CG10" s="25">
        <f>IF(Tiere!$BZ10&gt;0,SUM(CB10:CF10),0)</f>
        <v>0</v>
      </c>
      <c r="CH10" s="21">
        <f>IFERROR(IF(Tiere!$BZ10&gt;0,BD10*$BT10,0),0)</f>
        <v>0</v>
      </c>
      <c r="CI10" s="22">
        <f>IFERROR(IF(Tiere!$BZ10&gt;0,BE10*$BT10,0),0)</f>
        <v>0</v>
      </c>
      <c r="CJ10" s="23">
        <f>IFERROR(IF(Tiere!$BZ10&gt;0,BF10*$BT10,0),0)</f>
        <v>0</v>
      </c>
      <c r="CK10" s="23">
        <f>IFERROR(IF(Tiere!$BZ10&gt;0,BG10*$BT10,0),0)</f>
        <v>0</v>
      </c>
      <c r="CL10" s="35">
        <f>IFERROR(IF(Tiere!$BZ10&gt;0,BH10*$BT10,0),0)</f>
        <v>0</v>
      </c>
      <c r="CM10" s="21">
        <f>IFERROR(IF(Tiere!$BZ10&gt;0,BJ10*$BT10,0),0)</f>
        <v>0</v>
      </c>
      <c r="CN10" s="22">
        <f>IFERROR(IF(Tiere!$BZ10&gt;0,BK10*$BT10,0),0)</f>
        <v>0</v>
      </c>
      <c r="CO10" s="23">
        <f>IFERROR(IF(Tiere!$BZ10&gt;0,BL10*$BT10,0),0)</f>
        <v>0</v>
      </c>
      <c r="CP10" s="23">
        <f>IFERROR(IF(Tiere!$BZ10&gt;0,BM10*$BT10,0),0)</f>
        <v>0</v>
      </c>
      <c r="CQ10" s="35">
        <f>IFERROR(IF(Tiere!$BZ10&gt;0,BN10*$BT10,0),0)</f>
        <v>0</v>
      </c>
      <c r="CR10" s="21">
        <f>IFERROR(IF(Tiere!$BZ10&gt;0,BD10*$BU10,0),0)</f>
        <v>0</v>
      </c>
      <c r="CS10" s="22">
        <f>IFERROR(IF(Tiere!$BZ10&gt;0,BE10*$BU10,0),0)</f>
        <v>0</v>
      </c>
      <c r="CT10" s="23">
        <f>IFERROR(IF(Tiere!$BZ10&gt;0,BF10*$BU10,0),0)</f>
        <v>0</v>
      </c>
      <c r="CU10" s="23">
        <f>IFERROR(IF(Tiere!$BZ10&gt;0,BG10*$BU10,0),0)</f>
        <v>0</v>
      </c>
      <c r="CV10" s="35">
        <f>IFERROR(IF(Tiere!$BZ10&gt;0,BH10*$BU10,0),0)</f>
        <v>0</v>
      </c>
      <c r="CW10" s="21">
        <f>IFERROR(IF(Tiere!$BZ10&gt;0,BJ10*$BU10,0),0)</f>
        <v>0</v>
      </c>
      <c r="CX10" s="22">
        <f>IFERROR(IF(Tiere!$BZ10&gt;0,BK10*$BU10,0),0)</f>
        <v>0</v>
      </c>
      <c r="CY10" s="23">
        <f>IFERROR(IF(Tiere!$BZ10&gt;0,BL10*$BU10,0),0)</f>
        <v>0</v>
      </c>
      <c r="CZ10" s="23">
        <f>IFERROR(IF(Tiere!$BZ10&gt;0,BM10*$BU10,0),0)</f>
        <v>0</v>
      </c>
      <c r="DA10" s="35">
        <f>IFERROR(IF(Tiere!$BZ10&gt;0,BN10*$BU10,0),0)</f>
        <v>0</v>
      </c>
      <c r="DB10" s="37">
        <f>IFERROR(IF(Tiere!$BZ10&gt;0,VLOOKUP($AP10,Tabelle1!$B$4:$W$162,11,0)*$BR10,0),0)</f>
        <v>0</v>
      </c>
      <c r="DC10" s="38">
        <f>IF(Tiere!$BZ10&gt;0,AR10,0)</f>
        <v>0</v>
      </c>
      <c r="DD10" s="39">
        <f>IFERROR(IF(Tiere!$BZ10&gt;0,VLOOKUP($AP10,Tabelle1!$B$4:$AJ$162,35,0),0),0)</f>
        <v>0</v>
      </c>
      <c r="DE10" s="40">
        <f>IFERROR(IF(Tiere!$BZ10&gt;0,IF(DD10&gt;0,(DD10*DC10)/170,AX10/170),0),0)</f>
        <v>0</v>
      </c>
      <c r="DF10" s="41">
        <f>IFERROR(IF(Tiere!$BZ10&gt;0,VLOOKUP($AP10,Tabelle1!$B$4:$AK$162,36,0),0),0)</f>
        <v>0</v>
      </c>
      <c r="DG10" s="42">
        <f t="shared" si="4"/>
        <v>0</v>
      </c>
      <c r="DH10">
        <f t="shared" si="0"/>
        <v>0</v>
      </c>
    </row>
    <row r="11" spans="1:112" ht="14.25">
      <c r="A11" s="1">
        <v>6</v>
      </c>
      <c r="B11" s="43" t="str">
        <f t="shared" si="5"/>
        <v>Jungvieh 1/2 bis 1 Jahr - Tiefstallmist</v>
      </c>
      <c r="C11" s="44" t="s">
        <v>508</v>
      </c>
      <c r="D11" s="823"/>
      <c r="E11" s="824"/>
      <c r="F11" s="824"/>
      <c r="G11" s="824"/>
      <c r="H11" s="825">
        <v>28.4</v>
      </c>
      <c r="I11" s="826"/>
      <c r="J11" s="827"/>
      <c r="K11" s="828">
        <v>3.9</v>
      </c>
      <c r="L11" s="826">
        <v>0.6</v>
      </c>
      <c r="M11" s="828">
        <v>1</v>
      </c>
      <c r="N11" s="826"/>
      <c r="O11" s="827"/>
      <c r="P11" s="827"/>
      <c r="Q11" s="829"/>
      <c r="R11" s="830">
        <v>13.5</v>
      </c>
      <c r="S11" s="831"/>
      <c r="T11" s="829"/>
      <c r="U11" s="829"/>
      <c r="V11" s="829"/>
      <c r="W11" s="830">
        <v>43.1</v>
      </c>
      <c r="X11" s="1173"/>
      <c r="Y11" s="1174"/>
      <c r="Z11" s="1174"/>
      <c r="AA11" s="1175"/>
      <c r="AB11" s="1174"/>
      <c r="AC11" s="1174"/>
      <c r="AD11" s="1174"/>
      <c r="AE11" s="1175"/>
      <c r="AF11" s="826"/>
      <c r="AG11" s="827"/>
      <c r="AH11" s="828">
        <v>25.8</v>
      </c>
      <c r="AI11" s="49" t="s">
        <v>508</v>
      </c>
      <c r="AJ11" s="50">
        <v>34</v>
      </c>
      <c r="AK11" s="51">
        <v>42.5</v>
      </c>
      <c r="AL11" s="41">
        <f t="shared" si="1"/>
        <v>4</v>
      </c>
      <c r="AM11" s="745" t="s">
        <v>509</v>
      </c>
      <c r="AN11" s="4" t="s">
        <v>510</v>
      </c>
      <c r="AO11" s="58">
        <f>N_Bedarf!M64-N_Bedarf!M63</f>
        <v>0</v>
      </c>
      <c r="AP11" s="18">
        <f>Tiere!B11</f>
        <v>0</v>
      </c>
      <c r="AQ11" s="19">
        <f>IF(AP11=0,0,Tiere!I11)</f>
        <v>0</v>
      </c>
      <c r="AR11" s="20">
        <f>IFERROR(IF(Tiere!$BZ11&gt;0,VLOOKUP($AP11,Tabelle1!$B$4:$AE$162,12,0)*$AQ11,0),0)</f>
        <v>0</v>
      </c>
      <c r="AS11" s="21">
        <f>IFERROR(IF(Tiere!$BZ11&gt;0,VLOOKUP($AP11,Tabelle1!$B$4:$W$162,3,0)*$AR11,0),0)</f>
        <v>0</v>
      </c>
      <c r="AT11" s="22">
        <f>IFERROR(IF(Tiere!$BZ11&gt;0,VLOOKUP($AP11,Tabelle1!$B$4:$W$162,4,0)*$AR11,0),0)</f>
        <v>0</v>
      </c>
      <c r="AU11" s="23">
        <f>IFERROR(IF(Tiere!$BZ11&gt;0,VLOOKUP($AP11,Tabelle1!$B$4:$W$162,5,0)*$AR11,0),0)</f>
        <v>0</v>
      </c>
      <c r="AV11" s="23">
        <f>IFERROR(IF(Tiere!$BZ11&gt;0,VLOOKUP($AP11,Tabelle1!$B$4:$W$162,6,0)*$AR11,0),0)</f>
        <v>0</v>
      </c>
      <c r="AW11" s="24">
        <f>IFERROR(IF(Tiere!$BZ11&gt;0,VLOOKUP($AP11,Tabelle1!$B$4:$W$162,7,0)*$AR11,0),0)</f>
        <v>0</v>
      </c>
      <c r="AX11" s="25">
        <f>IF(Tiere!$BZ11&gt;0,SUM(AS11:AW11),0)</f>
        <v>0</v>
      </c>
      <c r="AY11" s="26">
        <f>IFERROR(IF(Tiere!$BZ11&gt;0,VLOOKUP($AP11,Tabelle1!$B$4:$W$162,8,0)*$AQ11,0),0)</f>
        <v>0</v>
      </c>
      <c r="AZ11" s="27">
        <f>IFERROR(IF(Tiere!$BZ11&gt;0,VLOOKUP($AP11,Tabelle1!$B$4:$W$162,9,0)*$AQ11,0),0)</f>
        <v>0</v>
      </c>
      <c r="BA11" s="28">
        <f>IFERROR(IF(Tiere!$BZ11&gt;0,VLOOKUP($AP11,Tabelle1!$B$4:$W$162,10,0)*$AQ11,0),0)</f>
        <v>0</v>
      </c>
      <c r="BB11" s="29">
        <f>IFERROR(IF(Tiere!$BZ11&gt;0,VLOOKUP($AP11,Tabelle1!$B$4:$W$162,11,0)*$AQ11,0),0)</f>
        <v>0</v>
      </c>
      <c r="BC11" s="52">
        <f>IFERROR(IF(Tiere!$BZ11&gt;0,VLOOKUP($AP11,Tabelle1!$B$4:$W$153,12,0)*$AQ11,0),0)</f>
        <v>0</v>
      </c>
      <c r="BD11" s="22">
        <f>IFERROR(IF(Tiere!$BZ11&gt;0,VLOOKUP($AP11,Tabelle1!$B$4:$W$162,13,0)*$AR11,0),0)</f>
        <v>0</v>
      </c>
      <c r="BE11" s="23">
        <f>IFERROR(IF(Tiere!$BZ11&gt;0,VLOOKUP($AP11,Tabelle1!$B$4:$W$162,14,0)*$AR11,0),0)</f>
        <v>0</v>
      </c>
      <c r="BF11" s="23">
        <f>IFERROR(IF(Tiere!$BZ11&gt;0,VLOOKUP($AP11,Tabelle1!$B$4:$W$162,15,0)*$AR11,0),0)</f>
        <v>0</v>
      </c>
      <c r="BG11" s="23">
        <f>IFERROR(IF(Tiere!$BZ11&gt;0,VLOOKUP($AP11,Tabelle1!$B$4:$W$162,16,0)*$AR11,0),0)</f>
        <v>0</v>
      </c>
      <c r="BH11" s="24">
        <f>IFERROR(IF(Tiere!$BZ11&gt;0,VLOOKUP($AP11,Tabelle1!$B$4:$W$162,17,0)*$AR11,0),0)</f>
        <v>0</v>
      </c>
      <c r="BI11" s="30">
        <f>IF(Tiere!$BZ11&gt;0,SUM(BD11:BH11),0)</f>
        <v>0</v>
      </c>
      <c r="BJ11" s="22">
        <f>IFERROR(IF(Tiere!$BZ11&gt;0,VLOOKUP($AP11,Tabelle1!$B$4:$W$162,18,0)*$AR11,0),0)</f>
        <v>0</v>
      </c>
      <c r="BK11" s="23">
        <f>IFERROR(IF(Tiere!$BZ11&gt;0,VLOOKUP($AP11,Tabelle1!$B$4:$W$162,19,0)*$AR11,0),0)</f>
        <v>0</v>
      </c>
      <c r="BL11" s="23">
        <f>IFERROR(IF(Tiere!$BZ11&gt;0,VLOOKUP($AP11,Tabelle1!$B$4:$W$162,20,0)*$AR11,0),0)</f>
        <v>0</v>
      </c>
      <c r="BM11" s="23">
        <f>IFERROR(IF(Tiere!$BZ11&gt;0,VLOOKUP($AP11,Tabelle1!$B$4:$W$162,21,0)*$AR11,0),0)</f>
        <v>0</v>
      </c>
      <c r="BN11" s="24">
        <f>IFERROR(IF(Tiere!$BZ11&gt;0,VLOOKUP($AP11,Tabelle1!$B$4:$W$162,22,0)*$AR11,0),0)</f>
        <v>0</v>
      </c>
      <c r="BO11" s="32">
        <f>IF(Tiere!$BZ11&gt;0,SUM(BJ11:BN11),0)</f>
        <v>0</v>
      </c>
      <c r="BP11" s="33">
        <f>IF(Tiere!$BZ11&gt;0,Tiere!K11,0)</f>
        <v>0</v>
      </c>
      <c r="BQ11" s="34">
        <f>IF(Tiere!$BZ11&gt;0,Tiere!L11,0)</f>
        <v>0</v>
      </c>
      <c r="BR11" s="33">
        <f>IF(Tiere!$BZ11&gt;0,Tiere!M11,0)</f>
        <v>0</v>
      </c>
      <c r="BS11" s="20">
        <f>IF(Tiere!$BZ11&gt;0,Tiere!N11,0)</f>
        <v>0</v>
      </c>
      <c r="BT11" s="816">
        <f t="shared" si="2"/>
        <v>0</v>
      </c>
      <c r="BU11" s="817">
        <f t="shared" si="3"/>
        <v>0</v>
      </c>
      <c r="BV11" s="22">
        <f>IF(Tiere!$BZ11&gt;0,AS11*$BT11,0)</f>
        <v>0</v>
      </c>
      <c r="BW11" s="22">
        <f>IF(Tiere!$BZ11&gt;0,AT11*$BT11,0)</f>
        <v>0</v>
      </c>
      <c r="BX11" s="23">
        <f>IF(Tiere!$BZ11&gt;0,AU11*$BT11,0)</f>
        <v>0</v>
      </c>
      <c r="BY11" s="23">
        <f>IF(Tiere!$BZ11&gt;0,AV11*$BT11,0)</f>
        <v>0</v>
      </c>
      <c r="BZ11" s="35">
        <f>IF(Tiere!$BZ11&gt;0,AW11*$BT11,0)</f>
        <v>0</v>
      </c>
      <c r="CA11" s="25">
        <f>IF(Tiere!$BZ11&gt;0,SUM(BV11:BZ11),0)</f>
        <v>0</v>
      </c>
      <c r="CB11" s="29">
        <f>IF(Tiere!$BZ11&gt;0,AS11*$BU11,0)</f>
        <v>0</v>
      </c>
      <c r="CC11" s="29">
        <f>IF(Tiere!$BZ11&gt;0,AT11*$BU11,0)</f>
        <v>0</v>
      </c>
      <c r="CD11" s="29">
        <f>IF(Tiere!$BZ11&gt;0,AU11*$BU11,0)</f>
        <v>0</v>
      </c>
      <c r="CE11" s="29">
        <f>IF(Tiere!$BZ11&gt;0,AV11*$BU11,0)</f>
        <v>0</v>
      </c>
      <c r="CF11" s="36">
        <f>IF(Tiere!$BZ11&gt;0,AW11*$BU11,0)</f>
        <v>0</v>
      </c>
      <c r="CG11" s="25">
        <f>IF(Tiere!$BZ11&gt;0,SUM(CB11:CF11),0)</f>
        <v>0</v>
      </c>
      <c r="CH11" s="21">
        <f>IFERROR(IF(Tiere!$BZ11&gt;0,BD11*$BT11,0),0)</f>
        <v>0</v>
      </c>
      <c r="CI11" s="22">
        <f>IFERROR(IF(Tiere!$BZ11&gt;0,BE11*$BT11,0),0)</f>
        <v>0</v>
      </c>
      <c r="CJ11" s="23">
        <f>IFERROR(IF(Tiere!$BZ11&gt;0,BF11*$BT11,0),0)</f>
        <v>0</v>
      </c>
      <c r="CK11" s="23">
        <f>IFERROR(IF(Tiere!$BZ11&gt;0,BG11*$BT11,0),0)</f>
        <v>0</v>
      </c>
      <c r="CL11" s="35">
        <f>IFERROR(IF(Tiere!$BZ11&gt;0,BH11*$BT11,0),0)</f>
        <v>0</v>
      </c>
      <c r="CM11" s="21">
        <f>IFERROR(IF(Tiere!$BZ11&gt;0,BJ11*$BT11,0),0)</f>
        <v>0</v>
      </c>
      <c r="CN11" s="22">
        <f>IFERROR(IF(Tiere!$BZ11&gt;0,BK11*$BT11,0),0)</f>
        <v>0</v>
      </c>
      <c r="CO11" s="23">
        <f>IFERROR(IF(Tiere!$BZ11&gt;0,BL11*$BT11,0),0)</f>
        <v>0</v>
      </c>
      <c r="CP11" s="23">
        <f>IFERROR(IF(Tiere!$BZ11&gt;0,BM11*$BT11,0),0)</f>
        <v>0</v>
      </c>
      <c r="CQ11" s="35">
        <f>IFERROR(IF(Tiere!$BZ11&gt;0,BN11*$BT11,0),0)</f>
        <v>0</v>
      </c>
      <c r="CR11" s="21">
        <f>IFERROR(IF(Tiere!$BZ11&gt;0,BD11*$BU11,0),0)</f>
        <v>0</v>
      </c>
      <c r="CS11" s="22">
        <f>IFERROR(IF(Tiere!$BZ11&gt;0,BE11*$BU11,0),0)</f>
        <v>0</v>
      </c>
      <c r="CT11" s="23">
        <f>IFERROR(IF(Tiere!$BZ11&gt;0,BF11*$BU11,0),0)</f>
        <v>0</v>
      </c>
      <c r="CU11" s="23">
        <f>IFERROR(IF(Tiere!$BZ11&gt;0,BG11*$BU11,0),0)</f>
        <v>0</v>
      </c>
      <c r="CV11" s="35">
        <f>IFERROR(IF(Tiere!$BZ11&gt;0,BH11*$BU11,0),0)</f>
        <v>0</v>
      </c>
      <c r="CW11" s="21">
        <f>IFERROR(IF(Tiere!$BZ11&gt;0,BJ11*$BU11,0),0)</f>
        <v>0</v>
      </c>
      <c r="CX11" s="22">
        <f>IFERROR(IF(Tiere!$BZ11&gt;0,BK11*$BU11,0),0)</f>
        <v>0</v>
      </c>
      <c r="CY11" s="23">
        <f>IFERROR(IF(Tiere!$BZ11&gt;0,BL11*$BU11,0),0)</f>
        <v>0</v>
      </c>
      <c r="CZ11" s="23">
        <f>IFERROR(IF(Tiere!$BZ11&gt;0,BM11*$BU11,0),0)</f>
        <v>0</v>
      </c>
      <c r="DA11" s="35">
        <f>IFERROR(IF(Tiere!$BZ11&gt;0,BN11*$BU11,0),0)</f>
        <v>0</v>
      </c>
      <c r="DB11" s="37">
        <f>IFERROR(IF(Tiere!$BZ11&gt;0,VLOOKUP($AP11,Tabelle1!$B$4:$W$162,11,0)*$BR11,0),0)</f>
        <v>0</v>
      </c>
      <c r="DC11" s="38">
        <f>IF(Tiere!$BZ11&gt;0,AR11,0)</f>
        <v>0</v>
      </c>
      <c r="DD11" s="39">
        <f>IFERROR(IF(Tiere!$BZ11&gt;0,VLOOKUP($AP11,Tabelle1!$B$4:$AJ$162,35,0),0),0)</f>
        <v>0</v>
      </c>
      <c r="DE11" s="40">
        <f>IFERROR(IF(Tiere!$BZ11&gt;0,IF(DD11&gt;0,(DD11*DC11)/170,AX11/170),0),0)</f>
        <v>0</v>
      </c>
      <c r="DF11" s="41">
        <f>IFERROR(IF(Tiere!$BZ11&gt;0,VLOOKUP($AP11,Tabelle1!$B$4:$AK$162,36,0),0),0)</f>
        <v>0</v>
      </c>
      <c r="DG11" s="42">
        <f t="shared" si="4"/>
        <v>0</v>
      </c>
      <c r="DH11">
        <f t="shared" si="0"/>
        <v>0</v>
      </c>
    </row>
    <row r="12" spans="1:112" ht="14.25">
      <c r="A12" s="1">
        <v>7</v>
      </c>
      <c r="B12" s="43" t="str">
        <f t="shared" si="5"/>
        <v>Jungvieh 1 bis 2 Jahr - Gülle</v>
      </c>
      <c r="C12" s="44" t="s">
        <v>511</v>
      </c>
      <c r="D12" s="823">
        <v>45.6</v>
      </c>
      <c r="E12" s="824"/>
      <c r="F12" s="824"/>
      <c r="G12" s="824"/>
      <c r="H12" s="825"/>
      <c r="I12" s="826">
        <v>5.8</v>
      </c>
      <c r="J12" s="827"/>
      <c r="K12" s="828"/>
      <c r="L12" s="826">
        <v>0.6</v>
      </c>
      <c r="M12" s="828">
        <v>1</v>
      </c>
      <c r="N12" s="826">
        <v>19.600000000000001</v>
      </c>
      <c r="O12" s="827"/>
      <c r="P12" s="827"/>
      <c r="Q12" s="829"/>
      <c r="R12" s="830"/>
      <c r="S12" s="831">
        <v>74.8</v>
      </c>
      <c r="T12" s="829"/>
      <c r="U12" s="829"/>
      <c r="V12" s="829"/>
      <c r="W12" s="830"/>
      <c r="X12" s="1173"/>
      <c r="Y12" s="1174"/>
      <c r="Z12" s="1174"/>
      <c r="AA12" s="1175"/>
      <c r="AB12" s="1174"/>
      <c r="AC12" s="1174"/>
      <c r="AD12" s="1174"/>
      <c r="AE12" s="1175"/>
      <c r="AF12" s="826">
        <v>39.700000000000003</v>
      </c>
      <c r="AG12" s="827"/>
      <c r="AH12" s="828"/>
      <c r="AI12" s="49" t="s">
        <v>511</v>
      </c>
      <c r="AJ12" s="50">
        <v>51.52</v>
      </c>
      <c r="AK12" s="51">
        <v>51.5</v>
      </c>
      <c r="AL12" s="41">
        <f t="shared" si="1"/>
        <v>3.3009708737864076</v>
      </c>
      <c r="AM12" s="745" t="s">
        <v>512</v>
      </c>
      <c r="AN12" s="4" t="s">
        <v>513</v>
      </c>
      <c r="AO12" s="59">
        <f>IF(Mineral!I28&lt;=0,1,0)</f>
        <v>1</v>
      </c>
      <c r="AP12" s="18">
        <f>Tiere!B12</f>
        <v>0</v>
      </c>
      <c r="AQ12" s="19">
        <f>IF(AP12=0,0,Tiere!I12)</f>
        <v>0</v>
      </c>
      <c r="AR12" s="20">
        <f>IFERROR(IF(Tiere!$BZ12&gt;0,VLOOKUP($AP12,Tabelle1!$B$4:$AE$162,12,0)*$AQ12,0),0)</f>
        <v>0</v>
      </c>
      <c r="AS12" s="21">
        <f>IFERROR(IF(Tiere!$BZ12&gt;0,VLOOKUP($AP12,Tabelle1!$B$4:$W$162,3,0)*$AR12,0),0)</f>
        <v>0</v>
      </c>
      <c r="AT12" s="22">
        <f>IFERROR(IF(Tiere!$BZ12&gt;0,VLOOKUP($AP12,Tabelle1!$B$4:$W$162,4,0)*$AR12,0),0)</f>
        <v>0</v>
      </c>
      <c r="AU12" s="23">
        <f>IFERROR(IF(Tiere!$BZ12&gt;0,VLOOKUP($AP12,Tabelle1!$B$4:$W$162,5,0)*$AR12,0),0)</f>
        <v>0</v>
      </c>
      <c r="AV12" s="23">
        <f>IFERROR(IF(Tiere!$BZ12&gt;0,VLOOKUP($AP12,Tabelle1!$B$4:$W$162,6,0)*$AR12,0),0)</f>
        <v>0</v>
      </c>
      <c r="AW12" s="24">
        <f>IFERROR(IF(Tiere!$BZ12&gt;0,VLOOKUP($AP12,Tabelle1!$B$4:$W$162,7,0)*$AR12,0),0)</f>
        <v>0</v>
      </c>
      <c r="AX12" s="25">
        <f>IF(Tiere!$BZ12&gt;0,SUM(AS12:AW12),0)</f>
        <v>0</v>
      </c>
      <c r="AY12" s="26">
        <f>IFERROR(IF(Tiere!$BZ12&gt;0,VLOOKUP($AP12,Tabelle1!$B$4:$W$162,8,0)*$AQ12,0),0)</f>
        <v>0</v>
      </c>
      <c r="AZ12" s="27">
        <f>IFERROR(IF(Tiere!$BZ12&gt;0,VLOOKUP($AP12,Tabelle1!$B$4:$W$162,9,0)*$AQ12,0),0)</f>
        <v>0</v>
      </c>
      <c r="BA12" s="28">
        <f>IFERROR(IF(Tiere!$BZ12&gt;0,VLOOKUP($AP12,Tabelle1!$B$4:$W$162,10,0)*$AQ12,0),0)</f>
        <v>0</v>
      </c>
      <c r="BB12" s="29">
        <f>IFERROR(IF(Tiere!$BZ12&gt;0,VLOOKUP($AP12,Tabelle1!$B$4:$W$162,11,0)*$AQ12,0),0)</f>
        <v>0</v>
      </c>
      <c r="BC12" s="52">
        <f>IFERROR(IF(Tiere!$BZ12&gt;0,VLOOKUP($AP12,Tabelle1!$B$4:$W$153,12,0)*$AQ12,0),0)</f>
        <v>0</v>
      </c>
      <c r="BD12" s="22">
        <f>IFERROR(IF(Tiere!$BZ12&gt;0,VLOOKUP($AP12,Tabelle1!$B$4:$W$162,13,0)*$AR12,0),0)</f>
        <v>0</v>
      </c>
      <c r="BE12" s="23">
        <f>IFERROR(IF(Tiere!$BZ12&gt;0,VLOOKUP($AP12,Tabelle1!$B$4:$W$162,14,0)*$AR12,0),0)</f>
        <v>0</v>
      </c>
      <c r="BF12" s="23">
        <f>IFERROR(IF(Tiere!$BZ12&gt;0,VLOOKUP($AP12,Tabelle1!$B$4:$W$162,15,0)*$AR12,0),0)</f>
        <v>0</v>
      </c>
      <c r="BG12" s="23">
        <f>IFERROR(IF(Tiere!$BZ12&gt;0,VLOOKUP($AP12,Tabelle1!$B$4:$W$162,16,0)*$AR12,0),0)</f>
        <v>0</v>
      </c>
      <c r="BH12" s="24">
        <f>IFERROR(IF(Tiere!$BZ12&gt;0,VLOOKUP($AP12,Tabelle1!$B$4:$W$162,17,0)*$AR12,0),0)</f>
        <v>0</v>
      </c>
      <c r="BI12" s="30">
        <f>IF(Tiere!$BZ12&gt;0,SUM(BD12:BH12),0)</f>
        <v>0</v>
      </c>
      <c r="BJ12" s="22">
        <f>IFERROR(IF(Tiere!$BZ12&gt;0,VLOOKUP($AP12,Tabelle1!$B$4:$W$162,18,0)*$AR12,0),0)</f>
        <v>0</v>
      </c>
      <c r="BK12" s="23">
        <f>IFERROR(IF(Tiere!$BZ12&gt;0,VLOOKUP($AP12,Tabelle1!$B$4:$W$162,19,0)*$AR12,0),0)</f>
        <v>0</v>
      </c>
      <c r="BL12" s="23">
        <f>IFERROR(IF(Tiere!$BZ12&gt;0,VLOOKUP($AP12,Tabelle1!$B$4:$W$162,20,0)*$AR12,0),0)</f>
        <v>0</v>
      </c>
      <c r="BM12" s="23">
        <f>IFERROR(IF(Tiere!$BZ12&gt;0,VLOOKUP($AP12,Tabelle1!$B$4:$W$162,21,0)*$AR12,0),0)</f>
        <v>0</v>
      </c>
      <c r="BN12" s="24">
        <f>IFERROR(IF(Tiere!$BZ12&gt;0,VLOOKUP($AP12,Tabelle1!$B$4:$W$162,22,0)*$AR12,0),0)</f>
        <v>0</v>
      </c>
      <c r="BO12" s="32">
        <f>IF(Tiere!$BZ12&gt;0,SUM(BJ12:BN12),0)</f>
        <v>0</v>
      </c>
      <c r="BP12" s="33">
        <f>IF(Tiere!$BZ12&gt;0,Tiere!K12,0)</f>
        <v>0</v>
      </c>
      <c r="BQ12" s="34">
        <f>IF(Tiere!$BZ12&gt;0,Tiere!L12,0)</f>
        <v>0</v>
      </c>
      <c r="BR12" s="33">
        <f>IF(Tiere!$BZ12&gt;0,Tiere!M12,0)</f>
        <v>0</v>
      </c>
      <c r="BS12" s="20">
        <f>IF(Tiere!$BZ12&gt;0,Tiere!N12,0)</f>
        <v>0</v>
      </c>
      <c r="BT12" s="816">
        <f t="shared" si="2"/>
        <v>0</v>
      </c>
      <c r="BU12" s="817">
        <f t="shared" si="3"/>
        <v>0</v>
      </c>
      <c r="BV12" s="22">
        <f>IF(Tiere!$BZ12&gt;0,AS12*$BT12,0)</f>
        <v>0</v>
      </c>
      <c r="BW12" s="22">
        <f>IF(Tiere!$BZ12&gt;0,AT12*$BT12,0)</f>
        <v>0</v>
      </c>
      <c r="BX12" s="23">
        <f>IF(Tiere!$BZ12&gt;0,AU12*$BT12,0)</f>
        <v>0</v>
      </c>
      <c r="BY12" s="23">
        <f>IF(Tiere!$BZ12&gt;0,AV12*$BT12,0)</f>
        <v>0</v>
      </c>
      <c r="BZ12" s="35">
        <f>IF(Tiere!$BZ12&gt;0,AW12*$BT12,0)</f>
        <v>0</v>
      </c>
      <c r="CA12" s="25">
        <f>IF(Tiere!$BZ12&gt;0,SUM(BV12:BZ12),0)</f>
        <v>0</v>
      </c>
      <c r="CB12" s="29">
        <f>IF(Tiere!$BZ12&gt;0,AS12*$BU12,0)</f>
        <v>0</v>
      </c>
      <c r="CC12" s="29">
        <f>IF(Tiere!$BZ12&gt;0,AT12*$BU12,0)</f>
        <v>0</v>
      </c>
      <c r="CD12" s="29">
        <f>IF(Tiere!$BZ12&gt;0,AU12*$BU12,0)</f>
        <v>0</v>
      </c>
      <c r="CE12" s="29">
        <f>IF(Tiere!$BZ12&gt;0,AV12*$BU12,0)</f>
        <v>0</v>
      </c>
      <c r="CF12" s="36">
        <f>IF(Tiere!$BZ12&gt;0,AW12*$BU12,0)</f>
        <v>0</v>
      </c>
      <c r="CG12" s="25">
        <f>IF(Tiere!$BZ12&gt;0,SUM(CB12:CF12),0)</f>
        <v>0</v>
      </c>
      <c r="CH12" s="21">
        <f>IFERROR(IF(Tiere!$BZ12&gt;0,BD12*$BT12,0),0)</f>
        <v>0</v>
      </c>
      <c r="CI12" s="22">
        <f>IFERROR(IF(Tiere!$BZ12&gt;0,BE12*$BT12,0),0)</f>
        <v>0</v>
      </c>
      <c r="CJ12" s="23">
        <f>IFERROR(IF(Tiere!$BZ12&gt;0,BF12*$BT12,0),0)</f>
        <v>0</v>
      </c>
      <c r="CK12" s="23">
        <f>IFERROR(IF(Tiere!$BZ12&gt;0,BG12*$BT12,0),0)</f>
        <v>0</v>
      </c>
      <c r="CL12" s="35">
        <f>IFERROR(IF(Tiere!$BZ12&gt;0,BH12*$BT12,0),0)</f>
        <v>0</v>
      </c>
      <c r="CM12" s="21">
        <f>IFERROR(IF(Tiere!$BZ12&gt;0,BJ12*$BT12,0),0)</f>
        <v>0</v>
      </c>
      <c r="CN12" s="22">
        <f>IFERROR(IF(Tiere!$BZ12&gt;0,BK12*$BT12,0),0)</f>
        <v>0</v>
      </c>
      <c r="CO12" s="23">
        <f>IFERROR(IF(Tiere!$BZ12&gt;0,BL12*$BT12,0),0)</f>
        <v>0</v>
      </c>
      <c r="CP12" s="23">
        <f>IFERROR(IF(Tiere!$BZ12&gt;0,BM12*$BT12,0),0)</f>
        <v>0</v>
      </c>
      <c r="CQ12" s="35">
        <f>IFERROR(IF(Tiere!$BZ12&gt;0,BN12*$BT12,0),0)</f>
        <v>0</v>
      </c>
      <c r="CR12" s="21">
        <f>IFERROR(IF(Tiere!$BZ12&gt;0,BD12*$BU12,0),0)</f>
        <v>0</v>
      </c>
      <c r="CS12" s="22">
        <f>IFERROR(IF(Tiere!$BZ12&gt;0,BE12*$BU12,0),0)</f>
        <v>0</v>
      </c>
      <c r="CT12" s="23">
        <f>IFERROR(IF(Tiere!$BZ12&gt;0,BF12*$BU12,0),0)</f>
        <v>0</v>
      </c>
      <c r="CU12" s="23">
        <f>IFERROR(IF(Tiere!$BZ12&gt;0,BG12*$BU12,0),0)</f>
        <v>0</v>
      </c>
      <c r="CV12" s="35">
        <f>IFERROR(IF(Tiere!$BZ12&gt;0,BH12*$BU12,0),0)</f>
        <v>0</v>
      </c>
      <c r="CW12" s="21">
        <f>IFERROR(IF(Tiere!$BZ12&gt;0,BJ12*$BU12,0),0)</f>
        <v>0</v>
      </c>
      <c r="CX12" s="22">
        <f>IFERROR(IF(Tiere!$BZ12&gt;0,BK12*$BU12,0),0)</f>
        <v>0</v>
      </c>
      <c r="CY12" s="23">
        <f>IFERROR(IF(Tiere!$BZ12&gt;0,BL12*$BU12,0),0)</f>
        <v>0</v>
      </c>
      <c r="CZ12" s="23">
        <f>IFERROR(IF(Tiere!$BZ12&gt;0,BM12*$BU12,0),0)</f>
        <v>0</v>
      </c>
      <c r="DA12" s="35">
        <f>IFERROR(IF(Tiere!$BZ12&gt;0,BN12*$BU12,0),0)</f>
        <v>0</v>
      </c>
      <c r="DB12" s="37">
        <f>IFERROR(IF(Tiere!$BZ12&gt;0,VLOOKUP($AP12,Tabelle1!$B$4:$W$162,11,0)*$BR12,0),0)</f>
        <v>0</v>
      </c>
      <c r="DC12" s="38">
        <f>IF(Tiere!$BZ12&gt;0,AR12,0)</f>
        <v>0</v>
      </c>
      <c r="DD12" s="39">
        <f>IFERROR(IF(Tiere!$BZ12&gt;0,VLOOKUP($AP12,Tabelle1!$B$4:$AJ$162,35,0),0),0)</f>
        <v>0</v>
      </c>
      <c r="DE12" s="40">
        <f>IFERROR(IF(Tiere!$BZ12&gt;0,IF(DD12&gt;0,(DD12*DC12)/170,AX12/170),0),0)</f>
        <v>0</v>
      </c>
      <c r="DF12" s="41">
        <f>IFERROR(IF(Tiere!$BZ12&gt;0,VLOOKUP($AP12,Tabelle1!$B$4:$AK$162,36,0),0),0)</f>
        <v>0</v>
      </c>
      <c r="DG12" s="42">
        <f t="shared" si="4"/>
        <v>0</v>
      </c>
      <c r="DH12">
        <f t="shared" si="0"/>
        <v>0</v>
      </c>
    </row>
    <row r="13" spans="1:112" ht="14.25" customHeight="1">
      <c r="A13" s="1">
        <v>8</v>
      </c>
      <c r="B13" s="43" t="str">
        <f t="shared" si="5"/>
        <v>Jungvieh 1 bis 2 Jahr - Mist/Jauche</v>
      </c>
      <c r="C13" s="44" t="s">
        <v>514</v>
      </c>
      <c r="D13" s="823"/>
      <c r="E13" s="824"/>
      <c r="F13" s="824"/>
      <c r="G13" s="824">
        <v>18.7</v>
      </c>
      <c r="H13" s="825">
        <v>18.8</v>
      </c>
      <c r="I13" s="826"/>
      <c r="J13" s="827">
        <v>2.9</v>
      </c>
      <c r="K13" s="830">
        <v>3</v>
      </c>
      <c r="L13" s="826">
        <v>0.6</v>
      </c>
      <c r="M13" s="828">
        <v>1</v>
      </c>
      <c r="N13" s="826"/>
      <c r="O13" s="827"/>
      <c r="P13" s="827"/>
      <c r="Q13" s="829">
        <v>9.8000000000000007</v>
      </c>
      <c r="R13" s="830">
        <v>9.8000000000000007</v>
      </c>
      <c r="S13" s="831"/>
      <c r="T13" s="829"/>
      <c r="U13" s="829"/>
      <c r="V13" s="829">
        <v>37.4</v>
      </c>
      <c r="W13" s="830">
        <v>37.4</v>
      </c>
      <c r="X13" s="1173"/>
      <c r="Y13" s="1174"/>
      <c r="Z13" s="1174"/>
      <c r="AA13" s="1175"/>
      <c r="AB13" s="1174"/>
      <c r="AC13" s="1174"/>
      <c r="AD13" s="1174"/>
      <c r="AE13" s="1175"/>
      <c r="AF13" s="826"/>
      <c r="AG13" s="827">
        <v>16.3</v>
      </c>
      <c r="AH13" s="828">
        <v>17.100000000000001</v>
      </c>
      <c r="AI13" s="49" t="s">
        <v>514</v>
      </c>
      <c r="AJ13" s="50">
        <v>51.52</v>
      </c>
      <c r="AK13" s="51">
        <v>51.5</v>
      </c>
      <c r="AL13" s="41">
        <f t="shared" si="1"/>
        <v>3.3009708737864076</v>
      </c>
      <c r="AM13" s="745" t="s">
        <v>515</v>
      </c>
      <c r="AN13" s="60" t="s">
        <v>516</v>
      </c>
      <c r="AO13" s="59"/>
      <c r="AP13" s="18">
        <f>Tiere!B13</f>
        <v>0</v>
      </c>
      <c r="AQ13" s="19">
        <f>IF(AP13=0,0,Tiere!I13)</f>
        <v>0</v>
      </c>
      <c r="AR13" s="20">
        <f>IFERROR(IF(Tiere!$BZ13&gt;0,VLOOKUP($AP13,Tabelle1!$B$4:$AE$162,12,0)*$AQ13,0),0)</f>
        <v>0</v>
      </c>
      <c r="AS13" s="21">
        <f>IFERROR(IF(Tiere!$BZ13&gt;0,VLOOKUP($AP13,Tabelle1!$B$4:$W$162,3,0)*$AR13,0),0)</f>
        <v>0</v>
      </c>
      <c r="AT13" s="22">
        <f>IFERROR(IF(Tiere!$BZ13&gt;0,VLOOKUP($AP13,Tabelle1!$B$4:$W$162,4,0)*$AR13,0),0)</f>
        <v>0</v>
      </c>
      <c r="AU13" s="23">
        <f>IFERROR(IF(Tiere!$BZ13&gt;0,VLOOKUP($AP13,Tabelle1!$B$4:$W$162,5,0)*$AR13,0),0)</f>
        <v>0</v>
      </c>
      <c r="AV13" s="23">
        <f>IFERROR(IF(Tiere!$BZ13&gt;0,VLOOKUP($AP13,Tabelle1!$B$4:$W$162,6,0)*$AR13,0),0)</f>
        <v>0</v>
      </c>
      <c r="AW13" s="24">
        <f>IFERROR(IF(Tiere!$BZ13&gt;0,VLOOKUP($AP13,Tabelle1!$B$4:$W$162,7,0)*$AR13,0),0)</f>
        <v>0</v>
      </c>
      <c r="AX13" s="25">
        <f>IF(Tiere!$BZ13&gt;0,SUM(AS13:AW13),0)</f>
        <v>0</v>
      </c>
      <c r="AY13" s="26">
        <f>IFERROR(IF(Tiere!$BZ13&gt;0,VLOOKUP($AP13,Tabelle1!$B$4:$W$162,8,0)*$AQ13,0),0)</f>
        <v>0</v>
      </c>
      <c r="AZ13" s="27">
        <f>IFERROR(IF(Tiere!$BZ13&gt;0,VLOOKUP($AP13,Tabelle1!$B$4:$W$162,9,0)*$AQ13,0),0)</f>
        <v>0</v>
      </c>
      <c r="BA13" s="28">
        <f>IFERROR(IF(Tiere!$BZ13&gt;0,VLOOKUP($AP13,Tabelle1!$B$4:$W$162,10,0)*$AQ13,0),0)</f>
        <v>0</v>
      </c>
      <c r="BB13" s="29">
        <f>IFERROR(IF(Tiere!$BZ13&gt;0,VLOOKUP($AP13,Tabelle1!$B$4:$W$162,11,0)*$AQ13,0),0)</f>
        <v>0</v>
      </c>
      <c r="BC13" s="52">
        <f>IFERROR(IF(Tiere!$BZ13&gt;0,VLOOKUP($AP13,Tabelle1!$B$4:$W$153,12,0)*$AQ13,0),0)</f>
        <v>0</v>
      </c>
      <c r="BD13" s="22">
        <f>IFERROR(IF(Tiere!$BZ13&gt;0,VLOOKUP($AP13,Tabelle1!$B$4:$W$162,13,0)*$AR13,0),0)</f>
        <v>0</v>
      </c>
      <c r="BE13" s="23">
        <f>IFERROR(IF(Tiere!$BZ13&gt;0,VLOOKUP($AP13,Tabelle1!$B$4:$W$162,14,0)*$AR13,0),0)</f>
        <v>0</v>
      </c>
      <c r="BF13" s="23">
        <f>IFERROR(IF(Tiere!$BZ13&gt;0,VLOOKUP($AP13,Tabelle1!$B$4:$W$162,15,0)*$AR13,0),0)</f>
        <v>0</v>
      </c>
      <c r="BG13" s="23">
        <f>IFERROR(IF(Tiere!$BZ13&gt;0,VLOOKUP($AP13,Tabelle1!$B$4:$W$162,16,0)*$AR13,0),0)</f>
        <v>0</v>
      </c>
      <c r="BH13" s="24">
        <f>IFERROR(IF(Tiere!$BZ13&gt;0,VLOOKUP($AP13,Tabelle1!$B$4:$W$162,17,0)*$AR13,0),0)</f>
        <v>0</v>
      </c>
      <c r="BI13" s="30">
        <f>IF(Tiere!$BZ13&gt;0,SUM(BD13:BH13),0)</f>
        <v>0</v>
      </c>
      <c r="BJ13" s="22">
        <f>IFERROR(IF(Tiere!$BZ13&gt;0,VLOOKUP($AP13,Tabelle1!$B$4:$W$162,18,0)*$AR13,0),0)</f>
        <v>0</v>
      </c>
      <c r="BK13" s="23">
        <f>IFERROR(IF(Tiere!$BZ13&gt;0,VLOOKUP($AP13,Tabelle1!$B$4:$W$162,19,0)*$AR13,0),0)</f>
        <v>0</v>
      </c>
      <c r="BL13" s="23">
        <f>IFERROR(IF(Tiere!$BZ13&gt;0,VLOOKUP($AP13,Tabelle1!$B$4:$W$162,20,0)*$AR13,0),0)</f>
        <v>0</v>
      </c>
      <c r="BM13" s="23">
        <f>IFERROR(IF(Tiere!$BZ13&gt;0,VLOOKUP($AP13,Tabelle1!$B$4:$W$162,21,0)*$AR13,0),0)</f>
        <v>0</v>
      </c>
      <c r="BN13" s="24">
        <f>IFERROR(IF(Tiere!$BZ13&gt;0,VLOOKUP($AP13,Tabelle1!$B$4:$W$162,22,0)*$AR13,0),0)</f>
        <v>0</v>
      </c>
      <c r="BO13" s="32">
        <f>IF(Tiere!$BZ13&gt;0,SUM(BJ13:BN13),0)</f>
        <v>0</v>
      </c>
      <c r="BP13" s="33">
        <f>IF(Tiere!$BZ13&gt;0,Tiere!K13,0)</f>
        <v>0</v>
      </c>
      <c r="BQ13" s="34">
        <f>IF(Tiere!$BZ13&gt;0,Tiere!L13,0)</f>
        <v>0</v>
      </c>
      <c r="BR13" s="33">
        <f>IF(Tiere!$BZ13&gt;0,Tiere!M13,0)</f>
        <v>0</v>
      </c>
      <c r="BS13" s="20">
        <f>IF(Tiere!$BZ13&gt;0,Tiere!N13,0)</f>
        <v>0</v>
      </c>
      <c r="BT13" s="816">
        <f t="shared" si="2"/>
        <v>0</v>
      </c>
      <c r="BU13" s="817">
        <f t="shared" si="3"/>
        <v>0</v>
      </c>
      <c r="BV13" s="22">
        <f>IF(Tiere!$BZ13&gt;0,AS13*$BT13,0)</f>
        <v>0</v>
      </c>
      <c r="BW13" s="22">
        <f>IF(Tiere!$BZ13&gt;0,AT13*$BT13,0)</f>
        <v>0</v>
      </c>
      <c r="BX13" s="23">
        <f>IF(Tiere!$BZ13&gt;0,AU13*$BT13,0)</f>
        <v>0</v>
      </c>
      <c r="BY13" s="23">
        <f>IF(Tiere!$BZ13&gt;0,AV13*$BT13,0)</f>
        <v>0</v>
      </c>
      <c r="BZ13" s="35">
        <f>IF(Tiere!$BZ13&gt;0,AW13*$BT13,0)</f>
        <v>0</v>
      </c>
      <c r="CA13" s="25">
        <f>IF(Tiere!$BZ13&gt;0,SUM(BV13:BZ13),0)</f>
        <v>0</v>
      </c>
      <c r="CB13" s="29">
        <f>IF(Tiere!$BZ13&gt;0,AS13*$BU13,0)</f>
        <v>0</v>
      </c>
      <c r="CC13" s="29">
        <f>IF(Tiere!$BZ13&gt;0,AT13*$BU13,0)</f>
        <v>0</v>
      </c>
      <c r="CD13" s="29">
        <f>IF(Tiere!$BZ13&gt;0,AU13*$BU13,0)</f>
        <v>0</v>
      </c>
      <c r="CE13" s="29">
        <f>IF(Tiere!$BZ13&gt;0,AV13*$BU13,0)</f>
        <v>0</v>
      </c>
      <c r="CF13" s="36">
        <f>IF(Tiere!$BZ13&gt;0,AW13*$BU13,0)</f>
        <v>0</v>
      </c>
      <c r="CG13" s="25">
        <f>IF(Tiere!$BZ13&gt;0,SUM(CB13:CF13),0)</f>
        <v>0</v>
      </c>
      <c r="CH13" s="21">
        <f>IFERROR(IF(Tiere!$BZ13&gt;0,BD13*$BT13,0),0)</f>
        <v>0</v>
      </c>
      <c r="CI13" s="22">
        <f>IFERROR(IF(Tiere!$BZ13&gt;0,BE13*$BT13,0),0)</f>
        <v>0</v>
      </c>
      <c r="CJ13" s="23">
        <f>IFERROR(IF(Tiere!$BZ13&gt;0,BF13*$BT13,0),0)</f>
        <v>0</v>
      </c>
      <c r="CK13" s="23">
        <f>IFERROR(IF(Tiere!$BZ13&gt;0,BG13*$BT13,0),0)</f>
        <v>0</v>
      </c>
      <c r="CL13" s="35">
        <f>IFERROR(IF(Tiere!$BZ13&gt;0,BH13*$BT13,0),0)</f>
        <v>0</v>
      </c>
      <c r="CM13" s="21">
        <f>IFERROR(IF(Tiere!$BZ13&gt;0,BJ13*$BT13,0),0)</f>
        <v>0</v>
      </c>
      <c r="CN13" s="22">
        <f>IFERROR(IF(Tiere!$BZ13&gt;0,BK13*$BT13,0),0)</f>
        <v>0</v>
      </c>
      <c r="CO13" s="23">
        <f>IFERROR(IF(Tiere!$BZ13&gt;0,BL13*$BT13,0),0)</f>
        <v>0</v>
      </c>
      <c r="CP13" s="23">
        <f>IFERROR(IF(Tiere!$BZ13&gt;0,BM13*$BT13,0),0)</f>
        <v>0</v>
      </c>
      <c r="CQ13" s="35">
        <f>IFERROR(IF(Tiere!$BZ13&gt;0,BN13*$BT13,0),0)</f>
        <v>0</v>
      </c>
      <c r="CR13" s="21">
        <f>IFERROR(IF(Tiere!$BZ13&gt;0,BD13*$BU13,0),0)</f>
        <v>0</v>
      </c>
      <c r="CS13" s="22">
        <f>IFERROR(IF(Tiere!$BZ13&gt;0,BE13*$BU13,0),0)</f>
        <v>0</v>
      </c>
      <c r="CT13" s="23">
        <f>IFERROR(IF(Tiere!$BZ13&gt;0,BF13*$BU13,0),0)</f>
        <v>0</v>
      </c>
      <c r="CU13" s="23">
        <f>IFERROR(IF(Tiere!$BZ13&gt;0,BG13*$BU13,0),0)</f>
        <v>0</v>
      </c>
      <c r="CV13" s="35">
        <f>IFERROR(IF(Tiere!$BZ13&gt;0,BH13*$BU13,0),0)</f>
        <v>0</v>
      </c>
      <c r="CW13" s="21">
        <f>IFERROR(IF(Tiere!$BZ13&gt;0,BJ13*$BU13,0),0)</f>
        <v>0</v>
      </c>
      <c r="CX13" s="22">
        <f>IFERROR(IF(Tiere!$BZ13&gt;0,BK13*$BU13,0),0)</f>
        <v>0</v>
      </c>
      <c r="CY13" s="23">
        <f>IFERROR(IF(Tiere!$BZ13&gt;0,BL13*$BU13,0),0)</f>
        <v>0</v>
      </c>
      <c r="CZ13" s="23">
        <f>IFERROR(IF(Tiere!$BZ13&gt;0,BM13*$BU13,0),0)</f>
        <v>0</v>
      </c>
      <c r="DA13" s="35">
        <f>IFERROR(IF(Tiere!$BZ13&gt;0,BN13*$BU13,0),0)</f>
        <v>0</v>
      </c>
      <c r="DB13" s="37">
        <f>IFERROR(IF(Tiere!$BZ13&gt;0,VLOOKUP($AP13,Tabelle1!$B$4:$W$162,11,0)*$BR13,0),0)</f>
        <v>0</v>
      </c>
      <c r="DC13" s="38">
        <f>IF(Tiere!$BZ13&gt;0,AR13,0)</f>
        <v>0</v>
      </c>
      <c r="DD13" s="39">
        <f>IFERROR(IF(Tiere!$BZ13&gt;0,VLOOKUP($AP13,Tabelle1!$B$4:$AJ$162,35,0),0),0)</f>
        <v>0</v>
      </c>
      <c r="DE13" s="40">
        <f>IFERROR(IF(Tiere!$BZ13&gt;0,IF(DD13&gt;0,(DD13*DC13)/170,AX13/170),0),0)</f>
        <v>0</v>
      </c>
      <c r="DF13" s="41">
        <f>IFERROR(IF(Tiere!$BZ13&gt;0,VLOOKUP($AP13,Tabelle1!$B$4:$AK$162,36,0),0),0)</f>
        <v>0</v>
      </c>
      <c r="DG13" s="42">
        <f t="shared" si="4"/>
        <v>0</v>
      </c>
      <c r="DH13">
        <f t="shared" si="0"/>
        <v>0</v>
      </c>
    </row>
    <row r="14" spans="1:112" ht="14.25">
      <c r="A14" s="1">
        <v>9</v>
      </c>
      <c r="B14" s="43" t="str">
        <f t="shared" si="5"/>
        <v>Jungvieh 1 bis 2 Jahr - Tiefstallmist</v>
      </c>
      <c r="C14" s="44" t="s">
        <v>517</v>
      </c>
      <c r="D14" s="823"/>
      <c r="E14" s="824"/>
      <c r="F14" s="824"/>
      <c r="G14" s="824"/>
      <c r="H14" s="825">
        <v>37.5</v>
      </c>
      <c r="I14" s="826"/>
      <c r="J14" s="827"/>
      <c r="K14" s="828">
        <v>6.2</v>
      </c>
      <c r="L14" s="826">
        <v>0.6</v>
      </c>
      <c r="M14" s="828">
        <v>1</v>
      </c>
      <c r="N14" s="826"/>
      <c r="O14" s="827"/>
      <c r="P14" s="827"/>
      <c r="Q14" s="829"/>
      <c r="R14" s="830">
        <v>19.600000000000001</v>
      </c>
      <c r="S14" s="831"/>
      <c r="T14" s="829"/>
      <c r="U14" s="829"/>
      <c r="V14" s="829"/>
      <c r="W14" s="830">
        <v>74.8</v>
      </c>
      <c r="X14" s="1173"/>
      <c r="Y14" s="1174"/>
      <c r="Z14" s="1174"/>
      <c r="AA14" s="1175"/>
      <c r="AB14" s="1174"/>
      <c r="AC14" s="1174"/>
      <c r="AD14" s="1174"/>
      <c r="AE14" s="1175"/>
      <c r="AF14" s="826"/>
      <c r="AG14" s="827"/>
      <c r="AH14" s="828">
        <v>34.1</v>
      </c>
      <c r="AI14" s="49" t="s">
        <v>517</v>
      </c>
      <c r="AJ14" s="50">
        <v>51.52</v>
      </c>
      <c r="AK14" s="51">
        <v>51.5</v>
      </c>
      <c r="AL14" s="41">
        <f t="shared" si="1"/>
        <v>3.3009708737864076</v>
      </c>
      <c r="AM14" s="745" t="s">
        <v>518</v>
      </c>
      <c r="AN14" s="4" t="str">
        <f>IF(Betrieb!D8="JA","ÖPUL 2023","")</f>
        <v>ÖPUL 2023</v>
      </c>
      <c r="AO14" s="55">
        <f>IF(Betrieb!D8="JA",1,0)</f>
        <v>1</v>
      </c>
      <c r="AP14" s="18">
        <f>Tiere!B14</f>
        <v>0</v>
      </c>
      <c r="AQ14" s="19">
        <f>IF(AP14=0,0,Tiere!I14)</f>
        <v>0</v>
      </c>
      <c r="AR14" s="20">
        <f>IFERROR(IF(Tiere!$BZ14&gt;0,VLOOKUP($AP14,Tabelle1!$B$4:$AE$162,12,0)*$AQ14,0),0)</f>
        <v>0</v>
      </c>
      <c r="AS14" s="21">
        <f>IFERROR(IF(Tiere!$BZ14&gt;0,VLOOKUP($AP14,Tabelle1!$B$4:$W$162,3,0)*$AR14,0),0)</f>
        <v>0</v>
      </c>
      <c r="AT14" s="22">
        <f>IFERROR(IF(Tiere!$BZ14&gt;0,VLOOKUP($AP14,Tabelle1!$B$4:$W$162,4,0)*$AR14,0),0)</f>
        <v>0</v>
      </c>
      <c r="AU14" s="23">
        <f>IFERROR(IF(Tiere!$BZ14&gt;0,VLOOKUP($AP14,Tabelle1!$B$4:$W$162,5,0)*$AR14,0),0)</f>
        <v>0</v>
      </c>
      <c r="AV14" s="23">
        <f>IFERROR(IF(Tiere!$BZ14&gt;0,VLOOKUP($AP14,Tabelle1!$B$4:$W$162,6,0)*$AR14,0),0)</f>
        <v>0</v>
      </c>
      <c r="AW14" s="24">
        <f>IFERROR(IF(Tiere!$BZ14&gt;0,VLOOKUP($AP14,Tabelle1!$B$4:$W$162,7,0)*$AR14,0),0)</f>
        <v>0</v>
      </c>
      <c r="AX14" s="25">
        <f>IF(Tiere!$BZ14&gt;0,SUM(AS14:AW14),0)</f>
        <v>0</v>
      </c>
      <c r="AY14" s="26">
        <f>IFERROR(IF(Tiere!$BZ14&gt;0,VLOOKUP($AP14,Tabelle1!$B$4:$W$162,8,0)*$AQ14,0),0)</f>
        <v>0</v>
      </c>
      <c r="AZ14" s="27">
        <f>IFERROR(IF(Tiere!$BZ14&gt;0,VLOOKUP($AP14,Tabelle1!$B$4:$W$162,9,0)*$AQ14,0),0)</f>
        <v>0</v>
      </c>
      <c r="BA14" s="28">
        <f>IFERROR(IF(Tiere!$BZ14&gt;0,VLOOKUP($AP14,Tabelle1!$B$4:$W$162,10,0)*$AQ14,0),0)</f>
        <v>0</v>
      </c>
      <c r="BB14" s="29">
        <f>IFERROR(IF(Tiere!$BZ14&gt;0,VLOOKUP($AP14,Tabelle1!$B$4:$W$162,11,0)*$AQ14,0),0)</f>
        <v>0</v>
      </c>
      <c r="BC14" s="52">
        <f>IFERROR(IF(Tiere!$BZ14&gt;0,VLOOKUP($AP14,Tabelle1!$B$4:$W$153,12,0)*$AQ14,0),0)</f>
        <v>0</v>
      </c>
      <c r="BD14" s="22">
        <f>IFERROR(IF(Tiere!$BZ14&gt;0,VLOOKUP($AP14,Tabelle1!$B$4:$W$162,13,0)*$AR14,0),0)</f>
        <v>0</v>
      </c>
      <c r="BE14" s="23">
        <f>IFERROR(IF(Tiere!$BZ14&gt;0,VLOOKUP($AP14,Tabelle1!$B$4:$W$162,14,0)*$AR14,0),0)</f>
        <v>0</v>
      </c>
      <c r="BF14" s="23">
        <f>IFERROR(IF(Tiere!$BZ14&gt;0,VLOOKUP($AP14,Tabelle1!$B$4:$W$162,15,0)*$AR14,0),0)</f>
        <v>0</v>
      </c>
      <c r="BG14" s="23">
        <f>IFERROR(IF(Tiere!$BZ14&gt;0,VLOOKUP($AP14,Tabelle1!$B$4:$W$162,16,0)*$AR14,0),0)</f>
        <v>0</v>
      </c>
      <c r="BH14" s="24">
        <f>IFERROR(IF(Tiere!$BZ14&gt;0,VLOOKUP($AP14,Tabelle1!$B$4:$W$162,17,0)*$AR14,0),0)</f>
        <v>0</v>
      </c>
      <c r="BI14" s="30">
        <f>IF(Tiere!$BZ14&gt;0,SUM(BD14:BH14),0)</f>
        <v>0</v>
      </c>
      <c r="BJ14" s="22">
        <f>IFERROR(IF(Tiere!$BZ14&gt;0,VLOOKUP($AP14,Tabelle1!$B$4:$W$162,18,0)*$AR14,0),0)</f>
        <v>0</v>
      </c>
      <c r="BK14" s="23">
        <f>IFERROR(IF(Tiere!$BZ14&gt;0,VLOOKUP($AP14,Tabelle1!$B$4:$W$162,19,0)*$AR14,0),0)</f>
        <v>0</v>
      </c>
      <c r="BL14" s="23">
        <f>IFERROR(IF(Tiere!$BZ14&gt;0,VLOOKUP($AP14,Tabelle1!$B$4:$W$162,20,0)*$AR14,0),0)</f>
        <v>0</v>
      </c>
      <c r="BM14" s="23">
        <f>IFERROR(IF(Tiere!$BZ14&gt;0,VLOOKUP($AP14,Tabelle1!$B$4:$W$162,21,0)*$AR14,0),0)</f>
        <v>0</v>
      </c>
      <c r="BN14" s="24">
        <f>IFERROR(IF(Tiere!$BZ14&gt;0,VLOOKUP($AP14,Tabelle1!$B$4:$W$162,22,0)*$AR14,0),0)</f>
        <v>0</v>
      </c>
      <c r="BO14" s="32">
        <f>IF(Tiere!$BZ14&gt;0,SUM(BJ14:BN14),0)</f>
        <v>0</v>
      </c>
      <c r="BP14" s="33">
        <f>IF(Tiere!$BZ14&gt;0,Tiere!K14,0)</f>
        <v>0</v>
      </c>
      <c r="BQ14" s="34">
        <f>IF(Tiere!$BZ14&gt;0,Tiere!L14,0)</f>
        <v>0</v>
      </c>
      <c r="BR14" s="33">
        <f>IF(Tiere!$BZ14&gt;0,Tiere!M14,0)</f>
        <v>0</v>
      </c>
      <c r="BS14" s="20">
        <f>IF(Tiere!$BZ14&gt;0,Tiere!N14,0)</f>
        <v>0</v>
      </c>
      <c r="BT14" s="816">
        <f t="shared" si="2"/>
        <v>0</v>
      </c>
      <c r="BU14" s="817">
        <f t="shared" si="3"/>
        <v>0</v>
      </c>
      <c r="BV14" s="22">
        <f>IF(Tiere!$BZ14&gt;0,AS14*$BT14,0)</f>
        <v>0</v>
      </c>
      <c r="BW14" s="22">
        <f>IF(Tiere!$BZ14&gt;0,AT14*$BT14,0)</f>
        <v>0</v>
      </c>
      <c r="BX14" s="23">
        <f>IF(Tiere!$BZ14&gt;0,AU14*$BT14,0)</f>
        <v>0</v>
      </c>
      <c r="BY14" s="23">
        <f>IF(Tiere!$BZ14&gt;0,AV14*$BT14,0)</f>
        <v>0</v>
      </c>
      <c r="BZ14" s="35">
        <f>IF(Tiere!$BZ14&gt;0,AW14*$BT14,0)</f>
        <v>0</v>
      </c>
      <c r="CA14" s="25">
        <f>IF(Tiere!$BZ14&gt;0,SUM(BV14:BZ14),0)</f>
        <v>0</v>
      </c>
      <c r="CB14" s="29">
        <f>IF(Tiere!$BZ14&gt;0,AS14*$BU14,0)</f>
        <v>0</v>
      </c>
      <c r="CC14" s="29">
        <f>IF(Tiere!$BZ14&gt;0,AT14*$BU14,0)</f>
        <v>0</v>
      </c>
      <c r="CD14" s="29">
        <f>IF(Tiere!$BZ14&gt;0,AU14*$BU14,0)</f>
        <v>0</v>
      </c>
      <c r="CE14" s="29">
        <f>IF(Tiere!$BZ14&gt;0,AV14*$BU14,0)</f>
        <v>0</v>
      </c>
      <c r="CF14" s="36">
        <f>IF(Tiere!$BZ14&gt;0,AW14*$BU14,0)</f>
        <v>0</v>
      </c>
      <c r="CG14" s="25">
        <f>IF(Tiere!$BZ14&gt;0,SUM(CB14:CF14),0)</f>
        <v>0</v>
      </c>
      <c r="CH14" s="21">
        <f>IFERROR(IF(Tiere!$BZ14&gt;0,BD14*$BT14,0),0)</f>
        <v>0</v>
      </c>
      <c r="CI14" s="22">
        <f>IFERROR(IF(Tiere!$BZ14&gt;0,BE14*$BT14,0),0)</f>
        <v>0</v>
      </c>
      <c r="CJ14" s="23">
        <f>IFERROR(IF(Tiere!$BZ14&gt;0,BF14*$BT14,0),0)</f>
        <v>0</v>
      </c>
      <c r="CK14" s="23">
        <f>IFERROR(IF(Tiere!$BZ14&gt;0,BG14*$BT14,0),0)</f>
        <v>0</v>
      </c>
      <c r="CL14" s="35">
        <f>IFERROR(IF(Tiere!$BZ14&gt;0,BH14*$BT14,0),0)</f>
        <v>0</v>
      </c>
      <c r="CM14" s="21">
        <f>IFERROR(IF(Tiere!$BZ14&gt;0,BJ14*$BT14,0),0)</f>
        <v>0</v>
      </c>
      <c r="CN14" s="22">
        <f>IFERROR(IF(Tiere!$BZ14&gt;0,BK14*$BT14,0),0)</f>
        <v>0</v>
      </c>
      <c r="CO14" s="23">
        <f>IFERROR(IF(Tiere!$BZ14&gt;0,BL14*$BT14,0),0)</f>
        <v>0</v>
      </c>
      <c r="CP14" s="23">
        <f>IFERROR(IF(Tiere!$BZ14&gt;0,BM14*$BT14,0),0)</f>
        <v>0</v>
      </c>
      <c r="CQ14" s="35">
        <f>IFERROR(IF(Tiere!$BZ14&gt;0,BN14*$BT14,0),0)</f>
        <v>0</v>
      </c>
      <c r="CR14" s="21">
        <f>IFERROR(IF(Tiere!$BZ14&gt;0,BD14*$BU14,0),0)</f>
        <v>0</v>
      </c>
      <c r="CS14" s="22">
        <f>IFERROR(IF(Tiere!$BZ14&gt;0,BE14*$BU14,0),0)</f>
        <v>0</v>
      </c>
      <c r="CT14" s="23">
        <f>IFERROR(IF(Tiere!$BZ14&gt;0,BF14*$BU14,0),0)</f>
        <v>0</v>
      </c>
      <c r="CU14" s="23">
        <f>IFERROR(IF(Tiere!$BZ14&gt;0,BG14*$BU14,0),0)</f>
        <v>0</v>
      </c>
      <c r="CV14" s="35">
        <f>IFERROR(IF(Tiere!$BZ14&gt;0,BH14*$BU14,0),0)</f>
        <v>0</v>
      </c>
      <c r="CW14" s="21">
        <f>IFERROR(IF(Tiere!$BZ14&gt;0,BJ14*$BU14,0),0)</f>
        <v>0</v>
      </c>
      <c r="CX14" s="22">
        <f>IFERROR(IF(Tiere!$BZ14&gt;0,BK14*$BU14,0),0)</f>
        <v>0</v>
      </c>
      <c r="CY14" s="23">
        <f>IFERROR(IF(Tiere!$BZ14&gt;0,BL14*$BU14,0),0)</f>
        <v>0</v>
      </c>
      <c r="CZ14" s="23">
        <f>IFERROR(IF(Tiere!$BZ14&gt;0,BM14*$BU14,0),0)</f>
        <v>0</v>
      </c>
      <c r="DA14" s="35">
        <f>IFERROR(IF(Tiere!$BZ14&gt;0,BN14*$BU14,0),0)</f>
        <v>0</v>
      </c>
      <c r="DB14" s="37">
        <f>IFERROR(IF(Tiere!$BZ14&gt;0,VLOOKUP($AP14,Tabelle1!$B$4:$W$162,11,0)*$BR14,0),0)</f>
        <v>0</v>
      </c>
      <c r="DC14" s="38">
        <f>IF(Tiere!$BZ14&gt;0,AR14,0)</f>
        <v>0</v>
      </c>
      <c r="DD14" s="39">
        <f>IFERROR(IF(Tiere!$BZ14&gt;0,VLOOKUP($AP14,Tabelle1!$B$4:$AJ$162,35,0),0),0)</f>
        <v>0</v>
      </c>
      <c r="DE14" s="40">
        <f>IFERROR(IF(Tiere!$BZ14&gt;0,IF(DD14&gt;0,(DD14*DC14)/170,AX14/170),0),0)</f>
        <v>0</v>
      </c>
      <c r="DF14" s="41">
        <f>IFERROR(IF(Tiere!$BZ14&gt;0,VLOOKUP($AP14,Tabelle1!$B$4:$AK$162,36,0),0),0)</f>
        <v>0</v>
      </c>
      <c r="DG14" s="42">
        <f t="shared" si="4"/>
        <v>0</v>
      </c>
      <c r="DH14">
        <f t="shared" si="0"/>
        <v>0</v>
      </c>
    </row>
    <row r="15" spans="1:112" ht="14.25">
      <c r="A15" s="1">
        <v>10</v>
      </c>
      <c r="B15" s="43" t="str">
        <f t="shared" si="5"/>
        <v>Ochsen, Stiere - Gülle</v>
      </c>
      <c r="C15" s="44" t="s">
        <v>519</v>
      </c>
      <c r="D15" s="823">
        <v>54.7</v>
      </c>
      <c r="E15" s="824"/>
      <c r="F15" s="824"/>
      <c r="G15" s="824"/>
      <c r="H15" s="825"/>
      <c r="I15" s="826">
        <v>7.1</v>
      </c>
      <c r="J15" s="827"/>
      <c r="K15" s="828"/>
      <c r="L15" s="826">
        <v>1</v>
      </c>
      <c r="M15" s="828">
        <v>1</v>
      </c>
      <c r="N15" s="826">
        <v>24.8</v>
      </c>
      <c r="O15" s="827"/>
      <c r="P15" s="827"/>
      <c r="Q15" s="829"/>
      <c r="R15" s="830"/>
      <c r="S15" s="831">
        <v>84.9</v>
      </c>
      <c r="T15" s="829"/>
      <c r="U15" s="829"/>
      <c r="V15" s="829"/>
      <c r="W15" s="830"/>
      <c r="X15" s="1173"/>
      <c r="Y15" s="1174"/>
      <c r="Z15" s="1174"/>
      <c r="AA15" s="1175"/>
      <c r="AB15" s="1174"/>
      <c r="AC15" s="1174"/>
      <c r="AD15" s="1174"/>
      <c r="AE15" s="1175"/>
      <c r="AF15" s="826">
        <v>47.6</v>
      </c>
      <c r="AG15" s="827"/>
      <c r="AH15" s="828"/>
      <c r="AI15" s="49" t="s">
        <v>519</v>
      </c>
      <c r="AJ15" s="50">
        <v>85</v>
      </c>
      <c r="AK15" s="51">
        <v>85</v>
      </c>
      <c r="AL15" s="41">
        <f t="shared" si="1"/>
        <v>2</v>
      </c>
      <c r="AM15" s="745" t="s">
        <v>520</v>
      </c>
      <c r="AN15" s="4" t="str">
        <f>IF(Betrieb!D9="JA","Bio","")</f>
        <v/>
      </c>
      <c r="AO15" s="55">
        <f>IF(Betrieb!D9="JA",1,0)</f>
        <v>0</v>
      </c>
      <c r="AP15" s="18">
        <f>Tiere!B15</f>
        <v>0</v>
      </c>
      <c r="AQ15" s="19">
        <f>IF(AP15=0,0,Tiere!I15)</f>
        <v>0</v>
      </c>
      <c r="AR15" s="20">
        <f>IFERROR(IF(Tiere!$BZ15&gt;0,VLOOKUP($AP15,Tabelle1!$B$4:$AE$162,12,0)*$AQ15,0),0)</f>
        <v>0</v>
      </c>
      <c r="AS15" s="21">
        <f>IFERROR(IF(Tiere!$BZ15&gt;0,VLOOKUP($AP15,Tabelle1!$B$4:$W$162,3,0)*$AR15,0),0)</f>
        <v>0</v>
      </c>
      <c r="AT15" s="22">
        <f>IFERROR(IF(Tiere!$BZ15&gt;0,VLOOKUP($AP15,Tabelle1!$B$4:$W$162,4,0)*$AR15,0),0)</f>
        <v>0</v>
      </c>
      <c r="AU15" s="23">
        <f>IFERROR(IF(Tiere!$BZ15&gt;0,VLOOKUP($AP15,Tabelle1!$B$4:$W$162,5,0)*$AR15,0),0)</f>
        <v>0</v>
      </c>
      <c r="AV15" s="23">
        <f>IFERROR(IF(Tiere!$BZ15&gt;0,VLOOKUP($AP15,Tabelle1!$B$4:$W$162,6,0)*$AR15,0),0)</f>
        <v>0</v>
      </c>
      <c r="AW15" s="24">
        <f>IFERROR(IF(Tiere!$BZ15&gt;0,VLOOKUP($AP15,Tabelle1!$B$4:$W$162,7,0)*$AR15,0),0)</f>
        <v>0</v>
      </c>
      <c r="AX15" s="25">
        <f>IF(Tiere!$BZ15&gt;0,SUM(AS15:AW15),0)</f>
        <v>0</v>
      </c>
      <c r="AY15" s="26">
        <f>IFERROR(IF(Tiere!$BZ15&gt;0,VLOOKUP($AP15,Tabelle1!$B$4:$W$162,8,0)*$AQ15,0),0)</f>
        <v>0</v>
      </c>
      <c r="AZ15" s="27">
        <f>IFERROR(IF(Tiere!$BZ15&gt;0,VLOOKUP($AP15,Tabelle1!$B$4:$W$162,9,0)*$AQ15,0),0)</f>
        <v>0</v>
      </c>
      <c r="BA15" s="28">
        <f>IFERROR(IF(Tiere!$BZ15&gt;0,VLOOKUP($AP15,Tabelle1!$B$4:$W$162,10,0)*$AQ15,0),0)</f>
        <v>0</v>
      </c>
      <c r="BB15" s="29">
        <f>IFERROR(IF(Tiere!$BZ15&gt;0,VLOOKUP($AP15,Tabelle1!$B$4:$W$162,11,0)*$AQ15,0),0)</f>
        <v>0</v>
      </c>
      <c r="BC15" s="52">
        <f>IFERROR(IF(Tiere!$BZ15&gt;0,VLOOKUP($AP15,Tabelle1!$B$4:$W$153,12,0)*$AQ15,0),0)</f>
        <v>0</v>
      </c>
      <c r="BD15" s="22">
        <f>IFERROR(IF(Tiere!$BZ15&gt;0,VLOOKUP($AP15,Tabelle1!$B$4:$W$162,13,0)*$AR15,0),0)</f>
        <v>0</v>
      </c>
      <c r="BE15" s="23">
        <f>IFERROR(IF(Tiere!$BZ15&gt;0,VLOOKUP($AP15,Tabelle1!$B$4:$W$162,14,0)*$AR15,0),0)</f>
        <v>0</v>
      </c>
      <c r="BF15" s="23">
        <f>IFERROR(IF(Tiere!$BZ15&gt;0,VLOOKUP($AP15,Tabelle1!$B$4:$W$162,15,0)*$AR15,0),0)</f>
        <v>0</v>
      </c>
      <c r="BG15" s="23">
        <f>IFERROR(IF(Tiere!$BZ15&gt;0,VLOOKUP($AP15,Tabelle1!$B$4:$W$162,16,0)*$AR15,0),0)</f>
        <v>0</v>
      </c>
      <c r="BH15" s="24">
        <f>IFERROR(IF(Tiere!$BZ15&gt;0,VLOOKUP($AP15,Tabelle1!$B$4:$W$162,17,0)*$AR15,0),0)</f>
        <v>0</v>
      </c>
      <c r="BI15" s="30">
        <f>IF(Tiere!$BZ15&gt;0,SUM(BD15:BH15),0)</f>
        <v>0</v>
      </c>
      <c r="BJ15" s="22">
        <f>IFERROR(IF(Tiere!$BZ15&gt;0,VLOOKUP($AP15,Tabelle1!$B$4:$W$162,18,0)*$AR15,0),0)</f>
        <v>0</v>
      </c>
      <c r="BK15" s="23">
        <f>IFERROR(IF(Tiere!$BZ15&gt;0,VLOOKUP($AP15,Tabelle1!$B$4:$W$162,19,0)*$AR15,0),0)</f>
        <v>0</v>
      </c>
      <c r="BL15" s="23">
        <f>IFERROR(IF(Tiere!$BZ15&gt;0,VLOOKUP($AP15,Tabelle1!$B$4:$W$162,20,0)*$AR15,0),0)</f>
        <v>0</v>
      </c>
      <c r="BM15" s="23">
        <f>IFERROR(IF(Tiere!$BZ15&gt;0,VLOOKUP($AP15,Tabelle1!$B$4:$W$162,21,0)*$AR15,0),0)</f>
        <v>0</v>
      </c>
      <c r="BN15" s="24">
        <f>IFERROR(IF(Tiere!$BZ15&gt;0,VLOOKUP($AP15,Tabelle1!$B$4:$W$162,22,0)*$AR15,0),0)</f>
        <v>0</v>
      </c>
      <c r="BO15" s="32">
        <f>IF(Tiere!$BZ15&gt;0,SUM(BJ15:BN15),0)</f>
        <v>0</v>
      </c>
      <c r="BP15" s="33">
        <f>IF(Tiere!$BZ15&gt;0,Tiere!K15,0)</f>
        <v>0</v>
      </c>
      <c r="BQ15" s="34">
        <f>IF(Tiere!$BZ15&gt;0,Tiere!L15,0)</f>
        <v>0</v>
      </c>
      <c r="BR15" s="33">
        <f>IF(Tiere!$BZ15&gt;0,Tiere!M15,0)</f>
        <v>0</v>
      </c>
      <c r="BS15" s="20">
        <f>IF(Tiere!$BZ15&gt;0,Tiere!N15,0)</f>
        <v>0</v>
      </c>
      <c r="BT15" s="816">
        <f t="shared" si="2"/>
        <v>0</v>
      </c>
      <c r="BU15" s="817">
        <f t="shared" si="3"/>
        <v>0</v>
      </c>
      <c r="BV15" s="22">
        <f>IF(Tiere!$BZ15&gt;0,AS15*$BT15,0)</f>
        <v>0</v>
      </c>
      <c r="BW15" s="22">
        <f>IF(Tiere!$BZ15&gt;0,AT15*$BT15,0)</f>
        <v>0</v>
      </c>
      <c r="BX15" s="23">
        <f>IF(Tiere!$BZ15&gt;0,AU15*$BT15,0)</f>
        <v>0</v>
      </c>
      <c r="BY15" s="23">
        <f>IF(Tiere!$BZ15&gt;0,AV15*$BT15,0)</f>
        <v>0</v>
      </c>
      <c r="BZ15" s="35">
        <f>IF(Tiere!$BZ15&gt;0,AW15*$BT15,0)</f>
        <v>0</v>
      </c>
      <c r="CA15" s="25">
        <f>IF(Tiere!$BZ15&gt;0,SUM(BV15:BZ15),0)</f>
        <v>0</v>
      </c>
      <c r="CB15" s="29">
        <f>IF(Tiere!$BZ15&gt;0,AS15*$BU15,0)</f>
        <v>0</v>
      </c>
      <c r="CC15" s="29">
        <f>IF(Tiere!$BZ15&gt;0,AT15*$BU15,0)</f>
        <v>0</v>
      </c>
      <c r="CD15" s="29">
        <f>IF(Tiere!$BZ15&gt;0,AU15*$BU15,0)</f>
        <v>0</v>
      </c>
      <c r="CE15" s="29">
        <f>IF(Tiere!$BZ15&gt;0,AV15*$BU15,0)</f>
        <v>0</v>
      </c>
      <c r="CF15" s="36">
        <f>IF(Tiere!$BZ15&gt;0,AW15*$BU15,0)</f>
        <v>0</v>
      </c>
      <c r="CG15" s="25">
        <f>IF(Tiere!$BZ15&gt;0,SUM(CB15:CF15),0)</f>
        <v>0</v>
      </c>
      <c r="CH15" s="21">
        <f>IFERROR(IF(Tiere!$BZ15&gt;0,BD15*$BT15,0),0)</f>
        <v>0</v>
      </c>
      <c r="CI15" s="22">
        <f>IFERROR(IF(Tiere!$BZ15&gt;0,BE15*$BT15,0),0)</f>
        <v>0</v>
      </c>
      <c r="CJ15" s="23">
        <f>IFERROR(IF(Tiere!$BZ15&gt;0,BF15*$BT15,0),0)</f>
        <v>0</v>
      </c>
      <c r="CK15" s="23">
        <f>IFERROR(IF(Tiere!$BZ15&gt;0,BG15*$BT15,0),0)</f>
        <v>0</v>
      </c>
      <c r="CL15" s="35">
        <f>IFERROR(IF(Tiere!$BZ15&gt;0,BH15*$BT15,0),0)</f>
        <v>0</v>
      </c>
      <c r="CM15" s="21">
        <f>IFERROR(IF(Tiere!$BZ15&gt;0,BJ15*$BT15,0),0)</f>
        <v>0</v>
      </c>
      <c r="CN15" s="22">
        <f>IFERROR(IF(Tiere!$BZ15&gt;0,BK15*$BT15,0),0)</f>
        <v>0</v>
      </c>
      <c r="CO15" s="23">
        <f>IFERROR(IF(Tiere!$BZ15&gt;0,BL15*$BT15,0),0)</f>
        <v>0</v>
      </c>
      <c r="CP15" s="23">
        <f>IFERROR(IF(Tiere!$BZ15&gt;0,BM15*$BT15,0),0)</f>
        <v>0</v>
      </c>
      <c r="CQ15" s="35">
        <f>IFERROR(IF(Tiere!$BZ15&gt;0,BN15*$BT15,0),0)</f>
        <v>0</v>
      </c>
      <c r="CR15" s="21">
        <f>IFERROR(IF(Tiere!$BZ15&gt;0,BD15*$BU15,0),0)</f>
        <v>0</v>
      </c>
      <c r="CS15" s="22">
        <f>IFERROR(IF(Tiere!$BZ15&gt;0,BE15*$BU15,0),0)</f>
        <v>0</v>
      </c>
      <c r="CT15" s="23">
        <f>IFERROR(IF(Tiere!$BZ15&gt;0,BF15*$BU15,0),0)</f>
        <v>0</v>
      </c>
      <c r="CU15" s="23">
        <f>IFERROR(IF(Tiere!$BZ15&gt;0,BG15*$BU15,0),0)</f>
        <v>0</v>
      </c>
      <c r="CV15" s="35">
        <f>IFERROR(IF(Tiere!$BZ15&gt;0,BH15*$BU15,0),0)</f>
        <v>0</v>
      </c>
      <c r="CW15" s="21">
        <f>IFERROR(IF(Tiere!$BZ15&gt;0,BJ15*$BU15,0),0)</f>
        <v>0</v>
      </c>
      <c r="CX15" s="22">
        <f>IFERROR(IF(Tiere!$BZ15&gt;0,BK15*$BU15,0),0)</f>
        <v>0</v>
      </c>
      <c r="CY15" s="23">
        <f>IFERROR(IF(Tiere!$BZ15&gt;0,BL15*$BU15,0),0)</f>
        <v>0</v>
      </c>
      <c r="CZ15" s="23">
        <f>IFERROR(IF(Tiere!$BZ15&gt;0,BM15*$BU15,0),0)</f>
        <v>0</v>
      </c>
      <c r="DA15" s="35">
        <f>IFERROR(IF(Tiere!$BZ15&gt;0,BN15*$BU15,0),0)</f>
        <v>0</v>
      </c>
      <c r="DB15" s="37">
        <f>IFERROR(IF(Tiere!$BZ15&gt;0,VLOOKUP($AP15,Tabelle1!$B$4:$W$162,11,0)*$BR15,0),0)</f>
        <v>0</v>
      </c>
      <c r="DC15" s="38">
        <f>IF(Tiere!$BZ15&gt;0,AR15,0)</f>
        <v>0</v>
      </c>
      <c r="DD15" s="39">
        <f>IFERROR(IF(Tiere!$BZ15&gt;0,VLOOKUP($AP15,Tabelle1!$B$4:$AJ$162,35,0),0),0)</f>
        <v>0</v>
      </c>
      <c r="DE15" s="40">
        <f>IFERROR(IF(Tiere!$BZ15&gt;0,IF(DD15&gt;0,(DD15*DC15)/170,AX15/170),0),0)</f>
        <v>0</v>
      </c>
      <c r="DF15" s="41">
        <f>IFERROR(IF(Tiere!$BZ15&gt;0,VLOOKUP($AP15,Tabelle1!$B$4:$AK$162,36,0),0),0)</f>
        <v>0</v>
      </c>
      <c r="DG15" s="42">
        <f t="shared" si="4"/>
        <v>0</v>
      </c>
      <c r="DH15">
        <f t="shared" si="0"/>
        <v>0</v>
      </c>
    </row>
    <row r="16" spans="1:112" ht="14.25">
      <c r="A16" s="1">
        <v>11</v>
      </c>
      <c r="B16" s="43" t="str">
        <f t="shared" si="5"/>
        <v>Ochsen, Stiere - Mist/Jauche</v>
      </c>
      <c r="C16" s="44" t="s">
        <v>551</v>
      </c>
      <c r="D16" s="823"/>
      <c r="E16" s="824"/>
      <c r="F16" s="824"/>
      <c r="G16" s="824">
        <v>22.5</v>
      </c>
      <c r="H16" s="825">
        <v>22.6</v>
      </c>
      <c r="I16" s="826"/>
      <c r="J16" s="827">
        <v>3.5</v>
      </c>
      <c r="K16" s="828">
        <v>3.5</v>
      </c>
      <c r="L16" s="826">
        <v>1</v>
      </c>
      <c r="M16" s="828">
        <v>1</v>
      </c>
      <c r="N16" s="826"/>
      <c r="O16" s="827"/>
      <c r="P16" s="827"/>
      <c r="Q16" s="829">
        <v>12.399999999999999</v>
      </c>
      <c r="R16" s="830">
        <v>12.399999999999999</v>
      </c>
      <c r="S16" s="831"/>
      <c r="T16" s="829"/>
      <c r="U16" s="829"/>
      <c r="V16" s="829">
        <v>42.45</v>
      </c>
      <c r="W16" s="830">
        <v>42.45</v>
      </c>
      <c r="X16" s="1173"/>
      <c r="Y16" s="1174"/>
      <c r="Z16" s="1174"/>
      <c r="AA16" s="1175"/>
      <c r="AB16" s="1174"/>
      <c r="AC16" s="1174"/>
      <c r="AD16" s="1174"/>
      <c r="AE16" s="1175"/>
      <c r="AF16" s="826"/>
      <c r="AG16" s="827">
        <v>19.600000000000001</v>
      </c>
      <c r="AH16" s="828">
        <v>20.6</v>
      </c>
      <c r="AI16" s="49" t="s">
        <v>551</v>
      </c>
      <c r="AJ16" s="50">
        <v>85</v>
      </c>
      <c r="AK16" s="51">
        <v>85</v>
      </c>
      <c r="AL16" s="41">
        <f t="shared" si="1"/>
        <v>2</v>
      </c>
      <c r="AM16" s="745" t="s">
        <v>552</v>
      </c>
      <c r="AN16" s="4"/>
      <c r="AO16" s="55"/>
      <c r="AP16" s="18">
        <f>Tiere!B16</f>
        <v>0</v>
      </c>
      <c r="AQ16" s="19">
        <f>IF(AP16=0,0,Tiere!I16)</f>
        <v>0</v>
      </c>
      <c r="AR16" s="20">
        <f>IFERROR(IF(Tiere!$BZ16&gt;0,VLOOKUP($AP16,Tabelle1!$B$4:$AE$162,12,0)*$AQ16,0),0)</f>
        <v>0</v>
      </c>
      <c r="AS16" s="21">
        <f>IFERROR(IF(Tiere!$BZ16&gt;0,VLOOKUP($AP16,Tabelle1!$B$4:$W$162,3,0)*$AR16,0),0)</f>
        <v>0</v>
      </c>
      <c r="AT16" s="22">
        <f>IFERROR(IF(Tiere!$BZ16&gt;0,VLOOKUP($AP16,Tabelle1!$B$4:$W$162,4,0)*$AR16,0),0)</f>
        <v>0</v>
      </c>
      <c r="AU16" s="23">
        <f>IFERROR(IF(Tiere!$BZ16&gt;0,VLOOKUP($AP16,Tabelle1!$B$4:$W$162,5,0)*$AR16,0),0)</f>
        <v>0</v>
      </c>
      <c r="AV16" s="23">
        <f>IFERROR(IF(Tiere!$BZ16&gt;0,VLOOKUP($AP16,Tabelle1!$B$4:$W$162,6,0)*$AR16,0),0)</f>
        <v>0</v>
      </c>
      <c r="AW16" s="24">
        <f>IFERROR(IF(Tiere!$BZ16&gt;0,VLOOKUP($AP16,Tabelle1!$B$4:$W$162,7,0)*$AR16,0),0)</f>
        <v>0</v>
      </c>
      <c r="AX16" s="25">
        <f>IF(Tiere!$BZ16&gt;0,SUM(AS16:AW16),0)</f>
        <v>0</v>
      </c>
      <c r="AY16" s="26">
        <f>IFERROR(IF(Tiere!$BZ16&gt;0,VLOOKUP($AP16,Tabelle1!$B$4:$W$162,8,0)*$AQ16,0),0)</f>
        <v>0</v>
      </c>
      <c r="AZ16" s="27">
        <f>IFERROR(IF(Tiere!$BZ16&gt;0,VLOOKUP($AP16,Tabelle1!$B$4:$W$162,9,0)*$AQ16,0),0)</f>
        <v>0</v>
      </c>
      <c r="BA16" s="28">
        <f>IFERROR(IF(Tiere!$BZ16&gt;0,VLOOKUP($AP16,Tabelle1!$B$4:$W$162,10,0)*$AQ16,0),0)</f>
        <v>0</v>
      </c>
      <c r="BB16" s="29">
        <f>IFERROR(IF(Tiere!$BZ16&gt;0,VLOOKUP($AP16,Tabelle1!$B$4:$W$162,11,0)*$AQ16,0),0)</f>
        <v>0</v>
      </c>
      <c r="BC16" s="52">
        <f>IFERROR(IF(Tiere!$BZ16&gt;0,VLOOKUP($AP16,Tabelle1!$B$4:$W$153,12,0)*$AQ16,0),0)</f>
        <v>0</v>
      </c>
      <c r="BD16" s="22">
        <f>IFERROR(IF(Tiere!$BZ16&gt;0,VLOOKUP($AP16,Tabelle1!$B$4:$W$162,13,0)*$AR16,0),0)</f>
        <v>0</v>
      </c>
      <c r="BE16" s="23">
        <f>IFERROR(IF(Tiere!$BZ16&gt;0,VLOOKUP($AP16,Tabelle1!$B$4:$W$162,14,0)*$AR16,0),0)</f>
        <v>0</v>
      </c>
      <c r="BF16" s="23">
        <f>IFERROR(IF(Tiere!$BZ16&gt;0,VLOOKUP($AP16,Tabelle1!$B$4:$W$162,15,0)*$AR16,0),0)</f>
        <v>0</v>
      </c>
      <c r="BG16" s="23">
        <f>IFERROR(IF(Tiere!$BZ16&gt;0,VLOOKUP($AP16,Tabelle1!$B$4:$W$162,16,0)*$AR16,0),0)</f>
        <v>0</v>
      </c>
      <c r="BH16" s="24">
        <f>IFERROR(IF(Tiere!$BZ16&gt;0,VLOOKUP($AP16,Tabelle1!$B$4:$W$162,17,0)*$AR16,0),0)</f>
        <v>0</v>
      </c>
      <c r="BI16" s="30">
        <f>IF(Tiere!$BZ16&gt;0,SUM(BD16:BH16),0)</f>
        <v>0</v>
      </c>
      <c r="BJ16" s="22">
        <f>IFERROR(IF(Tiere!$BZ16&gt;0,VLOOKUP($AP16,Tabelle1!$B$4:$W$162,18,0)*$AR16,0),0)</f>
        <v>0</v>
      </c>
      <c r="BK16" s="23">
        <f>IFERROR(IF(Tiere!$BZ16&gt;0,VLOOKUP($AP16,Tabelle1!$B$4:$W$162,19,0)*$AR16,0),0)</f>
        <v>0</v>
      </c>
      <c r="BL16" s="23">
        <f>IFERROR(IF(Tiere!$BZ16&gt;0,VLOOKUP($AP16,Tabelle1!$B$4:$W$162,20,0)*$AR16,0),0)</f>
        <v>0</v>
      </c>
      <c r="BM16" s="23">
        <f>IFERROR(IF(Tiere!$BZ16&gt;0,VLOOKUP($AP16,Tabelle1!$B$4:$W$162,21,0)*$AR16,0),0)</f>
        <v>0</v>
      </c>
      <c r="BN16" s="24">
        <f>IFERROR(IF(Tiere!$BZ16&gt;0,VLOOKUP($AP16,Tabelle1!$B$4:$W$162,22,0)*$AR16,0),0)</f>
        <v>0</v>
      </c>
      <c r="BO16" s="32">
        <f>IF(Tiere!$BZ16&gt;0,SUM(BJ16:BN16),0)</f>
        <v>0</v>
      </c>
      <c r="BP16" s="33">
        <f>IF(Tiere!$BZ16&gt;0,Tiere!K16,0)</f>
        <v>0</v>
      </c>
      <c r="BQ16" s="34">
        <f>IF(Tiere!$BZ16&gt;0,Tiere!L16,0)</f>
        <v>0</v>
      </c>
      <c r="BR16" s="33">
        <f>IF(Tiere!$BZ16&gt;0,Tiere!M16,0)</f>
        <v>0</v>
      </c>
      <c r="BS16" s="20">
        <f>IF(Tiere!$BZ16&gt;0,Tiere!N16,0)</f>
        <v>0</v>
      </c>
      <c r="BT16" s="816">
        <f t="shared" si="2"/>
        <v>0</v>
      </c>
      <c r="BU16" s="817">
        <f t="shared" si="3"/>
        <v>0</v>
      </c>
      <c r="BV16" s="22">
        <f>IF(Tiere!$BZ16&gt;0,AS16*$BT16,0)</f>
        <v>0</v>
      </c>
      <c r="BW16" s="22">
        <f>IF(Tiere!$BZ16&gt;0,AT16*$BT16,0)</f>
        <v>0</v>
      </c>
      <c r="BX16" s="23">
        <f>IF(Tiere!$BZ16&gt;0,AU16*$BT16,0)</f>
        <v>0</v>
      </c>
      <c r="BY16" s="23">
        <f>IF(Tiere!$BZ16&gt;0,AV16*$BT16,0)</f>
        <v>0</v>
      </c>
      <c r="BZ16" s="35">
        <f>IF(Tiere!$BZ16&gt;0,AW16*$BT16,0)</f>
        <v>0</v>
      </c>
      <c r="CA16" s="25">
        <f>IF(Tiere!$BZ16&gt;0,SUM(BV16:BZ16),0)</f>
        <v>0</v>
      </c>
      <c r="CB16" s="29">
        <f>IF(Tiere!$BZ16&gt;0,AS16*$BU16,0)</f>
        <v>0</v>
      </c>
      <c r="CC16" s="29">
        <f>IF(Tiere!$BZ16&gt;0,AT16*$BU16,0)</f>
        <v>0</v>
      </c>
      <c r="CD16" s="29">
        <f>IF(Tiere!$BZ16&gt;0,AU16*$BU16,0)</f>
        <v>0</v>
      </c>
      <c r="CE16" s="29">
        <f>IF(Tiere!$BZ16&gt;0,AV16*$BU16,0)</f>
        <v>0</v>
      </c>
      <c r="CF16" s="36">
        <f>IF(Tiere!$BZ16&gt;0,AW16*$BU16,0)</f>
        <v>0</v>
      </c>
      <c r="CG16" s="25">
        <f>IF(Tiere!$BZ16&gt;0,SUM(CB16:CF16),0)</f>
        <v>0</v>
      </c>
      <c r="CH16" s="21">
        <f>IFERROR(IF(Tiere!$BZ16&gt;0,BD16*$BT16,0),0)</f>
        <v>0</v>
      </c>
      <c r="CI16" s="22">
        <f>IFERROR(IF(Tiere!$BZ16&gt;0,BE16*$BT16,0),0)</f>
        <v>0</v>
      </c>
      <c r="CJ16" s="23">
        <f>IFERROR(IF(Tiere!$BZ16&gt;0,BF16*$BT16,0),0)</f>
        <v>0</v>
      </c>
      <c r="CK16" s="23">
        <f>IFERROR(IF(Tiere!$BZ16&gt;0,BG16*$BT16,0),0)</f>
        <v>0</v>
      </c>
      <c r="CL16" s="35">
        <f>IFERROR(IF(Tiere!$BZ16&gt;0,BH16*$BT16,0),0)</f>
        <v>0</v>
      </c>
      <c r="CM16" s="21">
        <f>IFERROR(IF(Tiere!$BZ16&gt;0,BJ16*$BT16,0),0)</f>
        <v>0</v>
      </c>
      <c r="CN16" s="22">
        <f>IFERROR(IF(Tiere!$BZ16&gt;0,BK16*$BT16,0),0)</f>
        <v>0</v>
      </c>
      <c r="CO16" s="23">
        <f>IFERROR(IF(Tiere!$BZ16&gt;0,BL16*$BT16,0),0)</f>
        <v>0</v>
      </c>
      <c r="CP16" s="23">
        <f>IFERROR(IF(Tiere!$BZ16&gt;0,BM16*$BT16,0),0)</f>
        <v>0</v>
      </c>
      <c r="CQ16" s="35">
        <f>IFERROR(IF(Tiere!$BZ16&gt;0,BN16*$BT16,0),0)</f>
        <v>0</v>
      </c>
      <c r="CR16" s="21">
        <f>IFERROR(IF(Tiere!$BZ16&gt;0,BD16*$BU16,0),0)</f>
        <v>0</v>
      </c>
      <c r="CS16" s="22">
        <f>IFERROR(IF(Tiere!$BZ16&gt;0,BE16*$BU16,0),0)</f>
        <v>0</v>
      </c>
      <c r="CT16" s="23">
        <f>IFERROR(IF(Tiere!$BZ16&gt;0,BF16*$BU16,0),0)</f>
        <v>0</v>
      </c>
      <c r="CU16" s="23">
        <f>IFERROR(IF(Tiere!$BZ16&gt;0,BG16*$BU16,0),0)</f>
        <v>0</v>
      </c>
      <c r="CV16" s="35">
        <f>IFERROR(IF(Tiere!$BZ16&gt;0,BH16*$BU16,0),0)</f>
        <v>0</v>
      </c>
      <c r="CW16" s="21">
        <f>IFERROR(IF(Tiere!$BZ16&gt;0,BJ16*$BU16,0),0)</f>
        <v>0</v>
      </c>
      <c r="CX16" s="22">
        <f>IFERROR(IF(Tiere!$BZ16&gt;0,BK16*$BU16,0),0)</f>
        <v>0</v>
      </c>
      <c r="CY16" s="23">
        <f>IFERROR(IF(Tiere!$BZ16&gt;0,BL16*$BU16,0),0)</f>
        <v>0</v>
      </c>
      <c r="CZ16" s="23">
        <f>IFERROR(IF(Tiere!$BZ16&gt;0,BM16*$BU16,0),0)</f>
        <v>0</v>
      </c>
      <c r="DA16" s="35">
        <f>IFERROR(IF(Tiere!$BZ16&gt;0,BN16*$BU16,0),0)</f>
        <v>0</v>
      </c>
      <c r="DB16" s="37">
        <f>IFERROR(IF(Tiere!$BZ16&gt;0,VLOOKUP($AP16,Tabelle1!$B$4:$W$162,11,0)*$BR16,0),0)</f>
        <v>0</v>
      </c>
      <c r="DC16" s="38">
        <f>IF(Tiere!$BZ16&gt;0,AR16,0)</f>
        <v>0</v>
      </c>
      <c r="DD16" s="39">
        <f>IFERROR(IF(Tiere!$BZ16&gt;0,VLOOKUP($AP16,Tabelle1!$B$4:$AJ$162,35,0),0),0)</f>
        <v>0</v>
      </c>
      <c r="DE16" s="40">
        <f>IFERROR(IF(Tiere!$BZ16&gt;0,IF(DD16&gt;0,(DD16*DC16)/170,AX16/170),0),0)</f>
        <v>0</v>
      </c>
      <c r="DF16" s="41">
        <f>IFERROR(IF(Tiere!$BZ16&gt;0,VLOOKUP($AP16,Tabelle1!$B$4:$AK$162,36,0),0),0)</f>
        <v>0</v>
      </c>
      <c r="DG16" s="42">
        <f t="shared" si="4"/>
        <v>0</v>
      </c>
      <c r="DH16">
        <f t="shared" si="0"/>
        <v>0</v>
      </c>
    </row>
    <row r="17" spans="1:112">
      <c r="A17" s="1">
        <v>12</v>
      </c>
      <c r="B17" s="43" t="str">
        <f t="shared" si="5"/>
        <v>Ochsen, Stiere - Tiefstallmist</v>
      </c>
      <c r="C17" s="44" t="s">
        <v>553</v>
      </c>
      <c r="D17" s="823"/>
      <c r="E17" s="824"/>
      <c r="F17" s="824"/>
      <c r="G17" s="824"/>
      <c r="H17" s="825">
        <v>45.1</v>
      </c>
      <c r="I17" s="826"/>
      <c r="J17" s="827"/>
      <c r="K17" s="828">
        <v>7.7</v>
      </c>
      <c r="L17" s="826">
        <v>1</v>
      </c>
      <c r="M17" s="828">
        <v>1</v>
      </c>
      <c r="N17" s="826"/>
      <c r="O17" s="827"/>
      <c r="P17" s="827"/>
      <c r="Q17" s="829"/>
      <c r="R17" s="830">
        <v>24.8</v>
      </c>
      <c r="S17" s="831"/>
      <c r="T17" s="829"/>
      <c r="U17" s="829"/>
      <c r="V17" s="829"/>
      <c r="W17" s="830">
        <v>84.9</v>
      </c>
      <c r="X17" s="1173"/>
      <c r="Y17" s="1174"/>
      <c r="Z17" s="1174"/>
      <c r="AA17" s="1175"/>
      <c r="AB17" s="1174"/>
      <c r="AC17" s="1174"/>
      <c r="AD17" s="1174"/>
      <c r="AE17" s="1175"/>
      <c r="AF17" s="826"/>
      <c r="AG17" s="827"/>
      <c r="AH17" s="828">
        <v>41</v>
      </c>
      <c r="AI17" s="49" t="s">
        <v>553</v>
      </c>
      <c r="AJ17" s="50">
        <v>85</v>
      </c>
      <c r="AK17" s="51">
        <v>85</v>
      </c>
      <c r="AL17" s="41">
        <f t="shared" si="1"/>
        <v>2</v>
      </c>
      <c r="AM17" s="744"/>
      <c r="AN17" s="4" t="str">
        <f>IF(Betrieb!D11="JA","N-zehrend","")</f>
        <v>N-zehrend</v>
      </c>
      <c r="AO17" s="55">
        <f>IF(Betrieb!D11="JA",1,0)</f>
        <v>1</v>
      </c>
      <c r="AP17" s="18">
        <f>Tiere!B17</f>
        <v>0</v>
      </c>
      <c r="AQ17" s="19">
        <f>IF(AP17=0,0,Tiere!I17)</f>
        <v>0</v>
      </c>
      <c r="AR17" s="20">
        <f>IFERROR(IF(Tiere!$BZ17&gt;0,VLOOKUP($AP17,Tabelle1!$B$4:$AE$162,12,0)*$AQ17,0),0)</f>
        <v>0</v>
      </c>
      <c r="AS17" s="21">
        <f>IFERROR(IF(Tiere!$BZ17&gt;0,VLOOKUP($AP17,Tabelle1!$B$4:$W$162,3,0)*$AR17,0),0)</f>
        <v>0</v>
      </c>
      <c r="AT17" s="22">
        <f>IFERROR(IF(Tiere!$BZ17&gt;0,VLOOKUP($AP17,Tabelle1!$B$4:$W$162,4,0)*$AR17,0),0)</f>
        <v>0</v>
      </c>
      <c r="AU17" s="23">
        <f>IFERROR(IF(Tiere!$BZ17&gt;0,VLOOKUP($AP17,Tabelle1!$B$4:$W$162,5,0)*$AR17,0),0)</f>
        <v>0</v>
      </c>
      <c r="AV17" s="23">
        <f>IFERROR(IF(Tiere!$BZ17&gt;0,VLOOKUP($AP17,Tabelle1!$B$4:$W$162,6,0)*$AR17,0),0)</f>
        <v>0</v>
      </c>
      <c r="AW17" s="24">
        <f>IFERROR(IF(Tiere!$BZ17&gt;0,VLOOKUP($AP17,Tabelle1!$B$4:$W$162,7,0)*$AR17,0),0)</f>
        <v>0</v>
      </c>
      <c r="AX17" s="25">
        <f>IF(Tiere!$BZ17&gt;0,SUM(AS17:AW17),0)</f>
        <v>0</v>
      </c>
      <c r="AY17" s="26">
        <f>IFERROR(IF(Tiere!$BZ17&gt;0,VLOOKUP($AP17,Tabelle1!$B$4:$W$162,8,0)*$AQ17,0),0)</f>
        <v>0</v>
      </c>
      <c r="AZ17" s="27">
        <f>IFERROR(IF(Tiere!$BZ17&gt;0,VLOOKUP($AP17,Tabelle1!$B$4:$W$162,9,0)*$AQ17,0),0)</f>
        <v>0</v>
      </c>
      <c r="BA17" s="28">
        <f>IFERROR(IF(Tiere!$BZ17&gt;0,VLOOKUP($AP17,Tabelle1!$B$4:$W$162,10,0)*$AQ17,0),0)</f>
        <v>0</v>
      </c>
      <c r="BB17" s="29">
        <f>IFERROR(IF(Tiere!$BZ17&gt;0,VLOOKUP($AP17,Tabelle1!$B$4:$W$162,11,0)*$AQ17,0),0)</f>
        <v>0</v>
      </c>
      <c r="BC17" s="52">
        <f>IFERROR(IF(Tiere!$BZ17&gt;0,VLOOKUP($AP17,Tabelle1!$B$4:$W$153,12,0)*$AQ17,0),0)</f>
        <v>0</v>
      </c>
      <c r="BD17" s="22">
        <f>IFERROR(IF(Tiere!$BZ17&gt;0,VLOOKUP($AP17,Tabelle1!$B$4:$W$162,13,0)*$AR17,0),0)</f>
        <v>0</v>
      </c>
      <c r="BE17" s="23">
        <f>IFERROR(IF(Tiere!$BZ17&gt;0,VLOOKUP($AP17,Tabelle1!$B$4:$W$162,14,0)*$AR17,0),0)</f>
        <v>0</v>
      </c>
      <c r="BF17" s="23">
        <f>IFERROR(IF(Tiere!$BZ17&gt;0,VLOOKUP($AP17,Tabelle1!$B$4:$W$162,15,0)*$AR17,0),0)</f>
        <v>0</v>
      </c>
      <c r="BG17" s="23">
        <f>IFERROR(IF(Tiere!$BZ17&gt;0,VLOOKUP($AP17,Tabelle1!$B$4:$W$162,16,0)*$AR17,0),0)</f>
        <v>0</v>
      </c>
      <c r="BH17" s="24">
        <f>IFERROR(IF(Tiere!$BZ17&gt;0,VLOOKUP($AP17,Tabelle1!$B$4:$W$162,17,0)*$AR17,0),0)</f>
        <v>0</v>
      </c>
      <c r="BI17" s="30">
        <f>IF(Tiere!$BZ17&gt;0,SUM(BD17:BH17),0)</f>
        <v>0</v>
      </c>
      <c r="BJ17" s="22">
        <f>IFERROR(IF(Tiere!$BZ17&gt;0,VLOOKUP($AP17,Tabelle1!$B$4:$W$162,18,0)*$AR17,0),0)</f>
        <v>0</v>
      </c>
      <c r="BK17" s="23">
        <f>IFERROR(IF(Tiere!$BZ17&gt;0,VLOOKUP($AP17,Tabelle1!$B$4:$W$162,19,0)*$AR17,0),0)</f>
        <v>0</v>
      </c>
      <c r="BL17" s="23">
        <f>IFERROR(IF(Tiere!$BZ17&gt;0,VLOOKUP($AP17,Tabelle1!$B$4:$W$162,20,0)*$AR17,0),0)</f>
        <v>0</v>
      </c>
      <c r="BM17" s="23">
        <f>IFERROR(IF(Tiere!$BZ17&gt;0,VLOOKUP($AP17,Tabelle1!$B$4:$W$162,21,0)*$AR17,0),0)</f>
        <v>0</v>
      </c>
      <c r="BN17" s="24">
        <f>IFERROR(IF(Tiere!$BZ17&gt;0,VLOOKUP($AP17,Tabelle1!$B$4:$W$162,22,0)*$AR17,0),0)</f>
        <v>0</v>
      </c>
      <c r="BO17" s="32">
        <f>IF(Tiere!$BZ17&gt;0,SUM(BJ17:BN17),0)</f>
        <v>0</v>
      </c>
      <c r="BP17" s="33">
        <f>IF(Tiere!$BZ17&gt;0,Tiere!K17,0)</f>
        <v>0</v>
      </c>
      <c r="BQ17" s="34">
        <f>IF(Tiere!$BZ17&gt;0,Tiere!L17,0)</f>
        <v>0</v>
      </c>
      <c r="BR17" s="33">
        <f>IF(Tiere!$BZ17&gt;0,Tiere!M17,0)</f>
        <v>0</v>
      </c>
      <c r="BS17" s="20">
        <f>IF(Tiere!$BZ17&gt;0,Tiere!N17,0)</f>
        <v>0</v>
      </c>
      <c r="BT17" s="816">
        <f t="shared" si="2"/>
        <v>0</v>
      </c>
      <c r="BU17" s="817">
        <f t="shared" si="3"/>
        <v>0</v>
      </c>
      <c r="BV17" s="22">
        <f>IF(Tiere!$BZ17&gt;0,AS17*$BT17,0)</f>
        <v>0</v>
      </c>
      <c r="BW17" s="22">
        <f>IF(Tiere!$BZ17&gt;0,AT17*$BT17,0)</f>
        <v>0</v>
      </c>
      <c r="BX17" s="23">
        <f>IF(Tiere!$BZ17&gt;0,AU17*$BT17,0)</f>
        <v>0</v>
      </c>
      <c r="BY17" s="23">
        <f>IF(Tiere!$BZ17&gt;0,AV17*$BT17,0)</f>
        <v>0</v>
      </c>
      <c r="BZ17" s="35">
        <f>IF(Tiere!$BZ17&gt;0,AW17*$BT17,0)</f>
        <v>0</v>
      </c>
      <c r="CA17" s="25">
        <f>IF(Tiere!$BZ17&gt;0,SUM(BV17:BZ17),0)</f>
        <v>0</v>
      </c>
      <c r="CB17" s="29">
        <f>IF(Tiere!$BZ17&gt;0,AS17*$BU17,0)</f>
        <v>0</v>
      </c>
      <c r="CC17" s="29">
        <f>IF(Tiere!$BZ17&gt;0,AT17*$BU17,0)</f>
        <v>0</v>
      </c>
      <c r="CD17" s="29">
        <f>IF(Tiere!$BZ17&gt;0,AU17*$BU17,0)</f>
        <v>0</v>
      </c>
      <c r="CE17" s="29">
        <f>IF(Tiere!$BZ17&gt;0,AV17*$BU17,0)</f>
        <v>0</v>
      </c>
      <c r="CF17" s="36">
        <f>IF(Tiere!$BZ17&gt;0,AW17*$BU17,0)</f>
        <v>0</v>
      </c>
      <c r="CG17" s="25">
        <f>IF(Tiere!$BZ17&gt;0,SUM(CB17:CF17),0)</f>
        <v>0</v>
      </c>
      <c r="CH17" s="21">
        <f>IFERROR(IF(Tiere!$BZ17&gt;0,BD17*$BT17,0),0)</f>
        <v>0</v>
      </c>
      <c r="CI17" s="22">
        <f>IFERROR(IF(Tiere!$BZ17&gt;0,BE17*$BT17,0),0)</f>
        <v>0</v>
      </c>
      <c r="CJ17" s="23">
        <f>IFERROR(IF(Tiere!$BZ17&gt;0,BF17*$BT17,0),0)</f>
        <v>0</v>
      </c>
      <c r="CK17" s="23">
        <f>IFERROR(IF(Tiere!$BZ17&gt;0,BG17*$BT17,0),0)</f>
        <v>0</v>
      </c>
      <c r="CL17" s="35">
        <f>IFERROR(IF(Tiere!$BZ17&gt;0,BH17*$BT17,0),0)</f>
        <v>0</v>
      </c>
      <c r="CM17" s="21">
        <f>IFERROR(IF(Tiere!$BZ17&gt;0,BJ17*$BT17,0),0)</f>
        <v>0</v>
      </c>
      <c r="CN17" s="22">
        <f>IFERROR(IF(Tiere!$BZ17&gt;0,BK17*$BT17,0),0)</f>
        <v>0</v>
      </c>
      <c r="CO17" s="23">
        <f>IFERROR(IF(Tiere!$BZ17&gt;0,BL17*$BT17,0),0)</f>
        <v>0</v>
      </c>
      <c r="CP17" s="23">
        <f>IFERROR(IF(Tiere!$BZ17&gt;0,BM17*$BT17,0),0)</f>
        <v>0</v>
      </c>
      <c r="CQ17" s="35">
        <f>IFERROR(IF(Tiere!$BZ17&gt;0,BN17*$BT17,0),0)</f>
        <v>0</v>
      </c>
      <c r="CR17" s="21">
        <f>IFERROR(IF(Tiere!$BZ17&gt;0,BD17*$BU17,0),0)</f>
        <v>0</v>
      </c>
      <c r="CS17" s="22">
        <f>IFERROR(IF(Tiere!$BZ17&gt;0,BE17*$BU17,0),0)</f>
        <v>0</v>
      </c>
      <c r="CT17" s="23">
        <f>IFERROR(IF(Tiere!$BZ17&gt;0,BF17*$BU17,0),0)</f>
        <v>0</v>
      </c>
      <c r="CU17" s="23">
        <f>IFERROR(IF(Tiere!$BZ17&gt;0,BG17*$BU17,0),0)</f>
        <v>0</v>
      </c>
      <c r="CV17" s="35">
        <f>IFERROR(IF(Tiere!$BZ17&gt;0,BH17*$BU17,0),0)</f>
        <v>0</v>
      </c>
      <c r="CW17" s="21">
        <f>IFERROR(IF(Tiere!$BZ17&gt;0,BJ17*$BU17,0),0)</f>
        <v>0</v>
      </c>
      <c r="CX17" s="22">
        <f>IFERROR(IF(Tiere!$BZ17&gt;0,BK17*$BU17,0),0)</f>
        <v>0</v>
      </c>
      <c r="CY17" s="23">
        <f>IFERROR(IF(Tiere!$BZ17&gt;0,BL17*$BU17,0),0)</f>
        <v>0</v>
      </c>
      <c r="CZ17" s="23">
        <f>IFERROR(IF(Tiere!$BZ17&gt;0,BM17*$BU17,0),0)</f>
        <v>0</v>
      </c>
      <c r="DA17" s="35">
        <f>IFERROR(IF(Tiere!$BZ17&gt;0,BN17*$BU17,0),0)</f>
        <v>0</v>
      </c>
      <c r="DB17" s="37">
        <f>IFERROR(IF(Tiere!$BZ17&gt;0,VLOOKUP($AP17,Tabelle1!$B$4:$W$162,11,0)*$BR17,0),0)</f>
        <v>0</v>
      </c>
      <c r="DC17" s="38">
        <f>IF(Tiere!$BZ17&gt;0,AR17,0)</f>
        <v>0</v>
      </c>
      <c r="DD17" s="39">
        <f>IFERROR(IF(Tiere!$BZ17&gt;0,VLOOKUP($AP17,Tabelle1!$B$4:$AJ$162,35,0),0),0)</f>
        <v>0</v>
      </c>
      <c r="DE17" s="40">
        <f>IFERROR(IF(Tiere!$BZ17&gt;0,IF(DD17&gt;0,(DD17*DC17)/170,AX17/170),0),0)</f>
        <v>0</v>
      </c>
      <c r="DF17" s="41">
        <f>IFERROR(IF(Tiere!$BZ17&gt;0,VLOOKUP($AP17,Tabelle1!$B$4:$AK$162,36,0),0),0)</f>
        <v>0</v>
      </c>
      <c r="DG17" s="42">
        <f t="shared" si="4"/>
        <v>0</v>
      </c>
      <c r="DH17">
        <f t="shared" si="0"/>
        <v>0</v>
      </c>
    </row>
    <row r="18" spans="1:112" ht="14.25">
      <c r="A18" s="1">
        <v>13</v>
      </c>
      <c r="B18" s="43" t="str">
        <f t="shared" si="5"/>
        <v>Kalbinnen - Gülle</v>
      </c>
      <c r="C18" s="44" t="s">
        <v>554</v>
      </c>
      <c r="D18" s="823">
        <v>58.9</v>
      </c>
      <c r="E18" s="824"/>
      <c r="F18" s="824"/>
      <c r="G18" s="824"/>
      <c r="H18" s="825"/>
      <c r="I18" s="826">
        <v>7.7</v>
      </c>
      <c r="J18" s="827"/>
      <c r="K18" s="828"/>
      <c r="L18" s="826">
        <v>1</v>
      </c>
      <c r="M18" s="828">
        <v>1</v>
      </c>
      <c r="N18" s="826">
        <v>25.5</v>
      </c>
      <c r="O18" s="827"/>
      <c r="P18" s="827"/>
      <c r="Q18" s="829"/>
      <c r="R18" s="830"/>
      <c r="S18" s="831">
        <v>104.2</v>
      </c>
      <c r="T18" s="829"/>
      <c r="U18" s="829"/>
      <c r="V18" s="829"/>
      <c r="W18" s="830"/>
      <c r="X18" s="1173"/>
      <c r="Y18" s="1174"/>
      <c r="Z18" s="1174"/>
      <c r="AA18" s="1175"/>
      <c r="AB18" s="1174"/>
      <c r="AC18" s="1174"/>
      <c r="AD18" s="1174"/>
      <c r="AE18" s="1175"/>
      <c r="AF18" s="826">
        <v>51.2</v>
      </c>
      <c r="AG18" s="827"/>
      <c r="AH18" s="828"/>
      <c r="AI18" s="49" t="s">
        <v>554</v>
      </c>
      <c r="AJ18" s="50">
        <v>68</v>
      </c>
      <c r="AK18" s="51">
        <v>68</v>
      </c>
      <c r="AL18" s="41">
        <f t="shared" si="1"/>
        <v>2.5</v>
      </c>
      <c r="AM18" s="746" t="s">
        <v>555</v>
      </c>
      <c r="AN18" s="18" t="str">
        <f>IF(Tiere!F32=0,"LN-Angaben fehelen!","")</f>
        <v>LN-Angaben fehelen!</v>
      </c>
      <c r="AP18" s="18">
        <f>Tiere!B18</f>
        <v>0</v>
      </c>
      <c r="AQ18" s="19">
        <f>IF(AP18=0,0,Tiere!I18)</f>
        <v>0</v>
      </c>
      <c r="AR18" s="20">
        <f>IFERROR(IF(Tiere!$BZ18&gt;0,VLOOKUP($AP18,Tabelle1!$B$4:$AE$162,12,0)*$AQ18,0),0)</f>
        <v>0</v>
      </c>
      <c r="AS18" s="21">
        <f>IFERROR(IF(Tiere!$BZ18&gt;0,VLOOKUP($AP18,Tabelle1!$B$4:$W$162,3,0)*$AR18,0),0)</f>
        <v>0</v>
      </c>
      <c r="AT18" s="22">
        <f>IFERROR(IF(Tiere!$BZ18&gt;0,VLOOKUP($AP18,Tabelle1!$B$4:$W$162,4,0)*$AR18,0),0)</f>
        <v>0</v>
      </c>
      <c r="AU18" s="23">
        <f>IFERROR(IF(Tiere!$BZ18&gt;0,VLOOKUP($AP18,Tabelle1!$B$4:$W$162,5,0)*$AR18,0),0)</f>
        <v>0</v>
      </c>
      <c r="AV18" s="23">
        <f>IFERROR(IF(Tiere!$BZ18&gt;0,VLOOKUP($AP18,Tabelle1!$B$4:$W$162,6,0)*$AR18,0),0)</f>
        <v>0</v>
      </c>
      <c r="AW18" s="24">
        <f>IFERROR(IF(Tiere!$BZ18&gt;0,VLOOKUP($AP18,Tabelle1!$B$4:$W$162,7,0)*$AR18,0),0)</f>
        <v>0</v>
      </c>
      <c r="AX18" s="25">
        <f>IF(Tiere!$BZ18&gt;0,SUM(AS18:AW18),0)</f>
        <v>0</v>
      </c>
      <c r="AY18" s="26">
        <f>IFERROR(IF(Tiere!$BZ18&gt;0,VLOOKUP($AP18,Tabelle1!$B$4:$W$162,8,0)*$AQ18,0),0)</f>
        <v>0</v>
      </c>
      <c r="AZ18" s="27">
        <f>IFERROR(IF(Tiere!$BZ18&gt;0,VLOOKUP($AP18,Tabelle1!$B$4:$W$162,9,0)*$AQ18,0),0)</f>
        <v>0</v>
      </c>
      <c r="BA18" s="28">
        <f>IFERROR(IF(Tiere!$BZ18&gt;0,VLOOKUP($AP18,Tabelle1!$B$4:$W$162,10,0)*$AQ18,0),0)</f>
        <v>0</v>
      </c>
      <c r="BB18" s="29">
        <f>IFERROR(IF(Tiere!$BZ18&gt;0,VLOOKUP($AP18,Tabelle1!$B$4:$W$162,11,0)*$AQ18,0),0)</f>
        <v>0</v>
      </c>
      <c r="BC18" s="52">
        <f>IFERROR(IF(Tiere!$BZ18&gt;0,VLOOKUP($AP18,Tabelle1!$B$4:$W$153,12,0)*$AQ18,0),0)</f>
        <v>0</v>
      </c>
      <c r="BD18" s="22">
        <f>IFERROR(IF(Tiere!$BZ18&gt;0,VLOOKUP($AP18,Tabelle1!$B$4:$W$162,13,0)*$AR18,0),0)</f>
        <v>0</v>
      </c>
      <c r="BE18" s="23">
        <f>IFERROR(IF(Tiere!$BZ18&gt;0,VLOOKUP($AP18,Tabelle1!$B$4:$W$162,14,0)*$AR18,0),0)</f>
        <v>0</v>
      </c>
      <c r="BF18" s="23">
        <f>IFERROR(IF(Tiere!$BZ18&gt;0,VLOOKUP($AP18,Tabelle1!$B$4:$W$162,15,0)*$AR18,0),0)</f>
        <v>0</v>
      </c>
      <c r="BG18" s="23">
        <f>IFERROR(IF(Tiere!$BZ18&gt;0,VLOOKUP($AP18,Tabelle1!$B$4:$W$162,16,0)*$AR18,0),0)</f>
        <v>0</v>
      </c>
      <c r="BH18" s="24">
        <f>IFERROR(IF(Tiere!$BZ18&gt;0,VLOOKUP($AP18,Tabelle1!$B$4:$W$162,17,0)*$AR18,0),0)</f>
        <v>0</v>
      </c>
      <c r="BI18" s="30">
        <f>IF(Tiere!$BZ18&gt;0,SUM(BD18:BH18),0)</f>
        <v>0</v>
      </c>
      <c r="BJ18" s="22">
        <f>IFERROR(IF(Tiere!$BZ18&gt;0,VLOOKUP($AP18,Tabelle1!$B$4:$W$162,18,0)*$AR18,0),0)</f>
        <v>0</v>
      </c>
      <c r="BK18" s="23">
        <f>IFERROR(IF(Tiere!$BZ18&gt;0,VLOOKUP($AP18,Tabelle1!$B$4:$W$162,19,0)*$AR18,0),0)</f>
        <v>0</v>
      </c>
      <c r="BL18" s="23">
        <f>IFERROR(IF(Tiere!$BZ18&gt;0,VLOOKUP($AP18,Tabelle1!$B$4:$W$162,20,0)*$AR18,0),0)</f>
        <v>0</v>
      </c>
      <c r="BM18" s="23">
        <f>IFERROR(IF(Tiere!$BZ18&gt;0,VLOOKUP($AP18,Tabelle1!$B$4:$W$162,21,0)*$AR18,0),0)</f>
        <v>0</v>
      </c>
      <c r="BN18" s="24">
        <f>IFERROR(IF(Tiere!$BZ18&gt;0,VLOOKUP($AP18,Tabelle1!$B$4:$W$162,22,0)*$AR18,0),0)</f>
        <v>0</v>
      </c>
      <c r="BO18" s="32">
        <f>IF(Tiere!$BZ18&gt;0,SUM(BJ18:BN18),0)</f>
        <v>0</v>
      </c>
      <c r="BP18" s="33">
        <f>IF(Tiere!$BZ18&gt;0,Tiere!K18,0)</f>
        <v>0</v>
      </c>
      <c r="BQ18" s="34">
        <f>IF(Tiere!$BZ18&gt;0,Tiere!L18,0)</f>
        <v>0</v>
      </c>
      <c r="BR18" s="33">
        <f>IF(Tiere!$BZ18&gt;0,Tiere!M18,0)</f>
        <v>0</v>
      </c>
      <c r="BS18" s="20">
        <f>IF(Tiere!$BZ18&gt;0,Tiere!N18,0)</f>
        <v>0</v>
      </c>
      <c r="BT18" s="816">
        <f t="shared" si="2"/>
        <v>0</v>
      </c>
      <c r="BU18" s="817">
        <f t="shared" si="3"/>
        <v>0</v>
      </c>
      <c r="BV18" s="22">
        <f>IF(Tiere!$BZ18&gt;0,AS18*$BT18,0)</f>
        <v>0</v>
      </c>
      <c r="BW18" s="22">
        <f>IF(Tiere!$BZ18&gt;0,AT18*$BT18,0)</f>
        <v>0</v>
      </c>
      <c r="BX18" s="23">
        <f>IF(Tiere!$BZ18&gt;0,AU18*$BT18,0)</f>
        <v>0</v>
      </c>
      <c r="BY18" s="23">
        <f>IF(Tiere!$BZ18&gt;0,AV18*$BT18,0)</f>
        <v>0</v>
      </c>
      <c r="BZ18" s="35">
        <f>IF(Tiere!$BZ18&gt;0,AW18*$BT18,0)</f>
        <v>0</v>
      </c>
      <c r="CA18" s="25">
        <f>IF(Tiere!$BZ18&gt;0,SUM(BV18:BZ18),0)</f>
        <v>0</v>
      </c>
      <c r="CB18" s="29">
        <f>IF(Tiere!$BZ18&gt;0,AS18*$BU18,0)</f>
        <v>0</v>
      </c>
      <c r="CC18" s="29">
        <f>IF(Tiere!$BZ18&gt;0,AT18*$BU18,0)</f>
        <v>0</v>
      </c>
      <c r="CD18" s="29">
        <f>IF(Tiere!$BZ18&gt;0,AU18*$BU18,0)</f>
        <v>0</v>
      </c>
      <c r="CE18" s="29">
        <f>IF(Tiere!$BZ18&gt;0,AV18*$BU18,0)</f>
        <v>0</v>
      </c>
      <c r="CF18" s="36">
        <f>IF(Tiere!$BZ18&gt;0,AW18*$BU18,0)</f>
        <v>0</v>
      </c>
      <c r="CG18" s="25">
        <f>IF(Tiere!$BZ18&gt;0,SUM(CB18:CF18),0)</f>
        <v>0</v>
      </c>
      <c r="CH18" s="21">
        <f>IFERROR(IF(Tiere!$BZ18&gt;0,BD18*$BT18,0),0)</f>
        <v>0</v>
      </c>
      <c r="CI18" s="22">
        <f>IFERROR(IF(Tiere!$BZ18&gt;0,BE18*$BT18,0),0)</f>
        <v>0</v>
      </c>
      <c r="CJ18" s="23">
        <f>IFERROR(IF(Tiere!$BZ18&gt;0,BF18*$BT18,0),0)</f>
        <v>0</v>
      </c>
      <c r="CK18" s="23">
        <f>IFERROR(IF(Tiere!$BZ18&gt;0,BG18*$BT18,0),0)</f>
        <v>0</v>
      </c>
      <c r="CL18" s="35">
        <f>IFERROR(IF(Tiere!$BZ18&gt;0,BH18*$BT18,0),0)</f>
        <v>0</v>
      </c>
      <c r="CM18" s="21">
        <f>IFERROR(IF(Tiere!$BZ18&gt;0,BJ18*$BT18,0),0)</f>
        <v>0</v>
      </c>
      <c r="CN18" s="22">
        <f>IFERROR(IF(Tiere!$BZ18&gt;0,BK18*$BT18,0),0)</f>
        <v>0</v>
      </c>
      <c r="CO18" s="23">
        <f>IFERROR(IF(Tiere!$BZ18&gt;0,BL18*$BT18,0),0)</f>
        <v>0</v>
      </c>
      <c r="CP18" s="23">
        <f>IFERROR(IF(Tiere!$BZ18&gt;0,BM18*$BT18,0),0)</f>
        <v>0</v>
      </c>
      <c r="CQ18" s="35">
        <f>IFERROR(IF(Tiere!$BZ18&gt;0,BN18*$BT18,0),0)</f>
        <v>0</v>
      </c>
      <c r="CR18" s="21">
        <f>IFERROR(IF(Tiere!$BZ18&gt;0,BD18*$BU18,0),0)</f>
        <v>0</v>
      </c>
      <c r="CS18" s="22">
        <f>IFERROR(IF(Tiere!$BZ18&gt;0,BE18*$BU18,0),0)</f>
        <v>0</v>
      </c>
      <c r="CT18" s="23">
        <f>IFERROR(IF(Tiere!$BZ18&gt;0,BF18*$BU18,0),0)</f>
        <v>0</v>
      </c>
      <c r="CU18" s="23">
        <f>IFERROR(IF(Tiere!$BZ18&gt;0,BG18*$BU18,0),0)</f>
        <v>0</v>
      </c>
      <c r="CV18" s="35">
        <f>IFERROR(IF(Tiere!$BZ18&gt;0,BH18*$BU18,0),0)</f>
        <v>0</v>
      </c>
      <c r="CW18" s="21">
        <f>IFERROR(IF(Tiere!$BZ18&gt;0,BJ18*$BU18,0),0)</f>
        <v>0</v>
      </c>
      <c r="CX18" s="22">
        <f>IFERROR(IF(Tiere!$BZ18&gt;0,BK18*$BU18,0),0)</f>
        <v>0</v>
      </c>
      <c r="CY18" s="23">
        <f>IFERROR(IF(Tiere!$BZ18&gt;0,BL18*$BU18,0),0)</f>
        <v>0</v>
      </c>
      <c r="CZ18" s="23">
        <f>IFERROR(IF(Tiere!$BZ18&gt;0,BM18*$BU18,0),0)</f>
        <v>0</v>
      </c>
      <c r="DA18" s="35">
        <f>IFERROR(IF(Tiere!$BZ18&gt;0,BN18*$BU18,0),0)</f>
        <v>0</v>
      </c>
      <c r="DB18" s="37">
        <f>IFERROR(IF(Tiere!$BZ18&gt;0,VLOOKUP($AP18,Tabelle1!$B$4:$W$162,11,0)*$BR18,0),0)</f>
        <v>0</v>
      </c>
      <c r="DC18" s="38">
        <f>IF(Tiere!$BZ18&gt;0,AR18,0)</f>
        <v>0</v>
      </c>
      <c r="DD18" s="39">
        <f>IFERROR(IF(Tiere!$BZ18&gt;0,VLOOKUP($AP18,Tabelle1!$B$4:$AJ$162,35,0),0),0)</f>
        <v>0</v>
      </c>
      <c r="DE18" s="40">
        <f>IFERROR(IF(Tiere!$BZ18&gt;0,IF(DD18&gt;0,(DD18*DC18)/170,AX18/170),0),0)</f>
        <v>0</v>
      </c>
      <c r="DF18" s="41">
        <f>IFERROR(IF(Tiere!$BZ18&gt;0,VLOOKUP($AP18,Tabelle1!$B$4:$AK$162,36,0),0),0)</f>
        <v>0</v>
      </c>
      <c r="DG18" s="42">
        <f t="shared" si="4"/>
        <v>0</v>
      </c>
      <c r="DH18">
        <f t="shared" si="0"/>
        <v>0</v>
      </c>
    </row>
    <row r="19" spans="1:112" ht="15" thickBot="1">
      <c r="A19" s="1">
        <v>14</v>
      </c>
      <c r="B19" s="43" t="str">
        <f t="shared" si="5"/>
        <v>Kalbinnen - Mist/Jauche</v>
      </c>
      <c r="C19" s="44" t="s">
        <v>556</v>
      </c>
      <c r="D19" s="823"/>
      <c r="E19" s="824"/>
      <c r="F19" s="824"/>
      <c r="G19" s="824">
        <v>24.2</v>
      </c>
      <c r="H19" s="825">
        <v>24.3</v>
      </c>
      <c r="I19" s="826"/>
      <c r="J19" s="827">
        <v>3.8</v>
      </c>
      <c r="K19" s="828">
        <v>3.8</v>
      </c>
      <c r="L19" s="826">
        <v>1</v>
      </c>
      <c r="M19" s="828">
        <v>1</v>
      </c>
      <c r="N19" s="826"/>
      <c r="O19" s="827"/>
      <c r="P19" s="827"/>
      <c r="Q19" s="829">
        <v>12.75</v>
      </c>
      <c r="R19" s="830">
        <v>12.75</v>
      </c>
      <c r="S19" s="831"/>
      <c r="T19" s="829"/>
      <c r="U19" s="829"/>
      <c r="V19" s="829">
        <v>52.099999999999994</v>
      </c>
      <c r="W19" s="830">
        <v>52.099999999999994</v>
      </c>
      <c r="X19" s="1173"/>
      <c r="Y19" s="1174"/>
      <c r="Z19" s="1174"/>
      <c r="AA19" s="1175"/>
      <c r="AB19" s="1174"/>
      <c r="AC19" s="1174"/>
      <c r="AD19" s="1174"/>
      <c r="AE19" s="1175"/>
      <c r="AF19" s="826"/>
      <c r="AG19" s="827">
        <v>21.1</v>
      </c>
      <c r="AH19" s="828">
        <v>22.1</v>
      </c>
      <c r="AI19" s="49" t="s">
        <v>556</v>
      </c>
      <c r="AJ19" s="50">
        <v>68</v>
      </c>
      <c r="AK19" s="51">
        <v>68</v>
      </c>
      <c r="AL19" s="41">
        <f t="shared" si="1"/>
        <v>2.5</v>
      </c>
      <c r="AM19" s="746" t="s">
        <v>557</v>
      </c>
      <c r="AN19" s="61"/>
      <c r="AP19" s="18">
        <f>Tiere!B19</f>
        <v>0</v>
      </c>
      <c r="AQ19" s="19">
        <f>IF(AP19=0,0,Tiere!I19)</f>
        <v>0</v>
      </c>
      <c r="AR19" s="20">
        <f>IFERROR(IF(Tiere!$BZ19&gt;0,VLOOKUP($AP19,Tabelle1!$B$4:$AE$162,12,0)*$AQ19,0),0)</f>
        <v>0</v>
      </c>
      <c r="AS19" s="21">
        <f>IFERROR(IF(Tiere!$BZ19&gt;0,VLOOKUP($AP19,Tabelle1!$B$4:$W$162,3,0)*$AR19,0),0)</f>
        <v>0</v>
      </c>
      <c r="AT19" s="22">
        <f>IFERROR(IF(Tiere!$BZ19&gt;0,VLOOKUP($AP19,Tabelle1!$B$4:$W$162,4,0)*$AR19,0),0)</f>
        <v>0</v>
      </c>
      <c r="AU19" s="23">
        <f>IFERROR(IF(Tiere!$BZ19&gt;0,VLOOKUP($AP19,Tabelle1!$B$4:$W$162,5,0)*$AR19,0),0)</f>
        <v>0</v>
      </c>
      <c r="AV19" s="23">
        <f>IFERROR(IF(Tiere!$BZ19&gt;0,VLOOKUP($AP19,Tabelle1!$B$4:$W$162,6,0)*$AR19,0),0)</f>
        <v>0</v>
      </c>
      <c r="AW19" s="24">
        <f>IFERROR(IF(Tiere!$BZ19&gt;0,VLOOKUP($AP19,Tabelle1!$B$4:$W$162,7,0)*$AR19,0),0)</f>
        <v>0</v>
      </c>
      <c r="AX19" s="25">
        <f>IF(Tiere!$BZ19&gt;0,SUM(AS19:AW19),0)</f>
        <v>0</v>
      </c>
      <c r="AY19" s="26">
        <f>IFERROR(IF(Tiere!$BZ19&gt;0,VLOOKUP($AP19,Tabelle1!$B$4:$W$162,8,0)*$AQ19,0),0)</f>
        <v>0</v>
      </c>
      <c r="AZ19" s="27">
        <f>IFERROR(IF(Tiere!$BZ19&gt;0,VLOOKUP($AP19,Tabelle1!$B$4:$W$162,9,0)*$AQ19,0),0)</f>
        <v>0</v>
      </c>
      <c r="BA19" s="28">
        <f>IFERROR(IF(Tiere!$BZ19&gt;0,VLOOKUP($AP19,Tabelle1!$B$4:$W$162,10,0)*$AQ19,0),0)</f>
        <v>0</v>
      </c>
      <c r="BB19" s="29">
        <f>IFERROR(IF(Tiere!$BZ19&gt;0,VLOOKUP($AP19,Tabelle1!$B$4:$W$162,11,0)*$AQ19,0),0)</f>
        <v>0</v>
      </c>
      <c r="BC19" s="52">
        <f>IFERROR(IF(Tiere!$BZ19&gt;0,VLOOKUP($AP19,Tabelle1!$B$4:$W$153,12,0)*$AQ19,0),0)</f>
        <v>0</v>
      </c>
      <c r="BD19" s="22">
        <f>IFERROR(IF(Tiere!$BZ19&gt;0,VLOOKUP($AP19,Tabelle1!$B$4:$W$162,13,0)*$AR19,0),0)</f>
        <v>0</v>
      </c>
      <c r="BE19" s="23">
        <f>IFERROR(IF(Tiere!$BZ19&gt;0,VLOOKUP($AP19,Tabelle1!$B$4:$W$162,14,0)*$AR19,0),0)</f>
        <v>0</v>
      </c>
      <c r="BF19" s="23">
        <f>IFERROR(IF(Tiere!$BZ19&gt;0,VLOOKUP($AP19,Tabelle1!$B$4:$W$162,15,0)*$AR19,0),0)</f>
        <v>0</v>
      </c>
      <c r="BG19" s="23">
        <f>IFERROR(IF(Tiere!$BZ19&gt;0,VLOOKUP($AP19,Tabelle1!$B$4:$W$162,16,0)*$AR19,0),0)</f>
        <v>0</v>
      </c>
      <c r="BH19" s="24">
        <f>IFERROR(IF(Tiere!$BZ19&gt;0,VLOOKUP($AP19,Tabelle1!$B$4:$W$162,17,0)*$AR19,0),0)</f>
        <v>0</v>
      </c>
      <c r="BI19" s="30">
        <f>IF(Tiere!$BZ19&gt;0,SUM(BD19:BH19),0)</f>
        <v>0</v>
      </c>
      <c r="BJ19" s="22">
        <f>IFERROR(IF(Tiere!$BZ19&gt;0,VLOOKUP($AP19,Tabelle1!$B$4:$W$162,18,0)*$AR19,0),0)</f>
        <v>0</v>
      </c>
      <c r="BK19" s="23">
        <f>IFERROR(IF(Tiere!$BZ19&gt;0,VLOOKUP($AP19,Tabelle1!$B$4:$W$162,19,0)*$AR19,0),0)</f>
        <v>0</v>
      </c>
      <c r="BL19" s="23">
        <f>IFERROR(IF(Tiere!$BZ19&gt;0,VLOOKUP($AP19,Tabelle1!$B$4:$W$162,20,0)*$AR19,0),0)</f>
        <v>0</v>
      </c>
      <c r="BM19" s="23">
        <f>IFERROR(IF(Tiere!$BZ19&gt;0,VLOOKUP($AP19,Tabelle1!$B$4:$W$162,21,0)*$AR19,0),0)</f>
        <v>0</v>
      </c>
      <c r="BN19" s="24">
        <f>IFERROR(IF(Tiere!$BZ19&gt;0,VLOOKUP($AP19,Tabelle1!$B$4:$W$162,22,0)*$AR19,0),0)</f>
        <v>0</v>
      </c>
      <c r="BO19" s="32">
        <f>IF(Tiere!$BZ19&gt;0,SUM(BJ19:BN19),0)</f>
        <v>0</v>
      </c>
      <c r="BP19" s="33">
        <f>IF(Tiere!$BZ19&gt;0,Tiere!K19,0)</f>
        <v>0</v>
      </c>
      <c r="BQ19" s="34">
        <f>IF(Tiere!$BZ19&gt;0,Tiere!L19,0)</f>
        <v>0</v>
      </c>
      <c r="BR19" s="33">
        <f>IF(Tiere!$BZ19&gt;0,Tiere!M19,0)</f>
        <v>0</v>
      </c>
      <c r="BS19" s="20">
        <f>IF(Tiere!$BZ19&gt;0,Tiere!N19,0)</f>
        <v>0</v>
      </c>
      <c r="BT19" s="818">
        <f t="shared" si="2"/>
        <v>0</v>
      </c>
      <c r="BU19" s="819">
        <f t="shared" si="3"/>
        <v>0</v>
      </c>
      <c r="BV19" s="22">
        <f>IF(Tiere!$BZ19&gt;0,AS19*$BT19,0)</f>
        <v>0</v>
      </c>
      <c r="BW19" s="22">
        <f>IF(Tiere!$BZ19&gt;0,AT19*$BT19,0)</f>
        <v>0</v>
      </c>
      <c r="BX19" s="23">
        <f>IF(Tiere!$BZ19&gt;0,AU19*$BT19,0)</f>
        <v>0</v>
      </c>
      <c r="BY19" s="23">
        <f>IF(Tiere!$BZ19&gt;0,AV19*$BT19,0)</f>
        <v>0</v>
      </c>
      <c r="BZ19" s="35">
        <f>IF(Tiere!$BZ19&gt;0,AW19*$BT19,0)</f>
        <v>0</v>
      </c>
      <c r="CA19" s="25">
        <f>IF(Tiere!$BZ19&gt;0,SUM(BV19:BZ19),0)</f>
        <v>0</v>
      </c>
      <c r="CB19" s="29">
        <f>IF(Tiere!$BZ19&gt;0,AS19*$BU19,0)</f>
        <v>0</v>
      </c>
      <c r="CC19" s="29">
        <f>IF(Tiere!$BZ19&gt;0,AT19*$BU19,0)</f>
        <v>0</v>
      </c>
      <c r="CD19" s="29">
        <f>IF(Tiere!$BZ19&gt;0,AU19*$BU19,0)</f>
        <v>0</v>
      </c>
      <c r="CE19" s="29">
        <f>IF(Tiere!$BZ19&gt;0,AV19*$BU19,0)</f>
        <v>0</v>
      </c>
      <c r="CF19" s="36">
        <f>IF(Tiere!$BZ19&gt;0,AW19*$BU19,0)</f>
        <v>0</v>
      </c>
      <c r="CG19" s="25">
        <f>IF(Tiere!$BZ19&gt;0,SUM(CB19:CF19),0)</f>
        <v>0</v>
      </c>
      <c r="CH19" s="21">
        <f>IFERROR(IF(Tiere!$BZ19&gt;0,BD19*$BT19,0),0)</f>
        <v>0</v>
      </c>
      <c r="CI19" s="22">
        <f>IFERROR(IF(Tiere!$BZ19&gt;0,BE19*$BT19,0),0)</f>
        <v>0</v>
      </c>
      <c r="CJ19" s="23">
        <f>IFERROR(IF(Tiere!$BZ19&gt;0,BF19*$BT19,0),0)</f>
        <v>0</v>
      </c>
      <c r="CK19" s="23">
        <f>IFERROR(IF(Tiere!$BZ19&gt;0,BG19*$BT19,0),0)</f>
        <v>0</v>
      </c>
      <c r="CL19" s="35">
        <f>IFERROR(IF(Tiere!$BZ19&gt;0,BH19*$BT19,0),0)</f>
        <v>0</v>
      </c>
      <c r="CM19" s="21">
        <f>IFERROR(IF(Tiere!$BZ19&gt;0,BJ19*$BT19,0),0)</f>
        <v>0</v>
      </c>
      <c r="CN19" s="22">
        <f>IFERROR(IF(Tiere!$BZ19&gt;0,BK19*$BT19,0),0)</f>
        <v>0</v>
      </c>
      <c r="CO19" s="23">
        <f>IFERROR(IF(Tiere!$BZ19&gt;0,BL19*$BT19,0),0)</f>
        <v>0</v>
      </c>
      <c r="CP19" s="23">
        <f>IFERROR(IF(Tiere!$BZ19&gt;0,BM19*$BT19,0),0)</f>
        <v>0</v>
      </c>
      <c r="CQ19" s="35">
        <f>IFERROR(IF(Tiere!$BZ19&gt;0,BN19*$BT19,0),0)</f>
        <v>0</v>
      </c>
      <c r="CR19" s="21">
        <f>IFERROR(IF(Tiere!$BZ19&gt;0,BD19*$BU19,0),0)</f>
        <v>0</v>
      </c>
      <c r="CS19" s="22">
        <f>IFERROR(IF(Tiere!$BZ19&gt;0,BE19*$BU19,0),0)</f>
        <v>0</v>
      </c>
      <c r="CT19" s="23">
        <f>IFERROR(IF(Tiere!$BZ19&gt;0,BF19*$BU19,0),0)</f>
        <v>0</v>
      </c>
      <c r="CU19" s="23">
        <f>IFERROR(IF(Tiere!$BZ19&gt;0,BG19*$BU19,0),0)</f>
        <v>0</v>
      </c>
      <c r="CV19" s="35">
        <f>IFERROR(IF(Tiere!$BZ19&gt;0,BH19*$BU19,0),0)</f>
        <v>0</v>
      </c>
      <c r="CW19" s="21">
        <f>IFERROR(IF(Tiere!$BZ19&gt;0,BJ19*$BU19,0),0)</f>
        <v>0</v>
      </c>
      <c r="CX19" s="22">
        <f>IFERROR(IF(Tiere!$BZ19&gt;0,BK19*$BU19,0),0)</f>
        <v>0</v>
      </c>
      <c r="CY19" s="23">
        <f>IFERROR(IF(Tiere!$BZ19&gt;0,BL19*$BU19,0),0)</f>
        <v>0</v>
      </c>
      <c r="CZ19" s="23">
        <f>IFERROR(IF(Tiere!$BZ19&gt;0,BM19*$BU19,0),0)</f>
        <v>0</v>
      </c>
      <c r="DA19" s="35">
        <f>IFERROR(IF(Tiere!$BZ19&gt;0,BN19*$BU19,0),0)</f>
        <v>0</v>
      </c>
      <c r="DB19" s="37">
        <f>IFERROR(IF(Tiere!$BZ19&gt;0,VLOOKUP($AP19,Tabelle1!$B$4:$W$162,11,0)*$BR19,0),0)</f>
        <v>0</v>
      </c>
      <c r="DC19" s="38">
        <f>IF(Tiere!$BZ19&gt;0,AR19,0)</f>
        <v>0</v>
      </c>
      <c r="DD19" s="39">
        <f>IFERROR(IF(Tiere!$BZ19&gt;0,VLOOKUP($AP19,Tabelle1!$B$4:$AJ$162,35,0),0),0)</f>
        <v>0</v>
      </c>
      <c r="DE19" s="40">
        <f>IFERROR(IF(Tiere!$BZ19&gt;0,IF(DD19&gt;0,(DD19*DC19)/170,AX19/170),0),0)</f>
        <v>0</v>
      </c>
      <c r="DF19" s="41">
        <f>IFERROR(IF(Tiere!$BZ19&gt;0,VLOOKUP($AP19,Tabelle1!$B$4:$AK$162,36,0),0),0)</f>
        <v>0</v>
      </c>
      <c r="DG19" s="42">
        <f t="shared" si="4"/>
        <v>0</v>
      </c>
      <c r="DH19">
        <f t="shared" si="0"/>
        <v>0</v>
      </c>
    </row>
    <row r="20" spans="1:112" ht="15" thickBot="1">
      <c r="A20" s="1">
        <v>15</v>
      </c>
      <c r="B20" s="43" t="str">
        <f t="shared" si="5"/>
        <v>Kalbinnen - Tiefstallmist</v>
      </c>
      <c r="C20" s="44" t="s">
        <v>558</v>
      </c>
      <c r="D20" s="823"/>
      <c r="E20" s="824"/>
      <c r="F20" s="824"/>
      <c r="G20" s="824"/>
      <c r="H20" s="825">
        <v>48.5</v>
      </c>
      <c r="I20" s="826"/>
      <c r="J20" s="827"/>
      <c r="K20" s="828">
        <v>8.1999999999999993</v>
      </c>
      <c r="L20" s="826">
        <v>1</v>
      </c>
      <c r="M20" s="828">
        <v>1</v>
      </c>
      <c r="N20" s="826"/>
      <c r="O20" s="827"/>
      <c r="P20" s="827"/>
      <c r="Q20" s="829"/>
      <c r="R20" s="830">
        <v>25.5</v>
      </c>
      <c r="S20" s="831"/>
      <c r="T20" s="829"/>
      <c r="U20" s="829"/>
      <c r="V20" s="829"/>
      <c r="W20" s="830">
        <v>104.2</v>
      </c>
      <c r="X20" s="1173"/>
      <c r="Y20" s="1174"/>
      <c r="Z20" s="1174"/>
      <c r="AA20" s="1175"/>
      <c r="AB20" s="1174"/>
      <c r="AC20" s="1174"/>
      <c r="AD20" s="1174"/>
      <c r="AE20" s="1175"/>
      <c r="AF20" s="826"/>
      <c r="AG20" s="827"/>
      <c r="AH20" s="828">
        <v>44.1</v>
      </c>
      <c r="AI20" s="49" t="s">
        <v>558</v>
      </c>
      <c r="AJ20" s="50">
        <v>68</v>
      </c>
      <c r="AK20" s="51">
        <v>68</v>
      </c>
      <c r="AL20" s="41">
        <f t="shared" si="1"/>
        <v>2.5</v>
      </c>
      <c r="AM20" s="746" t="s">
        <v>559</v>
      </c>
      <c r="AN20" s="18" t="str">
        <f>IF(Tiere!F34=0,"LN-Angaben fehlen!",IF(Tiere!F34&gt;210,"Zuviel Stickstoff am Betrieb!",""))</f>
        <v>LN-Angaben fehlen!</v>
      </c>
      <c r="AP20" s="5" t="s">
        <v>560</v>
      </c>
      <c r="AQ20" s="5"/>
      <c r="AR20" s="6"/>
      <c r="AS20" s="62">
        <f>SUM(AS5:AS19)</f>
        <v>0</v>
      </c>
      <c r="AT20" s="63">
        <f>SUM(AT5:AT19)</f>
        <v>0</v>
      </c>
      <c r="AU20" s="63">
        <f>SUM(AU5:AU19)</f>
        <v>0</v>
      </c>
      <c r="AV20" s="63">
        <f>SUM(AV5:AV19)</f>
        <v>0</v>
      </c>
      <c r="AW20" s="64">
        <f>SUM(AW5:AW19)</f>
        <v>0</v>
      </c>
      <c r="AX20" s="65">
        <f>SUM(AS20:AW20)</f>
        <v>0</v>
      </c>
      <c r="AY20" s="66">
        <f t="shared" ref="AY20:BH20" si="6">SUM(AY5:AY19)</f>
        <v>0</v>
      </c>
      <c r="AZ20" s="63">
        <f t="shared" si="6"/>
        <v>0</v>
      </c>
      <c r="BA20" s="64">
        <f t="shared" si="6"/>
        <v>0</v>
      </c>
      <c r="BB20" s="65">
        <f t="shared" si="6"/>
        <v>0</v>
      </c>
      <c r="BC20" s="65">
        <f t="shared" si="6"/>
        <v>0</v>
      </c>
      <c r="BD20" s="66">
        <f t="shared" si="6"/>
        <v>0</v>
      </c>
      <c r="BE20" s="63">
        <f t="shared" si="6"/>
        <v>0</v>
      </c>
      <c r="BF20" s="63">
        <f t="shared" si="6"/>
        <v>0</v>
      </c>
      <c r="BG20" s="63">
        <f t="shared" si="6"/>
        <v>0</v>
      </c>
      <c r="BH20" s="64">
        <f t="shared" si="6"/>
        <v>0</v>
      </c>
      <c r="BI20" s="65">
        <f>SUM(BD20:BH20)</f>
        <v>0</v>
      </c>
      <c r="BJ20" s="1908">
        <f t="shared" ref="BJ20:BO20" si="7">SUM(BJ5:BJ19)</f>
        <v>0</v>
      </c>
      <c r="BK20" s="1909">
        <f t="shared" si="7"/>
        <v>0</v>
      </c>
      <c r="BL20" s="1909">
        <f t="shared" si="7"/>
        <v>0</v>
      </c>
      <c r="BM20" s="1909">
        <f t="shared" si="7"/>
        <v>0</v>
      </c>
      <c r="BN20" s="1910">
        <f t="shared" si="7"/>
        <v>0</v>
      </c>
      <c r="BO20" s="7">
        <f t="shared" si="7"/>
        <v>0</v>
      </c>
      <c r="BP20" s="67"/>
      <c r="BQ20" s="68"/>
      <c r="BR20" s="69"/>
      <c r="BS20" s="70"/>
      <c r="BT20" s="811"/>
      <c r="BU20" s="812" t="s">
        <v>561</v>
      </c>
      <c r="BV20" s="565">
        <f t="shared" ref="BV20:DB20" si="8">SUM(BV5:BV19)</f>
        <v>0</v>
      </c>
      <c r="BW20" s="566">
        <f t="shared" si="8"/>
        <v>0</v>
      </c>
      <c r="BX20" s="566">
        <f t="shared" si="8"/>
        <v>0</v>
      </c>
      <c r="BY20" s="566">
        <f t="shared" si="8"/>
        <v>0</v>
      </c>
      <c r="BZ20" s="567">
        <f t="shared" si="8"/>
        <v>0</v>
      </c>
      <c r="CA20" s="1633">
        <f t="shared" si="8"/>
        <v>0</v>
      </c>
      <c r="CB20" s="1636">
        <f t="shared" si="8"/>
        <v>0</v>
      </c>
      <c r="CC20" s="1637">
        <f t="shared" si="8"/>
        <v>0</v>
      </c>
      <c r="CD20" s="1637">
        <f t="shared" si="8"/>
        <v>0</v>
      </c>
      <c r="CE20" s="1637">
        <f t="shared" si="8"/>
        <v>0</v>
      </c>
      <c r="CF20" s="1638">
        <f t="shared" si="8"/>
        <v>0</v>
      </c>
      <c r="CG20" s="1639">
        <f t="shared" si="8"/>
        <v>0</v>
      </c>
      <c r="CH20" s="1641">
        <f t="shared" si="8"/>
        <v>0</v>
      </c>
      <c r="CI20" s="1642">
        <f t="shared" si="8"/>
        <v>0</v>
      </c>
      <c r="CJ20" s="1642">
        <f t="shared" si="8"/>
        <v>0</v>
      </c>
      <c r="CK20" s="1642">
        <f t="shared" si="8"/>
        <v>0</v>
      </c>
      <c r="CL20" s="1643">
        <f t="shared" si="8"/>
        <v>0</v>
      </c>
      <c r="CM20" s="1641">
        <f t="shared" si="8"/>
        <v>0</v>
      </c>
      <c r="CN20" s="1642">
        <f t="shared" si="8"/>
        <v>0</v>
      </c>
      <c r="CO20" s="1642">
        <f t="shared" si="8"/>
        <v>0</v>
      </c>
      <c r="CP20" s="1642">
        <f t="shared" si="8"/>
        <v>0</v>
      </c>
      <c r="CQ20" s="1643">
        <f t="shared" si="8"/>
        <v>0</v>
      </c>
      <c r="CR20" s="1641">
        <f t="shared" si="8"/>
        <v>0</v>
      </c>
      <c r="CS20" s="1642">
        <f t="shared" si="8"/>
        <v>0</v>
      </c>
      <c r="CT20" s="1642">
        <f t="shared" si="8"/>
        <v>0</v>
      </c>
      <c r="CU20" s="1642">
        <f t="shared" si="8"/>
        <v>0</v>
      </c>
      <c r="CV20" s="1643">
        <f t="shared" si="8"/>
        <v>0</v>
      </c>
      <c r="CW20" s="1645">
        <f t="shared" si="8"/>
        <v>0</v>
      </c>
      <c r="CX20" s="1646">
        <f t="shared" si="8"/>
        <v>0</v>
      </c>
      <c r="CY20" s="1646">
        <f t="shared" si="8"/>
        <v>0</v>
      </c>
      <c r="CZ20" s="1646">
        <f t="shared" si="8"/>
        <v>0</v>
      </c>
      <c r="DA20" s="1647">
        <f t="shared" si="8"/>
        <v>0</v>
      </c>
      <c r="DB20" s="1644">
        <f t="shared" si="8"/>
        <v>0</v>
      </c>
      <c r="DC20" s="568"/>
      <c r="DD20" s="569"/>
      <c r="DE20" s="570">
        <f>SUM(DE5:DE19)</f>
        <v>0</v>
      </c>
      <c r="DF20" s="569"/>
      <c r="DG20" s="570">
        <f>SUM(DG5:DG19)</f>
        <v>0</v>
      </c>
    </row>
    <row r="21" spans="1:112" ht="15" thickBot="1">
      <c r="A21" s="1">
        <v>16</v>
      </c>
      <c r="B21" s="43" t="str">
        <f t="shared" si="5"/>
        <v>Milch- bzw. Mutterkühe (3000 kg Milch)  - Gülle</v>
      </c>
      <c r="C21" s="44" t="s">
        <v>562</v>
      </c>
      <c r="D21" s="823">
        <v>59.1</v>
      </c>
      <c r="E21" s="824"/>
      <c r="F21" s="824"/>
      <c r="G21" s="824"/>
      <c r="H21" s="825"/>
      <c r="I21" s="826">
        <v>11.3</v>
      </c>
      <c r="J21" s="827"/>
      <c r="K21" s="828"/>
      <c r="L21" s="826">
        <v>1</v>
      </c>
      <c r="M21" s="828">
        <v>1</v>
      </c>
      <c r="N21" s="826">
        <v>19</v>
      </c>
      <c r="O21" s="827"/>
      <c r="P21" s="827"/>
      <c r="Q21" s="829"/>
      <c r="R21" s="830"/>
      <c r="S21" s="831">
        <v>119.1</v>
      </c>
      <c r="T21" s="829"/>
      <c r="U21" s="829"/>
      <c r="V21" s="829"/>
      <c r="W21" s="830"/>
      <c r="X21" s="1173"/>
      <c r="Y21" s="1174"/>
      <c r="Z21" s="1174"/>
      <c r="AA21" s="1175"/>
      <c r="AB21" s="1174"/>
      <c r="AC21" s="1174"/>
      <c r="AD21" s="1174"/>
      <c r="AE21" s="1175"/>
      <c r="AF21" s="826">
        <v>51.4</v>
      </c>
      <c r="AG21" s="827"/>
      <c r="AH21" s="828"/>
      <c r="AI21" s="49" t="s">
        <v>562</v>
      </c>
      <c r="AJ21" s="50">
        <v>68</v>
      </c>
      <c r="AK21" s="51">
        <v>68</v>
      </c>
      <c r="AL21" s="41">
        <f t="shared" si="1"/>
        <v>2.5</v>
      </c>
      <c r="AM21" s="746" t="s">
        <v>563</v>
      </c>
      <c r="AN21" s="18" t="str">
        <f>IF(AND(Betrieb!D11="",Tiere!F34&lt;=175),"Wasserrechtsgesetz eingehalten!",IF(AND(Betrieb!D11="Nein",Tiere!F34&lt;=175),"Wasserrechtsgesetz eingehalten!",IF(AND(Betrieb!D11="ja",Tiere!F34&lt;=210),"Wasserrechtsgesetz eingehalten!",IF(AND(Betrieb!D11="",Tiere!F41&gt;175),"Bitte Fruchtfolge definieren!","Wasserrechtsgesetz nicht eingehalten!"))))</f>
        <v>Wasserrechtsgesetz eingehalten!</v>
      </c>
      <c r="AS21"/>
      <c r="AT21"/>
      <c r="AU21"/>
      <c r="AV21"/>
      <c r="AW21"/>
      <c r="AX21" s="71">
        <f>SUM(AX5:AX19)</f>
        <v>0</v>
      </c>
      <c r="AY21"/>
      <c r="AZ21"/>
      <c r="BA21"/>
      <c r="BB21"/>
      <c r="BC21"/>
      <c r="BD21"/>
      <c r="BE21"/>
      <c r="BF21"/>
      <c r="BG21"/>
      <c r="BH21"/>
      <c r="BI21"/>
      <c r="BJ21"/>
      <c r="BK21"/>
      <c r="BL21"/>
      <c r="BM21"/>
      <c r="BN21"/>
      <c r="BO21"/>
      <c r="BP21" s="69"/>
      <c r="BQ21" s="72"/>
      <c r="BR21" s="69"/>
      <c r="BS21" s="70"/>
      <c r="BT21" s="577"/>
      <c r="BU21" s="578" t="s">
        <v>564</v>
      </c>
      <c r="BV21" s="579">
        <f>BV20*0.87</f>
        <v>0</v>
      </c>
      <c r="BW21" s="580">
        <f>BW20*0.87</f>
        <v>0</v>
      </c>
      <c r="BX21" s="580">
        <f>BX20*0.87</f>
        <v>0</v>
      </c>
      <c r="BY21" s="580">
        <f>BY20*0.87</f>
        <v>0</v>
      </c>
      <c r="BZ21" s="580">
        <f>BZ20*0.91</f>
        <v>0</v>
      </c>
      <c r="CA21" s="581">
        <f>SUM(BV21:BZ21)</f>
        <v>0</v>
      </c>
      <c r="CB21" s="1634">
        <f>CB20*0.87</f>
        <v>0</v>
      </c>
      <c r="CC21" s="1635">
        <f>CC20*0.87</f>
        <v>0</v>
      </c>
      <c r="CD21" s="1635">
        <f>CD20*0.87</f>
        <v>0</v>
      </c>
      <c r="CE21" s="1635">
        <f>CE20*0.87</f>
        <v>0</v>
      </c>
      <c r="CF21" s="1635">
        <f>CF20*0.91</f>
        <v>0</v>
      </c>
      <c r="CG21" s="581">
        <f>SUM(CB21:CF21)</f>
        <v>0</v>
      </c>
      <c r="CH21" s="1634"/>
      <c r="CI21" s="1640" t="s">
        <v>565</v>
      </c>
      <c r="CJ21" s="1634"/>
      <c r="CK21" s="1635"/>
      <c r="CL21" s="1635"/>
      <c r="CM21" s="1635"/>
      <c r="CN21" s="1640" t="s">
        <v>566</v>
      </c>
      <c r="CO21" s="1634"/>
      <c r="CP21" s="1635"/>
      <c r="CQ21" s="1635"/>
      <c r="CR21" s="1635"/>
      <c r="CS21" s="1640" t="s">
        <v>567</v>
      </c>
      <c r="CT21" s="1634"/>
      <c r="CU21" s="1635"/>
      <c r="CV21" s="1635"/>
      <c r="CW21" s="1635"/>
      <c r="CX21" s="1640" t="s">
        <v>568</v>
      </c>
      <c r="CY21" s="1634"/>
      <c r="CZ21" s="1635"/>
      <c r="DA21" s="1635"/>
      <c r="DB21" s="367"/>
      <c r="DC21" s="367"/>
      <c r="DD21" s="582" t="s">
        <v>569</v>
      </c>
      <c r="DE21" s="583">
        <f>Betrieb!D18</f>
        <v>0</v>
      </c>
      <c r="DF21" s="583"/>
      <c r="DG21" s="583">
        <f>Betrieb!D18</f>
        <v>0</v>
      </c>
    </row>
    <row r="22" spans="1:112" ht="16.5" thickBot="1">
      <c r="A22" s="1">
        <v>17</v>
      </c>
      <c r="B22" s="43" t="str">
        <f t="shared" si="5"/>
        <v>Milch- bzw. Mutterkühe (3000 kg Milch)  - Mist / Jauche</v>
      </c>
      <c r="C22" s="44" t="s">
        <v>570</v>
      </c>
      <c r="D22" s="823"/>
      <c r="E22" s="824"/>
      <c r="F22" s="824"/>
      <c r="G22" s="824">
        <v>16.2</v>
      </c>
      <c r="H22" s="825">
        <v>32.5</v>
      </c>
      <c r="I22" s="826"/>
      <c r="J22" s="827">
        <v>3.7</v>
      </c>
      <c r="K22" s="828">
        <v>7.2</v>
      </c>
      <c r="L22" s="826">
        <v>1</v>
      </c>
      <c r="M22" s="828">
        <v>1</v>
      </c>
      <c r="N22" s="826"/>
      <c r="O22" s="827"/>
      <c r="P22" s="827"/>
      <c r="Q22" s="829">
        <v>9.5</v>
      </c>
      <c r="R22" s="830">
        <v>9.5</v>
      </c>
      <c r="S22" s="831"/>
      <c r="T22" s="829"/>
      <c r="U22" s="829"/>
      <c r="V22" s="829">
        <v>59.55</v>
      </c>
      <c r="W22" s="830">
        <v>59.55</v>
      </c>
      <c r="X22" s="1173"/>
      <c r="Y22" s="1174"/>
      <c r="Z22" s="1174"/>
      <c r="AA22" s="1175"/>
      <c r="AB22" s="1174"/>
      <c r="AC22" s="1174"/>
      <c r="AD22" s="1174"/>
      <c r="AE22" s="1175"/>
      <c r="AF22" s="826"/>
      <c r="AG22" s="827">
        <v>14.1</v>
      </c>
      <c r="AH22" s="828">
        <v>29.5</v>
      </c>
      <c r="AI22" s="49" t="s">
        <v>570</v>
      </c>
      <c r="AJ22" s="50">
        <v>68</v>
      </c>
      <c r="AK22" s="51">
        <v>68</v>
      </c>
      <c r="AL22" s="41">
        <f t="shared" si="1"/>
        <v>2.5</v>
      </c>
      <c r="AM22" s="744"/>
      <c r="AN22"/>
      <c r="AP22" s="604" t="s">
        <v>571</v>
      </c>
      <c r="AQ22" s="605"/>
      <c r="AR22" s="606"/>
      <c r="AS22" s="607"/>
      <c r="AT22" s="607"/>
      <c r="AU22" s="607"/>
      <c r="AV22" s="607"/>
      <c r="AW22" s="607"/>
      <c r="AX22" s="607"/>
      <c r="AY22" s="608" t="s">
        <v>572</v>
      </c>
      <c r="AZ22" s="609" t="s">
        <v>573</v>
      </c>
      <c r="BA22" s="609" t="s">
        <v>574</v>
      </c>
      <c r="BB22" s="609" t="s">
        <v>575</v>
      </c>
      <c r="BC22" s="607"/>
      <c r="BD22" s="607"/>
      <c r="BE22" s="607"/>
      <c r="BF22" s="607"/>
      <c r="BG22" s="607"/>
      <c r="BH22" s="607"/>
      <c r="BI22" s="607"/>
      <c r="BJ22" s="607"/>
      <c r="BK22" s="607"/>
      <c r="BL22" s="607"/>
      <c r="BM22" s="607"/>
      <c r="BN22" s="607"/>
      <c r="BO22" s="607"/>
      <c r="BP22"/>
      <c r="BT22" s="584"/>
      <c r="BU22" s="584" t="s">
        <v>576</v>
      </c>
      <c r="BV22" s="585">
        <f>BV21*0.7</f>
        <v>0</v>
      </c>
      <c r="BW22" s="585">
        <f>BW21*0.8</f>
        <v>0</v>
      </c>
      <c r="BX22" s="585">
        <f>BX21*0.85</f>
        <v>0</v>
      </c>
      <c r="BY22" s="586">
        <f>BY21</f>
        <v>0</v>
      </c>
      <c r="BZ22" s="587">
        <f>BZ21*0.5</f>
        <v>0</v>
      </c>
      <c r="CA22" s="581">
        <f>SUM(BV22:BZ22)</f>
        <v>0</v>
      </c>
      <c r="CB22" s="585">
        <f>CB21*0.7</f>
        <v>0</v>
      </c>
      <c r="CC22" s="585">
        <f>CC21*0.8</f>
        <v>0</v>
      </c>
      <c r="CD22" s="585">
        <f>CD21*0.85</f>
        <v>0</v>
      </c>
      <c r="CE22" s="586">
        <f>CE21</f>
        <v>0</v>
      </c>
      <c r="CF22" s="587">
        <f>CF21*0.5</f>
        <v>0</v>
      </c>
      <c r="CG22" s="588">
        <f>SUM(CB22:CF22)</f>
        <v>0</v>
      </c>
      <c r="CH22" s="589" t="s">
        <v>577</v>
      </c>
      <c r="CI22" s="590">
        <f>SUM(CH20:CL20)</f>
        <v>0</v>
      </c>
      <c r="CJ22" s="591" t="s">
        <v>577</v>
      </c>
      <c r="CK22" s="591" t="s">
        <v>577</v>
      </c>
      <c r="CL22" s="591" t="s">
        <v>577</v>
      </c>
      <c r="CM22" s="589" t="s">
        <v>577</v>
      </c>
      <c r="CN22" s="590">
        <f>SUM(CM20:CQ20)</f>
        <v>0</v>
      </c>
      <c r="CO22" s="591" t="s">
        <v>577</v>
      </c>
      <c r="CP22" s="591" t="s">
        <v>577</v>
      </c>
      <c r="CQ22" s="591" t="s">
        <v>577</v>
      </c>
      <c r="CR22" s="589" t="s">
        <v>577</v>
      </c>
      <c r="CS22" s="590">
        <f>SUM(CR20:CV20)</f>
        <v>0</v>
      </c>
      <c r="CT22" s="591" t="s">
        <v>577</v>
      </c>
      <c r="CU22" s="591" t="s">
        <v>577</v>
      </c>
      <c r="CV22" s="591" t="s">
        <v>577</v>
      </c>
      <c r="CW22" s="589" t="s">
        <v>577</v>
      </c>
      <c r="CX22" s="590">
        <f>SUM(CW20:DA20)</f>
        <v>0</v>
      </c>
      <c r="CY22" s="591" t="s">
        <v>577</v>
      </c>
      <c r="CZ22" s="591" t="s">
        <v>577</v>
      </c>
      <c r="DA22" s="591" t="s">
        <v>577</v>
      </c>
      <c r="DB22" s="367"/>
      <c r="DC22" s="367"/>
      <c r="DD22" s="367" t="str">
        <f>IF(OR(DE23=1,DG23=1),"Bei BIO Tierzahl überprüfen! Siehe Tabellenblatt Tiere BIO","")</f>
        <v/>
      </c>
      <c r="DE22" s="367"/>
      <c r="DF22" s="367"/>
      <c r="DG22" s="367"/>
    </row>
    <row r="23" spans="1:112">
      <c r="A23" s="1">
        <v>18</v>
      </c>
      <c r="B23" s="43" t="str">
        <f t="shared" si="5"/>
        <v>Milch- bzw. Mutterkühe (3000 kg Milch)  - Tiefstallmist</v>
      </c>
      <c r="C23" s="44" t="s">
        <v>578</v>
      </c>
      <c r="D23" s="823"/>
      <c r="E23" s="824"/>
      <c r="F23" s="824"/>
      <c r="G23" s="824"/>
      <c r="H23" s="825">
        <v>48.7</v>
      </c>
      <c r="I23" s="826"/>
      <c r="J23" s="827"/>
      <c r="K23" s="828">
        <v>11.6</v>
      </c>
      <c r="L23" s="826">
        <v>1</v>
      </c>
      <c r="M23" s="828">
        <v>1</v>
      </c>
      <c r="N23" s="826"/>
      <c r="O23" s="827"/>
      <c r="P23" s="827"/>
      <c r="Q23" s="829"/>
      <c r="R23" s="830">
        <v>19</v>
      </c>
      <c r="S23" s="831"/>
      <c r="T23" s="829"/>
      <c r="U23" s="829"/>
      <c r="V23" s="829"/>
      <c r="W23" s="830">
        <v>119.1</v>
      </c>
      <c r="X23" s="1173"/>
      <c r="Y23" s="1174"/>
      <c r="Z23" s="1174"/>
      <c r="AA23" s="1175"/>
      <c r="AB23" s="1174"/>
      <c r="AC23" s="1174"/>
      <c r="AD23" s="1174"/>
      <c r="AE23" s="1175"/>
      <c r="AF23" s="826"/>
      <c r="AG23" s="827"/>
      <c r="AH23" s="828">
        <v>44.3</v>
      </c>
      <c r="AI23" s="49" t="s">
        <v>578</v>
      </c>
      <c r="AJ23" s="50">
        <v>68</v>
      </c>
      <c r="AK23" s="51">
        <v>68</v>
      </c>
      <c r="AL23" s="41">
        <f t="shared" si="1"/>
        <v>2.5</v>
      </c>
      <c r="AM23" s="744"/>
      <c r="AN23" s="75" t="s">
        <v>579</v>
      </c>
      <c r="AP23" s="76" t="s">
        <v>580</v>
      </c>
      <c r="AQ23" s="77"/>
      <c r="AR23" s="78"/>
      <c r="AS23" s="79">
        <f>AY23*BB23</f>
        <v>0</v>
      </c>
      <c r="AT23" s="603"/>
      <c r="AU23" s="603"/>
      <c r="AV23" s="603"/>
      <c r="AW23" s="603"/>
      <c r="AX23" s="3"/>
      <c r="AY23" s="79">
        <f>Tiere!R24</f>
        <v>0</v>
      </c>
      <c r="AZ23" s="79">
        <f>Tiere!S24</f>
        <v>0</v>
      </c>
      <c r="BA23" s="79">
        <f>Tiere!T24</f>
        <v>0</v>
      </c>
      <c r="BB23" s="79">
        <f>Tiere!U24</f>
        <v>0</v>
      </c>
      <c r="BC23" s="3"/>
      <c r="BD23" s="79">
        <f>AZ23*$BB23</f>
        <v>0</v>
      </c>
      <c r="BE23" s="3"/>
      <c r="BF23" s="3"/>
      <c r="BG23" s="3"/>
      <c r="BH23" s="3"/>
      <c r="BI23" s="3"/>
      <c r="BJ23" s="79">
        <f>BA23*$BB23</f>
        <v>0</v>
      </c>
      <c r="BK23" s="3"/>
      <c r="BL23" s="3"/>
      <c r="BM23" s="3"/>
      <c r="BN23" s="3"/>
      <c r="BO23" s="78"/>
      <c r="BP23"/>
      <c r="BT23"/>
      <c r="BU23"/>
      <c r="CC23" s="367"/>
      <c r="CD23" s="367"/>
      <c r="CE23" s="367"/>
      <c r="CF23" s="592" t="s">
        <v>581</v>
      </c>
      <c r="CG23" s="593">
        <f>CA22+CG22</f>
        <v>0</v>
      </c>
      <c r="DD23" s="571" t="str">
        <f>IF(DE23=1,"• Die Bio-Tierbestandsobergrenze ist möglicherweise überschritten!                  Bitte Rücksprache halten mit ihrer Kontrollstelle!","")</f>
        <v/>
      </c>
      <c r="DE23" s="572">
        <f>IF(AND(AO15=1,DE20&gt;DE21),1,0)</f>
        <v>0</v>
      </c>
      <c r="DF23" s="573"/>
      <c r="DG23" s="573">
        <f>IF(AND(AO15=1,DG20&gt;DG21),1,0)</f>
        <v>0</v>
      </c>
    </row>
    <row r="24" spans="1:112" ht="12.75" customHeight="1">
      <c r="A24" s="1">
        <v>19</v>
      </c>
      <c r="B24" s="43" t="str">
        <f t="shared" si="5"/>
        <v>Milch- bzw. Ammenkühe (4000 kg Milch)  - Gülle</v>
      </c>
      <c r="C24" s="44" t="s">
        <v>603</v>
      </c>
      <c r="D24" s="823">
        <v>66.7</v>
      </c>
      <c r="E24" s="824"/>
      <c r="F24" s="824"/>
      <c r="G24" s="824"/>
      <c r="H24" s="825"/>
      <c r="I24" s="826">
        <v>11.3</v>
      </c>
      <c r="J24" s="827"/>
      <c r="K24" s="828"/>
      <c r="L24" s="826">
        <v>1</v>
      </c>
      <c r="M24" s="828">
        <v>1</v>
      </c>
      <c r="N24" s="826">
        <v>23.6</v>
      </c>
      <c r="O24" s="827"/>
      <c r="P24" s="827"/>
      <c r="Q24" s="829"/>
      <c r="R24" s="830"/>
      <c r="S24" s="831">
        <v>134</v>
      </c>
      <c r="T24" s="829"/>
      <c r="U24" s="829"/>
      <c r="V24" s="829"/>
      <c r="W24" s="830"/>
      <c r="X24" s="1173"/>
      <c r="Y24" s="1174"/>
      <c r="Z24" s="1174"/>
      <c r="AA24" s="1175"/>
      <c r="AB24" s="1174"/>
      <c r="AC24" s="1174"/>
      <c r="AD24" s="1174"/>
      <c r="AE24" s="1175"/>
      <c r="AF24" s="826">
        <v>58</v>
      </c>
      <c r="AG24" s="827"/>
      <c r="AH24" s="828"/>
      <c r="AI24" s="49" t="s">
        <v>603</v>
      </c>
      <c r="AJ24" s="50">
        <v>85</v>
      </c>
      <c r="AK24" s="51">
        <v>85</v>
      </c>
      <c r="AL24" s="41">
        <f t="shared" si="1"/>
        <v>2</v>
      </c>
      <c r="AM24" s="744"/>
      <c r="AN24" s="18" t="s">
        <v>604</v>
      </c>
      <c r="AP24" s="18" t="s">
        <v>605</v>
      </c>
      <c r="AQ24" s="82"/>
      <c r="AR24" s="31"/>
      <c r="AS24" s="80"/>
      <c r="AT24" s="4">
        <f>AY24*BB24</f>
        <v>0</v>
      </c>
      <c r="AU24" s="80"/>
      <c r="AV24" s="80"/>
      <c r="AW24" s="80"/>
      <c r="AX24" s="3"/>
      <c r="AY24" s="4">
        <f>Tiere!R25</f>
        <v>0</v>
      </c>
      <c r="AZ24" s="4">
        <f>Tiere!S25</f>
        <v>0</v>
      </c>
      <c r="BA24" s="4">
        <f>Tiere!T25</f>
        <v>0</v>
      </c>
      <c r="BB24" s="4">
        <f>Tiere!U25</f>
        <v>0</v>
      </c>
      <c r="BC24" s="3"/>
      <c r="BD24" s="3"/>
      <c r="BE24" s="4">
        <f>AZ24*$BB24</f>
        <v>0</v>
      </c>
      <c r="BF24" s="3"/>
      <c r="BG24" s="3"/>
      <c r="BH24" s="3"/>
      <c r="BI24" s="3"/>
      <c r="BJ24" s="3"/>
      <c r="BK24" s="4">
        <f>BA24*$BB24</f>
        <v>0</v>
      </c>
      <c r="BL24" s="3"/>
      <c r="BM24" s="3"/>
      <c r="BN24" s="3"/>
      <c r="BO24" s="78"/>
      <c r="BP24"/>
      <c r="BT24"/>
      <c r="BU24"/>
      <c r="DC24" s="83"/>
      <c r="DD24" s="574" t="s">
        <v>292</v>
      </c>
      <c r="DE24" s="575">
        <f>Tabelle1!DE20</f>
        <v>0</v>
      </c>
      <c r="DF24" s="576" t="s">
        <v>606</v>
      </c>
      <c r="DG24" s="575">
        <f>Tabelle1!DG20</f>
        <v>0</v>
      </c>
    </row>
    <row r="25" spans="1:112">
      <c r="A25" s="1">
        <v>20</v>
      </c>
      <c r="B25" s="43" t="str">
        <f t="shared" si="5"/>
        <v>Milch- bzw. Ammenkühe (4000 kg Milch)  - Mist / Jauche</v>
      </c>
      <c r="C25" s="44" t="s">
        <v>607</v>
      </c>
      <c r="D25" s="823"/>
      <c r="E25" s="824"/>
      <c r="F25" s="824"/>
      <c r="G25" s="824">
        <v>18.399999999999999</v>
      </c>
      <c r="H25" s="825">
        <v>36.6</v>
      </c>
      <c r="I25" s="826"/>
      <c r="J25" s="827">
        <v>3.7</v>
      </c>
      <c r="K25" s="828">
        <v>7.2</v>
      </c>
      <c r="L25" s="826">
        <v>1</v>
      </c>
      <c r="M25" s="828">
        <v>1</v>
      </c>
      <c r="N25" s="826"/>
      <c r="O25" s="827"/>
      <c r="P25" s="827"/>
      <c r="Q25" s="829">
        <v>11.8</v>
      </c>
      <c r="R25" s="830">
        <v>11.8</v>
      </c>
      <c r="S25" s="831"/>
      <c r="T25" s="829"/>
      <c r="U25" s="829"/>
      <c r="V25" s="829">
        <v>67</v>
      </c>
      <c r="W25" s="830">
        <v>67</v>
      </c>
      <c r="X25" s="1173"/>
      <c r="Y25" s="1174"/>
      <c r="Z25" s="1174"/>
      <c r="AA25" s="1175"/>
      <c r="AB25" s="1174"/>
      <c r="AC25" s="1174"/>
      <c r="AD25" s="1174"/>
      <c r="AE25" s="1175"/>
      <c r="AF25" s="826"/>
      <c r="AG25" s="827">
        <v>16</v>
      </c>
      <c r="AH25" s="828">
        <v>33.299999999999997</v>
      </c>
      <c r="AI25" s="49" t="s">
        <v>607</v>
      </c>
      <c r="AJ25" s="50">
        <v>85</v>
      </c>
      <c r="AK25" s="51">
        <v>85</v>
      </c>
      <c r="AL25" s="41">
        <f t="shared" si="1"/>
        <v>2</v>
      </c>
      <c r="AM25" s="744"/>
      <c r="AN25" s="18" t="s">
        <v>608</v>
      </c>
      <c r="AP25" s="18" t="s">
        <v>609</v>
      </c>
      <c r="AQ25" s="82"/>
      <c r="AR25" s="31"/>
      <c r="AS25" s="80"/>
      <c r="AT25" s="80"/>
      <c r="AU25" s="4">
        <f>AY25*BB25</f>
        <v>0</v>
      </c>
      <c r="AV25" s="80"/>
      <c r="AW25" s="80"/>
      <c r="AX25" s="3"/>
      <c r="AY25" s="4">
        <f>Tiere!R26</f>
        <v>0</v>
      </c>
      <c r="AZ25" s="4">
        <f>Tiere!S26</f>
        <v>0</v>
      </c>
      <c r="BA25" s="4">
        <f>Tiere!T26</f>
        <v>0</v>
      </c>
      <c r="BB25" s="4">
        <f>Tiere!U26</f>
        <v>0</v>
      </c>
      <c r="BC25" s="3"/>
      <c r="BD25" s="3"/>
      <c r="BE25" s="3"/>
      <c r="BF25" s="4">
        <f>AZ25*$BB25</f>
        <v>0</v>
      </c>
      <c r="BG25" s="3"/>
      <c r="BH25" s="3"/>
      <c r="BI25" s="3"/>
      <c r="BJ25" s="3"/>
      <c r="BK25" s="3"/>
      <c r="BL25" s="4">
        <f>BA25*$BB25</f>
        <v>0</v>
      </c>
      <c r="BM25" s="3"/>
      <c r="BN25" s="3"/>
      <c r="BO25" s="78"/>
      <c r="BP25"/>
      <c r="BT25"/>
      <c r="BU25"/>
    </row>
    <row r="26" spans="1:112">
      <c r="A26" s="1">
        <v>21</v>
      </c>
      <c r="B26" s="43" t="str">
        <f t="shared" si="5"/>
        <v>Milch- bzw. Ammenkühe (4000 kg Milch)  - Tiefstallmist</v>
      </c>
      <c r="C26" s="44" t="s">
        <v>610</v>
      </c>
      <c r="D26" s="823"/>
      <c r="E26" s="824"/>
      <c r="F26" s="824"/>
      <c r="G26" s="824"/>
      <c r="H26" s="825">
        <v>55</v>
      </c>
      <c r="I26" s="826"/>
      <c r="J26" s="827"/>
      <c r="K26" s="828">
        <v>11.6</v>
      </c>
      <c r="L26" s="826">
        <v>1</v>
      </c>
      <c r="M26" s="828">
        <v>1</v>
      </c>
      <c r="N26" s="826"/>
      <c r="O26" s="827"/>
      <c r="P26" s="827"/>
      <c r="Q26" s="829"/>
      <c r="R26" s="830">
        <v>23.6</v>
      </c>
      <c r="S26" s="831"/>
      <c r="T26" s="829"/>
      <c r="U26" s="829"/>
      <c r="V26" s="829"/>
      <c r="W26" s="830">
        <v>134</v>
      </c>
      <c r="X26" s="1173"/>
      <c r="Y26" s="1174"/>
      <c r="Z26" s="1174"/>
      <c r="AA26" s="1175"/>
      <c r="AB26" s="1174"/>
      <c r="AC26" s="1174"/>
      <c r="AD26" s="1174"/>
      <c r="AE26" s="1175"/>
      <c r="AF26" s="826"/>
      <c r="AG26" s="827"/>
      <c r="AH26" s="828">
        <v>50.1</v>
      </c>
      <c r="AI26" s="49" t="s">
        <v>610</v>
      </c>
      <c r="AJ26" s="50">
        <v>85</v>
      </c>
      <c r="AK26" s="51">
        <v>85</v>
      </c>
      <c r="AL26" s="41">
        <f t="shared" si="1"/>
        <v>2</v>
      </c>
      <c r="AM26" s="744"/>
      <c r="AN26"/>
      <c r="AP26" s="18" t="s">
        <v>459</v>
      </c>
      <c r="AQ26" s="82"/>
      <c r="AR26" s="31"/>
      <c r="AS26" s="80"/>
      <c r="AT26" s="80"/>
      <c r="AU26" s="80"/>
      <c r="AV26" s="4">
        <f>AY26*BB26</f>
        <v>0</v>
      </c>
      <c r="AW26" s="80"/>
      <c r="AX26" s="3"/>
      <c r="AY26" s="4">
        <f>Tiere!R27</f>
        <v>0</v>
      </c>
      <c r="AZ26" s="4">
        <f>Tiere!S27</f>
        <v>0</v>
      </c>
      <c r="BA26" s="4">
        <f>Tiere!T27</f>
        <v>0</v>
      </c>
      <c r="BB26" s="4">
        <f>Tiere!U27</f>
        <v>0</v>
      </c>
      <c r="BC26" s="3"/>
      <c r="BD26" s="3"/>
      <c r="BE26" s="3"/>
      <c r="BF26" s="3"/>
      <c r="BG26" s="4">
        <f>AZ26*$BB26</f>
        <v>0</v>
      </c>
      <c r="BH26" s="3"/>
      <c r="BI26" s="3"/>
      <c r="BJ26" s="3"/>
      <c r="BK26" s="3"/>
      <c r="BL26" s="3"/>
      <c r="BM26" s="4">
        <f>BA26*$BB26</f>
        <v>0</v>
      </c>
      <c r="BN26" s="3"/>
      <c r="BO26" s="78"/>
      <c r="BP26"/>
      <c r="BT26"/>
      <c r="BU26"/>
    </row>
    <row r="27" spans="1:112" ht="13.5" thickBot="1">
      <c r="A27" s="1">
        <v>22</v>
      </c>
      <c r="B27" s="43" t="str">
        <f t="shared" si="5"/>
        <v>Milchkühe (5000 kg Milch) - Gülle</v>
      </c>
      <c r="C27" s="44" t="s">
        <v>611</v>
      </c>
      <c r="D27" s="823">
        <v>74.400000000000006</v>
      </c>
      <c r="E27" s="824"/>
      <c r="F27" s="824"/>
      <c r="G27" s="824"/>
      <c r="H27" s="825"/>
      <c r="I27" s="826">
        <v>11.5</v>
      </c>
      <c r="J27" s="827"/>
      <c r="K27" s="828"/>
      <c r="L27" s="826">
        <v>1</v>
      </c>
      <c r="M27" s="828">
        <v>1</v>
      </c>
      <c r="N27" s="826">
        <v>28.2</v>
      </c>
      <c r="O27" s="827"/>
      <c r="P27" s="827"/>
      <c r="Q27" s="829"/>
      <c r="R27" s="830"/>
      <c r="S27" s="831">
        <v>148.9</v>
      </c>
      <c r="T27" s="829"/>
      <c r="U27" s="829"/>
      <c r="V27" s="829"/>
      <c r="W27" s="830"/>
      <c r="X27" s="1173"/>
      <c r="Y27" s="1174"/>
      <c r="Z27" s="1174"/>
      <c r="AA27" s="1175"/>
      <c r="AB27" s="1174"/>
      <c r="AC27" s="1174"/>
      <c r="AD27" s="1174"/>
      <c r="AE27" s="1175"/>
      <c r="AF27" s="826">
        <v>64.7</v>
      </c>
      <c r="AG27" s="827"/>
      <c r="AH27" s="828"/>
      <c r="AI27" s="49" t="s">
        <v>611</v>
      </c>
      <c r="AJ27" s="50">
        <v>85</v>
      </c>
      <c r="AK27" s="51">
        <v>85</v>
      </c>
      <c r="AL27" s="41">
        <f t="shared" si="1"/>
        <v>2</v>
      </c>
      <c r="AM27" s="744"/>
      <c r="AN27" s="84"/>
      <c r="AO27" s="85"/>
      <c r="AP27" s="57" t="s">
        <v>460</v>
      </c>
      <c r="AQ27" s="86"/>
      <c r="AR27" s="87"/>
      <c r="AS27" s="80"/>
      <c r="AT27" s="80"/>
      <c r="AU27" s="80"/>
      <c r="AV27" s="80"/>
      <c r="AW27" s="4">
        <f>AY27*BB27</f>
        <v>0</v>
      </c>
      <c r="AX27" s="3"/>
      <c r="AY27" s="4">
        <f>Tiere!R28</f>
        <v>0</v>
      </c>
      <c r="AZ27" s="4">
        <f>Tiere!S28</f>
        <v>0</v>
      </c>
      <c r="BA27" s="4">
        <f>Tiere!T28</f>
        <v>0</v>
      </c>
      <c r="BB27" s="4">
        <f>Tiere!U28</f>
        <v>0</v>
      </c>
      <c r="BC27" s="3"/>
      <c r="BD27" s="3"/>
      <c r="BE27" s="3"/>
      <c r="BF27" s="3"/>
      <c r="BG27" s="3"/>
      <c r="BH27" s="4">
        <f>AZ27*$BB27</f>
        <v>0</v>
      </c>
      <c r="BI27" s="3" t="s">
        <v>612</v>
      </c>
      <c r="BJ27" s="3"/>
      <c r="BK27" s="3"/>
      <c r="BL27" s="3"/>
      <c r="BM27" s="3"/>
      <c r="BN27" s="4">
        <f>BA27*$BB27</f>
        <v>0</v>
      </c>
      <c r="BO27" s="78" t="s">
        <v>613</v>
      </c>
      <c r="BP27"/>
      <c r="BT27"/>
      <c r="BU27"/>
    </row>
    <row r="28" spans="1:112" ht="13.5" thickBot="1">
      <c r="A28" s="1">
        <v>23</v>
      </c>
      <c r="B28" s="43" t="str">
        <f t="shared" si="5"/>
        <v>Milchkühe (5000 kg Milch) - Mist/Jauche</v>
      </c>
      <c r="C28" s="44" t="s">
        <v>614</v>
      </c>
      <c r="D28" s="823"/>
      <c r="E28" s="824"/>
      <c r="F28" s="824"/>
      <c r="G28" s="824">
        <v>20.399999999999999</v>
      </c>
      <c r="H28" s="825">
        <v>40.9</v>
      </c>
      <c r="I28" s="826"/>
      <c r="J28" s="827">
        <v>3.8</v>
      </c>
      <c r="K28" s="828">
        <v>7.4</v>
      </c>
      <c r="L28" s="826">
        <v>1</v>
      </c>
      <c r="M28" s="828">
        <v>1</v>
      </c>
      <c r="N28" s="826"/>
      <c r="O28" s="827"/>
      <c r="P28" s="827"/>
      <c r="Q28" s="829">
        <v>14.1</v>
      </c>
      <c r="R28" s="830">
        <v>14.1</v>
      </c>
      <c r="S28" s="831"/>
      <c r="T28" s="829"/>
      <c r="U28" s="829"/>
      <c r="V28" s="829">
        <v>74.45</v>
      </c>
      <c r="W28" s="830">
        <v>74.45</v>
      </c>
      <c r="X28" s="1173"/>
      <c r="Y28" s="1174"/>
      <c r="Z28" s="1174"/>
      <c r="AA28" s="1175"/>
      <c r="AB28" s="1174"/>
      <c r="AC28" s="1174"/>
      <c r="AD28" s="1174"/>
      <c r="AE28" s="1175"/>
      <c r="AF28" s="826"/>
      <c r="AG28" s="827">
        <v>17.7</v>
      </c>
      <c r="AH28" s="828">
        <v>37.1</v>
      </c>
      <c r="AI28" s="49" t="s">
        <v>614</v>
      </c>
      <c r="AJ28" s="50">
        <v>85</v>
      </c>
      <c r="AK28" s="51">
        <v>85</v>
      </c>
      <c r="AL28" s="41">
        <f t="shared" si="1"/>
        <v>2</v>
      </c>
      <c r="AM28" s="744"/>
      <c r="AN28" s="88"/>
      <c r="AO28" s="85"/>
      <c r="AP28" s="89" t="s">
        <v>615</v>
      </c>
      <c r="AQ28" s="90"/>
      <c r="AR28" s="90"/>
      <c r="AS28" s="91">
        <f>AS23</f>
        <v>0</v>
      </c>
      <c r="AT28" s="91">
        <f>AT24</f>
        <v>0</v>
      </c>
      <c r="AU28" s="91">
        <f>AU25</f>
        <v>0</v>
      </c>
      <c r="AV28" s="91">
        <f>AV26</f>
        <v>0</v>
      </c>
      <c r="AW28" s="92">
        <f>AW27</f>
        <v>0</v>
      </c>
      <c r="AX28" s="599">
        <f>SUM(AS28:AW28)</f>
        <v>0</v>
      </c>
      <c r="AY28" s="16"/>
      <c r="AZ28" s="5"/>
      <c r="BA28" s="15"/>
      <c r="BB28" s="93"/>
      <c r="BC28" s="94"/>
      <c r="BD28" s="23">
        <f>BD20+BD23</f>
        <v>0</v>
      </c>
      <c r="BE28" s="23">
        <f>BE20+BE24</f>
        <v>0</v>
      </c>
      <c r="BF28" s="23">
        <f>BF20+BF25</f>
        <v>0</v>
      </c>
      <c r="BG28" s="23">
        <f>BG20+BG26</f>
        <v>0</v>
      </c>
      <c r="BH28" s="552">
        <f>BH20+BH27</f>
        <v>0</v>
      </c>
      <c r="BI28" s="553">
        <f>SUM(BD28:BH28)</f>
        <v>0</v>
      </c>
      <c r="BJ28" s="22">
        <f>BJ20+BJ23</f>
        <v>0</v>
      </c>
      <c r="BK28" s="23">
        <f>BK20+BK24</f>
        <v>0</v>
      </c>
      <c r="BL28" s="23">
        <f>BL20+BL25</f>
        <v>0</v>
      </c>
      <c r="BM28" s="23">
        <f>BM20+BM26</f>
        <v>0</v>
      </c>
      <c r="BN28" s="23">
        <f>BN20+BN27</f>
        <v>0</v>
      </c>
      <c r="BO28" s="553">
        <f>SUM(BJ28:BN28)</f>
        <v>0</v>
      </c>
      <c r="BP28" s="61" t="s">
        <v>616</v>
      </c>
      <c r="BT28" s="95"/>
      <c r="BU28" s="95"/>
    </row>
    <row r="29" spans="1:112" ht="13.5" thickBot="1">
      <c r="A29" s="1">
        <v>24</v>
      </c>
      <c r="B29" s="43" t="str">
        <f t="shared" si="5"/>
        <v>Milchkühe (5000 kg Milch) - Tiefstallmist</v>
      </c>
      <c r="C29" s="44" t="s">
        <v>617</v>
      </c>
      <c r="D29" s="823"/>
      <c r="E29" s="824"/>
      <c r="F29" s="824"/>
      <c r="G29" s="824"/>
      <c r="H29" s="825">
        <v>61.3</v>
      </c>
      <c r="I29" s="826"/>
      <c r="J29" s="827"/>
      <c r="K29" s="828">
        <v>11.9</v>
      </c>
      <c r="L29" s="826">
        <v>1</v>
      </c>
      <c r="M29" s="828">
        <v>1</v>
      </c>
      <c r="N29" s="826"/>
      <c r="O29" s="827"/>
      <c r="P29" s="827"/>
      <c r="Q29" s="829"/>
      <c r="R29" s="830">
        <v>28.2</v>
      </c>
      <c r="S29" s="831"/>
      <c r="T29" s="829"/>
      <c r="U29" s="829"/>
      <c r="V29" s="829"/>
      <c r="W29" s="830">
        <v>148.9</v>
      </c>
      <c r="X29" s="1173"/>
      <c r="Y29" s="1174"/>
      <c r="Z29" s="1174"/>
      <c r="AA29" s="1175"/>
      <c r="AB29" s="1174"/>
      <c r="AC29" s="1174"/>
      <c r="AD29" s="1174"/>
      <c r="AE29" s="1175"/>
      <c r="AF29" s="826"/>
      <c r="AG29" s="827"/>
      <c r="AH29" s="828">
        <v>55.8</v>
      </c>
      <c r="AI29" s="49" t="s">
        <v>617</v>
      </c>
      <c r="AJ29" s="50">
        <v>85</v>
      </c>
      <c r="AK29" s="51">
        <v>85</v>
      </c>
      <c r="AL29" s="41">
        <f t="shared" si="1"/>
        <v>2</v>
      </c>
      <c r="AM29" s="744"/>
      <c r="AN29" s="88"/>
      <c r="AO29" s="85"/>
      <c r="AP29" s="89" t="s">
        <v>618</v>
      </c>
      <c r="AQ29" t="s">
        <v>619</v>
      </c>
      <c r="AS29"/>
      <c r="AT29"/>
      <c r="AU29"/>
      <c r="AV29"/>
      <c r="AW29"/>
      <c r="AX29" s="599">
        <f>BI49</f>
        <v>0</v>
      </c>
      <c r="AY29"/>
      <c r="AZ29"/>
      <c r="BA29"/>
      <c r="BB29"/>
      <c r="BC29"/>
      <c r="BD29" s="554">
        <f>CH20+CR20</f>
        <v>0</v>
      </c>
      <c r="BE29" s="554">
        <f>CI20+CS20</f>
        <v>0</v>
      </c>
      <c r="BF29" s="554">
        <f>CJ20+CT20</f>
        <v>0</v>
      </c>
      <c r="BG29" s="554">
        <f>CK20+CU20</f>
        <v>0</v>
      </c>
      <c r="BH29" s="554">
        <f>CL20+CV20</f>
        <v>0</v>
      </c>
      <c r="BI29" s="555">
        <f>SUM(BD29:BH29)</f>
        <v>0</v>
      </c>
      <c r="BJ29" s="554">
        <f>CM20+CW20</f>
        <v>0</v>
      </c>
      <c r="BK29" s="554">
        <f>CN20+CX20</f>
        <v>0</v>
      </c>
      <c r="BL29" s="554">
        <f>CO20+CY20</f>
        <v>0</v>
      </c>
      <c r="BM29" s="554">
        <f>CP20+CZ20</f>
        <v>0</v>
      </c>
      <c r="BN29" s="554">
        <f>CQ20+DA20</f>
        <v>0</v>
      </c>
      <c r="BO29" s="555">
        <f>SUM(BJ29:BN29)</f>
        <v>0</v>
      </c>
      <c r="BP29" s="61" t="s">
        <v>620</v>
      </c>
      <c r="BT29" s="95"/>
      <c r="BU29" s="95"/>
    </row>
    <row r="30" spans="1:112" ht="13.5" thickBot="1">
      <c r="A30" s="1">
        <v>25</v>
      </c>
      <c r="B30" s="43" t="str">
        <f t="shared" si="5"/>
        <v>Milchkühe (6000 kg Milch) - Gülle</v>
      </c>
      <c r="C30" s="44" t="s">
        <v>621</v>
      </c>
      <c r="D30" s="823">
        <v>82.8</v>
      </c>
      <c r="E30" s="824"/>
      <c r="F30" s="824"/>
      <c r="G30" s="824"/>
      <c r="H30" s="825"/>
      <c r="I30" s="826">
        <v>11.8</v>
      </c>
      <c r="J30" s="827"/>
      <c r="K30" s="828"/>
      <c r="L30" s="826">
        <v>1</v>
      </c>
      <c r="M30" s="828">
        <v>1</v>
      </c>
      <c r="N30" s="826">
        <v>32.799999999999997</v>
      </c>
      <c r="O30" s="827"/>
      <c r="P30" s="827"/>
      <c r="Q30" s="829"/>
      <c r="R30" s="830"/>
      <c r="S30" s="831">
        <v>163.80000000000001</v>
      </c>
      <c r="T30" s="829"/>
      <c r="U30" s="829"/>
      <c r="V30" s="829"/>
      <c r="W30" s="830"/>
      <c r="X30" s="1173"/>
      <c r="Y30" s="1174"/>
      <c r="Z30" s="1174"/>
      <c r="AA30" s="1175"/>
      <c r="AB30" s="1174"/>
      <c r="AC30" s="1174"/>
      <c r="AD30" s="1174"/>
      <c r="AE30" s="1175"/>
      <c r="AF30" s="826">
        <v>71.3</v>
      </c>
      <c r="AG30" s="827"/>
      <c r="AH30" s="828"/>
      <c r="AI30" s="49" t="s">
        <v>621</v>
      </c>
      <c r="AJ30" s="50">
        <v>85</v>
      </c>
      <c r="AK30" s="51">
        <v>85</v>
      </c>
      <c r="AL30" s="41">
        <f t="shared" si="1"/>
        <v>2</v>
      </c>
      <c r="AM30" s="744"/>
      <c r="AN30" s="88"/>
      <c r="AO30" s="85"/>
      <c r="AP30" s="96" t="s">
        <v>622</v>
      </c>
      <c r="AQ30" t="s">
        <v>623</v>
      </c>
      <c r="AS30"/>
      <c r="AT30"/>
      <c r="AU30"/>
      <c r="AV30"/>
      <c r="AW30"/>
      <c r="AX30" s="599">
        <f>CG20</f>
        <v>0</v>
      </c>
      <c r="AY30"/>
      <c r="AZ30"/>
      <c r="BA30"/>
      <c r="BB30"/>
      <c r="BC30"/>
      <c r="BD30" s="556">
        <f>BD28-BD29</f>
        <v>0</v>
      </c>
      <c r="BE30" s="557">
        <f>BE28-BE29</f>
        <v>0</v>
      </c>
      <c r="BF30" s="557">
        <f>BF28-BF29</f>
        <v>0</v>
      </c>
      <c r="BG30" s="557">
        <f>BG28-BG29</f>
        <v>0</v>
      </c>
      <c r="BH30" s="557">
        <f>BH28-BH29</f>
        <v>0</v>
      </c>
      <c r="BI30" s="553">
        <f>SUM(BD30:BH30)</f>
        <v>0</v>
      </c>
      <c r="BJ30" s="557">
        <f>BJ28-BJ29</f>
        <v>0</v>
      </c>
      <c r="BK30" s="557">
        <f>BK28-BK29</f>
        <v>0</v>
      </c>
      <c r="BL30" s="557">
        <f>BL28-BL29</f>
        <v>0</v>
      </c>
      <c r="BM30" s="557">
        <f>BM28-BM29</f>
        <v>0</v>
      </c>
      <c r="BN30" s="557">
        <f>BN28-BN29</f>
        <v>0</v>
      </c>
      <c r="BO30" s="553">
        <f>SUM(BJ30:BN30)</f>
        <v>0</v>
      </c>
      <c r="BP30" s="61" t="s">
        <v>624</v>
      </c>
      <c r="BT30" s="95"/>
      <c r="BU30" s="95"/>
    </row>
    <row r="31" spans="1:112" ht="15.75" thickBot="1">
      <c r="A31" s="1">
        <v>26</v>
      </c>
      <c r="B31" s="43" t="str">
        <f t="shared" si="5"/>
        <v>Milchkühe (6000 kg Milch) - Mist/Jauche</v>
      </c>
      <c r="C31" s="44" t="s">
        <v>625</v>
      </c>
      <c r="D31" s="823"/>
      <c r="E31" s="824"/>
      <c r="F31" s="824"/>
      <c r="G31" s="824">
        <v>22.5</v>
      </c>
      <c r="H31" s="825">
        <v>45.1</v>
      </c>
      <c r="I31" s="826"/>
      <c r="J31" s="827">
        <v>3.9</v>
      </c>
      <c r="K31" s="828">
        <v>7.6</v>
      </c>
      <c r="L31" s="826">
        <v>1</v>
      </c>
      <c r="M31" s="828">
        <v>1</v>
      </c>
      <c r="N31" s="826"/>
      <c r="O31" s="827"/>
      <c r="P31" s="827"/>
      <c r="Q31" s="829">
        <v>16.399999999999999</v>
      </c>
      <c r="R31" s="830">
        <v>16.399999999999999</v>
      </c>
      <c r="S31" s="831"/>
      <c r="T31" s="829"/>
      <c r="U31" s="829"/>
      <c r="V31" s="829">
        <v>81.900000000000006</v>
      </c>
      <c r="W31" s="830">
        <v>81.900000000000006</v>
      </c>
      <c r="X31" s="1173"/>
      <c r="Y31" s="1174"/>
      <c r="Z31" s="1174"/>
      <c r="AA31" s="1175"/>
      <c r="AB31" s="1174"/>
      <c r="AC31" s="1174"/>
      <c r="AD31" s="1174"/>
      <c r="AE31" s="1175"/>
      <c r="AF31" s="826"/>
      <c r="AG31" s="827">
        <v>19.600000000000001</v>
      </c>
      <c r="AH31" s="828">
        <v>41</v>
      </c>
      <c r="AI31" s="49" t="s">
        <v>625</v>
      </c>
      <c r="AJ31" s="50">
        <v>85</v>
      </c>
      <c r="AK31" s="51">
        <v>85</v>
      </c>
      <c r="AL31" s="41">
        <f t="shared" si="1"/>
        <v>2</v>
      </c>
      <c r="AM31" s="744"/>
      <c r="AN31" s="88"/>
      <c r="AO31" s="97"/>
      <c r="AP31" s="98" t="s">
        <v>626</v>
      </c>
      <c r="AQ31" t="s">
        <v>627</v>
      </c>
      <c r="AS31"/>
      <c r="AT31"/>
      <c r="AU31"/>
      <c r="AV31"/>
      <c r="AW31"/>
      <c r="AX31" s="599">
        <f>AX51+AX52+AX53</f>
        <v>0</v>
      </c>
      <c r="AY31"/>
      <c r="AZ31"/>
      <c r="BA31"/>
      <c r="BB31"/>
      <c r="BC31"/>
      <c r="BD31" s="558"/>
      <c r="BE31" s="559"/>
      <c r="BF31" s="559"/>
      <c r="BG31" s="559"/>
      <c r="BH31" s="560" t="s">
        <v>628</v>
      </c>
      <c r="BI31" s="553">
        <f>BI30-BJ49</f>
        <v>0</v>
      </c>
      <c r="BJ31" s="561"/>
      <c r="BK31" s="562"/>
      <c r="BL31" s="562"/>
      <c r="BM31" s="559"/>
      <c r="BN31" s="560" t="s">
        <v>629</v>
      </c>
      <c r="BO31" s="553">
        <f>BO30-BK49</f>
        <v>0</v>
      </c>
      <c r="BP31" s="61" t="s">
        <v>630</v>
      </c>
      <c r="BT31" s="95"/>
      <c r="BU31" s="95"/>
    </row>
    <row r="32" spans="1:112" ht="15.75" thickBot="1">
      <c r="A32" s="1">
        <v>27</v>
      </c>
      <c r="B32" s="43" t="str">
        <f t="shared" si="5"/>
        <v>Milchkühe (6000 kg Milch) - Tiefstallmist</v>
      </c>
      <c r="C32" s="44" t="s">
        <v>631</v>
      </c>
      <c r="D32" s="823"/>
      <c r="E32" s="824"/>
      <c r="F32" s="824"/>
      <c r="G32" s="824"/>
      <c r="H32" s="825">
        <v>67.599999999999994</v>
      </c>
      <c r="I32" s="826"/>
      <c r="J32" s="827"/>
      <c r="K32" s="828">
        <v>12.1</v>
      </c>
      <c r="L32" s="826">
        <v>1</v>
      </c>
      <c r="M32" s="828">
        <v>1</v>
      </c>
      <c r="N32" s="826"/>
      <c r="O32" s="827"/>
      <c r="P32" s="827"/>
      <c r="Q32" s="829"/>
      <c r="R32" s="830">
        <v>32.799999999999997</v>
      </c>
      <c r="S32" s="831"/>
      <c r="T32" s="829"/>
      <c r="U32" s="829"/>
      <c r="V32" s="829"/>
      <c r="W32" s="830">
        <v>163.80000000000001</v>
      </c>
      <c r="X32" s="1173"/>
      <c r="Y32" s="1174"/>
      <c r="Z32" s="1174"/>
      <c r="AA32" s="1175"/>
      <c r="AB32" s="1174"/>
      <c r="AC32" s="1174"/>
      <c r="AD32" s="1174"/>
      <c r="AE32" s="1175"/>
      <c r="AF32" s="826"/>
      <c r="AG32" s="827"/>
      <c r="AH32" s="828">
        <v>61.5</v>
      </c>
      <c r="AI32" s="49" t="s">
        <v>631</v>
      </c>
      <c r="AJ32" s="50">
        <v>85</v>
      </c>
      <c r="AK32" s="51">
        <v>85</v>
      </c>
      <c r="AL32" s="41">
        <f t="shared" si="1"/>
        <v>2</v>
      </c>
      <c r="AM32" s="744"/>
      <c r="AN32"/>
      <c r="AP32" s="600" t="s">
        <v>632</v>
      </c>
      <c r="AQ32" s="601"/>
      <c r="AR32" s="601"/>
      <c r="AS32" s="601"/>
      <c r="AT32" s="601"/>
      <c r="AU32" s="601"/>
      <c r="AV32" s="601"/>
      <c r="AW32" s="601"/>
      <c r="AX32" s="599">
        <f>AX28-AX29-AX30</f>
        <v>0</v>
      </c>
      <c r="AY32" s="602"/>
      <c r="AZ32" s="602"/>
      <c r="BA32"/>
      <c r="BB32"/>
      <c r="BC32"/>
      <c r="BD32" s="558"/>
      <c r="BE32" s="559"/>
      <c r="BF32" s="559"/>
      <c r="BG32" s="559"/>
      <c r="BH32" s="560" t="s">
        <v>633</v>
      </c>
      <c r="BI32" s="563">
        <f>BI31+CI22</f>
        <v>0</v>
      </c>
      <c r="BJ32" s="88" t="s">
        <v>634</v>
      </c>
      <c r="BK32" s="536"/>
      <c r="BL32" s="31"/>
      <c r="BM32"/>
      <c r="BN32"/>
      <c r="BO32" s="563">
        <f>BO31+CN22</f>
        <v>0</v>
      </c>
      <c r="BT32" s="95"/>
      <c r="BU32" s="95"/>
    </row>
    <row r="33" spans="1:75" ht="15.75" thickBot="1">
      <c r="A33" s="1">
        <v>28</v>
      </c>
      <c r="B33" s="43" t="str">
        <f t="shared" si="5"/>
        <v>Milchkühe (7000 kg Milch) - Gülle</v>
      </c>
      <c r="C33" s="44" t="s">
        <v>635</v>
      </c>
      <c r="D33" s="823">
        <v>89.7</v>
      </c>
      <c r="E33" s="824"/>
      <c r="F33" s="824"/>
      <c r="G33" s="824"/>
      <c r="H33" s="825"/>
      <c r="I33" s="826">
        <v>11.7</v>
      </c>
      <c r="J33" s="827"/>
      <c r="K33" s="828"/>
      <c r="L33" s="826">
        <v>1</v>
      </c>
      <c r="M33" s="828">
        <v>1</v>
      </c>
      <c r="N33" s="826">
        <v>37.4</v>
      </c>
      <c r="O33" s="827"/>
      <c r="P33" s="827"/>
      <c r="Q33" s="829"/>
      <c r="R33" s="830"/>
      <c r="S33" s="831">
        <v>178.7</v>
      </c>
      <c r="T33" s="829"/>
      <c r="U33" s="829"/>
      <c r="V33" s="829"/>
      <c r="W33" s="830"/>
      <c r="X33" s="1173"/>
      <c r="Y33" s="1174"/>
      <c r="Z33" s="1174"/>
      <c r="AA33" s="1175"/>
      <c r="AB33" s="1174"/>
      <c r="AC33" s="1174"/>
      <c r="AD33" s="1174"/>
      <c r="AE33" s="1175"/>
      <c r="AF33" s="826">
        <v>78</v>
      </c>
      <c r="AG33" s="827"/>
      <c r="AH33" s="828"/>
      <c r="AI33" s="49" t="s">
        <v>635</v>
      </c>
      <c r="AJ33" s="50">
        <v>85</v>
      </c>
      <c r="AK33" s="51">
        <v>85</v>
      </c>
      <c r="AL33" s="41">
        <f t="shared" si="1"/>
        <v>2</v>
      </c>
      <c r="AM33" s="744"/>
      <c r="AN33"/>
      <c r="AP33" s="594" t="s">
        <v>636</v>
      </c>
      <c r="AQ33" s="595"/>
      <c r="AR33" s="595"/>
      <c r="AS33" s="595"/>
      <c r="AT33" s="595"/>
      <c r="AU33" s="595"/>
      <c r="AV33" s="595"/>
      <c r="AW33" s="595"/>
      <c r="AX33" s="596">
        <f>AX20+AX31+AX32</f>
        <v>0</v>
      </c>
      <c r="AY33" s="597" t="s">
        <v>637</v>
      </c>
      <c r="AZ33" s="598"/>
      <c r="BA33"/>
      <c r="BB33"/>
      <c r="BC33"/>
      <c r="BD33"/>
      <c r="BE33"/>
      <c r="BF33"/>
      <c r="BG33"/>
      <c r="BH33"/>
      <c r="BI33" s="564">
        <f>Mineral!I28+Q186+BI32</f>
        <v>0</v>
      </c>
      <c r="BJ33" s="84" t="s">
        <v>638</v>
      </c>
      <c r="BK33" s="536"/>
      <c r="BL33" s="31"/>
      <c r="BM33"/>
      <c r="BN33"/>
      <c r="BO33" s="564">
        <f>Mineral!J28+R186+BO32</f>
        <v>0</v>
      </c>
    </row>
    <row r="34" spans="1:75">
      <c r="A34" s="1">
        <v>29</v>
      </c>
      <c r="B34" s="43" t="str">
        <f t="shared" si="5"/>
        <v>Milchkühe (7000 kg Milch) - Mist/Jauche</v>
      </c>
      <c r="C34" s="44" t="s">
        <v>639</v>
      </c>
      <c r="D34" s="823"/>
      <c r="E34" s="824"/>
      <c r="F34" s="824"/>
      <c r="G34" s="824">
        <v>24.6</v>
      </c>
      <c r="H34" s="825">
        <v>49.3</v>
      </c>
      <c r="I34" s="826"/>
      <c r="J34" s="827">
        <v>3.9</v>
      </c>
      <c r="K34" s="828">
        <v>7.5</v>
      </c>
      <c r="L34" s="826">
        <v>1</v>
      </c>
      <c r="M34" s="828">
        <v>1</v>
      </c>
      <c r="N34" s="826"/>
      <c r="O34" s="827"/>
      <c r="P34" s="827"/>
      <c r="Q34" s="829">
        <v>18.7</v>
      </c>
      <c r="R34" s="830">
        <v>18.7</v>
      </c>
      <c r="S34" s="831"/>
      <c r="T34" s="829"/>
      <c r="U34" s="829"/>
      <c r="V34" s="829">
        <v>89.35</v>
      </c>
      <c r="W34" s="830">
        <v>89.35</v>
      </c>
      <c r="X34" s="1173"/>
      <c r="Y34" s="1174"/>
      <c r="Z34" s="1174"/>
      <c r="AA34" s="1175"/>
      <c r="AB34" s="1174"/>
      <c r="AC34" s="1174"/>
      <c r="AD34" s="1174"/>
      <c r="AE34" s="1175"/>
      <c r="AF34" s="826"/>
      <c r="AG34" s="827">
        <v>21.4</v>
      </c>
      <c r="AH34" s="828">
        <v>44.8</v>
      </c>
      <c r="AI34" s="49" t="s">
        <v>639</v>
      </c>
      <c r="AJ34" s="50">
        <v>85</v>
      </c>
      <c r="AK34" s="51">
        <v>85</v>
      </c>
      <c r="AL34" s="41">
        <f t="shared" si="1"/>
        <v>2</v>
      </c>
      <c r="AM34" s="744"/>
      <c r="AN34"/>
      <c r="AS34"/>
      <c r="AT34"/>
      <c r="AU34"/>
      <c r="AV34"/>
      <c r="AW34"/>
      <c r="AX34"/>
      <c r="AY34"/>
      <c r="AZ34"/>
      <c r="BA34"/>
      <c r="BB34"/>
      <c r="BC34"/>
      <c r="BD34"/>
      <c r="BE34"/>
      <c r="BF34"/>
      <c r="BG34"/>
      <c r="BH34"/>
      <c r="BI34"/>
      <c r="BJ34"/>
      <c r="BK34"/>
      <c r="BL34"/>
      <c r="BM34"/>
      <c r="BN34"/>
      <c r="BO34"/>
    </row>
    <row r="35" spans="1:75" ht="13.5" customHeight="1">
      <c r="A35" s="1">
        <v>30</v>
      </c>
      <c r="B35" s="43" t="str">
        <f t="shared" si="5"/>
        <v>Milchkühe (7000 kg Milch) - Tiefstallmist</v>
      </c>
      <c r="C35" s="44" t="s">
        <v>640</v>
      </c>
      <c r="D35" s="823"/>
      <c r="E35" s="824"/>
      <c r="F35" s="824"/>
      <c r="G35" s="824"/>
      <c r="H35" s="825">
        <v>73.900000000000006</v>
      </c>
      <c r="I35" s="826"/>
      <c r="J35" s="827"/>
      <c r="K35" s="828">
        <v>12</v>
      </c>
      <c r="L35" s="826">
        <v>1</v>
      </c>
      <c r="M35" s="828">
        <v>1</v>
      </c>
      <c r="N35" s="826"/>
      <c r="O35" s="827"/>
      <c r="P35" s="827"/>
      <c r="Q35" s="829"/>
      <c r="R35" s="830">
        <v>37.4</v>
      </c>
      <c r="S35" s="831"/>
      <c r="T35" s="829"/>
      <c r="U35" s="829"/>
      <c r="V35" s="829"/>
      <c r="W35" s="830">
        <v>178.7</v>
      </c>
      <c r="X35" s="1173"/>
      <c r="Y35" s="1174"/>
      <c r="Z35" s="1174"/>
      <c r="AA35" s="1175"/>
      <c r="AB35" s="1174"/>
      <c r="AC35" s="1174"/>
      <c r="AD35" s="1174"/>
      <c r="AE35" s="1175"/>
      <c r="AF35" s="826"/>
      <c r="AG35" s="827"/>
      <c r="AH35" s="828">
        <v>67.2</v>
      </c>
      <c r="AI35" s="49" t="s">
        <v>640</v>
      </c>
      <c r="AJ35" s="50">
        <v>85</v>
      </c>
      <c r="AK35" s="51">
        <v>85</v>
      </c>
      <c r="AL35" s="41">
        <f t="shared" si="1"/>
        <v>2</v>
      </c>
      <c r="AM35" s="744"/>
      <c r="AN35"/>
      <c r="AP35" s="610" t="s">
        <v>641</v>
      </c>
      <c r="AQ35" s="610"/>
      <c r="AR35" s="610"/>
      <c r="AS35" s="611">
        <f>BV20+CB20</f>
        <v>0</v>
      </c>
      <c r="AT35" s="611">
        <f>BW20+CC20</f>
        <v>0</v>
      </c>
      <c r="AU35" s="611">
        <f>BX20+CD20</f>
        <v>0</v>
      </c>
      <c r="AV35" s="611">
        <f>BY20+CE20</f>
        <v>0</v>
      </c>
      <c r="AW35" s="611">
        <f>BZ20+CF20</f>
        <v>0</v>
      </c>
      <c r="AX35" s="612">
        <f>SUM(AS35:AW35)</f>
        <v>0</v>
      </c>
      <c r="AY35" s="2728" t="s">
        <v>642</v>
      </c>
      <c r="AZ35" s="2728"/>
      <c r="BA35" s="2728"/>
      <c r="BB35"/>
      <c r="BC35"/>
      <c r="BD35"/>
      <c r="BE35"/>
      <c r="BF35"/>
      <c r="BG35"/>
      <c r="BH35"/>
      <c r="BI35"/>
      <c r="BJ35"/>
      <c r="BK35"/>
      <c r="BL35"/>
      <c r="BM35"/>
      <c r="BN35"/>
      <c r="BO35"/>
    </row>
    <row r="36" spans="1:75" ht="14.25">
      <c r="A36" s="1">
        <v>31</v>
      </c>
      <c r="B36" s="43" t="str">
        <f t="shared" si="5"/>
        <v>Milchkühe (8000 kg Milch) - Gülle</v>
      </c>
      <c r="C36" s="44" t="s">
        <v>643</v>
      </c>
      <c r="D36" s="823">
        <v>97.3</v>
      </c>
      <c r="E36" s="824"/>
      <c r="F36" s="824"/>
      <c r="G36" s="824"/>
      <c r="H36" s="825"/>
      <c r="I36" s="826">
        <v>12</v>
      </c>
      <c r="J36" s="827"/>
      <c r="K36" s="828"/>
      <c r="L36" s="826">
        <v>1</v>
      </c>
      <c r="M36" s="828">
        <v>1</v>
      </c>
      <c r="N36" s="826">
        <v>41.9</v>
      </c>
      <c r="O36" s="827"/>
      <c r="P36" s="827"/>
      <c r="Q36" s="829"/>
      <c r="R36" s="830"/>
      <c r="S36" s="831">
        <v>193.6</v>
      </c>
      <c r="T36" s="829"/>
      <c r="U36" s="829"/>
      <c r="V36" s="829"/>
      <c r="W36" s="830"/>
      <c r="X36" s="1173"/>
      <c r="Y36" s="1174"/>
      <c r="Z36" s="1174"/>
      <c r="AA36" s="1175"/>
      <c r="AB36" s="1174"/>
      <c r="AC36" s="1174"/>
      <c r="AD36" s="1174"/>
      <c r="AE36" s="1175"/>
      <c r="AF36" s="826">
        <v>84.7</v>
      </c>
      <c r="AG36" s="827"/>
      <c r="AH36" s="828"/>
      <c r="AI36" s="49" t="s">
        <v>643</v>
      </c>
      <c r="AJ36" s="50">
        <v>85</v>
      </c>
      <c r="AK36" s="51">
        <v>85</v>
      </c>
      <c r="AL36" s="41">
        <f t="shared" si="1"/>
        <v>2</v>
      </c>
      <c r="AM36" s="744"/>
      <c r="AN36"/>
      <c r="AP36" s="610" t="s">
        <v>644</v>
      </c>
      <c r="AQ36" s="610"/>
      <c r="AR36" s="610"/>
      <c r="AS36" s="612">
        <f>AS20+AS28-AS35</f>
        <v>0</v>
      </c>
      <c r="AT36" s="612">
        <f>AT20+AT28-AT35</f>
        <v>0</v>
      </c>
      <c r="AU36" s="612">
        <f>AU20+AU28-AU35</f>
        <v>0</v>
      </c>
      <c r="AV36" s="612">
        <f>AV20+AV28-AV35</f>
        <v>0</v>
      </c>
      <c r="AW36" s="612">
        <f>AW20+AW28-AW35</f>
        <v>0</v>
      </c>
      <c r="AX36" s="613">
        <f>SUM(AS36:AW36)</f>
        <v>0</v>
      </c>
      <c r="AY36" s="2728"/>
      <c r="AZ36" s="2728"/>
      <c r="BA36" s="2728"/>
      <c r="BB36"/>
      <c r="BC36"/>
      <c r="BD36"/>
      <c r="BE36"/>
      <c r="BF36"/>
      <c r="BG36"/>
      <c r="BH36"/>
      <c r="BI36"/>
      <c r="BJ36"/>
      <c r="BK36"/>
      <c r="BL36"/>
      <c r="BM36"/>
      <c r="BN36"/>
      <c r="BO36"/>
    </row>
    <row r="37" spans="1:75" ht="15">
      <c r="A37" s="1">
        <v>32</v>
      </c>
      <c r="B37" s="43" t="str">
        <f t="shared" si="5"/>
        <v>Milchkühe (8000 kg Milch) - Mist/Jauche</v>
      </c>
      <c r="C37" s="44" t="s">
        <v>645</v>
      </c>
      <c r="D37" s="823"/>
      <c r="E37" s="824"/>
      <c r="F37" s="824"/>
      <c r="G37" s="824">
        <v>26.7</v>
      </c>
      <c r="H37" s="825">
        <v>53.5</v>
      </c>
      <c r="I37" s="826"/>
      <c r="J37" s="827">
        <v>4</v>
      </c>
      <c r="K37" s="828">
        <v>7.6</v>
      </c>
      <c r="L37" s="826">
        <v>1</v>
      </c>
      <c r="M37" s="828">
        <v>1</v>
      </c>
      <c r="N37" s="826"/>
      <c r="O37" s="827"/>
      <c r="P37" s="827"/>
      <c r="Q37" s="829">
        <v>20.95</v>
      </c>
      <c r="R37" s="830">
        <v>20.95</v>
      </c>
      <c r="S37" s="831"/>
      <c r="T37" s="829"/>
      <c r="U37" s="829"/>
      <c r="V37" s="829">
        <v>96.8</v>
      </c>
      <c r="W37" s="830">
        <v>96.8</v>
      </c>
      <c r="X37" s="1173"/>
      <c r="Y37" s="1174"/>
      <c r="Z37" s="1174"/>
      <c r="AA37" s="1175"/>
      <c r="AB37" s="1174"/>
      <c r="AC37" s="1174"/>
      <c r="AD37" s="1174"/>
      <c r="AE37" s="1175"/>
      <c r="AF37" s="826"/>
      <c r="AG37" s="827">
        <v>23.2</v>
      </c>
      <c r="AH37" s="828">
        <v>48.6</v>
      </c>
      <c r="AI37" s="49" t="s">
        <v>645</v>
      </c>
      <c r="AJ37" s="50">
        <v>85</v>
      </c>
      <c r="AK37" s="51">
        <v>85</v>
      </c>
      <c r="AL37" s="41">
        <f t="shared" si="1"/>
        <v>2</v>
      </c>
      <c r="AM37" s="744"/>
      <c r="AN37"/>
      <c r="AP37" s="614"/>
      <c r="AQ37" s="615"/>
      <c r="AR37" s="615"/>
      <c r="AS37" s="598"/>
      <c r="AT37" s="598"/>
      <c r="AU37" s="598"/>
      <c r="AV37" s="598"/>
      <c r="AW37" s="598"/>
      <c r="AX37" s="616"/>
      <c r="AY37" s="2728"/>
      <c r="AZ37" s="2728"/>
      <c r="BA37" s="2728"/>
      <c r="BB37"/>
      <c r="BC37"/>
      <c r="BD37"/>
      <c r="BE37"/>
      <c r="BF37"/>
      <c r="BG37"/>
      <c r="BH37"/>
      <c r="BI37"/>
      <c r="BJ37"/>
      <c r="BK37"/>
      <c r="BL37"/>
      <c r="BM37"/>
      <c r="BN37"/>
      <c r="BO37"/>
    </row>
    <row r="38" spans="1:75">
      <c r="A38" s="1">
        <v>33</v>
      </c>
      <c r="B38" s="43" t="str">
        <f t="shared" si="5"/>
        <v>Milchkühe (8000 kg Milch) - Tiefstallmist</v>
      </c>
      <c r="C38" s="44" t="s">
        <v>646</v>
      </c>
      <c r="D38" s="823"/>
      <c r="E38" s="824"/>
      <c r="F38" s="824"/>
      <c r="G38" s="824"/>
      <c r="H38" s="825">
        <v>80.2</v>
      </c>
      <c r="I38" s="826"/>
      <c r="J38" s="827"/>
      <c r="K38" s="828">
        <v>12.3</v>
      </c>
      <c r="L38" s="826">
        <v>1</v>
      </c>
      <c r="M38" s="828">
        <v>1</v>
      </c>
      <c r="N38" s="826"/>
      <c r="O38" s="827"/>
      <c r="P38" s="827"/>
      <c r="Q38" s="829"/>
      <c r="R38" s="830">
        <v>41.9</v>
      </c>
      <c r="S38" s="831"/>
      <c r="T38" s="829"/>
      <c r="U38" s="829"/>
      <c r="V38" s="829"/>
      <c r="W38" s="830">
        <v>193.6</v>
      </c>
      <c r="X38" s="1173"/>
      <c r="Y38" s="1174"/>
      <c r="Z38" s="1174"/>
      <c r="AA38" s="1175"/>
      <c r="AB38" s="1174"/>
      <c r="AC38" s="1174"/>
      <c r="AD38" s="1174"/>
      <c r="AE38" s="1175"/>
      <c r="AF38" s="826"/>
      <c r="AG38" s="827"/>
      <c r="AH38" s="828">
        <v>73</v>
      </c>
      <c r="AI38" s="49" t="s">
        <v>646</v>
      </c>
      <c r="AJ38" s="50">
        <v>85</v>
      </c>
      <c r="AK38" s="51">
        <v>85</v>
      </c>
      <c r="AL38" s="41">
        <f t="shared" si="1"/>
        <v>2</v>
      </c>
      <c r="AM38" s="744"/>
      <c r="AN38"/>
      <c r="AS38"/>
      <c r="AT38"/>
      <c r="AU38"/>
      <c r="AV38"/>
      <c r="AW38"/>
      <c r="AX38"/>
      <c r="AY38"/>
      <c r="AZ38"/>
      <c r="BA38"/>
      <c r="BB38"/>
      <c r="BC38"/>
      <c r="BD38"/>
      <c r="BE38"/>
      <c r="BF38"/>
      <c r="BG38"/>
      <c r="BH38"/>
      <c r="BI38"/>
      <c r="BJ38"/>
      <c r="BK38"/>
      <c r="BL38"/>
      <c r="BM38"/>
      <c r="BN38"/>
      <c r="BO38"/>
    </row>
    <row r="39" spans="1:75" ht="15">
      <c r="A39" s="1">
        <v>34</v>
      </c>
      <c r="B39" s="43" t="str">
        <f t="shared" si="5"/>
        <v>Milchkühe (9000 kg Milch) - Gülle</v>
      </c>
      <c r="C39" s="44" t="s">
        <v>647</v>
      </c>
      <c r="D39" s="823">
        <v>105</v>
      </c>
      <c r="E39" s="824"/>
      <c r="F39" s="824"/>
      <c r="G39" s="824"/>
      <c r="H39" s="825"/>
      <c r="I39" s="826">
        <v>12.3</v>
      </c>
      <c r="J39" s="827"/>
      <c r="K39" s="828"/>
      <c r="L39" s="826">
        <v>1</v>
      </c>
      <c r="M39" s="828">
        <v>1</v>
      </c>
      <c r="N39" s="826">
        <v>46.5</v>
      </c>
      <c r="O39" s="827"/>
      <c r="P39" s="827"/>
      <c r="Q39" s="829"/>
      <c r="R39" s="830"/>
      <c r="S39" s="831">
        <v>208.5</v>
      </c>
      <c r="T39" s="829"/>
      <c r="U39" s="829"/>
      <c r="V39" s="829"/>
      <c r="W39" s="830"/>
      <c r="X39" s="1173"/>
      <c r="Y39" s="1174"/>
      <c r="Z39" s="1174"/>
      <c r="AA39" s="1175"/>
      <c r="AB39" s="1174"/>
      <c r="AC39" s="1174"/>
      <c r="AD39" s="1174"/>
      <c r="AE39" s="1175"/>
      <c r="AF39" s="826">
        <v>91.4</v>
      </c>
      <c r="AG39" s="827"/>
      <c r="AH39" s="828"/>
      <c r="AI39" s="49" t="s">
        <v>647</v>
      </c>
      <c r="AJ39" s="50">
        <v>85</v>
      </c>
      <c r="AK39" s="51">
        <v>85</v>
      </c>
      <c r="AL39" s="41">
        <f t="shared" si="1"/>
        <v>2</v>
      </c>
      <c r="AM39" s="744"/>
      <c r="AN39"/>
      <c r="AP39" s="101" t="s">
        <v>648</v>
      </c>
      <c r="AS39"/>
      <c r="AT39"/>
      <c r="AU39"/>
      <c r="AV39"/>
      <c r="AW39"/>
      <c r="AX39"/>
      <c r="AY39"/>
      <c r="AZ39"/>
      <c r="BA39"/>
      <c r="BB39"/>
      <c r="BC39"/>
      <c r="BD39"/>
      <c r="BE39"/>
      <c r="BF39"/>
      <c r="BG39"/>
      <c r="BH39"/>
      <c r="BI39"/>
      <c r="BJ39"/>
      <c r="BK39"/>
      <c r="BL39"/>
      <c r="BM39"/>
      <c r="BN39"/>
      <c r="BO39"/>
    </row>
    <row r="40" spans="1:75">
      <c r="A40" s="1">
        <v>35</v>
      </c>
      <c r="B40" s="43" t="str">
        <f t="shared" si="5"/>
        <v>Milchkühe (9000 kg Milch) - Mist/Jauche</v>
      </c>
      <c r="C40" s="44" t="s">
        <v>649</v>
      </c>
      <c r="D40" s="823"/>
      <c r="E40" s="824"/>
      <c r="F40" s="824"/>
      <c r="G40" s="824">
        <v>28.8</v>
      </c>
      <c r="H40" s="825">
        <v>57.7</v>
      </c>
      <c r="I40" s="826"/>
      <c r="J40" s="827">
        <v>4.0999999999999996</v>
      </c>
      <c r="K40" s="828">
        <v>7.9</v>
      </c>
      <c r="L40" s="826">
        <v>1</v>
      </c>
      <c r="M40" s="828">
        <v>1</v>
      </c>
      <c r="N40" s="826"/>
      <c r="O40" s="827"/>
      <c r="P40" s="827"/>
      <c r="Q40" s="829">
        <v>23.25</v>
      </c>
      <c r="R40" s="830">
        <v>23.25</v>
      </c>
      <c r="S40" s="831"/>
      <c r="T40" s="829"/>
      <c r="U40" s="829"/>
      <c r="V40" s="829">
        <v>104.25</v>
      </c>
      <c r="W40" s="830">
        <v>104.25</v>
      </c>
      <c r="X40" s="1173"/>
      <c r="Y40" s="1174"/>
      <c r="Z40" s="1174"/>
      <c r="AA40" s="1175"/>
      <c r="AB40" s="1174"/>
      <c r="AC40" s="1174"/>
      <c r="AD40" s="1174"/>
      <c r="AE40" s="1175"/>
      <c r="AF40" s="826"/>
      <c r="AG40" s="827">
        <v>25.1</v>
      </c>
      <c r="AH40" s="828">
        <v>52.4</v>
      </c>
      <c r="AI40" s="49" t="s">
        <v>649</v>
      </c>
      <c r="AJ40" s="50">
        <v>85</v>
      </c>
      <c r="AK40" s="51">
        <v>85</v>
      </c>
      <c r="AL40" s="41">
        <f t="shared" si="1"/>
        <v>2</v>
      </c>
      <c r="AM40" s="744"/>
      <c r="AN40" s="102"/>
      <c r="AQ40" s="103" t="s">
        <v>650</v>
      </c>
      <c r="AR40" s="103" t="s">
        <v>651</v>
      </c>
      <c r="AS40" s="90" t="s">
        <v>652</v>
      </c>
      <c r="AT40" s="90" t="s">
        <v>653</v>
      </c>
      <c r="AU40" s="90" t="s">
        <v>460</v>
      </c>
      <c r="AV40" s="90" t="s">
        <v>654</v>
      </c>
      <c r="AW40" s="90" t="s">
        <v>655</v>
      </c>
      <c r="AX40" s="90" t="s">
        <v>656</v>
      </c>
      <c r="AY40"/>
      <c r="AZ40"/>
      <c r="BA40"/>
      <c r="BB40"/>
      <c r="BC40"/>
      <c r="BD40"/>
      <c r="BE40"/>
      <c r="BF40"/>
      <c r="BG40"/>
      <c r="BH40"/>
      <c r="BI40"/>
      <c r="BJ40"/>
      <c r="BK40"/>
      <c r="BL40"/>
      <c r="BM40"/>
      <c r="BN40"/>
      <c r="BO40"/>
    </row>
    <row r="41" spans="1:75" ht="15.75">
      <c r="A41" s="1">
        <v>36</v>
      </c>
      <c r="B41" s="43" t="str">
        <f t="shared" si="5"/>
        <v>Milchkühe (9000 kg Milch) - Tiefstallmist</v>
      </c>
      <c r="C41" s="44" t="s">
        <v>657</v>
      </c>
      <c r="D41" s="823"/>
      <c r="E41" s="824"/>
      <c r="F41" s="824"/>
      <c r="G41" s="824"/>
      <c r="H41" s="825">
        <v>86.5</v>
      </c>
      <c r="I41" s="826"/>
      <c r="J41" s="827"/>
      <c r="K41" s="828">
        <v>12.6</v>
      </c>
      <c r="L41" s="826">
        <v>1</v>
      </c>
      <c r="M41" s="828">
        <v>1</v>
      </c>
      <c r="N41" s="826"/>
      <c r="O41" s="827"/>
      <c r="P41" s="827"/>
      <c r="Q41" s="829"/>
      <c r="R41" s="830">
        <v>46.5</v>
      </c>
      <c r="S41" s="831"/>
      <c r="T41" s="829"/>
      <c r="U41" s="829"/>
      <c r="V41" s="829"/>
      <c r="W41" s="830">
        <v>208.5</v>
      </c>
      <c r="X41" s="1173"/>
      <c r="Y41" s="1174"/>
      <c r="Z41" s="1174"/>
      <c r="AA41" s="1175"/>
      <c r="AB41" s="1174"/>
      <c r="AC41" s="1174"/>
      <c r="AD41" s="1174"/>
      <c r="AE41" s="1175"/>
      <c r="AF41" s="826"/>
      <c r="AG41" s="827"/>
      <c r="AH41" s="828">
        <v>78.7</v>
      </c>
      <c r="AI41" s="49" t="s">
        <v>657</v>
      </c>
      <c r="AJ41" s="50">
        <v>85</v>
      </c>
      <c r="AK41" s="51">
        <v>85</v>
      </c>
      <c r="AL41" s="41">
        <f t="shared" si="1"/>
        <v>2</v>
      </c>
      <c r="AM41" s="744"/>
      <c r="AP41" t="s">
        <v>658</v>
      </c>
      <c r="AQ41" s="104">
        <f>Organ__Dü!C25</f>
        <v>0</v>
      </c>
      <c r="AR41" s="104">
        <f>Organ__Dü!D25</f>
        <v>0</v>
      </c>
      <c r="AS41" s="104">
        <f>Organ__Dü!E25</f>
        <v>0</v>
      </c>
      <c r="AT41" s="104">
        <f>Organ__Dü!F25</f>
        <v>0</v>
      </c>
      <c r="AU41" s="104">
        <f>Organ__Dü!G25</f>
        <v>0</v>
      </c>
      <c r="AV41" s="104">
        <f>Organ__Dü!H25</f>
        <v>0</v>
      </c>
      <c r="AW41" s="104">
        <f>Organ__Dü!I25</f>
        <v>0</v>
      </c>
      <c r="AX41" s="104">
        <f>Organ__Dü!J25</f>
        <v>0</v>
      </c>
      <c r="AY41"/>
      <c r="AZ41"/>
      <c r="BA41"/>
      <c r="BB41"/>
      <c r="BC41"/>
      <c r="BD41" s="537" t="s">
        <v>659</v>
      </c>
      <c r="BE41"/>
      <c r="BF41"/>
      <c r="BG41"/>
      <c r="BH41"/>
      <c r="BI41" s="88" t="s">
        <v>660</v>
      </c>
      <c r="BJ41" s="538"/>
      <c r="BK41" s="57"/>
      <c r="BL41" s="539"/>
      <c r="BM41" s="539"/>
      <c r="BN41" s="540" t="s">
        <v>661</v>
      </c>
      <c r="BO41" s="541"/>
    </row>
    <row r="42" spans="1:75" ht="15.75">
      <c r="A42" s="1">
        <v>37</v>
      </c>
      <c r="B42" s="43" t="str">
        <f t="shared" si="5"/>
        <v>Milchkühe (&gt; 10.000 kg Milch) - Gülle</v>
      </c>
      <c r="C42" s="44" t="s">
        <v>662</v>
      </c>
      <c r="D42" s="823">
        <v>112.6</v>
      </c>
      <c r="E42" s="824"/>
      <c r="F42" s="824"/>
      <c r="G42" s="824"/>
      <c r="H42" s="825"/>
      <c r="I42" s="826">
        <v>12.7</v>
      </c>
      <c r="J42" s="827"/>
      <c r="K42" s="828"/>
      <c r="L42" s="826">
        <v>1</v>
      </c>
      <c r="M42" s="828">
        <v>1</v>
      </c>
      <c r="N42" s="826">
        <v>51.1</v>
      </c>
      <c r="O42" s="827"/>
      <c r="P42" s="827"/>
      <c r="Q42" s="829"/>
      <c r="R42" s="830"/>
      <c r="S42" s="831">
        <v>223.4</v>
      </c>
      <c r="T42" s="829"/>
      <c r="U42" s="829"/>
      <c r="V42" s="829"/>
      <c r="W42" s="830"/>
      <c r="X42" s="1173"/>
      <c r="Y42" s="1174"/>
      <c r="Z42" s="1174"/>
      <c r="AA42" s="1175"/>
      <c r="AB42" s="1174"/>
      <c r="AC42" s="1174"/>
      <c r="AD42" s="1174"/>
      <c r="AE42" s="1175"/>
      <c r="AF42" s="826">
        <v>98</v>
      </c>
      <c r="AG42" s="827"/>
      <c r="AH42" s="828"/>
      <c r="AI42" s="49" t="s">
        <v>662</v>
      </c>
      <c r="AJ42" s="50">
        <v>85</v>
      </c>
      <c r="AK42" s="51">
        <v>85</v>
      </c>
      <c r="AL42" s="41">
        <f t="shared" si="1"/>
        <v>2</v>
      </c>
      <c r="AM42" s="744"/>
      <c r="AP42" t="s">
        <v>663</v>
      </c>
      <c r="AQ42" s="104">
        <f>Organ__Dü!C26</f>
        <v>0</v>
      </c>
      <c r="AR42" s="104">
        <f>Organ__Dü!D26</f>
        <v>0</v>
      </c>
      <c r="AS42" s="104">
        <f>Organ__Dü!E26</f>
        <v>0</v>
      </c>
      <c r="AT42" s="104">
        <f>Organ__Dü!F26</f>
        <v>0</v>
      </c>
      <c r="AU42" s="104">
        <f>Organ__Dü!G26</f>
        <v>0</v>
      </c>
      <c r="AV42" s="104">
        <f>Organ__Dü!H26</f>
        <v>0</v>
      </c>
      <c r="AW42" s="104">
        <f>Organ__Dü!I26</f>
        <v>0</v>
      </c>
      <c r="AX42" s="104">
        <f>Organ__Dü!J26</f>
        <v>0</v>
      </c>
      <c r="AY42"/>
      <c r="AZ42"/>
      <c r="BA42"/>
      <c r="BB42"/>
      <c r="BC42"/>
      <c r="BD42" s="542" t="s">
        <v>664</v>
      </c>
      <c r="BE42" s="543" t="s">
        <v>665</v>
      </c>
      <c r="BF42" s="4" t="s">
        <v>637</v>
      </c>
      <c r="BG42" s="536" t="s">
        <v>666</v>
      </c>
      <c r="BH42" s="82" t="s">
        <v>667</v>
      </c>
      <c r="BI42" s="4" t="s">
        <v>668</v>
      </c>
      <c r="BJ42" s="4" t="s">
        <v>612</v>
      </c>
      <c r="BK42" s="4" t="s">
        <v>613</v>
      </c>
      <c r="BL42" s="4" t="s">
        <v>669</v>
      </c>
      <c r="BM42" s="4" t="s">
        <v>670</v>
      </c>
      <c r="BN42" s="14" t="s">
        <v>671</v>
      </c>
      <c r="BO42" s="14" t="s">
        <v>670</v>
      </c>
    </row>
    <row r="43" spans="1:75" ht="15.75" thickBot="1">
      <c r="A43" s="1">
        <v>38</v>
      </c>
      <c r="B43" s="43" t="str">
        <f t="shared" si="5"/>
        <v>Milchkühe (&gt; 10.000 kg Milch) - Mist/Jauche</v>
      </c>
      <c r="C43" s="44" t="s">
        <v>672</v>
      </c>
      <c r="D43" s="823"/>
      <c r="E43" s="824"/>
      <c r="F43" s="824"/>
      <c r="G43" s="824">
        <v>30.9</v>
      </c>
      <c r="H43" s="825">
        <v>61.9</v>
      </c>
      <c r="I43" s="826"/>
      <c r="J43" s="827">
        <v>4.2</v>
      </c>
      <c r="K43" s="828">
        <v>8.1</v>
      </c>
      <c r="L43" s="826">
        <v>1</v>
      </c>
      <c r="M43" s="828">
        <v>1</v>
      </c>
      <c r="N43" s="826"/>
      <c r="O43" s="827"/>
      <c r="P43" s="827"/>
      <c r="Q43" s="829">
        <v>25.55</v>
      </c>
      <c r="R43" s="830">
        <v>25.55</v>
      </c>
      <c r="S43" s="831"/>
      <c r="T43" s="829"/>
      <c r="U43" s="829"/>
      <c r="V43" s="829">
        <v>111.69999999999999</v>
      </c>
      <c r="W43" s="830">
        <v>111.69999999999999</v>
      </c>
      <c r="X43" s="1176"/>
      <c r="Y43" s="1177"/>
      <c r="Z43" s="1177"/>
      <c r="AA43" s="1178"/>
      <c r="AB43" s="1177"/>
      <c r="AC43" s="1177"/>
      <c r="AD43" s="1177"/>
      <c r="AE43" s="1178"/>
      <c r="AF43" s="826"/>
      <c r="AG43" s="827">
        <v>26.9</v>
      </c>
      <c r="AH43" s="828">
        <v>56.2</v>
      </c>
      <c r="AI43" s="49" t="s">
        <v>672</v>
      </c>
      <c r="AJ43" s="50">
        <v>85</v>
      </c>
      <c r="AK43" s="51">
        <v>85</v>
      </c>
      <c r="AL43" s="41">
        <f t="shared" si="1"/>
        <v>2</v>
      </c>
      <c r="AM43" s="744"/>
      <c r="AP43" t="s">
        <v>673</v>
      </c>
      <c r="AQ43" s="104">
        <f>Organ__Dü!C27</f>
        <v>0</v>
      </c>
      <c r="AR43" s="104">
        <f>Organ__Dü!D27</f>
        <v>0</v>
      </c>
      <c r="AS43" s="104">
        <f>Organ__Dü!E27</f>
        <v>0</v>
      </c>
      <c r="AT43" s="104">
        <f>Organ__Dü!F27</f>
        <v>0</v>
      </c>
      <c r="AU43" s="104">
        <f>Organ__Dü!G27</f>
        <v>0</v>
      </c>
      <c r="AV43" s="104">
        <f>Organ__Dü!H27</f>
        <v>0</v>
      </c>
      <c r="AW43" s="104">
        <f>Organ__Dü!I27</f>
        <v>0</v>
      </c>
      <c r="AX43" s="104">
        <f>Organ__Dü!J27</f>
        <v>0</v>
      </c>
      <c r="AY43"/>
      <c r="AZ43"/>
      <c r="BA43"/>
      <c r="BB43"/>
      <c r="BC43"/>
      <c r="BD43" s="544" t="s">
        <v>674</v>
      </c>
      <c r="BE43" s="545">
        <f>Hofdung!G13</f>
        <v>0</v>
      </c>
      <c r="BF43" s="546">
        <f>Hofdung!H13</f>
        <v>0</v>
      </c>
      <c r="BG43" s="546">
        <f>Hofdung!K13</f>
        <v>0</v>
      </c>
      <c r="BH43" s="547">
        <f>Hofdung!L13</f>
        <v>0</v>
      </c>
      <c r="BI43" s="27">
        <f t="shared" ref="BI43:BI48" si="9">$BE43*BF43</f>
        <v>0</v>
      </c>
      <c r="BJ43" s="27">
        <f t="shared" ref="BJ43:BJ48" si="10">$BE43*BG43</f>
        <v>0</v>
      </c>
      <c r="BK43" s="27">
        <f t="shared" ref="BK43:BK48" si="11">$BE43*BH43</f>
        <v>0</v>
      </c>
      <c r="BL43" s="546">
        <f>Hofdung!I13</f>
        <v>0</v>
      </c>
      <c r="BM43" s="546">
        <f>Hofdung!J13</f>
        <v>0</v>
      </c>
      <c r="BN43" s="27">
        <f t="shared" ref="BN43:BN48" si="12">$BE43*BL43</f>
        <v>0</v>
      </c>
      <c r="BO43" s="27">
        <f t="shared" ref="BO43:BO48" si="13">$BE43*BM43</f>
        <v>0</v>
      </c>
      <c r="BW43" s="813"/>
    </row>
    <row r="44" spans="1:75" ht="15.75" thickBot="1">
      <c r="A44" s="1">
        <v>39</v>
      </c>
      <c r="B44" s="43" t="str">
        <f t="shared" si="5"/>
        <v>Milchkühe (&gt; 10.000 kg Milch) - Tiefstallmist</v>
      </c>
      <c r="C44" s="44" t="s">
        <v>675</v>
      </c>
      <c r="D44" s="823"/>
      <c r="E44" s="824"/>
      <c r="F44" s="824"/>
      <c r="G44" s="824"/>
      <c r="H44" s="825">
        <v>92.8</v>
      </c>
      <c r="I44" s="826"/>
      <c r="J44" s="827"/>
      <c r="K44" s="828">
        <v>13</v>
      </c>
      <c r="L44" s="826">
        <v>1</v>
      </c>
      <c r="M44" s="828">
        <v>1</v>
      </c>
      <c r="N44" s="826"/>
      <c r="O44" s="827"/>
      <c r="P44" s="827"/>
      <c r="Q44" s="829"/>
      <c r="R44" s="830">
        <v>51.1</v>
      </c>
      <c r="S44" s="831"/>
      <c r="T44" s="829"/>
      <c r="U44" s="829"/>
      <c r="V44" s="829"/>
      <c r="W44" s="830">
        <v>223.4</v>
      </c>
      <c r="X44" s="835" t="s">
        <v>676</v>
      </c>
      <c r="Y44" s="836"/>
      <c r="Z44" s="836"/>
      <c r="AA44" s="836"/>
      <c r="AB44" s="836" t="s">
        <v>677</v>
      </c>
      <c r="AC44" s="836"/>
      <c r="AD44" s="836"/>
      <c r="AE44" s="837"/>
      <c r="AF44" s="826"/>
      <c r="AG44" s="827"/>
      <c r="AH44" s="828">
        <v>84.4</v>
      </c>
      <c r="AI44" s="49" t="s">
        <v>675</v>
      </c>
      <c r="AJ44" s="50">
        <v>85</v>
      </c>
      <c r="AK44" s="51">
        <v>85</v>
      </c>
      <c r="AL44" s="41">
        <f t="shared" si="1"/>
        <v>2</v>
      </c>
      <c r="AM44" s="744"/>
      <c r="AS44"/>
      <c r="AT44"/>
      <c r="AU44"/>
      <c r="AV44"/>
      <c r="AW44"/>
      <c r="AX44"/>
      <c r="AY44"/>
      <c r="AZ44"/>
      <c r="BA44"/>
      <c r="BB44"/>
      <c r="BC44"/>
      <c r="BD44" s="544" t="s">
        <v>678</v>
      </c>
      <c r="BE44" s="545">
        <f>Hofdung!G14</f>
        <v>0</v>
      </c>
      <c r="BF44" s="546">
        <f>Hofdung!H14</f>
        <v>0</v>
      </c>
      <c r="BG44" s="546">
        <f>Hofdung!K14</f>
        <v>0</v>
      </c>
      <c r="BH44" s="547">
        <f>Hofdung!L14</f>
        <v>0</v>
      </c>
      <c r="BI44" s="27">
        <f t="shared" si="9"/>
        <v>0</v>
      </c>
      <c r="BJ44" s="27">
        <f t="shared" si="10"/>
        <v>0</v>
      </c>
      <c r="BK44" s="27">
        <f t="shared" si="11"/>
        <v>0</v>
      </c>
      <c r="BL44" s="546">
        <f>Hofdung!I14</f>
        <v>0</v>
      </c>
      <c r="BM44" s="546">
        <f>Hofdung!J14</f>
        <v>0</v>
      </c>
      <c r="BN44" s="27">
        <f t="shared" si="12"/>
        <v>0</v>
      </c>
      <c r="BO44" s="27">
        <f t="shared" si="13"/>
        <v>0</v>
      </c>
    </row>
    <row r="45" spans="1:75" ht="15.75" thickBot="1">
      <c r="B45" s="107" t="s">
        <v>679</v>
      </c>
      <c r="C45" s="9" t="s">
        <v>679</v>
      </c>
      <c r="D45" s="838"/>
      <c r="E45" s="839"/>
      <c r="F45" s="839"/>
      <c r="G45" s="839"/>
      <c r="H45" s="840"/>
      <c r="I45" s="841"/>
      <c r="J45" s="842"/>
      <c r="K45" s="843"/>
      <c r="L45" s="841"/>
      <c r="M45" s="843">
        <v>1</v>
      </c>
      <c r="N45" s="1237" t="str">
        <f>Tiere!G4</f>
        <v>NEIN</v>
      </c>
      <c r="O45" s="1234"/>
      <c r="P45" s="842"/>
      <c r="Q45" s="842"/>
      <c r="R45" s="843"/>
      <c r="S45" s="841"/>
      <c r="T45" s="842"/>
      <c r="U45" s="842"/>
      <c r="V45" s="842"/>
      <c r="W45" s="843"/>
      <c r="X45" s="841" t="s">
        <v>457</v>
      </c>
      <c r="Y45" s="842" t="s">
        <v>458</v>
      </c>
      <c r="Z45" s="842" t="s">
        <v>459</v>
      </c>
      <c r="AA45" s="842" t="s">
        <v>460</v>
      </c>
      <c r="AB45" s="842" t="s">
        <v>457</v>
      </c>
      <c r="AC45" s="842" t="s">
        <v>458</v>
      </c>
      <c r="AD45" s="842" t="s">
        <v>459</v>
      </c>
      <c r="AE45" s="843" t="s">
        <v>460</v>
      </c>
      <c r="AF45" s="841"/>
      <c r="AG45" s="842"/>
      <c r="AH45" s="843"/>
      <c r="AI45" s="108" t="s">
        <v>679</v>
      </c>
      <c r="AJ45" s="15"/>
      <c r="AK45" s="5"/>
      <c r="AL45" s="41"/>
      <c r="AM45" s="744"/>
      <c r="AS45"/>
      <c r="AT45"/>
      <c r="AU45"/>
      <c r="AV45"/>
      <c r="AW45"/>
      <c r="AX45"/>
      <c r="AY45"/>
      <c r="AZ45"/>
      <c r="BA45"/>
      <c r="BB45"/>
      <c r="BC45"/>
      <c r="BD45" s="544" t="s">
        <v>680</v>
      </c>
      <c r="BE45" s="545">
        <f>Hofdung!G15</f>
        <v>0</v>
      </c>
      <c r="BF45" s="546">
        <f>Hofdung!H15</f>
        <v>0</v>
      </c>
      <c r="BG45" s="546">
        <f>Hofdung!K15</f>
        <v>0</v>
      </c>
      <c r="BH45" s="547">
        <f>Hofdung!L15</f>
        <v>0</v>
      </c>
      <c r="BI45" s="27">
        <f t="shared" si="9"/>
        <v>0</v>
      </c>
      <c r="BJ45" s="27">
        <f t="shared" si="10"/>
        <v>0</v>
      </c>
      <c r="BK45" s="27">
        <f t="shared" si="11"/>
        <v>0</v>
      </c>
      <c r="BL45" s="546">
        <f>Hofdung!I15</f>
        <v>0</v>
      </c>
      <c r="BM45" s="546">
        <f>Hofdung!J15</f>
        <v>0</v>
      </c>
      <c r="BN45" s="27">
        <f t="shared" si="12"/>
        <v>0</v>
      </c>
      <c r="BO45" s="27">
        <f t="shared" si="13"/>
        <v>0</v>
      </c>
    </row>
    <row r="46" spans="1:75" ht="16.5">
      <c r="A46" s="1">
        <v>40</v>
      </c>
      <c r="B46" s="43" t="str">
        <f>C46</f>
        <v>Ferkel 8 bis 32 kg Lebendgewicht (LG) Standard-Fütterung - Gülle</v>
      </c>
      <c r="C46" s="44" t="s">
        <v>681</v>
      </c>
      <c r="D46" s="823"/>
      <c r="E46" s="824">
        <v>2.5</v>
      </c>
      <c r="F46" s="824"/>
      <c r="G46" s="824"/>
      <c r="H46" s="825"/>
      <c r="I46" s="826">
        <v>0.3</v>
      </c>
      <c r="J46" s="827"/>
      <c r="K46" s="828"/>
      <c r="L46" s="826">
        <v>7.0000000000000007E-2</v>
      </c>
      <c r="M46" s="828">
        <v>1</v>
      </c>
      <c r="N46" s="1228"/>
      <c r="O46" s="1238">
        <f>IF(Tabelle1!$N$45="JA",Tabelle1!AB46,Tabelle1!X46)</f>
        <v>2</v>
      </c>
      <c r="P46" s="1231"/>
      <c r="Q46" s="1222"/>
      <c r="R46" s="1223"/>
      <c r="S46" s="844"/>
      <c r="T46" s="845">
        <v>2.1</v>
      </c>
      <c r="U46" s="846"/>
      <c r="V46" s="847"/>
      <c r="W46" s="848"/>
      <c r="X46" s="826">
        <v>2</v>
      </c>
      <c r="Y46" s="827"/>
      <c r="Z46" s="827"/>
      <c r="AA46" s="827"/>
      <c r="AB46" s="827">
        <v>1.4</v>
      </c>
      <c r="AC46" s="827"/>
      <c r="AD46" s="827" t="s">
        <v>682</v>
      </c>
      <c r="AE46" s="828"/>
      <c r="AF46" s="826">
        <v>2.2000000000000002</v>
      </c>
      <c r="AG46" s="827"/>
      <c r="AH46" s="828"/>
      <c r="AI46" s="49" t="s">
        <v>681</v>
      </c>
      <c r="AJ46" s="51">
        <v>2.2999999999999998</v>
      </c>
      <c r="AK46" s="109"/>
      <c r="AL46" s="110"/>
      <c r="AM46" s="744"/>
      <c r="AQ46" s="111" t="s">
        <v>683</v>
      </c>
      <c r="AR46" s="3"/>
      <c r="AS46"/>
      <c r="AT46"/>
      <c r="AU46"/>
      <c r="AV46"/>
      <c r="AW46"/>
      <c r="AX46"/>
      <c r="AY46"/>
      <c r="AZ46"/>
      <c r="BA46"/>
      <c r="BB46"/>
      <c r="BC46"/>
      <c r="BD46" s="544" t="s">
        <v>684</v>
      </c>
      <c r="BE46" s="545">
        <f>Hofdung!G16</f>
        <v>0</v>
      </c>
      <c r="BF46" s="546">
        <f>Hofdung!H16</f>
        <v>0</v>
      </c>
      <c r="BG46" s="546">
        <f>Hofdung!K16</f>
        <v>0</v>
      </c>
      <c r="BH46" s="547">
        <f>Hofdung!L16</f>
        <v>0</v>
      </c>
      <c r="BI46" s="27">
        <f t="shared" si="9"/>
        <v>0</v>
      </c>
      <c r="BJ46" s="27">
        <f t="shared" si="10"/>
        <v>0</v>
      </c>
      <c r="BK46" s="27">
        <f t="shared" si="11"/>
        <v>0</v>
      </c>
      <c r="BL46" s="546">
        <f>Hofdung!I16</f>
        <v>0</v>
      </c>
      <c r="BM46" s="546">
        <f>Hofdung!J16</f>
        <v>0</v>
      </c>
      <c r="BN46" s="27">
        <f t="shared" si="12"/>
        <v>0</v>
      </c>
      <c r="BO46" s="27">
        <f t="shared" si="13"/>
        <v>0</v>
      </c>
    </row>
    <row r="47" spans="1:75" ht="17.25" thickBot="1">
      <c r="A47" s="1">
        <v>41</v>
      </c>
      <c r="B47" s="43" t="str">
        <f t="shared" ref="B47:B81" si="14">C47</f>
        <v>Ferkel 8 bis 32 kg Lebendgewicht (LG) Standard-Fütterung - Mist/Jauche</v>
      </c>
      <c r="C47" s="44" t="s">
        <v>685</v>
      </c>
      <c r="D47" s="823"/>
      <c r="E47" s="824"/>
      <c r="F47" s="824"/>
      <c r="G47" s="824">
        <v>0.8</v>
      </c>
      <c r="H47" s="825">
        <v>1.6</v>
      </c>
      <c r="I47" s="826"/>
      <c r="J47" s="827">
        <v>0.05</v>
      </c>
      <c r="K47" s="828">
        <v>0.13</v>
      </c>
      <c r="L47" s="826">
        <v>7.0000000000000007E-2</v>
      </c>
      <c r="M47" s="828">
        <v>1</v>
      </c>
      <c r="N47" s="1229"/>
      <c r="O47" s="1235"/>
      <c r="P47" s="1232"/>
      <c r="Q47" s="1240">
        <f>IF(Tabelle1!$N$45="JA",Tabelle1!AD47,Tabelle1!Z47)</f>
        <v>0.1</v>
      </c>
      <c r="R47" s="1241">
        <f>IF(Tabelle1!$N$45="JA",Tabelle1!AE47,Tabelle1!AA47)</f>
        <v>1.9</v>
      </c>
      <c r="S47" s="849"/>
      <c r="T47" s="850"/>
      <c r="U47" s="851"/>
      <c r="V47" s="852">
        <v>0.21</v>
      </c>
      <c r="W47" s="853">
        <v>1.89</v>
      </c>
      <c r="X47" s="826"/>
      <c r="Y47" s="827"/>
      <c r="Z47" s="827">
        <v>0.1</v>
      </c>
      <c r="AA47" s="827">
        <v>1.9</v>
      </c>
      <c r="AB47" s="827"/>
      <c r="AC47" s="827"/>
      <c r="AD47" s="827">
        <v>7.0000000000000007E-2</v>
      </c>
      <c r="AE47" s="828">
        <v>1.33</v>
      </c>
      <c r="AF47" s="826"/>
      <c r="AG47" s="827">
        <v>0.7</v>
      </c>
      <c r="AH47" s="828">
        <v>1.5</v>
      </c>
      <c r="AI47" s="49" t="s">
        <v>685</v>
      </c>
      <c r="AJ47" s="51">
        <v>2.2999999999999998</v>
      </c>
      <c r="AK47" s="109"/>
      <c r="AL47" s="110"/>
      <c r="AM47" s="744"/>
      <c r="AP47" s="3"/>
      <c r="AQ47" s="56" t="s">
        <v>686</v>
      </c>
      <c r="AR47" s="56" t="s">
        <v>687</v>
      </c>
      <c r="AS47" s="56" t="s">
        <v>688</v>
      </c>
      <c r="AT47" s="56" t="s">
        <v>459</v>
      </c>
      <c r="AU47" s="56" t="s">
        <v>460</v>
      </c>
      <c r="AV47" s="56" t="s">
        <v>689</v>
      </c>
      <c r="AW47" s="56" t="s">
        <v>655</v>
      </c>
      <c r="AX47"/>
      <c r="AY47"/>
      <c r="AZ47"/>
      <c r="BA47"/>
      <c r="BB47"/>
      <c r="BC47"/>
      <c r="BD47" s="544" t="s">
        <v>690</v>
      </c>
      <c r="BE47" s="545">
        <f>Hofdung!G17</f>
        <v>0</v>
      </c>
      <c r="BF47" s="546">
        <f>Hofdung!H17</f>
        <v>0</v>
      </c>
      <c r="BG47" s="546">
        <f>Hofdung!K17</f>
        <v>0</v>
      </c>
      <c r="BH47" s="547">
        <f>Hofdung!L17</f>
        <v>0</v>
      </c>
      <c r="BI47" s="27">
        <f t="shared" si="9"/>
        <v>0</v>
      </c>
      <c r="BJ47" s="27">
        <f t="shared" si="10"/>
        <v>0</v>
      </c>
      <c r="BK47" s="27">
        <f t="shared" si="11"/>
        <v>0</v>
      </c>
      <c r="BL47" s="546">
        <f>Hofdung!I17</f>
        <v>0</v>
      </c>
      <c r="BM47" s="546">
        <f>Hofdung!J17</f>
        <v>0</v>
      </c>
      <c r="BN47" s="27">
        <f t="shared" si="12"/>
        <v>0</v>
      </c>
      <c r="BO47" s="27">
        <f t="shared" si="13"/>
        <v>0</v>
      </c>
    </row>
    <row r="48" spans="1:75" ht="17.25" thickBot="1">
      <c r="A48" s="1">
        <v>42</v>
      </c>
      <c r="B48" s="43" t="str">
        <f t="shared" si="14"/>
        <v>Ferkel 8 bis 32 kg Lebendgewicht (LG) Standard-Fütterung - Tiefstallmist</v>
      </c>
      <c r="C48" s="44" t="s">
        <v>691</v>
      </c>
      <c r="D48" s="823"/>
      <c r="E48" s="824"/>
      <c r="F48" s="824"/>
      <c r="G48" s="824"/>
      <c r="H48" s="825">
        <v>2.2999999999999998</v>
      </c>
      <c r="I48" s="826"/>
      <c r="J48" s="827"/>
      <c r="K48" s="828">
        <v>0.33</v>
      </c>
      <c r="L48" s="826">
        <v>7.0000000000000007E-2</v>
      </c>
      <c r="M48" s="828">
        <v>1</v>
      </c>
      <c r="N48" s="1229"/>
      <c r="O48" s="1235"/>
      <c r="P48" s="1232"/>
      <c r="Q48" s="1224"/>
      <c r="R48" s="1241">
        <f>IF(Tabelle1!$N$45="JA",Tabelle1!AE48,Tabelle1!AA48)</f>
        <v>2</v>
      </c>
      <c r="S48" s="849"/>
      <c r="T48" s="850"/>
      <c r="U48" s="851"/>
      <c r="V48" s="852"/>
      <c r="W48" s="853">
        <v>2.1</v>
      </c>
      <c r="X48" s="826"/>
      <c r="Y48" s="827"/>
      <c r="Z48" s="827"/>
      <c r="AA48" s="827">
        <v>2</v>
      </c>
      <c r="AB48" s="827"/>
      <c r="AC48" s="827"/>
      <c r="AD48" s="827"/>
      <c r="AE48" s="828">
        <v>1.4</v>
      </c>
      <c r="AF48" s="826"/>
      <c r="AG48" s="827"/>
      <c r="AH48" s="828">
        <v>2.1</v>
      </c>
      <c r="AI48" s="49" t="s">
        <v>691</v>
      </c>
      <c r="AJ48" s="51">
        <v>2.2999999999999998</v>
      </c>
      <c r="AK48" s="109"/>
      <c r="AL48" s="110"/>
      <c r="AM48" s="744"/>
      <c r="AP48" s="61" t="s">
        <v>692</v>
      </c>
      <c r="AQ48" s="529">
        <f>AS20</f>
        <v>0</v>
      </c>
      <c r="AR48" s="529">
        <f>AT20</f>
        <v>0</v>
      </c>
      <c r="AS48" s="529">
        <f>AU20</f>
        <v>0</v>
      </c>
      <c r="AT48" s="529">
        <f>AV20</f>
        <v>0</v>
      </c>
      <c r="AU48" s="529">
        <f>AW20</f>
        <v>0</v>
      </c>
      <c r="AV48" s="80"/>
      <c r="AW48" s="80"/>
      <c r="AX48" s="112">
        <f t="shared" ref="AX48:AX53" si="15">SUM(AQ48:AW48)</f>
        <v>0</v>
      </c>
      <c r="AY48" s="111" t="s">
        <v>693</v>
      </c>
      <c r="AZ48"/>
      <c r="BA48"/>
      <c r="BB48"/>
      <c r="BC48"/>
      <c r="BD48" s="544" t="s">
        <v>694</v>
      </c>
      <c r="BE48" s="545">
        <f>Hofdung!G18</f>
        <v>0</v>
      </c>
      <c r="BF48" s="546">
        <f>Hofdung!H18</f>
        <v>0</v>
      </c>
      <c r="BG48" s="546">
        <f>Hofdung!K18</f>
        <v>0</v>
      </c>
      <c r="BH48" s="547">
        <f>Hofdung!L18</f>
        <v>0</v>
      </c>
      <c r="BI48" s="27">
        <f t="shared" si="9"/>
        <v>0</v>
      </c>
      <c r="BJ48" s="27">
        <f t="shared" si="10"/>
        <v>0</v>
      </c>
      <c r="BK48" s="27">
        <f t="shared" si="11"/>
        <v>0</v>
      </c>
      <c r="BL48" s="546">
        <f>Hofdung!I18</f>
        <v>0</v>
      </c>
      <c r="BM48" s="546">
        <f>Hofdung!J18</f>
        <v>0</v>
      </c>
      <c r="BN48" s="27">
        <f t="shared" si="12"/>
        <v>0</v>
      </c>
      <c r="BO48" s="27">
        <f t="shared" si="13"/>
        <v>0</v>
      </c>
    </row>
    <row r="49" spans="1:67" ht="17.25" thickBot="1">
      <c r="A49" s="1">
        <v>43</v>
      </c>
      <c r="B49" s="43" t="str">
        <f t="shared" si="14"/>
        <v>Ferkel 8 bis 32 kg Lebendgewicht (LG) N-reduzierte-Fütterung - Gülle</v>
      </c>
      <c r="C49" s="44" t="s">
        <v>695</v>
      </c>
      <c r="D49" s="823"/>
      <c r="E49" s="824">
        <v>2.4</v>
      </c>
      <c r="F49" s="824"/>
      <c r="G49" s="824"/>
      <c r="H49" s="825"/>
      <c r="I49" s="826">
        <v>0.3</v>
      </c>
      <c r="J49" s="827"/>
      <c r="K49" s="828"/>
      <c r="L49" s="826">
        <v>7.0000000000000007E-2</v>
      </c>
      <c r="M49" s="828">
        <v>1</v>
      </c>
      <c r="N49" s="1229"/>
      <c r="O49" s="1239">
        <f>IF(Tabelle1!$N$45="JA",Tabelle1!AB49,Tabelle1!X49)</f>
        <v>2</v>
      </c>
      <c r="P49" s="1232"/>
      <c r="Q49" s="1225"/>
      <c r="R49" s="1226"/>
      <c r="S49" s="849"/>
      <c r="T49" s="854">
        <v>2.1</v>
      </c>
      <c r="U49" s="851"/>
      <c r="V49" s="855"/>
      <c r="W49" s="856"/>
      <c r="X49" s="826">
        <v>2</v>
      </c>
      <c r="Y49" s="827"/>
      <c r="Z49" s="827"/>
      <c r="AA49" s="827"/>
      <c r="AB49" s="827">
        <v>1.4</v>
      </c>
      <c r="AC49" s="827"/>
      <c r="AD49" s="827"/>
      <c r="AE49" s="828"/>
      <c r="AF49" s="826">
        <v>2.1</v>
      </c>
      <c r="AG49" s="827"/>
      <c r="AH49" s="828"/>
      <c r="AI49" s="49" t="s">
        <v>695</v>
      </c>
      <c r="AJ49" s="51">
        <v>2.2999999999999998</v>
      </c>
      <c r="AK49" s="109"/>
      <c r="AL49" s="110"/>
      <c r="AM49" s="744"/>
      <c r="AP49" t="s">
        <v>696</v>
      </c>
      <c r="AQ49" s="529">
        <f>-CB20</f>
        <v>0</v>
      </c>
      <c r="AR49" s="529">
        <f>-CC20</f>
        <v>0</v>
      </c>
      <c r="AS49" s="529">
        <f>-CD20</f>
        <v>0</v>
      </c>
      <c r="AT49" s="529">
        <f>-CE20</f>
        <v>0</v>
      </c>
      <c r="AU49" s="529">
        <f>-CF20</f>
        <v>0</v>
      </c>
      <c r="AV49" s="80"/>
      <c r="AW49" s="80"/>
      <c r="AX49" s="112">
        <f t="shared" si="15"/>
        <v>0</v>
      </c>
      <c r="AY49"/>
      <c r="AZ49"/>
      <c r="BA49"/>
      <c r="BB49"/>
      <c r="BC49"/>
      <c r="BD49" s="548"/>
      <c r="BE49" s="549"/>
      <c r="BF49" s="549"/>
      <c r="BG49" s="549"/>
      <c r="BH49" s="549" t="s">
        <v>560</v>
      </c>
      <c r="BI49" s="550">
        <f>SUM(BI43:BI48)</f>
        <v>0</v>
      </c>
      <c r="BJ49" s="550">
        <f>SUM(BJ43:BJ48)</f>
        <v>0</v>
      </c>
      <c r="BK49" s="550">
        <f>SUM(BK43:BK48)</f>
        <v>0</v>
      </c>
      <c r="BL49" s="549"/>
      <c r="BM49" s="549"/>
      <c r="BN49" s="551">
        <f>SUM(BN43:BN48)</f>
        <v>0</v>
      </c>
      <c r="BO49" s="550">
        <f>SUM(BO43:BO48)</f>
        <v>0</v>
      </c>
    </row>
    <row r="50" spans="1:67" ht="17.25" thickBot="1">
      <c r="A50" s="1">
        <v>44</v>
      </c>
      <c r="B50" s="43" t="str">
        <f t="shared" si="14"/>
        <v>Ferkel 8 bis 32 kg Lebendgewicht (LG) N-reduzierte-Fütterung - Mist/Jauche</v>
      </c>
      <c r="C50" s="44" t="s">
        <v>697</v>
      </c>
      <c r="D50" s="823"/>
      <c r="E50" s="824"/>
      <c r="F50" s="824"/>
      <c r="G50" s="824">
        <v>0.7</v>
      </c>
      <c r="H50" s="825">
        <v>1.5</v>
      </c>
      <c r="I50" s="826"/>
      <c r="J50" s="827">
        <v>0.05</v>
      </c>
      <c r="K50" s="828">
        <v>0.13</v>
      </c>
      <c r="L50" s="826">
        <v>7.0000000000000007E-2</v>
      </c>
      <c r="M50" s="828">
        <v>1</v>
      </c>
      <c r="N50" s="1229"/>
      <c r="O50" s="1235"/>
      <c r="P50" s="1232"/>
      <c r="Q50" s="1243">
        <f>IF(Tabelle1!$N$45="JA",Tabelle1!AD50,Tabelle1!Z50)</f>
        <v>0.1</v>
      </c>
      <c r="R50" s="1244">
        <f>IF(Tabelle1!$N$45="JA",Tabelle1!AE50,Tabelle1!AA50)</f>
        <v>1.9</v>
      </c>
      <c r="S50" s="849"/>
      <c r="T50" s="850"/>
      <c r="U50" s="851"/>
      <c r="V50" s="854">
        <v>0.21</v>
      </c>
      <c r="W50" s="857">
        <v>1.89</v>
      </c>
      <c r="X50" s="826"/>
      <c r="Y50" s="827"/>
      <c r="Z50" s="827">
        <v>0.1</v>
      </c>
      <c r="AA50" s="827">
        <v>1.9</v>
      </c>
      <c r="AB50" s="827"/>
      <c r="AC50" s="827"/>
      <c r="AD50" s="827">
        <v>7.0000000000000007E-2</v>
      </c>
      <c r="AE50" s="828">
        <v>1.33</v>
      </c>
      <c r="AF50" s="826"/>
      <c r="AG50" s="827">
        <v>0.6</v>
      </c>
      <c r="AH50" s="828">
        <v>1.4</v>
      </c>
      <c r="AI50" s="49" t="s">
        <v>697</v>
      </c>
      <c r="AJ50" s="51">
        <v>2.2999999999999998</v>
      </c>
      <c r="AK50" s="109"/>
      <c r="AL50" s="110"/>
      <c r="AM50" s="744"/>
      <c r="AP50" s="113" t="s">
        <v>698</v>
      </c>
      <c r="AQ50" s="529">
        <f>AS23</f>
        <v>0</v>
      </c>
      <c r="AR50" s="529">
        <f>AT24</f>
        <v>0</v>
      </c>
      <c r="AS50" s="529">
        <f>AU25</f>
        <v>0</v>
      </c>
      <c r="AT50" s="529">
        <f>AV26</f>
        <v>0</v>
      </c>
      <c r="AU50" s="530">
        <f>AW27</f>
        <v>0</v>
      </c>
      <c r="AV50" s="531"/>
      <c r="AW50" s="531"/>
      <c r="AX50" s="112">
        <f t="shared" si="15"/>
        <v>0</v>
      </c>
      <c r="AY50"/>
      <c r="AZ50"/>
      <c r="BA50"/>
      <c r="BB50"/>
      <c r="BC50"/>
      <c r="BD50"/>
    </row>
    <row r="51" spans="1:67" ht="17.25" thickBot="1">
      <c r="A51" s="1">
        <v>45</v>
      </c>
      <c r="B51" s="43" t="str">
        <f t="shared" si="14"/>
        <v>Ferkel 8 bis 32 kg Lebendgewicht (LG) N-reduzierte-Fütterung - Tiefstallmist</v>
      </c>
      <c r="C51" s="44" t="s">
        <v>699</v>
      </c>
      <c r="D51" s="823"/>
      <c r="E51" s="824"/>
      <c r="F51" s="824"/>
      <c r="G51" s="824"/>
      <c r="H51" s="825">
        <v>2.2000000000000002</v>
      </c>
      <c r="I51" s="826"/>
      <c r="J51" s="827"/>
      <c r="K51" s="828">
        <v>0.33</v>
      </c>
      <c r="L51" s="826">
        <v>7.0000000000000007E-2</v>
      </c>
      <c r="M51" s="828">
        <v>1</v>
      </c>
      <c r="N51" s="1229"/>
      <c r="O51" s="1235"/>
      <c r="P51" s="1232"/>
      <c r="Q51" s="1224"/>
      <c r="R51" s="1244">
        <f>IF(Tabelle1!$N$45="JA",Tabelle1!AE51,Tabelle1!AA51)</f>
        <v>2</v>
      </c>
      <c r="S51" s="849"/>
      <c r="T51" s="850"/>
      <c r="U51" s="851"/>
      <c r="V51" s="852"/>
      <c r="W51" s="857">
        <v>2.1</v>
      </c>
      <c r="X51" s="826"/>
      <c r="Y51" s="827"/>
      <c r="Z51" s="827"/>
      <c r="AA51" s="827">
        <v>2</v>
      </c>
      <c r="AB51" s="827"/>
      <c r="AC51" s="827"/>
      <c r="AD51" s="827"/>
      <c r="AE51" s="828">
        <v>1.4</v>
      </c>
      <c r="AF51" s="826"/>
      <c r="AG51" s="827"/>
      <c r="AH51" s="828">
        <v>2</v>
      </c>
      <c r="AI51" s="49" t="s">
        <v>699</v>
      </c>
      <c r="AJ51" s="51">
        <v>2.2999999999999998</v>
      </c>
      <c r="AK51" s="109"/>
      <c r="AL51" s="110"/>
      <c r="AM51" s="744"/>
      <c r="AP51" s="61" t="s">
        <v>700</v>
      </c>
      <c r="AQ51" s="529">
        <f>Organ__Dü!C124</f>
        <v>0</v>
      </c>
      <c r="AR51" s="529">
        <f>Organ__Dü!D124</f>
        <v>0</v>
      </c>
      <c r="AS51" s="529">
        <f>Organ__Dü!E124</f>
        <v>0</v>
      </c>
      <c r="AT51" s="529">
        <f>Organ__Dü!F124</f>
        <v>0</v>
      </c>
      <c r="AU51" s="531"/>
      <c r="AV51" s="531"/>
      <c r="AW51" s="531"/>
      <c r="AX51" s="114">
        <f t="shared" si="15"/>
        <v>0</v>
      </c>
      <c r="AY51"/>
      <c r="AZ51"/>
      <c r="BA51"/>
      <c r="BB51"/>
      <c r="BC51"/>
      <c r="BD51"/>
    </row>
    <row r="52" spans="1:67" ht="17.25" thickBot="1">
      <c r="A52" s="1">
        <v>46</v>
      </c>
      <c r="B52" s="43" t="str">
        <f t="shared" si="14"/>
        <v>Ferkel 8 bis 32 kg Lebendgewicht (LG) - stark-N-reduzierte-Fütterung - Gülle</v>
      </c>
      <c r="C52" t="s">
        <v>2395</v>
      </c>
      <c r="D52" s="823"/>
      <c r="E52" s="824">
        <v>2.4</v>
      </c>
      <c r="F52" s="824"/>
      <c r="G52" s="824"/>
      <c r="H52" s="825"/>
      <c r="I52" s="826">
        <v>0.3</v>
      </c>
      <c r="J52" s="827"/>
      <c r="K52" s="828"/>
      <c r="L52" s="826">
        <v>7.0000000000000007E-2</v>
      </c>
      <c r="M52" s="828">
        <v>1</v>
      </c>
      <c r="N52" s="1902"/>
      <c r="O52" s="1239">
        <f>IF(Tabelle1!$N$45="JA",Tabelle1!$AB52,Tabelle1!$X52)</f>
        <v>2</v>
      </c>
      <c r="P52" s="1232"/>
      <c r="Q52" s="1225"/>
      <c r="R52" s="1226"/>
      <c r="S52" s="849"/>
      <c r="T52" s="854">
        <v>2.1</v>
      </c>
      <c r="U52" s="851"/>
      <c r="V52" s="855"/>
      <c r="W52" s="856"/>
      <c r="X52" s="826">
        <v>2</v>
      </c>
      <c r="Y52" s="827"/>
      <c r="Z52" s="827"/>
      <c r="AA52" s="827"/>
      <c r="AB52" s="827">
        <v>1.4</v>
      </c>
      <c r="AC52" s="827"/>
      <c r="AD52" s="827"/>
      <c r="AE52" s="828"/>
      <c r="AF52" s="826">
        <v>2.1</v>
      </c>
      <c r="AG52" s="827"/>
      <c r="AH52" s="828"/>
      <c r="AI52" s="49" t="s">
        <v>2395</v>
      </c>
      <c r="AJ52" s="51">
        <v>2.2999999999999998</v>
      </c>
      <c r="AM52" s="744"/>
      <c r="AP52" s="61" t="s">
        <v>702</v>
      </c>
      <c r="AQ52" s="531"/>
      <c r="AR52" s="531"/>
      <c r="AS52" s="531"/>
      <c r="AT52" s="531"/>
      <c r="AU52" s="529">
        <v>0</v>
      </c>
      <c r="AV52" s="531"/>
      <c r="AW52" s="531"/>
      <c r="AX52" s="114">
        <f t="shared" si="15"/>
        <v>0</v>
      </c>
      <c r="AY52"/>
      <c r="AZ52"/>
      <c r="BA52"/>
      <c r="BB52"/>
      <c r="BC52"/>
      <c r="BD52"/>
    </row>
    <row r="53" spans="1:67" ht="17.25" thickBot="1">
      <c r="A53" s="1">
        <v>47</v>
      </c>
      <c r="B53" s="43" t="str">
        <f t="shared" si="14"/>
        <v>Ferkel 8 bis 32 kg Lebendgewicht (LG) - stark-N-reduzierte-Fütterung - Mist/Jauche</v>
      </c>
      <c r="C53" t="s">
        <v>2396</v>
      </c>
      <c r="D53" s="823"/>
      <c r="E53" s="824"/>
      <c r="F53" s="824"/>
      <c r="G53" s="824">
        <v>0.7</v>
      </c>
      <c r="H53" s="825">
        <v>1.5</v>
      </c>
      <c r="I53" s="826"/>
      <c r="J53" s="827">
        <v>0.05</v>
      </c>
      <c r="K53" s="828">
        <v>0.13</v>
      </c>
      <c r="L53" s="826">
        <v>7.0000000000000007E-2</v>
      </c>
      <c r="M53" s="828">
        <v>1</v>
      </c>
      <c r="N53" s="1902"/>
      <c r="O53" s="1235"/>
      <c r="P53" s="1232"/>
      <c r="Q53" s="1243">
        <f>IF(Tabelle1!$N$45="JA",Tabelle1!$AD53,Tabelle1!$Z53)</f>
        <v>0.1</v>
      </c>
      <c r="R53" s="1244">
        <f>IF(Tabelle1!$N$45="JA",Tabelle1!AE53,Tabelle1!AA53)</f>
        <v>1.9</v>
      </c>
      <c r="S53" s="849"/>
      <c r="T53" s="850"/>
      <c r="U53" s="851"/>
      <c r="V53" s="854">
        <v>0.21</v>
      </c>
      <c r="W53" s="857">
        <v>1.89</v>
      </c>
      <c r="X53" s="826"/>
      <c r="Y53" s="827"/>
      <c r="Z53" s="827">
        <v>0.1</v>
      </c>
      <c r="AA53" s="827">
        <v>1.9</v>
      </c>
      <c r="AB53" s="827"/>
      <c r="AC53" s="827"/>
      <c r="AD53" s="827">
        <v>7.0000000000000007E-2</v>
      </c>
      <c r="AE53" s="828">
        <v>1.33</v>
      </c>
      <c r="AF53" s="826"/>
      <c r="AG53" s="827">
        <v>0.6</v>
      </c>
      <c r="AH53" s="828">
        <v>1.4</v>
      </c>
      <c r="AI53" s="49" t="s">
        <v>2396</v>
      </c>
      <c r="AJ53" s="51">
        <v>2.2999999999999998</v>
      </c>
      <c r="AM53" s="744"/>
      <c r="AP53" s="61" t="s">
        <v>704</v>
      </c>
      <c r="AQ53" s="529">
        <f>Organ__Dü!C125</f>
        <v>0</v>
      </c>
      <c r="AR53" s="529">
        <f>Organ__Dü!D125</f>
        <v>0</v>
      </c>
      <c r="AS53" s="529">
        <f>Organ__Dü!E125</f>
        <v>0</v>
      </c>
      <c r="AT53" s="529">
        <f>Organ__Dü!F125</f>
        <v>0</v>
      </c>
      <c r="AU53" s="529">
        <f>Organ__Dü!G125</f>
        <v>0</v>
      </c>
      <c r="AV53" s="529">
        <f>Organ__Dü!H125</f>
        <v>0</v>
      </c>
      <c r="AW53" s="529">
        <f>Organ__Dü!I125</f>
        <v>0</v>
      </c>
      <c r="AX53" s="114">
        <f t="shared" si="15"/>
        <v>0</v>
      </c>
      <c r="AY53"/>
      <c r="AZ53"/>
      <c r="BA53"/>
      <c r="BB53"/>
      <c r="BC53"/>
      <c r="BD53"/>
    </row>
    <row r="54" spans="1:67" ht="17.25" thickBot="1">
      <c r="A54" s="1">
        <v>48</v>
      </c>
      <c r="B54" s="43" t="str">
        <f t="shared" si="14"/>
        <v>Ferkel 8 bis 32 kg Lebendgewicht (LG) - stark-N-reduzierte-Fütterung - Tiefstallmist</v>
      </c>
      <c r="C54" t="s">
        <v>2397</v>
      </c>
      <c r="D54" s="823"/>
      <c r="E54" s="824"/>
      <c r="F54" s="824"/>
      <c r="G54" s="824"/>
      <c r="H54" s="825">
        <v>2.2000000000000002</v>
      </c>
      <c r="I54" s="826"/>
      <c r="J54" s="827"/>
      <c r="K54" s="828">
        <v>0.33</v>
      </c>
      <c r="L54" s="826">
        <v>7.0000000000000007E-2</v>
      </c>
      <c r="M54" s="828">
        <v>1</v>
      </c>
      <c r="N54" s="1902"/>
      <c r="O54" s="1235"/>
      <c r="P54" s="1232"/>
      <c r="Q54" s="1224"/>
      <c r="R54" s="1244">
        <f>IF(Tabelle1!$N$45="JA",Tabelle1!$AE54,Tabelle1!$AA54)</f>
        <v>2</v>
      </c>
      <c r="S54" s="849"/>
      <c r="T54" s="850"/>
      <c r="U54" s="851"/>
      <c r="V54" s="852"/>
      <c r="W54" s="857">
        <v>2.1</v>
      </c>
      <c r="X54" s="826"/>
      <c r="Y54" s="827"/>
      <c r="Z54" s="827"/>
      <c r="AA54" s="827">
        <v>2</v>
      </c>
      <c r="AB54" s="827"/>
      <c r="AC54" s="827"/>
      <c r="AD54" s="827"/>
      <c r="AE54" s="828">
        <v>1.4</v>
      </c>
      <c r="AF54" s="826"/>
      <c r="AG54" s="827"/>
      <c r="AH54" s="828">
        <v>2</v>
      </c>
      <c r="AI54" s="49" t="s">
        <v>2397</v>
      </c>
      <c r="AJ54" s="51">
        <v>2.2999999999999998</v>
      </c>
      <c r="AM54" s="744"/>
      <c r="AP54" s="111" t="s">
        <v>706</v>
      </c>
      <c r="AQ54" s="529">
        <f t="shared" ref="AQ54:AX54" si="16">SUM(AQ48:AQ53)</f>
        <v>0</v>
      </c>
      <c r="AR54" s="529">
        <f t="shared" si="16"/>
        <v>0</v>
      </c>
      <c r="AS54" s="529">
        <f t="shared" si="16"/>
        <v>0</v>
      </c>
      <c r="AT54" s="529">
        <f t="shared" si="16"/>
        <v>0</v>
      </c>
      <c r="AU54" s="529">
        <f t="shared" si="16"/>
        <v>0</v>
      </c>
      <c r="AV54" s="529">
        <f t="shared" si="16"/>
        <v>0</v>
      </c>
      <c r="AW54" s="529">
        <f t="shared" si="16"/>
        <v>0</v>
      </c>
      <c r="AX54" s="112">
        <f t="shared" si="16"/>
        <v>0</v>
      </c>
      <c r="AY54" s="111" t="s">
        <v>707</v>
      </c>
      <c r="AZ54"/>
      <c r="BA54" s="71">
        <f>SUM(AQ54:AW54)</f>
        <v>0</v>
      </c>
      <c r="BB54"/>
      <c r="BC54"/>
      <c r="BD54"/>
    </row>
    <row r="55" spans="1:67" ht="17.25" thickBot="1">
      <c r="A55" s="1">
        <v>49</v>
      </c>
      <c r="B55" s="43" t="str">
        <f t="shared" si="14"/>
        <v xml:space="preserve">MS + JS ab 32 kg LG bis Mastende/Belegung - Gülle </v>
      </c>
      <c r="C55" s="44" t="s">
        <v>701</v>
      </c>
      <c r="D55" s="823"/>
      <c r="E55" s="824">
        <v>7.5</v>
      </c>
      <c r="F55" s="824"/>
      <c r="G55" s="824"/>
      <c r="H55" s="825"/>
      <c r="I55" s="826">
        <v>0.7</v>
      </c>
      <c r="J55" s="827"/>
      <c r="K55" s="828"/>
      <c r="L55" s="826">
        <v>0.3</v>
      </c>
      <c r="M55" s="828">
        <v>1.26</v>
      </c>
      <c r="N55" s="1229"/>
      <c r="O55" s="1239">
        <f>IF(Tabelle1!$N$45="JA",Tabelle1!AB55,Tabelle1!X55)</f>
        <v>4.4000000000000004</v>
      </c>
      <c r="P55" s="1232"/>
      <c r="Q55" s="1225"/>
      <c r="R55" s="1226"/>
      <c r="S55" s="849"/>
      <c r="T55" s="854">
        <v>5</v>
      </c>
      <c r="U55" s="851"/>
      <c r="V55" s="855"/>
      <c r="W55" s="856"/>
      <c r="X55" s="826">
        <v>4.4000000000000004</v>
      </c>
      <c r="Y55" s="827"/>
      <c r="Z55" s="827"/>
      <c r="AA55" s="827"/>
      <c r="AB55" s="827">
        <v>3.6</v>
      </c>
      <c r="AC55" s="827"/>
      <c r="AD55" s="827"/>
      <c r="AE55" s="828"/>
      <c r="AF55" s="826">
        <v>6.5</v>
      </c>
      <c r="AG55" s="827"/>
      <c r="AH55" s="828"/>
      <c r="AI55" s="49" t="s">
        <v>701</v>
      </c>
      <c r="AJ55" s="51">
        <v>12.14</v>
      </c>
      <c r="AK55" s="109">
        <v>12.14</v>
      </c>
      <c r="AL55" s="110">
        <f t="shared" ref="AL55:AL69" si="17">170/AK55</f>
        <v>14.00329489291598</v>
      </c>
      <c r="AM55" s="744"/>
      <c r="AQ55" s="111" t="s">
        <v>709</v>
      </c>
      <c r="AR55" s="3"/>
      <c r="AS55"/>
      <c r="AT55"/>
      <c r="AU55"/>
      <c r="AV55"/>
      <c r="AW55"/>
      <c r="AX55" s="115">
        <f>BI49</f>
        <v>0</v>
      </c>
      <c r="AY55" s="3" t="s">
        <v>710</v>
      </c>
      <c r="AZ55"/>
      <c r="BA55"/>
      <c r="BB55"/>
      <c r="BC55"/>
      <c r="BD55"/>
    </row>
    <row r="56" spans="1:67" ht="17.25" thickBot="1">
      <c r="A56" s="1">
        <v>50</v>
      </c>
      <c r="B56" s="43" t="str">
        <f t="shared" si="14"/>
        <v xml:space="preserve">MS + JS ab 32 kg LG bis Mastende/Belegung - Mist/Jauche </v>
      </c>
      <c r="C56" s="44" t="s">
        <v>703</v>
      </c>
      <c r="D56" s="823"/>
      <c r="E56" s="824"/>
      <c r="F56" s="824"/>
      <c r="G56" s="824">
        <v>2.2999999999999998</v>
      </c>
      <c r="H56" s="825">
        <v>4.5999999999999996</v>
      </c>
      <c r="I56" s="826"/>
      <c r="J56" s="827">
        <v>0.23</v>
      </c>
      <c r="K56" s="828">
        <v>0.48</v>
      </c>
      <c r="L56" s="826">
        <v>0.3</v>
      </c>
      <c r="M56" s="828">
        <v>1.26</v>
      </c>
      <c r="N56" s="1229"/>
      <c r="O56" s="1235"/>
      <c r="P56" s="1232"/>
      <c r="Q56" s="1240">
        <f>IF(Tabelle1!$N$45="JA",Tabelle1!AD56,Tabelle1!Z56)</f>
        <v>0.22</v>
      </c>
      <c r="R56" s="1241">
        <f>IF(Tabelle1!$N$45="JA",Tabelle1!AE56,Tabelle1!AA56)</f>
        <v>4.18</v>
      </c>
      <c r="S56" s="849"/>
      <c r="T56" s="850"/>
      <c r="U56" s="851"/>
      <c r="V56" s="852">
        <v>0.5</v>
      </c>
      <c r="W56" s="853">
        <v>4.5</v>
      </c>
      <c r="X56" s="826"/>
      <c r="Y56" s="827"/>
      <c r="Z56" s="827">
        <v>0.22</v>
      </c>
      <c r="AA56" s="827">
        <v>4.18</v>
      </c>
      <c r="AB56" s="827"/>
      <c r="AC56" s="827"/>
      <c r="AD56" s="827">
        <v>0.18</v>
      </c>
      <c r="AE56" s="828">
        <v>3.42</v>
      </c>
      <c r="AF56" s="826"/>
      <c r="AG56" s="827">
        <v>2</v>
      </c>
      <c r="AH56" s="828">
        <v>4.2</v>
      </c>
      <c r="AI56" s="49" t="s">
        <v>703</v>
      </c>
      <c r="AJ56" s="51">
        <v>12.14</v>
      </c>
      <c r="AK56" s="109">
        <v>12.14</v>
      </c>
      <c r="AL56" s="110">
        <f t="shared" si="17"/>
        <v>14.00329489291598</v>
      </c>
      <c r="AM56" s="744"/>
      <c r="AQ56" s="116" t="s">
        <v>712</v>
      </c>
      <c r="AR56" s="117"/>
      <c r="AS56" s="118"/>
      <c r="AT56" s="118"/>
      <c r="AU56" s="118"/>
      <c r="AV56" s="118"/>
      <c r="AW56" s="118"/>
      <c r="AX56" s="99">
        <f>AX54-AX55</f>
        <v>0</v>
      </c>
      <c r="AY56" s="119" t="s">
        <v>637</v>
      </c>
      <c r="AZ56" s="89"/>
      <c r="BA56"/>
      <c r="BB56"/>
      <c r="BC56"/>
      <c r="BD56"/>
    </row>
    <row r="57" spans="1:67" ht="16.5">
      <c r="A57" s="1">
        <v>51</v>
      </c>
      <c r="B57" s="43" t="str">
        <f t="shared" si="14"/>
        <v xml:space="preserve">MS + JS ab 32 kg LG bis Mastende/Belegung - Tiefstallmist </v>
      </c>
      <c r="C57" s="44" t="s">
        <v>705</v>
      </c>
      <c r="D57" s="823"/>
      <c r="E57" s="824"/>
      <c r="F57" s="824"/>
      <c r="G57" s="824"/>
      <c r="H57" s="825">
        <v>7</v>
      </c>
      <c r="I57" s="826"/>
      <c r="J57" s="827"/>
      <c r="K57" s="828">
        <v>0.77</v>
      </c>
      <c r="L57" s="826">
        <v>0.3</v>
      </c>
      <c r="M57" s="828">
        <v>1.26</v>
      </c>
      <c r="N57" s="1229"/>
      <c r="O57" s="1235"/>
      <c r="P57" s="1232"/>
      <c r="Q57" s="1224"/>
      <c r="R57" s="1241">
        <f>IF(Tabelle1!$N$45="JA",Tabelle1!AE57,Tabelle1!AA57)</f>
        <v>4.4000000000000004</v>
      </c>
      <c r="S57" s="849"/>
      <c r="T57" s="850"/>
      <c r="U57" s="851"/>
      <c r="V57" s="852"/>
      <c r="W57" s="853">
        <v>5</v>
      </c>
      <c r="X57" s="826"/>
      <c r="Y57" s="827"/>
      <c r="Z57" s="827"/>
      <c r="AA57" s="827">
        <v>4.4000000000000004</v>
      </c>
      <c r="AB57" s="827"/>
      <c r="AC57" s="827"/>
      <c r="AD57" s="827"/>
      <c r="AE57" s="828">
        <v>3.6</v>
      </c>
      <c r="AF57" s="826"/>
      <c r="AG57" s="827"/>
      <c r="AH57" s="828">
        <v>6.4</v>
      </c>
      <c r="AI57" s="49" t="s">
        <v>705</v>
      </c>
      <c r="AJ57" s="51">
        <v>12.14</v>
      </c>
      <c r="AK57" s="109">
        <v>12.14</v>
      </c>
      <c r="AL57" s="110">
        <f t="shared" si="17"/>
        <v>14.00329489291598</v>
      </c>
      <c r="AM57" s="744"/>
      <c r="AS57"/>
      <c r="AT57"/>
      <c r="AU57"/>
      <c r="AV57"/>
      <c r="AW57"/>
      <c r="AX57" s="120" t="s">
        <v>714</v>
      </c>
      <c r="AY57" s="121" t="s">
        <v>715</v>
      </c>
      <c r="AZ57"/>
      <c r="BA57"/>
      <c r="BB57"/>
      <c r="BC57"/>
      <c r="BD57"/>
    </row>
    <row r="58" spans="1:67" ht="16.5">
      <c r="A58" s="1">
        <v>52</v>
      </c>
      <c r="B58" s="43" t="str">
        <f t="shared" si="14"/>
        <v xml:space="preserve">MS + JS ab 32 kg LG bis Mastende/Belegung -N-reduzierte-Fütterung - Gülle </v>
      </c>
      <c r="C58" s="44" t="s">
        <v>708</v>
      </c>
      <c r="D58" s="823"/>
      <c r="E58" s="824">
        <v>6.9</v>
      </c>
      <c r="F58" s="824"/>
      <c r="G58" s="824"/>
      <c r="H58" s="825"/>
      <c r="I58" s="826">
        <v>0.7</v>
      </c>
      <c r="J58" s="827"/>
      <c r="K58" s="828"/>
      <c r="L58" s="826">
        <v>0.3</v>
      </c>
      <c r="M58" s="828">
        <v>1.26</v>
      </c>
      <c r="N58" s="1229"/>
      <c r="O58" s="1239">
        <f>IF(Tabelle1!$N$45="JA",Tabelle1!AB58,Tabelle1!X58)</f>
        <v>4.4000000000000004</v>
      </c>
      <c r="P58" s="1232"/>
      <c r="Q58" s="1225"/>
      <c r="R58" s="1226"/>
      <c r="S58" s="849"/>
      <c r="T58" s="854">
        <v>5</v>
      </c>
      <c r="U58" s="851"/>
      <c r="V58" s="855"/>
      <c r="W58" s="856"/>
      <c r="X58" s="826">
        <v>4.4000000000000004</v>
      </c>
      <c r="Y58" s="827"/>
      <c r="Z58" s="827"/>
      <c r="AA58" s="827"/>
      <c r="AB58" s="827">
        <v>3.6</v>
      </c>
      <c r="AC58" s="827"/>
      <c r="AD58" s="827"/>
      <c r="AE58" s="828"/>
      <c r="AF58" s="826">
        <v>6</v>
      </c>
      <c r="AG58" s="827"/>
      <c r="AH58" s="828"/>
      <c r="AI58" s="49" t="s">
        <v>708</v>
      </c>
      <c r="AJ58" s="51">
        <v>12.14</v>
      </c>
      <c r="AK58" s="109">
        <v>12.14</v>
      </c>
      <c r="AL58" s="110">
        <f t="shared" si="17"/>
        <v>14.00329489291598</v>
      </c>
      <c r="AM58" s="744"/>
      <c r="AS58"/>
      <c r="AT58"/>
      <c r="AU58"/>
      <c r="AV58"/>
      <c r="AW58"/>
      <c r="AX58"/>
      <c r="AY58"/>
      <c r="AZ58"/>
      <c r="BA58"/>
      <c r="BB58"/>
      <c r="BC58"/>
      <c r="BD58"/>
    </row>
    <row r="59" spans="1:67" ht="16.5">
      <c r="A59" s="1">
        <v>53</v>
      </c>
      <c r="B59" s="43" t="str">
        <f t="shared" si="14"/>
        <v xml:space="preserve">MS + JS ab 32 kg LG bis Mastende/Belegung -N-reduzierte-Fütterung - Mist/Jauche </v>
      </c>
      <c r="C59" s="44" t="s">
        <v>711</v>
      </c>
      <c r="D59" s="823"/>
      <c r="E59" s="824"/>
      <c r="F59" s="824"/>
      <c r="G59" s="824">
        <v>2.1</v>
      </c>
      <c r="H59" s="825">
        <v>4.2</v>
      </c>
      <c r="I59" s="826"/>
      <c r="J59" s="827">
        <v>0.23</v>
      </c>
      <c r="K59" s="828">
        <v>0.48</v>
      </c>
      <c r="L59" s="826">
        <v>0.3</v>
      </c>
      <c r="M59" s="828">
        <v>1.26</v>
      </c>
      <c r="N59" s="1229"/>
      <c r="O59" s="1235"/>
      <c r="P59" s="1232"/>
      <c r="Q59" s="1240">
        <f>IF(Tabelle1!$N$45="JA",Tabelle1!AD59,Tabelle1!Z59)</f>
        <v>0.22</v>
      </c>
      <c r="R59" s="1241">
        <f>IF(Tabelle1!$N$45="JA",Tabelle1!AE59,Tabelle1!AA59)</f>
        <v>4.18</v>
      </c>
      <c r="S59" s="849"/>
      <c r="T59" s="850"/>
      <c r="U59" s="851"/>
      <c r="V59" s="852">
        <v>0.5</v>
      </c>
      <c r="W59" s="853">
        <v>4.5</v>
      </c>
      <c r="X59" s="826"/>
      <c r="Y59" s="827"/>
      <c r="Z59" s="827">
        <v>0.22</v>
      </c>
      <c r="AA59" s="827">
        <v>4.18</v>
      </c>
      <c r="AB59" s="827"/>
      <c r="AC59" s="827"/>
      <c r="AD59" s="827">
        <v>0.18</v>
      </c>
      <c r="AE59" s="828">
        <v>3.42</v>
      </c>
      <c r="AF59" s="826"/>
      <c r="AG59" s="827">
        <v>1.8</v>
      </c>
      <c r="AH59" s="828">
        <v>3.8</v>
      </c>
      <c r="AI59" s="49" t="s">
        <v>711</v>
      </c>
      <c r="AJ59" s="51">
        <v>12.14</v>
      </c>
      <c r="AK59" s="109">
        <v>12.14</v>
      </c>
      <c r="AL59" s="110">
        <f t="shared" si="17"/>
        <v>14.00329489291598</v>
      </c>
      <c r="AM59" s="744"/>
      <c r="AQ59" s="111" t="s">
        <v>718</v>
      </c>
      <c r="AR59" s="3"/>
      <c r="AS59"/>
      <c r="AT59"/>
      <c r="AU59"/>
      <c r="AV59"/>
      <c r="AW59"/>
      <c r="AX59"/>
      <c r="AY59"/>
      <c r="AZ59"/>
      <c r="BA59"/>
      <c r="BB59"/>
      <c r="BC59"/>
      <c r="BD59"/>
    </row>
    <row r="60" spans="1:67" ht="16.5">
      <c r="A60" s="1">
        <v>54</v>
      </c>
      <c r="B60" s="43" t="str">
        <f t="shared" si="14"/>
        <v xml:space="preserve">MS + JS ab 32 kg LG bis Mastende/Belegung -N-reduzierte-Fütterung - Tiefstallmist </v>
      </c>
      <c r="C60" s="44" t="s">
        <v>713</v>
      </c>
      <c r="D60" s="823"/>
      <c r="E60" s="824"/>
      <c r="F60" s="824"/>
      <c r="G60" s="824"/>
      <c r="H60" s="825">
        <v>6.4</v>
      </c>
      <c r="I60" s="826"/>
      <c r="J60" s="827"/>
      <c r="K60" s="828">
        <v>0.77</v>
      </c>
      <c r="L60" s="826">
        <v>0.3</v>
      </c>
      <c r="M60" s="828">
        <v>1.26</v>
      </c>
      <c r="N60" s="1229"/>
      <c r="O60" s="1235"/>
      <c r="P60" s="1232"/>
      <c r="Q60" s="1224"/>
      <c r="R60" s="1241">
        <f>IF(Tabelle1!$N$45="JA",Tabelle1!AE60,Tabelle1!AA60)</f>
        <v>4.4000000000000004</v>
      </c>
      <c r="S60" s="849"/>
      <c r="T60" s="850"/>
      <c r="U60" s="851"/>
      <c r="V60" s="852"/>
      <c r="W60" s="853">
        <v>5</v>
      </c>
      <c r="X60" s="826"/>
      <c r="Y60" s="827"/>
      <c r="Z60" s="827"/>
      <c r="AA60" s="827">
        <v>4.4000000000000004</v>
      </c>
      <c r="AB60" s="827"/>
      <c r="AC60" s="827"/>
      <c r="AD60" s="827"/>
      <c r="AE60" s="828">
        <v>3.6</v>
      </c>
      <c r="AF60" s="826"/>
      <c r="AG60" s="827"/>
      <c r="AH60" s="828">
        <v>5.8</v>
      </c>
      <c r="AI60" s="49" t="s">
        <v>713</v>
      </c>
      <c r="AJ60" s="51">
        <v>12.14</v>
      </c>
      <c r="AK60" s="109">
        <v>12.14</v>
      </c>
      <c r="AL60" s="110">
        <f t="shared" si="17"/>
        <v>14.00329489291598</v>
      </c>
      <c r="AM60" s="744"/>
      <c r="AQ60" s="4" t="s">
        <v>686</v>
      </c>
      <c r="AR60" s="4" t="s">
        <v>687</v>
      </c>
      <c r="AS60" s="4" t="s">
        <v>688</v>
      </c>
      <c r="AT60" s="4" t="s">
        <v>459</v>
      </c>
      <c r="AU60" s="4" t="s">
        <v>460</v>
      </c>
      <c r="AV60" s="4" t="s">
        <v>689</v>
      </c>
      <c r="AW60" s="4" t="s">
        <v>655</v>
      </c>
      <c r="AX60"/>
      <c r="AY60"/>
      <c r="AZ60"/>
      <c r="BA60"/>
      <c r="BB60"/>
      <c r="BC60"/>
      <c r="BD60"/>
    </row>
    <row r="61" spans="1:67" ht="16.5">
      <c r="A61" s="1">
        <v>55</v>
      </c>
      <c r="B61" s="43" t="str">
        <f t="shared" si="14"/>
        <v xml:space="preserve">MS + JS ab 32 kg LG bis Mastende/Belegung - stark-N-reduzierte-Fütterung - Gülle </v>
      </c>
      <c r="C61" s="44" t="s">
        <v>716</v>
      </c>
      <c r="D61" s="823"/>
      <c r="E61" s="824">
        <v>6.7</v>
      </c>
      <c r="F61" s="824"/>
      <c r="G61" s="824"/>
      <c r="H61" s="825"/>
      <c r="I61" s="826">
        <v>0.7</v>
      </c>
      <c r="J61" s="827"/>
      <c r="K61" s="828"/>
      <c r="L61" s="826">
        <v>0.3</v>
      </c>
      <c r="M61" s="828">
        <v>1.26</v>
      </c>
      <c r="N61" s="1229"/>
      <c r="O61" s="1239">
        <f>IF(Tabelle1!$N$45="JA",Tabelle1!AB61,Tabelle1!X61)</f>
        <v>4.4000000000000004</v>
      </c>
      <c r="P61" s="1232"/>
      <c r="Q61" s="1225"/>
      <c r="R61" s="1226"/>
      <c r="S61" s="849"/>
      <c r="T61" s="854">
        <v>5</v>
      </c>
      <c r="U61" s="851"/>
      <c r="V61" s="855"/>
      <c r="W61" s="856"/>
      <c r="X61" s="826">
        <v>4.4000000000000004</v>
      </c>
      <c r="Y61" s="827"/>
      <c r="Z61" s="827"/>
      <c r="AA61" s="827"/>
      <c r="AB61" s="827">
        <v>3.6</v>
      </c>
      <c r="AC61" s="827"/>
      <c r="AD61" s="827"/>
      <c r="AE61" s="828"/>
      <c r="AF61" s="826">
        <v>5.8</v>
      </c>
      <c r="AG61" s="827"/>
      <c r="AH61" s="828"/>
      <c r="AI61" s="49" t="s">
        <v>716</v>
      </c>
      <c r="AJ61" s="51">
        <v>12.14</v>
      </c>
      <c r="AK61" s="109">
        <v>12.14</v>
      </c>
      <c r="AL61" s="110">
        <f t="shared" si="17"/>
        <v>14.00329489291598</v>
      </c>
      <c r="AM61" s="744"/>
      <c r="AP61" s="61" t="s">
        <v>721</v>
      </c>
      <c r="AQ61" s="120">
        <f t="shared" ref="AQ61:AW61" si="18">AQ54</f>
        <v>0</v>
      </c>
      <c r="AR61" s="120">
        <f t="shared" si="18"/>
        <v>0</v>
      </c>
      <c r="AS61" s="120">
        <f t="shared" si="18"/>
        <v>0</v>
      </c>
      <c r="AT61" s="120">
        <f t="shared" si="18"/>
        <v>0</v>
      </c>
      <c r="AU61" s="120">
        <f t="shared" si="18"/>
        <v>0</v>
      </c>
      <c r="AV61" s="120">
        <f t="shared" si="18"/>
        <v>0</v>
      </c>
      <c r="AW61" s="120">
        <f t="shared" si="18"/>
        <v>0</v>
      </c>
      <c r="AX61" s="19">
        <f>SUM(AQ61:AW61)</f>
        <v>0</v>
      </c>
      <c r="AY61"/>
      <c r="AZ61"/>
      <c r="BA61"/>
      <c r="BB61"/>
      <c r="BC61"/>
      <c r="BD61"/>
    </row>
    <row r="62" spans="1:67" ht="16.5">
      <c r="A62" s="1">
        <v>56</v>
      </c>
      <c r="B62" s="43" t="str">
        <f t="shared" si="14"/>
        <v xml:space="preserve">MS + JS ab 32 kg LG bis Mastende/Belegung - stark-N-reduzierte-Fütterung - Mist/Jauche </v>
      </c>
      <c r="C62" s="44" t="s">
        <v>717</v>
      </c>
      <c r="D62" s="823"/>
      <c r="E62" s="824"/>
      <c r="F62" s="824"/>
      <c r="G62" s="824">
        <v>2.1</v>
      </c>
      <c r="H62" s="825">
        <v>4.0999999999999996</v>
      </c>
      <c r="I62" s="826"/>
      <c r="J62" s="827">
        <v>0.23</v>
      </c>
      <c r="K62" s="828">
        <v>0.48</v>
      </c>
      <c r="L62" s="826">
        <v>0.3</v>
      </c>
      <c r="M62" s="828">
        <v>1.26</v>
      </c>
      <c r="N62" s="1229"/>
      <c r="O62" s="1235"/>
      <c r="P62" s="1232"/>
      <c r="Q62" s="1240">
        <f>IF(Tabelle1!$N$45="JA",Tabelle1!AD62,Tabelle1!Z62)</f>
        <v>0.22</v>
      </c>
      <c r="R62" s="1241">
        <f>IF(Tabelle1!$N$45="JA",Tabelle1!AE62,Tabelle1!AA62)</f>
        <v>4.18</v>
      </c>
      <c r="S62" s="849"/>
      <c r="T62" s="850"/>
      <c r="U62" s="851"/>
      <c r="V62" s="852">
        <v>0.5</v>
      </c>
      <c r="W62" s="853">
        <v>4.5</v>
      </c>
      <c r="X62" s="826"/>
      <c r="Y62" s="827"/>
      <c r="Z62" s="827">
        <v>0.22</v>
      </c>
      <c r="AA62" s="827">
        <v>4.18</v>
      </c>
      <c r="AB62" s="827"/>
      <c r="AC62" s="827"/>
      <c r="AD62" s="827">
        <v>0.18</v>
      </c>
      <c r="AE62" s="828">
        <v>3.42</v>
      </c>
      <c r="AF62" s="826"/>
      <c r="AG62" s="827">
        <v>1.8</v>
      </c>
      <c r="AH62" s="828">
        <v>3.7</v>
      </c>
      <c r="AI62" s="49" t="s">
        <v>717</v>
      </c>
      <c r="AJ62" s="51">
        <v>12.14</v>
      </c>
      <c r="AK62" s="109">
        <v>12.14</v>
      </c>
      <c r="AL62" s="110">
        <f t="shared" si="17"/>
        <v>14.00329489291598</v>
      </c>
      <c r="AM62" s="744"/>
      <c r="AP62" s="122" t="s">
        <v>723</v>
      </c>
      <c r="AQ62" s="19">
        <f t="shared" ref="AQ62:AW62" si="19">AQ43</f>
        <v>0</v>
      </c>
      <c r="AR62" s="19">
        <f t="shared" si="19"/>
        <v>0</v>
      </c>
      <c r="AS62" s="19">
        <f t="shared" si="19"/>
        <v>0</v>
      </c>
      <c r="AT62" s="19">
        <f t="shared" si="19"/>
        <v>0</v>
      </c>
      <c r="AU62" s="19">
        <f t="shared" si="19"/>
        <v>0</v>
      </c>
      <c r="AV62" s="19">
        <f t="shared" si="19"/>
        <v>0</v>
      </c>
      <c r="AW62" s="19">
        <f t="shared" si="19"/>
        <v>0</v>
      </c>
      <c r="AX62" s="20">
        <f>SUM(AQ62:AW62)</f>
        <v>0</v>
      </c>
      <c r="AY62" s="123" t="s">
        <v>724</v>
      </c>
      <c r="AZ62" s="89"/>
      <c r="BA62"/>
      <c r="BB62"/>
      <c r="BC62"/>
      <c r="BD62"/>
    </row>
    <row r="63" spans="1:67" ht="16.5">
      <c r="A63" s="1">
        <v>57</v>
      </c>
      <c r="B63" s="43" t="str">
        <f t="shared" si="14"/>
        <v xml:space="preserve">MS + JS ab 32 kg LG bis Mastende/Belegung - stark-N-reduzierte-Fütterung - Tiefstallmist </v>
      </c>
      <c r="C63" s="44" t="s">
        <v>719</v>
      </c>
      <c r="D63" s="823"/>
      <c r="E63" s="824"/>
      <c r="F63" s="824"/>
      <c r="G63" s="824"/>
      <c r="H63" s="825">
        <v>6.2</v>
      </c>
      <c r="I63" s="826"/>
      <c r="J63" s="827"/>
      <c r="K63" s="828">
        <v>0.77</v>
      </c>
      <c r="L63" s="826">
        <v>0.3</v>
      </c>
      <c r="M63" s="828">
        <v>1.26</v>
      </c>
      <c r="N63" s="1229"/>
      <c r="O63" s="1235"/>
      <c r="P63" s="1232"/>
      <c r="Q63" s="1224"/>
      <c r="R63" s="1241">
        <f>IF(Tabelle1!$N$45="JA",Tabelle1!AE63,Tabelle1!AA63)</f>
        <v>4.4000000000000004</v>
      </c>
      <c r="S63" s="849"/>
      <c r="T63" s="850"/>
      <c r="U63" s="851"/>
      <c r="V63" s="852"/>
      <c r="W63" s="853">
        <v>5</v>
      </c>
      <c r="X63" s="826"/>
      <c r="Y63" s="827"/>
      <c r="Z63" s="827"/>
      <c r="AA63" s="827">
        <v>4.4000000000000004</v>
      </c>
      <c r="AB63" s="827"/>
      <c r="AC63" s="827"/>
      <c r="AD63" s="827"/>
      <c r="AE63" s="828">
        <v>3.6</v>
      </c>
      <c r="AF63" s="826"/>
      <c r="AG63" s="827"/>
      <c r="AH63" s="828">
        <v>5.6</v>
      </c>
      <c r="AI63" s="49" t="s">
        <v>719</v>
      </c>
      <c r="AJ63" s="51">
        <v>12.14</v>
      </c>
      <c r="AK63" s="109">
        <v>12.14</v>
      </c>
      <c r="AL63" s="110">
        <f t="shared" si="17"/>
        <v>14.00329489291598</v>
      </c>
      <c r="AM63" s="744"/>
      <c r="AP63" s="61" t="s">
        <v>726</v>
      </c>
      <c r="AQ63" s="120">
        <f t="shared" ref="AQ63:AW63" si="20">SUM(AQ61:AQ62)</f>
        <v>0</v>
      </c>
      <c r="AR63" s="120">
        <f t="shared" si="20"/>
        <v>0</v>
      </c>
      <c r="AS63" s="120">
        <f t="shared" si="20"/>
        <v>0</v>
      </c>
      <c r="AT63" s="120">
        <f t="shared" si="20"/>
        <v>0</v>
      </c>
      <c r="AU63" s="120">
        <f t="shared" si="20"/>
        <v>0</v>
      </c>
      <c r="AV63" s="120">
        <f t="shared" si="20"/>
        <v>0</v>
      </c>
      <c r="AW63" s="120">
        <f t="shared" si="20"/>
        <v>0</v>
      </c>
      <c r="AX63" s="120">
        <f>SUM(AQ63:AW63)</f>
        <v>0</v>
      </c>
      <c r="AY63" s="61" t="s">
        <v>727</v>
      </c>
      <c r="AZ63"/>
      <c r="BA63"/>
      <c r="BB63"/>
      <c r="BC63"/>
      <c r="BD63"/>
    </row>
    <row r="64" spans="1:67" ht="16.5">
      <c r="A64" s="1">
        <v>58</v>
      </c>
      <c r="B64" s="43" t="str">
        <f t="shared" si="14"/>
        <v>Zuchtschweine - Standard-Fütterung - Gülle</v>
      </c>
      <c r="C64" s="44" t="s">
        <v>720</v>
      </c>
      <c r="D64" s="823"/>
      <c r="E64" s="824">
        <v>14.4</v>
      </c>
      <c r="F64" s="824"/>
      <c r="G64" s="824"/>
      <c r="H64" s="825"/>
      <c r="I64" s="826">
        <v>2.5499999999999998</v>
      </c>
      <c r="J64" s="827"/>
      <c r="K64" s="828"/>
      <c r="L64" s="826">
        <v>0.5</v>
      </c>
      <c r="M64" s="828">
        <v>1</v>
      </c>
      <c r="N64" s="1229"/>
      <c r="O64" s="1239">
        <f>IF(Tabelle1!$N$45="JA",Tabelle1!AB64,Tabelle1!X64)</f>
        <v>10.6</v>
      </c>
      <c r="P64" s="1232"/>
      <c r="Q64" s="1225"/>
      <c r="R64" s="1226"/>
      <c r="S64" s="849"/>
      <c r="T64" s="854">
        <v>6.8</v>
      </c>
      <c r="U64" s="851"/>
      <c r="V64" s="855"/>
      <c r="W64" s="856"/>
      <c r="X64" s="826">
        <v>10.6</v>
      </c>
      <c r="Y64" s="827"/>
      <c r="Z64" s="827"/>
      <c r="AA64" s="827"/>
      <c r="AB64" s="827">
        <v>9</v>
      </c>
      <c r="AC64" s="827"/>
      <c r="AD64" s="827"/>
      <c r="AE64" s="828"/>
      <c r="AF64" s="826">
        <v>12.5</v>
      </c>
      <c r="AG64" s="827"/>
      <c r="AH64" s="828"/>
      <c r="AI64" s="49" t="s">
        <v>720</v>
      </c>
      <c r="AJ64" s="51">
        <v>26.15</v>
      </c>
      <c r="AK64" s="109">
        <v>34.549999999999997</v>
      </c>
      <c r="AL64" s="110">
        <f t="shared" si="17"/>
        <v>4.9204052098408111</v>
      </c>
      <c r="AM64" s="744"/>
      <c r="AP64" s="61" t="s">
        <v>729</v>
      </c>
      <c r="AQ64" s="4">
        <v>0.87</v>
      </c>
      <c r="AR64" s="4">
        <v>0.87</v>
      </c>
      <c r="AS64" s="4">
        <v>0.87</v>
      </c>
      <c r="AT64" s="4">
        <v>0.87</v>
      </c>
      <c r="AU64" s="4">
        <v>0.91</v>
      </c>
      <c r="AV64" s="4">
        <v>0.91</v>
      </c>
      <c r="AW64" s="4">
        <v>0.91</v>
      </c>
      <c r="AX64" s="61" t="s">
        <v>730</v>
      </c>
      <c r="AY64"/>
      <c r="AZ64"/>
      <c r="BA64"/>
      <c r="BB64"/>
      <c r="BC64"/>
      <c r="BD64"/>
    </row>
    <row r="65" spans="1:56" ht="17.25" thickBot="1">
      <c r="A65" s="1">
        <v>59</v>
      </c>
      <c r="B65" s="43" t="str">
        <f t="shared" si="14"/>
        <v>Zuchtschweine - Standard-Fütterung - Mist/Jauche</v>
      </c>
      <c r="C65" s="44" t="s">
        <v>722</v>
      </c>
      <c r="D65" s="823"/>
      <c r="E65" s="824"/>
      <c r="F65" s="824"/>
      <c r="G65" s="824">
        <v>4.5</v>
      </c>
      <c r="H65" s="825">
        <v>8.9</v>
      </c>
      <c r="I65" s="826"/>
      <c r="J65" s="827">
        <v>0.84</v>
      </c>
      <c r="K65" s="828">
        <v>1.73</v>
      </c>
      <c r="L65" s="826">
        <v>0.5</v>
      </c>
      <c r="M65" s="828">
        <v>1</v>
      </c>
      <c r="N65" s="1229"/>
      <c r="O65" s="1235"/>
      <c r="P65" s="1232"/>
      <c r="Q65" s="1240">
        <f>IF(Tabelle1!$N$45="JA",Tabelle1!AD65,Tabelle1!Z65)</f>
        <v>0.53</v>
      </c>
      <c r="R65" s="1241">
        <f>IF(Tabelle1!$N$45="JA",Tabelle1!AE65,Tabelle1!AA65)</f>
        <v>10.07</v>
      </c>
      <c r="S65" s="849"/>
      <c r="T65" s="850"/>
      <c r="U65" s="851"/>
      <c r="V65" s="852">
        <v>0.68</v>
      </c>
      <c r="W65" s="853">
        <v>6.12</v>
      </c>
      <c r="X65" s="826"/>
      <c r="Y65" s="827"/>
      <c r="Z65" s="827">
        <v>0.53</v>
      </c>
      <c r="AA65" s="827">
        <v>10.07</v>
      </c>
      <c r="AB65" s="827"/>
      <c r="AC65" s="827"/>
      <c r="AD65" s="827">
        <v>0.45</v>
      </c>
      <c r="AE65" s="828">
        <v>8.5500000000000007</v>
      </c>
      <c r="AF65" s="826"/>
      <c r="AG65" s="827">
        <v>3.9</v>
      </c>
      <c r="AH65" s="828">
        <v>8.1</v>
      </c>
      <c r="AI65" s="49" t="s">
        <v>722</v>
      </c>
      <c r="AJ65" s="51">
        <v>26.15</v>
      </c>
      <c r="AK65" s="109">
        <v>34.549999999999997</v>
      </c>
      <c r="AL65" s="110">
        <f t="shared" si="17"/>
        <v>4.9204052098408111</v>
      </c>
      <c r="AM65" s="744"/>
      <c r="AP65" s="82" t="s">
        <v>732</v>
      </c>
      <c r="AQ65" s="19">
        <f t="shared" ref="AQ65:AW65" si="21">AQ62*AQ64</f>
        <v>0</v>
      </c>
      <c r="AR65" s="19">
        <f t="shared" si="21"/>
        <v>0</v>
      </c>
      <c r="AS65" s="19">
        <f t="shared" si="21"/>
        <v>0</v>
      </c>
      <c r="AT65" s="19">
        <f t="shared" si="21"/>
        <v>0</v>
      </c>
      <c r="AU65" s="19">
        <f t="shared" si="21"/>
        <v>0</v>
      </c>
      <c r="AV65" s="19">
        <f t="shared" si="21"/>
        <v>0</v>
      </c>
      <c r="AW65" s="19">
        <f t="shared" si="21"/>
        <v>0</v>
      </c>
      <c r="AX65" s="19">
        <f>SUM(AQ65:AW65)</f>
        <v>0</v>
      </c>
      <c r="AY65"/>
      <c r="AZ65"/>
      <c r="BA65"/>
      <c r="BB65"/>
      <c r="BC65"/>
      <c r="BD65"/>
    </row>
    <row r="66" spans="1:56" ht="17.25" thickBot="1">
      <c r="A66" s="1">
        <v>60</v>
      </c>
      <c r="B66" s="43" t="str">
        <f t="shared" si="14"/>
        <v>Zuchtschweine - Standard-Fütterung - Tiefstallmist</v>
      </c>
      <c r="C66" s="44" t="s">
        <v>725</v>
      </c>
      <c r="D66" s="823"/>
      <c r="E66" s="824"/>
      <c r="F66" s="824"/>
      <c r="G66" s="824"/>
      <c r="H66" s="825">
        <v>13.4</v>
      </c>
      <c r="I66" s="826"/>
      <c r="J66" s="827"/>
      <c r="K66" s="828">
        <v>2.72</v>
      </c>
      <c r="L66" s="826">
        <v>0.5</v>
      </c>
      <c r="M66" s="828">
        <v>1</v>
      </c>
      <c r="N66" s="1229"/>
      <c r="O66" s="1235"/>
      <c r="P66" s="1232"/>
      <c r="Q66" s="1224"/>
      <c r="R66" s="1241">
        <f>IF(Tabelle1!$N$45="JA",Tabelle1!AE66,Tabelle1!AA66)</f>
        <v>10.6</v>
      </c>
      <c r="S66" s="849"/>
      <c r="T66" s="850"/>
      <c r="U66" s="851"/>
      <c r="V66" s="852"/>
      <c r="W66" s="853">
        <v>6.8</v>
      </c>
      <c r="X66" s="826"/>
      <c r="Y66" s="827"/>
      <c r="Z66" s="827"/>
      <c r="AA66" s="827">
        <v>10.6</v>
      </c>
      <c r="AB66" s="827"/>
      <c r="AC66" s="827"/>
      <c r="AD66" s="827"/>
      <c r="AE66" s="828">
        <v>9</v>
      </c>
      <c r="AF66" s="826"/>
      <c r="AG66" s="827"/>
      <c r="AH66" s="828">
        <v>12.2</v>
      </c>
      <c r="AI66" s="49" t="s">
        <v>725</v>
      </c>
      <c r="AJ66" s="51">
        <v>26.15</v>
      </c>
      <c r="AK66" s="109">
        <v>34.549999999999997</v>
      </c>
      <c r="AL66" s="110">
        <f t="shared" si="17"/>
        <v>4.9204052098408111</v>
      </c>
      <c r="AM66" s="744"/>
      <c r="AP66" s="61" t="s">
        <v>734</v>
      </c>
      <c r="AQ66" s="530">
        <f t="shared" ref="AQ66:AW66" si="22">AQ63*AQ64</f>
        <v>0</v>
      </c>
      <c r="AR66" s="530">
        <f t="shared" si="22"/>
        <v>0</v>
      </c>
      <c r="AS66" s="530">
        <f t="shared" si="22"/>
        <v>0</v>
      </c>
      <c r="AT66" s="530">
        <f t="shared" si="22"/>
        <v>0</v>
      </c>
      <c r="AU66" s="530">
        <f t="shared" si="22"/>
        <v>0</v>
      </c>
      <c r="AV66" s="530">
        <f t="shared" si="22"/>
        <v>0</v>
      </c>
      <c r="AW66" s="534">
        <f t="shared" si="22"/>
        <v>0</v>
      </c>
      <c r="AX66" s="535">
        <f>SUM(AQ66:AW66)</f>
        <v>0</v>
      </c>
      <c r="AY66" s="111" t="s">
        <v>707</v>
      </c>
      <c r="AZ66"/>
      <c r="BA66"/>
      <c r="BB66"/>
      <c r="BC66"/>
      <c r="BD66"/>
    </row>
    <row r="67" spans="1:56" ht="17.25" thickBot="1">
      <c r="A67" s="1">
        <v>61</v>
      </c>
      <c r="B67" s="43" t="str">
        <f t="shared" si="14"/>
        <v>Zuchtschweine - N-reduzierte Fütterung - Gülle</v>
      </c>
      <c r="C67" s="44" t="s">
        <v>728</v>
      </c>
      <c r="D67" s="823"/>
      <c r="E67" s="824">
        <v>12.8</v>
      </c>
      <c r="F67" s="824"/>
      <c r="G67" s="824"/>
      <c r="H67" s="825"/>
      <c r="I67" s="826">
        <v>2.5499999999999998</v>
      </c>
      <c r="J67" s="827"/>
      <c r="K67" s="828"/>
      <c r="L67" s="826">
        <v>0.5</v>
      </c>
      <c r="M67" s="828">
        <v>1</v>
      </c>
      <c r="N67" s="1229"/>
      <c r="O67" s="1239">
        <f>IF(Tabelle1!$N$45="JA",Tabelle1!AB67,Tabelle1!X67)</f>
        <v>10.6</v>
      </c>
      <c r="P67" s="1232"/>
      <c r="Q67" s="1225"/>
      <c r="R67" s="1226"/>
      <c r="S67" s="849"/>
      <c r="T67" s="854">
        <v>6.8</v>
      </c>
      <c r="U67" s="851"/>
      <c r="V67" s="855"/>
      <c r="W67" s="856"/>
      <c r="X67" s="826">
        <v>10.6</v>
      </c>
      <c r="Y67" s="827"/>
      <c r="Z67" s="827"/>
      <c r="AA67" s="827"/>
      <c r="AB67" s="827">
        <v>9</v>
      </c>
      <c r="AC67" s="827"/>
      <c r="AD67" s="827"/>
      <c r="AE67" s="828"/>
      <c r="AF67" s="826">
        <v>11.1</v>
      </c>
      <c r="AG67" s="827"/>
      <c r="AH67" s="828"/>
      <c r="AI67" s="49" t="s">
        <v>728</v>
      </c>
      <c r="AJ67" s="51">
        <v>26.15</v>
      </c>
      <c r="AK67" s="109">
        <v>34.549999999999997</v>
      </c>
      <c r="AL67" s="110">
        <f t="shared" si="17"/>
        <v>4.9204052098408111</v>
      </c>
      <c r="AM67" s="744"/>
      <c r="AQ67" s="4"/>
      <c r="AR67" s="4"/>
      <c r="AS67" s="4"/>
      <c r="AT67" s="4"/>
      <c r="AU67" s="4"/>
      <c r="AV67" s="4"/>
      <c r="AW67" s="4"/>
      <c r="AX67" s="124">
        <f>SUM(Mineral!$G$3:$G$27)</f>
        <v>0</v>
      </c>
      <c r="AY67" s="73" t="s">
        <v>2348</v>
      </c>
      <c r="AZ67" s="74"/>
      <c r="BA67"/>
      <c r="BB67"/>
      <c r="BC67"/>
      <c r="BD67"/>
    </row>
    <row r="68" spans="1:56" ht="16.5">
      <c r="A68" s="1">
        <v>62</v>
      </c>
      <c r="B68" s="43" t="str">
        <f t="shared" si="14"/>
        <v>Zuchtschweine - N-reduzierte Fütterung - Mist/Jauche</v>
      </c>
      <c r="C68" s="44" t="s">
        <v>731</v>
      </c>
      <c r="D68" s="823"/>
      <c r="E68" s="824"/>
      <c r="F68" s="824"/>
      <c r="G68" s="824">
        <v>4</v>
      </c>
      <c r="H68" s="825">
        <v>7.9</v>
      </c>
      <c r="I68" s="826"/>
      <c r="J68" s="827">
        <v>0.84</v>
      </c>
      <c r="K68" s="828">
        <v>1.73</v>
      </c>
      <c r="L68" s="826">
        <v>0.5</v>
      </c>
      <c r="M68" s="828">
        <v>1</v>
      </c>
      <c r="N68" s="1229"/>
      <c r="O68" s="1235"/>
      <c r="P68" s="1232"/>
      <c r="Q68" s="1240">
        <f>IF(Tabelle1!$N$45="JA",Tabelle1!AD68,Tabelle1!Z68)</f>
        <v>0.53</v>
      </c>
      <c r="R68" s="1241">
        <f>IF(Tabelle1!$N$45="JA",Tabelle1!AE68,Tabelle1!AA68)</f>
        <v>10.07</v>
      </c>
      <c r="S68" s="849"/>
      <c r="T68" s="850"/>
      <c r="U68" s="851"/>
      <c r="V68" s="852">
        <v>0.68</v>
      </c>
      <c r="W68" s="853">
        <v>6.12</v>
      </c>
      <c r="X68" s="826"/>
      <c r="Y68" s="827"/>
      <c r="Z68" s="827">
        <v>0.53</v>
      </c>
      <c r="AA68" s="827">
        <v>10.07</v>
      </c>
      <c r="AB68" s="827"/>
      <c r="AC68" s="827"/>
      <c r="AD68" s="827">
        <v>0.45</v>
      </c>
      <c r="AE68" s="828">
        <v>8.5500000000000007</v>
      </c>
      <c r="AF68" s="826"/>
      <c r="AG68" s="827">
        <v>3.5</v>
      </c>
      <c r="AH68" s="828">
        <v>7.2</v>
      </c>
      <c r="AI68" s="49" t="s">
        <v>731</v>
      </c>
      <c r="AJ68" s="51">
        <v>26.15</v>
      </c>
      <c r="AK68" s="109">
        <v>34.549999999999997</v>
      </c>
      <c r="AL68" s="110">
        <f t="shared" si="17"/>
        <v>4.9204052098408111</v>
      </c>
      <c r="AM68" s="744"/>
      <c r="AQ68" s="111" t="s">
        <v>738</v>
      </c>
      <c r="AR68" s="3"/>
      <c r="AS68"/>
      <c r="AT68"/>
      <c r="AU68"/>
      <c r="AV68"/>
      <c r="AW68"/>
      <c r="AX68" s="115">
        <f>BN49</f>
        <v>0</v>
      </c>
      <c r="AY68" s="3" t="s">
        <v>710</v>
      </c>
      <c r="AZ68"/>
      <c r="BA68"/>
      <c r="BB68"/>
      <c r="BC68"/>
      <c r="BD68"/>
    </row>
    <row r="69" spans="1:56" ht="16.5">
      <c r="A69" s="1">
        <v>63</v>
      </c>
      <c r="B69" s="43" t="str">
        <f t="shared" si="14"/>
        <v>Zuchtschweine - N-reduzierte Fütterung - Tiefstallmist</v>
      </c>
      <c r="C69" s="44" t="s">
        <v>733</v>
      </c>
      <c r="D69" s="823"/>
      <c r="E69" s="824"/>
      <c r="F69" s="824"/>
      <c r="G69" s="824"/>
      <c r="H69" s="825">
        <v>11.9</v>
      </c>
      <c r="I69" s="826"/>
      <c r="J69" s="827"/>
      <c r="K69" s="828">
        <v>2.72</v>
      </c>
      <c r="L69" s="826">
        <v>0.5</v>
      </c>
      <c r="M69" s="828">
        <v>1</v>
      </c>
      <c r="N69" s="1229"/>
      <c r="O69" s="1235"/>
      <c r="P69" s="1232"/>
      <c r="Q69" s="1224"/>
      <c r="R69" s="1241">
        <f>IF(Tabelle1!$N$45="JA",Tabelle1!AE69,Tabelle1!AA69)</f>
        <v>10.6</v>
      </c>
      <c r="S69" s="849"/>
      <c r="T69" s="850"/>
      <c r="U69" s="851"/>
      <c r="V69" s="852"/>
      <c r="W69" s="853">
        <v>6.8</v>
      </c>
      <c r="X69" s="826"/>
      <c r="Y69" s="827"/>
      <c r="Z69" s="827"/>
      <c r="AA69" s="827">
        <v>10.6</v>
      </c>
      <c r="AB69" s="827"/>
      <c r="AC69" s="827"/>
      <c r="AD69" s="827"/>
      <c r="AE69" s="828">
        <v>9</v>
      </c>
      <c r="AF69" s="826"/>
      <c r="AG69" s="827"/>
      <c r="AH69" s="828">
        <v>10.8</v>
      </c>
      <c r="AI69" s="49" t="s">
        <v>733</v>
      </c>
      <c r="AJ69" s="51">
        <v>26.15</v>
      </c>
      <c r="AK69" s="109">
        <v>34.549999999999997</v>
      </c>
      <c r="AL69" s="110">
        <f t="shared" si="17"/>
        <v>4.9204052098408111</v>
      </c>
      <c r="AM69" s="744"/>
      <c r="AQ69" s="116" t="s">
        <v>740</v>
      </c>
      <c r="AR69" s="117"/>
      <c r="AS69" s="118"/>
      <c r="AT69" s="118"/>
      <c r="AU69" s="118"/>
      <c r="AV69" s="118"/>
      <c r="AW69" s="118"/>
      <c r="AX69" s="125">
        <f>AX66+AX67-AX68</f>
        <v>0</v>
      </c>
      <c r="AY69" s="100" t="s">
        <v>741</v>
      </c>
      <c r="AZ69" s="118"/>
      <c r="BA69" s="89"/>
      <c r="BB69" s="90"/>
      <c r="BC69"/>
      <c r="BD69"/>
    </row>
    <row r="70" spans="1:56" ht="16.5">
      <c r="A70" s="1">
        <v>64</v>
      </c>
      <c r="B70" s="43" t="str">
        <f t="shared" si="14"/>
        <v>Zuchtschweine - stark-N-reduzierte Fütterung - Gülle</v>
      </c>
      <c r="C70" t="s">
        <v>2389</v>
      </c>
      <c r="D70" s="823"/>
      <c r="E70" s="824">
        <v>12.8</v>
      </c>
      <c r="F70" s="824"/>
      <c r="G70" s="824"/>
      <c r="H70" s="825"/>
      <c r="I70" s="826">
        <v>2.5499999999999998</v>
      </c>
      <c r="J70" s="827"/>
      <c r="K70" s="828"/>
      <c r="L70" s="826">
        <v>0.5</v>
      </c>
      <c r="M70" s="828">
        <v>1</v>
      </c>
      <c r="N70" s="1229"/>
      <c r="O70" s="1239">
        <f>IF(Tabelle1!$N$45="JA",Tabelle1!AB70,Tabelle1!X70)</f>
        <v>10.6</v>
      </c>
      <c r="P70" s="1232"/>
      <c r="Q70" s="1225"/>
      <c r="R70" s="1226"/>
      <c r="S70" s="849"/>
      <c r="T70" s="854">
        <v>6.8</v>
      </c>
      <c r="U70" s="851"/>
      <c r="V70" s="855"/>
      <c r="W70" s="856"/>
      <c r="X70" s="826">
        <v>10.6</v>
      </c>
      <c r="Y70" s="827"/>
      <c r="Z70" s="827"/>
      <c r="AA70" s="827"/>
      <c r="AB70" s="827">
        <v>9</v>
      </c>
      <c r="AC70" s="827"/>
      <c r="AD70" s="827"/>
      <c r="AE70" s="828"/>
      <c r="AF70" s="826">
        <v>11.1</v>
      </c>
      <c r="AG70" s="827"/>
      <c r="AH70" s="828"/>
      <c r="AI70" s="1" t="s">
        <v>2389</v>
      </c>
      <c r="AJ70" s="51">
        <v>26.15</v>
      </c>
      <c r="AK70" s="109">
        <v>34.549999999999997</v>
      </c>
      <c r="AL70" s="110">
        <f>170/AK70</f>
        <v>4.9204052098408111</v>
      </c>
      <c r="AM70" s="744"/>
      <c r="AR70" s="81"/>
      <c r="AS70"/>
      <c r="AT70"/>
      <c r="AU70"/>
      <c r="AV70"/>
      <c r="AW70"/>
      <c r="AX70"/>
      <c r="AY70"/>
      <c r="AZ70"/>
      <c r="BA70"/>
      <c r="BB70"/>
      <c r="BC70"/>
      <c r="BD70"/>
    </row>
    <row r="71" spans="1:56" ht="16.5">
      <c r="A71" s="1">
        <v>65</v>
      </c>
      <c r="B71" s="43" t="str">
        <f t="shared" si="14"/>
        <v>Zuchtschweine - stark-N-reduzierte Fütterung - Mist/Jauche</v>
      </c>
      <c r="C71" t="s">
        <v>2390</v>
      </c>
      <c r="D71" s="823"/>
      <c r="E71" s="824"/>
      <c r="F71" s="824"/>
      <c r="G71" s="824">
        <v>4</v>
      </c>
      <c r="H71" s="825">
        <v>7.9</v>
      </c>
      <c r="I71" s="826"/>
      <c r="J71" s="827">
        <v>0.84</v>
      </c>
      <c r="K71" s="828">
        <v>1.73</v>
      </c>
      <c r="L71" s="826">
        <v>0.5</v>
      </c>
      <c r="M71" s="828">
        <v>1</v>
      </c>
      <c r="N71" s="1229"/>
      <c r="O71" s="1235"/>
      <c r="P71" s="1232"/>
      <c r="Q71" s="1240">
        <v>0.53</v>
      </c>
      <c r="R71" s="1241">
        <v>10.07</v>
      </c>
      <c r="S71" s="849"/>
      <c r="T71" s="850"/>
      <c r="U71" s="851"/>
      <c r="V71" s="852">
        <v>0.68</v>
      </c>
      <c r="W71" s="853">
        <v>6.12</v>
      </c>
      <c r="X71" s="826"/>
      <c r="Y71" s="827"/>
      <c r="Z71" s="827">
        <v>0.53</v>
      </c>
      <c r="AA71" s="827">
        <v>10.07</v>
      </c>
      <c r="AB71" s="827"/>
      <c r="AC71" s="827"/>
      <c r="AD71" s="827">
        <v>0.45</v>
      </c>
      <c r="AE71" s="828">
        <v>8.5500000000000007</v>
      </c>
      <c r="AF71" s="826"/>
      <c r="AG71" s="827">
        <v>3.5</v>
      </c>
      <c r="AH71" s="828">
        <v>7.2</v>
      </c>
      <c r="AI71" s="1" t="s">
        <v>2390</v>
      </c>
      <c r="AJ71" s="51">
        <v>26.15</v>
      </c>
      <c r="AK71" s="109">
        <v>34.549999999999997</v>
      </c>
      <c r="AL71" s="110">
        <f>170/AK71</f>
        <v>4.9204052098408111</v>
      </c>
      <c r="AM71" s="744"/>
      <c r="AQ71" s="111" t="s">
        <v>744</v>
      </c>
      <c r="AR71" s="3"/>
      <c r="AS71"/>
      <c r="AT71"/>
      <c r="AU71"/>
      <c r="AV71"/>
      <c r="AW71"/>
      <c r="AX71"/>
      <c r="AY71"/>
      <c r="AZ71"/>
      <c r="BA71"/>
      <c r="BB71"/>
      <c r="BC71"/>
      <c r="BD71"/>
    </row>
    <row r="72" spans="1:56" ht="16.5">
      <c r="A72" s="1">
        <v>66</v>
      </c>
      <c r="B72" s="43" t="str">
        <f t="shared" si="14"/>
        <v>Zuchtschweine - stark-N-reduzierte Fütterung - Tiefstallmist</v>
      </c>
      <c r="C72" t="s">
        <v>2391</v>
      </c>
      <c r="D72" s="823"/>
      <c r="E72" s="824"/>
      <c r="F72" s="824"/>
      <c r="G72" s="824"/>
      <c r="H72" s="825">
        <v>11.9</v>
      </c>
      <c r="I72" s="826"/>
      <c r="J72" s="827"/>
      <c r="K72" s="828">
        <v>2.72</v>
      </c>
      <c r="L72" s="826">
        <v>0.5</v>
      </c>
      <c r="M72" s="828">
        <v>1</v>
      </c>
      <c r="N72" s="1229"/>
      <c r="O72" s="1235"/>
      <c r="P72" s="1232"/>
      <c r="Q72" s="1224"/>
      <c r="R72" s="1241">
        <v>10.6</v>
      </c>
      <c r="S72" s="849"/>
      <c r="T72" s="850"/>
      <c r="U72" s="851"/>
      <c r="V72" s="852"/>
      <c r="W72" s="853">
        <v>6.8</v>
      </c>
      <c r="X72" s="826"/>
      <c r="Y72" s="827"/>
      <c r="Z72" s="827"/>
      <c r="AA72" s="827">
        <v>10.6</v>
      </c>
      <c r="AB72" s="827"/>
      <c r="AC72" s="827"/>
      <c r="AD72" s="827"/>
      <c r="AE72" s="828">
        <v>9</v>
      </c>
      <c r="AF72" s="826"/>
      <c r="AG72" s="827"/>
      <c r="AH72" s="828">
        <v>10.8</v>
      </c>
      <c r="AI72" s="1" t="s">
        <v>2391</v>
      </c>
      <c r="AJ72" s="51">
        <v>26.15</v>
      </c>
      <c r="AK72" s="109">
        <v>34.549999999999997</v>
      </c>
      <c r="AL72" s="110">
        <f>170/AK72</f>
        <v>4.9204052098408111</v>
      </c>
      <c r="AM72" s="744"/>
      <c r="AQ72" s="4" t="s">
        <v>686</v>
      </c>
      <c r="AR72" s="4" t="s">
        <v>687</v>
      </c>
      <c r="AS72" s="4" t="s">
        <v>688</v>
      </c>
      <c r="AT72" s="4" t="s">
        <v>459</v>
      </c>
      <c r="AU72" s="4" t="s">
        <v>460</v>
      </c>
      <c r="AV72" s="4" t="s">
        <v>689</v>
      </c>
      <c r="AW72" s="4" t="s">
        <v>655</v>
      </c>
      <c r="AX72"/>
      <c r="AY72"/>
      <c r="AZ72"/>
      <c r="BA72"/>
      <c r="BB72"/>
      <c r="BC72"/>
      <c r="BD72"/>
    </row>
    <row r="73" spans="1:56" ht="16.5">
      <c r="A73" s="1">
        <v>67</v>
      </c>
      <c r="B73" s="43" t="str">
        <f t="shared" si="14"/>
        <v>Zuchteber - Standard-Fütterung - Gülle</v>
      </c>
      <c r="C73" s="44" t="s">
        <v>735</v>
      </c>
      <c r="D73" s="823"/>
      <c r="E73" s="824">
        <v>17.7</v>
      </c>
      <c r="F73" s="824"/>
      <c r="G73" s="824"/>
      <c r="H73" s="825"/>
      <c r="I73" s="826">
        <v>2.5499999999999998</v>
      </c>
      <c r="J73" s="827"/>
      <c r="K73" s="828"/>
      <c r="L73" s="826">
        <v>0.3</v>
      </c>
      <c r="M73" s="828">
        <v>1</v>
      </c>
      <c r="N73" s="1229"/>
      <c r="O73" s="1239">
        <f>IF(Tabelle1!$N$45="JA",Tabelle1!AB73,Tabelle1!X73)</f>
        <v>12.3</v>
      </c>
      <c r="P73" s="1232"/>
      <c r="Q73" s="1225"/>
      <c r="R73" s="1226"/>
      <c r="S73" s="849"/>
      <c r="T73" s="854">
        <v>6.8</v>
      </c>
      <c r="U73" s="851"/>
      <c r="V73" s="855"/>
      <c r="W73" s="856"/>
      <c r="X73" s="826">
        <v>12.3</v>
      </c>
      <c r="Y73" s="827"/>
      <c r="Z73" s="827"/>
      <c r="AA73" s="827"/>
      <c r="AB73" s="827">
        <v>10.7</v>
      </c>
      <c r="AC73" s="827"/>
      <c r="AD73" s="827"/>
      <c r="AE73" s="828"/>
      <c r="AF73" s="826">
        <v>15.4</v>
      </c>
      <c r="AG73" s="827"/>
      <c r="AH73" s="828"/>
      <c r="AI73" s="49" t="s">
        <v>735</v>
      </c>
      <c r="AJ73" s="51">
        <v>26.15</v>
      </c>
      <c r="AK73" s="109">
        <v>34.549999999999997</v>
      </c>
      <c r="AL73" s="110">
        <f t="shared" ref="AL73:AL81" si="23">170/AK73</f>
        <v>4.9204052098408111</v>
      </c>
      <c r="AM73" s="744"/>
      <c r="AP73" s="61"/>
      <c r="AQ73" s="530">
        <f t="shared" ref="AQ73:AW73" si="24">AQ66</f>
        <v>0</v>
      </c>
      <c r="AR73" s="530">
        <f t="shared" si="24"/>
        <v>0</v>
      </c>
      <c r="AS73" s="530">
        <f t="shared" si="24"/>
        <v>0</v>
      </c>
      <c r="AT73" s="530">
        <f t="shared" si="24"/>
        <v>0</v>
      </c>
      <c r="AU73" s="530">
        <f t="shared" si="24"/>
        <v>0</v>
      </c>
      <c r="AV73" s="530">
        <f t="shared" si="24"/>
        <v>0</v>
      </c>
      <c r="AW73" s="530">
        <f t="shared" si="24"/>
        <v>0</v>
      </c>
      <c r="AX73"/>
      <c r="AY73"/>
      <c r="AZ73"/>
      <c r="BA73"/>
      <c r="BB73"/>
      <c r="BC73"/>
      <c r="BD73"/>
    </row>
    <row r="74" spans="1:56" ht="17.25" thickBot="1">
      <c r="A74" s="1">
        <v>68</v>
      </c>
      <c r="B74" s="43" t="str">
        <f t="shared" si="14"/>
        <v>Zuchteber - Standard-Fütterung - Mist/Jauche</v>
      </c>
      <c r="C74" s="44" t="s">
        <v>737</v>
      </c>
      <c r="D74" s="823"/>
      <c r="E74" s="824"/>
      <c r="F74" s="824"/>
      <c r="G74" s="824">
        <v>5.5</v>
      </c>
      <c r="H74" s="825">
        <v>11</v>
      </c>
      <c r="I74" s="826"/>
      <c r="J74" s="827">
        <v>0.84</v>
      </c>
      <c r="K74" s="828">
        <v>1.73</v>
      </c>
      <c r="L74" s="826">
        <v>0.3</v>
      </c>
      <c r="M74" s="828">
        <v>1</v>
      </c>
      <c r="N74" s="1229"/>
      <c r="O74" s="1235"/>
      <c r="P74" s="1232"/>
      <c r="Q74" s="1240">
        <f>IF(Tabelle1!$N$45="JA",Tabelle1!AD74,Tabelle1!Z74)</f>
        <v>0.61499999999999999</v>
      </c>
      <c r="R74" s="1241">
        <f>IF(Tabelle1!$N$45="JA",Tabelle1!AE74,Tabelle1!AA74)</f>
        <v>11.685</v>
      </c>
      <c r="S74" s="849"/>
      <c r="T74" s="850"/>
      <c r="U74" s="851"/>
      <c r="V74" s="852">
        <v>0.68</v>
      </c>
      <c r="W74" s="853">
        <v>6.12</v>
      </c>
      <c r="X74" s="826"/>
      <c r="Y74" s="827"/>
      <c r="Z74" s="827">
        <v>0.61499999999999999</v>
      </c>
      <c r="AA74" s="827">
        <v>11.685</v>
      </c>
      <c r="AB74" s="827"/>
      <c r="AC74" s="827"/>
      <c r="AD74" s="827">
        <v>0.53500000000000003</v>
      </c>
      <c r="AE74" s="828">
        <v>10.164999999999999</v>
      </c>
      <c r="AF74" s="826"/>
      <c r="AG74" s="827">
        <v>4.8</v>
      </c>
      <c r="AH74" s="828">
        <v>10</v>
      </c>
      <c r="AI74" s="49" t="s">
        <v>737</v>
      </c>
      <c r="AJ74" s="51">
        <v>26.15</v>
      </c>
      <c r="AK74" s="109">
        <v>34.549999999999997</v>
      </c>
      <c r="AL74" s="110">
        <f t="shared" si="23"/>
        <v>4.9204052098408111</v>
      </c>
      <c r="AM74" s="744"/>
      <c r="AP74" s="61" t="s">
        <v>748</v>
      </c>
      <c r="AQ74" s="490">
        <v>0.7</v>
      </c>
      <c r="AR74" s="490">
        <v>0.8</v>
      </c>
      <c r="AS74" s="532">
        <v>0.85</v>
      </c>
      <c r="AT74" s="532">
        <v>1</v>
      </c>
      <c r="AU74" s="532">
        <v>0.5</v>
      </c>
      <c r="AV74" s="532">
        <v>0.3</v>
      </c>
      <c r="AW74" s="533">
        <v>0.1</v>
      </c>
      <c r="AX74"/>
      <c r="AY74"/>
      <c r="AZ74"/>
      <c r="BA74"/>
      <c r="BB74"/>
      <c r="BC74"/>
      <c r="BD74"/>
    </row>
    <row r="75" spans="1:56" ht="17.25" thickBot="1">
      <c r="A75" s="1">
        <v>69</v>
      </c>
      <c r="B75" s="43" t="str">
        <f t="shared" si="14"/>
        <v>Zuchteber - Standard-Fütterung - Tiefstallmist</v>
      </c>
      <c r="C75" s="44" t="s">
        <v>739</v>
      </c>
      <c r="D75" s="823"/>
      <c r="E75" s="824"/>
      <c r="F75" s="824"/>
      <c r="G75" s="824"/>
      <c r="H75" s="825">
        <v>16.399999999999999</v>
      </c>
      <c r="I75" s="826"/>
      <c r="J75" s="827"/>
      <c r="K75" s="828">
        <v>2.72</v>
      </c>
      <c r="L75" s="826">
        <v>0.3</v>
      </c>
      <c r="M75" s="828">
        <v>1</v>
      </c>
      <c r="N75" s="1229"/>
      <c r="O75" s="1235"/>
      <c r="P75" s="1232"/>
      <c r="Q75" s="1224"/>
      <c r="R75" s="1241">
        <f>IF(Tabelle1!$N$45="JA",Tabelle1!AE75,Tabelle1!AA75)</f>
        <v>12.3</v>
      </c>
      <c r="S75" s="849"/>
      <c r="T75" s="850"/>
      <c r="U75" s="851"/>
      <c r="V75" s="852"/>
      <c r="W75" s="853">
        <v>6.8</v>
      </c>
      <c r="X75" s="826"/>
      <c r="Y75" s="827"/>
      <c r="Z75" s="827"/>
      <c r="AA75" s="827">
        <v>12.3</v>
      </c>
      <c r="AB75" s="827"/>
      <c r="AC75" s="827"/>
      <c r="AD75" s="827"/>
      <c r="AE75" s="828">
        <v>10.7</v>
      </c>
      <c r="AF75" s="826"/>
      <c r="AG75" s="827"/>
      <c r="AH75" s="828">
        <v>14.9</v>
      </c>
      <c r="AI75" s="49" t="s">
        <v>739</v>
      </c>
      <c r="AJ75" s="51">
        <v>26.15</v>
      </c>
      <c r="AK75" s="109">
        <v>34.549999999999997</v>
      </c>
      <c r="AL75" s="110">
        <f t="shared" si="23"/>
        <v>4.9204052098408111</v>
      </c>
      <c r="AM75" s="744"/>
      <c r="AP75" s="61" t="s">
        <v>750</v>
      </c>
      <c r="AQ75" s="41">
        <f t="shared" ref="AQ75:AW75" si="25">AQ73*AQ74</f>
        <v>0</v>
      </c>
      <c r="AR75" s="41">
        <f t="shared" si="25"/>
        <v>0</v>
      </c>
      <c r="AS75" s="41">
        <f t="shared" si="25"/>
        <v>0</v>
      </c>
      <c r="AT75" s="41">
        <f t="shared" si="25"/>
        <v>0</v>
      </c>
      <c r="AU75" s="41">
        <f t="shared" si="25"/>
        <v>0</v>
      </c>
      <c r="AV75" s="41">
        <f t="shared" si="25"/>
        <v>0</v>
      </c>
      <c r="AW75" s="41">
        <f t="shared" si="25"/>
        <v>0</v>
      </c>
      <c r="AX75" s="535">
        <f>SUM(AQ75:AW75)</f>
        <v>0</v>
      </c>
      <c r="AY75" s="111" t="s">
        <v>707</v>
      </c>
      <c r="AZ75"/>
      <c r="BA75"/>
      <c r="BB75"/>
      <c r="BC75"/>
      <c r="BD75"/>
    </row>
    <row r="76" spans="1:56" ht="16.5">
      <c r="A76" s="1">
        <v>70</v>
      </c>
      <c r="B76" s="43" t="str">
        <f t="shared" si="14"/>
        <v>Zuchteber - N-reduzierte Fütterung - Gülle</v>
      </c>
      <c r="C76" s="44" t="s">
        <v>742</v>
      </c>
      <c r="D76" s="823"/>
      <c r="E76" s="824">
        <v>16.7</v>
      </c>
      <c r="F76" s="824"/>
      <c r="G76" s="824"/>
      <c r="H76" s="825"/>
      <c r="I76" s="826">
        <v>2.5499999999999998</v>
      </c>
      <c r="J76" s="827"/>
      <c r="K76" s="828"/>
      <c r="L76" s="826">
        <v>0.3</v>
      </c>
      <c r="M76" s="828">
        <v>1</v>
      </c>
      <c r="N76" s="1229"/>
      <c r="O76" s="1239">
        <f>IF(Tabelle1!$N$45="JA",Tabelle1!AB76,Tabelle1!X76)</f>
        <v>12.3</v>
      </c>
      <c r="P76" s="1232"/>
      <c r="Q76" s="1225"/>
      <c r="R76" s="1226"/>
      <c r="S76" s="849"/>
      <c r="T76" s="854">
        <v>6.8</v>
      </c>
      <c r="U76" s="851"/>
      <c r="V76" s="855"/>
      <c r="W76" s="856"/>
      <c r="X76" s="826">
        <v>12.3</v>
      </c>
      <c r="Y76" s="827"/>
      <c r="Z76" s="827"/>
      <c r="AA76" s="827"/>
      <c r="AB76" s="827">
        <v>10.7</v>
      </c>
      <c r="AC76" s="827"/>
      <c r="AD76" s="827"/>
      <c r="AE76" s="828"/>
      <c r="AF76" s="826">
        <v>14.5</v>
      </c>
      <c r="AG76" s="827"/>
      <c r="AH76" s="828"/>
      <c r="AI76" s="49" t="s">
        <v>742</v>
      </c>
      <c r="AJ76" s="51">
        <v>26.15</v>
      </c>
      <c r="AK76" s="109">
        <v>34.549999999999997</v>
      </c>
      <c r="AL76" s="110">
        <f t="shared" si="23"/>
        <v>4.9204052098408111</v>
      </c>
      <c r="AM76" s="744"/>
      <c r="AS76"/>
      <c r="AT76"/>
      <c r="AU76"/>
      <c r="AV76"/>
      <c r="AW76" s="81" t="s">
        <v>2349</v>
      </c>
      <c r="AX76" s="19">
        <f>SUM(Mineral!$H$28)</f>
        <v>0</v>
      </c>
      <c r="AY76"/>
      <c r="AZ76"/>
      <c r="BA76"/>
      <c r="BB76"/>
      <c r="BC76"/>
      <c r="BD76"/>
    </row>
    <row r="77" spans="1:56" ht="16.5">
      <c r="A77" s="1">
        <v>71</v>
      </c>
      <c r="B77" s="43" t="str">
        <f t="shared" si="14"/>
        <v>Zuchteber - N-reduzierte Fütterung - Mist/Jauche</v>
      </c>
      <c r="C77" s="44" t="s">
        <v>743</v>
      </c>
      <c r="D77" s="823"/>
      <c r="E77" s="824"/>
      <c r="F77" s="824"/>
      <c r="G77" s="824">
        <v>5.2</v>
      </c>
      <c r="H77" s="825">
        <v>10.4</v>
      </c>
      <c r="I77" s="826"/>
      <c r="J77" s="827">
        <v>0.84</v>
      </c>
      <c r="K77" s="828">
        <v>1.73</v>
      </c>
      <c r="L77" s="826">
        <v>0.3</v>
      </c>
      <c r="M77" s="828">
        <v>1</v>
      </c>
      <c r="N77" s="1229"/>
      <c r="O77" s="1235"/>
      <c r="P77" s="1232"/>
      <c r="Q77" s="1240">
        <f>IF(Tabelle1!$N$45="JA",Tabelle1!AD77,Tabelle1!Z77)</f>
        <v>0.61499999999999999</v>
      </c>
      <c r="R77" s="1241">
        <f>IF(Tabelle1!$N$45="JA",Tabelle1!AE77,Tabelle1!AA77)</f>
        <v>11.685</v>
      </c>
      <c r="S77" s="849"/>
      <c r="T77" s="850"/>
      <c r="U77" s="851"/>
      <c r="V77" s="852">
        <v>0.68</v>
      </c>
      <c r="W77" s="853">
        <v>6.12</v>
      </c>
      <c r="X77" s="826"/>
      <c r="Y77" s="827"/>
      <c r="Z77" s="827">
        <v>0.61499999999999999</v>
      </c>
      <c r="AA77" s="827">
        <v>11.685</v>
      </c>
      <c r="AB77" s="827"/>
      <c r="AC77" s="827"/>
      <c r="AD77" s="827">
        <v>0.53500000000000003</v>
      </c>
      <c r="AE77" s="828">
        <v>10.164999999999999</v>
      </c>
      <c r="AF77" s="826"/>
      <c r="AG77" s="827">
        <v>4.5</v>
      </c>
      <c r="AH77" s="828">
        <v>9.5</v>
      </c>
      <c r="AI77" s="49" t="s">
        <v>743</v>
      </c>
      <c r="AJ77" s="51">
        <v>26.15</v>
      </c>
      <c r="AK77" s="109">
        <v>34.549999999999997</v>
      </c>
      <c r="AL77" s="110">
        <f t="shared" si="23"/>
        <v>4.9204052098408111</v>
      </c>
      <c r="AM77" s="744"/>
      <c r="AQ77" s="111" t="s">
        <v>754</v>
      </c>
      <c r="AS77"/>
      <c r="AT77"/>
      <c r="AU77"/>
      <c r="AV77"/>
      <c r="AW77"/>
      <c r="AX77" s="127">
        <f>BO49</f>
        <v>0</v>
      </c>
      <c r="AY77" s="61" t="s">
        <v>755</v>
      </c>
      <c r="AZ77"/>
      <c r="BA77"/>
      <c r="BB77"/>
      <c r="BC77"/>
      <c r="BD77" s="89"/>
    </row>
    <row r="78" spans="1:56" ht="17.25" thickBot="1">
      <c r="A78" s="1">
        <v>72</v>
      </c>
      <c r="B78" s="43" t="str">
        <f t="shared" si="14"/>
        <v>Zuchteber - N-reduzierte Fütterung - Tiefstallmist</v>
      </c>
      <c r="C78" s="44" t="s">
        <v>745</v>
      </c>
      <c r="D78" s="823"/>
      <c r="E78" s="824"/>
      <c r="F78" s="824"/>
      <c r="G78" s="824"/>
      <c r="H78" s="825">
        <v>15.5</v>
      </c>
      <c r="I78" s="826"/>
      <c r="J78" s="827"/>
      <c r="K78" s="828">
        <v>2.72</v>
      </c>
      <c r="L78" s="826">
        <v>0.3</v>
      </c>
      <c r="M78" s="828">
        <v>1</v>
      </c>
      <c r="N78" s="1230"/>
      <c r="O78" s="1236"/>
      <c r="P78" s="1233"/>
      <c r="Q78" s="1227"/>
      <c r="R78" s="1242">
        <f>IF(Tabelle1!$N$45="JA",Tabelle1!AE78,Tabelle1!AA78)</f>
        <v>12.3</v>
      </c>
      <c r="S78" s="858"/>
      <c r="T78" s="859"/>
      <c r="U78" s="860"/>
      <c r="V78" s="861"/>
      <c r="W78" s="862">
        <v>6.8</v>
      </c>
      <c r="X78" s="826"/>
      <c r="Y78" s="827"/>
      <c r="Z78" s="827"/>
      <c r="AA78" s="827">
        <v>12.3</v>
      </c>
      <c r="AB78" s="827"/>
      <c r="AC78" s="827"/>
      <c r="AD78" s="827"/>
      <c r="AE78" s="828">
        <v>10.7</v>
      </c>
      <c r="AF78" s="826"/>
      <c r="AG78" s="827"/>
      <c r="AH78" s="828">
        <v>14.1</v>
      </c>
      <c r="AI78" s="49" t="s">
        <v>745</v>
      </c>
      <c r="AJ78" s="51">
        <v>26.15</v>
      </c>
      <c r="AK78" s="109">
        <v>34.549999999999997</v>
      </c>
      <c r="AL78" s="110">
        <f t="shared" si="23"/>
        <v>4.9204052098408111</v>
      </c>
      <c r="AM78" s="744"/>
      <c r="AQ78" s="116" t="s">
        <v>757</v>
      </c>
      <c r="AR78" s="117"/>
      <c r="AS78" s="118"/>
      <c r="AT78" s="118"/>
      <c r="AU78" s="118"/>
      <c r="AV78" s="118"/>
      <c r="AW78" s="118"/>
      <c r="AX78" s="125">
        <f>AX75+AX76-AX77</f>
        <v>0</v>
      </c>
      <c r="AY78" s="100" t="s">
        <v>758</v>
      </c>
      <c r="AZ78" s="118"/>
      <c r="BA78" s="118"/>
      <c r="BB78" s="118"/>
      <c r="BC78" s="118"/>
      <c r="BD78" s="89"/>
    </row>
    <row r="79" spans="1:56" ht="16.5">
      <c r="A79" s="1">
        <v>73</v>
      </c>
      <c r="B79" s="43" t="str">
        <f t="shared" si="14"/>
        <v>Zuchteber - stark-N-reduzierte Fütterung - Gülle</v>
      </c>
      <c r="C79" t="s">
        <v>2392</v>
      </c>
      <c r="D79" s="823"/>
      <c r="E79" s="824">
        <v>16.7</v>
      </c>
      <c r="F79" s="824"/>
      <c r="G79" s="824"/>
      <c r="H79" s="825"/>
      <c r="I79" s="826">
        <v>2.5499999999999998</v>
      </c>
      <c r="J79" s="827"/>
      <c r="K79" s="828"/>
      <c r="L79" s="826">
        <v>0.3</v>
      </c>
      <c r="M79" s="828">
        <v>1</v>
      </c>
      <c r="N79" s="1229"/>
      <c r="O79" s="1239">
        <f>IF(Tabelle1!$N$45="JA",Tabelle1!AB79,Tabelle1!X79)</f>
        <v>12.3</v>
      </c>
      <c r="P79" s="1232"/>
      <c r="Q79" s="1225"/>
      <c r="R79" s="1226"/>
      <c r="S79" s="849"/>
      <c r="T79" s="854">
        <v>6.8</v>
      </c>
      <c r="U79" s="851"/>
      <c r="V79" s="855"/>
      <c r="W79" s="856"/>
      <c r="X79" s="826">
        <v>12.3</v>
      </c>
      <c r="Y79" s="827"/>
      <c r="Z79" s="827"/>
      <c r="AA79" s="827"/>
      <c r="AB79" s="827">
        <v>10.7</v>
      </c>
      <c r="AC79" s="827"/>
      <c r="AD79" s="827"/>
      <c r="AE79" s="828"/>
      <c r="AF79" s="826">
        <v>14.5</v>
      </c>
      <c r="AG79" s="827"/>
      <c r="AH79" s="828"/>
      <c r="AI79" s="49" t="s">
        <v>2392</v>
      </c>
      <c r="AJ79" s="51">
        <v>26.15</v>
      </c>
      <c r="AK79" s="109">
        <v>34.549999999999997</v>
      </c>
      <c r="AL79" s="110">
        <f t="shared" si="23"/>
        <v>4.9204052098408111</v>
      </c>
      <c r="AM79" s="744"/>
      <c r="AX79" s="128">
        <f>AX78-CA22</f>
        <v>0</v>
      </c>
      <c r="AY79" s="100" t="s">
        <v>760</v>
      </c>
      <c r="AZ79" s="118"/>
      <c r="BA79" s="118"/>
      <c r="BB79" s="118"/>
      <c r="BC79" s="118"/>
    </row>
    <row r="80" spans="1:56" ht="16.5">
      <c r="A80" s="1">
        <v>74</v>
      </c>
      <c r="B80" s="43" t="str">
        <f t="shared" si="14"/>
        <v>Zuchteber - stark-N-reduzierte Fütterung - Mist/Jauche</v>
      </c>
      <c r="C80" t="s">
        <v>2393</v>
      </c>
      <c r="D80" s="823"/>
      <c r="E80" s="824"/>
      <c r="F80" s="824"/>
      <c r="G80" s="824">
        <v>5.2</v>
      </c>
      <c r="H80" s="825">
        <v>10.4</v>
      </c>
      <c r="I80" s="826"/>
      <c r="J80" s="827">
        <v>0.84</v>
      </c>
      <c r="K80" s="828">
        <v>1.73</v>
      </c>
      <c r="L80" s="826">
        <v>0.3</v>
      </c>
      <c r="M80" s="828">
        <v>1</v>
      </c>
      <c r="N80" s="1229"/>
      <c r="O80" s="1235"/>
      <c r="P80" s="1232"/>
      <c r="Q80" s="1240">
        <f>IF(Tabelle1!$N$45="JA",Tabelle1!AD80,Tabelle1!Z80)</f>
        <v>0.61499999999999999</v>
      </c>
      <c r="R80" s="1241">
        <f>IF(Tabelle1!$N$45="JA",Tabelle1!AE80,Tabelle1!AA80)</f>
        <v>11.685</v>
      </c>
      <c r="S80" s="849"/>
      <c r="T80" s="850"/>
      <c r="U80" s="851"/>
      <c r="V80" s="852">
        <v>0.68</v>
      </c>
      <c r="W80" s="853">
        <v>6.12</v>
      </c>
      <c r="X80" s="826"/>
      <c r="Y80" s="827"/>
      <c r="Z80" s="827">
        <v>0.61499999999999999</v>
      </c>
      <c r="AA80" s="827">
        <v>11.685</v>
      </c>
      <c r="AB80" s="827"/>
      <c r="AC80" s="827"/>
      <c r="AD80" s="827">
        <v>0.53500000000000003</v>
      </c>
      <c r="AE80" s="828">
        <v>10.164999999999999</v>
      </c>
      <c r="AF80" s="826"/>
      <c r="AG80" s="827">
        <v>4.5</v>
      </c>
      <c r="AH80" s="828">
        <v>9.5</v>
      </c>
      <c r="AI80" s="49" t="s">
        <v>2393</v>
      </c>
      <c r="AJ80" s="51">
        <v>26.15</v>
      </c>
      <c r="AK80" s="109">
        <v>34.549999999999997</v>
      </c>
      <c r="AL80" s="110">
        <f t="shared" si="23"/>
        <v>4.9204052098408111</v>
      </c>
      <c r="AM80" s="744"/>
    </row>
    <row r="81" spans="1:44" ht="17.25" thickBot="1">
      <c r="A81" s="1">
        <v>75</v>
      </c>
      <c r="B81" s="43" t="str">
        <f t="shared" si="14"/>
        <v>Zuchteber - stark-N-reduzierte Fütterung - Tiefstallmist</v>
      </c>
      <c r="C81" t="s">
        <v>2394</v>
      </c>
      <c r="D81" s="823"/>
      <c r="E81" s="824"/>
      <c r="F81" s="824"/>
      <c r="G81" s="824"/>
      <c r="H81" s="825">
        <v>15.5</v>
      </c>
      <c r="I81" s="826"/>
      <c r="J81" s="827"/>
      <c r="K81" s="828">
        <v>2.72</v>
      </c>
      <c r="L81" s="826">
        <v>0.3</v>
      </c>
      <c r="M81" s="828">
        <v>1</v>
      </c>
      <c r="N81" s="1230"/>
      <c r="O81" s="1235"/>
      <c r="P81" s="1233"/>
      <c r="Q81" s="1227"/>
      <c r="R81" s="1242">
        <f>IF(Tabelle1!$N$45="JA",Tabelle1!AE81,Tabelle1!AA81)</f>
        <v>12.3</v>
      </c>
      <c r="S81" s="858"/>
      <c r="T81" s="859"/>
      <c r="U81" s="860"/>
      <c r="V81" s="861"/>
      <c r="W81" s="862">
        <v>6.8</v>
      </c>
      <c r="X81" s="826"/>
      <c r="Y81" s="827"/>
      <c r="Z81" s="827"/>
      <c r="AA81" s="827">
        <v>12.3</v>
      </c>
      <c r="AB81" s="827"/>
      <c r="AC81" s="827"/>
      <c r="AD81" s="827"/>
      <c r="AE81" s="828">
        <v>10.7</v>
      </c>
      <c r="AF81" s="826"/>
      <c r="AG81" s="827"/>
      <c r="AH81" s="828">
        <v>14.1</v>
      </c>
      <c r="AI81" s="49" t="s">
        <v>2394</v>
      </c>
      <c r="AJ81" s="51">
        <v>26.15</v>
      </c>
      <c r="AK81" s="109">
        <v>34.549999999999997</v>
      </c>
      <c r="AL81" s="110">
        <f t="shared" si="23"/>
        <v>4.9204052098408111</v>
      </c>
      <c r="AM81" s="744"/>
    </row>
    <row r="82" spans="1:44" ht="13.5" thickBot="1">
      <c r="B82" s="754" t="s">
        <v>746</v>
      </c>
      <c r="C82" s="657" t="s">
        <v>746</v>
      </c>
      <c r="D82" s="863"/>
      <c r="E82" s="864"/>
      <c r="F82" s="864"/>
      <c r="G82" s="864"/>
      <c r="H82" s="865"/>
      <c r="I82" s="866"/>
      <c r="J82" s="867"/>
      <c r="K82" s="868"/>
      <c r="L82" s="866"/>
      <c r="M82" s="868">
        <v>1</v>
      </c>
      <c r="N82" s="866"/>
      <c r="O82" s="1903"/>
      <c r="P82" s="867"/>
      <c r="Q82" s="867"/>
      <c r="R82" s="868"/>
      <c r="S82" s="866"/>
      <c r="T82" s="867"/>
      <c r="U82" s="867"/>
      <c r="V82" s="867"/>
      <c r="W82" s="868"/>
      <c r="X82" s="866"/>
      <c r="Y82" s="867"/>
      <c r="Z82" s="867"/>
      <c r="AA82" s="867"/>
      <c r="AB82" s="867"/>
      <c r="AC82" s="867"/>
      <c r="AD82" s="867"/>
      <c r="AE82" s="868"/>
      <c r="AF82" s="866"/>
      <c r="AG82" s="867"/>
      <c r="AH82" s="868"/>
      <c r="AI82" s="755" t="s">
        <v>746</v>
      </c>
      <c r="AJ82" s="617"/>
      <c r="AK82" s="752"/>
      <c r="AL82" s="110"/>
      <c r="AM82" s="744"/>
    </row>
    <row r="83" spans="1:44">
      <c r="A83" s="1">
        <v>76</v>
      </c>
      <c r="B83" s="43" t="str">
        <f>C83</f>
        <v>Junghennenaufzucht (bis 6 Wochen)</v>
      </c>
      <c r="C83" s="49" t="s">
        <v>340</v>
      </c>
      <c r="D83" s="823"/>
      <c r="E83" s="824"/>
      <c r="F83" s="824"/>
      <c r="G83" s="824"/>
      <c r="H83" s="825">
        <v>5.2999999999999999E-2</v>
      </c>
      <c r="I83" s="826"/>
      <c r="J83" s="827"/>
      <c r="K83" s="828">
        <v>4.0000000000000001E-3</v>
      </c>
      <c r="L83" s="826"/>
      <c r="M83" s="828">
        <v>1.72</v>
      </c>
      <c r="N83" s="826"/>
      <c r="O83" s="827"/>
      <c r="P83" s="827"/>
      <c r="Q83" s="827"/>
      <c r="R83" s="828">
        <v>3.4000000000000002E-2</v>
      </c>
      <c r="S83" s="826"/>
      <c r="T83" s="827"/>
      <c r="U83" s="827"/>
      <c r="V83" s="827"/>
      <c r="W83" s="828">
        <v>2.6000000000000002E-2</v>
      </c>
      <c r="X83" s="869"/>
      <c r="Y83" s="870"/>
      <c r="Z83" s="870"/>
      <c r="AA83" s="871"/>
      <c r="AB83" s="870"/>
      <c r="AC83" s="870"/>
      <c r="AD83" s="870"/>
      <c r="AE83" s="871"/>
      <c r="AF83" s="872"/>
      <c r="AG83" s="873"/>
      <c r="AH83" s="874">
        <v>0.05</v>
      </c>
      <c r="AI83" s="49" t="s">
        <v>340</v>
      </c>
      <c r="AJ83" s="51"/>
      <c r="AK83" s="109">
        <v>0.28999999999999998</v>
      </c>
      <c r="AL83" s="110">
        <f t="shared" ref="AL83:AL88" si="26">170/AK83</f>
        <v>586.20689655172418</v>
      </c>
      <c r="AM83" s="744"/>
    </row>
    <row r="84" spans="1:44">
      <c r="A84" s="1">
        <v>77</v>
      </c>
      <c r="B84" s="43" t="str">
        <f t="shared" ref="B84:B92" si="27">C84</f>
        <v xml:space="preserve">Kücken u. Junghennen für Legezw. bis 1/2 Jahr - Gülle </v>
      </c>
      <c r="C84" s="44" t="s">
        <v>747</v>
      </c>
      <c r="D84" s="823"/>
      <c r="E84" s="824"/>
      <c r="F84" s="824">
        <v>0.13</v>
      </c>
      <c r="G84" s="824"/>
      <c r="H84" s="825"/>
      <c r="I84" s="826">
        <v>1.2E-2</v>
      </c>
      <c r="J84" s="827"/>
      <c r="K84" s="828"/>
      <c r="L84" s="826">
        <v>1.5E-3</v>
      </c>
      <c r="M84" s="828">
        <v>1.4</v>
      </c>
      <c r="N84" s="826"/>
      <c r="O84" s="827"/>
      <c r="P84" s="827">
        <v>0.17</v>
      </c>
      <c r="Q84" s="827"/>
      <c r="R84" s="828"/>
      <c r="S84" s="826"/>
      <c r="T84" s="827"/>
      <c r="U84" s="827">
        <v>0.13</v>
      </c>
      <c r="V84" s="827"/>
      <c r="W84" s="828"/>
      <c r="X84" s="869"/>
      <c r="Y84" s="870"/>
      <c r="Z84" s="870"/>
      <c r="AA84" s="871"/>
      <c r="AB84" s="870"/>
      <c r="AC84" s="870"/>
      <c r="AD84" s="870"/>
      <c r="AE84" s="871"/>
      <c r="AF84" s="872">
        <v>0.11</v>
      </c>
      <c r="AG84" s="873"/>
      <c r="AH84" s="875"/>
      <c r="AI84" s="49" t="s">
        <v>747</v>
      </c>
      <c r="AJ84" s="51"/>
      <c r="AK84" s="109">
        <v>0.34</v>
      </c>
      <c r="AL84" s="110">
        <f t="shared" si="26"/>
        <v>499.99999999999994</v>
      </c>
      <c r="AM84" s="744"/>
    </row>
    <row r="85" spans="1:44">
      <c r="A85" s="1">
        <v>78</v>
      </c>
      <c r="B85" s="43" t="str">
        <f t="shared" si="27"/>
        <v xml:space="preserve">Kücken u. Junghennen für Legezw. bis 1/2 Jahr - Tiefstallmist  </v>
      </c>
      <c r="C85" s="44" t="s">
        <v>749</v>
      </c>
      <c r="D85" s="823"/>
      <c r="E85" s="824"/>
      <c r="F85" s="824"/>
      <c r="G85" s="824"/>
      <c r="H85" s="825">
        <v>0.11</v>
      </c>
      <c r="I85" s="826"/>
      <c r="J85" s="827"/>
      <c r="K85" s="828">
        <v>9.0000000000000011E-3</v>
      </c>
      <c r="L85" s="826">
        <v>1.5E-3</v>
      </c>
      <c r="M85" s="828">
        <v>1.4</v>
      </c>
      <c r="N85" s="826"/>
      <c r="O85" s="827"/>
      <c r="P85" s="827"/>
      <c r="Q85" s="827"/>
      <c r="R85" s="828">
        <v>0.17</v>
      </c>
      <c r="S85" s="826"/>
      <c r="T85" s="827"/>
      <c r="U85" s="827"/>
      <c r="V85" s="827"/>
      <c r="W85" s="828">
        <v>0.13</v>
      </c>
      <c r="X85" s="869"/>
      <c r="Y85" s="870"/>
      <c r="Z85" s="870"/>
      <c r="AA85" s="871"/>
      <c r="AB85" s="870"/>
      <c r="AC85" s="870"/>
      <c r="AD85" s="870"/>
      <c r="AE85" s="871"/>
      <c r="AF85" s="872"/>
      <c r="AG85" s="873"/>
      <c r="AH85" s="875">
        <v>0.1</v>
      </c>
      <c r="AI85" s="49" t="s">
        <v>749</v>
      </c>
      <c r="AJ85" s="51"/>
      <c r="AK85" s="109">
        <v>0.34</v>
      </c>
      <c r="AL85" s="110">
        <f t="shared" si="26"/>
        <v>499.99999999999994</v>
      </c>
      <c r="AM85" s="744"/>
    </row>
    <row r="86" spans="1:44">
      <c r="A86" s="1">
        <v>79</v>
      </c>
      <c r="B86" s="43" t="str">
        <f t="shared" si="27"/>
        <v>Legehennen, Hähne - Gülle</v>
      </c>
      <c r="C86" s="44" t="s">
        <v>751</v>
      </c>
      <c r="D86" s="823"/>
      <c r="E86" s="824"/>
      <c r="F86" s="824">
        <v>0.51</v>
      </c>
      <c r="G86" s="824"/>
      <c r="H86" s="825"/>
      <c r="I86" s="826">
        <v>3.3000000000000002E-2</v>
      </c>
      <c r="J86" s="827"/>
      <c r="K86" s="828"/>
      <c r="L86" s="826">
        <v>4.0000000000000001E-3</v>
      </c>
      <c r="M86" s="828">
        <v>1</v>
      </c>
      <c r="N86" s="826"/>
      <c r="O86" s="827"/>
      <c r="P86" s="827">
        <v>0.45</v>
      </c>
      <c r="Q86" s="827"/>
      <c r="R86" s="828"/>
      <c r="S86" s="826"/>
      <c r="T86" s="827"/>
      <c r="U86" s="827">
        <v>0.33</v>
      </c>
      <c r="V86" s="827"/>
      <c r="W86" s="828"/>
      <c r="X86" s="869"/>
      <c r="Y86" s="870"/>
      <c r="Z86" s="870"/>
      <c r="AA86" s="871"/>
      <c r="AB86" s="870"/>
      <c r="AC86" s="870"/>
      <c r="AD86" s="870"/>
      <c r="AE86" s="871"/>
      <c r="AF86" s="872">
        <v>0.44</v>
      </c>
      <c r="AG86" s="873"/>
      <c r="AH86" s="875"/>
      <c r="AI86" s="49" t="s">
        <v>751</v>
      </c>
      <c r="AJ86" s="51">
        <v>0.74</v>
      </c>
      <c r="AK86" s="109">
        <v>0.74</v>
      </c>
      <c r="AL86" s="110">
        <f t="shared" si="26"/>
        <v>229.72972972972974</v>
      </c>
      <c r="AM86" s="744"/>
    </row>
    <row r="87" spans="1:44">
      <c r="A87" s="1">
        <v>80</v>
      </c>
      <c r="B87" s="43" t="str">
        <f t="shared" si="27"/>
        <v>Legehennen, Hähne - Tiefstallmist</v>
      </c>
      <c r="C87" s="44" t="s">
        <v>753</v>
      </c>
      <c r="D87" s="823"/>
      <c r="E87" s="824"/>
      <c r="F87" s="824"/>
      <c r="G87" s="824"/>
      <c r="H87" s="825">
        <v>0.43</v>
      </c>
      <c r="I87" s="826"/>
      <c r="J87" s="827"/>
      <c r="K87" s="828">
        <v>1.6E-2</v>
      </c>
      <c r="L87" s="826">
        <v>4.0000000000000001E-3</v>
      </c>
      <c r="M87" s="828">
        <v>1</v>
      </c>
      <c r="N87" s="826"/>
      <c r="O87" s="827"/>
      <c r="P87" s="827"/>
      <c r="Q87" s="827"/>
      <c r="R87" s="828">
        <v>0.45</v>
      </c>
      <c r="S87" s="826"/>
      <c r="T87" s="827"/>
      <c r="U87" s="827"/>
      <c r="V87" s="827"/>
      <c r="W87" s="828">
        <v>0.33</v>
      </c>
      <c r="X87" s="869"/>
      <c r="Y87" s="870"/>
      <c r="Z87" s="870"/>
      <c r="AA87" s="871"/>
      <c r="AB87" s="870"/>
      <c r="AC87" s="870"/>
      <c r="AD87" s="870"/>
      <c r="AE87" s="871"/>
      <c r="AF87" s="872"/>
      <c r="AG87" s="873"/>
      <c r="AH87" s="875">
        <v>0.39</v>
      </c>
      <c r="AI87" s="49" t="s">
        <v>753</v>
      </c>
      <c r="AJ87" s="51">
        <v>0.74</v>
      </c>
      <c r="AK87" s="109">
        <v>0.74</v>
      </c>
      <c r="AL87" s="110">
        <f t="shared" si="26"/>
        <v>229.72972972972974</v>
      </c>
      <c r="AM87" s="744"/>
    </row>
    <row r="88" spans="1:44">
      <c r="A88" s="1">
        <v>81</v>
      </c>
      <c r="B88" s="43" t="str">
        <f t="shared" si="27"/>
        <v xml:space="preserve">Mastkücken und Jungmasthühner - 7 Umtriebe </v>
      </c>
      <c r="C88" s="44" t="s">
        <v>756</v>
      </c>
      <c r="D88" s="823"/>
      <c r="E88" s="824"/>
      <c r="F88" s="824"/>
      <c r="G88" s="824"/>
      <c r="H88" s="825">
        <v>0.17</v>
      </c>
      <c r="I88" s="826"/>
      <c r="J88" s="827"/>
      <c r="K88" s="828">
        <v>6.0000000000000001E-3</v>
      </c>
      <c r="L88" s="826">
        <v>1.5E-3</v>
      </c>
      <c r="M88" s="828">
        <v>1.3</v>
      </c>
      <c r="N88" s="826"/>
      <c r="O88" s="827"/>
      <c r="P88" s="827"/>
      <c r="Q88" s="827"/>
      <c r="R88" s="828">
        <v>0.12</v>
      </c>
      <c r="S88" s="826"/>
      <c r="T88" s="827"/>
      <c r="U88" s="827"/>
      <c r="V88" s="827"/>
      <c r="W88" s="828">
        <v>0.1</v>
      </c>
      <c r="X88" s="869"/>
      <c r="Y88" s="870"/>
      <c r="Z88" s="870"/>
      <c r="AA88" s="871"/>
      <c r="AB88" s="870"/>
      <c r="AC88" s="870"/>
      <c r="AD88" s="870"/>
      <c r="AE88" s="871"/>
      <c r="AF88" s="872"/>
      <c r="AG88" s="873"/>
      <c r="AH88" s="875">
        <v>0.15</v>
      </c>
      <c r="AI88" s="49" t="s">
        <v>756</v>
      </c>
      <c r="AJ88" s="51">
        <v>0.28999999999999998</v>
      </c>
      <c r="AK88" s="109">
        <v>0.28999999999999998</v>
      </c>
      <c r="AL88" s="110">
        <f t="shared" si="26"/>
        <v>586.20689655172418</v>
      </c>
      <c r="AM88" s="744"/>
    </row>
    <row r="89" spans="1:44">
      <c r="A89" s="1">
        <v>82</v>
      </c>
      <c r="B89" s="43" t="str">
        <f t="shared" si="27"/>
        <v>Zwerghühner, Wachteln; ausgewachsen</v>
      </c>
      <c r="C89" s="44" t="s">
        <v>759</v>
      </c>
      <c r="D89" s="823"/>
      <c r="E89" s="824"/>
      <c r="F89" s="824"/>
      <c r="G89" s="824"/>
      <c r="H89" s="825">
        <v>0.1</v>
      </c>
      <c r="I89" s="826"/>
      <c r="J89" s="827"/>
      <c r="K89" s="828">
        <v>3.0000000000000001E-3</v>
      </c>
      <c r="L89" s="826"/>
      <c r="M89" s="828">
        <v>1</v>
      </c>
      <c r="N89" s="826"/>
      <c r="O89" s="827"/>
      <c r="P89" s="827"/>
      <c r="Q89" s="827"/>
      <c r="R89" s="828">
        <v>0.09</v>
      </c>
      <c r="S89" s="826"/>
      <c r="T89" s="827"/>
      <c r="U89" s="827"/>
      <c r="V89" s="827"/>
      <c r="W89" s="828">
        <v>7.0000000000000007E-2</v>
      </c>
      <c r="X89" s="869"/>
      <c r="Y89" s="870"/>
      <c r="Z89" s="870"/>
      <c r="AA89" s="871"/>
      <c r="AB89" s="870"/>
      <c r="AC89" s="870"/>
      <c r="AD89" s="870"/>
      <c r="AE89" s="871"/>
      <c r="AF89" s="872"/>
      <c r="AG89" s="873"/>
      <c r="AH89" s="875">
        <v>0.09</v>
      </c>
      <c r="AI89" s="49" t="s">
        <v>759</v>
      </c>
      <c r="AJ89" s="51"/>
      <c r="AK89" s="109"/>
      <c r="AL89" s="110"/>
      <c r="AM89" s="744"/>
    </row>
    <row r="90" spans="1:44">
      <c r="A90" s="1">
        <v>83</v>
      </c>
      <c r="B90" s="43" t="str">
        <f t="shared" si="27"/>
        <v>Gänse</v>
      </c>
      <c r="C90" s="44" t="s">
        <v>761</v>
      </c>
      <c r="D90" s="823"/>
      <c r="E90" s="824"/>
      <c r="F90" s="824"/>
      <c r="G90" s="824"/>
      <c r="H90" s="825">
        <v>0.28999999999999998</v>
      </c>
      <c r="I90" s="826"/>
      <c r="J90" s="827"/>
      <c r="K90" s="828">
        <v>2.9000000000000001E-2</v>
      </c>
      <c r="L90" s="826">
        <v>8.0000000000000002E-3</v>
      </c>
      <c r="M90" s="828">
        <v>1</v>
      </c>
      <c r="N90" s="826"/>
      <c r="O90" s="827"/>
      <c r="P90" s="827"/>
      <c r="Q90" s="827"/>
      <c r="R90" s="828">
        <v>0.25</v>
      </c>
      <c r="S90" s="826"/>
      <c r="T90" s="827"/>
      <c r="U90" s="827"/>
      <c r="V90" s="827"/>
      <c r="W90" s="828">
        <v>0.2</v>
      </c>
      <c r="X90" s="869"/>
      <c r="Y90" s="870"/>
      <c r="Z90" s="870"/>
      <c r="AA90" s="871"/>
      <c r="AB90" s="870"/>
      <c r="AC90" s="870"/>
      <c r="AD90" s="870"/>
      <c r="AE90" s="871"/>
      <c r="AF90" s="872"/>
      <c r="AG90" s="873"/>
      <c r="AH90" s="875">
        <v>0.26</v>
      </c>
      <c r="AI90" s="49" t="s">
        <v>761</v>
      </c>
      <c r="AJ90" s="51"/>
      <c r="AK90" s="109">
        <v>0.57999999999999996</v>
      </c>
      <c r="AL90" s="110">
        <f>170/AK90</f>
        <v>293.10344827586209</v>
      </c>
      <c r="AM90" s="744"/>
    </row>
    <row r="91" spans="1:44">
      <c r="A91" s="1">
        <v>84</v>
      </c>
      <c r="B91" s="43" t="str">
        <f t="shared" si="27"/>
        <v>Enten</v>
      </c>
      <c r="C91" s="44" t="s">
        <v>762</v>
      </c>
      <c r="D91" s="823"/>
      <c r="E91" s="824"/>
      <c r="F91" s="824"/>
      <c r="G91" s="824"/>
      <c r="H91" s="825">
        <v>0.28999999999999998</v>
      </c>
      <c r="I91" s="826"/>
      <c r="J91" s="827"/>
      <c r="K91" s="828">
        <v>1.4E-2</v>
      </c>
      <c r="L91" s="826">
        <v>4.0000000000000001E-3</v>
      </c>
      <c r="M91" s="828">
        <v>1</v>
      </c>
      <c r="N91" s="826"/>
      <c r="O91" s="827"/>
      <c r="P91" s="827"/>
      <c r="Q91" s="827"/>
      <c r="R91" s="828">
        <v>0.25</v>
      </c>
      <c r="S91" s="826"/>
      <c r="T91" s="827"/>
      <c r="U91" s="827"/>
      <c r="V91" s="827"/>
      <c r="W91" s="828">
        <v>0.2</v>
      </c>
      <c r="X91" s="869"/>
      <c r="Y91" s="870"/>
      <c r="Z91" s="870"/>
      <c r="AA91" s="871"/>
      <c r="AB91" s="870"/>
      <c r="AC91" s="870"/>
      <c r="AD91" s="870"/>
      <c r="AE91" s="871"/>
      <c r="AF91" s="872"/>
      <c r="AG91" s="873"/>
      <c r="AH91" s="875">
        <v>0.26</v>
      </c>
      <c r="AI91" s="49" t="s">
        <v>762</v>
      </c>
      <c r="AJ91" s="51"/>
      <c r="AK91" s="109">
        <v>0.57999999999999996</v>
      </c>
      <c r="AL91" s="110">
        <f>170/AK91</f>
        <v>293.10344827586209</v>
      </c>
      <c r="AM91" s="744"/>
      <c r="AQ91" s="81"/>
      <c r="AR91" s="3"/>
    </row>
    <row r="92" spans="1:44" ht="13.5" thickBot="1">
      <c r="A92" s="1">
        <v>85</v>
      </c>
      <c r="B92" s="43" t="str">
        <f t="shared" si="27"/>
        <v xml:space="preserve">Truthühner (Puten) </v>
      </c>
      <c r="C92" s="44" t="s">
        <v>763</v>
      </c>
      <c r="D92" s="823"/>
      <c r="E92" s="824"/>
      <c r="F92" s="824"/>
      <c r="G92" s="824"/>
      <c r="H92" s="825">
        <v>0.65</v>
      </c>
      <c r="I92" s="826"/>
      <c r="J92" s="827"/>
      <c r="K92" s="828">
        <v>0.03</v>
      </c>
      <c r="L92" s="826">
        <v>7.0000000000000001E-3</v>
      </c>
      <c r="M92" s="828">
        <v>1.2</v>
      </c>
      <c r="N92" s="826"/>
      <c r="O92" s="827"/>
      <c r="P92" s="827"/>
      <c r="Q92" s="827"/>
      <c r="R92" s="828">
        <v>0.6</v>
      </c>
      <c r="S92" s="826"/>
      <c r="T92" s="827"/>
      <c r="U92" s="827"/>
      <c r="V92" s="827"/>
      <c r="W92" s="828">
        <v>0.48</v>
      </c>
      <c r="X92" s="869"/>
      <c r="Y92" s="870"/>
      <c r="Z92" s="870"/>
      <c r="AA92" s="871"/>
      <c r="AB92" s="870"/>
      <c r="AC92" s="870"/>
      <c r="AD92" s="870"/>
      <c r="AE92" s="871"/>
      <c r="AF92" s="872"/>
      <c r="AG92" s="873"/>
      <c r="AH92" s="875">
        <v>0.59</v>
      </c>
      <c r="AI92" s="49" t="s">
        <v>763</v>
      </c>
      <c r="AJ92" s="51"/>
      <c r="AK92" s="109">
        <v>0.63</v>
      </c>
      <c r="AL92" s="110">
        <f>170/AK92</f>
        <v>269.84126984126982</v>
      </c>
      <c r="AM92" s="744"/>
      <c r="AP92" s="3"/>
      <c r="AQ92" s="3"/>
      <c r="AR92" s="3"/>
    </row>
    <row r="93" spans="1:44" ht="13.5" thickBot="1">
      <c r="B93" s="754" t="s">
        <v>764</v>
      </c>
      <c r="C93" s="657" t="s">
        <v>764</v>
      </c>
      <c r="D93" s="863"/>
      <c r="E93" s="864"/>
      <c r="F93" s="864"/>
      <c r="G93" s="864"/>
      <c r="H93" s="865"/>
      <c r="I93" s="866"/>
      <c r="J93" s="867"/>
      <c r="K93" s="868"/>
      <c r="L93" s="866"/>
      <c r="M93" s="868">
        <v>1</v>
      </c>
      <c r="N93" s="866"/>
      <c r="O93" s="867"/>
      <c r="P93" s="867"/>
      <c r="Q93" s="867"/>
      <c r="R93" s="868"/>
      <c r="S93" s="866"/>
      <c r="T93" s="867"/>
      <c r="U93" s="867"/>
      <c r="V93" s="867"/>
      <c r="W93" s="868"/>
      <c r="X93" s="866"/>
      <c r="Y93" s="867"/>
      <c r="Z93" s="867"/>
      <c r="AA93" s="867"/>
      <c r="AB93" s="867"/>
      <c r="AC93" s="867"/>
      <c r="AD93" s="867"/>
      <c r="AE93" s="868"/>
      <c r="AF93" s="866"/>
      <c r="AG93" s="867"/>
      <c r="AH93" s="868"/>
      <c r="AI93" s="755" t="s">
        <v>764</v>
      </c>
      <c r="AJ93" s="5"/>
      <c r="AK93" s="126"/>
      <c r="AL93" s="110"/>
      <c r="AM93" s="744"/>
      <c r="AP93" s="3"/>
      <c r="AQ93" s="3"/>
      <c r="AR93" s="3"/>
    </row>
    <row r="94" spans="1:44">
      <c r="A94" s="1">
        <v>86</v>
      </c>
      <c r="B94" s="43" t="str">
        <f>C94</f>
        <v>Kleinpferde (&lt;300 kg, bis 148 cm) 1/2 bis 3 Jahre</v>
      </c>
      <c r="C94" s="129" t="s">
        <v>765</v>
      </c>
      <c r="D94" s="824"/>
      <c r="E94" s="824"/>
      <c r="F94" s="824"/>
      <c r="G94" s="824"/>
      <c r="H94" s="825">
        <v>8.9</v>
      </c>
      <c r="I94" s="826"/>
      <c r="J94" s="827"/>
      <c r="K94" s="828">
        <v>2</v>
      </c>
      <c r="L94" s="826">
        <v>0.3</v>
      </c>
      <c r="M94" s="828">
        <v>1</v>
      </c>
      <c r="N94" s="826"/>
      <c r="O94" s="827"/>
      <c r="P94" s="827"/>
      <c r="Q94" s="827"/>
      <c r="R94" s="828">
        <v>4.5</v>
      </c>
      <c r="S94" s="826"/>
      <c r="T94" s="827"/>
      <c r="U94" s="827"/>
      <c r="V94" s="827"/>
      <c r="W94" s="828">
        <v>8.9</v>
      </c>
      <c r="X94" s="832"/>
      <c r="Y94" s="833"/>
      <c r="Z94" s="833"/>
      <c r="AA94" s="834"/>
      <c r="AB94" s="833"/>
      <c r="AC94" s="833"/>
      <c r="AD94" s="833"/>
      <c r="AE94" s="834"/>
      <c r="AF94" s="826"/>
      <c r="AG94" s="827"/>
      <c r="AH94" s="828">
        <v>8.1</v>
      </c>
      <c r="AI94" s="49" t="s">
        <v>766</v>
      </c>
      <c r="AJ94" s="109">
        <v>31.2</v>
      </c>
      <c r="AK94" s="109">
        <v>31.2</v>
      </c>
      <c r="AL94" s="110">
        <f t="shared" ref="AL94:AL99" si="28">170/AK94</f>
        <v>5.4487179487179489</v>
      </c>
      <c r="AM94" s="744"/>
      <c r="AP94" s="3"/>
      <c r="AQ94" s="3"/>
      <c r="AR94" s="3"/>
    </row>
    <row r="95" spans="1:44">
      <c r="A95" s="1">
        <v>87</v>
      </c>
      <c r="B95" s="43" t="str">
        <f t="shared" ref="B95:B105" si="29">C95</f>
        <v>Kleinpferde (&lt;300 kg) &gt; 3 Jahre incl. Fohlen bis 1/2 Jahr</v>
      </c>
      <c r="C95" s="129" t="s">
        <v>767</v>
      </c>
      <c r="D95" s="824"/>
      <c r="E95" s="824"/>
      <c r="F95" s="824"/>
      <c r="G95" s="824"/>
      <c r="H95" s="825">
        <v>10.5</v>
      </c>
      <c r="I95" s="826"/>
      <c r="J95" s="827"/>
      <c r="K95" s="828">
        <v>2.5</v>
      </c>
      <c r="L95" s="826">
        <v>0.5</v>
      </c>
      <c r="M95" s="828">
        <v>1</v>
      </c>
      <c r="N95" s="826"/>
      <c r="O95" s="827"/>
      <c r="P95" s="827"/>
      <c r="Q95" s="827"/>
      <c r="R95" s="828">
        <v>5.3</v>
      </c>
      <c r="S95" s="826"/>
      <c r="T95" s="827"/>
      <c r="U95" s="827"/>
      <c r="V95" s="827"/>
      <c r="W95" s="828">
        <v>10.5</v>
      </c>
      <c r="X95" s="832"/>
      <c r="Y95" s="833"/>
      <c r="Z95" s="833"/>
      <c r="AA95" s="834"/>
      <c r="AB95" s="833"/>
      <c r="AC95" s="833"/>
      <c r="AD95" s="833"/>
      <c r="AE95" s="834"/>
      <c r="AF95" s="826"/>
      <c r="AG95" s="827"/>
      <c r="AH95" s="828">
        <v>9.6</v>
      </c>
      <c r="AI95" s="49" t="s">
        <v>767</v>
      </c>
      <c r="AJ95" s="109">
        <v>50</v>
      </c>
      <c r="AK95" s="109">
        <v>50</v>
      </c>
      <c r="AL95" s="110">
        <f t="shared" si="28"/>
        <v>3.4</v>
      </c>
      <c r="AM95" s="744"/>
      <c r="AP95" s="3"/>
      <c r="AQ95" s="3"/>
      <c r="AR95" s="3"/>
    </row>
    <row r="96" spans="1:44">
      <c r="A96" s="1">
        <v>88</v>
      </c>
      <c r="B96" s="43" t="str">
        <f t="shared" si="29"/>
        <v>Kleinpferde (&gt;300 kg, bis 148 cm) 1/2 bis 3 Jahre</v>
      </c>
      <c r="C96" s="129" t="s">
        <v>768</v>
      </c>
      <c r="D96" s="824"/>
      <c r="E96" s="824"/>
      <c r="F96" s="824"/>
      <c r="G96" s="824"/>
      <c r="H96" s="825">
        <v>17.399999999999999</v>
      </c>
      <c r="I96" s="826"/>
      <c r="J96" s="827"/>
      <c r="K96" s="828">
        <v>3</v>
      </c>
      <c r="L96" s="826">
        <v>0.6</v>
      </c>
      <c r="M96" s="828">
        <v>1</v>
      </c>
      <c r="N96" s="826"/>
      <c r="O96" s="827"/>
      <c r="P96" s="827"/>
      <c r="Q96" s="827"/>
      <c r="R96" s="828">
        <v>8.6999999999999993</v>
      </c>
      <c r="S96" s="826"/>
      <c r="T96" s="827"/>
      <c r="U96" s="827"/>
      <c r="V96" s="827"/>
      <c r="W96" s="828">
        <v>17.399999999999999</v>
      </c>
      <c r="X96" s="832"/>
      <c r="Y96" s="833"/>
      <c r="Z96" s="833"/>
      <c r="AA96" s="834"/>
      <c r="AB96" s="833"/>
      <c r="AC96" s="833"/>
      <c r="AD96" s="833"/>
      <c r="AE96" s="834"/>
      <c r="AF96" s="826"/>
      <c r="AG96" s="827"/>
      <c r="AH96" s="828">
        <v>15.8</v>
      </c>
      <c r="AI96" s="49" t="s">
        <v>769</v>
      </c>
      <c r="AJ96" s="109">
        <v>72.7</v>
      </c>
      <c r="AK96" s="109">
        <v>72.7</v>
      </c>
      <c r="AL96" s="110">
        <f t="shared" si="28"/>
        <v>2.3383768913342502</v>
      </c>
      <c r="AM96" s="744"/>
      <c r="AP96" s="3"/>
      <c r="AQ96" s="3"/>
      <c r="AR96" s="3"/>
    </row>
    <row r="97" spans="1:44">
      <c r="A97" s="1">
        <v>89</v>
      </c>
      <c r="B97" s="43" t="str">
        <f t="shared" si="29"/>
        <v>Kleinpferde (&gt;300 kg) &gt; 3 Jahre incl. Fohlen bis 1/2 Jahr</v>
      </c>
      <c r="C97" s="129" t="s">
        <v>770</v>
      </c>
      <c r="D97" s="824"/>
      <c r="E97" s="824"/>
      <c r="F97" s="824"/>
      <c r="G97" s="824"/>
      <c r="H97" s="825">
        <v>20.5</v>
      </c>
      <c r="I97" s="826"/>
      <c r="J97" s="827"/>
      <c r="K97" s="828">
        <v>3.8</v>
      </c>
      <c r="L97" s="826">
        <v>1</v>
      </c>
      <c r="M97" s="828">
        <v>1</v>
      </c>
      <c r="N97" s="826"/>
      <c r="O97" s="827"/>
      <c r="P97" s="827"/>
      <c r="Q97" s="827"/>
      <c r="R97" s="828">
        <v>10.3</v>
      </c>
      <c r="S97" s="826"/>
      <c r="T97" s="827"/>
      <c r="U97" s="827"/>
      <c r="V97" s="827"/>
      <c r="W97" s="828">
        <v>20.5</v>
      </c>
      <c r="X97" s="832"/>
      <c r="Y97" s="833"/>
      <c r="Z97" s="833"/>
      <c r="AA97" s="834"/>
      <c r="AB97" s="833"/>
      <c r="AC97" s="833"/>
      <c r="AD97" s="833"/>
      <c r="AE97" s="834"/>
      <c r="AF97" s="826"/>
      <c r="AG97" s="827"/>
      <c r="AH97" s="828">
        <v>18.7</v>
      </c>
      <c r="AI97" s="49" t="s">
        <v>770</v>
      </c>
      <c r="AJ97" s="109">
        <v>85</v>
      </c>
      <c r="AK97" s="109">
        <v>85</v>
      </c>
      <c r="AL97" s="110">
        <f t="shared" si="28"/>
        <v>2</v>
      </c>
      <c r="AM97" s="744"/>
      <c r="AP97" s="3"/>
      <c r="AQ97" s="3"/>
      <c r="AR97" s="3"/>
    </row>
    <row r="98" spans="1:44">
      <c r="A98" s="1">
        <v>90</v>
      </c>
      <c r="B98" s="43" t="str">
        <f t="shared" si="29"/>
        <v>Pferde (&gt;500 kg, über 148 cm) 1/2 bis 3 Jahre</v>
      </c>
      <c r="C98" s="129" t="s">
        <v>771</v>
      </c>
      <c r="D98" s="824"/>
      <c r="E98" s="824"/>
      <c r="F98" s="824"/>
      <c r="G98" s="824"/>
      <c r="H98" s="825">
        <v>31.2</v>
      </c>
      <c r="I98" s="826"/>
      <c r="J98" s="827"/>
      <c r="K98" s="828">
        <v>6</v>
      </c>
      <c r="L98" s="826">
        <v>1</v>
      </c>
      <c r="M98" s="828">
        <v>1</v>
      </c>
      <c r="N98" s="826"/>
      <c r="O98" s="827"/>
      <c r="P98" s="827"/>
      <c r="Q98" s="827"/>
      <c r="R98" s="828">
        <v>15.6</v>
      </c>
      <c r="S98" s="826"/>
      <c r="T98" s="827"/>
      <c r="U98" s="827"/>
      <c r="V98" s="827"/>
      <c r="W98" s="828">
        <v>31.2</v>
      </c>
      <c r="X98" s="832"/>
      <c r="Y98" s="833"/>
      <c r="Z98" s="833"/>
      <c r="AA98" s="834"/>
      <c r="AB98" s="833"/>
      <c r="AC98" s="833"/>
      <c r="AD98" s="833"/>
      <c r="AE98" s="834"/>
      <c r="AF98" s="826"/>
      <c r="AG98" s="827"/>
      <c r="AH98" s="828">
        <v>28.4</v>
      </c>
      <c r="AI98" s="49" t="s">
        <v>772</v>
      </c>
      <c r="AJ98" s="109">
        <v>72.7</v>
      </c>
      <c r="AK98" s="109">
        <v>72.7</v>
      </c>
      <c r="AL98" s="110">
        <f t="shared" si="28"/>
        <v>2.3383768913342502</v>
      </c>
      <c r="AM98" s="744"/>
      <c r="AP98" s="3"/>
      <c r="AQ98" s="3"/>
      <c r="AR98" s="3"/>
    </row>
    <row r="99" spans="1:44">
      <c r="A99" s="1">
        <v>91</v>
      </c>
      <c r="B99" s="43" t="str">
        <f t="shared" si="29"/>
        <v>Pferde (&gt;500 kg)&gt; 3 Jahre incl. Fohlen bis 1/2 Jahr</v>
      </c>
      <c r="C99" s="129" t="s">
        <v>773</v>
      </c>
      <c r="D99" s="824"/>
      <c r="E99" s="824"/>
      <c r="F99" s="824"/>
      <c r="G99" s="824"/>
      <c r="H99" s="825">
        <v>36.799999999999997</v>
      </c>
      <c r="I99" s="826"/>
      <c r="J99" s="827"/>
      <c r="K99" s="828">
        <v>6.7</v>
      </c>
      <c r="L99" s="826">
        <v>1</v>
      </c>
      <c r="M99" s="828">
        <v>1</v>
      </c>
      <c r="N99" s="826"/>
      <c r="O99" s="827"/>
      <c r="P99" s="827"/>
      <c r="Q99" s="827"/>
      <c r="R99" s="828">
        <v>18.399999999999999</v>
      </c>
      <c r="S99" s="826"/>
      <c r="T99" s="827"/>
      <c r="U99" s="827"/>
      <c r="V99" s="827"/>
      <c r="W99" s="828">
        <v>36.799999999999997</v>
      </c>
      <c r="X99" s="832"/>
      <c r="Y99" s="833"/>
      <c r="Z99" s="833"/>
      <c r="AA99" s="834"/>
      <c r="AB99" s="833"/>
      <c r="AC99" s="833"/>
      <c r="AD99" s="833"/>
      <c r="AE99" s="834"/>
      <c r="AF99" s="826"/>
      <c r="AG99" s="827"/>
      <c r="AH99" s="828">
        <v>33.5</v>
      </c>
      <c r="AI99" s="49" t="s">
        <v>773</v>
      </c>
      <c r="AJ99" s="51">
        <v>85</v>
      </c>
      <c r="AK99" s="109">
        <v>85</v>
      </c>
      <c r="AL99" s="110">
        <f t="shared" si="28"/>
        <v>2</v>
      </c>
      <c r="AM99" s="744"/>
      <c r="AP99" s="3"/>
      <c r="AQ99" s="3"/>
      <c r="AR99" s="3"/>
    </row>
    <row r="100" spans="1:44">
      <c r="A100" s="1">
        <v>92</v>
      </c>
      <c r="B100" s="43" t="str">
        <f t="shared" si="29"/>
        <v>Schafe Lämmer bis 1/2 Jahr</v>
      </c>
      <c r="C100" s="129" t="s">
        <v>774</v>
      </c>
      <c r="D100" s="824"/>
      <c r="E100" s="824"/>
      <c r="F100" s="824"/>
      <c r="G100" s="824"/>
      <c r="H100" s="825">
        <v>5.4</v>
      </c>
      <c r="I100" s="826"/>
      <c r="J100" s="827"/>
      <c r="K100" s="828">
        <v>0.22</v>
      </c>
      <c r="L100" s="826">
        <v>7.0000000000000007E-2</v>
      </c>
      <c r="M100" s="828">
        <v>1</v>
      </c>
      <c r="N100" s="826"/>
      <c r="O100" s="827"/>
      <c r="P100" s="827"/>
      <c r="Q100" s="827"/>
      <c r="R100" s="828">
        <v>2</v>
      </c>
      <c r="S100" s="826"/>
      <c r="T100" s="827"/>
      <c r="U100" s="827"/>
      <c r="V100" s="827"/>
      <c r="W100" s="828">
        <v>4.4000000000000004</v>
      </c>
      <c r="X100" s="832"/>
      <c r="Y100" s="833"/>
      <c r="Z100" s="833"/>
      <c r="AA100" s="834"/>
      <c r="AB100" s="833"/>
      <c r="AC100" s="833"/>
      <c r="AD100" s="833"/>
      <c r="AE100" s="834"/>
      <c r="AF100" s="826"/>
      <c r="AG100" s="827"/>
      <c r="AH100" s="828">
        <v>4.9000000000000004</v>
      </c>
      <c r="AI100" s="49" t="s">
        <v>774</v>
      </c>
      <c r="AJ100" s="51"/>
      <c r="AK100" s="109"/>
      <c r="AL100" s="110"/>
      <c r="AM100" s="744"/>
      <c r="AP100" s="3"/>
      <c r="AQ100" s="3"/>
      <c r="AR100" s="3"/>
    </row>
    <row r="101" spans="1:44">
      <c r="A101" s="1">
        <v>93</v>
      </c>
      <c r="B101" s="43" t="str">
        <f t="shared" si="29"/>
        <v>Schafe ab 1/2 Jahr bis 1,5 Jahre</v>
      </c>
      <c r="C101" s="129" t="s">
        <v>775</v>
      </c>
      <c r="D101" s="824"/>
      <c r="E101" s="824"/>
      <c r="F101" s="824"/>
      <c r="G101" s="824"/>
      <c r="H101" s="825">
        <v>7.3</v>
      </c>
      <c r="I101" s="826"/>
      <c r="J101" s="827"/>
      <c r="K101" s="828">
        <v>0.52</v>
      </c>
      <c r="L101" s="826">
        <v>0.15</v>
      </c>
      <c r="M101" s="828">
        <v>1</v>
      </c>
      <c r="N101" s="826"/>
      <c r="O101" s="827"/>
      <c r="P101" s="827"/>
      <c r="Q101" s="827"/>
      <c r="R101" s="828">
        <v>3.6</v>
      </c>
      <c r="S101" s="826"/>
      <c r="T101" s="827"/>
      <c r="U101" s="827"/>
      <c r="V101" s="827"/>
      <c r="W101" s="828">
        <v>13.2</v>
      </c>
      <c r="X101" s="832"/>
      <c r="Y101" s="833"/>
      <c r="Z101" s="833"/>
      <c r="AA101" s="834"/>
      <c r="AB101" s="833"/>
      <c r="AC101" s="833"/>
      <c r="AD101" s="833"/>
      <c r="AE101" s="834"/>
      <c r="AF101" s="826"/>
      <c r="AG101" s="827"/>
      <c r="AH101" s="828">
        <v>6.6</v>
      </c>
      <c r="AI101" s="49" t="s">
        <v>775</v>
      </c>
      <c r="AJ101" s="51"/>
      <c r="AK101" s="109">
        <v>12.8</v>
      </c>
      <c r="AL101" s="110">
        <f>170/AK101</f>
        <v>13.28125</v>
      </c>
      <c r="AM101" s="744"/>
      <c r="AP101" s="3"/>
      <c r="AQ101" s="3"/>
      <c r="AR101" s="3"/>
    </row>
    <row r="102" spans="1:44">
      <c r="A102" s="1">
        <v>94</v>
      </c>
      <c r="B102" s="43" t="str">
        <f t="shared" si="29"/>
        <v>Mutterschafe</v>
      </c>
      <c r="C102" s="129" t="s">
        <v>776</v>
      </c>
      <c r="D102" s="824"/>
      <c r="E102" s="824"/>
      <c r="F102" s="824"/>
      <c r="G102" s="824"/>
      <c r="H102" s="825">
        <v>7.7</v>
      </c>
      <c r="I102" s="826"/>
      <c r="J102" s="827"/>
      <c r="K102" s="828">
        <v>0.52</v>
      </c>
      <c r="L102" s="826">
        <v>0.15</v>
      </c>
      <c r="M102" s="828">
        <v>1</v>
      </c>
      <c r="N102" s="826"/>
      <c r="O102" s="827"/>
      <c r="P102" s="827"/>
      <c r="Q102" s="827"/>
      <c r="R102" s="828">
        <v>4</v>
      </c>
      <c r="S102" s="826"/>
      <c r="T102" s="827"/>
      <c r="U102" s="827"/>
      <c r="V102" s="827"/>
      <c r="W102" s="828">
        <v>13.4</v>
      </c>
      <c r="X102" s="832"/>
      <c r="Y102" s="833"/>
      <c r="Z102" s="833"/>
      <c r="AA102" s="834"/>
      <c r="AB102" s="833"/>
      <c r="AC102" s="833"/>
      <c r="AD102" s="833"/>
      <c r="AE102" s="834"/>
      <c r="AF102" s="826"/>
      <c r="AG102" s="827"/>
      <c r="AH102" s="828">
        <v>7</v>
      </c>
      <c r="AI102" s="49" t="s">
        <v>776</v>
      </c>
      <c r="AJ102" s="51">
        <v>12.78</v>
      </c>
      <c r="AK102" s="109">
        <v>12.8</v>
      </c>
      <c r="AL102" s="110">
        <f>170/AK102</f>
        <v>13.28125</v>
      </c>
      <c r="AM102" s="744"/>
      <c r="AP102" s="3"/>
      <c r="AQ102" s="3"/>
      <c r="AR102" s="3"/>
    </row>
    <row r="103" spans="1:44">
      <c r="A103" s="1">
        <v>95</v>
      </c>
      <c r="B103" s="43" t="str">
        <f t="shared" si="29"/>
        <v>Ziegen bis 1/2 Jahr</v>
      </c>
      <c r="C103" s="129" t="s">
        <v>777</v>
      </c>
      <c r="D103" s="824"/>
      <c r="E103" s="824"/>
      <c r="F103" s="824"/>
      <c r="G103" s="824"/>
      <c r="H103" s="825">
        <v>5</v>
      </c>
      <c r="I103" s="826"/>
      <c r="J103" s="827"/>
      <c r="K103" s="828">
        <v>0.16</v>
      </c>
      <c r="L103" s="826">
        <v>7.0000000000000007E-2</v>
      </c>
      <c r="M103" s="828">
        <v>1</v>
      </c>
      <c r="N103" s="826"/>
      <c r="O103" s="827"/>
      <c r="P103" s="827"/>
      <c r="Q103" s="827"/>
      <c r="R103" s="828">
        <v>2.2000000000000002</v>
      </c>
      <c r="S103" s="826"/>
      <c r="T103" s="827"/>
      <c r="U103" s="827"/>
      <c r="V103" s="827"/>
      <c r="W103" s="828">
        <v>4.5999999999999996</v>
      </c>
      <c r="X103" s="832"/>
      <c r="Y103" s="833"/>
      <c r="Z103" s="833"/>
      <c r="AA103" s="834"/>
      <c r="AB103" s="833"/>
      <c r="AC103" s="833"/>
      <c r="AD103" s="833"/>
      <c r="AE103" s="834"/>
      <c r="AF103" s="826"/>
      <c r="AG103" s="827"/>
      <c r="AH103" s="828">
        <v>4.5999999999999996</v>
      </c>
      <c r="AI103" s="49" t="s">
        <v>777</v>
      </c>
      <c r="AJ103" s="51"/>
      <c r="AK103" s="109"/>
      <c r="AL103" s="110"/>
      <c r="AM103" s="744"/>
      <c r="AP103" s="3"/>
      <c r="AQ103" s="3"/>
      <c r="AR103" s="3"/>
    </row>
    <row r="104" spans="1:44">
      <c r="A104" s="1">
        <v>96</v>
      </c>
      <c r="B104" s="43" t="str">
        <f t="shared" si="29"/>
        <v>Ziegen ab 1/2 Jahr bis 1,5 Jahre</v>
      </c>
      <c r="C104" s="129" t="s">
        <v>778</v>
      </c>
      <c r="D104" s="824"/>
      <c r="E104" s="824"/>
      <c r="F104" s="824"/>
      <c r="G104" s="824"/>
      <c r="H104" s="825">
        <v>6.6</v>
      </c>
      <c r="I104" s="826"/>
      <c r="J104" s="827"/>
      <c r="K104" s="828">
        <v>0.38</v>
      </c>
      <c r="L104" s="826">
        <v>0.15</v>
      </c>
      <c r="M104" s="828">
        <v>1</v>
      </c>
      <c r="N104" s="826"/>
      <c r="O104" s="827"/>
      <c r="P104" s="827"/>
      <c r="Q104" s="827"/>
      <c r="R104" s="828">
        <v>3.7</v>
      </c>
      <c r="S104" s="826"/>
      <c r="T104" s="827"/>
      <c r="U104" s="827"/>
      <c r="V104" s="827"/>
      <c r="W104" s="828">
        <v>11.2</v>
      </c>
      <c r="X104" s="832"/>
      <c r="Y104" s="833"/>
      <c r="Z104" s="833"/>
      <c r="AA104" s="834"/>
      <c r="AB104" s="833"/>
      <c r="AC104" s="833"/>
      <c r="AD104" s="833"/>
      <c r="AE104" s="834"/>
      <c r="AF104" s="826"/>
      <c r="AG104" s="827"/>
      <c r="AH104" s="828">
        <v>6</v>
      </c>
      <c r="AI104" s="49" t="s">
        <v>778</v>
      </c>
      <c r="AJ104" s="51"/>
      <c r="AK104" s="109">
        <v>12.8</v>
      </c>
      <c r="AL104" s="110">
        <f>170/AK104</f>
        <v>13.28125</v>
      </c>
      <c r="AM104" s="744"/>
      <c r="AP104" s="3"/>
      <c r="AQ104" s="3"/>
      <c r="AR104" s="3"/>
    </row>
    <row r="105" spans="1:44" ht="13.5" thickBot="1">
      <c r="A105" s="1">
        <v>97</v>
      </c>
      <c r="B105" s="43" t="str">
        <f t="shared" si="29"/>
        <v>Mutterziegen</v>
      </c>
      <c r="C105" s="129" t="s">
        <v>779</v>
      </c>
      <c r="D105" s="824"/>
      <c r="E105" s="824"/>
      <c r="F105" s="824"/>
      <c r="G105" s="824"/>
      <c r="H105" s="825">
        <v>7.2</v>
      </c>
      <c r="I105" s="826"/>
      <c r="J105" s="827"/>
      <c r="K105" s="828">
        <v>0.38</v>
      </c>
      <c r="L105" s="826">
        <v>0.15</v>
      </c>
      <c r="M105" s="828">
        <v>1</v>
      </c>
      <c r="N105" s="826"/>
      <c r="O105" s="827"/>
      <c r="P105" s="827"/>
      <c r="Q105" s="827"/>
      <c r="R105" s="828">
        <v>4.5999999999999996</v>
      </c>
      <c r="S105" s="826"/>
      <c r="T105" s="827"/>
      <c r="U105" s="827"/>
      <c r="V105" s="827"/>
      <c r="W105" s="828">
        <v>12.1</v>
      </c>
      <c r="X105" s="832"/>
      <c r="Y105" s="833"/>
      <c r="Z105" s="833"/>
      <c r="AA105" s="834"/>
      <c r="AB105" s="833"/>
      <c r="AC105" s="833"/>
      <c r="AD105" s="833"/>
      <c r="AE105" s="834"/>
      <c r="AF105" s="826"/>
      <c r="AG105" s="827"/>
      <c r="AH105" s="828">
        <v>6.6</v>
      </c>
      <c r="AI105" s="49" t="s">
        <v>779</v>
      </c>
      <c r="AJ105" s="51">
        <v>12.78</v>
      </c>
      <c r="AK105" s="109">
        <v>12.8</v>
      </c>
      <c r="AL105" s="110">
        <f>170/AK105</f>
        <v>13.28125</v>
      </c>
      <c r="AM105" s="744"/>
      <c r="AP105" s="3"/>
      <c r="AQ105" s="3"/>
      <c r="AR105" s="3"/>
    </row>
    <row r="106" spans="1:44" ht="13.5" thickBot="1">
      <c r="A106"/>
      <c r="B106" s="754" t="s">
        <v>780</v>
      </c>
      <c r="C106" s="754" t="s">
        <v>780</v>
      </c>
      <c r="D106" s="864"/>
      <c r="E106" s="864"/>
      <c r="F106" s="864"/>
      <c r="G106" s="864"/>
      <c r="H106" s="865"/>
      <c r="I106" s="866"/>
      <c r="J106" s="867"/>
      <c r="K106" s="868"/>
      <c r="L106" s="866"/>
      <c r="M106" s="868"/>
      <c r="N106" s="866"/>
      <c r="O106" s="867"/>
      <c r="P106" s="867"/>
      <c r="Q106" s="867"/>
      <c r="R106" s="868"/>
      <c r="S106" s="866"/>
      <c r="T106" s="867"/>
      <c r="U106" s="867"/>
      <c r="V106" s="867"/>
      <c r="W106" s="868"/>
      <c r="X106" s="866"/>
      <c r="Y106" s="867"/>
      <c r="Z106" s="867"/>
      <c r="AA106" s="867"/>
      <c r="AB106" s="867"/>
      <c r="AC106" s="867"/>
      <c r="AD106" s="867"/>
      <c r="AE106" s="868"/>
      <c r="AF106" s="866"/>
      <c r="AG106" s="867"/>
      <c r="AH106" s="868"/>
      <c r="AI106" s="755"/>
      <c r="AJ106" s="5"/>
      <c r="AK106" s="126"/>
      <c r="AL106" s="110"/>
      <c r="AM106" s="744"/>
      <c r="AP106" s="3"/>
      <c r="AQ106" s="3"/>
      <c r="AR106" s="3"/>
    </row>
    <row r="107" spans="1:44">
      <c r="A107" s="1">
        <v>98</v>
      </c>
      <c r="B107" s="43" t="str">
        <f>C107</f>
        <v>Rotwild Alttier inkl. Nachzucht bis 14 Monate</v>
      </c>
      <c r="C107" s="129" t="s">
        <v>781</v>
      </c>
      <c r="D107" s="824"/>
      <c r="E107" s="824"/>
      <c r="F107" s="824"/>
      <c r="G107" s="824"/>
      <c r="H107" s="825">
        <v>20.9</v>
      </c>
      <c r="I107" s="826"/>
      <c r="J107" s="827"/>
      <c r="K107" s="828"/>
      <c r="L107" s="826">
        <v>0.25</v>
      </c>
      <c r="M107" s="828">
        <v>1</v>
      </c>
      <c r="N107" s="826"/>
      <c r="O107" s="827"/>
      <c r="P107" s="827"/>
      <c r="Q107" s="827"/>
      <c r="R107" s="828">
        <v>10.9</v>
      </c>
      <c r="S107" s="826"/>
      <c r="T107" s="827"/>
      <c r="U107" s="827"/>
      <c r="V107" s="827"/>
      <c r="W107" s="828">
        <v>47.5</v>
      </c>
      <c r="X107" s="832"/>
      <c r="Y107" s="833"/>
      <c r="Z107" s="833"/>
      <c r="AA107" s="834"/>
      <c r="AB107" s="833"/>
      <c r="AC107" s="833"/>
      <c r="AD107" s="833"/>
      <c r="AE107" s="834"/>
      <c r="AF107" s="826"/>
      <c r="AG107" s="827"/>
      <c r="AH107" s="828">
        <v>19</v>
      </c>
      <c r="AI107" s="49" t="s">
        <v>781</v>
      </c>
      <c r="AJ107" s="109">
        <v>34</v>
      </c>
      <c r="AK107" s="109">
        <v>34</v>
      </c>
      <c r="AL107" s="110">
        <f>170/AK107</f>
        <v>5</v>
      </c>
      <c r="AM107" s="744"/>
      <c r="AP107" s="3"/>
      <c r="AQ107" s="3"/>
      <c r="AR107" s="3"/>
    </row>
    <row r="108" spans="1:44">
      <c r="A108" s="1">
        <v>99</v>
      </c>
      <c r="B108" s="43" t="str">
        <f t="shared" ref="B108:B122" si="30">C108</f>
        <v>Rotwild Hirsche</v>
      </c>
      <c r="C108" s="129" t="s">
        <v>782</v>
      </c>
      <c r="D108" s="824"/>
      <c r="E108" s="824"/>
      <c r="F108" s="824"/>
      <c r="G108" s="824"/>
      <c r="H108" s="825">
        <v>17</v>
      </c>
      <c r="I108" s="826"/>
      <c r="J108" s="827"/>
      <c r="K108" s="828"/>
      <c r="L108" s="826">
        <v>0.25</v>
      </c>
      <c r="M108" s="828">
        <v>1</v>
      </c>
      <c r="N108" s="826"/>
      <c r="O108" s="827"/>
      <c r="P108" s="827"/>
      <c r="Q108" s="827"/>
      <c r="R108" s="828">
        <v>8.8000000000000007</v>
      </c>
      <c r="S108" s="826"/>
      <c r="T108" s="827"/>
      <c r="U108" s="827"/>
      <c r="V108" s="827"/>
      <c r="W108" s="828">
        <v>38.6</v>
      </c>
      <c r="X108" s="832"/>
      <c r="Y108" s="833"/>
      <c r="Z108" s="833"/>
      <c r="AA108" s="834"/>
      <c r="AB108" s="833"/>
      <c r="AC108" s="833"/>
      <c r="AD108" s="833"/>
      <c r="AE108" s="834"/>
      <c r="AF108" s="826"/>
      <c r="AG108" s="827"/>
      <c r="AH108" s="828">
        <v>15.5</v>
      </c>
      <c r="AI108" s="49" t="s">
        <v>782</v>
      </c>
      <c r="AJ108" s="109">
        <v>34</v>
      </c>
      <c r="AK108" s="109">
        <v>34</v>
      </c>
      <c r="AL108" s="110">
        <f>170/AK108</f>
        <v>5</v>
      </c>
      <c r="AM108" s="744"/>
      <c r="AP108" s="3"/>
      <c r="AQ108" s="3"/>
      <c r="AR108" s="3"/>
    </row>
    <row r="109" spans="1:44">
      <c r="A109" s="1">
        <v>100</v>
      </c>
      <c r="B109" s="43" t="str">
        <f t="shared" si="30"/>
        <v>Damwild, Lamas, Alpacas - Alttiere inkl. Nachzucht bis 14 Monate</v>
      </c>
      <c r="C109" s="129" t="s">
        <v>1569</v>
      </c>
      <c r="D109" s="824"/>
      <c r="E109" s="824"/>
      <c r="F109" s="824"/>
      <c r="G109" s="824"/>
      <c r="H109" s="825">
        <v>10.1</v>
      </c>
      <c r="I109" s="826"/>
      <c r="J109" s="827"/>
      <c r="K109" s="828"/>
      <c r="L109" s="826">
        <v>0.15</v>
      </c>
      <c r="M109" s="828">
        <v>1</v>
      </c>
      <c r="N109" s="826"/>
      <c r="O109" s="827"/>
      <c r="P109" s="827"/>
      <c r="Q109" s="827"/>
      <c r="R109" s="828">
        <v>3.7</v>
      </c>
      <c r="S109" s="826"/>
      <c r="T109" s="827"/>
      <c r="U109" s="827"/>
      <c r="V109" s="827"/>
      <c r="W109" s="828">
        <v>16.100000000000001</v>
      </c>
      <c r="X109" s="832"/>
      <c r="Y109" s="833"/>
      <c r="Z109" s="833"/>
      <c r="AA109" s="834"/>
      <c r="AB109" s="833"/>
      <c r="AC109" s="833"/>
      <c r="AD109" s="833"/>
      <c r="AE109" s="834"/>
      <c r="AF109" s="826"/>
      <c r="AG109" s="827"/>
      <c r="AH109" s="828">
        <v>9.1999999999999993</v>
      </c>
      <c r="AI109" s="49" t="s">
        <v>783</v>
      </c>
      <c r="AJ109" s="109">
        <v>17</v>
      </c>
      <c r="AK109" s="109">
        <v>17</v>
      </c>
      <c r="AL109" s="110">
        <f>170/AK109</f>
        <v>10</v>
      </c>
      <c r="AM109" s="744"/>
      <c r="AP109" s="3"/>
      <c r="AQ109" s="3"/>
      <c r="AR109" s="3"/>
    </row>
    <row r="110" spans="1:44">
      <c r="A110" s="1">
        <v>101</v>
      </c>
      <c r="B110" s="43" t="str">
        <f t="shared" si="30"/>
        <v>Damwild, Lama, Alpacas Hirsche</v>
      </c>
      <c r="C110" s="129" t="s">
        <v>1570</v>
      </c>
      <c r="D110" s="824"/>
      <c r="E110" s="824"/>
      <c r="F110" s="824"/>
      <c r="G110" s="824"/>
      <c r="H110" s="825">
        <v>7.1</v>
      </c>
      <c r="I110" s="826"/>
      <c r="J110" s="827"/>
      <c r="K110" s="828"/>
      <c r="L110" s="826">
        <v>0.15</v>
      </c>
      <c r="M110" s="828">
        <v>1</v>
      </c>
      <c r="N110" s="826"/>
      <c r="O110" s="827"/>
      <c r="P110" s="827"/>
      <c r="Q110" s="827"/>
      <c r="R110" s="828">
        <v>3.7</v>
      </c>
      <c r="S110" s="826"/>
      <c r="T110" s="827"/>
      <c r="U110" s="827"/>
      <c r="V110" s="827"/>
      <c r="W110" s="828">
        <v>16.100000000000001</v>
      </c>
      <c r="X110" s="832"/>
      <c r="Y110" s="833"/>
      <c r="Z110" s="833"/>
      <c r="AA110" s="834"/>
      <c r="AB110" s="833"/>
      <c r="AC110" s="833"/>
      <c r="AD110" s="833"/>
      <c r="AE110" s="834"/>
      <c r="AF110" s="826"/>
      <c r="AG110" s="827"/>
      <c r="AH110" s="828">
        <v>6.5</v>
      </c>
      <c r="AI110" s="49" t="s">
        <v>784</v>
      </c>
      <c r="AJ110" s="109">
        <v>17</v>
      </c>
      <c r="AK110" s="109">
        <v>17</v>
      </c>
      <c r="AL110" s="110">
        <f>170/AK110</f>
        <v>10</v>
      </c>
      <c r="AM110" s="744"/>
      <c r="AP110" s="3"/>
      <c r="AQ110" s="3"/>
      <c r="AR110" s="3"/>
    </row>
    <row r="111" spans="1:44">
      <c r="A111" s="1">
        <v>102</v>
      </c>
      <c r="B111" s="43" t="str">
        <f t="shared" si="30"/>
        <v>Straußenküken bis 1/2 Jahr Gülle</v>
      </c>
      <c r="C111" s="129" t="s">
        <v>785</v>
      </c>
      <c r="D111" s="824"/>
      <c r="E111" s="824"/>
      <c r="F111" s="876">
        <v>1.24</v>
      </c>
      <c r="G111" s="876"/>
      <c r="H111" s="877"/>
      <c r="I111" s="826"/>
      <c r="J111" s="827"/>
      <c r="K111" s="828"/>
      <c r="L111" s="826"/>
      <c r="M111" s="828">
        <v>1</v>
      </c>
      <c r="N111" s="826"/>
      <c r="O111" s="827"/>
      <c r="P111" s="829">
        <v>1.24</v>
      </c>
      <c r="Q111" s="829"/>
      <c r="R111" s="830"/>
      <c r="S111" s="831"/>
      <c r="T111" s="829"/>
      <c r="U111" s="829">
        <v>1.24</v>
      </c>
      <c r="V111" s="829"/>
      <c r="W111" s="830"/>
      <c r="X111" s="832"/>
      <c r="Y111" s="833"/>
      <c r="Z111" s="833"/>
      <c r="AA111" s="834"/>
      <c r="AB111" s="833"/>
      <c r="AC111" s="833"/>
      <c r="AD111" s="833"/>
      <c r="AE111" s="834"/>
      <c r="AF111" s="831">
        <v>1.0788</v>
      </c>
      <c r="AG111" s="827"/>
      <c r="AH111" s="828"/>
      <c r="AI111" s="49" t="s">
        <v>785</v>
      </c>
      <c r="AJ111" s="51"/>
      <c r="AK111" s="109"/>
      <c r="AL111"/>
      <c r="AM111" s="744"/>
      <c r="AP111" s="3"/>
      <c r="AQ111" s="3"/>
      <c r="AR111" s="3"/>
    </row>
    <row r="112" spans="1:44">
      <c r="A112" s="1">
        <v>103</v>
      </c>
      <c r="B112" s="43" t="str">
        <f t="shared" si="30"/>
        <v>Straußenküken bis 1/2 Jahr Mist</v>
      </c>
      <c r="C112" s="129" t="s">
        <v>786</v>
      </c>
      <c r="D112" s="824"/>
      <c r="E112" s="824"/>
      <c r="F112" s="876"/>
      <c r="G112" s="876"/>
      <c r="H112" s="877">
        <v>1.1000000000000001</v>
      </c>
      <c r="I112" s="826"/>
      <c r="J112" s="827"/>
      <c r="K112" s="828"/>
      <c r="L112" s="826"/>
      <c r="M112" s="828">
        <v>1</v>
      </c>
      <c r="N112" s="826"/>
      <c r="O112" s="827"/>
      <c r="P112" s="829"/>
      <c r="Q112" s="829"/>
      <c r="R112" s="830">
        <v>1.1000000000000001</v>
      </c>
      <c r="S112" s="831"/>
      <c r="T112" s="829"/>
      <c r="U112" s="829"/>
      <c r="V112" s="829"/>
      <c r="W112" s="830">
        <v>1.1000000000000001</v>
      </c>
      <c r="X112" s="832"/>
      <c r="Y112" s="833"/>
      <c r="Z112" s="833"/>
      <c r="AA112" s="834"/>
      <c r="AB112" s="833"/>
      <c r="AC112" s="833"/>
      <c r="AD112" s="833"/>
      <c r="AE112" s="834"/>
      <c r="AF112" s="831"/>
      <c r="AG112" s="827"/>
      <c r="AH112" s="830">
        <v>1.0010000000000001</v>
      </c>
      <c r="AI112" s="49" t="s">
        <v>786</v>
      </c>
      <c r="AJ112" s="51"/>
      <c r="AK112" s="109"/>
      <c r="AL112"/>
      <c r="AM112" s="744"/>
      <c r="AP112" s="3"/>
      <c r="AQ112" s="3"/>
      <c r="AR112" s="3"/>
    </row>
    <row r="113" spans="1:44">
      <c r="A113" s="1">
        <v>104</v>
      </c>
      <c r="B113" s="43" t="str">
        <f t="shared" si="30"/>
        <v>Jungstraußen 0,5 - 1,5 Jahre Gülle</v>
      </c>
      <c r="C113" s="129" t="s">
        <v>787</v>
      </c>
      <c r="D113" s="824"/>
      <c r="E113" s="824"/>
      <c r="F113" s="876">
        <v>3.19</v>
      </c>
      <c r="G113" s="876"/>
      <c r="H113" s="877"/>
      <c r="I113" s="826"/>
      <c r="J113" s="827"/>
      <c r="K113" s="828"/>
      <c r="L113" s="826">
        <v>0.15</v>
      </c>
      <c r="M113" s="828">
        <v>1</v>
      </c>
      <c r="N113" s="826"/>
      <c r="O113" s="827"/>
      <c r="P113" s="829">
        <v>3.19</v>
      </c>
      <c r="Q113" s="829"/>
      <c r="R113" s="830"/>
      <c r="S113" s="831"/>
      <c r="T113" s="829"/>
      <c r="U113" s="829">
        <v>3.19</v>
      </c>
      <c r="V113" s="829"/>
      <c r="W113" s="830"/>
      <c r="X113" s="832"/>
      <c r="Y113" s="833"/>
      <c r="Z113" s="833"/>
      <c r="AA113" s="834"/>
      <c r="AB113" s="833"/>
      <c r="AC113" s="833"/>
      <c r="AD113" s="833"/>
      <c r="AE113" s="834"/>
      <c r="AF113" s="831">
        <v>2.7753000000000001</v>
      </c>
      <c r="AG113" s="827"/>
      <c r="AH113" s="830">
        <v>0</v>
      </c>
      <c r="AI113" s="49" t="s">
        <v>787</v>
      </c>
      <c r="AJ113" s="51"/>
      <c r="AK113" s="109"/>
      <c r="AL113"/>
      <c r="AM113" s="744"/>
      <c r="AP113" s="3"/>
      <c r="AQ113" s="3"/>
      <c r="AR113" s="3"/>
    </row>
    <row r="114" spans="1:44">
      <c r="A114" s="1">
        <v>105</v>
      </c>
      <c r="B114" s="43" t="str">
        <f t="shared" si="30"/>
        <v>Jungstraußen 0,5 - 1,5 Jahre Mist</v>
      </c>
      <c r="C114" s="129" t="s">
        <v>788</v>
      </c>
      <c r="D114" s="824"/>
      <c r="E114" s="824"/>
      <c r="F114" s="876"/>
      <c r="G114" s="876"/>
      <c r="H114" s="877">
        <v>2.7</v>
      </c>
      <c r="I114" s="826"/>
      <c r="J114" s="827"/>
      <c r="K114" s="828"/>
      <c r="L114" s="826">
        <v>0.15</v>
      </c>
      <c r="M114" s="828">
        <v>1</v>
      </c>
      <c r="N114" s="826"/>
      <c r="O114" s="827"/>
      <c r="P114" s="829"/>
      <c r="Q114" s="829"/>
      <c r="R114" s="830">
        <v>2.7</v>
      </c>
      <c r="S114" s="831"/>
      <c r="T114" s="829"/>
      <c r="U114" s="829"/>
      <c r="V114" s="829"/>
      <c r="W114" s="830">
        <v>2.7</v>
      </c>
      <c r="X114" s="832"/>
      <c r="Y114" s="833"/>
      <c r="Z114" s="833"/>
      <c r="AA114" s="834"/>
      <c r="AB114" s="833"/>
      <c r="AC114" s="833"/>
      <c r="AD114" s="833"/>
      <c r="AE114" s="834"/>
      <c r="AF114" s="826"/>
      <c r="AG114" s="827"/>
      <c r="AH114" s="830">
        <v>2.4570000000000003</v>
      </c>
      <c r="AI114" s="49" t="s">
        <v>788</v>
      </c>
      <c r="AJ114" s="51"/>
      <c r="AK114" s="109"/>
      <c r="AL114"/>
      <c r="AM114" s="744"/>
      <c r="AP114" s="3"/>
      <c r="AQ114" s="3"/>
      <c r="AR114" s="3"/>
    </row>
    <row r="115" spans="1:44">
      <c r="A115" s="1">
        <v>106</v>
      </c>
      <c r="B115" s="43" t="str">
        <f t="shared" si="30"/>
        <v>Zuchtstraußenhenne - Gülle</v>
      </c>
      <c r="C115" s="129" t="s">
        <v>789</v>
      </c>
      <c r="D115" s="824"/>
      <c r="E115" s="824"/>
      <c r="F115" s="876">
        <v>4.0999999999999996</v>
      </c>
      <c r="G115" s="876"/>
      <c r="H115" s="877"/>
      <c r="I115" s="826"/>
      <c r="J115" s="827"/>
      <c r="K115" s="828"/>
      <c r="L115" s="826">
        <v>0.15</v>
      </c>
      <c r="M115" s="828">
        <v>1</v>
      </c>
      <c r="N115" s="826"/>
      <c r="O115" s="827"/>
      <c r="P115" s="829">
        <v>4.0999999999999996</v>
      </c>
      <c r="Q115" s="829"/>
      <c r="R115" s="830"/>
      <c r="S115" s="831"/>
      <c r="T115" s="829"/>
      <c r="U115" s="829">
        <v>4.0999999999999996</v>
      </c>
      <c r="V115" s="829"/>
      <c r="W115" s="830"/>
      <c r="X115" s="832"/>
      <c r="Y115" s="833"/>
      <c r="Z115" s="833"/>
      <c r="AA115" s="834"/>
      <c r="AB115" s="833"/>
      <c r="AC115" s="833"/>
      <c r="AD115" s="833"/>
      <c r="AE115" s="834"/>
      <c r="AF115" s="831">
        <v>3.5669999999999997</v>
      </c>
      <c r="AG115" s="827"/>
      <c r="AH115" s="830">
        <v>0</v>
      </c>
      <c r="AI115" s="49" t="s">
        <v>789</v>
      </c>
      <c r="AJ115" s="51"/>
      <c r="AK115" s="109"/>
      <c r="AL115"/>
      <c r="AM115" s="744"/>
      <c r="AP115" s="3"/>
      <c r="AQ115" s="3"/>
      <c r="AR115" s="3"/>
    </row>
    <row r="116" spans="1:44">
      <c r="A116" s="1">
        <v>107</v>
      </c>
      <c r="B116" s="43" t="str">
        <f t="shared" si="30"/>
        <v>Zuchtstraußenhenne - Mist</v>
      </c>
      <c r="C116" s="129" t="s">
        <v>790</v>
      </c>
      <c r="D116" s="824"/>
      <c r="E116" s="824"/>
      <c r="F116" s="876"/>
      <c r="G116" s="876"/>
      <c r="H116" s="877">
        <v>3.52</v>
      </c>
      <c r="I116" s="826"/>
      <c r="J116" s="827"/>
      <c r="K116" s="828"/>
      <c r="L116" s="826">
        <v>0.15</v>
      </c>
      <c r="M116" s="828">
        <v>1</v>
      </c>
      <c r="N116" s="826"/>
      <c r="O116" s="827"/>
      <c r="P116" s="829"/>
      <c r="Q116" s="829"/>
      <c r="R116" s="830">
        <v>3.52</v>
      </c>
      <c r="S116" s="831"/>
      <c r="T116" s="829"/>
      <c r="U116" s="829"/>
      <c r="V116" s="829"/>
      <c r="W116" s="830">
        <v>3.52</v>
      </c>
      <c r="X116" s="832"/>
      <c r="Y116" s="833"/>
      <c r="Z116" s="833"/>
      <c r="AA116" s="834"/>
      <c r="AB116" s="833"/>
      <c r="AC116" s="833"/>
      <c r="AD116" s="833"/>
      <c r="AE116" s="834"/>
      <c r="AF116" s="831"/>
      <c r="AG116" s="827"/>
      <c r="AH116" s="830">
        <v>3.2032000000000003</v>
      </c>
      <c r="AI116" s="49" t="s">
        <v>790</v>
      </c>
      <c r="AJ116" s="51"/>
      <c r="AK116" s="109"/>
      <c r="AL116"/>
      <c r="AM116" s="744"/>
      <c r="AP116" s="3"/>
      <c r="AQ116" s="3"/>
      <c r="AR116" s="3"/>
    </row>
    <row r="117" spans="1:44">
      <c r="A117" s="1">
        <v>108</v>
      </c>
      <c r="B117" s="43" t="str">
        <f t="shared" si="30"/>
        <v>Zuchtstraußenhahn - Gülle</v>
      </c>
      <c r="C117" s="129" t="s">
        <v>791</v>
      </c>
      <c r="D117" s="824"/>
      <c r="E117" s="824"/>
      <c r="F117" s="876">
        <v>4.9000000000000004</v>
      </c>
      <c r="G117" s="876"/>
      <c r="H117" s="877"/>
      <c r="I117" s="826"/>
      <c r="J117" s="827"/>
      <c r="K117" s="828"/>
      <c r="L117" s="826">
        <v>0.15</v>
      </c>
      <c r="M117" s="828">
        <v>1</v>
      </c>
      <c r="N117" s="826"/>
      <c r="O117" s="827"/>
      <c r="P117" s="829">
        <v>4.9000000000000004</v>
      </c>
      <c r="Q117" s="829"/>
      <c r="R117" s="830"/>
      <c r="S117" s="831"/>
      <c r="T117" s="829"/>
      <c r="U117" s="829">
        <v>4.9000000000000004</v>
      </c>
      <c r="V117" s="829"/>
      <c r="W117" s="830"/>
      <c r="X117" s="832"/>
      <c r="Y117" s="833"/>
      <c r="Z117" s="833"/>
      <c r="AA117" s="834"/>
      <c r="AB117" s="833"/>
      <c r="AC117" s="833"/>
      <c r="AD117" s="833"/>
      <c r="AE117" s="834"/>
      <c r="AF117" s="831">
        <v>4.2629999999999999</v>
      </c>
      <c r="AG117" s="827"/>
      <c r="AH117" s="830">
        <v>0</v>
      </c>
      <c r="AI117" s="49" t="s">
        <v>791</v>
      </c>
      <c r="AJ117" s="51"/>
      <c r="AK117" s="109"/>
      <c r="AL117"/>
      <c r="AM117" s="744"/>
      <c r="AP117" s="3"/>
      <c r="AQ117" s="3"/>
      <c r="AR117" s="3"/>
    </row>
    <row r="118" spans="1:44">
      <c r="A118" s="1">
        <v>109</v>
      </c>
      <c r="B118" s="43" t="str">
        <f t="shared" si="30"/>
        <v>Zuchtstraußenhahn - Mist</v>
      </c>
      <c r="C118" s="129" t="s">
        <v>792</v>
      </c>
      <c r="D118" s="824"/>
      <c r="E118" s="824"/>
      <c r="F118" s="876"/>
      <c r="G118" s="876"/>
      <c r="H118" s="877">
        <v>4.2</v>
      </c>
      <c r="I118" s="826"/>
      <c r="J118" s="827"/>
      <c r="K118" s="828"/>
      <c r="L118" s="826">
        <v>0.15</v>
      </c>
      <c r="M118" s="828">
        <v>1</v>
      </c>
      <c r="N118" s="826"/>
      <c r="O118" s="827"/>
      <c r="P118" s="829"/>
      <c r="Q118" s="829"/>
      <c r="R118" s="830">
        <v>4.2</v>
      </c>
      <c r="S118" s="831"/>
      <c r="T118" s="829"/>
      <c r="U118" s="829"/>
      <c r="V118" s="829"/>
      <c r="W118" s="830">
        <v>4.2</v>
      </c>
      <c r="X118" s="832"/>
      <c r="Y118" s="833"/>
      <c r="Z118" s="833"/>
      <c r="AA118" s="834"/>
      <c r="AB118" s="833"/>
      <c r="AC118" s="833"/>
      <c r="AD118" s="833"/>
      <c r="AE118" s="834"/>
      <c r="AF118" s="831"/>
      <c r="AG118" s="827"/>
      <c r="AH118" s="830">
        <v>3.8220000000000005</v>
      </c>
      <c r="AI118" s="49" t="s">
        <v>792</v>
      </c>
      <c r="AJ118" s="51"/>
      <c r="AK118" s="109"/>
      <c r="AL118"/>
      <c r="AM118" s="744"/>
      <c r="AP118" s="3"/>
      <c r="AQ118" s="3"/>
      <c r="AR118" s="3"/>
    </row>
    <row r="119" spans="1:44">
      <c r="A119" s="1">
        <v>110</v>
      </c>
      <c r="B119" s="43" t="str">
        <f t="shared" si="30"/>
        <v>Mastkaninchen - Gülle</v>
      </c>
      <c r="C119" s="129" t="s">
        <v>793</v>
      </c>
      <c r="D119" s="824"/>
      <c r="E119" s="824"/>
      <c r="F119" s="876">
        <v>0.72</v>
      </c>
      <c r="G119" s="876"/>
      <c r="H119" s="877"/>
      <c r="I119" s="826"/>
      <c r="J119" s="827"/>
      <c r="K119" s="828"/>
      <c r="L119" s="826">
        <v>2.5000000000000001E-3</v>
      </c>
      <c r="M119" s="828">
        <v>1</v>
      </c>
      <c r="N119" s="826"/>
      <c r="O119" s="827"/>
      <c r="P119" s="829">
        <v>0.72</v>
      </c>
      <c r="Q119" s="829"/>
      <c r="R119" s="830"/>
      <c r="S119" s="831"/>
      <c r="T119" s="829"/>
      <c r="U119" s="829">
        <v>0.72</v>
      </c>
      <c r="V119" s="829"/>
      <c r="W119" s="830"/>
      <c r="X119" s="832"/>
      <c r="Y119" s="833"/>
      <c r="Z119" s="833"/>
      <c r="AA119" s="834"/>
      <c r="AB119" s="833"/>
      <c r="AC119" s="833"/>
      <c r="AD119" s="833"/>
      <c r="AE119" s="834"/>
      <c r="AF119" s="831">
        <v>0.62639999999999996</v>
      </c>
      <c r="AG119" s="827"/>
      <c r="AH119" s="830">
        <v>0</v>
      </c>
      <c r="AI119" s="49" t="s">
        <v>793</v>
      </c>
      <c r="AJ119" s="51">
        <v>400</v>
      </c>
      <c r="AK119" s="109">
        <v>0.42499999999999999</v>
      </c>
      <c r="AL119" s="110">
        <f>170/AK119</f>
        <v>400</v>
      </c>
      <c r="AM119" s="744"/>
      <c r="AP119" s="3"/>
      <c r="AQ119" s="3"/>
      <c r="AR119" s="3"/>
    </row>
    <row r="120" spans="1:44">
      <c r="A120" s="1">
        <v>111</v>
      </c>
      <c r="B120" s="43" t="str">
        <f t="shared" si="30"/>
        <v>Mastkaninchen - Tiefstall</v>
      </c>
      <c r="C120" s="129" t="s">
        <v>794</v>
      </c>
      <c r="D120" s="824"/>
      <c r="E120" s="824"/>
      <c r="F120" s="876"/>
      <c r="G120" s="876"/>
      <c r="H120" s="877">
        <v>0.62</v>
      </c>
      <c r="I120" s="826"/>
      <c r="J120" s="827"/>
      <c r="K120" s="828"/>
      <c r="L120" s="826">
        <v>2.5000000000000001E-3</v>
      </c>
      <c r="M120" s="828">
        <v>1</v>
      </c>
      <c r="N120" s="826"/>
      <c r="O120" s="827"/>
      <c r="P120" s="829"/>
      <c r="Q120" s="829"/>
      <c r="R120" s="830">
        <v>0.62</v>
      </c>
      <c r="S120" s="831"/>
      <c r="T120" s="829"/>
      <c r="U120" s="829"/>
      <c r="V120" s="829"/>
      <c r="W120" s="830">
        <v>0.62</v>
      </c>
      <c r="X120" s="832"/>
      <c r="Y120" s="833"/>
      <c r="Z120" s="833"/>
      <c r="AA120" s="834"/>
      <c r="AB120" s="833"/>
      <c r="AC120" s="833"/>
      <c r="AD120" s="833"/>
      <c r="AE120" s="834"/>
      <c r="AF120" s="831"/>
      <c r="AG120" s="827"/>
      <c r="AH120" s="830">
        <v>0.56420000000000003</v>
      </c>
      <c r="AI120" s="49" t="s">
        <v>794</v>
      </c>
      <c r="AJ120" s="51">
        <v>400</v>
      </c>
      <c r="AK120" s="109">
        <v>0.42499999999999999</v>
      </c>
      <c r="AL120" s="110">
        <f>170/AK120</f>
        <v>400</v>
      </c>
      <c r="AM120" s="744"/>
      <c r="AP120" s="3"/>
      <c r="AQ120" s="3"/>
      <c r="AR120" s="3"/>
    </row>
    <row r="121" spans="1:44">
      <c r="A121" s="1">
        <v>112</v>
      </c>
      <c r="B121" s="43" t="str">
        <f t="shared" si="30"/>
        <v>Zuchtkaninchen - Gülle</v>
      </c>
      <c r="C121" s="129" t="s">
        <v>795</v>
      </c>
      <c r="D121" s="824"/>
      <c r="E121" s="824"/>
      <c r="F121" s="876">
        <v>1.57</v>
      </c>
      <c r="G121" s="876"/>
      <c r="H121" s="877"/>
      <c r="I121" s="826"/>
      <c r="J121" s="827"/>
      <c r="K121" s="828"/>
      <c r="L121" s="826">
        <v>2.5000000000000001E-2</v>
      </c>
      <c r="M121" s="828">
        <v>1</v>
      </c>
      <c r="N121" s="826"/>
      <c r="O121" s="827"/>
      <c r="P121" s="829">
        <v>1.57</v>
      </c>
      <c r="Q121" s="829"/>
      <c r="R121" s="830"/>
      <c r="S121" s="831"/>
      <c r="T121" s="829"/>
      <c r="U121" s="829">
        <v>1.57</v>
      </c>
      <c r="V121" s="829"/>
      <c r="W121" s="830"/>
      <c r="X121" s="832"/>
      <c r="Y121" s="833"/>
      <c r="Z121" s="833"/>
      <c r="AA121" s="834"/>
      <c r="AB121" s="833"/>
      <c r="AC121" s="833"/>
      <c r="AD121" s="833"/>
      <c r="AE121" s="834"/>
      <c r="AF121" s="831">
        <v>1.3659000000000001</v>
      </c>
      <c r="AG121" s="827"/>
      <c r="AH121" s="830">
        <v>0</v>
      </c>
      <c r="AI121" s="49" t="s">
        <v>795</v>
      </c>
      <c r="AJ121" s="51">
        <v>100</v>
      </c>
      <c r="AK121" s="109">
        <v>1.7</v>
      </c>
      <c r="AL121" s="110">
        <f>170/AK121</f>
        <v>100</v>
      </c>
      <c r="AM121" s="744"/>
      <c r="AP121" s="3"/>
      <c r="AQ121" s="3"/>
      <c r="AR121" s="3"/>
    </row>
    <row r="122" spans="1:44" ht="13.5" thickBot="1">
      <c r="A122" s="1">
        <v>113</v>
      </c>
      <c r="B122" s="43" t="str">
        <f t="shared" si="30"/>
        <v>Zuchtkaninchen - Tiefstall</v>
      </c>
      <c r="C122" s="130" t="s">
        <v>1671</v>
      </c>
      <c r="D122" s="878"/>
      <c r="E122" s="878"/>
      <c r="F122" s="879"/>
      <c r="G122" s="879"/>
      <c r="H122" s="880">
        <v>1.34</v>
      </c>
      <c r="I122" s="881"/>
      <c r="J122" s="882"/>
      <c r="K122" s="883"/>
      <c r="L122" s="881">
        <v>2.5000000000000001E-2</v>
      </c>
      <c r="M122" s="883">
        <v>1</v>
      </c>
      <c r="N122" s="881"/>
      <c r="O122" s="882"/>
      <c r="P122" s="884"/>
      <c r="Q122" s="884"/>
      <c r="R122" s="885">
        <v>1.34</v>
      </c>
      <c r="S122" s="886"/>
      <c r="T122" s="884"/>
      <c r="U122" s="884"/>
      <c r="V122" s="884"/>
      <c r="W122" s="885">
        <v>1.34</v>
      </c>
      <c r="X122" s="832"/>
      <c r="Y122" s="833"/>
      <c r="Z122" s="833"/>
      <c r="AA122" s="834"/>
      <c r="AB122" s="833"/>
      <c r="AC122" s="833"/>
      <c r="AD122" s="833"/>
      <c r="AE122" s="834"/>
      <c r="AF122" s="826"/>
      <c r="AG122" s="827"/>
      <c r="AH122" s="830">
        <v>1.2194</v>
      </c>
      <c r="AI122" s="131" t="s">
        <v>1671</v>
      </c>
      <c r="AJ122" s="51">
        <v>100</v>
      </c>
      <c r="AK122" s="109">
        <v>1.7</v>
      </c>
      <c r="AL122" s="110">
        <f>170/AK122</f>
        <v>100</v>
      </c>
      <c r="AM122" s="744"/>
      <c r="AP122" s="3"/>
      <c r="AQ122" s="3"/>
      <c r="AR122" s="3"/>
    </row>
    <row r="123" spans="1:44" ht="13.5" thickBot="1">
      <c r="A123"/>
      <c r="B123" s="754" t="s">
        <v>796</v>
      </c>
      <c r="C123" s="754" t="s">
        <v>796</v>
      </c>
      <c r="D123" s="864"/>
      <c r="E123" s="864"/>
      <c r="F123" s="864"/>
      <c r="G123" s="864"/>
      <c r="H123" s="865"/>
      <c r="I123" s="866"/>
      <c r="J123" s="867"/>
      <c r="K123" s="868"/>
      <c r="L123" s="866"/>
      <c r="M123" s="868"/>
      <c r="N123" s="866"/>
      <c r="O123" s="867"/>
      <c r="P123" s="867"/>
      <c r="Q123" s="867"/>
      <c r="R123" s="868"/>
      <c r="S123" s="866"/>
      <c r="T123" s="867"/>
      <c r="U123" s="867"/>
      <c r="V123" s="867"/>
      <c r="W123" s="868"/>
      <c r="X123" s="866"/>
      <c r="Y123" s="867"/>
      <c r="Z123" s="867"/>
      <c r="AA123" s="867"/>
      <c r="AB123" s="867"/>
      <c r="AC123" s="867"/>
      <c r="AD123" s="867"/>
      <c r="AE123" s="868"/>
      <c r="AF123" s="866"/>
      <c r="AG123" s="867"/>
      <c r="AH123" s="868"/>
      <c r="AI123" s="755" t="s">
        <v>796</v>
      </c>
      <c r="AJ123" s="5"/>
      <c r="AK123" s="126"/>
      <c r="AL123"/>
      <c r="AM123" s="744"/>
      <c r="AP123" s="3"/>
      <c r="AQ123" s="3"/>
      <c r="AR123" s="3"/>
    </row>
    <row r="124" spans="1:44">
      <c r="A124" s="1">
        <v>114</v>
      </c>
      <c r="B124" s="43" t="str">
        <f>C124</f>
        <v>Zwergrind - andere Kälber und Jungrinder unter 1/2 Jahr - Gülle</v>
      </c>
      <c r="C124" s="132" t="s">
        <v>798</v>
      </c>
      <c r="D124" s="133">
        <v>6.35</v>
      </c>
      <c r="E124" s="134"/>
      <c r="F124" s="134"/>
      <c r="G124" s="134"/>
      <c r="H124" s="135"/>
      <c r="I124" s="136">
        <v>0.65</v>
      </c>
      <c r="J124" s="79">
        <v>0</v>
      </c>
      <c r="K124" s="106">
        <v>0</v>
      </c>
      <c r="L124" s="105">
        <v>0.2</v>
      </c>
      <c r="M124" s="106">
        <v>1</v>
      </c>
      <c r="N124" s="137">
        <v>3.55</v>
      </c>
      <c r="O124" s="79">
        <v>0</v>
      </c>
      <c r="P124" s="79">
        <v>0</v>
      </c>
      <c r="Q124" s="138">
        <v>0</v>
      </c>
      <c r="R124" s="139">
        <v>0</v>
      </c>
      <c r="S124" s="140">
        <v>5.45</v>
      </c>
      <c r="T124" s="138">
        <v>0</v>
      </c>
      <c r="U124" s="138">
        <v>0</v>
      </c>
      <c r="V124" s="138">
        <v>0</v>
      </c>
      <c r="W124" s="139">
        <v>0</v>
      </c>
      <c r="X124" s="751"/>
      <c r="Y124" s="752"/>
      <c r="Z124" s="752"/>
      <c r="AA124" s="753"/>
      <c r="AB124" s="752"/>
      <c r="AC124" s="752"/>
      <c r="AD124" s="752"/>
      <c r="AE124" s="753"/>
      <c r="AF124" s="36">
        <v>5.5244999999999997</v>
      </c>
      <c r="AG124" s="27"/>
      <c r="AH124" s="48"/>
      <c r="AI124" s="141" t="s">
        <v>798</v>
      </c>
      <c r="AJ124" s="51"/>
      <c r="AK124" s="109"/>
      <c r="AL124"/>
      <c r="AM124" s="744"/>
      <c r="AP124" s="3"/>
      <c r="AQ124" s="3"/>
      <c r="AR124" s="3"/>
    </row>
    <row r="125" spans="1:44">
      <c r="A125" s="1">
        <v>115</v>
      </c>
      <c r="B125" s="43" t="str">
        <f t="shared" ref="B125:B162" si="31">C125</f>
        <v>Zwergrind - andere Kälber und Jungrinder unter 1/2 Jahr - Mist/Jauche</v>
      </c>
      <c r="C125" s="129" t="s">
        <v>799</v>
      </c>
      <c r="D125" s="45"/>
      <c r="E125" s="45"/>
      <c r="F125" s="45"/>
      <c r="G125" s="40">
        <v>2.6</v>
      </c>
      <c r="H125" s="142">
        <v>2.6</v>
      </c>
      <c r="I125" s="143">
        <v>0</v>
      </c>
      <c r="J125" s="40">
        <v>0.35</v>
      </c>
      <c r="K125" s="47">
        <v>0.4</v>
      </c>
      <c r="L125" s="46">
        <v>0.2</v>
      </c>
      <c r="M125" s="47">
        <v>1</v>
      </c>
      <c r="N125" s="143">
        <v>0</v>
      </c>
      <c r="O125" s="4">
        <v>0</v>
      </c>
      <c r="P125" s="4">
        <v>0</v>
      </c>
      <c r="Q125" s="41">
        <v>0.17749999999999999</v>
      </c>
      <c r="R125" s="144">
        <v>3.3725000000000001</v>
      </c>
      <c r="S125" s="39">
        <v>0</v>
      </c>
      <c r="T125" s="41">
        <v>0</v>
      </c>
      <c r="U125" s="41">
        <v>0</v>
      </c>
      <c r="V125" s="41">
        <v>1.7985</v>
      </c>
      <c r="W125" s="144">
        <v>3.6515</v>
      </c>
      <c r="X125" s="751"/>
      <c r="Y125" s="752"/>
      <c r="Z125" s="752"/>
      <c r="AA125" s="753"/>
      <c r="AB125" s="752"/>
      <c r="AC125" s="752"/>
      <c r="AD125" s="752"/>
      <c r="AE125" s="753"/>
      <c r="AF125" s="36"/>
      <c r="AG125" s="27">
        <v>2.262</v>
      </c>
      <c r="AH125" s="48">
        <v>2.3660000000000001</v>
      </c>
      <c r="AI125" s="49" t="s">
        <v>799</v>
      </c>
      <c r="AJ125" s="51"/>
      <c r="AK125" s="109"/>
      <c r="AL125"/>
      <c r="AM125" s="744"/>
      <c r="AP125" s="3"/>
      <c r="AQ125" s="3"/>
      <c r="AR125" s="3"/>
    </row>
    <row r="126" spans="1:44">
      <c r="A126" s="1">
        <v>116</v>
      </c>
      <c r="B126" s="43" t="str">
        <f t="shared" si="31"/>
        <v>Zwergrind - andere Kälber und Jungrinder unter 1/2 Jahr - Tiefstallmist</v>
      </c>
      <c r="C126" s="129" t="s">
        <v>800</v>
      </c>
      <c r="D126" s="45"/>
      <c r="E126" s="45"/>
      <c r="F126" s="45"/>
      <c r="G126" s="40"/>
      <c r="H126" s="142">
        <v>5.2</v>
      </c>
      <c r="I126" s="143">
        <v>0</v>
      </c>
      <c r="J126" s="4">
        <v>0</v>
      </c>
      <c r="K126" s="42">
        <v>0.85</v>
      </c>
      <c r="L126" s="46">
        <v>0.2</v>
      </c>
      <c r="M126" s="47">
        <v>1</v>
      </c>
      <c r="N126" s="143">
        <v>0</v>
      </c>
      <c r="O126" s="4">
        <v>0</v>
      </c>
      <c r="P126" s="4">
        <v>0</v>
      </c>
      <c r="Q126" s="41">
        <v>0</v>
      </c>
      <c r="R126" s="144">
        <v>3.55</v>
      </c>
      <c r="S126" s="39">
        <v>0</v>
      </c>
      <c r="T126" s="41">
        <v>0</v>
      </c>
      <c r="U126" s="41">
        <v>0</v>
      </c>
      <c r="V126" s="41">
        <v>0</v>
      </c>
      <c r="W126" s="144">
        <v>5.45</v>
      </c>
      <c r="X126" s="751"/>
      <c r="Y126" s="752"/>
      <c r="Z126" s="752"/>
      <c r="AA126" s="753"/>
      <c r="AB126" s="752"/>
      <c r="AC126" s="752"/>
      <c r="AD126" s="752"/>
      <c r="AE126" s="753"/>
      <c r="AF126" s="36"/>
      <c r="AG126" s="27"/>
      <c r="AH126" s="48">
        <v>4.7320000000000002</v>
      </c>
      <c r="AI126" s="49" t="s">
        <v>800</v>
      </c>
      <c r="AJ126" s="51"/>
      <c r="AK126" s="109"/>
      <c r="AL126"/>
      <c r="AM126" s="744"/>
      <c r="AP126" s="3"/>
      <c r="AQ126" s="3"/>
      <c r="AR126" s="3"/>
    </row>
    <row r="127" spans="1:44">
      <c r="A127" s="1">
        <v>117</v>
      </c>
      <c r="B127" s="43" t="str">
        <f t="shared" si="31"/>
        <v>Zwergrind - Jungvieh 1/2 bis 1 Jahr - Gülle</v>
      </c>
      <c r="C127" s="129" t="s">
        <v>801</v>
      </c>
      <c r="D127" s="40">
        <v>17.2</v>
      </c>
      <c r="E127" s="45"/>
      <c r="F127" s="45"/>
      <c r="G127" s="40"/>
      <c r="H127" s="142"/>
      <c r="I127" s="143">
        <v>1.7</v>
      </c>
      <c r="J127" s="4">
        <v>0</v>
      </c>
      <c r="K127" s="47">
        <v>0</v>
      </c>
      <c r="L127" s="46">
        <v>0.3</v>
      </c>
      <c r="M127" s="47">
        <v>1</v>
      </c>
      <c r="N127" s="143">
        <v>6.75</v>
      </c>
      <c r="O127" s="4">
        <v>0</v>
      </c>
      <c r="P127" s="4">
        <v>0</v>
      </c>
      <c r="Q127" s="41">
        <v>0</v>
      </c>
      <c r="R127" s="144">
        <v>0</v>
      </c>
      <c r="S127" s="39">
        <v>21.55</v>
      </c>
      <c r="T127" s="41">
        <v>0</v>
      </c>
      <c r="U127" s="41">
        <v>0</v>
      </c>
      <c r="V127" s="41">
        <v>0</v>
      </c>
      <c r="W127" s="144">
        <v>0</v>
      </c>
      <c r="X127" s="751"/>
      <c r="Y127" s="752"/>
      <c r="Z127" s="752"/>
      <c r="AA127" s="753"/>
      <c r="AB127" s="752"/>
      <c r="AC127" s="752"/>
      <c r="AD127" s="752"/>
      <c r="AE127" s="753"/>
      <c r="AF127" s="36">
        <v>14.963999999999999</v>
      </c>
      <c r="AG127" s="27"/>
      <c r="AH127" s="48"/>
      <c r="AI127" s="49" t="s">
        <v>801</v>
      </c>
      <c r="AJ127" s="51"/>
      <c r="AK127" s="109"/>
      <c r="AL127"/>
      <c r="AM127" s="744"/>
      <c r="AP127" s="3"/>
      <c r="AQ127" s="3"/>
      <c r="AR127" s="3"/>
    </row>
    <row r="128" spans="1:44">
      <c r="A128" s="1">
        <v>118</v>
      </c>
      <c r="B128" s="43" t="str">
        <f t="shared" si="31"/>
        <v>Zwergrind - Jungvieh 1/2 bis 1 Jahr - Mist/Jauche</v>
      </c>
      <c r="C128" s="129" t="s">
        <v>802</v>
      </c>
      <c r="D128" s="45"/>
      <c r="E128" s="45"/>
      <c r="F128" s="45"/>
      <c r="G128" s="40">
        <v>7.1</v>
      </c>
      <c r="H128" s="142">
        <v>7.1</v>
      </c>
      <c r="I128" s="143">
        <v>0</v>
      </c>
      <c r="J128" s="40">
        <v>0.85</v>
      </c>
      <c r="K128" s="42">
        <v>0.9</v>
      </c>
      <c r="L128" s="46">
        <v>0.3</v>
      </c>
      <c r="M128" s="47">
        <v>1</v>
      </c>
      <c r="N128" s="143">
        <v>0</v>
      </c>
      <c r="O128" s="4">
        <v>0</v>
      </c>
      <c r="P128" s="4">
        <v>0</v>
      </c>
      <c r="Q128" s="41">
        <v>0.33750000000000002</v>
      </c>
      <c r="R128" s="144">
        <v>6.4124999999999996</v>
      </c>
      <c r="S128" s="39">
        <v>0</v>
      </c>
      <c r="T128" s="41">
        <v>0</v>
      </c>
      <c r="U128" s="41">
        <v>0</v>
      </c>
      <c r="V128" s="41">
        <v>7.1115000000000004</v>
      </c>
      <c r="W128" s="144">
        <v>14.438499999999999</v>
      </c>
      <c r="X128" s="751"/>
      <c r="Y128" s="752"/>
      <c r="Z128" s="752"/>
      <c r="AA128" s="753"/>
      <c r="AB128" s="752"/>
      <c r="AC128" s="752"/>
      <c r="AD128" s="752"/>
      <c r="AE128" s="753"/>
      <c r="AF128" s="36"/>
      <c r="AG128" s="27">
        <v>6.1769999999999996</v>
      </c>
      <c r="AH128" s="48">
        <v>6.4610000000000003</v>
      </c>
      <c r="AI128" s="49" t="s">
        <v>802</v>
      </c>
      <c r="AJ128" s="51"/>
      <c r="AK128" s="109"/>
      <c r="AL128"/>
      <c r="AM128" s="744"/>
      <c r="AP128" s="3"/>
      <c r="AQ128" s="3"/>
      <c r="AR128" s="3"/>
    </row>
    <row r="129" spans="1:44">
      <c r="A129" s="1">
        <v>119</v>
      </c>
      <c r="B129" s="43" t="str">
        <f t="shared" si="31"/>
        <v>Zwergrind - Jungvieh 1/2 bis 1 Jahr - Tiefstallmist</v>
      </c>
      <c r="C129" s="129" t="s">
        <v>803</v>
      </c>
      <c r="D129" s="45"/>
      <c r="E129" s="45"/>
      <c r="F129" s="45"/>
      <c r="G129" s="40"/>
      <c r="H129" s="142">
        <v>14.2</v>
      </c>
      <c r="I129" s="143">
        <v>0</v>
      </c>
      <c r="J129" s="40">
        <v>0</v>
      </c>
      <c r="K129" s="42">
        <v>1.95</v>
      </c>
      <c r="L129" s="46">
        <v>0.3</v>
      </c>
      <c r="M129" s="47">
        <v>1</v>
      </c>
      <c r="N129" s="143">
        <v>0</v>
      </c>
      <c r="O129" s="4">
        <v>0</v>
      </c>
      <c r="P129" s="4">
        <v>0</v>
      </c>
      <c r="Q129" s="41">
        <v>0</v>
      </c>
      <c r="R129" s="144">
        <v>6.75</v>
      </c>
      <c r="S129" s="39">
        <v>0</v>
      </c>
      <c r="T129" s="41">
        <v>0</v>
      </c>
      <c r="U129" s="41">
        <v>0</v>
      </c>
      <c r="V129" s="41">
        <v>0</v>
      </c>
      <c r="W129" s="144">
        <v>21.55</v>
      </c>
      <c r="X129" s="751"/>
      <c r="Y129" s="752"/>
      <c r="Z129" s="752"/>
      <c r="AA129" s="753"/>
      <c r="AB129" s="752"/>
      <c r="AC129" s="752"/>
      <c r="AD129" s="752"/>
      <c r="AE129" s="753"/>
      <c r="AF129" s="36"/>
      <c r="AG129" s="27"/>
      <c r="AH129" s="48">
        <v>12.922000000000001</v>
      </c>
      <c r="AI129" s="49" t="s">
        <v>803</v>
      </c>
      <c r="AJ129" s="51"/>
      <c r="AK129" s="109"/>
      <c r="AL129"/>
      <c r="AM129" s="744"/>
      <c r="AP129" s="3"/>
      <c r="AQ129" s="3"/>
      <c r="AR129" s="3"/>
    </row>
    <row r="130" spans="1:44">
      <c r="A130" s="1">
        <v>120</v>
      </c>
      <c r="B130" s="43" t="str">
        <f t="shared" si="31"/>
        <v>Zwergrind - Jungvieh 1 bis 2 Jahr - Gülle</v>
      </c>
      <c r="C130" s="129" t="s">
        <v>804</v>
      </c>
      <c r="D130" s="40">
        <v>22.8</v>
      </c>
      <c r="E130" s="45"/>
      <c r="F130" s="45"/>
      <c r="G130" s="40"/>
      <c r="H130" s="142"/>
      <c r="I130" s="143">
        <v>2.9</v>
      </c>
      <c r="J130" s="40">
        <v>0</v>
      </c>
      <c r="K130" s="42">
        <v>0</v>
      </c>
      <c r="L130" s="46">
        <v>0.3</v>
      </c>
      <c r="M130" s="47">
        <v>1</v>
      </c>
      <c r="N130" s="143">
        <v>9.8000000000000007</v>
      </c>
      <c r="O130" s="4">
        <v>0</v>
      </c>
      <c r="P130" s="4">
        <v>0</v>
      </c>
      <c r="Q130" s="41">
        <v>0</v>
      </c>
      <c r="R130" s="144">
        <v>0</v>
      </c>
      <c r="S130" s="39">
        <v>37.4</v>
      </c>
      <c r="T130" s="41">
        <v>0</v>
      </c>
      <c r="U130" s="41">
        <v>0</v>
      </c>
      <c r="V130" s="41">
        <v>0</v>
      </c>
      <c r="W130" s="144">
        <v>0</v>
      </c>
      <c r="X130" s="751"/>
      <c r="Y130" s="752"/>
      <c r="Z130" s="752"/>
      <c r="AA130" s="753"/>
      <c r="AB130" s="752"/>
      <c r="AC130" s="752"/>
      <c r="AD130" s="752"/>
      <c r="AE130" s="753"/>
      <c r="AF130" s="36">
        <v>19.836000000000002</v>
      </c>
      <c r="AG130" s="27"/>
      <c r="AH130" s="48"/>
      <c r="AI130" s="49" t="s">
        <v>804</v>
      </c>
      <c r="AJ130" s="51"/>
      <c r="AK130" s="109"/>
      <c r="AL130"/>
      <c r="AM130" s="744"/>
      <c r="AP130" s="3"/>
      <c r="AQ130" s="3"/>
      <c r="AR130" s="3"/>
    </row>
    <row r="131" spans="1:44">
      <c r="A131" s="1">
        <v>121</v>
      </c>
      <c r="B131" s="43" t="str">
        <f t="shared" si="31"/>
        <v>Zwergrind - Jungvieh 1 bis 2 Jahr - Mist/Jauche</v>
      </c>
      <c r="C131" s="129" t="s">
        <v>805</v>
      </c>
      <c r="D131" s="45"/>
      <c r="E131" s="45"/>
      <c r="F131" s="45"/>
      <c r="G131" s="40">
        <v>9.35</v>
      </c>
      <c r="H131" s="142">
        <v>9.4</v>
      </c>
      <c r="I131" s="143">
        <v>0</v>
      </c>
      <c r="J131" s="40">
        <v>1.45</v>
      </c>
      <c r="K131" s="42">
        <v>1.5</v>
      </c>
      <c r="L131" s="46">
        <v>0.3</v>
      </c>
      <c r="M131" s="47">
        <v>1</v>
      </c>
      <c r="N131" s="143">
        <v>0</v>
      </c>
      <c r="O131" s="4">
        <v>0</v>
      </c>
      <c r="P131" s="4">
        <v>0</v>
      </c>
      <c r="Q131" s="41">
        <v>0.49</v>
      </c>
      <c r="R131" s="144">
        <v>9.31</v>
      </c>
      <c r="S131" s="39">
        <v>0</v>
      </c>
      <c r="T131" s="41">
        <v>0</v>
      </c>
      <c r="U131" s="41">
        <v>0</v>
      </c>
      <c r="V131" s="41">
        <v>12.342000000000001</v>
      </c>
      <c r="W131" s="144">
        <v>25.058</v>
      </c>
      <c r="X131" s="751"/>
      <c r="Y131" s="752"/>
      <c r="Z131" s="752"/>
      <c r="AA131" s="753"/>
      <c r="AB131" s="752"/>
      <c r="AC131" s="752"/>
      <c r="AD131" s="752"/>
      <c r="AE131" s="753"/>
      <c r="AF131" s="36"/>
      <c r="AG131" s="27">
        <v>8.1344999999999992</v>
      </c>
      <c r="AH131" s="48">
        <v>8.5540000000000003</v>
      </c>
      <c r="AI131" s="49" t="s">
        <v>805</v>
      </c>
      <c r="AJ131" s="51"/>
      <c r="AK131" s="109"/>
      <c r="AL131"/>
      <c r="AM131" s="744"/>
      <c r="AP131" s="3"/>
      <c r="AQ131" s="3"/>
      <c r="AR131" s="3"/>
    </row>
    <row r="132" spans="1:44">
      <c r="A132" s="1">
        <v>122</v>
      </c>
      <c r="B132" s="43" t="str">
        <f t="shared" si="31"/>
        <v>Zwergrind - Jungvieh 1 bis 2 Jahr - Tiefstallmist</v>
      </c>
      <c r="C132" s="129" t="s">
        <v>806</v>
      </c>
      <c r="D132" s="45"/>
      <c r="E132" s="45"/>
      <c r="F132" s="45"/>
      <c r="G132" s="40"/>
      <c r="H132" s="142">
        <v>18.75</v>
      </c>
      <c r="I132" s="143">
        <v>0</v>
      </c>
      <c r="J132" s="40">
        <v>0</v>
      </c>
      <c r="K132" s="42">
        <v>3.1</v>
      </c>
      <c r="L132" s="46">
        <v>0.3</v>
      </c>
      <c r="M132" s="47">
        <v>1</v>
      </c>
      <c r="N132" s="143">
        <v>0</v>
      </c>
      <c r="O132" s="4">
        <v>0</v>
      </c>
      <c r="P132" s="4">
        <v>0</v>
      </c>
      <c r="Q132" s="41">
        <v>0</v>
      </c>
      <c r="R132" s="144">
        <v>9.8000000000000007</v>
      </c>
      <c r="S132" s="39">
        <v>0</v>
      </c>
      <c r="T132" s="41">
        <v>0</v>
      </c>
      <c r="U132" s="41">
        <v>0</v>
      </c>
      <c r="V132" s="41">
        <v>0</v>
      </c>
      <c r="W132" s="144">
        <v>37.4</v>
      </c>
      <c r="X132" s="751"/>
      <c r="Y132" s="752"/>
      <c r="Z132" s="752"/>
      <c r="AA132" s="753"/>
      <c r="AB132" s="752"/>
      <c r="AC132" s="752"/>
      <c r="AD132" s="752"/>
      <c r="AE132" s="753"/>
      <c r="AF132" s="36"/>
      <c r="AG132" s="27"/>
      <c r="AH132" s="48">
        <v>17.0625</v>
      </c>
      <c r="AI132" s="49" t="s">
        <v>806</v>
      </c>
      <c r="AJ132" s="51"/>
      <c r="AK132" s="109"/>
      <c r="AL132"/>
      <c r="AM132" s="744"/>
      <c r="AP132" s="3"/>
      <c r="AQ132" s="3"/>
      <c r="AR132" s="3"/>
    </row>
    <row r="133" spans="1:44">
      <c r="A133" s="1">
        <v>123</v>
      </c>
      <c r="B133" s="43" t="str">
        <f t="shared" si="31"/>
        <v>Zwergrind - Ochsen, Stiere - Gülle</v>
      </c>
      <c r="C133" s="129" t="s">
        <v>807</v>
      </c>
      <c r="D133" s="40">
        <v>27.35</v>
      </c>
      <c r="E133" s="45"/>
      <c r="F133" s="45"/>
      <c r="G133" s="40"/>
      <c r="H133" s="142"/>
      <c r="I133" s="143">
        <v>3.55</v>
      </c>
      <c r="J133" s="40">
        <v>0</v>
      </c>
      <c r="K133" s="42">
        <v>0</v>
      </c>
      <c r="L133" s="46">
        <v>0.5</v>
      </c>
      <c r="M133" s="47">
        <v>1</v>
      </c>
      <c r="N133" s="143">
        <v>12.4</v>
      </c>
      <c r="O133" s="4">
        <v>0</v>
      </c>
      <c r="P133" s="4">
        <v>0</v>
      </c>
      <c r="Q133" s="41">
        <v>0</v>
      </c>
      <c r="R133" s="144">
        <v>0</v>
      </c>
      <c r="S133" s="39">
        <v>42.45</v>
      </c>
      <c r="T133" s="41">
        <v>0</v>
      </c>
      <c r="U133" s="41">
        <v>0</v>
      </c>
      <c r="V133" s="41">
        <v>0</v>
      </c>
      <c r="W133" s="144">
        <v>0</v>
      </c>
      <c r="X133" s="751"/>
      <c r="Y133" s="752"/>
      <c r="Z133" s="752"/>
      <c r="AA133" s="753"/>
      <c r="AB133" s="752"/>
      <c r="AC133" s="752"/>
      <c r="AD133" s="752"/>
      <c r="AE133" s="753"/>
      <c r="AF133" s="36">
        <v>23.794500000000003</v>
      </c>
      <c r="AG133" s="27"/>
      <c r="AH133" s="48">
        <v>0</v>
      </c>
      <c r="AI133" s="49" t="s">
        <v>807</v>
      </c>
      <c r="AJ133" s="51"/>
      <c r="AK133" s="109"/>
      <c r="AL133"/>
      <c r="AM133" s="744"/>
      <c r="AP133" s="3"/>
      <c r="AQ133" s="3"/>
      <c r="AR133" s="3"/>
    </row>
    <row r="134" spans="1:44">
      <c r="A134" s="1">
        <v>124</v>
      </c>
      <c r="B134" s="43" t="str">
        <f t="shared" si="31"/>
        <v>Zwergrind - Ochsen, Stiere - Mist/Jauche</v>
      </c>
      <c r="C134" s="129" t="s">
        <v>808</v>
      </c>
      <c r="D134" s="45"/>
      <c r="E134" s="45"/>
      <c r="F134" s="45"/>
      <c r="G134" s="40">
        <v>11.25</v>
      </c>
      <c r="H134" s="142">
        <v>11.3</v>
      </c>
      <c r="I134" s="143">
        <v>0</v>
      </c>
      <c r="J134" s="40">
        <v>1.75</v>
      </c>
      <c r="K134" s="42">
        <v>1.75</v>
      </c>
      <c r="L134" s="46">
        <v>0.5</v>
      </c>
      <c r="M134" s="47">
        <v>1</v>
      </c>
      <c r="N134" s="143">
        <v>0</v>
      </c>
      <c r="O134" s="4">
        <v>0</v>
      </c>
      <c r="P134" s="4">
        <v>0</v>
      </c>
      <c r="Q134" s="41">
        <v>0.62</v>
      </c>
      <c r="R134" s="144">
        <v>11.78</v>
      </c>
      <c r="S134" s="39">
        <v>0</v>
      </c>
      <c r="T134" s="41">
        <v>0</v>
      </c>
      <c r="U134" s="41">
        <v>0</v>
      </c>
      <c r="V134" s="41">
        <v>14.0085</v>
      </c>
      <c r="W134" s="144">
        <v>28.441500000000001</v>
      </c>
      <c r="X134" s="751"/>
      <c r="Y134" s="752"/>
      <c r="Z134" s="752"/>
      <c r="AA134" s="753"/>
      <c r="AB134" s="752"/>
      <c r="AC134" s="752"/>
      <c r="AD134" s="752"/>
      <c r="AE134" s="753"/>
      <c r="AF134" s="36"/>
      <c r="AG134" s="27">
        <v>9.7874999999999996</v>
      </c>
      <c r="AH134" s="48">
        <v>10.283000000000001</v>
      </c>
      <c r="AI134" s="49" t="s">
        <v>808</v>
      </c>
      <c r="AJ134" s="51"/>
      <c r="AK134" s="109"/>
      <c r="AL134"/>
      <c r="AM134" s="744"/>
      <c r="AP134" s="3"/>
      <c r="AQ134" s="3"/>
      <c r="AR134" s="3"/>
    </row>
    <row r="135" spans="1:44">
      <c r="A135" s="1">
        <v>125</v>
      </c>
      <c r="B135" s="43" t="str">
        <f t="shared" si="31"/>
        <v>Zwergrind - Ochsen, Stiere - Tiefstallmist</v>
      </c>
      <c r="C135" s="129" t="s">
        <v>809</v>
      </c>
      <c r="D135" s="45"/>
      <c r="E135" s="45"/>
      <c r="F135" s="45"/>
      <c r="G135" s="40"/>
      <c r="H135" s="142">
        <v>22.55</v>
      </c>
      <c r="I135" s="143">
        <v>0</v>
      </c>
      <c r="J135" s="40">
        <v>0</v>
      </c>
      <c r="K135" s="42">
        <v>3.85</v>
      </c>
      <c r="L135" s="46">
        <v>0.5</v>
      </c>
      <c r="M135" s="47">
        <v>1</v>
      </c>
      <c r="N135" s="143">
        <v>0</v>
      </c>
      <c r="O135" s="4">
        <v>0</v>
      </c>
      <c r="P135" s="4">
        <v>0</v>
      </c>
      <c r="Q135" s="41">
        <v>0</v>
      </c>
      <c r="R135" s="144">
        <v>12.4</v>
      </c>
      <c r="S135" s="39">
        <v>0</v>
      </c>
      <c r="T135" s="41">
        <v>0</v>
      </c>
      <c r="U135" s="41">
        <v>0</v>
      </c>
      <c r="V135" s="41">
        <v>0</v>
      </c>
      <c r="W135" s="144">
        <v>42.45</v>
      </c>
      <c r="X135" s="751"/>
      <c r="Y135" s="752"/>
      <c r="Z135" s="752"/>
      <c r="AA135" s="753"/>
      <c r="AB135" s="752"/>
      <c r="AC135" s="752"/>
      <c r="AD135" s="752"/>
      <c r="AE135" s="753"/>
      <c r="AF135" s="36"/>
      <c r="AG135" s="27"/>
      <c r="AH135" s="48">
        <v>20.520500000000002</v>
      </c>
      <c r="AI135" s="49" t="s">
        <v>809</v>
      </c>
      <c r="AJ135" s="51"/>
      <c r="AK135" s="109"/>
      <c r="AL135"/>
      <c r="AM135" s="744"/>
      <c r="AP135" s="3"/>
      <c r="AQ135" s="3"/>
      <c r="AR135" s="3"/>
    </row>
    <row r="136" spans="1:44">
      <c r="A136" s="1">
        <v>126</v>
      </c>
      <c r="B136" s="43" t="str">
        <f t="shared" si="31"/>
        <v>Zwergrind - Kalbinnen - Gülle</v>
      </c>
      <c r="C136" s="129" t="s">
        <v>810</v>
      </c>
      <c r="D136" s="40">
        <v>29.45</v>
      </c>
      <c r="E136" s="40"/>
      <c r="F136" s="40"/>
      <c r="G136" s="40"/>
      <c r="H136" s="142"/>
      <c r="I136" s="143">
        <v>3.8250000000000002</v>
      </c>
      <c r="J136" s="40">
        <v>0</v>
      </c>
      <c r="K136" s="42">
        <v>0</v>
      </c>
      <c r="L136" s="46">
        <v>0.5</v>
      </c>
      <c r="M136" s="47">
        <v>1</v>
      </c>
      <c r="N136" s="143">
        <v>12.75</v>
      </c>
      <c r="O136" s="4">
        <v>0</v>
      </c>
      <c r="P136" s="4">
        <v>0</v>
      </c>
      <c r="Q136" s="41">
        <v>0</v>
      </c>
      <c r="R136" s="144">
        <v>0</v>
      </c>
      <c r="S136" s="39">
        <v>52.1</v>
      </c>
      <c r="T136" s="41">
        <v>0</v>
      </c>
      <c r="U136" s="41">
        <v>0</v>
      </c>
      <c r="V136" s="41">
        <v>0</v>
      </c>
      <c r="W136" s="144">
        <v>0</v>
      </c>
      <c r="X136" s="751"/>
      <c r="Y136" s="752"/>
      <c r="Z136" s="752"/>
      <c r="AA136" s="753"/>
      <c r="AB136" s="752"/>
      <c r="AC136" s="752"/>
      <c r="AD136" s="752"/>
      <c r="AE136" s="753"/>
      <c r="AF136" s="36">
        <v>25.621499999999997</v>
      </c>
      <c r="AG136" s="27"/>
      <c r="AH136" s="48"/>
      <c r="AI136" s="49" t="s">
        <v>810</v>
      </c>
      <c r="AJ136" s="51"/>
      <c r="AK136" s="109"/>
      <c r="AL136"/>
      <c r="AM136" s="744"/>
      <c r="AP136" s="3"/>
      <c r="AQ136" s="3"/>
      <c r="AR136" s="3"/>
    </row>
    <row r="137" spans="1:44">
      <c r="A137" s="1">
        <v>127</v>
      </c>
      <c r="B137" s="43" t="str">
        <f t="shared" si="31"/>
        <v>Zwergrind - Kalbinnen - Mist/Jauche</v>
      </c>
      <c r="C137" s="129" t="s">
        <v>811</v>
      </c>
      <c r="D137" s="40"/>
      <c r="E137" s="40"/>
      <c r="F137" s="40"/>
      <c r="G137" s="40">
        <v>12.1</v>
      </c>
      <c r="H137" s="142">
        <v>12.15</v>
      </c>
      <c r="I137" s="143">
        <v>0</v>
      </c>
      <c r="J137" s="40">
        <v>1.9</v>
      </c>
      <c r="K137" s="42">
        <v>1.9</v>
      </c>
      <c r="L137" s="46">
        <v>0.5</v>
      </c>
      <c r="M137" s="47">
        <v>1</v>
      </c>
      <c r="N137" s="143">
        <v>0</v>
      </c>
      <c r="O137" s="4">
        <v>0</v>
      </c>
      <c r="P137" s="4">
        <v>0</v>
      </c>
      <c r="Q137" s="41">
        <v>0.63749999999999996</v>
      </c>
      <c r="R137" s="144">
        <v>12.112500000000001</v>
      </c>
      <c r="S137" s="39">
        <v>0</v>
      </c>
      <c r="T137" s="41">
        <v>0</v>
      </c>
      <c r="U137" s="41">
        <v>0</v>
      </c>
      <c r="V137" s="41">
        <v>17.193000000000001</v>
      </c>
      <c r="W137" s="144">
        <v>34.906999999999996</v>
      </c>
      <c r="X137" s="751"/>
      <c r="Y137" s="752"/>
      <c r="Z137" s="752"/>
      <c r="AA137" s="753"/>
      <c r="AB137" s="752"/>
      <c r="AC137" s="752"/>
      <c r="AD137" s="752"/>
      <c r="AE137" s="753"/>
      <c r="AF137" s="36"/>
      <c r="AG137" s="27">
        <v>10.526999999999999</v>
      </c>
      <c r="AH137" s="48">
        <v>11.056500000000002</v>
      </c>
      <c r="AI137" s="49" t="s">
        <v>811</v>
      </c>
      <c r="AJ137" s="51"/>
      <c r="AK137" s="109"/>
      <c r="AL137"/>
      <c r="AM137" s="744"/>
      <c r="AP137" s="3"/>
      <c r="AQ137" s="3"/>
      <c r="AR137" s="3"/>
    </row>
    <row r="138" spans="1:44">
      <c r="A138" s="1">
        <v>128</v>
      </c>
      <c r="B138" s="43" t="str">
        <f t="shared" si="31"/>
        <v>Zwergrind - Kalbinnen - Tiefstallmist</v>
      </c>
      <c r="C138" s="129" t="s">
        <v>812</v>
      </c>
      <c r="D138" s="40"/>
      <c r="E138" s="40"/>
      <c r="F138" s="40"/>
      <c r="G138" s="40"/>
      <c r="H138" s="142">
        <v>24.25</v>
      </c>
      <c r="I138" s="143">
        <v>0</v>
      </c>
      <c r="J138" s="40">
        <v>0</v>
      </c>
      <c r="K138" s="42">
        <v>4.0999999999999996</v>
      </c>
      <c r="L138" s="46">
        <v>0.5</v>
      </c>
      <c r="M138" s="47">
        <v>1</v>
      </c>
      <c r="N138" s="143">
        <v>0</v>
      </c>
      <c r="O138" s="4">
        <v>0</v>
      </c>
      <c r="P138" s="4">
        <v>0</v>
      </c>
      <c r="Q138" s="41">
        <v>0</v>
      </c>
      <c r="R138" s="144">
        <v>12.75</v>
      </c>
      <c r="S138" s="39">
        <v>0</v>
      </c>
      <c r="T138" s="41">
        <v>0</v>
      </c>
      <c r="U138" s="41">
        <v>0</v>
      </c>
      <c r="V138" s="41">
        <v>0</v>
      </c>
      <c r="W138" s="144">
        <v>52.1</v>
      </c>
      <c r="X138" s="751"/>
      <c r="Y138" s="752"/>
      <c r="Z138" s="752"/>
      <c r="AA138" s="753"/>
      <c r="AB138" s="752"/>
      <c r="AC138" s="752"/>
      <c r="AD138" s="752"/>
      <c r="AE138" s="753"/>
      <c r="AF138" s="36"/>
      <c r="AG138" s="27"/>
      <c r="AH138" s="48">
        <v>22.067499999999999</v>
      </c>
      <c r="AI138" s="49" t="s">
        <v>812</v>
      </c>
      <c r="AJ138" s="51"/>
      <c r="AK138" s="109"/>
      <c r="AL138"/>
      <c r="AM138" s="744"/>
      <c r="AP138" s="3"/>
      <c r="AQ138" s="3"/>
      <c r="AR138" s="3"/>
    </row>
    <row r="139" spans="1:44">
      <c r="A139" s="1">
        <v>129</v>
      </c>
      <c r="B139" s="43" t="str">
        <f t="shared" si="31"/>
        <v>Zwergrind - Milch- bzw. Mutterkühe (3000 kg Milch)  - Gülle</v>
      </c>
      <c r="C139" s="129" t="s">
        <v>813</v>
      </c>
      <c r="D139" s="40">
        <v>29.55</v>
      </c>
      <c r="E139" s="40"/>
      <c r="F139" s="40"/>
      <c r="G139" s="40"/>
      <c r="H139" s="142"/>
      <c r="I139" s="143">
        <v>5.625</v>
      </c>
      <c r="J139" s="40">
        <v>0</v>
      </c>
      <c r="K139" s="42">
        <v>0</v>
      </c>
      <c r="L139" s="46">
        <v>0.5</v>
      </c>
      <c r="M139" s="47">
        <v>1</v>
      </c>
      <c r="N139" s="143">
        <v>9.5</v>
      </c>
      <c r="O139" s="4">
        <v>0</v>
      </c>
      <c r="P139" s="4">
        <v>0</v>
      </c>
      <c r="Q139" s="41">
        <v>0</v>
      </c>
      <c r="R139" s="144">
        <v>0</v>
      </c>
      <c r="S139" s="39">
        <v>59.55</v>
      </c>
      <c r="T139" s="41">
        <v>0</v>
      </c>
      <c r="U139" s="41">
        <v>0</v>
      </c>
      <c r="V139" s="41">
        <v>0</v>
      </c>
      <c r="W139" s="144">
        <v>0</v>
      </c>
      <c r="X139" s="751"/>
      <c r="Y139" s="752"/>
      <c r="Z139" s="752"/>
      <c r="AA139" s="753"/>
      <c r="AB139" s="752"/>
      <c r="AC139" s="752"/>
      <c r="AD139" s="752"/>
      <c r="AE139" s="753"/>
      <c r="AF139" s="36">
        <v>25.708500000000001</v>
      </c>
      <c r="AG139" s="27"/>
      <c r="AH139" s="48"/>
      <c r="AI139" s="49" t="s">
        <v>813</v>
      </c>
      <c r="AJ139" s="51"/>
      <c r="AK139" s="109"/>
      <c r="AL139"/>
      <c r="AM139" s="744"/>
      <c r="AP139" s="3"/>
      <c r="AQ139" s="3"/>
      <c r="AR139" s="3"/>
    </row>
    <row r="140" spans="1:44">
      <c r="A140" s="1">
        <v>130</v>
      </c>
      <c r="B140" s="43" t="str">
        <f t="shared" si="31"/>
        <v>Zwergrind - Milch- bzw. Mutterkühe (3000 kg Milch)  - Mist / Jauche</v>
      </c>
      <c r="C140" s="129" t="s">
        <v>814</v>
      </c>
      <c r="D140" s="40"/>
      <c r="E140" s="40"/>
      <c r="F140" s="40"/>
      <c r="G140" s="40">
        <v>8.1</v>
      </c>
      <c r="H140" s="142">
        <v>16.25</v>
      </c>
      <c r="I140" s="143">
        <v>0</v>
      </c>
      <c r="J140" s="40">
        <v>1.85</v>
      </c>
      <c r="K140" s="42">
        <v>3.6</v>
      </c>
      <c r="L140" s="46">
        <v>0.5</v>
      </c>
      <c r="M140" s="47">
        <v>1</v>
      </c>
      <c r="N140" s="143">
        <v>0</v>
      </c>
      <c r="O140" s="4">
        <v>0</v>
      </c>
      <c r="P140" s="4">
        <v>0</v>
      </c>
      <c r="Q140" s="41">
        <v>0.47499999999999998</v>
      </c>
      <c r="R140" s="144">
        <v>9.0250000000000004</v>
      </c>
      <c r="S140" s="39">
        <v>0</v>
      </c>
      <c r="T140" s="41">
        <v>0</v>
      </c>
      <c r="U140" s="41">
        <v>0</v>
      </c>
      <c r="V140" s="41">
        <v>19.651499999999999</v>
      </c>
      <c r="W140" s="144">
        <v>39.898499999999999</v>
      </c>
      <c r="X140" s="751"/>
      <c r="Y140" s="752"/>
      <c r="Z140" s="752"/>
      <c r="AA140" s="753"/>
      <c r="AB140" s="752"/>
      <c r="AC140" s="752"/>
      <c r="AD140" s="752"/>
      <c r="AE140" s="753"/>
      <c r="AF140" s="36"/>
      <c r="AG140" s="27">
        <v>7.0469999999999997</v>
      </c>
      <c r="AH140" s="48">
        <v>14.7875</v>
      </c>
      <c r="AI140" s="49" t="s">
        <v>814</v>
      </c>
      <c r="AJ140" s="51"/>
      <c r="AK140" s="109"/>
      <c r="AL140"/>
      <c r="AM140" s="744"/>
      <c r="AP140" s="3"/>
      <c r="AQ140" s="3"/>
      <c r="AR140" s="3"/>
    </row>
    <row r="141" spans="1:44">
      <c r="A141" s="1">
        <v>131</v>
      </c>
      <c r="B141" s="43" t="str">
        <f t="shared" si="31"/>
        <v>Zwergrind - Milch- bzw. Mutterkühe (3000 kg Milch)  - Tiefstallmist</v>
      </c>
      <c r="C141" s="129" t="s">
        <v>815</v>
      </c>
      <c r="D141" s="40"/>
      <c r="E141" s="40"/>
      <c r="F141" s="40"/>
      <c r="G141" s="40"/>
      <c r="H141" s="142">
        <v>24.35</v>
      </c>
      <c r="I141" s="143">
        <v>0</v>
      </c>
      <c r="J141" s="40">
        <v>0</v>
      </c>
      <c r="K141" s="42">
        <v>5.8</v>
      </c>
      <c r="L141" s="46">
        <v>0.5</v>
      </c>
      <c r="M141" s="47">
        <v>1</v>
      </c>
      <c r="N141" s="143">
        <v>0</v>
      </c>
      <c r="O141" s="4">
        <v>0</v>
      </c>
      <c r="P141" s="4">
        <v>0</v>
      </c>
      <c r="Q141" s="41">
        <v>0</v>
      </c>
      <c r="R141" s="144">
        <v>9.5</v>
      </c>
      <c r="S141" s="39">
        <v>0</v>
      </c>
      <c r="T141" s="41">
        <v>0</v>
      </c>
      <c r="U141" s="41">
        <v>0</v>
      </c>
      <c r="V141" s="41">
        <v>0</v>
      </c>
      <c r="W141" s="144">
        <v>59.55</v>
      </c>
      <c r="X141" s="751"/>
      <c r="Y141" s="752"/>
      <c r="Z141" s="752"/>
      <c r="AA141" s="753"/>
      <c r="AB141" s="752"/>
      <c r="AC141" s="752"/>
      <c r="AD141" s="752"/>
      <c r="AE141" s="753"/>
      <c r="AF141" s="36"/>
      <c r="AG141" s="27"/>
      <c r="AH141" s="48">
        <v>22.158500000000004</v>
      </c>
      <c r="AI141" s="49" t="s">
        <v>815</v>
      </c>
      <c r="AJ141" s="51"/>
      <c r="AK141" s="109"/>
      <c r="AL141"/>
      <c r="AM141" s="744"/>
      <c r="AP141" s="3"/>
      <c r="AQ141" s="3"/>
      <c r="AR141" s="3"/>
    </row>
    <row r="142" spans="1:44">
      <c r="A142" s="1">
        <v>132</v>
      </c>
      <c r="B142" s="43" t="str">
        <f t="shared" si="31"/>
        <v>Zwergrind - Milch- bzw. Ammenkühe (4000 kg Milch)  - Gülle</v>
      </c>
      <c r="C142" s="129" t="s">
        <v>816</v>
      </c>
      <c r="D142" s="40">
        <v>33.35</v>
      </c>
      <c r="E142" s="40"/>
      <c r="F142" s="40"/>
      <c r="G142" s="40"/>
      <c r="H142" s="142"/>
      <c r="I142" s="143">
        <v>5.625</v>
      </c>
      <c r="J142" s="40">
        <v>0</v>
      </c>
      <c r="K142" s="42">
        <v>0</v>
      </c>
      <c r="L142" s="46">
        <v>0.5</v>
      </c>
      <c r="M142" s="47">
        <v>1</v>
      </c>
      <c r="N142" s="143">
        <v>11.8</v>
      </c>
      <c r="O142" s="4">
        <v>0</v>
      </c>
      <c r="P142" s="4">
        <v>0</v>
      </c>
      <c r="Q142" s="41">
        <v>0</v>
      </c>
      <c r="R142" s="144">
        <v>0</v>
      </c>
      <c r="S142" s="39">
        <v>67</v>
      </c>
      <c r="T142" s="41">
        <v>0</v>
      </c>
      <c r="U142" s="41">
        <v>0</v>
      </c>
      <c r="V142" s="41">
        <v>0</v>
      </c>
      <c r="W142" s="144">
        <v>0</v>
      </c>
      <c r="X142" s="751"/>
      <c r="Y142" s="752"/>
      <c r="Z142" s="752"/>
      <c r="AA142" s="753"/>
      <c r="AB142" s="752"/>
      <c r="AC142" s="752"/>
      <c r="AD142" s="752"/>
      <c r="AE142" s="753"/>
      <c r="AF142" s="36">
        <v>29.014500000000002</v>
      </c>
      <c r="AG142" s="27"/>
      <c r="AH142" s="48"/>
      <c r="AI142" s="49" t="s">
        <v>816</v>
      </c>
      <c r="AJ142" s="51"/>
      <c r="AK142" s="109"/>
      <c r="AL142"/>
      <c r="AM142" s="744"/>
      <c r="AP142" s="3"/>
      <c r="AQ142" s="3"/>
      <c r="AR142" s="3"/>
    </row>
    <row r="143" spans="1:44">
      <c r="A143" s="1">
        <v>133</v>
      </c>
      <c r="B143" s="43" t="str">
        <f t="shared" si="31"/>
        <v>Zwergrind - Milch- bzw. Ammenkühe (4000 kg Milch)  - Mist / Jauche</v>
      </c>
      <c r="C143" s="129" t="s">
        <v>817</v>
      </c>
      <c r="D143" s="40"/>
      <c r="E143" s="40"/>
      <c r="F143" s="40"/>
      <c r="G143" s="40">
        <v>9.1999999999999993</v>
      </c>
      <c r="H143" s="142">
        <v>18.3</v>
      </c>
      <c r="I143" s="143">
        <v>0</v>
      </c>
      <c r="J143" s="40">
        <v>1.85</v>
      </c>
      <c r="K143" s="42">
        <v>3.6</v>
      </c>
      <c r="L143" s="46">
        <v>0.5</v>
      </c>
      <c r="M143" s="47">
        <v>1</v>
      </c>
      <c r="N143" s="143">
        <v>0</v>
      </c>
      <c r="O143" s="4">
        <v>0</v>
      </c>
      <c r="P143" s="4">
        <v>0</v>
      </c>
      <c r="Q143" s="41">
        <v>0.59</v>
      </c>
      <c r="R143" s="144">
        <v>11.21</v>
      </c>
      <c r="S143" s="39">
        <v>0</v>
      </c>
      <c r="T143" s="41">
        <v>0</v>
      </c>
      <c r="U143" s="41">
        <v>0</v>
      </c>
      <c r="V143" s="41">
        <v>22.11</v>
      </c>
      <c r="W143" s="144">
        <v>44.89</v>
      </c>
      <c r="X143" s="751"/>
      <c r="Y143" s="752"/>
      <c r="Z143" s="752"/>
      <c r="AA143" s="753"/>
      <c r="AB143" s="752"/>
      <c r="AC143" s="752"/>
      <c r="AD143" s="752"/>
      <c r="AE143" s="753"/>
      <c r="AF143" s="36"/>
      <c r="AG143" s="27">
        <v>8.0039999999999996</v>
      </c>
      <c r="AH143" s="48">
        <v>16.653000000000002</v>
      </c>
      <c r="AI143" s="49" t="s">
        <v>817</v>
      </c>
      <c r="AJ143" s="51"/>
      <c r="AK143" s="109"/>
      <c r="AL143"/>
      <c r="AM143" s="744"/>
      <c r="AP143" s="3"/>
      <c r="AQ143" s="3"/>
      <c r="AR143" s="3"/>
    </row>
    <row r="144" spans="1:44">
      <c r="A144" s="1">
        <v>134</v>
      </c>
      <c r="B144" s="43" t="str">
        <f t="shared" si="31"/>
        <v>Zwergrind - Milch- bzw. Ammenkühe (4000 kg Milch)  - Tiefstallmist</v>
      </c>
      <c r="C144" s="129" t="s">
        <v>818</v>
      </c>
      <c r="D144" s="40"/>
      <c r="E144" s="40"/>
      <c r="F144" s="40"/>
      <c r="G144" s="40"/>
      <c r="H144" s="142">
        <v>27.5</v>
      </c>
      <c r="I144" s="143">
        <v>0</v>
      </c>
      <c r="J144" s="40">
        <v>0</v>
      </c>
      <c r="K144" s="42">
        <v>5.8</v>
      </c>
      <c r="L144" s="46">
        <v>0.5</v>
      </c>
      <c r="M144" s="47">
        <v>1</v>
      </c>
      <c r="N144" s="143">
        <v>0</v>
      </c>
      <c r="O144" s="4">
        <v>0</v>
      </c>
      <c r="P144" s="4">
        <v>0</v>
      </c>
      <c r="Q144" s="41">
        <v>0</v>
      </c>
      <c r="R144" s="144">
        <v>11.8</v>
      </c>
      <c r="S144" s="39">
        <v>0</v>
      </c>
      <c r="T144" s="41">
        <v>0</v>
      </c>
      <c r="U144" s="41">
        <v>0</v>
      </c>
      <c r="V144" s="41">
        <v>0</v>
      </c>
      <c r="W144" s="144">
        <v>67</v>
      </c>
      <c r="X144" s="751"/>
      <c r="Y144" s="752"/>
      <c r="Z144" s="752"/>
      <c r="AA144" s="753"/>
      <c r="AB144" s="752"/>
      <c r="AC144" s="752"/>
      <c r="AD144" s="752"/>
      <c r="AE144" s="753"/>
      <c r="AF144" s="36"/>
      <c r="AG144" s="27"/>
      <c r="AH144" s="48">
        <v>25.024999999999999</v>
      </c>
      <c r="AI144" s="49" t="s">
        <v>818</v>
      </c>
      <c r="AJ144" s="51"/>
      <c r="AK144" s="109"/>
      <c r="AL144"/>
      <c r="AM144" s="744"/>
      <c r="AP144" s="3"/>
      <c r="AQ144" s="3"/>
      <c r="AR144" s="3"/>
    </row>
    <row r="145" spans="1:44">
      <c r="A145" s="1">
        <v>135</v>
      </c>
      <c r="B145" s="43" t="str">
        <f t="shared" si="31"/>
        <v>Zwergrind - Milchkühe (5000 kg Milch) - Gülle</v>
      </c>
      <c r="C145" s="129" t="s">
        <v>819</v>
      </c>
      <c r="D145" s="40">
        <v>37.200000000000003</v>
      </c>
      <c r="E145" s="40"/>
      <c r="F145" s="40"/>
      <c r="G145" s="40"/>
      <c r="H145" s="142"/>
      <c r="I145" s="143">
        <v>5.75</v>
      </c>
      <c r="J145" s="40">
        <v>0</v>
      </c>
      <c r="K145" s="42">
        <v>0</v>
      </c>
      <c r="L145" s="46">
        <v>0.5</v>
      </c>
      <c r="M145" s="47">
        <v>1</v>
      </c>
      <c r="N145" s="143">
        <v>14.1</v>
      </c>
      <c r="O145" s="4">
        <v>0</v>
      </c>
      <c r="P145" s="4">
        <v>0</v>
      </c>
      <c r="Q145" s="41">
        <v>0</v>
      </c>
      <c r="R145" s="144">
        <v>0</v>
      </c>
      <c r="S145" s="39">
        <v>74.45</v>
      </c>
      <c r="T145" s="41">
        <v>0</v>
      </c>
      <c r="U145" s="41">
        <v>0</v>
      </c>
      <c r="V145" s="41">
        <v>0</v>
      </c>
      <c r="W145" s="144">
        <v>0</v>
      </c>
      <c r="X145" s="751"/>
      <c r="Y145" s="752"/>
      <c r="Z145" s="752"/>
      <c r="AA145" s="753"/>
      <c r="AB145" s="752"/>
      <c r="AC145" s="752"/>
      <c r="AD145" s="752"/>
      <c r="AE145" s="753"/>
      <c r="AF145" s="36">
        <v>32.364000000000004</v>
      </c>
      <c r="AG145" s="27"/>
      <c r="AH145" s="48"/>
      <c r="AI145" s="49" t="s">
        <v>819</v>
      </c>
      <c r="AJ145" s="51"/>
      <c r="AK145" s="109"/>
      <c r="AL145"/>
      <c r="AM145" s="744"/>
      <c r="AP145" s="3"/>
      <c r="AQ145" s="3"/>
      <c r="AR145" s="3"/>
    </row>
    <row r="146" spans="1:44">
      <c r="A146" s="1">
        <v>136</v>
      </c>
      <c r="B146" s="43" t="str">
        <f t="shared" si="31"/>
        <v>Zwergrind - Milchkühe (5000 kg Milch) - Mist/Jauche</v>
      </c>
      <c r="C146" s="129" t="s">
        <v>820</v>
      </c>
      <c r="D146" s="40"/>
      <c r="E146" s="40"/>
      <c r="F146" s="40"/>
      <c r="G146" s="40">
        <v>10.199999999999999</v>
      </c>
      <c r="H146" s="142">
        <v>20.45</v>
      </c>
      <c r="I146" s="143">
        <v>0</v>
      </c>
      <c r="J146" s="40">
        <v>1.9</v>
      </c>
      <c r="K146" s="42">
        <v>3.7</v>
      </c>
      <c r="L146" s="46">
        <v>0.5</v>
      </c>
      <c r="M146" s="47">
        <v>1</v>
      </c>
      <c r="N146" s="143">
        <v>0</v>
      </c>
      <c r="O146" s="4">
        <v>0</v>
      </c>
      <c r="P146" s="4">
        <v>0</v>
      </c>
      <c r="Q146" s="41">
        <v>0.70499999999999996</v>
      </c>
      <c r="R146" s="144">
        <v>13.395</v>
      </c>
      <c r="S146" s="39">
        <v>0</v>
      </c>
      <c r="T146" s="41">
        <v>0</v>
      </c>
      <c r="U146" s="41">
        <v>0</v>
      </c>
      <c r="V146" s="41">
        <v>24.5685</v>
      </c>
      <c r="W146" s="144">
        <v>49.881500000000003</v>
      </c>
      <c r="X146" s="751"/>
      <c r="Y146" s="752"/>
      <c r="Z146" s="752"/>
      <c r="AA146" s="753"/>
      <c r="AB146" s="752"/>
      <c r="AC146" s="752"/>
      <c r="AD146" s="752"/>
      <c r="AE146" s="753"/>
      <c r="AF146" s="36">
        <v>0</v>
      </c>
      <c r="AG146" s="27">
        <v>8.8739999999999988</v>
      </c>
      <c r="AH146" s="48">
        <v>18.609500000000001</v>
      </c>
      <c r="AI146" s="49" t="s">
        <v>820</v>
      </c>
      <c r="AJ146" s="51"/>
      <c r="AK146" s="109"/>
      <c r="AL146"/>
      <c r="AM146" s="744"/>
      <c r="AP146" s="3"/>
      <c r="AQ146" s="3"/>
      <c r="AR146" s="3"/>
    </row>
    <row r="147" spans="1:44">
      <c r="A147" s="1">
        <v>137</v>
      </c>
      <c r="B147" s="43" t="str">
        <f t="shared" si="31"/>
        <v>Zwergrind - Milchkühe (5000 kg Milch) - Tiefstallmist</v>
      </c>
      <c r="C147" s="129" t="s">
        <v>821</v>
      </c>
      <c r="D147" s="40"/>
      <c r="E147" s="40"/>
      <c r="F147" s="40"/>
      <c r="G147" s="40"/>
      <c r="H147" s="142">
        <v>30.65</v>
      </c>
      <c r="I147" s="143">
        <v>0</v>
      </c>
      <c r="J147" s="40">
        <v>0</v>
      </c>
      <c r="K147" s="42">
        <v>5.95</v>
      </c>
      <c r="L147" s="46">
        <v>0.5</v>
      </c>
      <c r="M147" s="47">
        <v>1</v>
      </c>
      <c r="N147" s="143">
        <v>0</v>
      </c>
      <c r="O147" s="4">
        <v>0</v>
      </c>
      <c r="P147" s="4">
        <v>0</v>
      </c>
      <c r="Q147" s="41">
        <v>0</v>
      </c>
      <c r="R147" s="144">
        <v>14.1</v>
      </c>
      <c r="S147" s="39">
        <v>0</v>
      </c>
      <c r="T147" s="41">
        <v>0</v>
      </c>
      <c r="U147" s="41">
        <v>0</v>
      </c>
      <c r="V147" s="41">
        <v>0</v>
      </c>
      <c r="W147" s="144">
        <v>74.45</v>
      </c>
      <c r="X147" s="751"/>
      <c r="Y147" s="752"/>
      <c r="Z147" s="752"/>
      <c r="AA147" s="753"/>
      <c r="AB147" s="752"/>
      <c r="AC147" s="752"/>
      <c r="AD147" s="752"/>
      <c r="AE147" s="753"/>
      <c r="AF147" s="36"/>
      <c r="AG147" s="27"/>
      <c r="AH147" s="48">
        <v>27.891500000000001</v>
      </c>
      <c r="AI147" s="49" t="s">
        <v>821</v>
      </c>
      <c r="AJ147" s="51"/>
      <c r="AK147" s="109"/>
      <c r="AL147"/>
      <c r="AM147" s="744"/>
      <c r="AP147" s="3"/>
      <c r="AQ147" s="3"/>
      <c r="AR147" s="3"/>
    </row>
    <row r="148" spans="1:44">
      <c r="A148" s="1">
        <v>138</v>
      </c>
      <c r="B148" s="43" t="str">
        <f t="shared" si="31"/>
        <v>Zwergrind - Milchkühe (6000 kg Milch) - Gülle</v>
      </c>
      <c r="C148" s="129" t="s">
        <v>822</v>
      </c>
      <c r="D148" s="40">
        <v>41</v>
      </c>
      <c r="E148" s="40"/>
      <c r="F148" s="40"/>
      <c r="G148" s="40"/>
      <c r="H148" s="142"/>
      <c r="I148" s="143">
        <v>5.9</v>
      </c>
      <c r="J148" s="40">
        <v>0</v>
      </c>
      <c r="K148" s="42">
        <v>0</v>
      </c>
      <c r="L148" s="46">
        <v>0.5</v>
      </c>
      <c r="M148" s="47">
        <v>1</v>
      </c>
      <c r="N148" s="143">
        <v>16.399999999999999</v>
      </c>
      <c r="O148" s="4">
        <v>0</v>
      </c>
      <c r="P148" s="4">
        <v>0</v>
      </c>
      <c r="Q148" s="41">
        <v>0</v>
      </c>
      <c r="R148" s="144">
        <v>0</v>
      </c>
      <c r="S148" s="39">
        <v>81.900000000000006</v>
      </c>
      <c r="T148" s="41">
        <v>0</v>
      </c>
      <c r="U148" s="41">
        <v>0</v>
      </c>
      <c r="V148" s="41">
        <v>0</v>
      </c>
      <c r="W148" s="144">
        <v>0</v>
      </c>
      <c r="X148" s="751"/>
      <c r="Y148" s="752"/>
      <c r="Z148" s="752"/>
      <c r="AA148" s="753"/>
      <c r="AB148" s="752"/>
      <c r="AC148" s="752"/>
      <c r="AD148" s="752"/>
      <c r="AE148" s="753"/>
      <c r="AF148" s="36">
        <v>35.67</v>
      </c>
      <c r="AG148" s="27"/>
      <c r="AH148" s="48">
        <v>0</v>
      </c>
      <c r="AI148" s="49" t="s">
        <v>822</v>
      </c>
      <c r="AJ148" s="51"/>
      <c r="AK148" s="109"/>
      <c r="AL148"/>
      <c r="AM148" s="744"/>
      <c r="AP148" s="3"/>
      <c r="AQ148" s="3"/>
      <c r="AR148" s="3"/>
    </row>
    <row r="149" spans="1:44">
      <c r="A149" s="1">
        <v>139</v>
      </c>
      <c r="B149" s="43" t="str">
        <f t="shared" si="31"/>
        <v>Zwergrind - Milchkühe (6000 kg Milch) - Mist/Jauche</v>
      </c>
      <c r="C149" s="129" t="s">
        <v>823</v>
      </c>
      <c r="D149" s="40"/>
      <c r="E149" s="40"/>
      <c r="F149" s="40"/>
      <c r="G149" s="40">
        <v>11.25</v>
      </c>
      <c r="H149" s="142">
        <v>22.55</v>
      </c>
      <c r="I149" s="143">
        <v>0</v>
      </c>
      <c r="J149" s="40">
        <v>1.95</v>
      </c>
      <c r="K149" s="42">
        <v>3.8</v>
      </c>
      <c r="L149" s="46">
        <v>0.5</v>
      </c>
      <c r="M149" s="47">
        <v>1</v>
      </c>
      <c r="N149" s="143">
        <v>0</v>
      </c>
      <c r="O149" s="4">
        <v>0</v>
      </c>
      <c r="P149" s="4">
        <v>0</v>
      </c>
      <c r="Q149" s="41">
        <v>0.82</v>
      </c>
      <c r="R149" s="144">
        <v>15.58</v>
      </c>
      <c r="S149" s="39">
        <v>0</v>
      </c>
      <c r="T149" s="41">
        <v>0</v>
      </c>
      <c r="U149" s="41">
        <v>0</v>
      </c>
      <c r="V149" s="41">
        <v>27.027000000000001</v>
      </c>
      <c r="W149" s="144">
        <v>54.872999999999998</v>
      </c>
      <c r="X149" s="751"/>
      <c r="Y149" s="752"/>
      <c r="Z149" s="752"/>
      <c r="AA149" s="753"/>
      <c r="AB149" s="752"/>
      <c r="AC149" s="752"/>
      <c r="AD149" s="752"/>
      <c r="AE149" s="753"/>
      <c r="AF149" s="36"/>
      <c r="AG149" s="27">
        <v>9.7874999999999996</v>
      </c>
      <c r="AH149" s="48">
        <v>20.520500000000002</v>
      </c>
      <c r="AI149" s="49" t="s">
        <v>823</v>
      </c>
      <c r="AJ149" s="51"/>
      <c r="AK149" s="109"/>
      <c r="AL149"/>
      <c r="AM149" s="744"/>
      <c r="AP149" s="3"/>
      <c r="AQ149" s="3"/>
      <c r="AR149" s="3"/>
    </row>
    <row r="150" spans="1:44">
      <c r="A150" s="1">
        <v>140</v>
      </c>
      <c r="B150" s="43" t="str">
        <f t="shared" si="31"/>
        <v>Zwergrind - Milchkühe (6000 kg Milch) - Tiefstallmist</v>
      </c>
      <c r="C150" s="129" t="s">
        <v>824</v>
      </c>
      <c r="D150" s="40"/>
      <c r="E150" s="40"/>
      <c r="F150" s="40"/>
      <c r="G150" s="40"/>
      <c r="H150" s="142">
        <v>33.799999999999997</v>
      </c>
      <c r="I150" s="143">
        <v>0</v>
      </c>
      <c r="J150" s="40">
        <v>0</v>
      </c>
      <c r="K150" s="42">
        <v>6.05</v>
      </c>
      <c r="L150" s="46">
        <v>0.5</v>
      </c>
      <c r="M150" s="47">
        <v>1</v>
      </c>
      <c r="N150" s="143">
        <v>0</v>
      </c>
      <c r="O150" s="4">
        <v>0</v>
      </c>
      <c r="P150" s="4">
        <v>0</v>
      </c>
      <c r="Q150" s="41">
        <v>0</v>
      </c>
      <c r="R150" s="144">
        <v>16.399999999999999</v>
      </c>
      <c r="S150" s="39">
        <v>0</v>
      </c>
      <c r="T150" s="41">
        <v>0</v>
      </c>
      <c r="U150" s="41">
        <v>0</v>
      </c>
      <c r="V150" s="41">
        <v>0</v>
      </c>
      <c r="W150" s="144">
        <v>81.900000000000006</v>
      </c>
      <c r="X150" s="751"/>
      <c r="Y150" s="752"/>
      <c r="Z150" s="752"/>
      <c r="AA150" s="753"/>
      <c r="AB150" s="752"/>
      <c r="AC150" s="752"/>
      <c r="AD150" s="752"/>
      <c r="AE150" s="753"/>
      <c r="AF150" s="36"/>
      <c r="AG150" s="36"/>
      <c r="AH150" s="36">
        <v>30.757999999999999</v>
      </c>
      <c r="AI150" s="49" t="s">
        <v>824</v>
      </c>
      <c r="AJ150" s="51"/>
      <c r="AK150" s="109"/>
      <c r="AL150"/>
      <c r="AM150" s="744"/>
      <c r="AP150" s="3"/>
      <c r="AQ150" s="3"/>
      <c r="AR150" s="3"/>
    </row>
    <row r="151" spans="1:44">
      <c r="A151" s="1">
        <v>141</v>
      </c>
      <c r="B151" s="43" t="str">
        <f t="shared" si="31"/>
        <v>Zwergrind - Milchkühe (7000 kg Milch) - Gülle</v>
      </c>
      <c r="C151" s="129" t="s">
        <v>825</v>
      </c>
      <c r="D151" s="40">
        <v>44.85</v>
      </c>
      <c r="E151" s="40"/>
      <c r="F151" s="40"/>
      <c r="G151" s="40"/>
      <c r="H151" s="142"/>
      <c r="I151" s="143">
        <v>5.8250000000000002</v>
      </c>
      <c r="J151" s="40">
        <v>0</v>
      </c>
      <c r="K151" s="42">
        <v>0</v>
      </c>
      <c r="L151" s="46">
        <v>0.5</v>
      </c>
      <c r="M151" s="47">
        <v>1</v>
      </c>
      <c r="N151" s="143">
        <v>18.7</v>
      </c>
      <c r="O151" s="4">
        <v>0</v>
      </c>
      <c r="P151" s="4">
        <v>0</v>
      </c>
      <c r="Q151" s="41">
        <v>0</v>
      </c>
      <c r="R151" s="144">
        <v>0</v>
      </c>
      <c r="S151" s="39">
        <v>89.35</v>
      </c>
      <c r="T151" s="41">
        <v>0</v>
      </c>
      <c r="U151" s="41">
        <v>0</v>
      </c>
      <c r="V151" s="41">
        <v>0</v>
      </c>
      <c r="W151" s="144">
        <v>0</v>
      </c>
      <c r="X151" s="751"/>
      <c r="Y151" s="752"/>
      <c r="Z151" s="752"/>
      <c r="AA151" s="753"/>
      <c r="AB151" s="752"/>
      <c r="AC151" s="752"/>
      <c r="AD151" s="752"/>
      <c r="AE151" s="753"/>
      <c r="AF151" s="36">
        <v>39.019500000000001</v>
      </c>
      <c r="AG151" s="36"/>
      <c r="AH151" s="36"/>
      <c r="AI151" s="49" t="s">
        <v>825</v>
      </c>
      <c r="AJ151" s="51"/>
      <c r="AK151" s="109"/>
      <c r="AL151"/>
      <c r="AM151" s="744"/>
      <c r="AP151" s="3"/>
      <c r="AQ151" s="3"/>
      <c r="AR151" s="3"/>
    </row>
    <row r="152" spans="1:44">
      <c r="A152" s="1">
        <v>142</v>
      </c>
      <c r="B152" s="43" t="str">
        <f t="shared" si="31"/>
        <v>Zwergrind - Milchkühe (7000 kg Milch) - Mist/Jauche</v>
      </c>
      <c r="C152" s="129" t="s">
        <v>826</v>
      </c>
      <c r="D152" s="40"/>
      <c r="E152" s="40"/>
      <c r="F152" s="40"/>
      <c r="G152" s="40">
        <v>12.3</v>
      </c>
      <c r="H152" s="142">
        <v>24.65</v>
      </c>
      <c r="I152" s="143">
        <v>0</v>
      </c>
      <c r="J152" s="40">
        <v>1.925</v>
      </c>
      <c r="K152" s="42">
        <v>3.75</v>
      </c>
      <c r="L152" s="46">
        <v>0.5</v>
      </c>
      <c r="M152" s="47">
        <v>1</v>
      </c>
      <c r="N152" s="143">
        <v>0</v>
      </c>
      <c r="O152" s="4">
        <v>0</v>
      </c>
      <c r="P152" s="4">
        <v>0</v>
      </c>
      <c r="Q152" s="41">
        <v>0.93500000000000005</v>
      </c>
      <c r="R152" s="144">
        <v>17.765000000000001</v>
      </c>
      <c r="S152" s="39">
        <v>0</v>
      </c>
      <c r="T152" s="41">
        <v>0</v>
      </c>
      <c r="U152" s="41">
        <v>0</v>
      </c>
      <c r="V152" s="41">
        <v>29.485500000000002</v>
      </c>
      <c r="W152" s="144">
        <v>59.8645</v>
      </c>
      <c r="X152" s="751"/>
      <c r="Y152" s="752"/>
      <c r="Z152" s="752"/>
      <c r="AA152" s="753"/>
      <c r="AB152" s="752"/>
      <c r="AC152" s="752"/>
      <c r="AD152" s="752"/>
      <c r="AE152" s="753"/>
      <c r="AF152" s="36"/>
      <c r="AG152" s="36">
        <v>10.701000000000001</v>
      </c>
      <c r="AH152" s="36">
        <v>22.4315</v>
      </c>
      <c r="AI152" s="49" t="s">
        <v>826</v>
      </c>
      <c r="AJ152" s="51"/>
      <c r="AK152" s="109"/>
      <c r="AL152"/>
      <c r="AM152" s="744"/>
      <c r="AP152" s="3"/>
      <c r="AQ152" s="3"/>
      <c r="AR152" s="3"/>
    </row>
    <row r="153" spans="1:44">
      <c r="A153" s="1">
        <v>143</v>
      </c>
      <c r="B153" s="43" t="str">
        <f t="shared" si="31"/>
        <v>Zwergrind - Milchkühe (7000 kg Milch) - Tiefstallmist</v>
      </c>
      <c r="C153" s="129" t="s">
        <v>827</v>
      </c>
      <c r="D153" s="40"/>
      <c r="E153" s="40"/>
      <c r="F153" s="40"/>
      <c r="G153" s="40"/>
      <c r="H153" s="142">
        <v>36.950000000000003</v>
      </c>
      <c r="I153" s="143">
        <v>0</v>
      </c>
      <c r="J153" s="40">
        <v>0</v>
      </c>
      <c r="K153" s="42">
        <v>6</v>
      </c>
      <c r="L153" s="46">
        <v>0.5</v>
      </c>
      <c r="M153" s="47">
        <v>1</v>
      </c>
      <c r="N153" s="143">
        <v>0</v>
      </c>
      <c r="O153" s="4">
        <v>0</v>
      </c>
      <c r="P153" s="4">
        <v>0</v>
      </c>
      <c r="Q153" s="41">
        <v>0</v>
      </c>
      <c r="R153" s="144">
        <v>18.7</v>
      </c>
      <c r="S153" s="39">
        <v>0</v>
      </c>
      <c r="T153" s="41">
        <v>0</v>
      </c>
      <c r="U153" s="41">
        <v>0</v>
      </c>
      <c r="V153" s="41">
        <v>0</v>
      </c>
      <c r="W153" s="144">
        <v>89.35</v>
      </c>
      <c r="X153" s="751"/>
      <c r="Y153" s="752"/>
      <c r="Z153" s="752"/>
      <c r="AA153" s="753"/>
      <c r="AB153" s="752"/>
      <c r="AC153" s="752"/>
      <c r="AD153" s="752"/>
      <c r="AE153" s="753"/>
      <c r="AF153" s="36"/>
      <c r="AG153" s="36"/>
      <c r="AH153" s="36">
        <v>33.624500000000005</v>
      </c>
      <c r="AI153" s="49" t="s">
        <v>827</v>
      </c>
      <c r="AJ153" s="51"/>
      <c r="AK153" s="109"/>
      <c r="AL153"/>
      <c r="AM153" s="744"/>
      <c r="AP153" s="3"/>
      <c r="AQ153" s="3"/>
      <c r="AR153" s="3"/>
    </row>
    <row r="154" spans="1:44">
      <c r="A154" s="1">
        <v>144</v>
      </c>
      <c r="B154" s="43" t="str">
        <f t="shared" si="31"/>
        <v>Zwergrind - Milchkühe (8000 kg Milch) - Gülle</v>
      </c>
      <c r="C154" s="129" t="s">
        <v>828</v>
      </c>
      <c r="D154" s="40">
        <v>48.65</v>
      </c>
      <c r="E154" s="40"/>
      <c r="F154" s="40"/>
      <c r="G154" s="40"/>
      <c r="H154" s="142"/>
      <c r="I154" s="143">
        <v>5.9749999999999996</v>
      </c>
      <c r="J154" s="40">
        <v>0</v>
      </c>
      <c r="K154" s="42">
        <v>0</v>
      </c>
      <c r="L154" s="46">
        <v>0.5</v>
      </c>
      <c r="M154" s="47">
        <v>1</v>
      </c>
      <c r="N154" s="143">
        <v>20.95</v>
      </c>
      <c r="O154" s="4">
        <v>0</v>
      </c>
      <c r="P154" s="4">
        <v>0</v>
      </c>
      <c r="Q154" s="41">
        <v>0</v>
      </c>
      <c r="R154" s="144">
        <v>0</v>
      </c>
      <c r="S154" s="39">
        <v>96.8</v>
      </c>
      <c r="T154" s="41">
        <v>0</v>
      </c>
      <c r="U154" s="41">
        <v>0</v>
      </c>
      <c r="V154" s="41">
        <v>0</v>
      </c>
      <c r="W154" s="144">
        <v>0</v>
      </c>
      <c r="X154" s="751"/>
      <c r="Y154" s="752"/>
      <c r="Z154" s="752"/>
      <c r="AA154" s="753"/>
      <c r="AB154" s="752"/>
      <c r="AC154" s="752"/>
      <c r="AD154" s="752"/>
      <c r="AE154" s="753"/>
      <c r="AF154" s="36">
        <v>42.325499999999998</v>
      </c>
      <c r="AG154" s="36"/>
      <c r="AH154" s="36"/>
      <c r="AI154" s="49" t="s">
        <v>828</v>
      </c>
      <c r="AJ154" s="51"/>
      <c r="AK154" s="109"/>
      <c r="AL154"/>
      <c r="AM154" s="744"/>
      <c r="AP154" s="3"/>
      <c r="AQ154" s="3"/>
      <c r="AR154" s="3"/>
    </row>
    <row r="155" spans="1:44">
      <c r="A155" s="1">
        <v>145</v>
      </c>
      <c r="B155" s="43" t="str">
        <f t="shared" si="31"/>
        <v>Zwergrind - Milchkühe (8000 kg Milch) - Mist/Jauche</v>
      </c>
      <c r="C155" s="129" t="s">
        <v>829</v>
      </c>
      <c r="D155" s="40"/>
      <c r="E155" s="40"/>
      <c r="F155" s="40"/>
      <c r="G155" s="40">
        <v>13.35</v>
      </c>
      <c r="H155" s="142">
        <v>26.75</v>
      </c>
      <c r="I155" s="143">
        <v>0</v>
      </c>
      <c r="J155" s="40">
        <v>1.9750000000000001</v>
      </c>
      <c r="K155" s="42">
        <v>3.8</v>
      </c>
      <c r="L155" s="46">
        <v>0.5</v>
      </c>
      <c r="M155" s="47">
        <v>1</v>
      </c>
      <c r="N155" s="143">
        <v>0</v>
      </c>
      <c r="O155" s="4">
        <v>0</v>
      </c>
      <c r="P155" s="4">
        <v>0</v>
      </c>
      <c r="Q155" s="41">
        <v>1.0475000000000001</v>
      </c>
      <c r="R155" s="144">
        <v>19.9025</v>
      </c>
      <c r="S155" s="39">
        <v>0</v>
      </c>
      <c r="T155" s="41">
        <v>0</v>
      </c>
      <c r="U155" s="41">
        <v>0</v>
      </c>
      <c r="V155" s="41">
        <v>31.943999999999999</v>
      </c>
      <c r="W155" s="144">
        <v>64.855999999999995</v>
      </c>
      <c r="X155" s="751"/>
      <c r="Y155" s="752"/>
      <c r="Z155" s="752"/>
      <c r="AA155" s="753"/>
      <c r="AB155" s="752"/>
      <c r="AC155" s="752"/>
      <c r="AD155" s="752"/>
      <c r="AE155" s="753"/>
      <c r="AF155" s="36"/>
      <c r="AG155" s="36">
        <v>11.6145</v>
      </c>
      <c r="AH155" s="36">
        <v>24.342500000000001</v>
      </c>
      <c r="AI155" s="49" t="s">
        <v>829</v>
      </c>
      <c r="AJ155" s="51"/>
      <c r="AK155" s="109"/>
      <c r="AL155"/>
      <c r="AM155" s="744"/>
      <c r="AP155" s="3"/>
      <c r="AQ155" s="3"/>
      <c r="AR155" s="3"/>
    </row>
    <row r="156" spans="1:44">
      <c r="A156" s="1">
        <v>146</v>
      </c>
      <c r="B156" s="43" t="str">
        <f t="shared" si="31"/>
        <v>Zwergrind - Milchkühe (8000 kg Milch) - Tiefstallmist</v>
      </c>
      <c r="C156" s="129" t="s">
        <v>830</v>
      </c>
      <c r="D156" s="40"/>
      <c r="E156" s="40"/>
      <c r="F156" s="40"/>
      <c r="G156" s="40"/>
      <c r="H156" s="142">
        <v>40.1</v>
      </c>
      <c r="I156" s="143">
        <v>0</v>
      </c>
      <c r="J156" s="40">
        <v>0</v>
      </c>
      <c r="K156" s="42">
        <v>6.15</v>
      </c>
      <c r="L156" s="46">
        <v>0.5</v>
      </c>
      <c r="M156" s="47">
        <v>1</v>
      </c>
      <c r="N156" s="143">
        <v>0</v>
      </c>
      <c r="O156" s="4">
        <v>0</v>
      </c>
      <c r="P156" s="4">
        <v>0</v>
      </c>
      <c r="Q156" s="41">
        <v>0</v>
      </c>
      <c r="R156" s="144">
        <v>20.95</v>
      </c>
      <c r="S156" s="39">
        <v>0</v>
      </c>
      <c r="T156" s="41">
        <v>0</v>
      </c>
      <c r="U156" s="41">
        <v>0</v>
      </c>
      <c r="V156" s="41">
        <v>0</v>
      </c>
      <c r="W156" s="144">
        <v>96.8</v>
      </c>
      <c r="X156" s="751"/>
      <c r="Y156" s="752"/>
      <c r="Z156" s="752"/>
      <c r="AA156" s="753"/>
      <c r="AB156" s="752"/>
      <c r="AC156" s="752"/>
      <c r="AD156" s="752"/>
      <c r="AE156" s="753"/>
      <c r="AF156" s="36"/>
      <c r="AG156" s="36"/>
      <c r="AH156" s="36">
        <v>36.491</v>
      </c>
      <c r="AI156" s="49" t="s">
        <v>830</v>
      </c>
      <c r="AJ156" s="51"/>
      <c r="AK156" s="109"/>
      <c r="AL156"/>
      <c r="AM156" s="744"/>
      <c r="AP156" s="3"/>
      <c r="AQ156" s="3"/>
      <c r="AR156" s="3"/>
    </row>
    <row r="157" spans="1:44">
      <c r="A157" s="1">
        <v>147</v>
      </c>
      <c r="B157" s="1904" t="str">
        <f t="shared" si="31"/>
        <v>Zwergrind - Milchkühe (9000 kg Milch) - Gülle</v>
      </c>
      <c r="C157" s="1905" t="s">
        <v>831</v>
      </c>
      <c r="D157" s="27">
        <v>52.5</v>
      </c>
      <c r="E157" s="27"/>
      <c r="F157" s="27"/>
      <c r="G157" s="27"/>
      <c r="H157" s="38"/>
      <c r="I157" s="36">
        <v>6.15</v>
      </c>
      <c r="J157" s="27">
        <v>0</v>
      </c>
      <c r="K157" s="48">
        <v>0</v>
      </c>
      <c r="L157" s="46">
        <v>0.5</v>
      </c>
      <c r="M157" s="47">
        <v>1</v>
      </c>
      <c r="N157" s="36">
        <v>23.25</v>
      </c>
      <c r="O157" s="4">
        <v>0</v>
      </c>
      <c r="P157" s="4">
        <v>0</v>
      </c>
      <c r="Q157" s="41">
        <v>0</v>
      </c>
      <c r="R157" s="144">
        <v>0</v>
      </c>
      <c r="S157" s="39">
        <v>104.25</v>
      </c>
      <c r="T157" s="41">
        <v>0</v>
      </c>
      <c r="U157" s="41">
        <v>0</v>
      </c>
      <c r="V157" s="41">
        <v>0</v>
      </c>
      <c r="W157" s="144">
        <v>0</v>
      </c>
      <c r="X157" s="751"/>
      <c r="Y157" s="752"/>
      <c r="Z157" s="752"/>
      <c r="AA157" s="753"/>
      <c r="AB157" s="752"/>
      <c r="AC157" s="752"/>
      <c r="AD157" s="752"/>
      <c r="AE157" s="753"/>
      <c r="AF157" s="36">
        <v>45.674999999999997</v>
      </c>
      <c r="AG157" s="36"/>
      <c r="AH157" s="36"/>
      <c r="AI157" s="49" t="s">
        <v>831</v>
      </c>
      <c r="AJ157" s="51"/>
      <c r="AK157" s="109"/>
      <c r="AL157"/>
      <c r="AM157" s="744"/>
      <c r="AO157" s="3"/>
      <c r="AQ157" s="3"/>
      <c r="AR157" s="3"/>
    </row>
    <row r="158" spans="1:44">
      <c r="A158" s="1">
        <v>148</v>
      </c>
      <c r="B158" s="43" t="str">
        <f t="shared" si="31"/>
        <v>Zwergrind - Milchkühe (9000 kg Milch) - Mist/Jauche</v>
      </c>
      <c r="C158" s="129" t="s">
        <v>832</v>
      </c>
      <c r="D158" s="40"/>
      <c r="E158" s="40"/>
      <c r="F158" s="40"/>
      <c r="G158" s="40">
        <v>14.4</v>
      </c>
      <c r="H158" s="142">
        <v>28.85</v>
      </c>
      <c r="I158" s="143">
        <v>0</v>
      </c>
      <c r="J158" s="40">
        <v>2.0249999999999999</v>
      </c>
      <c r="K158" s="42">
        <v>3.95</v>
      </c>
      <c r="L158" s="46">
        <v>0.5</v>
      </c>
      <c r="M158" s="47">
        <v>1</v>
      </c>
      <c r="N158" s="143">
        <v>0</v>
      </c>
      <c r="O158" s="4">
        <v>0</v>
      </c>
      <c r="P158" s="4">
        <v>0</v>
      </c>
      <c r="Q158" s="41">
        <v>1.1625000000000001</v>
      </c>
      <c r="R158" s="144">
        <v>22.087499999999999</v>
      </c>
      <c r="S158" s="39">
        <v>0</v>
      </c>
      <c r="T158" s="41">
        <v>0</v>
      </c>
      <c r="U158" s="41">
        <v>0</v>
      </c>
      <c r="V158" s="41">
        <v>34.402500000000003</v>
      </c>
      <c r="W158" s="144">
        <v>69.847499999999997</v>
      </c>
      <c r="X158" s="751"/>
      <c r="Y158" s="752"/>
      <c r="Z158" s="752"/>
      <c r="AA158" s="753"/>
      <c r="AB158" s="752"/>
      <c r="AC158" s="752"/>
      <c r="AD158" s="752"/>
      <c r="AE158" s="753"/>
      <c r="AF158" s="36"/>
      <c r="AG158" s="36">
        <v>12.528</v>
      </c>
      <c r="AH158" s="36">
        <v>26.253500000000003</v>
      </c>
      <c r="AI158" s="49" t="s">
        <v>832</v>
      </c>
      <c r="AJ158" s="51"/>
      <c r="AK158" s="109"/>
      <c r="AL158"/>
      <c r="AM158" s="744"/>
      <c r="AO158" s="3"/>
      <c r="AQ158" s="3"/>
      <c r="AR158" s="3"/>
    </row>
    <row r="159" spans="1:44">
      <c r="A159" s="1">
        <v>149</v>
      </c>
      <c r="B159" s="43" t="str">
        <f t="shared" si="31"/>
        <v>Zwergrind - Milchkühe (9000 kg Milch) - Tiefstallmist</v>
      </c>
      <c r="C159" s="129" t="s">
        <v>833</v>
      </c>
      <c r="D159" s="40"/>
      <c r="E159" s="40"/>
      <c r="F159" s="40"/>
      <c r="G159" s="40"/>
      <c r="H159" s="142">
        <v>43.25</v>
      </c>
      <c r="I159" s="143">
        <v>0</v>
      </c>
      <c r="J159" s="40">
        <v>0</v>
      </c>
      <c r="K159" s="42">
        <v>6.3</v>
      </c>
      <c r="L159" s="46">
        <v>0.5</v>
      </c>
      <c r="M159" s="47">
        <v>1</v>
      </c>
      <c r="N159" s="143">
        <v>0</v>
      </c>
      <c r="O159" s="4">
        <v>0</v>
      </c>
      <c r="P159" s="4">
        <v>0</v>
      </c>
      <c r="Q159" s="41">
        <v>0</v>
      </c>
      <c r="R159" s="144">
        <v>23.25</v>
      </c>
      <c r="S159" s="39">
        <v>0</v>
      </c>
      <c r="T159" s="41">
        <v>0</v>
      </c>
      <c r="U159" s="41">
        <v>0</v>
      </c>
      <c r="V159" s="41">
        <v>0</v>
      </c>
      <c r="W159" s="144">
        <v>104.25</v>
      </c>
      <c r="X159" s="751"/>
      <c r="Y159" s="752"/>
      <c r="Z159" s="752"/>
      <c r="AA159" s="753"/>
      <c r="AB159" s="752"/>
      <c r="AC159" s="752"/>
      <c r="AD159" s="752"/>
      <c r="AE159" s="753"/>
      <c r="AF159" s="36"/>
      <c r="AG159" s="36"/>
      <c r="AH159" s="36">
        <v>39.357500000000002</v>
      </c>
      <c r="AI159" s="49" t="s">
        <v>833</v>
      </c>
      <c r="AJ159" s="51"/>
      <c r="AK159" s="109"/>
      <c r="AL159"/>
      <c r="AM159" s="744"/>
      <c r="AO159" s="3"/>
      <c r="AQ159" s="3"/>
      <c r="AR159" s="3"/>
    </row>
    <row r="160" spans="1:44">
      <c r="A160" s="1">
        <v>150</v>
      </c>
      <c r="B160" s="43" t="str">
        <f t="shared" si="31"/>
        <v>Zwergrind - Milchkühe (&gt; 10.000 kg Milch) - Gülle</v>
      </c>
      <c r="C160" s="129" t="s">
        <v>834</v>
      </c>
      <c r="D160" s="40">
        <v>56.3</v>
      </c>
      <c r="E160" s="40"/>
      <c r="F160" s="40"/>
      <c r="G160" s="40"/>
      <c r="H160" s="142"/>
      <c r="I160" s="143">
        <v>6.35</v>
      </c>
      <c r="J160" s="40">
        <v>0</v>
      </c>
      <c r="K160" s="42">
        <v>0</v>
      </c>
      <c r="L160" s="46">
        <v>0.5</v>
      </c>
      <c r="M160" s="47">
        <v>1</v>
      </c>
      <c r="N160" s="143">
        <v>25.55</v>
      </c>
      <c r="O160" s="4">
        <v>0</v>
      </c>
      <c r="P160" s="4">
        <v>0</v>
      </c>
      <c r="Q160" s="41">
        <v>0</v>
      </c>
      <c r="R160" s="144">
        <v>0</v>
      </c>
      <c r="S160" s="39">
        <v>111.7</v>
      </c>
      <c r="T160" s="41">
        <v>0</v>
      </c>
      <c r="U160" s="41">
        <v>0</v>
      </c>
      <c r="V160" s="41">
        <v>0</v>
      </c>
      <c r="W160" s="144">
        <v>0</v>
      </c>
      <c r="X160" s="751"/>
      <c r="Y160" s="752"/>
      <c r="Z160" s="752"/>
      <c r="AA160" s="753"/>
      <c r="AB160" s="752"/>
      <c r="AC160" s="752"/>
      <c r="AD160" s="752"/>
      <c r="AE160" s="753"/>
      <c r="AF160" s="36">
        <v>48.980999999999995</v>
      </c>
      <c r="AG160" s="36"/>
      <c r="AH160" s="36"/>
      <c r="AI160" s="49" t="s">
        <v>834</v>
      </c>
      <c r="AJ160" s="51"/>
      <c r="AK160" s="109"/>
      <c r="AL160"/>
      <c r="AM160" s="744"/>
      <c r="AO160" s="3"/>
      <c r="AQ160" s="3"/>
      <c r="AR160" s="3"/>
    </row>
    <row r="161" spans="1:44">
      <c r="A161" s="1">
        <v>151</v>
      </c>
      <c r="B161" s="43" t="str">
        <f t="shared" si="31"/>
        <v>Zwergrind - Milchkühe (&gt; 10.000 kg Milch) - Mist/Jauche</v>
      </c>
      <c r="C161" s="129" t="s">
        <v>835</v>
      </c>
      <c r="D161" s="40"/>
      <c r="E161" s="40"/>
      <c r="F161" s="40"/>
      <c r="G161" s="40">
        <v>15.45</v>
      </c>
      <c r="H161" s="142">
        <v>30.95</v>
      </c>
      <c r="I161" s="143">
        <v>0</v>
      </c>
      <c r="J161" s="40">
        <v>2.1</v>
      </c>
      <c r="K161" s="42">
        <v>4.05</v>
      </c>
      <c r="L161" s="46">
        <v>0.5</v>
      </c>
      <c r="M161" s="47">
        <v>1</v>
      </c>
      <c r="N161" s="143">
        <v>0</v>
      </c>
      <c r="O161" s="4">
        <v>0</v>
      </c>
      <c r="P161" s="4">
        <v>0</v>
      </c>
      <c r="Q161" s="41">
        <v>1.2775000000000001</v>
      </c>
      <c r="R161" s="144">
        <v>24.272500000000001</v>
      </c>
      <c r="S161" s="39">
        <v>0</v>
      </c>
      <c r="T161" s="41">
        <v>0</v>
      </c>
      <c r="U161" s="41">
        <v>0</v>
      </c>
      <c r="V161" s="41">
        <v>36.860999999999997</v>
      </c>
      <c r="W161" s="144">
        <v>74.838999999999999</v>
      </c>
      <c r="X161" s="751"/>
      <c r="Y161" s="752"/>
      <c r="Z161" s="752"/>
      <c r="AA161" s="753"/>
      <c r="AB161" s="752"/>
      <c r="AC161" s="752"/>
      <c r="AD161" s="752"/>
      <c r="AE161" s="753"/>
      <c r="AF161" s="36"/>
      <c r="AG161" s="36">
        <v>13.4415</v>
      </c>
      <c r="AH161" s="36">
        <v>28.1645</v>
      </c>
      <c r="AI161" s="49" t="s">
        <v>835</v>
      </c>
      <c r="AJ161" s="51"/>
      <c r="AK161" s="109"/>
      <c r="AL161"/>
      <c r="AM161" s="744"/>
      <c r="AO161" s="3"/>
      <c r="AQ161" s="3"/>
      <c r="AR161" s="3"/>
    </row>
    <row r="162" spans="1:44" ht="13.5" thickBot="1">
      <c r="A162" s="1">
        <v>152</v>
      </c>
      <c r="B162" s="43" t="str">
        <f t="shared" si="31"/>
        <v>Zwergrind - Milchkühe (&gt; 10.000 kg Milch) - Tiefstallmist</v>
      </c>
      <c r="C162" s="129" t="s">
        <v>836</v>
      </c>
      <c r="D162" s="40"/>
      <c r="E162" s="40"/>
      <c r="F162" s="40"/>
      <c r="G162" s="40"/>
      <c r="H162" s="142">
        <v>46.4</v>
      </c>
      <c r="I162" s="143">
        <v>0</v>
      </c>
      <c r="J162" s="40">
        <v>0</v>
      </c>
      <c r="K162" s="42">
        <v>6.5</v>
      </c>
      <c r="L162" s="46">
        <v>0.5</v>
      </c>
      <c r="M162" s="47">
        <v>1</v>
      </c>
      <c r="N162" s="143">
        <v>0</v>
      </c>
      <c r="O162" s="4">
        <v>0</v>
      </c>
      <c r="P162" s="4">
        <v>0</v>
      </c>
      <c r="Q162" s="41">
        <v>0</v>
      </c>
      <c r="R162" s="144">
        <v>25.55</v>
      </c>
      <c r="S162" s="39">
        <v>0</v>
      </c>
      <c r="T162" s="41">
        <v>0</v>
      </c>
      <c r="U162" s="41">
        <v>0</v>
      </c>
      <c r="V162" s="41">
        <v>0</v>
      </c>
      <c r="W162" s="144">
        <v>111.7</v>
      </c>
      <c r="X162" s="751"/>
      <c r="Y162" s="752"/>
      <c r="Z162" s="752"/>
      <c r="AA162" s="753"/>
      <c r="AB162" s="752"/>
      <c r="AC162" s="752"/>
      <c r="AD162" s="752"/>
      <c r="AE162" s="753"/>
      <c r="AF162" s="36"/>
      <c r="AG162" s="36"/>
      <c r="AH162" s="36">
        <v>42.223999999999997</v>
      </c>
      <c r="AI162" s="49" t="s">
        <v>836</v>
      </c>
      <c r="AJ162" s="51"/>
      <c r="AK162" s="109"/>
      <c r="AL162"/>
      <c r="AM162" s="744"/>
      <c r="AO162" s="3"/>
      <c r="AQ162" s="3"/>
      <c r="AR162" s="3"/>
    </row>
    <row r="163" spans="1:44" ht="13.5" thickBot="1">
      <c r="A163"/>
      <c r="B163" s="8"/>
      <c r="C163" s="107"/>
      <c r="D163" s="10">
        <v>3</v>
      </c>
      <c r="E163" s="10">
        <v>4</v>
      </c>
      <c r="F163" s="10">
        <v>5</v>
      </c>
      <c r="G163" s="10">
        <v>6</v>
      </c>
      <c r="H163" s="17">
        <v>7</v>
      </c>
      <c r="I163" s="11">
        <v>8</v>
      </c>
      <c r="J163" s="12">
        <v>9</v>
      </c>
      <c r="K163" s="13">
        <v>10</v>
      </c>
      <c r="L163" s="11">
        <v>14</v>
      </c>
      <c r="M163" s="13">
        <v>15</v>
      </c>
      <c r="N163" s="11"/>
      <c r="O163" s="12"/>
      <c r="P163" s="12"/>
      <c r="Q163" s="12"/>
      <c r="R163" s="13"/>
      <c r="S163" s="11"/>
      <c r="T163" s="12"/>
      <c r="U163" s="12"/>
      <c r="V163" s="12"/>
      <c r="W163" s="13"/>
      <c r="X163" s="658"/>
      <c r="Y163" s="659"/>
      <c r="Z163" s="659"/>
      <c r="AA163" s="659"/>
      <c r="AB163" s="659"/>
      <c r="AC163" s="659"/>
      <c r="AD163" s="659"/>
      <c r="AE163" s="660"/>
      <c r="AF163" s="11">
        <v>11</v>
      </c>
      <c r="AG163" s="12">
        <v>12</v>
      </c>
      <c r="AH163" s="13">
        <v>13</v>
      </c>
      <c r="AI163" s="108"/>
      <c r="AJ163" s="5"/>
      <c r="AK163" s="109"/>
      <c r="AL163"/>
      <c r="AM163" s="744"/>
      <c r="AO163" s="3"/>
      <c r="AQ163" s="3"/>
      <c r="AR163" s="3"/>
    </row>
    <row r="164" spans="1:44">
      <c r="A164"/>
      <c r="B164" s="656"/>
      <c r="C164" s="656"/>
      <c r="D164" s="748"/>
      <c r="E164" s="748"/>
      <c r="F164" s="748"/>
      <c r="G164" s="748"/>
      <c r="H164" s="748"/>
      <c r="I164" s="749"/>
      <c r="J164" s="749"/>
      <c r="K164" s="749"/>
      <c r="L164" s="749"/>
      <c r="M164" s="749"/>
      <c r="N164" s="749" t="s">
        <v>837</v>
      </c>
      <c r="O164" s="749"/>
      <c r="P164" s="749"/>
      <c r="Q164" s="749"/>
      <c r="R164" s="749"/>
      <c r="S164" s="749"/>
      <c r="T164" s="749"/>
      <c r="U164" s="749"/>
      <c r="V164" s="749"/>
      <c r="W164" s="749"/>
      <c r="X164" s="749"/>
      <c r="Y164" s="749"/>
      <c r="Z164" s="749"/>
      <c r="AA164" s="749"/>
      <c r="AB164" s="749"/>
      <c r="AC164" s="749"/>
      <c r="AD164" s="749"/>
      <c r="AE164" s="749"/>
      <c r="AF164" s="749"/>
      <c r="AG164" s="749"/>
      <c r="AH164" s="749"/>
      <c r="AI164" s="750"/>
      <c r="AJ164" s="3"/>
      <c r="AK164" s="109"/>
      <c r="AL164"/>
      <c r="AM164" s="744"/>
      <c r="AO164" s="3"/>
      <c r="AQ164" s="3"/>
      <c r="AR164" s="3"/>
    </row>
    <row r="165" spans="1:44" ht="13.5" thickBot="1">
      <c r="AO165" s="3"/>
      <c r="AQ165" s="3"/>
      <c r="AR165" s="3"/>
    </row>
    <row r="166" spans="1:44" ht="12.75" customHeight="1">
      <c r="A166"/>
      <c r="B166" s="367"/>
      <c r="C166" s="718" t="s">
        <v>838</v>
      </c>
      <c r="D166" s="719" t="s">
        <v>656</v>
      </c>
      <c r="E166" s="720" t="s">
        <v>839</v>
      </c>
      <c r="F166" s="719" t="s">
        <v>637</v>
      </c>
      <c r="G166" s="721" t="s">
        <v>840</v>
      </c>
      <c r="H166" s="715" t="s">
        <v>841</v>
      </c>
      <c r="I166" s="716" t="s">
        <v>612</v>
      </c>
      <c r="J166" s="717" t="s">
        <v>613</v>
      </c>
      <c r="K166" s="722" t="s">
        <v>842</v>
      </c>
      <c r="L166" s="719" t="s">
        <v>843</v>
      </c>
      <c r="M166" s="721" t="s">
        <v>844</v>
      </c>
      <c r="N166" s="715" t="s">
        <v>845</v>
      </c>
      <c r="O166" s="716" t="s">
        <v>846</v>
      </c>
      <c r="P166" s="717" t="s">
        <v>847</v>
      </c>
      <c r="Q166"/>
      <c r="R166"/>
      <c r="S166" s="706" t="s">
        <v>848</v>
      </c>
      <c r="T166" s="572"/>
      <c r="U166" s="707" t="s">
        <v>656</v>
      </c>
      <c r="V166" s="707" t="s">
        <v>849</v>
      </c>
      <c r="W166" s="708" t="s">
        <v>839</v>
      </c>
      <c r="X166" s="709" t="s">
        <v>637</v>
      </c>
      <c r="Y166" s="710" t="s">
        <v>850</v>
      </c>
      <c r="Z166" s="711" t="s">
        <v>851</v>
      </c>
      <c r="AA166" s="712" t="s">
        <v>852</v>
      </c>
      <c r="AB166" s="713" t="s">
        <v>853</v>
      </c>
      <c r="AC166" s="709" t="s">
        <v>842</v>
      </c>
      <c r="AD166" s="714" t="s">
        <v>843</v>
      </c>
      <c r="AE166" s="710" t="s">
        <v>844</v>
      </c>
      <c r="AF166" s="715" t="s">
        <v>845</v>
      </c>
      <c r="AG166" s="716" t="s">
        <v>846</v>
      </c>
      <c r="AH166" s="717" t="s">
        <v>847</v>
      </c>
      <c r="AI166" s="717" t="s">
        <v>312</v>
      </c>
      <c r="AJ166" s="3"/>
      <c r="AK166"/>
      <c r="AO166" s="3"/>
      <c r="AQ166" s="3"/>
      <c r="AR166" s="3"/>
    </row>
    <row r="167" spans="1:44">
      <c r="A167"/>
      <c r="B167" s="43"/>
      <c r="C167" s="18">
        <v>1</v>
      </c>
      <c r="D167" s="4">
        <v>2</v>
      </c>
      <c r="E167" s="18">
        <v>3</v>
      </c>
      <c r="F167" s="4">
        <v>4</v>
      </c>
      <c r="G167" s="18">
        <v>5</v>
      </c>
      <c r="H167" s="4">
        <v>6</v>
      </c>
      <c r="I167" s="18">
        <v>7</v>
      </c>
      <c r="J167" s="4">
        <v>8</v>
      </c>
      <c r="K167" s="18">
        <v>9</v>
      </c>
      <c r="L167" s="4">
        <v>10</v>
      </c>
      <c r="M167" s="18">
        <v>11</v>
      </c>
      <c r="N167" s="4">
        <v>12</v>
      </c>
      <c r="O167" s="18">
        <v>13</v>
      </c>
      <c r="P167" s="4">
        <v>14</v>
      </c>
      <c r="Q167" s="666">
        <v>15</v>
      </c>
      <c r="R167"/>
      <c r="S167"/>
      <c r="T167" s="3">
        <v>1</v>
      </c>
      <c r="U167" s="3">
        <v>2</v>
      </c>
      <c r="V167" s="3">
        <v>3</v>
      </c>
      <c r="W167" s="667">
        <v>4</v>
      </c>
      <c r="X167" s="3">
        <v>5</v>
      </c>
      <c r="Y167" s="3">
        <v>6</v>
      </c>
      <c r="Z167" s="668">
        <v>7</v>
      </c>
      <c r="AA167" s="669">
        <v>8</v>
      </c>
      <c r="AB167" s="670">
        <v>9</v>
      </c>
      <c r="AC167" s="3">
        <v>10</v>
      </c>
      <c r="AD167" s="3">
        <v>11</v>
      </c>
      <c r="AE167" s="3">
        <v>12</v>
      </c>
      <c r="AF167" s="3">
        <v>13</v>
      </c>
      <c r="AG167" s="3">
        <v>14</v>
      </c>
      <c r="AH167" s="3">
        <v>15</v>
      </c>
      <c r="AI167" s="3">
        <v>16</v>
      </c>
      <c r="AJ167" s="3"/>
      <c r="AK167"/>
      <c r="AO167" s="3"/>
      <c r="AQ167" s="3"/>
      <c r="AR167" s="3"/>
    </row>
    <row r="168" spans="1:44">
      <c r="A168"/>
      <c r="B168" s="43"/>
      <c r="C168" s="18" t="str">
        <f>IF(ISBLANK(Hofdung!B13),Hofdung!A13,Hofdung!B13)</f>
        <v>Milchviehgülle</v>
      </c>
      <c r="D168" s="19">
        <f>Hofdung!F13</f>
        <v>0</v>
      </c>
      <c r="E168" s="19">
        <f>Hofdung!F13-Hofdung!G13</f>
        <v>0</v>
      </c>
      <c r="F168" s="120">
        <f>Hofdung!H13</f>
        <v>0</v>
      </c>
      <c r="G168" s="671">
        <f>Hofdung!I13</f>
        <v>0</v>
      </c>
      <c r="H168" s="672">
        <f>Hofdung!J13</f>
        <v>0</v>
      </c>
      <c r="I168" s="120">
        <f>Hofdung!K13</f>
        <v>0</v>
      </c>
      <c r="J168" s="673">
        <f>Hofdung!L13</f>
        <v>0</v>
      </c>
      <c r="K168" s="674">
        <f>Hofdung!M13</f>
        <v>0</v>
      </c>
      <c r="L168" s="120">
        <f>Hofdung!N13</f>
        <v>1</v>
      </c>
      <c r="M168" s="671" t="str">
        <f>Hofdung!O13</f>
        <v>WD</v>
      </c>
      <c r="N168" s="36">
        <f t="shared" ref="N168:N212" si="32">IFERROR($E168*H168,0)</f>
        <v>0</v>
      </c>
      <c r="O168" s="23">
        <f t="shared" ref="O168:O212" si="33">IFERROR($E168*I168,0)</f>
        <v>0</v>
      </c>
      <c r="P168" s="675">
        <f t="shared" ref="P168:P212" si="34">IFERROR($E168*J168,0)</f>
        <v>0</v>
      </c>
      <c r="Q168"/>
      <c r="R168"/>
      <c r="S168" s="82"/>
      <c r="T168" s="676">
        <f>Düngeplanung!Y8</f>
        <v>0</v>
      </c>
      <c r="U168" s="145">
        <f>IF(T168=0,0,VLOOKUP(T168,$C$167:$P$213,2,0))</f>
        <v>0</v>
      </c>
      <c r="V168" s="146">
        <f>IF(ISNA($U168),0,U168)</f>
        <v>0</v>
      </c>
      <c r="W168" s="667">
        <f>IF($T168=0,0,VLOOKUP(T168,$C$167:$P$213,3,0))</f>
        <v>0</v>
      </c>
      <c r="X168" s="145">
        <f>IF($T168=0,0,VLOOKUP(T168,$C$167:$P$213,4,0))</f>
        <v>0</v>
      </c>
      <c r="Y168" s="146">
        <f>IF($T168=0,0,VLOOKUP(T168,$C$167:$P$213,5,0))</f>
        <v>0</v>
      </c>
      <c r="Z168" s="677">
        <f>IF($T168=0,0,VLOOKUP(T168,$C$167:$P$213,6,0))</f>
        <v>0</v>
      </c>
      <c r="AA168" s="678">
        <f>IF($T168=0,0,VLOOKUP(T168,$C$167:$P$213,7,0))</f>
        <v>0</v>
      </c>
      <c r="AB168" s="679">
        <f>IF($T168=0,0,VLOOKUP(T168,$C$167:$P$213,8,0))</f>
        <v>0</v>
      </c>
      <c r="AC168" s="146">
        <f>IF($T168=0,0,VLOOKUP(T168,$C$167:$P$213,9,0))</f>
        <v>0</v>
      </c>
      <c r="AD168" s="147">
        <f>IF($T168=0,0,VLOOKUP(T168,$C$167:$P$213,10,0))</f>
        <v>0</v>
      </c>
      <c r="AE168" s="146">
        <f>IF($T168=0,0,VLOOKUP(T168,$C$167:$P$213,11,0))</f>
        <v>0</v>
      </c>
      <c r="AF168" s="36">
        <f t="shared" ref="AF168:AH172" si="35">$W168*Z168</f>
        <v>0</v>
      </c>
      <c r="AG168" s="23">
        <f t="shared" si="35"/>
        <v>0</v>
      </c>
      <c r="AH168" s="675">
        <f t="shared" si="35"/>
        <v>0</v>
      </c>
      <c r="AI168" s="675">
        <f>Düngeplanung!AA8</f>
        <v>0</v>
      </c>
      <c r="AJ168" s="61">
        <f>Düngeplanung!Y8</f>
        <v>0</v>
      </c>
      <c r="AK168"/>
      <c r="AO168" s="3"/>
      <c r="AQ168" s="3"/>
      <c r="AR168" s="3"/>
    </row>
    <row r="169" spans="1:44">
      <c r="A169"/>
      <c r="B169" s="43"/>
      <c r="C169" s="18" t="str">
        <f>IF(ISBLANK(Hofdung!B14),Hofdung!A14,Hofdung!B14)</f>
        <v>Schweinegülle</v>
      </c>
      <c r="D169" s="19">
        <f>Hofdung!F14</f>
        <v>0</v>
      </c>
      <c r="E169" s="19">
        <f>Hofdung!F14-Hofdung!G14</f>
        <v>0</v>
      </c>
      <c r="F169" s="120">
        <f>Hofdung!H14</f>
        <v>0</v>
      </c>
      <c r="G169" s="671">
        <f>Hofdung!I14</f>
        <v>0</v>
      </c>
      <c r="H169" s="672">
        <f>Hofdung!J14</f>
        <v>0</v>
      </c>
      <c r="I169" s="120">
        <f>Hofdung!K14</f>
        <v>0</v>
      </c>
      <c r="J169" s="673">
        <f>Hofdung!L14</f>
        <v>0</v>
      </c>
      <c r="K169" s="674">
        <f>Hofdung!M14</f>
        <v>0</v>
      </c>
      <c r="L169" s="120">
        <f>Hofdung!N14</f>
        <v>1</v>
      </c>
      <c r="M169" s="82" t="s">
        <v>854</v>
      </c>
      <c r="N169" s="36">
        <f t="shared" si="32"/>
        <v>0</v>
      </c>
      <c r="O169" s="23">
        <f t="shared" si="33"/>
        <v>0</v>
      </c>
      <c r="P169" s="675">
        <f t="shared" si="34"/>
        <v>0</v>
      </c>
      <c r="Q169"/>
      <c r="R169"/>
      <c r="S169" s="82"/>
      <c r="T169" s="676">
        <f>Düngeplanung!Y9</f>
        <v>0</v>
      </c>
      <c r="U169" s="145">
        <f>IF(T169=0,0,VLOOKUP(T169,$C$167:$P$213,2,0))</f>
        <v>0</v>
      </c>
      <c r="V169" s="146">
        <f>IF(ISNA($U169),0,U169)</f>
        <v>0</v>
      </c>
      <c r="W169" s="667">
        <f>IF($T169=0,0,VLOOKUP(T169,$C$167:$P$213,3,0))</f>
        <v>0</v>
      </c>
      <c r="X169" s="145">
        <f>IF($T169=0,0,VLOOKUP(T169,$C$167:$P$213,4,0))</f>
        <v>0</v>
      </c>
      <c r="Y169" s="146">
        <f>IF($T169=0,0,VLOOKUP(T169,$C$167:$P$213,5,0))</f>
        <v>0</v>
      </c>
      <c r="Z169" s="677">
        <f>IF($T169=0,0,VLOOKUP(T169,$C$167:$P$213,6,0))</f>
        <v>0</v>
      </c>
      <c r="AA169" s="678">
        <f>IF($T169=0,0,VLOOKUP(T169,$C$167:$P$213,7,0))</f>
        <v>0</v>
      </c>
      <c r="AB169" s="679">
        <f>IF($T169=0,0,VLOOKUP(T169,$C$167:$P$213,8,0))</f>
        <v>0</v>
      </c>
      <c r="AC169" s="146">
        <f>IF($T169=0,0,VLOOKUP(T169,$C$167:$P$213,9,0))</f>
        <v>0</v>
      </c>
      <c r="AD169" s="147">
        <f>IF($T169=0,0,VLOOKUP(T169,$C$167:$P$213,10,0))</f>
        <v>0</v>
      </c>
      <c r="AE169" s="146">
        <f>IF($T169=0,0,VLOOKUP(T169,$C$167:$P$213,11,0))</f>
        <v>0</v>
      </c>
      <c r="AF169" s="36">
        <f t="shared" si="35"/>
        <v>0</v>
      </c>
      <c r="AG169" s="23">
        <f t="shared" si="35"/>
        <v>0</v>
      </c>
      <c r="AH169" s="675">
        <f t="shared" si="35"/>
        <v>0</v>
      </c>
      <c r="AI169" s="675">
        <f>Düngeplanung!AA9</f>
        <v>0</v>
      </c>
      <c r="AJ169" s="61">
        <f>Düngeplanung!Y9</f>
        <v>0</v>
      </c>
      <c r="AK169"/>
      <c r="AO169" s="3"/>
      <c r="AQ169" s="3"/>
      <c r="AR169" s="3"/>
    </row>
    <row r="170" spans="1:44">
      <c r="A170"/>
      <c r="B170" s="43"/>
      <c r="C170" s="18" t="str">
        <f>IF(ISBLANK(Hofdung!B15),Hofdung!A15,Hofdung!B15)</f>
        <v>Geflügelgülle</v>
      </c>
      <c r="D170" s="19">
        <f>Hofdung!F15</f>
        <v>0</v>
      </c>
      <c r="E170" s="19">
        <f>Hofdung!F15-Hofdung!G15</f>
        <v>0</v>
      </c>
      <c r="F170" s="120">
        <f>Hofdung!H15</f>
        <v>0</v>
      </c>
      <c r="G170" s="671">
        <f>Hofdung!I15</f>
        <v>0</v>
      </c>
      <c r="H170" s="672">
        <f>Hofdung!J15</f>
        <v>0</v>
      </c>
      <c r="I170" s="120">
        <f>Hofdung!K15</f>
        <v>0</v>
      </c>
      <c r="J170" s="673">
        <f>Hofdung!L15</f>
        <v>0</v>
      </c>
      <c r="K170" s="674">
        <f>Hofdung!M15</f>
        <v>0</v>
      </c>
      <c r="L170" s="120">
        <f>Hofdung!N15</f>
        <v>1</v>
      </c>
      <c r="M170" s="82" t="s">
        <v>854</v>
      </c>
      <c r="N170" s="36">
        <f t="shared" si="32"/>
        <v>0</v>
      </c>
      <c r="O170" s="23">
        <f t="shared" si="33"/>
        <v>0</v>
      </c>
      <c r="P170" s="675">
        <f t="shared" si="34"/>
        <v>0</v>
      </c>
      <c r="Q170"/>
      <c r="R170"/>
      <c r="S170" s="82"/>
      <c r="T170" s="676">
        <f>Düngeplanung!Y10</f>
        <v>0</v>
      </c>
      <c r="U170" s="145">
        <f>IF(T170=0,0,VLOOKUP(T170,$C$167:$P$213,2,0))</f>
        <v>0</v>
      </c>
      <c r="V170" s="146">
        <f>IF(ISNA($U170),0,U170)</f>
        <v>0</v>
      </c>
      <c r="W170" s="667">
        <f>IF($T170=0,0,VLOOKUP(T170,$C$167:$P$213,3,0))</f>
        <v>0</v>
      </c>
      <c r="X170" s="145">
        <f>IF($T170=0,0,VLOOKUP(T170,$C$167:$P$213,4,0))</f>
        <v>0</v>
      </c>
      <c r="Y170" s="146">
        <f>IF($T170=0,0,VLOOKUP(T170,$C$167:$P$213,5,0))</f>
        <v>0</v>
      </c>
      <c r="Z170" s="677">
        <f>IF($T170=0,0,VLOOKUP(T170,$C$167:$P$213,6,0))</f>
        <v>0</v>
      </c>
      <c r="AA170" s="678">
        <f>IF($T170=0,0,VLOOKUP(T170,$C$167:$P$213,7,0))</f>
        <v>0</v>
      </c>
      <c r="AB170" s="679">
        <f>IF($T170=0,0,VLOOKUP(T170,$C$167:$P$213,8,0))</f>
        <v>0</v>
      </c>
      <c r="AC170" s="146">
        <f>IF($T170=0,0,VLOOKUP(T170,$C$167:$P$213,9,0))</f>
        <v>0</v>
      </c>
      <c r="AD170" s="147">
        <f>IF($T170=0,0,VLOOKUP(T170,$C$167:$P$213,10,0))</f>
        <v>0</v>
      </c>
      <c r="AE170" s="146">
        <f>IF($T170=0,0,VLOOKUP(T170,$C$167:$P$213,11,0))</f>
        <v>0</v>
      </c>
      <c r="AF170" s="36">
        <f t="shared" si="35"/>
        <v>0</v>
      </c>
      <c r="AG170" s="23">
        <f t="shared" si="35"/>
        <v>0</v>
      </c>
      <c r="AH170" s="675">
        <f t="shared" si="35"/>
        <v>0</v>
      </c>
      <c r="AI170" s="675">
        <f>Düngeplanung!AA10</f>
        <v>0</v>
      </c>
      <c r="AJ170" s="61">
        <f>Düngeplanung!Y10</f>
        <v>0</v>
      </c>
      <c r="AK170"/>
      <c r="AO170" s="3"/>
      <c r="AQ170" s="3"/>
      <c r="AR170" s="3"/>
    </row>
    <row r="171" spans="1:44">
      <c r="A171"/>
      <c r="B171" s="43"/>
      <c r="C171" s="18" t="str">
        <f>IF(ISBLANK(Hofdung!B16),Hofdung!A16,Hofdung!B16)</f>
        <v>Jauche</v>
      </c>
      <c r="D171" s="19">
        <f>Hofdung!F16</f>
        <v>0</v>
      </c>
      <c r="E171" s="19">
        <f>Hofdung!F16-Hofdung!G16</f>
        <v>0</v>
      </c>
      <c r="F171" s="120">
        <f>Hofdung!H16</f>
        <v>0</v>
      </c>
      <c r="G171" s="671">
        <f>Hofdung!I16</f>
        <v>0</v>
      </c>
      <c r="H171" s="672">
        <f>Hofdung!J16</f>
        <v>0</v>
      </c>
      <c r="I171" s="120">
        <f>Hofdung!K16</f>
        <v>0</v>
      </c>
      <c r="J171" s="673">
        <f>Hofdung!L16</f>
        <v>0</v>
      </c>
      <c r="K171" s="674">
        <f>Hofdung!M16</f>
        <v>0</v>
      </c>
      <c r="L171" s="120">
        <f>Hofdung!N16</f>
        <v>1</v>
      </c>
      <c r="M171" s="82" t="s">
        <v>854</v>
      </c>
      <c r="N171" s="36">
        <f t="shared" si="32"/>
        <v>0</v>
      </c>
      <c r="O171" s="23">
        <f t="shared" si="33"/>
        <v>0</v>
      </c>
      <c r="P171" s="675">
        <f t="shared" si="34"/>
        <v>0</v>
      </c>
      <c r="Q171"/>
      <c r="R171"/>
      <c r="S171" s="82"/>
      <c r="T171" s="676">
        <f>Düngeplanung!Y11</f>
        <v>0</v>
      </c>
      <c r="U171" s="145">
        <f>IF(T171=0,0,VLOOKUP(T171,$C$167:$P$213,2,0))</f>
        <v>0</v>
      </c>
      <c r="V171" s="146">
        <f>IF(ISNA($U171),0,U171)</f>
        <v>0</v>
      </c>
      <c r="W171" s="667">
        <f>IF($T171=0,0,VLOOKUP(T171,$C$167:$P$213,3,0))</f>
        <v>0</v>
      </c>
      <c r="X171" s="145">
        <f>IF($T171=0,0,VLOOKUP(T171,$C$167:$P$213,4,0))</f>
        <v>0</v>
      </c>
      <c r="Y171" s="146">
        <f>IF($T171=0,0,VLOOKUP(T171,$C$167:$P$213,5,0))</f>
        <v>0</v>
      </c>
      <c r="Z171" s="677">
        <f>IF($T171=0,0,VLOOKUP(T171,$C$167:$P$213,6,0))</f>
        <v>0</v>
      </c>
      <c r="AA171" s="678">
        <f>IF($T171=0,0,VLOOKUP(T171,$C$167:$P$213,7,0))</f>
        <v>0</v>
      </c>
      <c r="AB171" s="679">
        <f>IF($T171=0,0,VLOOKUP(T171,$C$167:$P$213,8,0))</f>
        <v>0</v>
      </c>
      <c r="AC171" s="146">
        <f>IF($T171=0,0,VLOOKUP(T171,$C$167:$P$213,9,0))</f>
        <v>0</v>
      </c>
      <c r="AD171" s="147">
        <f>IF($T171=0,0,VLOOKUP(T171,$C$167:$P$213,10,0))</f>
        <v>0</v>
      </c>
      <c r="AE171" s="146">
        <f>IF($T171=0,0,VLOOKUP(T171,$C$167:$P$213,11,0))</f>
        <v>0</v>
      </c>
      <c r="AF171" s="36">
        <f t="shared" si="35"/>
        <v>0</v>
      </c>
      <c r="AG171" s="23">
        <f t="shared" si="35"/>
        <v>0</v>
      </c>
      <c r="AH171" s="675">
        <f t="shared" si="35"/>
        <v>0</v>
      </c>
      <c r="AI171" s="675">
        <f>Düngeplanung!AA11</f>
        <v>0</v>
      </c>
      <c r="AJ171" s="61">
        <f>Düngeplanung!Y11</f>
        <v>0</v>
      </c>
      <c r="AK171"/>
      <c r="AO171" s="3"/>
      <c r="AQ171" s="3"/>
      <c r="AR171" s="3"/>
    </row>
    <row r="172" spans="1:44">
      <c r="A172"/>
      <c r="B172" s="43"/>
      <c r="C172" s="18" t="str">
        <f>IF(ISBLANK(Hofdung!B17),Hofdung!A17,Hofdung!B17)</f>
        <v xml:space="preserve">Mist  </v>
      </c>
      <c r="D172" s="19">
        <f>Hofdung!F17</f>
        <v>0</v>
      </c>
      <c r="E172" s="19">
        <f>Hofdung!F17-Hofdung!G17</f>
        <v>0</v>
      </c>
      <c r="F172" s="120">
        <f>Hofdung!H17</f>
        <v>0</v>
      </c>
      <c r="G172" s="671">
        <f>Hofdung!I17</f>
        <v>0</v>
      </c>
      <c r="H172" s="672">
        <f>Hofdung!J17</f>
        <v>0</v>
      </c>
      <c r="I172" s="120">
        <f>Hofdung!K17</f>
        <v>0</v>
      </c>
      <c r="J172" s="673">
        <f>Hofdung!L17</f>
        <v>0</v>
      </c>
      <c r="K172" s="680">
        <f>Hofdung!M17</f>
        <v>0.15</v>
      </c>
      <c r="L172" s="120">
        <f>Hofdung!N17</f>
        <v>1</v>
      </c>
      <c r="M172" s="82" t="s">
        <v>854</v>
      </c>
      <c r="N172" s="36">
        <f t="shared" si="32"/>
        <v>0</v>
      </c>
      <c r="O172" s="23">
        <f t="shared" si="33"/>
        <v>0</v>
      </c>
      <c r="P172" s="675">
        <f t="shared" si="34"/>
        <v>0</v>
      </c>
      <c r="Q172"/>
      <c r="R172"/>
      <c r="S172" s="82"/>
      <c r="T172" s="676">
        <f>Düngeplanung!Y12</f>
        <v>0</v>
      </c>
      <c r="U172" s="145">
        <f>IF(T172=0,0,VLOOKUP(T172,$C$167:$P$213,2,0))</f>
        <v>0</v>
      </c>
      <c r="V172" s="146">
        <f>IF(ISNA($U172),0,U172)</f>
        <v>0</v>
      </c>
      <c r="W172" s="667">
        <f>IF($T172=0,0,VLOOKUP(T172,$C$167:$P$213,3,0))</f>
        <v>0</v>
      </c>
      <c r="X172" s="145">
        <f>IF($T172=0,0,VLOOKUP(T172,$C$167:$P$213,4,0))</f>
        <v>0</v>
      </c>
      <c r="Y172" s="146">
        <f>IF($T172=0,0,VLOOKUP(T172,$C$167:$P$213,5,0))</f>
        <v>0</v>
      </c>
      <c r="Z172" s="677">
        <f>IF($T172=0,0,VLOOKUP(T172,$C$167:$P$213,6,0))</f>
        <v>0</v>
      </c>
      <c r="AA172" s="678">
        <f>IF($T172=0,0,VLOOKUP(T172,$C$167:$P$213,7,0))</f>
        <v>0</v>
      </c>
      <c r="AB172" s="679">
        <f>IF($T172=0,0,VLOOKUP(T172,$C$167:$P$213,8,0))</f>
        <v>0</v>
      </c>
      <c r="AC172" s="146">
        <f>IF($T172=0,0,VLOOKUP(T172,$C$167:$P$213,9,0))</f>
        <v>0</v>
      </c>
      <c r="AD172" s="147">
        <f>IF($T172=0,0,VLOOKUP(T172,$C$167:$P$213,10,0))</f>
        <v>0</v>
      </c>
      <c r="AE172" s="146">
        <f>IF($T172=0,0,VLOOKUP(T172,$C$167:$P$213,11,0))</f>
        <v>0</v>
      </c>
      <c r="AF172" s="36">
        <f t="shared" si="35"/>
        <v>0</v>
      </c>
      <c r="AG172" s="23">
        <f t="shared" si="35"/>
        <v>0</v>
      </c>
      <c r="AH172" s="675">
        <f t="shared" si="35"/>
        <v>0</v>
      </c>
      <c r="AI172" s="675">
        <f>Düngeplanung!AA12</f>
        <v>0</v>
      </c>
      <c r="AJ172" s="61">
        <f>Düngeplanung!Y12</f>
        <v>0</v>
      </c>
      <c r="AO172" s="3"/>
      <c r="AQ172" s="3"/>
      <c r="AR172" s="3"/>
    </row>
    <row r="173" spans="1:44">
      <c r="A173"/>
      <c r="B173" s="43"/>
      <c r="C173" s="18" t="str">
        <f>IF(ISBLANK(Hofdung!B18),Hofdung!A18,Hofdung!B18)</f>
        <v>Mist 2</v>
      </c>
      <c r="D173" s="19">
        <f>Hofdung!F18</f>
        <v>0</v>
      </c>
      <c r="E173" s="19">
        <f>Hofdung!F18-Hofdung!G18</f>
        <v>0</v>
      </c>
      <c r="F173" s="120">
        <f>Hofdung!H18</f>
        <v>0</v>
      </c>
      <c r="G173" s="671">
        <f>Hofdung!I18</f>
        <v>0</v>
      </c>
      <c r="H173" s="672">
        <f>Hofdung!J18</f>
        <v>0</v>
      </c>
      <c r="I173" s="120">
        <f>Hofdung!K18</f>
        <v>0</v>
      </c>
      <c r="J173" s="673">
        <f>Hofdung!L18</f>
        <v>0</v>
      </c>
      <c r="K173" s="680">
        <f>Hofdung!M18</f>
        <v>0.15</v>
      </c>
      <c r="L173" s="120">
        <f>Hofdung!N18</f>
        <v>1</v>
      </c>
      <c r="M173" s="82" t="s">
        <v>854</v>
      </c>
      <c r="N173" s="36">
        <f t="shared" si="32"/>
        <v>0</v>
      </c>
      <c r="O173" s="23">
        <f t="shared" si="33"/>
        <v>0</v>
      </c>
      <c r="P173" s="675">
        <f t="shared" si="34"/>
        <v>0</v>
      </c>
      <c r="Q173"/>
      <c r="R173"/>
      <c r="S173" s="729"/>
      <c r="T173" s="730" t="s">
        <v>1190</v>
      </c>
      <c r="U173" s="729"/>
      <c r="V173" s="729"/>
      <c r="W173" s="729"/>
      <c r="X173" s="729"/>
      <c r="Y173" s="729"/>
      <c r="Z173" s="729"/>
      <c r="AA173" s="729"/>
      <c r="AB173" s="729"/>
      <c r="AC173" s="729"/>
      <c r="AD173" s="729"/>
      <c r="AE173" s="729"/>
      <c r="AF173" s="731"/>
      <c r="AG173" s="732"/>
      <c r="AH173" s="733"/>
      <c r="AI173" s="733"/>
      <c r="AJ173" s="506" t="str">
        <f>Düngeplanung!Y13</f>
        <v>Geplante / vorhandene Mineraldünger</v>
      </c>
      <c r="AK173"/>
      <c r="AO173" s="3"/>
      <c r="AQ173" s="3"/>
      <c r="AR173" s="3"/>
    </row>
    <row r="174" spans="1:44" ht="12.75" customHeight="1">
      <c r="A174" s="1">
        <v>4</v>
      </c>
      <c r="B174" s="43"/>
      <c r="C174" s="18" t="str">
        <f>IF(ISTEXT(Hofdung!B21),Hofdung!B21,Hofdung!A21)</f>
        <v>Biogasgülle 1</v>
      </c>
      <c r="D174" s="19">
        <f>Hofdung!F21</f>
        <v>0</v>
      </c>
      <c r="E174" s="19">
        <f t="shared" ref="E174:E202" si="36">D174</f>
        <v>0</v>
      </c>
      <c r="F174" s="120">
        <f>Hofdung!H21</f>
        <v>0</v>
      </c>
      <c r="G174" s="671">
        <f>Hofdung!I21</f>
        <v>0</v>
      </c>
      <c r="H174" s="672">
        <f>Hofdung!J21</f>
        <v>0</v>
      </c>
      <c r="I174" s="120">
        <f>Hofdung!K21</f>
        <v>0</v>
      </c>
      <c r="J174" s="673">
        <f>Hofdung!L21</f>
        <v>0</v>
      </c>
      <c r="K174" s="674">
        <f>Hofdung!M21</f>
        <v>0</v>
      </c>
      <c r="L174" s="120">
        <f>Hofdung!N21</f>
        <v>0</v>
      </c>
      <c r="M174" s="671" t="str">
        <f>Hofdung!O21</f>
        <v>WD</v>
      </c>
      <c r="N174" s="36">
        <f t="shared" si="32"/>
        <v>0</v>
      </c>
      <c r="O174" s="23">
        <f t="shared" si="33"/>
        <v>0</v>
      </c>
      <c r="P174" s="675">
        <f t="shared" si="34"/>
        <v>0</v>
      </c>
      <c r="S174" s="681"/>
      <c r="T174" s="676">
        <f>Düngeplanung!Y14</f>
        <v>0</v>
      </c>
      <c r="U174" s="145">
        <f t="shared" ref="U174:U181" si="37">IF(T174=0,0,VLOOKUP(T174,$C$167:$P$213,2,0))</f>
        <v>0</v>
      </c>
      <c r="V174" s="146">
        <f t="shared" ref="V174:V181" si="38">IF(ISNA($U174),0,U174)</f>
        <v>0</v>
      </c>
      <c r="W174" s="667">
        <f t="shared" ref="W174:W181" si="39">IF($T174=0,0,VLOOKUP(T174,$C$167:$P$213,3,0))</f>
        <v>0</v>
      </c>
      <c r="X174" s="2304">
        <f t="shared" ref="X174:X181" si="40">IF($T174=0,0,VLOOKUP(T174,$C$167:$P$213,4,0))</f>
        <v>0</v>
      </c>
      <c r="Y174" s="2305">
        <f t="shared" ref="Y174:Y181" si="41">IF($T174=0,0,VLOOKUP(T174,$C$167:$P$213,5,0))</f>
        <v>0</v>
      </c>
      <c r="Z174" s="677">
        <f t="shared" ref="Z174:Z181" si="42">IF($T174=0,0,VLOOKUP(T174,$C$167:$P$213,6,0))</f>
        <v>0</v>
      </c>
      <c r="AA174" s="678">
        <f t="shared" ref="AA174:AA181" si="43">IF($T174=0,0,VLOOKUP(T174,$C$167:$P$213,7,0))</f>
        <v>0</v>
      </c>
      <c r="AB174" s="679">
        <f t="shared" ref="AB174:AB181" si="44">IF($T174=0,0,VLOOKUP(T174,$C$167:$P$213,8,0))</f>
        <v>0</v>
      </c>
      <c r="AC174" s="146">
        <f t="shared" ref="AC174:AC181" si="45">IF($T174=0,0,VLOOKUP(T174,$C$167:$P$213,9,0))</f>
        <v>0</v>
      </c>
      <c r="AD174" s="147">
        <f t="shared" ref="AD174:AD181" si="46">IF($T174=0,0,VLOOKUP(T174,$C$167:$P$213,10,0))</f>
        <v>0</v>
      </c>
      <c r="AE174" s="146">
        <f t="shared" ref="AE174:AE181" si="47">IF($T174=0,0,VLOOKUP(T174,$C$167:$P$213,11,0))</f>
        <v>0</v>
      </c>
      <c r="AF174" s="36">
        <f t="shared" ref="AF174:AH181" si="48">$W174*Z174</f>
        <v>0</v>
      </c>
      <c r="AG174" s="23">
        <f t="shared" si="48"/>
        <v>0</v>
      </c>
      <c r="AH174" s="675">
        <f t="shared" si="48"/>
        <v>0</v>
      </c>
      <c r="AI174" s="675">
        <f>Düngeplanung!AA14</f>
        <v>0</v>
      </c>
      <c r="AJ174" s="3"/>
      <c r="AK174"/>
      <c r="AO174" s="3"/>
      <c r="AQ174" s="3"/>
      <c r="AR174" s="3"/>
    </row>
    <row r="175" spans="1:44" ht="15" customHeight="1">
      <c r="A175" s="1">
        <v>5</v>
      </c>
      <c r="B175" s="43"/>
      <c r="C175" s="18" t="str">
        <f>IF(ISTEXT(Hofdung!B22),Hofdung!B22,Hofdung!A22)</f>
        <v>…</v>
      </c>
      <c r="D175" s="19">
        <f>Hofdung!F22</f>
        <v>0</v>
      </c>
      <c r="E175" s="19">
        <f t="shared" si="36"/>
        <v>0</v>
      </c>
      <c r="F175" s="120">
        <f>Hofdung!H22</f>
        <v>0</v>
      </c>
      <c r="G175" s="671">
        <f>Hofdung!I22</f>
        <v>0</v>
      </c>
      <c r="H175" s="672">
        <f>Hofdung!J22</f>
        <v>0</v>
      </c>
      <c r="I175" s="120">
        <f>Hofdung!K22</f>
        <v>0</v>
      </c>
      <c r="J175" s="673">
        <f>Hofdung!L22</f>
        <v>0</v>
      </c>
      <c r="K175" s="674">
        <f>Hofdung!M22</f>
        <v>0</v>
      </c>
      <c r="L175" s="120">
        <f>Hofdung!N22</f>
        <v>0</v>
      </c>
      <c r="M175" s="671" t="str">
        <f>Hofdung!O22</f>
        <v>WD</v>
      </c>
      <c r="N175" s="36">
        <f t="shared" si="32"/>
        <v>0</v>
      </c>
      <c r="O175" s="23">
        <f t="shared" si="33"/>
        <v>0</v>
      </c>
      <c r="P175" s="675">
        <f t="shared" si="34"/>
        <v>0</v>
      </c>
      <c r="S175" s="681"/>
      <c r="T175" s="676">
        <f>Düngeplanung!Y15</f>
        <v>0</v>
      </c>
      <c r="U175" s="145">
        <f t="shared" si="37"/>
        <v>0</v>
      </c>
      <c r="V175" s="146">
        <f t="shared" si="38"/>
        <v>0</v>
      </c>
      <c r="W175" s="667">
        <f t="shared" si="39"/>
        <v>0</v>
      </c>
      <c r="X175" s="2304">
        <f t="shared" si="40"/>
        <v>0</v>
      </c>
      <c r="Y175" s="2305">
        <f t="shared" si="41"/>
        <v>0</v>
      </c>
      <c r="Z175" s="677">
        <f t="shared" si="42"/>
        <v>0</v>
      </c>
      <c r="AA175" s="678">
        <f t="shared" si="43"/>
        <v>0</v>
      </c>
      <c r="AB175" s="679">
        <f t="shared" si="44"/>
        <v>0</v>
      </c>
      <c r="AC175" s="146">
        <f t="shared" si="45"/>
        <v>0</v>
      </c>
      <c r="AD175" s="147">
        <f t="shared" si="46"/>
        <v>0</v>
      </c>
      <c r="AE175" s="146">
        <f t="shared" si="47"/>
        <v>0</v>
      </c>
      <c r="AF175" s="36">
        <f t="shared" si="48"/>
        <v>0</v>
      </c>
      <c r="AG175" s="23">
        <f t="shared" si="48"/>
        <v>0</v>
      </c>
      <c r="AH175" s="675">
        <f t="shared" si="48"/>
        <v>0</v>
      </c>
      <c r="AI175" s="675">
        <f>Düngeplanung!AA15</f>
        <v>0</v>
      </c>
      <c r="AJ175" s="3"/>
      <c r="AK175"/>
      <c r="AO175" s="3"/>
      <c r="AQ175" s="3"/>
      <c r="AR175" s="3"/>
    </row>
    <row r="176" spans="1:44" ht="15" customHeight="1">
      <c r="A176" s="1">
        <v>6</v>
      </c>
      <c r="B176" s="43"/>
      <c r="C176" s="18" t="str">
        <f>IF(ISTEXT(Hofdung!B23),Hofdung!B23,Hofdung!A23)</f>
        <v>…</v>
      </c>
      <c r="D176" s="19">
        <f>Hofdung!F23</f>
        <v>0</v>
      </c>
      <c r="E176" s="19">
        <f t="shared" si="36"/>
        <v>0</v>
      </c>
      <c r="F176" s="120">
        <f>Hofdung!H23</f>
        <v>0</v>
      </c>
      <c r="G176" s="671">
        <f>Hofdung!I23</f>
        <v>0</v>
      </c>
      <c r="H176" s="672">
        <f>Hofdung!J23</f>
        <v>0</v>
      </c>
      <c r="I176" s="120">
        <f>Hofdung!K23</f>
        <v>0</v>
      </c>
      <c r="J176" s="673">
        <f>Hofdung!L23</f>
        <v>0</v>
      </c>
      <c r="K176" s="674">
        <f>Hofdung!M23</f>
        <v>0</v>
      </c>
      <c r="L176" s="120">
        <f>Hofdung!N23</f>
        <v>0</v>
      </c>
      <c r="M176" s="671" t="str">
        <f>Hofdung!O23</f>
        <v>WD</v>
      </c>
      <c r="N176" s="36">
        <f t="shared" si="32"/>
        <v>0</v>
      </c>
      <c r="O176" s="23">
        <f t="shared" si="33"/>
        <v>0</v>
      </c>
      <c r="P176" s="675">
        <f t="shared" si="34"/>
        <v>0</v>
      </c>
      <c r="S176" s="681"/>
      <c r="T176" s="676">
        <f>Düngeplanung!Y16</f>
        <v>0</v>
      </c>
      <c r="U176" s="145">
        <f t="shared" si="37"/>
        <v>0</v>
      </c>
      <c r="V176" s="146">
        <f t="shared" si="38"/>
        <v>0</v>
      </c>
      <c r="W176" s="667">
        <f t="shared" si="39"/>
        <v>0</v>
      </c>
      <c r="X176" s="2304">
        <f t="shared" si="40"/>
        <v>0</v>
      </c>
      <c r="Y176" s="2305">
        <f t="shared" si="41"/>
        <v>0</v>
      </c>
      <c r="Z176" s="677">
        <f t="shared" si="42"/>
        <v>0</v>
      </c>
      <c r="AA176" s="678">
        <f t="shared" si="43"/>
        <v>0</v>
      </c>
      <c r="AB176" s="679">
        <f t="shared" si="44"/>
        <v>0</v>
      </c>
      <c r="AC176" s="146">
        <f t="shared" si="45"/>
        <v>0</v>
      </c>
      <c r="AD176" s="147">
        <f t="shared" si="46"/>
        <v>0</v>
      </c>
      <c r="AE176" s="146">
        <f t="shared" si="47"/>
        <v>0</v>
      </c>
      <c r="AF176" s="36">
        <f t="shared" si="48"/>
        <v>0</v>
      </c>
      <c r="AG176" s="23">
        <f t="shared" si="48"/>
        <v>0</v>
      </c>
      <c r="AH176" s="675">
        <f t="shared" si="48"/>
        <v>0</v>
      </c>
      <c r="AI176" s="675">
        <f>Düngeplanung!AA16</f>
        <v>0</v>
      </c>
      <c r="AJ176" s="3"/>
      <c r="AK176"/>
      <c r="AO176" s="3"/>
      <c r="AQ176" s="3"/>
      <c r="AR176" s="3"/>
    </row>
    <row r="177" spans="1:44" ht="15" customHeight="1">
      <c r="A177" s="1">
        <v>7</v>
      </c>
      <c r="B177" s="43"/>
      <c r="C177" s="18" t="str">
        <f>IF(ISTEXT(Hofdung!B24),Hofdung!B24,Hofdung!A24)</f>
        <v>…</v>
      </c>
      <c r="D177" s="19">
        <f>Hofdung!F24</f>
        <v>0</v>
      </c>
      <c r="E177" s="19">
        <f t="shared" si="36"/>
        <v>0</v>
      </c>
      <c r="F177" s="120">
        <f>Hofdung!H24</f>
        <v>0</v>
      </c>
      <c r="G177" s="671">
        <f>Hofdung!I24</f>
        <v>0</v>
      </c>
      <c r="H177" s="672">
        <f>Hofdung!J24</f>
        <v>0</v>
      </c>
      <c r="I177" s="120">
        <f>Hofdung!K24</f>
        <v>0</v>
      </c>
      <c r="J177" s="673">
        <f>Hofdung!L24</f>
        <v>0</v>
      </c>
      <c r="K177" s="674">
        <f>Hofdung!M24</f>
        <v>0</v>
      </c>
      <c r="L177" s="120">
        <f>Hofdung!N24</f>
        <v>0</v>
      </c>
      <c r="M177" s="671" t="str">
        <f>Hofdung!O24</f>
        <v>WD</v>
      </c>
      <c r="N177" s="36">
        <f t="shared" si="32"/>
        <v>0</v>
      </c>
      <c r="O177" s="23">
        <f t="shared" si="33"/>
        <v>0</v>
      </c>
      <c r="P177" s="675">
        <f t="shared" si="34"/>
        <v>0</v>
      </c>
      <c r="S177" s="681"/>
      <c r="T177" s="676">
        <f>Düngeplanung!Y17</f>
        <v>0</v>
      </c>
      <c r="U177" s="145">
        <f t="shared" si="37"/>
        <v>0</v>
      </c>
      <c r="V177" s="146">
        <f t="shared" si="38"/>
        <v>0</v>
      </c>
      <c r="W177" s="667">
        <f t="shared" si="39"/>
        <v>0</v>
      </c>
      <c r="X177" s="2304">
        <f t="shared" si="40"/>
        <v>0</v>
      </c>
      <c r="Y177" s="2305">
        <f t="shared" si="41"/>
        <v>0</v>
      </c>
      <c r="Z177" s="677">
        <f t="shared" si="42"/>
        <v>0</v>
      </c>
      <c r="AA177" s="678">
        <f t="shared" si="43"/>
        <v>0</v>
      </c>
      <c r="AB177" s="679">
        <f t="shared" si="44"/>
        <v>0</v>
      </c>
      <c r="AC177" s="146">
        <f t="shared" si="45"/>
        <v>0</v>
      </c>
      <c r="AD177" s="147">
        <f t="shared" si="46"/>
        <v>0</v>
      </c>
      <c r="AE177" s="146">
        <f t="shared" si="47"/>
        <v>0</v>
      </c>
      <c r="AF177" s="36">
        <f t="shared" si="48"/>
        <v>0</v>
      </c>
      <c r="AG177" s="23">
        <f t="shared" si="48"/>
        <v>0</v>
      </c>
      <c r="AH177" s="675">
        <f t="shared" si="48"/>
        <v>0</v>
      </c>
      <c r="AI177" s="675">
        <f>Düngeplanung!AA17</f>
        <v>0</v>
      </c>
      <c r="AK177"/>
      <c r="AO177" s="3"/>
      <c r="AQ177" s="3"/>
      <c r="AR177" s="3"/>
    </row>
    <row r="178" spans="1:44">
      <c r="A178" s="1">
        <v>8</v>
      </c>
      <c r="B178" s="43"/>
      <c r="C178" s="18" t="str">
        <f>IF(ISTEXT(Hofdung!B25),Hofdung!B25,Hofdung!A25)</f>
        <v>Feststoff 1</v>
      </c>
      <c r="D178" s="19">
        <f>Hofdung!F25</f>
        <v>0</v>
      </c>
      <c r="E178" s="19">
        <f t="shared" si="36"/>
        <v>0</v>
      </c>
      <c r="F178" s="120">
        <f>Hofdung!H25</f>
        <v>0</v>
      </c>
      <c r="G178" s="671">
        <f>Hofdung!I25</f>
        <v>0</v>
      </c>
      <c r="H178" s="672">
        <f>Hofdung!J25</f>
        <v>0</v>
      </c>
      <c r="I178" s="120">
        <f>Hofdung!K25</f>
        <v>0</v>
      </c>
      <c r="J178" s="673">
        <f>Hofdung!L25</f>
        <v>0</v>
      </c>
      <c r="K178" s="674">
        <f>Hofdung!M25</f>
        <v>0</v>
      </c>
      <c r="L178" s="120">
        <f>Hofdung!N25</f>
        <v>0</v>
      </c>
      <c r="M178" s="671" t="str">
        <f>Hofdung!O25</f>
        <v>WD</v>
      </c>
      <c r="N178" s="36">
        <f t="shared" si="32"/>
        <v>0</v>
      </c>
      <c r="O178" s="23">
        <f t="shared" si="33"/>
        <v>0</v>
      </c>
      <c r="P178" s="675">
        <f t="shared" si="34"/>
        <v>0</v>
      </c>
      <c r="S178" s="681"/>
      <c r="T178" s="676">
        <f>Düngeplanung!Y18</f>
        <v>0</v>
      </c>
      <c r="U178" s="145">
        <f t="shared" si="37"/>
        <v>0</v>
      </c>
      <c r="V178" s="146">
        <f t="shared" si="38"/>
        <v>0</v>
      </c>
      <c r="W178" s="667">
        <f t="shared" si="39"/>
        <v>0</v>
      </c>
      <c r="X178" s="2304">
        <f t="shared" si="40"/>
        <v>0</v>
      </c>
      <c r="Y178" s="2305">
        <f t="shared" si="41"/>
        <v>0</v>
      </c>
      <c r="Z178" s="677">
        <f t="shared" si="42"/>
        <v>0</v>
      </c>
      <c r="AA178" s="678">
        <f t="shared" si="43"/>
        <v>0</v>
      </c>
      <c r="AB178" s="679">
        <f t="shared" si="44"/>
        <v>0</v>
      </c>
      <c r="AC178" s="146">
        <f t="shared" si="45"/>
        <v>0</v>
      </c>
      <c r="AD178" s="147">
        <f t="shared" si="46"/>
        <v>0</v>
      </c>
      <c r="AE178" s="146">
        <f t="shared" si="47"/>
        <v>0</v>
      </c>
      <c r="AF178" s="36">
        <f t="shared" si="48"/>
        <v>0</v>
      </c>
      <c r="AG178" s="23">
        <f t="shared" si="48"/>
        <v>0</v>
      </c>
      <c r="AH178" s="675">
        <f t="shared" si="48"/>
        <v>0</v>
      </c>
      <c r="AI178" s="675">
        <f>Düngeplanung!AA18</f>
        <v>0</v>
      </c>
      <c r="AK178"/>
      <c r="AO178" s="3"/>
      <c r="AQ178" s="3"/>
      <c r="AR178" s="3"/>
    </row>
    <row r="179" spans="1:44">
      <c r="A179" s="1">
        <v>9</v>
      </c>
      <c r="B179" s="43"/>
      <c r="C179" s="18" t="str">
        <f>IF(ISTEXT(Hofdung!B26),Hofdung!B26,Hofdung!A26)</f>
        <v>……</v>
      </c>
      <c r="D179" s="19">
        <f>Hofdung!F26</f>
        <v>0</v>
      </c>
      <c r="E179" s="19">
        <f t="shared" si="36"/>
        <v>0</v>
      </c>
      <c r="F179" s="120">
        <f>Hofdung!H26</f>
        <v>0</v>
      </c>
      <c r="G179" s="671">
        <f>Hofdung!I26</f>
        <v>0</v>
      </c>
      <c r="H179" s="672">
        <f>Hofdung!J26</f>
        <v>0</v>
      </c>
      <c r="I179" s="120">
        <f>Hofdung!K26</f>
        <v>0</v>
      </c>
      <c r="J179" s="673">
        <f>Hofdung!L26</f>
        <v>0</v>
      </c>
      <c r="K179" s="674">
        <f>Hofdung!M26</f>
        <v>0</v>
      </c>
      <c r="L179" s="120">
        <f>Hofdung!N26</f>
        <v>0</v>
      </c>
      <c r="M179" s="671" t="str">
        <f>Hofdung!O26</f>
        <v>WD</v>
      </c>
      <c r="N179" s="36">
        <f t="shared" si="32"/>
        <v>0</v>
      </c>
      <c r="O179" s="23">
        <f t="shared" si="33"/>
        <v>0</v>
      </c>
      <c r="P179" s="675">
        <f t="shared" si="34"/>
        <v>0</v>
      </c>
      <c r="S179" s="681"/>
      <c r="T179" s="676">
        <f>Düngeplanung!Y19</f>
        <v>0</v>
      </c>
      <c r="U179" s="145">
        <f t="shared" si="37"/>
        <v>0</v>
      </c>
      <c r="V179" s="146">
        <f t="shared" si="38"/>
        <v>0</v>
      </c>
      <c r="W179" s="667">
        <f t="shared" si="39"/>
        <v>0</v>
      </c>
      <c r="X179" s="2304">
        <f t="shared" si="40"/>
        <v>0</v>
      </c>
      <c r="Y179" s="2305">
        <f t="shared" si="41"/>
        <v>0</v>
      </c>
      <c r="Z179" s="677">
        <f t="shared" si="42"/>
        <v>0</v>
      </c>
      <c r="AA179" s="678">
        <f t="shared" si="43"/>
        <v>0</v>
      </c>
      <c r="AB179" s="679">
        <f t="shared" si="44"/>
        <v>0</v>
      </c>
      <c r="AC179" s="146">
        <f t="shared" si="45"/>
        <v>0</v>
      </c>
      <c r="AD179" s="147">
        <f t="shared" si="46"/>
        <v>0</v>
      </c>
      <c r="AE179" s="146">
        <f t="shared" si="47"/>
        <v>0</v>
      </c>
      <c r="AF179" s="36">
        <f t="shared" si="48"/>
        <v>0</v>
      </c>
      <c r="AG179" s="23">
        <f t="shared" si="48"/>
        <v>0</v>
      </c>
      <c r="AH179" s="675">
        <f t="shared" si="48"/>
        <v>0</v>
      </c>
      <c r="AI179" s="675">
        <f>Düngeplanung!AA19</f>
        <v>0</v>
      </c>
      <c r="AK179"/>
      <c r="AO179" s="3"/>
      <c r="AQ179" s="3"/>
      <c r="AR179" s="3"/>
    </row>
    <row r="180" spans="1:44">
      <c r="A180" s="1">
        <v>10</v>
      </c>
      <c r="B180" s="43"/>
      <c r="C180" s="18" t="str">
        <f>IF(ISTEXT(Hofdung!B27),Hofdung!B27,Hofdung!A27)</f>
        <v>……</v>
      </c>
      <c r="D180" s="19">
        <f>Hofdung!F27</f>
        <v>0</v>
      </c>
      <c r="E180" s="19">
        <f t="shared" si="36"/>
        <v>0</v>
      </c>
      <c r="F180" s="120">
        <f>Hofdung!H27</f>
        <v>0</v>
      </c>
      <c r="G180" s="671">
        <f>Hofdung!I27</f>
        <v>0</v>
      </c>
      <c r="H180" s="672">
        <f>Hofdung!J27</f>
        <v>0</v>
      </c>
      <c r="I180" s="120">
        <f>Hofdung!K27</f>
        <v>0</v>
      </c>
      <c r="J180" s="673">
        <f>Hofdung!L27</f>
        <v>0</v>
      </c>
      <c r="K180" s="674">
        <f>Hofdung!M27</f>
        <v>0</v>
      </c>
      <c r="L180" s="120">
        <f>Hofdung!N27</f>
        <v>0</v>
      </c>
      <c r="M180" s="671" t="str">
        <f>Hofdung!O27</f>
        <v>WD</v>
      </c>
      <c r="N180" s="36">
        <f t="shared" si="32"/>
        <v>0</v>
      </c>
      <c r="O180" s="23">
        <f t="shared" si="33"/>
        <v>0</v>
      </c>
      <c r="P180" s="675">
        <f t="shared" si="34"/>
        <v>0</v>
      </c>
      <c r="S180" s="681"/>
      <c r="T180" s="676">
        <f>Düngeplanung!Y20</f>
        <v>0</v>
      </c>
      <c r="U180" s="145">
        <f t="shared" si="37"/>
        <v>0</v>
      </c>
      <c r="V180" s="146">
        <f t="shared" si="38"/>
        <v>0</v>
      </c>
      <c r="W180" s="667">
        <f t="shared" si="39"/>
        <v>0</v>
      </c>
      <c r="X180" s="2304">
        <f t="shared" si="40"/>
        <v>0</v>
      </c>
      <c r="Y180" s="2305">
        <f t="shared" si="41"/>
        <v>0</v>
      </c>
      <c r="Z180" s="677">
        <f t="shared" si="42"/>
        <v>0</v>
      </c>
      <c r="AA180" s="678">
        <f t="shared" si="43"/>
        <v>0</v>
      </c>
      <c r="AB180" s="679">
        <f t="shared" si="44"/>
        <v>0</v>
      </c>
      <c r="AC180" s="146">
        <f t="shared" si="45"/>
        <v>0</v>
      </c>
      <c r="AD180" s="147">
        <f t="shared" si="46"/>
        <v>0</v>
      </c>
      <c r="AE180" s="146">
        <f t="shared" si="47"/>
        <v>0</v>
      </c>
      <c r="AF180" s="36">
        <f t="shared" si="48"/>
        <v>0</v>
      </c>
      <c r="AG180" s="23">
        <f t="shared" si="48"/>
        <v>0</v>
      </c>
      <c r="AH180" s="675">
        <f t="shared" si="48"/>
        <v>0</v>
      </c>
      <c r="AI180" s="675">
        <f>Düngeplanung!AA20</f>
        <v>0</v>
      </c>
      <c r="AK180"/>
      <c r="AO180" s="3"/>
      <c r="AQ180" s="3"/>
      <c r="AR180" s="3"/>
    </row>
    <row r="181" spans="1:44" ht="13.5" thickBot="1">
      <c r="A181" s="1">
        <v>11</v>
      </c>
      <c r="B181" s="43"/>
      <c r="C181" s="18" t="str">
        <f>IF(ISTEXT(Hofdung!B28),Hofdung!B28,Hofdung!A28)</f>
        <v>…..</v>
      </c>
      <c r="D181" s="19">
        <f>Hofdung!F28</f>
        <v>0</v>
      </c>
      <c r="E181" s="19">
        <f t="shared" si="36"/>
        <v>0</v>
      </c>
      <c r="F181" s="120">
        <f>Hofdung!H28</f>
        <v>0</v>
      </c>
      <c r="G181" s="671">
        <f>Hofdung!I28</f>
        <v>0</v>
      </c>
      <c r="H181" s="672">
        <f>Hofdung!J28</f>
        <v>0</v>
      </c>
      <c r="I181" s="120">
        <f>Hofdung!K28</f>
        <v>0</v>
      </c>
      <c r="J181" s="673">
        <f>Hofdung!L28</f>
        <v>0</v>
      </c>
      <c r="K181" s="674">
        <f>Hofdung!M28</f>
        <v>0</v>
      </c>
      <c r="L181" s="120">
        <f>Hofdung!N28</f>
        <v>0</v>
      </c>
      <c r="M181" s="671" t="str">
        <f>Hofdung!O28</f>
        <v>WD</v>
      </c>
      <c r="N181" s="36">
        <f t="shared" si="32"/>
        <v>0</v>
      </c>
      <c r="O181" s="23">
        <f t="shared" si="33"/>
        <v>0</v>
      </c>
      <c r="P181" s="675">
        <f t="shared" si="34"/>
        <v>0</v>
      </c>
      <c r="S181" s="681"/>
      <c r="T181" s="676">
        <f>Düngeplanung!Y21</f>
        <v>0</v>
      </c>
      <c r="U181" s="145">
        <f t="shared" si="37"/>
        <v>0</v>
      </c>
      <c r="V181" s="146">
        <f t="shared" si="38"/>
        <v>0</v>
      </c>
      <c r="W181" s="667">
        <f t="shared" si="39"/>
        <v>0</v>
      </c>
      <c r="X181" s="2304">
        <f t="shared" si="40"/>
        <v>0</v>
      </c>
      <c r="Y181" s="2305">
        <f t="shared" si="41"/>
        <v>0</v>
      </c>
      <c r="Z181" s="677">
        <f t="shared" si="42"/>
        <v>0</v>
      </c>
      <c r="AA181" s="678">
        <f t="shared" si="43"/>
        <v>0</v>
      </c>
      <c r="AB181" s="679">
        <f t="shared" si="44"/>
        <v>0</v>
      </c>
      <c r="AC181" s="146">
        <f t="shared" si="45"/>
        <v>0</v>
      </c>
      <c r="AD181" s="147">
        <f t="shared" si="46"/>
        <v>0</v>
      </c>
      <c r="AE181" s="146">
        <f t="shared" si="47"/>
        <v>0</v>
      </c>
      <c r="AF181" s="36">
        <f t="shared" si="48"/>
        <v>0</v>
      </c>
      <c r="AG181" s="23">
        <f t="shared" si="48"/>
        <v>0</v>
      </c>
      <c r="AH181" s="675">
        <f t="shared" si="48"/>
        <v>0</v>
      </c>
      <c r="AI181" s="675">
        <f>Düngeplanung!AA21</f>
        <v>0</v>
      </c>
      <c r="AK181"/>
      <c r="AO181" s="3"/>
      <c r="AQ181" s="3"/>
      <c r="AR181" s="3"/>
    </row>
    <row r="182" spans="1:44">
      <c r="A182" s="1">
        <v>12</v>
      </c>
      <c r="B182" s="43"/>
      <c r="C182" s="18" t="str">
        <f>IF(ISTEXT(Hofdung!B29),Hofdung!B29,Hofdung!A29)</f>
        <v>…..</v>
      </c>
      <c r="D182" s="19">
        <f>Hofdung!F29</f>
        <v>0</v>
      </c>
      <c r="E182" s="19">
        <f t="shared" si="36"/>
        <v>0</v>
      </c>
      <c r="F182" s="120">
        <f>Hofdung!H29</f>
        <v>0</v>
      </c>
      <c r="G182" s="671">
        <f>Hofdung!I29</f>
        <v>0</v>
      </c>
      <c r="H182" s="672">
        <f>Hofdung!J29</f>
        <v>0</v>
      </c>
      <c r="I182" s="120">
        <f>Hofdung!K29</f>
        <v>0</v>
      </c>
      <c r="J182" s="673">
        <f>Hofdung!L29</f>
        <v>0</v>
      </c>
      <c r="K182" s="674">
        <f>Hofdung!M29</f>
        <v>0</v>
      </c>
      <c r="L182" s="120">
        <f>Hofdung!N29</f>
        <v>0</v>
      </c>
      <c r="M182" s="671" t="str">
        <f>Hofdung!O29</f>
        <v>WD</v>
      </c>
      <c r="N182" s="36">
        <f t="shared" si="32"/>
        <v>0</v>
      </c>
      <c r="O182" s="23">
        <f t="shared" si="33"/>
        <v>0</v>
      </c>
      <c r="P182" s="675">
        <f t="shared" si="34"/>
        <v>0</v>
      </c>
      <c r="Q182" s="723" t="s">
        <v>855</v>
      </c>
      <c r="R182" s="724" t="s">
        <v>856</v>
      </c>
      <c r="S182" s="730"/>
      <c r="T182" s="730" t="s">
        <v>315</v>
      </c>
      <c r="U182" s="729"/>
      <c r="V182" s="729"/>
      <c r="W182" s="729"/>
      <c r="X182" s="729"/>
      <c r="Y182" s="729"/>
      <c r="Z182" s="729"/>
      <c r="AA182" s="729"/>
      <c r="AB182" s="729"/>
      <c r="AC182" s="729"/>
      <c r="AD182" s="729"/>
      <c r="AE182" s="729"/>
      <c r="AF182" s="731"/>
      <c r="AG182" s="732"/>
      <c r="AH182" s="733"/>
      <c r="AI182" s="733"/>
      <c r="AJ182" s="506" t="str">
        <f>Düngeplanung!Y22</f>
        <v>Sonstige organische Dünger</v>
      </c>
      <c r="AK182"/>
      <c r="AO182" s="3"/>
      <c r="AQ182" s="3"/>
      <c r="AR182" s="3"/>
    </row>
    <row r="183" spans="1:44">
      <c r="A183" s="1">
        <v>13</v>
      </c>
      <c r="B183" s="43"/>
      <c r="C183" s="18" t="str">
        <f>IF(ISTEXT(Hofdung!B30),Hofdung!B30,Hofdung!A30)</f>
        <v>….</v>
      </c>
      <c r="D183" s="19">
        <f>Hofdung!F30</f>
        <v>0</v>
      </c>
      <c r="E183" s="19">
        <f t="shared" si="36"/>
        <v>0</v>
      </c>
      <c r="F183" s="120">
        <f>Hofdung!H30</f>
        <v>0</v>
      </c>
      <c r="G183" s="671">
        <f>Hofdung!I30</f>
        <v>0</v>
      </c>
      <c r="H183" s="672">
        <f>Hofdung!J30</f>
        <v>0</v>
      </c>
      <c r="I183" s="120">
        <f>Hofdung!K30</f>
        <v>0</v>
      </c>
      <c r="J183" s="673">
        <f>Hofdung!L30</f>
        <v>0</v>
      </c>
      <c r="K183" s="674">
        <f>Hofdung!M30</f>
        <v>0</v>
      </c>
      <c r="L183" s="120">
        <f>Hofdung!N30</f>
        <v>0</v>
      </c>
      <c r="M183" s="671" t="str">
        <f>Hofdung!O30</f>
        <v>WD</v>
      </c>
      <c r="N183" s="36">
        <f t="shared" si="32"/>
        <v>0</v>
      </c>
      <c r="O183" s="23">
        <f t="shared" si="33"/>
        <v>0</v>
      </c>
      <c r="P183" s="675">
        <f t="shared" si="34"/>
        <v>0</v>
      </c>
      <c r="Q183" s="2720" t="s">
        <v>2398</v>
      </c>
      <c r="R183" s="2721"/>
      <c r="S183" s="536"/>
      <c r="T183" s="676">
        <f>Düngeplanung!Y23</f>
        <v>0</v>
      </c>
      <c r="U183" s="145">
        <f>IF(T183=0,0,VLOOKUP(T183,$C$167:$P$213,2,0))</f>
        <v>0</v>
      </c>
      <c r="V183" s="146">
        <f>IF(ISNA($U183),0,U183)</f>
        <v>0</v>
      </c>
      <c r="W183" s="667">
        <f>IF($T183=0,0,VLOOKUP(T183,$C$167:$P$213,3,0))</f>
        <v>0</v>
      </c>
      <c r="X183" s="145">
        <f>IF($T183=0,0,VLOOKUP(T183,$C$167:$P$213,4,0))</f>
        <v>0</v>
      </c>
      <c r="Y183" s="146">
        <f>IF($T183=0,0,VLOOKUP(T183,$C$167:$P$213,5,0))</f>
        <v>0</v>
      </c>
      <c r="Z183" s="677">
        <f>IF($T183=0,0,VLOOKUP(T183,$C$167:$P$213,6,0))</f>
        <v>0</v>
      </c>
      <c r="AA183" s="678">
        <f>IF($T183=0,0,VLOOKUP(T183,$C$167:$P$213,7,0))</f>
        <v>0</v>
      </c>
      <c r="AB183" s="679">
        <f>IF($T183=0,0,VLOOKUP(T183,$C$167:$P$213,8,0))</f>
        <v>0</v>
      </c>
      <c r="AC183" s="146">
        <f>IF($T183=0,0,VLOOKUP(T183,$C$167:$P$213,9,0))</f>
        <v>0</v>
      </c>
      <c r="AD183" s="147">
        <f>IF($T183=0,0,VLOOKUP(T183,$C$167:$P$213,10,0))</f>
        <v>0</v>
      </c>
      <c r="AE183" s="146">
        <f>IF($T183=0,0,VLOOKUP(T183,$C$167:$P$213,11,0))</f>
        <v>0</v>
      </c>
      <c r="AF183" s="36">
        <f t="shared" ref="AF183:AH186" si="49">$W183*Z183</f>
        <v>0</v>
      </c>
      <c r="AG183" s="23">
        <f t="shared" si="49"/>
        <v>0</v>
      </c>
      <c r="AH183" s="675">
        <f t="shared" si="49"/>
        <v>0</v>
      </c>
      <c r="AI183" s="675">
        <f>Düngeplanung!AA23</f>
        <v>0</v>
      </c>
      <c r="AJ183" s="61">
        <f>Düngeplanung!Y23</f>
        <v>0</v>
      </c>
      <c r="AK183"/>
      <c r="AO183" s="3"/>
      <c r="AQ183" s="3"/>
      <c r="AR183" s="3"/>
    </row>
    <row r="184" spans="1:44">
      <c r="A184" s="1">
        <v>14</v>
      </c>
      <c r="B184" s="43"/>
      <c r="C184" s="18" t="str">
        <f>CONCATENATE(A184," - ",Hofdung!B31)</f>
        <v>14 - …..</v>
      </c>
      <c r="D184" s="19">
        <f>Hofdung!F31</f>
        <v>0</v>
      </c>
      <c r="E184" s="19">
        <f t="shared" si="36"/>
        <v>0</v>
      </c>
      <c r="F184" s="120">
        <f>Hofdung!H31</f>
        <v>0</v>
      </c>
      <c r="G184" s="671">
        <f>Hofdung!I31</f>
        <v>0</v>
      </c>
      <c r="H184" s="672">
        <f>Hofdung!J31</f>
        <v>0</v>
      </c>
      <c r="I184" s="120">
        <f>Hofdung!K31</f>
        <v>0</v>
      </c>
      <c r="J184" s="673">
        <f>Hofdung!L31</f>
        <v>0</v>
      </c>
      <c r="K184" s="680">
        <f>Hofdung!M31</f>
        <v>0.5</v>
      </c>
      <c r="L184" s="120">
        <f>Hofdung!N31</f>
        <v>0</v>
      </c>
      <c r="M184" s="671" t="str">
        <f>Hofdung!O31</f>
        <v>WD</v>
      </c>
      <c r="N184" s="36">
        <f t="shared" si="32"/>
        <v>0</v>
      </c>
      <c r="O184" s="23">
        <f t="shared" si="33"/>
        <v>0</v>
      </c>
      <c r="P184" s="675">
        <f t="shared" si="34"/>
        <v>0</v>
      </c>
      <c r="Q184" s="2722"/>
      <c r="R184" s="2723"/>
      <c r="S184" s="536"/>
      <c r="T184" s="676">
        <f>Düngeplanung!Y24</f>
        <v>0</v>
      </c>
      <c r="U184" s="145">
        <f>IF(T184=0,0,VLOOKUP(T184,$C$167:$P$213,2,0))</f>
        <v>0</v>
      </c>
      <c r="V184" s="146">
        <f>IF(ISNA($U184),0,U184)</f>
        <v>0</v>
      </c>
      <c r="W184" s="667">
        <f>IF($T184=0,0,VLOOKUP(T184,$C$167:$P$213,3,0))</f>
        <v>0</v>
      </c>
      <c r="X184" s="145">
        <f>IF($T184=0,0,VLOOKUP(T184,$C$167:$P$213,4,0))</f>
        <v>0</v>
      </c>
      <c r="Y184" s="146">
        <f>IF($T184=0,0,VLOOKUP(T184,$C$167:$P$213,5,0))</f>
        <v>0</v>
      </c>
      <c r="Z184" s="677">
        <f>IF($T184=0,0,VLOOKUP(T184,$C$167:$P$213,6,0))</f>
        <v>0</v>
      </c>
      <c r="AA184" s="678">
        <f>IF($T184=0,0,VLOOKUP(T184,$C$167:$P$213,7,0))</f>
        <v>0</v>
      </c>
      <c r="AB184" s="679">
        <f>IF($T184=0,0,VLOOKUP(T184,$C$167:$P$213,8,0))</f>
        <v>0</v>
      </c>
      <c r="AC184" s="146">
        <f>IF($T184=0,0,VLOOKUP(T184,$C$167:$P$213,9,0))</f>
        <v>0</v>
      </c>
      <c r="AD184" s="147">
        <f>IF($T184=0,0,VLOOKUP(T184,$C$167:$P$213,10,0))</f>
        <v>0</v>
      </c>
      <c r="AE184" s="146">
        <f>IF($T184=0,0,VLOOKUP(T184,$C$167:$P$213,11,0))</f>
        <v>0</v>
      </c>
      <c r="AF184" s="36">
        <f t="shared" si="49"/>
        <v>0</v>
      </c>
      <c r="AG184" s="23">
        <f t="shared" si="49"/>
        <v>0</v>
      </c>
      <c r="AH184" s="675">
        <f t="shared" si="49"/>
        <v>0</v>
      </c>
      <c r="AI184" s="675">
        <f>Düngeplanung!AA24</f>
        <v>0</v>
      </c>
      <c r="AJ184" s="61">
        <f>Düngeplanung!Y24</f>
        <v>0</v>
      </c>
      <c r="AK184"/>
      <c r="AO184" s="3"/>
      <c r="AQ184" s="3"/>
      <c r="AR184" s="3"/>
    </row>
    <row r="185" spans="1:44">
      <c r="A185" s="1">
        <v>15</v>
      </c>
      <c r="B185" s="43"/>
      <c r="C185" s="18" t="str">
        <f>CONCATENATE(A185," - ",Hofdung!B32)</f>
        <v>15 - …..</v>
      </c>
      <c r="D185" s="19">
        <f>Hofdung!F32</f>
        <v>0</v>
      </c>
      <c r="E185" s="19">
        <f t="shared" si="36"/>
        <v>0</v>
      </c>
      <c r="F185" s="120">
        <f>Hofdung!H32</f>
        <v>0</v>
      </c>
      <c r="G185" s="671">
        <f>Hofdung!I32</f>
        <v>0</v>
      </c>
      <c r="H185" s="672">
        <f>Hofdung!J32</f>
        <v>0</v>
      </c>
      <c r="I185" s="120">
        <f>Hofdung!K32</f>
        <v>0</v>
      </c>
      <c r="J185" s="673">
        <f>Hofdung!L32</f>
        <v>0</v>
      </c>
      <c r="K185" s="680">
        <f>Hofdung!M32</f>
        <v>0.15</v>
      </c>
      <c r="L185" s="120">
        <f>Hofdung!N32</f>
        <v>0</v>
      </c>
      <c r="M185" s="671" t="str">
        <f>Hofdung!O32</f>
        <v>WD</v>
      </c>
      <c r="N185" s="36">
        <f t="shared" si="32"/>
        <v>0</v>
      </c>
      <c r="O185" s="23">
        <f t="shared" si="33"/>
        <v>0</v>
      </c>
      <c r="P185" s="675">
        <f t="shared" si="34"/>
        <v>0</v>
      </c>
      <c r="Q185" s="2724"/>
      <c r="R185" s="2725"/>
      <c r="S185" s="536"/>
      <c r="T185" s="676">
        <f>Düngeplanung!Y25</f>
        <v>0</v>
      </c>
      <c r="U185" s="145">
        <f>IF(T185=0,0,VLOOKUP(T185,$C$167:$P$213,2,0))</f>
        <v>0</v>
      </c>
      <c r="V185" s="146">
        <f>IF(ISNA($U185),0,U185)</f>
        <v>0</v>
      </c>
      <c r="W185" s="667">
        <f>IF($T185=0,0,VLOOKUP(T185,$C$167:$P$213,3,0))</f>
        <v>0</v>
      </c>
      <c r="X185" s="145">
        <f>IF($T185=0,0,VLOOKUP(T185,$C$167:$P$213,4,0))</f>
        <v>0</v>
      </c>
      <c r="Y185" s="146">
        <f>IF($T185=0,0,VLOOKUP(T185,$C$167:$P$213,5,0))</f>
        <v>0</v>
      </c>
      <c r="Z185" s="677">
        <f>IF($T185=0,0,VLOOKUP(T185,$C$167:$P$213,6,0))</f>
        <v>0</v>
      </c>
      <c r="AA185" s="678">
        <f>IF($T185=0,0,VLOOKUP(T185,$C$167:$P$213,7,0))</f>
        <v>0</v>
      </c>
      <c r="AB185" s="679">
        <f>IF($T185=0,0,VLOOKUP(T185,$C$167:$P$213,8,0))</f>
        <v>0</v>
      </c>
      <c r="AC185" s="146">
        <f>IF($T185=0,0,VLOOKUP(T185,$C$167:$P$213,9,0))</f>
        <v>0</v>
      </c>
      <c r="AD185" s="147">
        <f>IF($T185=0,0,VLOOKUP(T185,$C$167:$P$213,10,0))</f>
        <v>0</v>
      </c>
      <c r="AE185" s="146">
        <f>IF($T185=0,0,VLOOKUP(T185,$C$167:$P$213,11,0))</f>
        <v>0</v>
      </c>
      <c r="AF185" s="36">
        <f t="shared" si="49"/>
        <v>0</v>
      </c>
      <c r="AG185" s="23">
        <f t="shared" si="49"/>
        <v>0</v>
      </c>
      <c r="AH185" s="675">
        <f t="shared" si="49"/>
        <v>0</v>
      </c>
      <c r="AI185" s="675">
        <f>Düngeplanung!AA25</f>
        <v>0</v>
      </c>
      <c r="AJ185" s="61">
        <f>Düngeplanung!Y25</f>
        <v>0</v>
      </c>
      <c r="AK185"/>
      <c r="AO185" s="3"/>
      <c r="AQ185" s="3"/>
      <c r="AR185" s="3"/>
    </row>
    <row r="186" spans="1:44" ht="13.5" thickBot="1">
      <c r="A186" s="1">
        <v>16</v>
      </c>
      <c r="B186" s="43"/>
      <c r="C186" s="18" t="str">
        <f>CONCATENATE(A186," - ",Hofdung!B33)</f>
        <v>16 - …..</v>
      </c>
      <c r="D186" s="19">
        <f>Hofdung!F33</f>
        <v>0</v>
      </c>
      <c r="E186" s="19">
        <f t="shared" si="36"/>
        <v>0</v>
      </c>
      <c r="F186" s="120">
        <f>Hofdung!H33</f>
        <v>0</v>
      </c>
      <c r="G186" s="671">
        <f>Hofdung!I33</f>
        <v>0</v>
      </c>
      <c r="H186" s="672">
        <f>Hofdung!J33</f>
        <v>0</v>
      </c>
      <c r="I186" s="120">
        <f>Hofdung!K33</f>
        <v>0</v>
      </c>
      <c r="J186" s="673">
        <f>Hofdung!L33</f>
        <v>0</v>
      </c>
      <c r="K186" s="680">
        <f>Hofdung!M33</f>
        <v>0.15</v>
      </c>
      <c r="L186" s="120">
        <f>Hofdung!N33</f>
        <v>0</v>
      </c>
      <c r="M186" s="671" t="str">
        <f>Hofdung!O33</f>
        <v>WD</v>
      </c>
      <c r="N186" s="36">
        <f t="shared" si="32"/>
        <v>0</v>
      </c>
      <c r="O186" s="23">
        <f t="shared" si="33"/>
        <v>0</v>
      </c>
      <c r="P186" s="675">
        <f t="shared" si="34"/>
        <v>0</v>
      </c>
      <c r="Q186" s="725">
        <f>SUM(O174:O187)</f>
        <v>0</v>
      </c>
      <c r="R186" s="726">
        <f>SUM(P174:P187)</f>
        <v>0</v>
      </c>
      <c r="S186" s="536"/>
      <c r="T186" s="676">
        <f>Düngeplanung!Y26</f>
        <v>0</v>
      </c>
      <c r="U186" s="145">
        <f>IF(T186=0,0,VLOOKUP(T186,$C$167:$P$213,2,0))</f>
        <v>0</v>
      </c>
      <c r="V186" s="146">
        <f>IF(ISNA($U186),0,U186)</f>
        <v>0</v>
      </c>
      <c r="W186" s="667">
        <f>IF($T186=0,0,VLOOKUP(T186,$C$167:$P$213,3,0))</f>
        <v>0</v>
      </c>
      <c r="X186" s="145">
        <f>IF($T186=0,0,VLOOKUP(T186,$C$167:$P$213,4,0))</f>
        <v>0</v>
      </c>
      <c r="Y186" s="146">
        <f>IF($T186=0,0,VLOOKUP(T186,$C$167:$P$213,5,0))</f>
        <v>0</v>
      </c>
      <c r="Z186" s="677">
        <f>IF($T186=0,0,VLOOKUP(T186,$C$167:$P$213,6,0))</f>
        <v>0</v>
      </c>
      <c r="AA186" s="678">
        <f>IF($T186=0,0,VLOOKUP(T186,$C$167:$P$213,7,0))</f>
        <v>0</v>
      </c>
      <c r="AB186" s="679">
        <f>IF($T186=0,0,VLOOKUP(T186,$C$167:$P$213,8,0))</f>
        <v>0</v>
      </c>
      <c r="AC186" s="146">
        <f>IF($T186=0,0,VLOOKUP(T186,$C$167:$P$213,9,0))</f>
        <v>0</v>
      </c>
      <c r="AD186" s="147">
        <f>IF($T186=0,0,VLOOKUP(T186,$C$167:$P$213,10,0))</f>
        <v>0</v>
      </c>
      <c r="AE186" s="146">
        <f>IF($T186=0,0,VLOOKUP(T186,$C$167:$P$213,11,0))</f>
        <v>0</v>
      </c>
      <c r="AF186" s="36">
        <f t="shared" si="49"/>
        <v>0</v>
      </c>
      <c r="AG186" s="23">
        <f t="shared" si="49"/>
        <v>0</v>
      </c>
      <c r="AH186" s="675">
        <f t="shared" si="49"/>
        <v>0</v>
      </c>
      <c r="AI186" s="675">
        <f>Düngeplanung!AA26</f>
        <v>0</v>
      </c>
      <c r="AJ186" s="61">
        <f>Düngeplanung!Y26</f>
        <v>0</v>
      </c>
      <c r="AK186"/>
      <c r="AO186" s="3"/>
      <c r="AQ186" s="3"/>
      <c r="AR186" s="3"/>
    </row>
    <row r="187" spans="1:44">
      <c r="A187" s="1">
        <v>17</v>
      </c>
      <c r="B187" s="43"/>
      <c r="C187" s="18" t="str">
        <f>CONCATENATE(A187," - ",Hofdung!B34)</f>
        <v>17 - …..</v>
      </c>
      <c r="D187" s="19">
        <f>Hofdung!F34</f>
        <v>0</v>
      </c>
      <c r="E187" s="19">
        <f t="shared" si="36"/>
        <v>0</v>
      </c>
      <c r="F187" s="120">
        <f>Hofdung!H34</f>
        <v>0</v>
      </c>
      <c r="G187" s="671">
        <f>Hofdung!I34</f>
        <v>0</v>
      </c>
      <c r="H187" s="672">
        <f>Hofdung!J34</f>
        <v>0</v>
      </c>
      <c r="I187" s="120">
        <f>Hofdung!K34</f>
        <v>0</v>
      </c>
      <c r="J187" s="673">
        <f>Hofdung!L34</f>
        <v>0</v>
      </c>
      <c r="K187" s="680">
        <f>Hofdung!M34</f>
        <v>0.01</v>
      </c>
      <c r="L187" s="120">
        <f>Hofdung!N34</f>
        <v>0</v>
      </c>
      <c r="M187" s="671" t="str">
        <f>Hofdung!O34</f>
        <v>WD</v>
      </c>
      <c r="N187" s="36">
        <f t="shared" si="32"/>
        <v>0</v>
      </c>
      <c r="O187" s="23">
        <f t="shared" si="33"/>
        <v>0</v>
      </c>
      <c r="P187" s="675">
        <f t="shared" si="34"/>
        <v>0</v>
      </c>
      <c r="Q187" s="727" t="s">
        <v>314</v>
      </c>
      <c r="R187" s="728"/>
      <c r="S187" s="536"/>
      <c r="T187" s="676"/>
      <c r="U187" s="145"/>
      <c r="V187" s="146"/>
      <c r="W187" s="667"/>
      <c r="X187" s="145"/>
      <c r="Y187" s="146"/>
      <c r="Z187" s="677"/>
      <c r="AA187" s="678"/>
      <c r="AB187" s="679"/>
      <c r="AC187" s="146"/>
      <c r="AD187" s="147"/>
      <c r="AE187" s="146"/>
      <c r="AF187" s="146"/>
      <c r="AG187" s="146"/>
      <c r="AH187" s="146"/>
      <c r="AI187" s="146"/>
      <c r="AJ187" s="61"/>
      <c r="AK187"/>
      <c r="AO187" s="3"/>
      <c r="AQ187" s="3"/>
      <c r="AR187" s="3"/>
    </row>
    <row r="188" spans="1:44">
      <c r="A188" s="1">
        <v>18</v>
      </c>
      <c r="B188" s="43"/>
      <c r="C188" s="18">
        <f>Mineral!A3</f>
        <v>0</v>
      </c>
      <c r="D188" s="4">
        <f>IFERROR(VLOOKUP(C188,Mineral!$U$3:$AF$324,12,0),0)</f>
        <v>0</v>
      </c>
      <c r="E188" s="4">
        <f t="shared" si="36"/>
        <v>0</v>
      </c>
      <c r="F188" s="682">
        <f>IFERROR(VLOOKUP(C188,Mineral!$A$3:$L$27,4,0),0)</f>
        <v>0</v>
      </c>
      <c r="G188" s="683">
        <f>IFERROR(VLOOKUP(C188,Mineral!$A$3:$L$27,4,0)*VLOOKUP(C188,Mineral!$U$3:$AF$324,10,0),0)</f>
        <v>0</v>
      </c>
      <c r="H188" s="684">
        <f>IFERROR(G188*K188,0)</f>
        <v>0</v>
      </c>
      <c r="I188" s="682">
        <f>IFERROR(VLOOKUP(C188,Mineral!$A$3:$L$27,5,0),0)</f>
        <v>0</v>
      </c>
      <c r="J188" s="685">
        <f>IFERROR(VLOOKUP(C188,Mineral!$A$3:$L$27,6,0),0)</f>
        <v>0</v>
      </c>
      <c r="K188" s="695" t="str">
        <f>Mineral!L3</f>
        <v/>
      </c>
      <c r="L188" s="4"/>
      <c r="M188" s="82" t="s">
        <v>857</v>
      </c>
      <c r="N188" s="36">
        <f t="shared" si="32"/>
        <v>0</v>
      </c>
      <c r="O188" s="23">
        <f t="shared" si="33"/>
        <v>0</v>
      </c>
      <c r="P188" s="675">
        <f t="shared" si="34"/>
        <v>0</v>
      </c>
      <c r="Q188" s="686">
        <f t="shared" ref="Q188:Q212" si="50">VLOOKUP(C188,$T$174:$AI$181,16,FALSE)</f>
        <v>0</v>
      </c>
      <c r="R188"/>
      <c r="S188" s="536"/>
      <c r="T188" s="676"/>
      <c r="U188" s="145"/>
      <c r="V188" s="146"/>
      <c r="W188" s="667"/>
      <c r="X188" s="145"/>
      <c r="Y188" s="146"/>
      <c r="Z188" s="677"/>
      <c r="AA188" s="678"/>
      <c r="AB188" s="679"/>
      <c r="AC188" s="146"/>
      <c r="AD188" s="147"/>
      <c r="AE188" s="146"/>
      <c r="AF188" s="146"/>
      <c r="AG188" s="146"/>
      <c r="AH188" s="146"/>
      <c r="AI188" s="146"/>
      <c r="AJ188" s="3"/>
      <c r="AK188"/>
      <c r="AO188" s="3"/>
      <c r="AQ188" s="3"/>
      <c r="AR188" s="3"/>
    </row>
    <row r="189" spans="1:44">
      <c r="A189" s="1">
        <v>19</v>
      </c>
      <c r="B189" s="43"/>
      <c r="C189" s="18">
        <f>Mineral!A4</f>
        <v>0</v>
      </c>
      <c r="D189" s="4">
        <f>IFERROR(VLOOKUP(C189,Mineral!$U$3:$AF$324,12,0),0)</f>
        <v>0</v>
      </c>
      <c r="E189" s="4">
        <f t="shared" si="36"/>
        <v>0</v>
      </c>
      <c r="F189" s="682">
        <f>IFERROR(VLOOKUP(C189,Mineral!$A$3:$L$27,4,0),0)</f>
        <v>0</v>
      </c>
      <c r="G189" s="683">
        <f>IFERROR(VLOOKUP(C189,Mineral!$A$3:$L$27,4,0)*VLOOKUP(C189,Mineral!$U$3:$AF$324,10,0),0)</f>
        <v>0</v>
      </c>
      <c r="H189" s="684">
        <f t="shared" ref="H189:H202" si="51">IFERROR(G189*K189,0)</f>
        <v>0</v>
      </c>
      <c r="I189" s="682">
        <f>IFERROR(VLOOKUP(C189,Mineral!$A$3:$L$27,5,0),0)</f>
        <v>0</v>
      </c>
      <c r="J189" s="685">
        <f>IFERROR(VLOOKUP(C189,Mineral!$A$3:$L$27,6,0),0)</f>
        <v>0</v>
      </c>
      <c r="K189" s="695" t="str">
        <f>Mineral!L4</f>
        <v/>
      </c>
      <c r="L189" s="4"/>
      <c r="M189" s="82" t="s">
        <v>857</v>
      </c>
      <c r="N189" s="36">
        <f t="shared" si="32"/>
        <v>0</v>
      </c>
      <c r="O189" s="23">
        <f t="shared" si="33"/>
        <v>0</v>
      </c>
      <c r="P189" s="675">
        <f t="shared" si="34"/>
        <v>0</v>
      </c>
      <c r="Q189" s="686">
        <f t="shared" si="50"/>
        <v>0</v>
      </c>
      <c r="R189"/>
      <c r="S189" s="82"/>
      <c r="T189" s="676"/>
      <c r="U189" s="145"/>
      <c r="V189" s="146"/>
      <c r="W189" s="687"/>
      <c r="X189" s="145"/>
      <c r="Y189" s="146"/>
      <c r="Z189" s="677"/>
      <c r="AA189" s="678"/>
      <c r="AB189" s="679"/>
      <c r="AC189" s="146"/>
      <c r="AD189" s="147"/>
      <c r="AE189" s="146"/>
      <c r="AF189" s="36"/>
      <c r="AG189" s="23"/>
      <c r="AH189" s="675"/>
      <c r="AI189" s="61"/>
      <c r="AJ189" s="3"/>
      <c r="AK189"/>
    </row>
    <row r="190" spans="1:44">
      <c r="A190" s="1">
        <v>20</v>
      </c>
      <c r="B190" s="43"/>
      <c r="C190" s="18">
        <f>Mineral!A5</f>
        <v>0</v>
      </c>
      <c r="D190" s="4">
        <f>IFERROR(VLOOKUP(C190,Mineral!$U$3:$AF$324,12,0),0)</f>
        <v>0</v>
      </c>
      <c r="E190" s="4">
        <f t="shared" si="36"/>
        <v>0</v>
      </c>
      <c r="F190" s="682">
        <f>IFERROR(VLOOKUP(C190,Mineral!$A$3:$L$27,4,0),0)</f>
        <v>0</v>
      </c>
      <c r="G190" s="683">
        <f>IFERROR(VLOOKUP(C190,Mineral!$A$3:$L$27,4,0)*VLOOKUP(C190,Mineral!$U$3:$AF$324,10,0),0)</f>
        <v>0</v>
      </c>
      <c r="H190" s="684">
        <f t="shared" si="51"/>
        <v>0</v>
      </c>
      <c r="I190" s="682">
        <f>IFERROR(VLOOKUP(C190,Mineral!$A$3:$L$27,5,0),0)</f>
        <v>0</v>
      </c>
      <c r="J190" s="685">
        <f>IFERROR(VLOOKUP(C190,Mineral!$A$3:$L$27,6,0),0)</f>
        <v>0</v>
      </c>
      <c r="K190" s="695" t="str">
        <f>Mineral!L5</f>
        <v/>
      </c>
      <c r="L190" s="4"/>
      <c r="M190" s="82" t="s">
        <v>857</v>
      </c>
      <c r="N190" s="36">
        <f t="shared" si="32"/>
        <v>0</v>
      </c>
      <c r="O190" s="23">
        <f t="shared" si="33"/>
        <v>0</v>
      </c>
      <c r="P190" s="675">
        <f t="shared" si="34"/>
        <v>0</v>
      </c>
      <c r="Q190" s="686">
        <f t="shared" si="50"/>
        <v>0</v>
      </c>
      <c r="R190"/>
      <c r="S190" s="82"/>
      <c r="T190" s="676"/>
      <c r="U190" s="145"/>
      <c r="V190" s="146"/>
      <c r="W190" s="687"/>
      <c r="X190" s="145"/>
      <c r="Y190" s="146"/>
      <c r="Z190" s="677"/>
      <c r="AA190" s="678"/>
      <c r="AB190" s="679"/>
      <c r="AC190" s="146"/>
      <c r="AD190" s="147"/>
      <c r="AE190" s="146"/>
      <c r="AF190" s="36"/>
      <c r="AG190" s="23"/>
      <c r="AH190" s="675"/>
      <c r="AI190" s="61"/>
      <c r="AJ190" s="3"/>
      <c r="AK190"/>
    </row>
    <row r="191" spans="1:44">
      <c r="A191" s="1">
        <v>21</v>
      </c>
      <c r="B191" s="43"/>
      <c r="C191" s="18">
        <f>Mineral!A6</f>
        <v>0</v>
      </c>
      <c r="D191" s="4">
        <f>IFERROR(VLOOKUP(C191,Mineral!$U$3:$AF$324,12,0),0)</f>
        <v>0</v>
      </c>
      <c r="E191" s="4">
        <f t="shared" si="36"/>
        <v>0</v>
      </c>
      <c r="F191" s="682">
        <f>IFERROR(VLOOKUP(C191,Mineral!$A$3:$L$27,4,0),0)</f>
        <v>0</v>
      </c>
      <c r="G191" s="683">
        <f>IFERROR(VLOOKUP(C191,Mineral!$A$3:$L$27,4,0)*VLOOKUP(C191,Mineral!$U$3:$AF$324,10,0),0)</f>
        <v>0</v>
      </c>
      <c r="H191" s="684">
        <f t="shared" si="51"/>
        <v>0</v>
      </c>
      <c r="I191" s="682">
        <f>IFERROR(VLOOKUP(C191,Mineral!$A$3:$L$27,5,0),0)</f>
        <v>0</v>
      </c>
      <c r="J191" s="685">
        <f>IFERROR(VLOOKUP(C191,Mineral!$A$3:$L$27,6,0),0)</f>
        <v>0</v>
      </c>
      <c r="K191" s="695" t="str">
        <f>Mineral!L6</f>
        <v/>
      </c>
      <c r="L191" s="4"/>
      <c r="M191" s="82" t="s">
        <v>857</v>
      </c>
      <c r="N191" s="36">
        <f t="shared" si="32"/>
        <v>0</v>
      </c>
      <c r="O191" s="23">
        <f t="shared" si="33"/>
        <v>0</v>
      </c>
      <c r="P191" s="675">
        <f t="shared" si="34"/>
        <v>0</v>
      </c>
      <c r="Q191" s="686">
        <f t="shared" si="50"/>
        <v>0</v>
      </c>
      <c r="R191"/>
      <c r="S191" s="82"/>
      <c r="T191" s="676"/>
      <c r="U191" s="145"/>
      <c r="V191" s="146"/>
      <c r="W191" s="687"/>
      <c r="X191" s="145"/>
      <c r="Y191" s="146"/>
      <c r="Z191" s="677"/>
      <c r="AA191" s="678"/>
      <c r="AB191" s="679"/>
      <c r="AC191" s="146"/>
      <c r="AD191" s="147"/>
      <c r="AE191" s="146"/>
      <c r="AF191" s="36"/>
      <c r="AG191" s="23"/>
      <c r="AH191" s="675"/>
      <c r="AI191" s="61"/>
      <c r="AJ191" s="3"/>
      <c r="AK191"/>
    </row>
    <row r="192" spans="1:44">
      <c r="A192" s="1">
        <v>22</v>
      </c>
      <c r="B192" s="43"/>
      <c r="C192" s="18">
        <f>Mineral!A7</f>
        <v>0</v>
      </c>
      <c r="D192" s="4">
        <f>IFERROR(VLOOKUP(C192,Mineral!$U$3:$AF$324,12,0),0)</f>
        <v>0</v>
      </c>
      <c r="E192" s="4">
        <f t="shared" si="36"/>
        <v>0</v>
      </c>
      <c r="F192" s="682">
        <f>IFERROR(VLOOKUP(C192,Mineral!$A$3:$L$27,4,0),0)</f>
        <v>0</v>
      </c>
      <c r="G192" s="683">
        <f>IFERROR(VLOOKUP(C192,Mineral!$A$3:$L$27,4,0)*VLOOKUP(C192,Mineral!$U$3:$AF$324,10,0),0)</f>
        <v>0</v>
      </c>
      <c r="H192" s="684">
        <f t="shared" si="51"/>
        <v>0</v>
      </c>
      <c r="I192" s="682">
        <f>IFERROR(VLOOKUP(C192,Mineral!$A$3:$L$27,5,0),0)</f>
        <v>0</v>
      </c>
      <c r="J192" s="685">
        <f>IFERROR(VLOOKUP(C192,Mineral!$A$3:$L$27,6,0),0)</f>
        <v>0</v>
      </c>
      <c r="K192" s="695" t="str">
        <f>Mineral!L7</f>
        <v/>
      </c>
      <c r="L192" s="4"/>
      <c r="M192" s="82" t="s">
        <v>857</v>
      </c>
      <c r="N192" s="36">
        <f t="shared" si="32"/>
        <v>0</v>
      </c>
      <c r="O192" s="23">
        <f t="shared" si="33"/>
        <v>0</v>
      </c>
      <c r="P192" s="675">
        <f t="shared" si="34"/>
        <v>0</v>
      </c>
      <c r="Q192" s="686">
        <f t="shared" si="50"/>
        <v>0</v>
      </c>
      <c r="R192"/>
      <c r="S192" s="82"/>
      <c r="T192" s="676"/>
      <c r="U192" s="145"/>
      <c r="V192" s="146"/>
      <c r="W192" s="687"/>
      <c r="X192" s="145"/>
      <c r="Y192" s="146"/>
      <c r="Z192" s="677"/>
      <c r="AA192" s="678"/>
      <c r="AB192" s="679"/>
      <c r="AC192" s="146"/>
      <c r="AD192" s="147"/>
      <c r="AE192" s="146"/>
      <c r="AF192" s="36"/>
      <c r="AG192" s="23"/>
      <c r="AH192" s="675"/>
      <c r="AI192" s="61"/>
      <c r="AJ192" s="3"/>
      <c r="AK192"/>
    </row>
    <row r="193" spans="1:37">
      <c r="A193" s="1">
        <v>23</v>
      </c>
      <c r="B193" s="43"/>
      <c r="C193" s="18">
        <f>Mineral!A8</f>
        <v>0</v>
      </c>
      <c r="D193" s="4">
        <f>IFERROR(VLOOKUP(C193,Mineral!$U$3:$AF$324,12,0),0)</f>
        <v>0</v>
      </c>
      <c r="E193" s="4">
        <f t="shared" si="36"/>
        <v>0</v>
      </c>
      <c r="F193" s="682">
        <f>IFERROR(VLOOKUP(C193,Mineral!$A$3:$L$27,4,0),0)</f>
        <v>0</v>
      </c>
      <c r="G193" s="683">
        <f>IFERROR(VLOOKUP(C193,Mineral!$A$3:$L$27,4,0)*VLOOKUP(C193,Mineral!$U$3:$AF$324,10,0),0)</f>
        <v>0</v>
      </c>
      <c r="H193" s="684">
        <f t="shared" si="51"/>
        <v>0</v>
      </c>
      <c r="I193" s="682">
        <f>IFERROR(VLOOKUP(C193,Mineral!$A$3:$L$27,5,0),0)</f>
        <v>0</v>
      </c>
      <c r="J193" s="685">
        <f>IFERROR(VLOOKUP(C193,Mineral!$A$3:$L$27,6,0),0)</f>
        <v>0</v>
      </c>
      <c r="K193" s="695" t="str">
        <f>Mineral!L8</f>
        <v/>
      </c>
      <c r="L193" s="4"/>
      <c r="M193" s="82" t="s">
        <v>857</v>
      </c>
      <c r="N193" s="36">
        <f t="shared" si="32"/>
        <v>0</v>
      </c>
      <c r="O193" s="23">
        <f t="shared" si="33"/>
        <v>0</v>
      </c>
      <c r="P193" s="675">
        <f t="shared" si="34"/>
        <v>0</v>
      </c>
      <c r="Q193" s="686">
        <f t="shared" si="50"/>
        <v>0</v>
      </c>
      <c r="R193"/>
      <c r="S193" s="82"/>
      <c r="T193" s="676"/>
      <c r="U193" s="145"/>
      <c r="V193" s="146"/>
      <c r="W193" s="687"/>
      <c r="X193" s="145"/>
      <c r="Y193" s="146"/>
      <c r="Z193" s="677"/>
      <c r="AA193" s="678"/>
      <c r="AB193" s="679"/>
      <c r="AC193" s="146"/>
      <c r="AD193" s="147"/>
      <c r="AE193" s="146"/>
      <c r="AF193" s="36"/>
      <c r="AG193" s="23"/>
      <c r="AH193" s="675"/>
      <c r="AI193" s="61"/>
      <c r="AJ193" s="3"/>
      <c r="AK193"/>
    </row>
    <row r="194" spans="1:37" ht="13.5" thickBot="1">
      <c r="A194" s="1">
        <v>24</v>
      </c>
      <c r="B194" s="43"/>
      <c r="C194" s="18">
        <f>Mineral!A9</f>
        <v>0</v>
      </c>
      <c r="D194" s="4">
        <f>IFERROR(VLOOKUP(C194,Mineral!$U$3:$AF$324,12,0),0)</f>
        <v>0</v>
      </c>
      <c r="E194" s="4">
        <f t="shared" si="36"/>
        <v>0</v>
      </c>
      <c r="F194" s="682">
        <f>IFERROR(VLOOKUP(C194,Mineral!$A$3:$L$27,4,0),0)</f>
        <v>0</v>
      </c>
      <c r="G194" s="683">
        <f>IFERROR(VLOOKUP(C194,Mineral!$A$3:$L$27,4,0)*VLOOKUP(C194,Mineral!$U$3:$AF$324,10,0),0)</f>
        <v>0</v>
      </c>
      <c r="H194" s="684">
        <f t="shared" si="51"/>
        <v>0</v>
      </c>
      <c r="I194" s="682">
        <f>IFERROR(VLOOKUP(C194,Mineral!$A$3:$L$27,5,0),0)</f>
        <v>0</v>
      </c>
      <c r="J194" s="685">
        <f>IFERROR(VLOOKUP(C194,Mineral!$A$3:$L$27,6,0),0)</f>
        <v>0</v>
      </c>
      <c r="K194" s="695" t="str">
        <f>Mineral!L9</f>
        <v/>
      </c>
      <c r="L194" s="4"/>
      <c r="M194" s="82" t="s">
        <v>857</v>
      </c>
      <c r="N194" s="36">
        <f t="shared" si="32"/>
        <v>0</v>
      </c>
      <c r="O194" s="23">
        <f t="shared" si="33"/>
        <v>0</v>
      </c>
      <c r="P194" s="675">
        <f t="shared" si="34"/>
        <v>0</v>
      </c>
      <c r="Q194" s="686">
        <f t="shared" si="50"/>
        <v>0</v>
      </c>
      <c r="R194"/>
      <c r="S194" s="82"/>
      <c r="T194" s="676"/>
      <c r="U194" s="145"/>
      <c r="V194" s="146"/>
      <c r="W194" s="688"/>
      <c r="X194" s="145"/>
      <c r="Y194" s="146"/>
      <c r="Z194" s="689"/>
      <c r="AA194" s="690"/>
      <c r="AB194" s="691"/>
      <c r="AC194" s="146"/>
      <c r="AD194" s="147"/>
      <c r="AE194" s="146"/>
      <c r="AF194" s="36"/>
      <c r="AG194" s="23"/>
      <c r="AH194" s="675"/>
      <c r="AI194" s="61"/>
      <c r="AJ194" s="3"/>
      <c r="AK194"/>
    </row>
    <row r="195" spans="1:37" ht="13.5" thickBot="1">
      <c r="A195" s="1">
        <v>25</v>
      </c>
      <c r="B195" s="43"/>
      <c r="C195" s="18">
        <f>Mineral!A10</f>
        <v>0</v>
      </c>
      <c r="D195" s="4">
        <f>IFERROR(VLOOKUP(C195,Mineral!$U$3:$AF$324,12,0),0)</f>
        <v>0</v>
      </c>
      <c r="E195" s="4">
        <f t="shared" si="36"/>
        <v>0</v>
      </c>
      <c r="F195" s="682">
        <f>IFERROR(VLOOKUP(C195,Mineral!$A$3:$L$27,4,0),0)</f>
        <v>0</v>
      </c>
      <c r="G195" s="683">
        <f>IFERROR(VLOOKUP(C195,Mineral!$A$3:$L$27,4,0)*VLOOKUP(C195,Mineral!$U$3:$AF$324,10,0),0)</f>
        <v>0</v>
      </c>
      <c r="H195" s="684">
        <f t="shared" si="51"/>
        <v>0</v>
      </c>
      <c r="I195" s="682">
        <f>IFERROR(VLOOKUP(C195,Mineral!$A$3:$L$27,5,0),0)</f>
        <v>0</v>
      </c>
      <c r="J195" s="685">
        <f>IFERROR(VLOOKUP(C195,Mineral!$A$3:$L$27,6,0),0)</f>
        <v>0</v>
      </c>
      <c r="K195" s="695" t="str">
        <f>Mineral!L10</f>
        <v/>
      </c>
      <c r="L195" s="4"/>
      <c r="M195" s="82" t="s">
        <v>857</v>
      </c>
      <c r="N195" s="36">
        <f t="shared" si="32"/>
        <v>0</v>
      </c>
      <c r="O195" s="23">
        <f t="shared" si="33"/>
        <v>0</v>
      </c>
      <c r="P195" s="675">
        <f t="shared" si="34"/>
        <v>0</v>
      </c>
      <c r="Q195" s="686">
        <f t="shared" si="50"/>
        <v>0</v>
      </c>
      <c r="R195"/>
      <c r="S195"/>
      <c r="T195"/>
      <c r="Y195"/>
      <c r="Z195"/>
      <c r="AA195"/>
      <c r="AB195"/>
      <c r="AC195"/>
      <c r="AD195"/>
      <c r="AE195" s="592" t="s">
        <v>560</v>
      </c>
      <c r="AF195" s="734">
        <f>SUM(AF168:AF194)</f>
        <v>0</v>
      </c>
      <c r="AG195" s="735">
        <f>SUM(AG168:AG194)</f>
        <v>0</v>
      </c>
      <c r="AH195" s="736">
        <f>SUM(AH168:AH194)</f>
        <v>0</v>
      </c>
      <c r="AI195" s="61"/>
      <c r="AJ195" s="3"/>
      <c r="AK195"/>
    </row>
    <row r="196" spans="1:37" ht="16.5" thickBot="1">
      <c r="A196" s="1">
        <v>26</v>
      </c>
      <c r="B196" s="43"/>
      <c r="C196" s="18">
        <f>Mineral!A11</f>
        <v>0</v>
      </c>
      <c r="D196" s="4">
        <f>IFERROR(VLOOKUP(C196,Mineral!$U$3:$AF$324,12,0),0)</f>
        <v>0</v>
      </c>
      <c r="E196" s="4">
        <f t="shared" si="36"/>
        <v>0</v>
      </c>
      <c r="F196" s="682">
        <f>IFERROR(VLOOKUP(C196,Mineral!$A$3:$L$27,4,0),0)</f>
        <v>0</v>
      </c>
      <c r="G196" s="683">
        <f>IFERROR(VLOOKUP(C196,Mineral!$A$3:$L$27,4,0)*VLOOKUP(C196,Mineral!$U$3:$AF$324,10,0),0)</f>
        <v>0</v>
      </c>
      <c r="H196" s="684">
        <f t="shared" si="51"/>
        <v>0</v>
      </c>
      <c r="I196" s="682">
        <f>IFERROR(VLOOKUP(C196,Mineral!$A$3:$L$27,5,0),0)</f>
        <v>0</v>
      </c>
      <c r="J196" s="685">
        <f>IFERROR(VLOOKUP(C196,Mineral!$A$3:$L$27,6,0),0)</f>
        <v>0</v>
      </c>
      <c r="K196" s="695" t="str">
        <f>Mineral!L11</f>
        <v/>
      </c>
      <c r="L196" s="4"/>
      <c r="M196" s="82" t="s">
        <v>857</v>
      </c>
      <c r="N196" s="36">
        <f t="shared" si="32"/>
        <v>0</v>
      </c>
      <c r="O196" s="23">
        <f t="shared" si="33"/>
        <v>0</v>
      </c>
      <c r="P196" s="675">
        <f t="shared" si="34"/>
        <v>0</v>
      </c>
      <c r="Q196" s="686">
        <f t="shared" si="50"/>
        <v>0</v>
      </c>
      <c r="R196"/>
      <c r="S196"/>
      <c r="T196"/>
      <c r="Y196" s="692" t="s">
        <v>858</v>
      </c>
      <c r="Z196" s="3"/>
      <c r="AA196" s="3"/>
      <c r="AB196" s="3"/>
      <c r="AC196" s="3"/>
      <c r="AD196" s="3"/>
      <c r="AE196" s="737" t="s">
        <v>859</v>
      </c>
      <c r="AF196" s="738">
        <f>IF(AF195&lt;N214,-10,IF(AF195=N214,0,IF(AF195&gt;N214,3)))</f>
        <v>0</v>
      </c>
      <c r="AG196" s="738">
        <f>IF(AG195&lt;O214,-10,IF(AG195=O214,0,IF(AG195&gt;O214,3)))</f>
        <v>0</v>
      </c>
      <c r="AH196" s="738">
        <f>IF(AH195&lt;P214,-10,IF(AH195=P214,0,IF(AH195&gt;P214,3)))</f>
        <v>0</v>
      </c>
      <c r="AI196" s="693">
        <f>SUM(AF196:AH196)</f>
        <v>0</v>
      </c>
      <c r="AJ196" s="694"/>
      <c r="AK196" s="694"/>
    </row>
    <row r="197" spans="1:37" ht="15.75" thickBot="1">
      <c r="A197" s="1">
        <v>27</v>
      </c>
      <c r="B197" s="43"/>
      <c r="C197" s="18">
        <f>Mineral!A12</f>
        <v>0</v>
      </c>
      <c r="D197" s="4">
        <f>IFERROR(VLOOKUP(C197,Mineral!$U$3:$AF$324,12,0),0)</f>
        <v>0</v>
      </c>
      <c r="E197" s="4">
        <f t="shared" si="36"/>
        <v>0</v>
      </c>
      <c r="F197" s="682">
        <f>IFERROR(VLOOKUP(C197,Mineral!$A$3:$L$27,4,0),0)</f>
        <v>0</v>
      </c>
      <c r="G197" s="683">
        <f>IFERROR(VLOOKUP(C197,Mineral!$A$3:$L$27,4,0)*VLOOKUP(C197,Mineral!$U$3:$AF$324,10,0),0)</f>
        <v>0</v>
      </c>
      <c r="H197" s="684">
        <f t="shared" si="51"/>
        <v>0</v>
      </c>
      <c r="I197" s="682">
        <f>IFERROR(VLOOKUP(C197,Mineral!$A$3:$L$27,5,0),0)</f>
        <v>0</v>
      </c>
      <c r="J197" s="685">
        <f>IFERROR(VLOOKUP(C197,Mineral!$A$3:$L$27,6,0),0)</f>
        <v>0</v>
      </c>
      <c r="K197" s="695" t="str">
        <f>Mineral!L12</f>
        <v/>
      </c>
      <c r="L197" s="4"/>
      <c r="M197" s="82" t="s">
        <v>857</v>
      </c>
      <c r="N197" s="36">
        <f t="shared" si="32"/>
        <v>0</v>
      </c>
      <c r="O197" s="23">
        <f t="shared" si="33"/>
        <v>0</v>
      </c>
      <c r="P197" s="675">
        <f t="shared" si="34"/>
        <v>0</v>
      </c>
      <c r="Q197" s="686">
        <f t="shared" si="50"/>
        <v>0</v>
      </c>
      <c r="R197"/>
      <c r="S197"/>
      <c r="T197"/>
      <c r="Y197" s="3"/>
      <c r="Z197" s="3"/>
      <c r="AA197" s="3"/>
      <c r="AB197" s="3"/>
      <c r="AC197" s="3"/>
      <c r="AD197" s="3"/>
      <c r="AE197" s="737" t="s">
        <v>860</v>
      </c>
      <c r="AF197" s="739">
        <f>AF195-N214</f>
        <v>0</v>
      </c>
      <c r="AG197" s="739">
        <f>AG195-O214</f>
        <v>0</v>
      </c>
      <c r="AH197" s="739">
        <f>AH195-P214</f>
        <v>0</v>
      </c>
      <c r="AI197" s="61"/>
      <c r="AJ197" s="3"/>
    </row>
    <row r="198" spans="1:37" ht="15">
      <c r="A198" s="1">
        <v>28</v>
      </c>
      <c r="B198" s="43"/>
      <c r="C198" s="18">
        <f>Mineral!A13</f>
        <v>0</v>
      </c>
      <c r="D198" s="4">
        <f>IFERROR(VLOOKUP(C198,Mineral!$U$3:$AF$324,12,0),0)</f>
        <v>0</v>
      </c>
      <c r="E198" s="4">
        <f t="shared" si="36"/>
        <v>0</v>
      </c>
      <c r="F198" s="682">
        <f>IFERROR(VLOOKUP(C198,Mineral!$A$3:$L$27,4,0),0)</f>
        <v>0</v>
      </c>
      <c r="G198" s="683">
        <f>IFERROR(VLOOKUP(C198,Mineral!$A$3:$L$27,4,0)*VLOOKUP(C198,Mineral!$U$3:$AF$324,10,0),0)</f>
        <v>0</v>
      </c>
      <c r="H198" s="684">
        <f t="shared" si="51"/>
        <v>0</v>
      </c>
      <c r="I198" s="682">
        <f>IFERROR(VLOOKUP(C198,Mineral!$A$3:$L$27,5,0),0)</f>
        <v>0</v>
      </c>
      <c r="J198" s="685">
        <f>IFERROR(VLOOKUP(C198,Mineral!$A$3:$L$27,6,0),0)</f>
        <v>0</v>
      </c>
      <c r="K198" s="695" t="str">
        <f>Mineral!L13</f>
        <v/>
      </c>
      <c r="L198" s="4"/>
      <c r="M198" s="82" t="s">
        <v>857</v>
      </c>
      <c r="N198" s="36">
        <f t="shared" si="32"/>
        <v>0</v>
      </c>
      <c r="O198" s="23">
        <f t="shared" si="33"/>
        <v>0</v>
      </c>
      <c r="P198" s="675">
        <f t="shared" si="34"/>
        <v>0</v>
      </c>
      <c r="Q198" s="686">
        <f t="shared" si="50"/>
        <v>0</v>
      </c>
      <c r="R198"/>
      <c r="S198"/>
      <c r="T198"/>
      <c r="Y198" s="3"/>
      <c r="Z198" s="3"/>
      <c r="AA198" s="3"/>
      <c r="AB198" s="3"/>
      <c r="AC198" s="3"/>
      <c r="AD198" s="3"/>
      <c r="AE198" s="592" t="s">
        <v>861</v>
      </c>
      <c r="AF198" s="738">
        <f>AX79-AF195</f>
        <v>0</v>
      </c>
      <c r="AG198" s="740" t="s">
        <v>862</v>
      </c>
      <c r="AH198" s="367"/>
      <c r="AI198" s="61"/>
      <c r="AJ198" s="3"/>
    </row>
    <row r="199" spans="1:37">
      <c r="A199" s="1">
        <v>29</v>
      </c>
      <c r="B199" s="43"/>
      <c r="C199" s="18">
        <f>Mineral!A14</f>
        <v>0</v>
      </c>
      <c r="D199" s="4">
        <f>IFERROR(VLOOKUP(C199,Mineral!$U$3:$AF$324,12,0),0)</f>
        <v>0</v>
      </c>
      <c r="E199" s="4">
        <f t="shared" si="36"/>
        <v>0</v>
      </c>
      <c r="F199" s="682">
        <f>IFERROR(VLOOKUP(C199,Mineral!$A$3:$L$27,4,0),0)</f>
        <v>0</v>
      </c>
      <c r="G199" s="683">
        <f>IFERROR(VLOOKUP(C199,Mineral!$A$3:$L$27,4,0)*VLOOKUP(C199,Mineral!$U$3:$AF$324,10,0),0)</f>
        <v>0</v>
      </c>
      <c r="H199" s="684">
        <f t="shared" si="51"/>
        <v>0</v>
      </c>
      <c r="I199" s="682">
        <f>IFERROR(VLOOKUP(C199,Mineral!$A$3:$L$27,5,0),0)</f>
        <v>0</v>
      </c>
      <c r="J199" s="685">
        <f>IFERROR(VLOOKUP(C199,Mineral!$A$3:$L$27,6,0),0)</f>
        <v>0</v>
      </c>
      <c r="K199" s="695" t="str">
        <f>Mineral!L14</f>
        <v/>
      </c>
      <c r="L199" s="4"/>
      <c r="M199" s="82" t="s">
        <v>857</v>
      </c>
      <c r="N199" s="36">
        <f t="shared" si="32"/>
        <v>0</v>
      </c>
      <c r="O199" s="23">
        <f t="shared" si="33"/>
        <v>0</v>
      </c>
      <c r="P199" s="675">
        <f t="shared" si="34"/>
        <v>0</v>
      </c>
      <c r="Q199" s="686">
        <f t="shared" si="50"/>
        <v>0</v>
      </c>
      <c r="R199"/>
      <c r="S199"/>
      <c r="T199"/>
      <c r="AE199" s="592" t="s">
        <v>863</v>
      </c>
      <c r="AF199" s="732">
        <f>AF195+CA22</f>
        <v>0</v>
      </c>
      <c r="AG199" s="732">
        <f>AG195+CI22</f>
        <v>0</v>
      </c>
      <c r="AH199" s="732">
        <f>AH195+CN22</f>
        <v>0</v>
      </c>
      <c r="AI199" s="61"/>
      <c r="AJ199" s="3"/>
    </row>
    <row r="200" spans="1:37" ht="15.75" thickBot="1">
      <c r="A200" s="1">
        <v>30</v>
      </c>
      <c r="B200" s="43"/>
      <c r="C200" s="18">
        <f>Mineral!A15</f>
        <v>0</v>
      </c>
      <c r="D200" s="4">
        <f>IFERROR(VLOOKUP(C200,Mineral!$U$3:$AF$324,12,0),0)</f>
        <v>0</v>
      </c>
      <c r="E200" s="4">
        <f t="shared" si="36"/>
        <v>0</v>
      </c>
      <c r="F200" s="682">
        <f>IFERROR(VLOOKUP(C200,Mineral!$A$3:$L$27,4,0),0)</f>
        <v>0</v>
      </c>
      <c r="G200" s="683">
        <f>IFERROR(VLOOKUP(C200,Mineral!$A$3:$L$27,4,0)*VLOOKUP(C200,Mineral!$U$3:$AF$324,10,0),0)</f>
        <v>0</v>
      </c>
      <c r="H200" s="684">
        <f t="shared" si="51"/>
        <v>0</v>
      </c>
      <c r="I200" s="682">
        <f>IFERROR(VLOOKUP(C200,Mineral!$A$3:$L$27,5,0),0)</f>
        <v>0</v>
      </c>
      <c r="J200" s="685">
        <f>IFERROR(VLOOKUP(C200,Mineral!$A$3:$L$27,6,0),0)</f>
        <v>0</v>
      </c>
      <c r="K200" s="695" t="str">
        <f>Mineral!L15</f>
        <v/>
      </c>
      <c r="L200" s="4"/>
      <c r="M200" s="82" t="s">
        <v>857</v>
      </c>
      <c r="N200" s="36">
        <f t="shared" si="32"/>
        <v>0</v>
      </c>
      <c r="O200" s="23">
        <f t="shared" si="33"/>
        <v>0</v>
      </c>
      <c r="P200" s="675">
        <f t="shared" si="34"/>
        <v>0</v>
      </c>
      <c r="Q200" s="686">
        <f t="shared" si="50"/>
        <v>0</v>
      </c>
      <c r="R200"/>
      <c r="S200"/>
      <c r="T200"/>
      <c r="AE200" s="741">
        <f>IF(AF199=AX78,1,0)</f>
        <v>1</v>
      </c>
      <c r="AF200" s="742">
        <f>AX78-AF199</f>
        <v>0</v>
      </c>
      <c r="AI200" s="61"/>
      <c r="AJ200" s="3"/>
    </row>
    <row r="201" spans="1:37">
      <c r="A201" s="1">
        <v>31</v>
      </c>
      <c r="B201" s="43"/>
      <c r="C201" s="18">
        <f>Mineral!A16</f>
        <v>0</v>
      </c>
      <c r="D201" s="4">
        <f>IFERROR(VLOOKUP(C201,Mineral!$U$3:$AF$324,12,0),0)</f>
        <v>0</v>
      </c>
      <c r="E201" s="4">
        <f t="shared" si="36"/>
        <v>0</v>
      </c>
      <c r="F201" s="682">
        <f>IFERROR(VLOOKUP(C201,Mineral!$A$3:$L$27,4,0),0)</f>
        <v>0</v>
      </c>
      <c r="G201" s="683">
        <f>IFERROR(VLOOKUP(C201,Mineral!$A$3:$L$27,4,0)*VLOOKUP(C201,Mineral!$U$3:$AF$324,10,0),0)</f>
        <v>0</v>
      </c>
      <c r="H201" s="684">
        <f t="shared" si="51"/>
        <v>0</v>
      </c>
      <c r="I201" s="682">
        <f>IFERROR(VLOOKUP(C201,Mineral!$A$3:$L$27,5,0),0)</f>
        <v>0</v>
      </c>
      <c r="J201" s="685">
        <f>IFERROR(VLOOKUP(C201,Mineral!$A$3:$L$27,6,0),0)</f>
        <v>0</v>
      </c>
      <c r="K201" s="695" t="str">
        <f>Mineral!L16</f>
        <v/>
      </c>
      <c r="L201" s="4"/>
      <c r="M201" s="82" t="s">
        <v>857</v>
      </c>
      <c r="N201" s="36">
        <f t="shared" si="32"/>
        <v>0</v>
      </c>
      <c r="O201" s="23">
        <f t="shared" si="33"/>
        <v>0</v>
      </c>
      <c r="P201" s="675">
        <f t="shared" si="34"/>
        <v>0</v>
      </c>
      <c r="Q201" s="686">
        <f t="shared" si="50"/>
        <v>0</v>
      </c>
      <c r="R201"/>
      <c r="S201"/>
      <c r="T201"/>
      <c r="AE201" s="743" t="s">
        <v>638</v>
      </c>
      <c r="AI201" s="61"/>
      <c r="AJ201" s="3"/>
    </row>
    <row r="202" spans="1:37">
      <c r="A202" s="1">
        <v>32</v>
      </c>
      <c r="B202" s="43"/>
      <c r="C202" s="18">
        <f>Mineral!A17</f>
        <v>0</v>
      </c>
      <c r="D202" s="4">
        <f>IFERROR(VLOOKUP(C202,Mineral!$U$3:$AF$324,12,0),0)</f>
        <v>0</v>
      </c>
      <c r="E202" s="4">
        <f t="shared" si="36"/>
        <v>0</v>
      </c>
      <c r="F202" s="682">
        <f>IFERROR(VLOOKUP(C202,Mineral!$A$3:$L$27,4,0),0)</f>
        <v>0</v>
      </c>
      <c r="G202" s="683">
        <f>IFERROR(VLOOKUP(C202,Mineral!$A$3:$L$27,4,0)*VLOOKUP(C202,Mineral!$U$3:$AF$324,10,0),0)</f>
        <v>0</v>
      </c>
      <c r="H202" s="684">
        <f t="shared" si="51"/>
        <v>0</v>
      </c>
      <c r="I202" s="682">
        <f>IFERROR(VLOOKUP(C202,Mineral!$A$3:$L$27,5,0),0)</f>
        <v>0</v>
      </c>
      <c r="J202" s="685">
        <f>IFERROR(VLOOKUP(C202,Mineral!$A$3:$L$27,6,0),0)</f>
        <v>0</v>
      </c>
      <c r="K202" s="695" t="str">
        <f>Mineral!L17</f>
        <v/>
      </c>
      <c r="L202" s="4"/>
      <c r="M202" s="82" t="s">
        <v>857</v>
      </c>
      <c r="N202" s="36">
        <f t="shared" si="32"/>
        <v>0</v>
      </c>
      <c r="O202" s="23">
        <f t="shared" si="33"/>
        <v>0</v>
      </c>
      <c r="P202" s="675">
        <f t="shared" si="34"/>
        <v>0</v>
      </c>
      <c r="Q202" s="686">
        <f t="shared" si="50"/>
        <v>0</v>
      </c>
      <c r="R202"/>
      <c r="S202"/>
      <c r="T202"/>
      <c r="AI202" s="61"/>
      <c r="AJ202" s="3"/>
    </row>
    <row r="203" spans="1:37">
      <c r="A203" s="1">
        <v>46</v>
      </c>
      <c r="B203" s="43"/>
      <c r="C203" s="18" t="str">
        <f>Mineral!A18</f>
        <v>eigener Dünger 1</v>
      </c>
      <c r="D203" s="4">
        <f>IFERROR(VLOOKUP(C203,Mineral!$A$18:$L$27,3,0),0)</f>
        <v>0</v>
      </c>
      <c r="E203" s="4">
        <f t="shared" ref="E203:E212" si="52">D203</f>
        <v>0</v>
      </c>
      <c r="F203" s="682">
        <f>Mineral!D18</f>
        <v>0</v>
      </c>
      <c r="G203" s="683">
        <f>IFERROR(F203*VLOOKUP($C203,Mineral!$A$18:$R$27,12,0),0)</f>
        <v>0</v>
      </c>
      <c r="H203" s="684">
        <f>IFERROR(G203*VLOOKUP(C203,Mineral!$A$18:$R$27,12,0),0)</f>
        <v>0</v>
      </c>
      <c r="I203" s="682">
        <f>IFERROR(VLOOKUP(C203,Mineral!$A$3:$L$27,5,0),0)</f>
        <v>0</v>
      </c>
      <c r="J203" s="685">
        <f>IFERROR(VLOOKUP(C203,Mineral!$A$3:$L$27,6,0),0)</f>
        <v>0</v>
      </c>
      <c r="K203" s="695" t="str">
        <f>Mineral!L18</f>
        <v/>
      </c>
      <c r="L203" s="4"/>
      <c r="M203" s="82" t="s">
        <v>857</v>
      </c>
      <c r="N203" s="36">
        <f t="shared" si="32"/>
        <v>0</v>
      </c>
      <c r="O203" s="23">
        <f t="shared" si="33"/>
        <v>0</v>
      </c>
      <c r="P203" s="675">
        <f t="shared" si="34"/>
        <v>0</v>
      </c>
      <c r="Q203" s="686" t="e">
        <f t="shared" si="50"/>
        <v>#N/A</v>
      </c>
      <c r="R203"/>
      <c r="S203"/>
      <c r="T203"/>
      <c r="AI203" s="61"/>
      <c r="AJ203" s="3"/>
    </row>
    <row r="204" spans="1:37">
      <c r="A204" s="1">
        <v>47</v>
      </c>
      <c r="B204" s="43"/>
      <c r="C204" s="18" t="str">
        <f>Mineral!A19</f>
        <v>eigener Dünger 2</v>
      </c>
      <c r="D204" s="4">
        <f>IFERROR(VLOOKUP(C204,Mineral!$A$18:$L$27,3,0),0)</f>
        <v>0</v>
      </c>
      <c r="E204" s="4">
        <f t="shared" si="52"/>
        <v>0</v>
      </c>
      <c r="F204" s="682">
        <f>Mineral!D19</f>
        <v>0</v>
      </c>
      <c r="G204" s="683">
        <f>IFERROR(F204*VLOOKUP($C204,Mineral!$A$18:$R$27,12,0),0)</f>
        <v>0</v>
      </c>
      <c r="H204" s="684">
        <f>IFERROR(G204*VLOOKUP(C204,Mineral!$A$18:$R$27,12,0),0)</f>
        <v>0</v>
      </c>
      <c r="I204" s="682">
        <f>IFERROR(VLOOKUP(C204,Mineral!$A$3:$L$27,5,0),0)</f>
        <v>0</v>
      </c>
      <c r="J204" s="685">
        <f>IFERROR(VLOOKUP(C204,Mineral!$A$3:$L$27,6,0),0)</f>
        <v>0</v>
      </c>
      <c r="K204" s="695" t="str">
        <f>Mineral!L19</f>
        <v/>
      </c>
      <c r="L204" s="4"/>
      <c r="M204" s="82" t="s">
        <v>857</v>
      </c>
      <c r="N204" s="36">
        <f t="shared" si="32"/>
        <v>0</v>
      </c>
      <c r="O204" s="23">
        <f t="shared" si="33"/>
        <v>0</v>
      </c>
      <c r="P204" s="675">
        <f t="shared" si="34"/>
        <v>0</v>
      </c>
      <c r="Q204" s="686" t="e">
        <f>VLOOKUP(C204,$T$174:$AI$181,16,FALSE)</f>
        <v>#N/A</v>
      </c>
      <c r="R204"/>
      <c r="S204"/>
      <c r="T204"/>
      <c r="AI204" s="61"/>
      <c r="AJ204" s="3"/>
    </row>
    <row r="205" spans="1:37">
      <c r="A205" s="1">
        <v>48</v>
      </c>
      <c r="B205" s="43"/>
      <c r="C205" s="18" t="str">
        <f>Mineral!A20</f>
        <v>eigener Dünger 3</v>
      </c>
      <c r="D205" s="4">
        <f>IFERROR(VLOOKUP(C205,Mineral!$A$18:$L$27,3,0),0)</f>
        <v>0</v>
      </c>
      <c r="E205" s="4">
        <f t="shared" si="52"/>
        <v>0</v>
      </c>
      <c r="F205" s="682">
        <f>Mineral!D20</f>
        <v>0</v>
      </c>
      <c r="G205" s="683">
        <f>IFERROR(F205*VLOOKUP($C205,Mineral!$A$18:$R$27,12,0),0)</f>
        <v>0</v>
      </c>
      <c r="H205" s="684">
        <f>IFERROR(G205*VLOOKUP(C205,Mineral!$A$18:$R$27,12,0),0)</f>
        <v>0</v>
      </c>
      <c r="I205" s="682">
        <f>IFERROR(VLOOKUP(C205,Mineral!$A$3:$L$27,5,0),0)</f>
        <v>0</v>
      </c>
      <c r="J205" s="685">
        <f>IFERROR(VLOOKUP(C205,Mineral!$A$3:$L$27,6,0),0)</f>
        <v>0</v>
      </c>
      <c r="K205" s="695" t="str">
        <f>Mineral!L20</f>
        <v/>
      </c>
      <c r="L205" s="4"/>
      <c r="M205" s="82" t="s">
        <v>857</v>
      </c>
      <c r="N205" s="36">
        <f t="shared" si="32"/>
        <v>0</v>
      </c>
      <c r="O205" s="23">
        <f t="shared" si="33"/>
        <v>0</v>
      </c>
      <c r="P205" s="675">
        <f t="shared" si="34"/>
        <v>0</v>
      </c>
      <c r="Q205" s="686" t="e">
        <f t="shared" si="50"/>
        <v>#N/A</v>
      </c>
      <c r="R205"/>
      <c r="S205"/>
      <c r="T205"/>
      <c r="AI205" s="61"/>
      <c r="AJ205" s="3"/>
    </row>
    <row r="206" spans="1:37">
      <c r="A206" s="1">
        <v>49</v>
      </c>
      <c r="B206" s="43"/>
      <c r="C206" s="18" t="str">
        <f>Mineral!A21</f>
        <v>eigener Dünger 4</v>
      </c>
      <c r="D206" s="4">
        <f>IFERROR(VLOOKUP(C206,Mineral!$A$18:$L$27,3,0),0)</f>
        <v>0</v>
      </c>
      <c r="E206" s="4">
        <f t="shared" si="52"/>
        <v>0</v>
      </c>
      <c r="F206" s="682">
        <f>Mineral!D21</f>
        <v>0</v>
      </c>
      <c r="G206" s="683">
        <f>IFERROR(F206*VLOOKUP($C206,Mineral!$A$18:$R$27,12,0),0)</f>
        <v>0</v>
      </c>
      <c r="H206" s="684">
        <f>IFERROR(G206*VLOOKUP(C206,Mineral!$A$18:$R$27,12,0),0)</f>
        <v>0</v>
      </c>
      <c r="I206" s="682">
        <f>IFERROR(VLOOKUP(C206,Mineral!$A$3:$L$27,5,0),0)</f>
        <v>0</v>
      </c>
      <c r="J206" s="685">
        <f>IFERROR(VLOOKUP(C206,Mineral!$A$3:$L$27,6,0),0)</f>
        <v>0</v>
      </c>
      <c r="K206" s="695" t="str">
        <f>Mineral!L21</f>
        <v/>
      </c>
      <c r="L206" s="4"/>
      <c r="M206" s="82" t="s">
        <v>857</v>
      </c>
      <c r="N206" s="36">
        <f t="shared" si="32"/>
        <v>0</v>
      </c>
      <c r="O206" s="23">
        <f t="shared" si="33"/>
        <v>0</v>
      </c>
      <c r="P206" s="675">
        <f t="shared" si="34"/>
        <v>0</v>
      </c>
      <c r="Q206" s="686" t="e">
        <f t="shared" si="50"/>
        <v>#N/A</v>
      </c>
      <c r="R206"/>
      <c r="S206"/>
      <c r="T206"/>
      <c r="AI206" s="61"/>
      <c r="AJ206" s="3"/>
    </row>
    <row r="207" spans="1:37">
      <c r="A207" s="1">
        <v>50</v>
      </c>
      <c r="B207" s="43"/>
      <c r="C207" s="18" t="str">
        <f>Mineral!A22</f>
        <v>eigener Dünger 5</v>
      </c>
      <c r="D207" s="4">
        <f>IFERROR(VLOOKUP(C207,Mineral!$A$18:$L$27,3,0),0)</f>
        <v>0</v>
      </c>
      <c r="E207" s="4">
        <f t="shared" si="52"/>
        <v>0</v>
      </c>
      <c r="F207" s="682">
        <f>Mineral!D22</f>
        <v>0</v>
      </c>
      <c r="G207" s="683">
        <f>IFERROR(F207*VLOOKUP($C207,Mineral!$A$18:$R$27,12,0),0)</f>
        <v>0</v>
      </c>
      <c r="H207" s="684">
        <f>IFERROR(G207*VLOOKUP(C207,Mineral!$A$18:$R$27,12,0),0)</f>
        <v>0</v>
      </c>
      <c r="I207" s="682">
        <f>IFERROR(VLOOKUP(C207,Mineral!$A$3:$L$27,5,0),0)</f>
        <v>0</v>
      </c>
      <c r="J207" s="685">
        <f>IFERROR(VLOOKUP(C207,Mineral!$A$3:$L$27,6,0),0)</f>
        <v>0</v>
      </c>
      <c r="K207" s="695" t="str">
        <f>Mineral!L22</f>
        <v/>
      </c>
      <c r="L207" s="4"/>
      <c r="M207" s="82" t="s">
        <v>857</v>
      </c>
      <c r="N207" s="36">
        <f t="shared" si="32"/>
        <v>0</v>
      </c>
      <c r="O207" s="23">
        <f t="shared" si="33"/>
        <v>0</v>
      </c>
      <c r="P207" s="675">
        <f t="shared" si="34"/>
        <v>0</v>
      </c>
      <c r="Q207" s="686" t="e">
        <f t="shared" si="50"/>
        <v>#N/A</v>
      </c>
      <c r="R207"/>
      <c r="S207"/>
      <c r="T207"/>
      <c r="AI207" s="61"/>
      <c r="AJ207" s="3"/>
    </row>
    <row r="208" spans="1:37">
      <c r="A208" s="1">
        <v>51</v>
      </c>
      <c r="B208" s="43"/>
      <c r="C208" s="18" t="str">
        <f>Mineral!A23</f>
        <v>eigener Dünger 6</v>
      </c>
      <c r="D208" s="4">
        <f>IFERROR(VLOOKUP(C208,Mineral!$A$18:$L$27,3,0),0)</f>
        <v>0</v>
      </c>
      <c r="E208" s="4">
        <f t="shared" si="52"/>
        <v>0</v>
      </c>
      <c r="F208" s="682">
        <f>Mineral!D23</f>
        <v>0</v>
      </c>
      <c r="G208" s="683">
        <f>IFERROR(F208*VLOOKUP($C208,Mineral!$A$18:$R$27,12,0),0)</f>
        <v>0</v>
      </c>
      <c r="H208" s="684">
        <f>IFERROR(G208*VLOOKUP(C208,Mineral!$A$18:$R$27,12,0),0)</f>
        <v>0</v>
      </c>
      <c r="I208" s="682">
        <f>IFERROR(VLOOKUP(C208,Mineral!$A$3:$L$27,5,0),0)</f>
        <v>0</v>
      </c>
      <c r="J208" s="685">
        <f>IFERROR(VLOOKUP(C208,Mineral!$A$3:$L$27,6,0),0)</f>
        <v>0</v>
      </c>
      <c r="K208" s="695" t="str">
        <f>Mineral!L23</f>
        <v/>
      </c>
      <c r="L208" s="4"/>
      <c r="M208" s="82" t="s">
        <v>857</v>
      </c>
      <c r="N208" s="36">
        <f t="shared" si="32"/>
        <v>0</v>
      </c>
      <c r="O208" s="23">
        <f t="shared" si="33"/>
        <v>0</v>
      </c>
      <c r="P208" s="675">
        <f t="shared" si="34"/>
        <v>0</v>
      </c>
      <c r="Q208" s="686" t="e">
        <f t="shared" si="50"/>
        <v>#N/A</v>
      </c>
      <c r="R208"/>
      <c r="S208"/>
      <c r="T208"/>
      <c r="AI208" s="61"/>
      <c r="AJ208" s="3"/>
    </row>
    <row r="209" spans="1:36">
      <c r="A209" s="1">
        <v>52</v>
      </c>
      <c r="B209" s="43"/>
      <c r="C209" s="18" t="str">
        <f>Mineral!A24</f>
        <v>eigener Dünger 7</v>
      </c>
      <c r="D209" s="4">
        <f>IFERROR(VLOOKUP(C209,Mineral!$A$18:$L$27,3,0),0)</f>
        <v>0</v>
      </c>
      <c r="E209" s="4">
        <f t="shared" si="52"/>
        <v>0</v>
      </c>
      <c r="F209" s="682">
        <f>Mineral!D24</f>
        <v>0</v>
      </c>
      <c r="G209" s="683">
        <f>IFERROR(F209*VLOOKUP($C209,Mineral!$A$18:$R$27,12,0),0)</f>
        <v>0</v>
      </c>
      <c r="H209" s="684">
        <f>IFERROR(G209*VLOOKUP(C209,Mineral!$A$18:$R$27,12,0),0)</f>
        <v>0</v>
      </c>
      <c r="I209" s="682">
        <f>IFERROR(VLOOKUP(C209,Mineral!$A$3:$L$27,5,0),0)</f>
        <v>0</v>
      </c>
      <c r="J209" s="685">
        <f>IFERROR(VLOOKUP(C209,Mineral!$A$3:$L$27,6,0),0)</f>
        <v>0</v>
      </c>
      <c r="K209" s="695" t="str">
        <f>Mineral!L24</f>
        <v/>
      </c>
      <c r="L209" s="4"/>
      <c r="M209" s="82" t="s">
        <v>857</v>
      </c>
      <c r="N209" s="36">
        <f t="shared" si="32"/>
        <v>0</v>
      </c>
      <c r="O209" s="23">
        <f t="shared" si="33"/>
        <v>0</v>
      </c>
      <c r="P209" s="675">
        <f t="shared" si="34"/>
        <v>0</v>
      </c>
      <c r="Q209" s="686" t="e">
        <f t="shared" si="50"/>
        <v>#N/A</v>
      </c>
      <c r="R209"/>
      <c r="S209"/>
      <c r="T209"/>
      <c r="AI209" s="61"/>
      <c r="AJ209" s="3"/>
    </row>
    <row r="210" spans="1:36">
      <c r="A210" s="1">
        <v>53</v>
      </c>
      <c r="B210" s="43"/>
      <c r="C210" s="18" t="str">
        <f>Mineral!A25</f>
        <v>eigener Dünger 8</v>
      </c>
      <c r="D210" s="4">
        <f>IFERROR(VLOOKUP(C210,Mineral!$A$18:$L$27,3,0),0)</f>
        <v>0</v>
      </c>
      <c r="E210" s="4">
        <f t="shared" si="52"/>
        <v>0</v>
      </c>
      <c r="F210" s="682">
        <f>Mineral!D25</f>
        <v>0</v>
      </c>
      <c r="G210" s="683">
        <f>IFERROR(F210*VLOOKUP($C210,Mineral!$A$18:$R$27,12,0),0)</f>
        <v>0</v>
      </c>
      <c r="H210" s="684">
        <f>IFERROR(G210*VLOOKUP(C210,Mineral!$A$18:$R$27,12,0),0)</f>
        <v>0</v>
      </c>
      <c r="I210" s="682">
        <f>IFERROR(VLOOKUP(C210,Mineral!$A$3:$L$27,5,0),0)</f>
        <v>0</v>
      </c>
      <c r="J210" s="685">
        <f>IFERROR(VLOOKUP(C210,Mineral!$A$3:$L$27,6,0),0)</f>
        <v>0</v>
      </c>
      <c r="K210" s="695" t="str">
        <f>Mineral!L25</f>
        <v/>
      </c>
      <c r="L210" s="4"/>
      <c r="M210" s="82" t="s">
        <v>857</v>
      </c>
      <c r="N210" s="36">
        <f t="shared" si="32"/>
        <v>0</v>
      </c>
      <c r="O210" s="23">
        <f t="shared" si="33"/>
        <v>0</v>
      </c>
      <c r="P210" s="675">
        <f t="shared" si="34"/>
        <v>0</v>
      </c>
      <c r="Q210" s="686" t="e">
        <f t="shared" si="50"/>
        <v>#N/A</v>
      </c>
      <c r="R210"/>
      <c r="AJ210" s="3"/>
    </row>
    <row r="211" spans="1:36" ht="15" customHeight="1">
      <c r="A211" s="1">
        <v>54</v>
      </c>
      <c r="B211" s="43"/>
      <c r="C211" s="18" t="str">
        <f>Mineral!A26</f>
        <v>eigener Dünger 9</v>
      </c>
      <c r="D211" s="4">
        <f>IFERROR(VLOOKUP(C211,Mineral!$A$18:$L$27,3,0),0)</f>
        <v>0</v>
      </c>
      <c r="E211" s="4">
        <f t="shared" si="52"/>
        <v>0</v>
      </c>
      <c r="F211" s="682">
        <f>Mineral!D26</f>
        <v>0</v>
      </c>
      <c r="G211" s="683">
        <f>IFERROR(F211*VLOOKUP($C211,Mineral!$A$18:$R$27,12,0),0)</f>
        <v>0</v>
      </c>
      <c r="H211" s="684">
        <f>IFERROR(G211*VLOOKUP(C211,Mineral!$A$18:$R$27,12,0),0)</f>
        <v>0</v>
      </c>
      <c r="I211" s="682">
        <f>IFERROR(VLOOKUP(C211,Mineral!$A$3:$L$27,5,0),0)</f>
        <v>0</v>
      </c>
      <c r="J211" s="685">
        <f>IFERROR(VLOOKUP(C211,Mineral!$A$3:$L$27,6,0),0)</f>
        <v>0</v>
      </c>
      <c r="K211" s="695" t="str">
        <f>Mineral!L26</f>
        <v/>
      </c>
      <c r="L211" s="4"/>
      <c r="M211" s="82" t="s">
        <v>857</v>
      </c>
      <c r="N211" s="36">
        <f t="shared" si="32"/>
        <v>0</v>
      </c>
      <c r="O211" s="23">
        <f t="shared" si="33"/>
        <v>0</v>
      </c>
      <c r="P211" s="675">
        <f t="shared" si="34"/>
        <v>0</v>
      </c>
      <c r="Q211" s="686" t="e">
        <f t="shared" si="50"/>
        <v>#N/A</v>
      </c>
      <c r="R211"/>
      <c r="AJ211" s="3"/>
    </row>
    <row r="212" spans="1:36">
      <c r="A212" s="1">
        <v>55</v>
      </c>
      <c r="B212" s="43"/>
      <c r="C212" s="18" t="str">
        <f>Mineral!A27</f>
        <v>eigener Dünger 10</v>
      </c>
      <c r="D212" s="4">
        <f>IFERROR(VLOOKUP(C212,Mineral!$A$18:$L$27,3,0),0)</f>
        <v>0</v>
      </c>
      <c r="E212" s="4">
        <f t="shared" si="52"/>
        <v>0</v>
      </c>
      <c r="F212" s="682">
        <f>Mineral!D27</f>
        <v>0</v>
      </c>
      <c r="G212" s="683">
        <f>IFERROR(F212*VLOOKUP($C212,Mineral!$A$18:$R$27,12,0),0)</f>
        <v>0</v>
      </c>
      <c r="H212" s="684">
        <f>IFERROR(G212*VLOOKUP(C212,Mineral!$A$18:$R$27,12,0),0)</f>
        <v>0</v>
      </c>
      <c r="I212" s="682">
        <f>IFERROR(VLOOKUP(C212,Mineral!$A$3:$L$27,5,0),0)</f>
        <v>0</v>
      </c>
      <c r="J212" s="685">
        <f>IFERROR(VLOOKUP(C212,Mineral!$A$3:$L$27,6,0),0)</f>
        <v>0</v>
      </c>
      <c r="K212" s="695" t="str">
        <f>Mineral!L27</f>
        <v/>
      </c>
      <c r="L212" s="4"/>
      <c r="M212" s="82" t="s">
        <v>857</v>
      </c>
      <c r="N212" s="36">
        <f t="shared" si="32"/>
        <v>0</v>
      </c>
      <c r="O212" s="23">
        <f t="shared" si="33"/>
        <v>0</v>
      </c>
      <c r="P212" s="675">
        <f t="shared" si="34"/>
        <v>0</v>
      </c>
      <c r="Q212" s="686" t="e">
        <f t="shared" si="50"/>
        <v>#N/A</v>
      </c>
      <c r="R212"/>
      <c r="AJ212" s="3"/>
    </row>
    <row r="213" spans="1:36" ht="15.75" thickBot="1">
      <c r="A213" s="1">
        <v>64</v>
      </c>
      <c r="B213" s="43"/>
      <c r="C213" s="18"/>
      <c r="D213" s="45"/>
      <c r="E213" s="45"/>
      <c r="F213" s="696" t="s">
        <v>668</v>
      </c>
      <c r="G213" s="697" t="s">
        <v>668</v>
      </c>
      <c r="H213" s="698" t="s">
        <v>864</v>
      </c>
      <c r="I213" s="699" t="s">
        <v>612</v>
      </c>
      <c r="J213" s="700" t="s">
        <v>613</v>
      </c>
      <c r="K213" s="701" t="s">
        <v>865</v>
      </c>
      <c r="L213" s="4"/>
      <c r="M213" s="82"/>
      <c r="N213" s="702"/>
      <c r="O213" s="703"/>
      <c r="P213" s="704"/>
      <c r="R213"/>
      <c r="AJ213" s="3"/>
    </row>
    <row r="214" spans="1:36" ht="13.5" thickBot="1">
      <c r="M214" s="3" t="s">
        <v>866</v>
      </c>
      <c r="N214" s="705">
        <f>SUM(N168:N213)</f>
        <v>0</v>
      </c>
      <c r="O214" s="69">
        <f>SUM(O168:O213)</f>
        <v>0</v>
      </c>
      <c r="P214" s="72">
        <f>SUM(P168:P213)</f>
        <v>0</v>
      </c>
      <c r="R214"/>
      <c r="AJ214" s="3"/>
    </row>
    <row r="215" spans="1:36">
      <c r="R215"/>
      <c r="S215"/>
      <c r="T215"/>
      <c r="AI215" s="61"/>
      <c r="AJ215" s="3"/>
    </row>
    <row r="216" spans="1:36">
      <c r="R216"/>
      <c r="S216"/>
      <c r="T216"/>
      <c r="AI216" s="61"/>
      <c r="AJ216" s="3"/>
    </row>
    <row r="217" spans="1:36">
      <c r="R217"/>
      <c r="S217"/>
      <c r="T217"/>
      <c r="AI217" s="61"/>
      <c r="AJ217" s="3"/>
    </row>
    <row r="218" spans="1:36">
      <c r="R218"/>
      <c r="S218"/>
      <c r="T218"/>
      <c r="AI218" s="61"/>
      <c r="AJ218" s="3"/>
    </row>
    <row r="219" spans="1:36">
      <c r="R219"/>
      <c r="S219"/>
      <c r="T219"/>
      <c r="AI219" s="61"/>
      <c r="AJ219" s="3"/>
    </row>
    <row r="220" spans="1:36">
      <c r="R220"/>
      <c r="S220"/>
      <c r="T220"/>
      <c r="AI220" s="61"/>
      <c r="AJ220" s="3"/>
    </row>
    <row r="221" spans="1:36">
      <c r="R221"/>
      <c r="S221"/>
      <c r="T221"/>
      <c r="AI221" s="61"/>
      <c r="AJ221" s="3"/>
    </row>
    <row r="222" spans="1:36">
      <c r="R222"/>
      <c r="S222"/>
      <c r="T222"/>
      <c r="AI222" s="61"/>
      <c r="AJ222" s="3"/>
    </row>
    <row r="223" spans="1:36">
      <c r="AI223" s="61"/>
      <c r="AJ223" s="3"/>
    </row>
    <row r="224" spans="1:36">
      <c r="AI224" s="61"/>
      <c r="AJ224" s="3"/>
    </row>
    <row r="225" spans="35:36">
      <c r="AI225" s="61"/>
      <c r="AJ225" s="3"/>
    </row>
    <row r="226" spans="35:36">
      <c r="AI226" s="61"/>
      <c r="AJ226" s="3"/>
    </row>
  </sheetData>
  <sheetProtection password="CAEF" sheet="1" formatCells="0" formatColumns="0" formatRows="0" insertColumns="0" insertRows="0"/>
  <mergeCells count="25">
    <mergeCell ref="Q183:R185"/>
    <mergeCell ref="AY3:BA3"/>
    <mergeCell ref="BC3:BC4"/>
    <mergeCell ref="BD3:BH3"/>
    <mergeCell ref="AY35:BA37"/>
    <mergeCell ref="DC3:DC4"/>
    <mergeCell ref="AJ4:AK4"/>
    <mergeCell ref="CB3:CF3"/>
    <mergeCell ref="CH3:CL3"/>
    <mergeCell ref="CM3:CQ3"/>
    <mergeCell ref="BR3:BR4"/>
    <mergeCell ref="BS3:BS4"/>
    <mergeCell ref="BT3:BU3"/>
    <mergeCell ref="AS3:AW3"/>
    <mergeCell ref="CR3:CV3"/>
    <mergeCell ref="CW3:DA3"/>
    <mergeCell ref="BJ3:BN3"/>
    <mergeCell ref="BP3:BP4"/>
    <mergeCell ref="BQ3:BQ4"/>
    <mergeCell ref="BV3:BZ3"/>
    <mergeCell ref="D2:H2"/>
    <mergeCell ref="I2:K2"/>
    <mergeCell ref="AJ2:AJ3"/>
    <mergeCell ref="AK2:AK3"/>
    <mergeCell ref="AR3:AR4"/>
  </mergeCells>
  <phoneticPr fontId="41" type="noConversion"/>
  <printOptions headings="1"/>
  <pageMargins left="0.31527777777777777" right="0.27569444444444446" top="0.39374999999999999" bottom="0.39374999999999999" header="0.51180555555555551" footer="0.51180555555555551"/>
  <pageSetup paperSize="9" firstPageNumber="0" orientation="landscape" horizontalDpi="300" verticalDpi="300" r:id="rId1"/>
  <headerFooter alignWithMargins="0"/>
  <rowBreaks count="1" manualBreakCount="1">
    <brk id="39" max="16383" man="1"/>
  </rowBreaks>
  <colBreaks count="3" manualBreakCount="3">
    <brk id="19" max="1048575" man="1"/>
    <brk id="41" max="1048575" man="1"/>
    <brk id="5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9" tint="0.39997558519241921"/>
    <pageSetUpPr fitToPage="1"/>
  </sheetPr>
  <dimension ref="B1:AA128"/>
  <sheetViews>
    <sheetView showZeros="0" zoomScale="75" zoomScaleNormal="75" workbookViewId="0">
      <selection activeCell="W132" sqref="W132"/>
    </sheetView>
  </sheetViews>
  <sheetFormatPr baseColWidth="10" defaultColWidth="12.28515625" defaultRowHeight="12.75"/>
  <cols>
    <col min="1" max="1" width="2.85546875" customWidth="1"/>
    <col min="2" max="2" width="22.42578125" customWidth="1"/>
    <col min="3" max="3" width="12.5703125" customWidth="1"/>
    <col min="4" max="6" width="11.42578125" customWidth="1"/>
    <col min="7" max="7" width="15.7109375" customWidth="1"/>
    <col min="8" max="8" width="12" customWidth="1"/>
    <col min="9" max="9" width="11.7109375" customWidth="1"/>
    <col min="10" max="10" width="10.42578125" customWidth="1"/>
    <col min="11" max="11" width="9.7109375" customWidth="1"/>
    <col min="12" max="13" width="9.85546875" customWidth="1"/>
    <col min="14" max="14" width="20.85546875" customWidth="1"/>
    <col min="15" max="15" width="4" customWidth="1"/>
    <col min="16" max="16" width="18.85546875" customWidth="1"/>
    <col min="17" max="17" width="6.7109375" customWidth="1"/>
    <col min="19" max="19" width="15.85546875" customWidth="1"/>
    <col min="20" max="20" width="10.85546875" customWidth="1"/>
    <col min="22" max="22" width="14.7109375" customWidth="1"/>
    <col min="23" max="23" width="13.7109375" customWidth="1"/>
    <col min="25" max="27" width="0" hidden="1" customWidth="1"/>
  </cols>
  <sheetData>
    <row r="1" spans="2:27" ht="28.5" customHeight="1">
      <c r="B1" s="1132" t="s">
        <v>953</v>
      </c>
      <c r="C1" s="1133"/>
      <c r="D1" s="1133"/>
      <c r="E1" s="1133"/>
      <c r="F1" s="1134"/>
      <c r="G1" s="1135"/>
      <c r="H1" s="1135"/>
      <c r="I1" s="1135"/>
      <c r="J1" s="1135"/>
      <c r="K1" s="1135"/>
      <c r="L1" s="2740" t="s">
        <v>891</v>
      </c>
      <c r="M1" s="2740"/>
      <c r="N1" s="2200" t="s">
        <v>867</v>
      </c>
      <c r="Y1" s="176"/>
      <c r="Z1" s="176"/>
      <c r="AA1" s="176"/>
    </row>
    <row r="2" spans="2:27" ht="23.25" customHeight="1">
      <c r="B2" s="1393" t="s">
        <v>954</v>
      </c>
      <c r="C2" s="1394"/>
      <c r="D2" s="1394"/>
      <c r="E2" s="1394"/>
      <c r="F2" s="1394"/>
      <c r="G2" s="1394"/>
      <c r="H2" s="1394"/>
      <c r="I2" s="1394" t="s">
        <v>560</v>
      </c>
      <c r="J2" s="1394"/>
      <c r="K2" s="1394"/>
      <c r="L2" s="1394"/>
      <c r="M2" s="1394"/>
      <c r="N2" s="1395" t="s">
        <v>955</v>
      </c>
      <c r="R2" s="1111" t="s">
        <v>956</v>
      </c>
      <c r="S2" s="1112"/>
      <c r="T2" s="1112"/>
      <c r="U2" s="1112"/>
      <c r="V2" s="1113" t="s">
        <v>957</v>
      </c>
      <c r="W2" s="1112"/>
      <c r="Y2" s="176"/>
      <c r="Z2" s="176"/>
      <c r="AA2" s="176"/>
    </row>
    <row r="3" spans="2:27" ht="35.25" customHeight="1">
      <c r="B3" s="1396" t="s">
        <v>374</v>
      </c>
      <c r="C3" s="1397" t="s">
        <v>656</v>
      </c>
      <c r="D3" s="1397" t="s">
        <v>958</v>
      </c>
      <c r="E3" s="1397" t="s">
        <v>525</v>
      </c>
      <c r="F3" s="1397" t="s">
        <v>526</v>
      </c>
      <c r="G3" s="1301" t="s">
        <v>959</v>
      </c>
      <c r="H3" s="1397" t="s">
        <v>527</v>
      </c>
      <c r="I3" s="1397" t="s">
        <v>656</v>
      </c>
      <c r="J3" s="1397" t="s">
        <v>960</v>
      </c>
      <c r="K3" s="1397" t="s">
        <v>961</v>
      </c>
      <c r="L3" s="1397" t="s">
        <v>471</v>
      </c>
      <c r="M3" s="1397" t="s">
        <v>528</v>
      </c>
      <c r="N3" s="1274" t="s">
        <v>962</v>
      </c>
      <c r="R3" s="395" t="s">
        <v>963</v>
      </c>
      <c r="Y3" s="176"/>
      <c r="Z3" s="176"/>
      <c r="AA3" s="176"/>
    </row>
    <row r="4" spans="2:27" ht="29.25" customHeight="1">
      <c r="B4" s="1136" t="s">
        <v>1053</v>
      </c>
      <c r="C4" s="1137"/>
      <c r="D4" s="1138"/>
      <c r="E4" s="1138"/>
      <c r="F4" s="1138"/>
      <c r="G4" s="1139"/>
      <c r="H4" s="1140"/>
      <c r="I4" s="1141">
        <f>C4</f>
        <v>0</v>
      </c>
      <c r="J4" s="1142">
        <f t="shared" ref="J4:L7" si="0">$C4*D4</f>
        <v>0</v>
      </c>
      <c r="K4" s="1142">
        <f t="shared" si="0"/>
        <v>0</v>
      </c>
      <c r="L4" s="1142">
        <f t="shared" si="0"/>
        <v>0</v>
      </c>
      <c r="M4" s="1143">
        <f>IF(D4=0,0,H4/D4)</f>
        <v>0</v>
      </c>
      <c r="N4" s="1406" t="str">
        <f>IF(L58&gt;0,P58,IF(L59&gt;0,P59,IF(L60&gt;0,P60,IF(L61&gt;0,P61,IF(L62&gt;0,P62,"")))))</f>
        <v/>
      </c>
      <c r="R4" s="395" t="s">
        <v>964</v>
      </c>
      <c r="Y4" s="176"/>
      <c r="Z4" s="176"/>
      <c r="AA4" s="176"/>
    </row>
    <row r="5" spans="2:27" ht="29.25" customHeight="1">
      <c r="B5" s="1136" t="s">
        <v>399</v>
      </c>
      <c r="C5" s="1137"/>
      <c r="D5" s="1138"/>
      <c r="E5" s="1138"/>
      <c r="F5" s="1138"/>
      <c r="G5" s="1139"/>
      <c r="H5" s="1140"/>
      <c r="I5" s="1141">
        <f>C5</f>
        <v>0</v>
      </c>
      <c r="J5" s="1142">
        <f t="shared" si="0"/>
        <v>0</v>
      </c>
      <c r="K5" s="1142">
        <f t="shared" si="0"/>
        <v>0</v>
      </c>
      <c r="L5" s="1142">
        <f t="shared" si="0"/>
        <v>0</v>
      </c>
      <c r="M5" s="1143">
        <f>IF(D5=0,0,H5/D5)</f>
        <v>0</v>
      </c>
      <c r="N5" s="1406" t="str">
        <f>IF(L64&gt;0,P64,IF(L65&gt;0,P65,IF(L66&gt;0,P66,IF(L67&gt;0,P67,IF(L68&gt;0,P68,"")))))</f>
        <v/>
      </c>
      <c r="R5" s="395" t="s">
        <v>965</v>
      </c>
      <c r="Y5" s="176"/>
      <c r="Z5" s="176"/>
      <c r="AA5" s="176"/>
    </row>
    <row r="6" spans="2:27" ht="23.25" customHeight="1">
      <c r="B6" s="1136" t="s">
        <v>399</v>
      </c>
      <c r="C6" s="1137"/>
      <c r="D6" s="1138"/>
      <c r="E6" s="1138"/>
      <c r="F6" s="1138"/>
      <c r="G6" s="1139"/>
      <c r="H6" s="1140"/>
      <c r="I6" s="1141">
        <f>C6</f>
        <v>0</v>
      </c>
      <c r="J6" s="1142">
        <f t="shared" si="0"/>
        <v>0</v>
      </c>
      <c r="K6" s="1142">
        <f t="shared" si="0"/>
        <v>0</v>
      </c>
      <c r="L6" s="1142">
        <f t="shared" si="0"/>
        <v>0</v>
      </c>
      <c r="M6" s="1143">
        <f>IF(D6=0,0,H6/D6)</f>
        <v>0</v>
      </c>
      <c r="N6" s="1406" t="str">
        <f>IF(L70&gt;0,P70,IF(L71&gt;0,P71,IF(L72&gt;0,P72,IF(L73&gt;0,P73,IF(L74&gt;0,P74,"")))))</f>
        <v/>
      </c>
      <c r="R6" s="431" t="s">
        <v>966</v>
      </c>
      <c r="Y6" s="176"/>
      <c r="Z6" s="176"/>
      <c r="AA6" s="176"/>
    </row>
    <row r="7" spans="2:27" ht="23.25" customHeight="1">
      <c r="B7" s="1136" t="s">
        <v>399</v>
      </c>
      <c r="C7" s="1137"/>
      <c r="D7" s="1138"/>
      <c r="E7" s="1138"/>
      <c r="F7" s="1138"/>
      <c r="G7" s="1139"/>
      <c r="H7" s="1140"/>
      <c r="I7" s="1141">
        <f>C7</f>
        <v>0</v>
      </c>
      <c r="J7" s="1142">
        <f t="shared" si="0"/>
        <v>0</v>
      </c>
      <c r="K7" s="1144">
        <f t="shared" si="0"/>
        <v>0</v>
      </c>
      <c r="L7" s="1142">
        <f t="shared" si="0"/>
        <v>0</v>
      </c>
      <c r="M7" s="1143">
        <f>IF(D7=0,0,H7/D7)</f>
        <v>0</v>
      </c>
      <c r="N7" s="1406" t="str">
        <f>IF(L76&gt;0,P76,IF(L77&gt;0,P77,IF(L78&gt;0,P78,IF(L79&gt;0,P79,IF(L80&gt;0,P80,"")))))</f>
        <v/>
      </c>
      <c r="R7" s="922" t="s">
        <v>967</v>
      </c>
      <c r="S7" s="922" t="s">
        <v>968</v>
      </c>
      <c r="T7" s="922" t="s">
        <v>969</v>
      </c>
      <c r="U7" s="922" t="s">
        <v>970</v>
      </c>
      <c r="V7" s="922" t="s">
        <v>971</v>
      </c>
      <c r="W7" s="922" t="s">
        <v>972</v>
      </c>
      <c r="Y7" s="176"/>
      <c r="Z7" s="176"/>
      <c r="AA7" s="176"/>
    </row>
    <row r="8" spans="2:27" ht="23.25" customHeight="1">
      <c r="B8" s="1398" t="s">
        <v>973</v>
      </c>
      <c r="C8" s="1394"/>
      <c r="D8" s="1394"/>
      <c r="E8" s="1394"/>
      <c r="F8" s="1394"/>
      <c r="G8" s="1394"/>
      <c r="H8" s="1394"/>
      <c r="I8" s="1394" t="s">
        <v>560</v>
      </c>
      <c r="J8" s="1394"/>
      <c r="K8" s="1394"/>
      <c r="L8" s="1399"/>
      <c r="M8" s="1399"/>
      <c r="N8" s="1400"/>
      <c r="R8" s="957"/>
      <c r="S8" s="958"/>
      <c r="T8" s="961">
        <f>R8*S8/10000</f>
        <v>0</v>
      </c>
      <c r="U8" s="959">
        <f>S8/100*R8*10</f>
        <v>0</v>
      </c>
      <c r="V8" s="957"/>
      <c r="W8" s="959">
        <f>U8*V8</f>
        <v>0</v>
      </c>
      <c r="Y8" s="176"/>
      <c r="Z8" s="176"/>
      <c r="AA8" s="176"/>
    </row>
    <row r="9" spans="2:27" ht="22.5" customHeight="1">
      <c r="B9" s="1145" t="s">
        <v>378</v>
      </c>
      <c r="C9" s="1137"/>
      <c r="D9" s="1138"/>
      <c r="E9" s="1138"/>
      <c r="F9" s="1138"/>
      <c r="G9" s="1139"/>
      <c r="H9" s="1140"/>
      <c r="I9" s="1141">
        <f>C9</f>
        <v>0</v>
      </c>
      <c r="J9" s="1142">
        <f t="shared" ref="J9:L11" si="1">$C9*D9</f>
        <v>0</v>
      </c>
      <c r="K9" s="1142">
        <f t="shared" si="1"/>
        <v>0</v>
      </c>
      <c r="L9" s="1142">
        <f t="shared" si="1"/>
        <v>0</v>
      </c>
      <c r="M9" s="1143">
        <f>IF(D9=0,0,H9/D9)</f>
        <v>0</v>
      </c>
      <c r="N9" s="1406" t="str">
        <f>IF(L82&gt;0,P82,IF(L83&gt;0,P83,IF(L84&gt;0,P84,"")))</f>
        <v/>
      </c>
      <c r="R9" s="467" t="s">
        <v>974</v>
      </c>
      <c r="S9" s="1"/>
      <c r="T9" s="1"/>
      <c r="U9" s="1"/>
      <c r="V9" s="1"/>
      <c r="W9" s="1"/>
      <c r="Y9" s="176"/>
      <c r="Z9" s="176"/>
      <c r="AA9" s="176"/>
    </row>
    <row r="10" spans="2:27" ht="22.5" customHeight="1">
      <c r="B10" s="1136" t="s">
        <v>376</v>
      </c>
      <c r="C10" s="1137"/>
      <c r="D10" s="1138"/>
      <c r="E10" s="1138"/>
      <c r="F10" s="1138"/>
      <c r="G10" s="1139"/>
      <c r="H10" s="1140"/>
      <c r="I10" s="1141">
        <f>C10</f>
        <v>0</v>
      </c>
      <c r="J10" s="1142">
        <f t="shared" si="1"/>
        <v>0</v>
      </c>
      <c r="K10" s="1142">
        <f t="shared" si="1"/>
        <v>0</v>
      </c>
      <c r="L10" s="1142">
        <f t="shared" si="1"/>
        <v>0</v>
      </c>
      <c r="M10" s="1143">
        <f>IF(D10=0,0,H10/D10)</f>
        <v>0</v>
      </c>
      <c r="N10" s="1406" t="str">
        <f>IF(L86&gt;0,P86,IF(L87&gt;0,P87,IF(L88&gt;0,P88,"")))</f>
        <v/>
      </c>
      <c r="R10" s="954" t="s">
        <v>967</v>
      </c>
      <c r="S10" s="954" t="s">
        <v>968</v>
      </c>
      <c r="T10" s="954" t="s">
        <v>969</v>
      </c>
      <c r="U10" s="954" t="s">
        <v>970</v>
      </c>
      <c r="V10" s="954" t="s">
        <v>975</v>
      </c>
      <c r="W10" s="954" t="s">
        <v>972</v>
      </c>
      <c r="Y10" s="176"/>
      <c r="Z10" s="176"/>
      <c r="AA10" s="176"/>
    </row>
    <row r="11" spans="2:27" ht="22.5" customHeight="1">
      <c r="B11" s="1136" t="s">
        <v>376</v>
      </c>
      <c r="C11" s="1137"/>
      <c r="D11" s="1138"/>
      <c r="E11" s="1138"/>
      <c r="F11" s="1138"/>
      <c r="G11" s="1139"/>
      <c r="H11" s="1140"/>
      <c r="I11" s="1141">
        <f>C11</f>
        <v>0</v>
      </c>
      <c r="J11" s="1142">
        <f t="shared" si="1"/>
        <v>0</v>
      </c>
      <c r="K11" s="1142">
        <f t="shared" si="1"/>
        <v>0</v>
      </c>
      <c r="L11" s="1142">
        <f t="shared" si="1"/>
        <v>0</v>
      </c>
      <c r="M11" s="1143">
        <f>IF(D11=0,0,H11/D11)</f>
        <v>0</v>
      </c>
      <c r="N11" s="1406" t="str">
        <f>IF(L90&gt;0,P90,IF(L91&gt;0,P91,IF(L92&gt;0,P92,"")))</f>
        <v/>
      </c>
      <c r="R11" s="960"/>
      <c r="S11" s="955"/>
      <c r="T11" s="961">
        <f>R11*S11</f>
        <v>0</v>
      </c>
      <c r="U11" s="959">
        <f>S11*R11*1000</f>
        <v>0</v>
      </c>
      <c r="V11" s="957"/>
      <c r="W11" s="959">
        <f>U11*V11</f>
        <v>0</v>
      </c>
      <c r="Y11" s="176"/>
      <c r="Z11" s="176"/>
      <c r="AA11" s="176"/>
    </row>
    <row r="12" spans="2:27" ht="23.25" customHeight="1">
      <c r="B12" s="1398" t="s">
        <v>976</v>
      </c>
      <c r="C12" s="1394"/>
      <c r="D12" s="1394" t="s">
        <v>977</v>
      </c>
      <c r="E12" s="1394"/>
      <c r="F12" s="1394"/>
      <c r="G12" s="1394"/>
      <c r="H12" s="1394"/>
      <c r="I12" s="1394" t="s">
        <v>560</v>
      </c>
      <c r="J12" s="1401"/>
      <c r="K12" s="1401"/>
      <c r="L12" s="1401"/>
      <c r="M12" s="1401"/>
      <c r="N12" s="1400"/>
      <c r="R12" s="467" t="s">
        <v>978</v>
      </c>
      <c r="S12" s="1"/>
      <c r="T12" s="1"/>
      <c r="U12" s="1"/>
      <c r="V12" s="1"/>
      <c r="W12" s="1"/>
      <c r="Y12" s="176"/>
      <c r="Z12" s="176"/>
      <c r="AA12" s="176"/>
    </row>
    <row r="13" spans="2:27" ht="25.7" customHeight="1">
      <c r="B13" s="1145" t="s">
        <v>377</v>
      </c>
      <c r="C13" s="1137"/>
      <c r="D13" s="1138"/>
      <c r="E13" s="1138"/>
      <c r="F13" s="1138"/>
      <c r="G13" s="1139"/>
      <c r="H13" s="1140"/>
      <c r="I13" s="1141">
        <f>C13</f>
        <v>0</v>
      </c>
      <c r="J13" s="1142">
        <f t="shared" ref="J13:L15" si="2">$C13*D13</f>
        <v>0</v>
      </c>
      <c r="K13" s="1142">
        <f t="shared" si="2"/>
        <v>0</v>
      </c>
      <c r="L13" s="1142">
        <f t="shared" si="2"/>
        <v>0</v>
      </c>
      <c r="M13" s="1143">
        <f>IF(D13=0,0,H13/D13)</f>
        <v>0</v>
      </c>
      <c r="N13" s="1406" t="str">
        <f>IF(L94&gt;0,P94,IF(L95&gt;0,P95,IF(L96&gt;0,P96,IF(L97&gt;0,P97,IF(L98&gt;0,P98,IF(L99&gt;0,P99,IF(L100&gt;0,P100,IF(L101&gt;0,P101,""))))))))</f>
        <v/>
      </c>
      <c r="R13" s="954"/>
      <c r="S13" s="2741" t="s">
        <v>979</v>
      </c>
      <c r="T13" s="2741"/>
      <c r="U13" s="954" t="s">
        <v>970</v>
      </c>
      <c r="V13" s="954" t="s">
        <v>975</v>
      </c>
      <c r="W13" s="954" t="s">
        <v>972</v>
      </c>
      <c r="Y13" s="176"/>
      <c r="Z13" s="176"/>
      <c r="AA13" s="176"/>
    </row>
    <row r="14" spans="2:27" ht="25.7" customHeight="1">
      <c r="B14" s="1145" t="s">
        <v>377</v>
      </c>
      <c r="C14" s="1137"/>
      <c r="D14" s="1138"/>
      <c r="E14" s="1138"/>
      <c r="F14" s="1138"/>
      <c r="G14" s="1139"/>
      <c r="H14" s="1140"/>
      <c r="I14" s="1141">
        <f>C14</f>
        <v>0</v>
      </c>
      <c r="J14" s="1142">
        <f t="shared" si="2"/>
        <v>0</v>
      </c>
      <c r="K14" s="1142">
        <f t="shared" si="2"/>
        <v>0</v>
      </c>
      <c r="L14" s="1142">
        <f t="shared" si="2"/>
        <v>0</v>
      </c>
      <c r="M14" s="1143">
        <f>IF(D14=0,0,H14/D14)</f>
        <v>0</v>
      </c>
      <c r="N14" s="1406" t="str">
        <f>IF(L103&gt;0,P103,IF(L104&gt;0,P104,IF(L105&gt;0,P105,IF(L106&gt;0,P106,IF(L107&gt;0,P107,IF(L108&gt;0,P108,IF(L109&gt;0,P109,IF(L110&gt;0,P110,""))))))))</f>
        <v/>
      </c>
      <c r="R14" s="954" t="s">
        <v>980</v>
      </c>
      <c r="S14" s="2742"/>
      <c r="T14" s="2742"/>
      <c r="U14" s="956">
        <f>S14*1000</f>
        <v>0</v>
      </c>
      <c r="V14" s="957"/>
      <c r="W14" s="956">
        <f>U14*V14</f>
        <v>0</v>
      </c>
      <c r="Y14" s="176"/>
      <c r="Z14" s="176"/>
      <c r="AA14" s="176"/>
    </row>
    <row r="15" spans="2:27" ht="25.7" customHeight="1">
      <c r="B15" s="1136" t="s">
        <v>379</v>
      </c>
      <c r="C15" s="1137"/>
      <c r="D15" s="1138"/>
      <c r="E15" s="1138"/>
      <c r="F15" s="1138"/>
      <c r="G15" s="1139"/>
      <c r="H15" s="1140"/>
      <c r="I15" s="1141">
        <f>C15</f>
        <v>0</v>
      </c>
      <c r="J15" s="1142">
        <f t="shared" si="2"/>
        <v>0</v>
      </c>
      <c r="K15" s="1142">
        <f t="shared" si="2"/>
        <v>0</v>
      </c>
      <c r="L15" s="1142">
        <f t="shared" si="2"/>
        <v>0</v>
      </c>
      <c r="M15" s="1143">
        <f>IF(D15=0,0,H15/D15)</f>
        <v>0</v>
      </c>
      <c r="N15" s="1406" t="str">
        <f>IF(L112&gt;0,P112,IF(L113&gt;0,P113,IF(L114&gt;0,P114,IF(L115&gt;0,P115,IF(L116&gt;0,P116,IF(L117&gt;0,P117,IF(L118&gt;0,P118,IF(L119&gt;0,P119,""))))))))</f>
        <v/>
      </c>
      <c r="R15" s="954" t="s">
        <v>981</v>
      </c>
      <c r="S15" s="2743"/>
      <c r="T15" s="2743"/>
      <c r="U15" s="959">
        <f>S15</f>
        <v>0</v>
      </c>
      <c r="V15" s="957"/>
      <c r="W15" s="956">
        <f>U15*V15</f>
        <v>0</v>
      </c>
      <c r="Y15" s="176"/>
      <c r="Z15" s="176"/>
      <c r="AA15" s="176"/>
    </row>
    <row r="16" spans="2:27" ht="20.25" customHeight="1">
      <c r="B16" s="1398" t="s">
        <v>982</v>
      </c>
      <c r="C16" s="1394"/>
      <c r="D16" s="1394"/>
      <c r="E16" s="1394"/>
      <c r="F16" s="1394"/>
      <c r="G16" s="1399"/>
      <c r="H16" s="1399"/>
      <c r="I16" s="1394" t="s">
        <v>560</v>
      </c>
      <c r="J16" s="1399"/>
      <c r="K16" s="1401"/>
      <c r="L16" s="1401"/>
      <c r="M16" s="1401"/>
      <c r="N16" s="1402"/>
      <c r="R16" s="431" t="s">
        <v>381</v>
      </c>
      <c r="Y16" s="176"/>
      <c r="Z16" s="176"/>
      <c r="AA16" s="176"/>
    </row>
    <row r="17" spans="2:27" ht="34.5" customHeight="1">
      <c r="B17" s="1403" t="s">
        <v>375</v>
      </c>
      <c r="C17" s="1404" t="s">
        <v>983</v>
      </c>
      <c r="D17" s="1404" t="s">
        <v>984</v>
      </c>
      <c r="E17" s="1404" t="s">
        <v>529</v>
      </c>
      <c r="F17" s="1404" t="s">
        <v>530</v>
      </c>
      <c r="G17" s="2735" t="s">
        <v>531</v>
      </c>
      <c r="H17" s="2736"/>
      <c r="I17" s="1405" t="s">
        <v>656</v>
      </c>
      <c r="J17" s="1405" t="s">
        <v>960</v>
      </c>
      <c r="K17" s="1405" t="s">
        <v>961</v>
      </c>
      <c r="L17" s="1405" t="s">
        <v>471</v>
      </c>
      <c r="M17" s="2677" t="s">
        <v>962</v>
      </c>
      <c r="N17" s="2677"/>
      <c r="R17" s="946"/>
      <c r="S17" s="946"/>
      <c r="T17" s="946"/>
      <c r="U17" s="946"/>
      <c r="V17" s="947" t="s">
        <v>985</v>
      </c>
      <c r="W17" s="947" t="s">
        <v>986</v>
      </c>
      <c r="Y17" s="176"/>
      <c r="Z17" s="176"/>
      <c r="AA17" s="176"/>
    </row>
    <row r="18" spans="2:27" ht="34.5" customHeight="1">
      <c r="B18" s="1136" t="s">
        <v>377</v>
      </c>
      <c r="C18" s="1137"/>
      <c r="D18" s="1138"/>
      <c r="E18" s="1138"/>
      <c r="F18" s="1138"/>
      <c r="G18" s="2666" t="s">
        <v>987</v>
      </c>
      <c r="H18" s="2666"/>
      <c r="I18" s="1146">
        <f>C18</f>
        <v>0</v>
      </c>
      <c r="J18" s="945">
        <f t="shared" ref="J18:L21" si="3">$C18*D18</f>
        <v>0</v>
      </c>
      <c r="K18" s="945">
        <f t="shared" si="3"/>
        <v>0</v>
      </c>
      <c r="L18" s="945">
        <f t="shared" si="3"/>
        <v>0</v>
      </c>
      <c r="M18" s="2677" t="s">
        <v>532</v>
      </c>
      <c r="N18" s="2677"/>
      <c r="R18" s="948" t="s">
        <v>988</v>
      </c>
      <c r="S18" s="949"/>
      <c r="T18" s="949"/>
      <c r="U18" s="949"/>
      <c r="V18" s="950">
        <v>1</v>
      </c>
      <c r="W18" s="950">
        <v>1</v>
      </c>
      <c r="Y18" s="176"/>
      <c r="Z18" s="176"/>
      <c r="AA18" s="176"/>
    </row>
    <row r="19" spans="2:27" ht="34.5" customHeight="1">
      <c r="B19" s="1136" t="s">
        <v>377</v>
      </c>
      <c r="C19" s="1137"/>
      <c r="D19" s="1138"/>
      <c r="E19" s="1138"/>
      <c r="F19" s="1138"/>
      <c r="G19" s="2739" t="s">
        <v>989</v>
      </c>
      <c r="H19" s="2739"/>
      <c r="I19" s="1146">
        <f>C19</f>
        <v>0</v>
      </c>
      <c r="J19" s="945">
        <f t="shared" si="3"/>
        <v>0</v>
      </c>
      <c r="K19" s="945">
        <f t="shared" si="3"/>
        <v>0</v>
      </c>
      <c r="L19" s="945">
        <f t="shared" si="3"/>
        <v>0</v>
      </c>
      <c r="M19" s="2677" t="s">
        <v>533</v>
      </c>
      <c r="N19" s="2677"/>
      <c r="R19" s="948" t="s">
        <v>990</v>
      </c>
      <c r="S19" s="949"/>
      <c r="T19" s="949"/>
      <c r="U19" s="949"/>
      <c r="V19" s="950">
        <v>0.5</v>
      </c>
      <c r="W19" s="950">
        <v>2</v>
      </c>
      <c r="Y19" s="176"/>
      <c r="Z19" s="176"/>
      <c r="AA19" s="176"/>
    </row>
    <row r="20" spans="2:27" ht="34.5" customHeight="1">
      <c r="B20" s="1136" t="s">
        <v>377</v>
      </c>
      <c r="C20" s="1137"/>
      <c r="D20" s="1138"/>
      <c r="E20" s="1138"/>
      <c r="F20" s="1138"/>
      <c r="G20" s="2739"/>
      <c r="H20" s="2739"/>
      <c r="I20" s="1146">
        <f>C20</f>
        <v>0</v>
      </c>
      <c r="J20" s="945">
        <f t="shared" si="3"/>
        <v>0</v>
      </c>
      <c r="K20" s="945">
        <f t="shared" si="3"/>
        <v>0</v>
      </c>
      <c r="L20" s="945">
        <f t="shared" si="3"/>
        <v>0</v>
      </c>
      <c r="M20" s="2677"/>
      <c r="N20" s="2677"/>
      <c r="R20" s="948" t="s">
        <v>991</v>
      </c>
      <c r="S20" s="949"/>
      <c r="T20" s="949"/>
      <c r="U20" s="949"/>
      <c r="V20" s="950">
        <v>0.83</v>
      </c>
      <c r="W20" s="950">
        <v>1.2</v>
      </c>
      <c r="Y20" s="176"/>
      <c r="Z20" s="176"/>
      <c r="AA20" s="176"/>
    </row>
    <row r="21" spans="2:27" ht="33" customHeight="1">
      <c r="B21" s="1136" t="s">
        <v>377</v>
      </c>
      <c r="C21" s="1137"/>
      <c r="D21" s="1138"/>
      <c r="E21" s="1138"/>
      <c r="F21" s="1138"/>
      <c r="G21" s="2739" t="s">
        <v>992</v>
      </c>
      <c r="H21" s="2739"/>
      <c r="I21" s="1146">
        <f>C21</f>
        <v>0</v>
      </c>
      <c r="J21" s="945">
        <f t="shared" si="3"/>
        <v>0</v>
      </c>
      <c r="K21" s="945">
        <f t="shared" si="3"/>
        <v>0</v>
      </c>
      <c r="L21" s="945">
        <f t="shared" si="3"/>
        <v>0</v>
      </c>
      <c r="M21" s="2677" t="s">
        <v>993</v>
      </c>
      <c r="N21" s="2677"/>
      <c r="R21" s="948" t="s">
        <v>994</v>
      </c>
      <c r="S21" s="949"/>
      <c r="T21" s="949"/>
      <c r="U21" s="949"/>
      <c r="V21" s="950">
        <v>0.91</v>
      </c>
      <c r="W21" s="950">
        <v>1.1000000000000001</v>
      </c>
      <c r="Y21" s="176"/>
      <c r="Z21" s="176"/>
      <c r="AA21" s="176"/>
    </row>
    <row r="22" spans="2:27" ht="20.25" customHeight="1">
      <c r="B22" s="1407"/>
      <c r="C22" s="1407"/>
      <c r="D22" s="1407"/>
      <c r="E22" s="1407"/>
      <c r="F22" s="1407"/>
      <c r="G22" s="1407"/>
      <c r="H22" s="1407"/>
      <c r="I22" s="1408" t="s">
        <v>380</v>
      </c>
      <c r="J22" s="1409">
        <f>SUM(J4:J21)</f>
        <v>0</v>
      </c>
      <c r="K22" s="1409">
        <f>SUM(K4:K21)</f>
        <v>0</v>
      </c>
      <c r="L22" s="1409">
        <f>SUM(L4:L21)</f>
        <v>0</v>
      </c>
      <c r="M22" s="2733"/>
      <c r="N22" s="2733"/>
      <c r="R22" s="951" t="s">
        <v>995</v>
      </c>
      <c r="S22" s="952"/>
      <c r="T22" s="952"/>
      <c r="U22" s="952"/>
      <c r="V22" s="953">
        <v>0.5</v>
      </c>
      <c r="W22" s="953">
        <v>2</v>
      </c>
      <c r="Y22" s="176"/>
      <c r="Z22" s="176"/>
      <c r="AA22" s="176"/>
    </row>
    <row r="23" spans="2:27" ht="17.45" customHeight="1">
      <c r="R23" s="951" t="s">
        <v>996</v>
      </c>
      <c r="S23" s="952"/>
      <c r="T23" s="952"/>
      <c r="U23" s="952"/>
      <c r="V23" s="953">
        <v>0.5</v>
      </c>
      <c r="W23" s="953">
        <v>2</v>
      </c>
      <c r="Y23" s="176"/>
      <c r="Z23" s="176"/>
      <c r="AA23" s="176"/>
    </row>
    <row r="24" spans="2:27" ht="35.450000000000003" customHeight="1">
      <c r="B24" s="2744" t="s">
        <v>648</v>
      </c>
      <c r="C24" s="1302" t="s">
        <v>650</v>
      </c>
      <c r="D24" s="1252" t="s">
        <v>651</v>
      </c>
      <c r="E24" s="1302" t="s">
        <v>652</v>
      </c>
      <c r="F24" s="1302" t="s">
        <v>459</v>
      </c>
      <c r="G24" s="1302" t="s">
        <v>460</v>
      </c>
      <c r="H24" s="1302" t="s">
        <v>654</v>
      </c>
      <c r="I24" s="1302" t="s">
        <v>655</v>
      </c>
      <c r="J24" s="1302" t="s">
        <v>560</v>
      </c>
      <c r="R24" s="951" t="s">
        <v>997</v>
      </c>
      <c r="S24" s="952"/>
      <c r="T24" s="952"/>
      <c r="U24" s="952"/>
      <c r="V24" s="953">
        <v>0.7</v>
      </c>
      <c r="W24" s="953">
        <v>1.4</v>
      </c>
      <c r="Y24" s="176"/>
      <c r="Z24" s="176"/>
      <c r="AA24" s="176"/>
    </row>
    <row r="25" spans="2:27" ht="18" customHeight="1">
      <c r="B25" s="2744"/>
      <c r="C25" s="1410">
        <f>M59+M65+M71+M77+M82+M83+M86+M87+M90+M91+M98+M107+M116+J18</f>
        <v>0</v>
      </c>
      <c r="D25" s="1410">
        <f>M58+M61+M64+M67+M70+M73+M76+M79+M94+M100+M103+M109+M112+M118</f>
        <v>0</v>
      </c>
      <c r="E25" s="1410">
        <f>M60+M66+M72+M78+M99+M108+M117</f>
        <v>0</v>
      </c>
      <c r="F25" s="1410">
        <f>M62+M68+M74+M80+M101+M110+M119</f>
        <v>0</v>
      </c>
      <c r="G25" s="1410">
        <f>M84+M88+M92+M97+M106+M115+J19+J20</f>
        <v>0</v>
      </c>
      <c r="H25" s="1410">
        <f>M96+M105+M114</f>
        <v>0</v>
      </c>
      <c r="I25" s="1410">
        <f>M95+M104+M113+J21</f>
        <v>0</v>
      </c>
      <c r="J25" s="1410">
        <f>SUM(C25:I25)</f>
        <v>0</v>
      </c>
      <c r="R25" s="951" t="s">
        <v>998</v>
      </c>
      <c r="S25" s="952"/>
      <c r="T25" s="952"/>
      <c r="U25" s="952"/>
      <c r="V25" s="953">
        <v>0.8</v>
      </c>
      <c r="W25" s="953">
        <v>1.2</v>
      </c>
      <c r="Y25" s="176"/>
      <c r="Z25" s="176"/>
      <c r="AA25" s="176"/>
    </row>
    <row r="26" spans="2:27" ht="18" customHeight="1">
      <c r="B26" s="1411" t="s">
        <v>663</v>
      </c>
      <c r="C26" s="945">
        <f t="shared" ref="C26:I26" si="4">C126</f>
        <v>0</v>
      </c>
      <c r="D26" s="945">
        <f t="shared" si="4"/>
        <v>0</v>
      </c>
      <c r="E26" s="945">
        <f t="shared" si="4"/>
        <v>0</v>
      </c>
      <c r="F26" s="945">
        <f t="shared" si="4"/>
        <v>0</v>
      </c>
      <c r="G26" s="945">
        <f t="shared" si="4"/>
        <v>0</v>
      </c>
      <c r="H26" s="945">
        <f t="shared" si="4"/>
        <v>0</v>
      </c>
      <c r="I26" s="945">
        <f t="shared" si="4"/>
        <v>0</v>
      </c>
      <c r="J26" s="945">
        <f>SUM(C26:I26)</f>
        <v>0</v>
      </c>
      <c r="R26" s="951" t="s">
        <v>999</v>
      </c>
      <c r="S26" s="952"/>
      <c r="T26" s="952"/>
      <c r="U26" s="952"/>
      <c r="V26" s="953">
        <v>0.7</v>
      </c>
      <c r="W26" s="953">
        <v>1.4</v>
      </c>
      <c r="Y26" s="176"/>
      <c r="Z26" s="176"/>
      <c r="AA26" s="176"/>
    </row>
    <row r="27" spans="2:27" ht="18" customHeight="1">
      <c r="B27" s="1411" t="s">
        <v>673</v>
      </c>
      <c r="C27" s="945">
        <f t="shared" ref="C27:I27" si="5">C25-C26</f>
        <v>0</v>
      </c>
      <c r="D27" s="945">
        <f t="shared" si="5"/>
        <v>0</v>
      </c>
      <c r="E27" s="945">
        <f t="shared" si="5"/>
        <v>0</v>
      </c>
      <c r="F27" s="945">
        <f t="shared" si="5"/>
        <v>0</v>
      </c>
      <c r="G27" s="945">
        <f t="shared" si="5"/>
        <v>0</v>
      </c>
      <c r="H27" s="945">
        <f t="shared" si="5"/>
        <v>0</v>
      </c>
      <c r="I27" s="945">
        <f t="shared" si="5"/>
        <v>0</v>
      </c>
      <c r="J27" s="945">
        <f>SUM(C27:I27)</f>
        <v>0</v>
      </c>
      <c r="R27" t="s">
        <v>1000</v>
      </c>
      <c r="Y27" s="176"/>
      <c r="Z27" s="176"/>
      <c r="AA27" s="176"/>
    </row>
    <row r="28" spans="2:27">
      <c r="Y28" s="176"/>
      <c r="Z28" s="176"/>
      <c r="AA28" s="176"/>
    </row>
    <row r="29" spans="2:27" ht="30" customHeight="1">
      <c r="B29" s="448" t="s">
        <v>1001</v>
      </c>
      <c r="C29" s="449"/>
      <c r="D29" s="450"/>
      <c r="E29" s="2729" t="s">
        <v>1002</v>
      </c>
      <c r="F29" s="2729"/>
      <c r="G29" s="2729" t="s">
        <v>1003</v>
      </c>
      <c r="H29" s="2729"/>
      <c r="I29" s="2729" t="s">
        <v>1004</v>
      </c>
      <c r="J29" s="2729"/>
      <c r="K29" s="2737" t="s">
        <v>1005</v>
      </c>
      <c r="L29" s="2738"/>
      <c r="M29" s="2734" t="s">
        <v>1006</v>
      </c>
      <c r="N29" s="2734"/>
      <c r="P29" s="820" t="s">
        <v>431</v>
      </c>
      <c r="Q29" s="451"/>
      <c r="R29" s="820" t="s">
        <v>429</v>
      </c>
      <c r="S29" s="820" t="s">
        <v>430</v>
      </c>
      <c r="Y29" s="176"/>
      <c r="Z29" s="176"/>
      <c r="AA29" s="176"/>
    </row>
    <row r="30" spans="2:27" ht="18" customHeight="1">
      <c r="B30" s="248" t="s">
        <v>1007</v>
      </c>
      <c r="C30" s="449"/>
      <c r="D30" s="450"/>
      <c r="E30" s="452">
        <v>0.87</v>
      </c>
      <c r="F30" s="453"/>
      <c r="G30" s="452">
        <v>0.5</v>
      </c>
      <c r="H30" s="453"/>
      <c r="I30" s="452">
        <v>0.7</v>
      </c>
      <c r="J30" s="453"/>
      <c r="K30" s="2729" t="s">
        <v>1008</v>
      </c>
      <c r="L30" s="2730"/>
      <c r="M30" s="2734"/>
      <c r="N30" s="2734"/>
      <c r="P30" s="451"/>
      <c r="Q30" s="451"/>
      <c r="R30" s="451"/>
      <c r="S30" s="451"/>
      <c r="Y30" s="176"/>
      <c r="Z30" s="176"/>
      <c r="AA30" s="176"/>
    </row>
    <row r="31" spans="2:27" ht="18" customHeight="1">
      <c r="B31" s="455" t="s">
        <v>1009</v>
      </c>
      <c r="C31" s="449"/>
      <c r="D31" s="450"/>
      <c r="E31" s="452">
        <v>0.87</v>
      </c>
      <c r="F31" s="453"/>
      <c r="G31" s="452">
        <v>0.6</v>
      </c>
      <c r="H31" s="453"/>
      <c r="I31" s="452">
        <v>0.85</v>
      </c>
      <c r="J31" s="453"/>
      <c r="K31" s="2729" t="s">
        <v>1010</v>
      </c>
      <c r="L31" s="2730"/>
      <c r="M31" s="2734"/>
      <c r="N31" s="2734"/>
      <c r="P31" s="451"/>
      <c r="Q31" s="451"/>
      <c r="R31" s="451"/>
      <c r="S31" s="451"/>
      <c r="Y31" s="176"/>
      <c r="Z31" s="176"/>
      <c r="AA31" s="176"/>
    </row>
    <row r="32" spans="2:27" ht="18" customHeight="1">
      <c r="B32" s="455" t="s">
        <v>1011</v>
      </c>
      <c r="C32" s="449"/>
      <c r="D32" s="450"/>
      <c r="E32" s="452">
        <v>0.87</v>
      </c>
      <c r="F32" s="453"/>
      <c r="G32" s="452">
        <v>0.65</v>
      </c>
      <c r="H32" s="453"/>
      <c r="I32" s="452">
        <v>0.8</v>
      </c>
      <c r="J32" s="453"/>
      <c r="K32" s="2729" t="s">
        <v>1012</v>
      </c>
      <c r="L32" s="2730"/>
      <c r="M32" s="2734"/>
      <c r="N32" s="2734"/>
      <c r="P32" s="451"/>
      <c r="Q32" s="451"/>
      <c r="R32" s="451"/>
      <c r="S32" s="451"/>
      <c r="Y32" s="176"/>
      <c r="Z32" s="176"/>
      <c r="AA32" s="176"/>
    </row>
    <row r="33" spans="2:27" ht="18" customHeight="1">
      <c r="B33" s="248" t="s">
        <v>1013</v>
      </c>
      <c r="C33" s="449"/>
      <c r="D33" s="450"/>
      <c r="E33" s="452">
        <v>0.87</v>
      </c>
      <c r="F33" s="453"/>
      <c r="G33" s="452">
        <v>0.9</v>
      </c>
      <c r="H33" s="453"/>
      <c r="I33" s="452">
        <v>1</v>
      </c>
      <c r="J33" s="453"/>
      <c r="K33" s="2729" t="s">
        <v>1014</v>
      </c>
      <c r="L33" s="2730"/>
      <c r="M33" s="2734"/>
      <c r="N33" s="2734"/>
      <c r="P33" s="451"/>
      <c r="Q33" s="451"/>
      <c r="R33" s="451"/>
      <c r="S33" s="451"/>
      <c r="Y33" s="176"/>
      <c r="Z33" s="176"/>
      <c r="AA33" s="176"/>
    </row>
    <row r="34" spans="2:27" ht="18" customHeight="1">
      <c r="B34" s="248" t="s">
        <v>1015</v>
      </c>
      <c r="C34" s="449"/>
      <c r="D34" s="450"/>
      <c r="E34" s="452">
        <v>0.91</v>
      </c>
      <c r="F34" s="453"/>
      <c r="G34" s="452">
        <v>0.15</v>
      </c>
      <c r="H34" s="453"/>
      <c r="I34" s="452">
        <v>0.5</v>
      </c>
      <c r="J34" s="453"/>
      <c r="K34" s="2729" t="s">
        <v>1016</v>
      </c>
      <c r="L34" s="2730"/>
      <c r="M34" s="2734" t="s">
        <v>1017</v>
      </c>
      <c r="N34" s="2734"/>
      <c r="P34" s="451">
        <v>3</v>
      </c>
      <c r="Q34" s="451"/>
      <c r="R34" s="451">
        <v>9</v>
      </c>
      <c r="S34" s="451"/>
      <c r="Y34" s="176"/>
      <c r="Z34" s="176"/>
      <c r="AA34" s="176"/>
    </row>
    <row r="35" spans="2:27" ht="18" customHeight="1">
      <c r="B35" s="248" t="s">
        <v>1018</v>
      </c>
      <c r="C35" s="449"/>
      <c r="D35" s="450"/>
      <c r="E35" s="452">
        <v>0.91</v>
      </c>
      <c r="F35" s="453"/>
      <c r="G35" s="452">
        <v>0.15</v>
      </c>
      <c r="H35" s="453"/>
      <c r="I35" s="452">
        <v>0.5</v>
      </c>
      <c r="J35" s="453"/>
      <c r="K35" s="2729" t="s">
        <v>1016</v>
      </c>
      <c r="L35" s="2730"/>
      <c r="M35" s="2731" t="s">
        <v>1018</v>
      </c>
      <c r="N35" s="2732"/>
      <c r="P35" s="451" t="s">
        <v>1019</v>
      </c>
      <c r="Q35" s="451"/>
      <c r="R35" s="451">
        <v>13</v>
      </c>
      <c r="S35" s="451">
        <v>83</v>
      </c>
      <c r="Y35" s="176"/>
      <c r="Z35" s="176"/>
      <c r="AA35" s="176"/>
    </row>
    <row r="36" spans="2:27" ht="18" customHeight="1">
      <c r="B36" s="248" t="s">
        <v>1020</v>
      </c>
      <c r="C36" s="449"/>
      <c r="D36" s="450"/>
      <c r="E36" s="452">
        <v>0.91</v>
      </c>
      <c r="F36" s="453"/>
      <c r="G36" s="452">
        <v>0.15</v>
      </c>
      <c r="H36" s="453"/>
      <c r="I36" s="452">
        <v>0.5</v>
      </c>
      <c r="J36" s="453"/>
      <c r="K36" s="2729" t="s">
        <v>1016</v>
      </c>
      <c r="L36" s="2730"/>
      <c r="M36" s="2731"/>
      <c r="N36" s="2732"/>
      <c r="P36" s="451"/>
      <c r="Q36" s="451"/>
      <c r="R36" s="451"/>
      <c r="S36" s="451"/>
      <c r="Y36" s="176"/>
      <c r="Z36" s="176"/>
      <c r="AA36" s="176"/>
    </row>
    <row r="37" spans="2:27" ht="18" customHeight="1">
      <c r="B37" s="248" t="s">
        <v>1021</v>
      </c>
      <c r="C37" s="449"/>
      <c r="D37" s="450"/>
      <c r="E37" s="452">
        <v>0.87</v>
      </c>
      <c r="F37" s="453"/>
      <c r="G37" s="452">
        <v>0.5</v>
      </c>
      <c r="H37" s="453"/>
      <c r="I37" s="452">
        <v>0.7</v>
      </c>
      <c r="J37" s="453"/>
      <c r="K37" s="2729" t="s">
        <v>1008</v>
      </c>
      <c r="L37" s="2730"/>
      <c r="M37" s="2731"/>
      <c r="N37" s="2732"/>
      <c r="P37" s="451"/>
      <c r="Q37" s="451"/>
      <c r="R37" s="451"/>
      <c r="S37" s="451"/>
      <c r="Y37" s="176"/>
      <c r="Z37" s="176"/>
      <c r="AA37" s="176"/>
    </row>
    <row r="38" spans="2:27" ht="18" customHeight="1">
      <c r="B38" s="248" t="s">
        <v>1022</v>
      </c>
      <c r="C38" s="449"/>
      <c r="D38" s="450"/>
      <c r="E38" s="452">
        <v>0.91</v>
      </c>
      <c r="F38" s="453"/>
      <c r="G38" s="452">
        <v>0.15</v>
      </c>
      <c r="H38" s="453"/>
      <c r="I38" s="452">
        <v>0.5</v>
      </c>
      <c r="J38" s="453"/>
      <c r="K38" s="2729" t="s">
        <v>1016</v>
      </c>
      <c r="L38" s="2730"/>
      <c r="M38" s="2731"/>
      <c r="N38" s="2732"/>
      <c r="P38" s="451"/>
      <c r="Q38" s="451"/>
      <c r="R38" s="451"/>
      <c r="S38" s="451"/>
      <c r="Y38" s="176"/>
      <c r="Z38" s="176"/>
      <c r="AA38" s="176"/>
    </row>
    <row r="39" spans="2:27" ht="18" customHeight="1">
      <c r="B39" s="248" t="s">
        <v>1023</v>
      </c>
      <c r="C39" s="449"/>
      <c r="D39" s="450"/>
      <c r="E39" s="452">
        <v>0.91</v>
      </c>
      <c r="F39" s="453"/>
      <c r="G39" s="452">
        <v>0.01</v>
      </c>
      <c r="H39" s="453"/>
      <c r="I39" s="452">
        <v>0.1</v>
      </c>
      <c r="J39" s="453"/>
      <c r="K39" s="2729" t="s">
        <v>1024</v>
      </c>
      <c r="L39" s="2730"/>
      <c r="M39" s="2731"/>
      <c r="N39" s="2732"/>
      <c r="P39" s="451"/>
      <c r="Q39" s="451"/>
      <c r="R39" s="451"/>
      <c r="S39" s="451"/>
      <c r="Y39" s="176"/>
      <c r="Z39" s="176"/>
      <c r="AA39" s="176"/>
    </row>
    <row r="40" spans="2:27" ht="18" customHeight="1">
      <c r="B40" s="248" t="s">
        <v>655</v>
      </c>
      <c r="C40" s="449"/>
      <c r="D40" s="450"/>
      <c r="E40" s="452">
        <v>0.91</v>
      </c>
      <c r="F40" s="453"/>
      <c r="G40" s="452">
        <v>0.01</v>
      </c>
      <c r="H40" s="453"/>
      <c r="I40" s="452">
        <v>0.1</v>
      </c>
      <c r="J40" s="453"/>
      <c r="K40" s="2729" t="s">
        <v>1024</v>
      </c>
      <c r="L40" s="2730"/>
      <c r="M40" s="2731"/>
      <c r="N40" s="2732"/>
      <c r="P40" s="451"/>
      <c r="Q40" s="451"/>
      <c r="R40" s="451"/>
      <c r="S40" s="451"/>
      <c r="Y40" s="176"/>
      <c r="Z40" s="176"/>
      <c r="AA40" s="176"/>
    </row>
    <row r="41" spans="2:27" ht="18" customHeight="1">
      <c r="B41" s="248" t="s">
        <v>1025</v>
      </c>
      <c r="C41" s="449"/>
      <c r="D41" s="450"/>
      <c r="E41" s="452">
        <v>0.91</v>
      </c>
      <c r="F41" s="453"/>
      <c r="G41" s="452">
        <v>0.15</v>
      </c>
      <c r="H41" s="453"/>
      <c r="I41" s="452">
        <v>0.5</v>
      </c>
      <c r="J41" s="453"/>
      <c r="K41" s="2729" t="s">
        <v>1016</v>
      </c>
      <c r="L41" s="2730"/>
      <c r="M41" s="2731"/>
      <c r="N41" s="2732"/>
      <c r="P41" s="451"/>
      <c r="Q41" s="451"/>
      <c r="R41" s="451"/>
      <c r="S41" s="451"/>
      <c r="Y41" s="176"/>
      <c r="Z41" s="176"/>
      <c r="AA41" s="176"/>
    </row>
    <row r="42" spans="2:27" ht="18" customHeight="1">
      <c r="B42" s="248" t="s">
        <v>1026</v>
      </c>
      <c r="C42" s="449"/>
      <c r="D42" s="450"/>
      <c r="E42" s="452">
        <v>0.87</v>
      </c>
      <c r="F42" s="453"/>
      <c r="G42" s="452">
        <v>0.5</v>
      </c>
      <c r="H42" s="453"/>
      <c r="I42" s="452">
        <v>0.7</v>
      </c>
      <c r="J42" s="453"/>
      <c r="K42" s="2729" t="s">
        <v>1008</v>
      </c>
      <c r="L42" s="2730"/>
      <c r="M42" s="2731"/>
      <c r="N42" s="2732"/>
      <c r="P42" s="451"/>
      <c r="Q42" s="451"/>
      <c r="R42" s="451"/>
      <c r="S42" s="451"/>
      <c r="Y42" s="176"/>
      <c r="Z42" s="176"/>
      <c r="AA42" s="176"/>
    </row>
    <row r="43" spans="2:27" ht="18" customHeight="1">
      <c r="B43" s="248" t="s">
        <v>1027</v>
      </c>
      <c r="C43" s="449"/>
      <c r="D43" s="450"/>
      <c r="E43" s="452">
        <v>0.91</v>
      </c>
      <c r="F43" s="453"/>
      <c r="G43" s="452">
        <v>0.15</v>
      </c>
      <c r="H43" s="453"/>
      <c r="I43" s="452">
        <v>0.5</v>
      </c>
      <c r="J43" s="453"/>
      <c r="K43" s="2729" t="s">
        <v>1016</v>
      </c>
      <c r="L43" s="2730"/>
      <c r="M43" s="2731"/>
      <c r="N43" s="2732"/>
      <c r="P43" s="451"/>
      <c r="Q43" s="451"/>
      <c r="R43" s="451"/>
      <c r="S43" s="451"/>
      <c r="Y43" s="176"/>
      <c r="Z43" s="176"/>
      <c r="AA43" s="176"/>
    </row>
    <row r="44" spans="2:27" ht="18" customHeight="1">
      <c r="B44" s="248" t="s">
        <v>1028</v>
      </c>
      <c r="C44" s="449"/>
      <c r="D44" s="450"/>
      <c r="E44" s="452">
        <v>0.91</v>
      </c>
      <c r="F44" s="453"/>
      <c r="G44" s="452">
        <v>0.15</v>
      </c>
      <c r="H44" s="453"/>
      <c r="I44" s="452">
        <v>0.5</v>
      </c>
      <c r="J44" s="453"/>
      <c r="K44" s="2729" t="s">
        <v>1016</v>
      </c>
      <c r="L44" s="2730"/>
      <c r="M44" s="2731" t="s">
        <v>1028</v>
      </c>
      <c r="N44" s="2732"/>
      <c r="P44" s="451">
        <v>20</v>
      </c>
      <c r="Q44" s="451"/>
      <c r="R44" s="451"/>
      <c r="S44" s="451">
        <v>100</v>
      </c>
      <c r="Y44" s="176"/>
      <c r="Z44" s="176"/>
      <c r="AA44" s="176"/>
    </row>
    <row r="45" spans="2:27" ht="18" customHeight="1">
      <c r="B45" s="248" t="s">
        <v>1029</v>
      </c>
      <c r="C45" s="449"/>
      <c r="D45" s="450"/>
      <c r="E45" s="452">
        <v>0.91</v>
      </c>
      <c r="F45" s="453"/>
      <c r="G45" s="452">
        <v>0.15</v>
      </c>
      <c r="H45" s="453"/>
      <c r="I45" s="452">
        <v>0.5</v>
      </c>
      <c r="J45" s="453"/>
      <c r="K45" s="2729" t="s">
        <v>1016</v>
      </c>
      <c r="L45" s="2730"/>
      <c r="M45" s="2731" t="s">
        <v>1030</v>
      </c>
      <c r="N45" s="2732"/>
      <c r="P45" s="451">
        <v>2</v>
      </c>
      <c r="Q45" s="451"/>
      <c r="R45" s="451"/>
      <c r="S45" s="451">
        <v>2</v>
      </c>
      <c r="Y45" s="176"/>
      <c r="Z45" s="176"/>
      <c r="AA45" s="176"/>
    </row>
    <row r="46" spans="2:27" ht="18" customHeight="1">
      <c r="B46" s="248" t="s">
        <v>1031</v>
      </c>
      <c r="C46" s="449"/>
      <c r="D46" s="450"/>
      <c r="E46" s="452">
        <v>0.91</v>
      </c>
      <c r="F46" s="453"/>
      <c r="G46" s="452">
        <v>0.15</v>
      </c>
      <c r="H46" s="453"/>
      <c r="I46" s="452">
        <v>0.5</v>
      </c>
      <c r="J46" s="453"/>
      <c r="K46" s="2729" t="s">
        <v>1016</v>
      </c>
      <c r="L46" s="2730"/>
      <c r="M46" s="2731" t="s">
        <v>1032</v>
      </c>
      <c r="N46" s="2732"/>
      <c r="P46" s="451">
        <v>50</v>
      </c>
      <c r="Q46" s="451"/>
      <c r="R46" s="451">
        <v>20</v>
      </c>
      <c r="S46" s="451">
        <v>10</v>
      </c>
      <c r="Y46" s="176"/>
      <c r="Z46" s="176"/>
      <c r="AA46" s="176"/>
    </row>
    <row r="47" spans="2:27" ht="18" customHeight="1">
      <c r="B47" s="248" t="s">
        <v>1033</v>
      </c>
      <c r="C47" s="449"/>
      <c r="D47" s="450"/>
      <c r="E47" s="452">
        <v>0.87</v>
      </c>
      <c r="F47" s="453"/>
      <c r="G47" s="452">
        <v>0.9</v>
      </c>
      <c r="H47" s="453"/>
      <c r="I47" s="452">
        <v>1</v>
      </c>
      <c r="J47" s="453"/>
      <c r="K47" s="2729" t="s">
        <v>1014</v>
      </c>
      <c r="L47" s="2730"/>
      <c r="M47" s="2731"/>
      <c r="N47" s="2732"/>
      <c r="P47" s="451" t="s">
        <v>1034</v>
      </c>
      <c r="Q47" s="451"/>
      <c r="R47" s="451"/>
      <c r="S47" s="451"/>
      <c r="Y47" s="176"/>
      <c r="Z47" s="176"/>
      <c r="AA47" s="176"/>
    </row>
    <row r="48" spans="2:27" ht="18" customHeight="1">
      <c r="B48" s="248" t="s">
        <v>1035</v>
      </c>
      <c r="C48" s="449"/>
      <c r="D48" s="450"/>
      <c r="E48" s="452">
        <v>0.91</v>
      </c>
      <c r="F48" s="453"/>
      <c r="G48" s="452">
        <v>0.15</v>
      </c>
      <c r="H48" s="453"/>
      <c r="I48" s="452">
        <v>0.5</v>
      </c>
      <c r="J48" s="453"/>
      <c r="K48" s="2729" t="s">
        <v>1016</v>
      </c>
      <c r="L48" s="2730"/>
      <c r="M48" s="2731" t="s">
        <v>1035</v>
      </c>
      <c r="N48" s="2732"/>
      <c r="P48" s="887" t="s">
        <v>437</v>
      </c>
      <c r="Q48" s="888"/>
      <c r="R48" s="888">
        <v>0.4</v>
      </c>
      <c r="S48" s="888">
        <v>5.5</v>
      </c>
      <c r="Y48" s="176"/>
      <c r="Z48" s="176"/>
      <c r="AA48" s="176"/>
    </row>
    <row r="49" spans="2:27" ht="18" customHeight="1">
      <c r="B49" s="457" t="s">
        <v>1036</v>
      </c>
      <c r="C49" s="458"/>
      <c r="D49" s="458"/>
      <c r="E49" s="458"/>
      <c r="F49" s="458"/>
      <c r="G49" s="458"/>
      <c r="H49" s="458"/>
      <c r="I49" s="458"/>
      <c r="J49" s="458"/>
      <c r="K49" s="458"/>
      <c r="L49" s="458"/>
      <c r="N49" s="460" t="s">
        <v>1037</v>
      </c>
      <c r="Y49" s="176"/>
      <c r="Z49" s="176"/>
      <c r="AA49" s="176"/>
    </row>
    <row r="50" spans="2:27" ht="18" customHeight="1">
      <c r="B50" s="459" t="s">
        <v>1038</v>
      </c>
      <c r="N50" s="460" t="s">
        <v>1039</v>
      </c>
      <c r="Y50" s="176"/>
      <c r="Z50" s="176"/>
      <c r="AA50" s="176"/>
    </row>
    <row r="51" spans="2:27" ht="18" customHeight="1">
      <c r="B51" s="459" t="s">
        <v>1040</v>
      </c>
      <c r="N51" s="454"/>
      <c r="Y51" s="176"/>
      <c r="Z51" s="176"/>
      <c r="AA51" s="176"/>
    </row>
    <row r="52" spans="2:27" ht="18" customHeight="1">
      <c r="B52" s="459" t="s">
        <v>1041</v>
      </c>
      <c r="N52" s="454"/>
      <c r="Y52" s="176"/>
      <c r="Z52" s="176"/>
      <c r="AA52" s="176"/>
    </row>
    <row r="53" spans="2:27" ht="18" customHeight="1">
      <c r="B53" s="461" t="s">
        <v>1042</v>
      </c>
      <c r="C53" s="252"/>
      <c r="D53" s="252"/>
      <c r="E53" s="252"/>
      <c r="F53" s="252"/>
      <c r="G53" s="252"/>
      <c r="H53" s="252"/>
      <c r="I53" s="252"/>
      <c r="J53" s="252"/>
      <c r="K53" s="252"/>
      <c r="L53" s="252"/>
      <c r="M53" s="252"/>
      <c r="N53" s="456"/>
      <c r="Y53" s="176"/>
      <c r="Z53" s="176"/>
      <c r="AA53" s="176"/>
    </row>
    <row r="54" spans="2:27" ht="18" customHeight="1">
      <c r="Y54" s="176"/>
      <c r="Z54" s="176"/>
      <c r="AA54" s="176"/>
    </row>
    <row r="55" spans="2:27">
      <c r="Y55" s="176"/>
      <c r="Z55" s="176"/>
      <c r="AA55" s="176"/>
    </row>
    <row r="56" spans="2:27" ht="14.25" hidden="1">
      <c r="B56" s="45"/>
      <c r="C56" s="45" t="s">
        <v>1043</v>
      </c>
      <c r="D56" s="45"/>
      <c r="E56" s="45"/>
      <c r="F56" s="45"/>
      <c r="G56" s="45" t="s">
        <v>1044</v>
      </c>
      <c r="H56" s="45"/>
      <c r="I56" s="45"/>
      <c r="J56" s="45"/>
      <c r="K56" s="45"/>
      <c r="L56" s="45" t="s">
        <v>962</v>
      </c>
      <c r="M56" s="45"/>
      <c r="N56" s="45"/>
      <c r="O56" s="45"/>
      <c r="P56" s="45" t="s">
        <v>1045</v>
      </c>
      <c r="Q56" s="45"/>
      <c r="R56" s="45" t="s">
        <v>1046</v>
      </c>
      <c r="S56" s="45" t="s">
        <v>1047</v>
      </c>
      <c r="T56" s="45" t="s">
        <v>1048</v>
      </c>
      <c r="U56" s="451" t="s">
        <v>1046</v>
      </c>
      <c r="V56" s="451" t="s">
        <v>1047</v>
      </c>
      <c r="W56" s="451" t="s">
        <v>1049</v>
      </c>
      <c r="X56" s="447"/>
      <c r="Y56" s="179" t="s">
        <v>1050</v>
      </c>
      <c r="Z56" s="179"/>
      <c r="AA56" s="176"/>
    </row>
    <row r="57" spans="2:27" ht="14.25" hidden="1">
      <c r="B57" s="447"/>
      <c r="C57" s="45" t="s">
        <v>656</v>
      </c>
      <c r="D57" s="45" t="s">
        <v>668</v>
      </c>
      <c r="E57" s="45" t="s">
        <v>612</v>
      </c>
      <c r="F57" s="45" t="s">
        <v>613</v>
      </c>
      <c r="G57" s="45" t="s">
        <v>656</v>
      </c>
      <c r="H57" s="45" t="s">
        <v>668</v>
      </c>
      <c r="I57" s="45" t="s">
        <v>612</v>
      </c>
      <c r="J57" s="45" t="s">
        <v>613</v>
      </c>
      <c r="K57" s="45" t="s">
        <v>1051</v>
      </c>
      <c r="L57" s="45" t="s">
        <v>656</v>
      </c>
      <c r="M57" s="45" t="s">
        <v>668</v>
      </c>
      <c r="N57" s="45" t="s">
        <v>612</v>
      </c>
      <c r="O57" s="45" t="s">
        <v>613</v>
      </c>
      <c r="P57" s="447"/>
      <c r="Q57" s="451"/>
      <c r="R57" s="451"/>
      <c r="S57" s="451"/>
      <c r="T57" s="451"/>
      <c r="U57" s="451"/>
      <c r="V57" s="451"/>
      <c r="W57" s="451"/>
      <c r="X57" s="447"/>
      <c r="Y57" s="179" t="s">
        <v>1052</v>
      </c>
      <c r="Z57" s="179"/>
      <c r="AA57" s="176"/>
    </row>
    <row r="58" spans="2:27" ht="21" hidden="1">
      <c r="B58" s="447" t="s">
        <v>1053</v>
      </c>
      <c r="C58" s="45">
        <f>C4*$G$4</f>
        <v>0</v>
      </c>
      <c r="D58" s="45">
        <f>$C58*D4</f>
        <v>0</v>
      </c>
      <c r="E58" s="45">
        <f>$C58*E4</f>
        <v>0</v>
      </c>
      <c r="F58" s="45">
        <f>$C58*F4</f>
        <v>0</v>
      </c>
      <c r="G58" s="45">
        <f>C4-C58</f>
        <v>0</v>
      </c>
      <c r="H58" s="45">
        <f>$G58*D4</f>
        <v>0</v>
      </c>
      <c r="I58" s="45">
        <f>$G58*E4</f>
        <v>0</v>
      </c>
      <c r="J58" s="45">
        <f>$G58*F4</f>
        <v>0</v>
      </c>
      <c r="K58" s="45">
        <f>G$4*M58</f>
        <v>0</v>
      </c>
      <c r="L58" s="45">
        <f>IF($M$4=0,I$4,0)</f>
        <v>0</v>
      </c>
      <c r="M58" s="45">
        <f>IF($M$4=0,J$4,0)</f>
        <v>0</v>
      </c>
      <c r="N58" s="45">
        <f>IF($M$4=0,K$4,0)</f>
        <v>0</v>
      </c>
      <c r="O58" s="451">
        <f>IF($M$4=0,L$4,0)</f>
        <v>0</v>
      </c>
      <c r="P58" s="447" t="s">
        <v>1054</v>
      </c>
      <c r="Q58" s="451">
        <v>58</v>
      </c>
      <c r="R58" s="451">
        <f>D$4*0.87</f>
        <v>0</v>
      </c>
      <c r="S58" s="451">
        <f>R58*Y$60</f>
        <v>0</v>
      </c>
      <c r="T58" s="451">
        <v>0.65</v>
      </c>
      <c r="U58" s="451">
        <f>IF(M58=0,0,R58)</f>
        <v>0</v>
      </c>
      <c r="V58" s="462">
        <f>IF(M58=0,0,S58)</f>
        <v>0</v>
      </c>
      <c r="W58" s="462">
        <f>IF(M58=0,0,T58)</f>
        <v>0</v>
      </c>
      <c r="X58" s="447" t="s">
        <v>1053</v>
      </c>
      <c r="Y58" s="180">
        <f>Hofdung!U4</f>
        <v>0.7</v>
      </c>
      <c r="Z58" s="179" t="s">
        <v>1055</v>
      </c>
      <c r="AA58" s="176" t="s">
        <v>1056</v>
      </c>
    </row>
    <row r="59" spans="2:27" ht="14.25" hidden="1">
      <c r="B59" s="447"/>
      <c r="C59" s="45"/>
      <c r="D59" s="45"/>
      <c r="E59" s="45"/>
      <c r="F59" s="45"/>
      <c r="G59" s="45"/>
      <c r="H59" s="45"/>
      <c r="I59" s="45"/>
      <c r="J59" s="45"/>
      <c r="K59" s="45">
        <f>G$4*M59</f>
        <v>0</v>
      </c>
      <c r="L59" s="45">
        <f>IF($M$4=0,0,IF($M$4&lt;0.55,I$4,0))</f>
        <v>0</v>
      </c>
      <c r="M59" s="45">
        <f>IF($M$4=0,0,IF($M$4&lt;0.55,J$4,0))</f>
        <v>0</v>
      </c>
      <c r="N59" s="45">
        <f>IF($M$4=0,0,IF($M$4&lt;0.55,K$4,0))</f>
        <v>0</v>
      </c>
      <c r="O59" s="451">
        <f>IF($M$4=0,0,IF($M$4&lt;0.55,L$4,0))</f>
        <v>0</v>
      </c>
      <c r="P59" s="447" t="s">
        <v>1055</v>
      </c>
      <c r="Q59" s="451">
        <v>59</v>
      </c>
      <c r="R59" s="451">
        <f>D$4*0.87</f>
        <v>0</v>
      </c>
      <c r="S59" s="451">
        <f>R59*Y$58</f>
        <v>0</v>
      </c>
      <c r="T59" s="451">
        <v>0.5</v>
      </c>
      <c r="U59" s="451">
        <f>IF(M59=0,0,R59)</f>
        <v>0</v>
      </c>
      <c r="V59" s="462">
        <f>IF(M59=0,0,S59)</f>
        <v>0</v>
      </c>
      <c r="W59" s="462">
        <f>IF(M59=0,0,T59)</f>
        <v>0</v>
      </c>
      <c r="X59" s="447"/>
      <c r="Y59" s="180">
        <f>Hofdung!U6</f>
        <v>0.85</v>
      </c>
      <c r="Z59" s="179" t="s">
        <v>1057</v>
      </c>
      <c r="AA59" s="176" t="s">
        <v>1058</v>
      </c>
    </row>
    <row r="60" spans="2:27" ht="14.25" hidden="1">
      <c r="B60" s="447"/>
      <c r="C60" s="45"/>
      <c r="D60" s="45"/>
      <c r="E60" s="45"/>
      <c r="F60" s="45"/>
      <c r="G60" s="45"/>
      <c r="H60" s="45"/>
      <c r="I60" s="45"/>
      <c r="J60" s="45"/>
      <c r="K60" s="45">
        <f>G$4*M60</f>
        <v>0</v>
      </c>
      <c r="L60" s="45">
        <f>IF(AND($M$4&gt;=0.55,$M$4&lt;0.625),I$4,0)</f>
        <v>0</v>
      </c>
      <c r="M60" s="45">
        <f>IF(AND($M$4&gt;=0.55,$M$4&lt;0.625),J$4,0)</f>
        <v>0</v>
      </c>
      <c r="N60" s="45">
        <f>IF(AND($M$4&gt;=0.55,$M$4&lt;0.625),K$4,0)</f>
        <v>0</v>
      </c>
      <c r="O60" s="451">
        <f>IF(AND($M$4&gt;=0.55,$M$4&lt;0.625),L$4,0)</f>
        <v>0</v>
      </c>
      <c r="P60" s="447" t="s">
        <v>1057</v>
      </c>
      <c r="Q60" s="451">
        <v>60</v>
      </c>
      <c r="R60" s="451">
        <f>D$4*0.87</f>
        <v>0</v>
      </c>
      <c r="S60" s="451">
        <f>R60*Y$59</f>
        <v>0</v>
      </c>
      <c r="T60" s="451">
        <v>0.6</v>
      </c>
      <c r="U60" s="451">
        <f>IF(M60=0,0,R60)</f>
        <v>0</v>
      </c>
      <c r="V60" s="462">
        <f>IF(M60=0,0,S60)</f>
        <v>0</v>
      </c>
      <c r="W60" s="462">
        <f>IF(M60=0,0,T60)</f>
        <v>0</v>
      </c>
      <c r="X60" s="447"/>
      <c r="Y60" s="180">
        <f>Hofdung!U5</f>
        <v>0.8</v>
      </c>
      <c r="Z60" s="179" t="s">
        <v>1059</v>
      </c>
      <c r="AA60" s="176" t="s">
        <v>1060</v>
      </c>
    </row>
    <row r="61" spans="2:27" ht="14.25" hidden="1">
      <c r="B61" s="447"/>
      <c r="C61" s="45"/>
      <c r="D61" s="45"/>
      <c r="E61" s="45"/>
      <c r="F61" s="45"/>
      <c r="G61" s="45"/>
      <c r="H61" s="45"/>
      <c r="I61" s="45"/>
      <c r="J61" s="45"/>
      <c r="K61" s="45">
        <f>G$4*M61</f>
        <v>0</v>
      </c>
      <c r="L61" s="45">
        <f>IF(AND($M$4&gt;=0.625,$M$4&lt;0.775),I$4,0)</f>
        <v>0</v>
      </c>
      <c r="M61" s="45">
        <f>IF(AND($M$4&gt;=0.625,$M$4&lt;0.775),J$4,0)</f>
        <v>0</v>
      </c>
      <c r="N61" s="45">
        <f>IF(AND($M$4&gt;=0.625,$M$4&lt;0.775),K$4,0)</f>
        <v>0</v>
      </c>
      <c r="O61" s="451">
        <f>IF(AND($M$4&gt;=0.625,$M$4&lt;0.775),L$4,0)</f>
        <v>0</v>
      </c>
      <c r="P61" s="447" t="s">
        <v>1059</v>
      </c>
      <c r="Q61" s="451">
        <v>61</v>
      </c>
      <c r="R61" s="451">
        <f>D$4*0.87</f>
        <v>0</v>
      </c>
      <c r="S61" s="451">
        <f>R61*Y$60</f>
        <v>0</v>
      </c>
      <c r="T61" s="451">
        <v>0.65</v>
      </c>
      <c r="U61" s="451">
        <f>IF(M61=0,0,R61)</f>
        <v>0</v>
      </c>
      <c r="V61" s="462">
        <f>IF(M61=0,0,S61)</f>
        <v>0</v>
      </c>
      <c r="W61" s="462">
        <f>IF(M61=0,0,T61)</f>
        <v>0</v>
      </c>
      <c r="X61" s="447"/>
      <c r="Y61" s="180">
        <f>Hofdung!U7</f>
        <v>1</v>
      </c>
      <c r="Z61" s="179" t="s">
        <v>1061</v>
      </c>
      <c r="AA61" s="176" t="s">
        <v>1062</v>
      </c>
    </row>
    <row r="62" spans="2:27" ht="14.25" hidden="1">
      <c r="B62" s="447"/>
      <c r="C62" s="45"/>
      <c r="D62" s="45"/>
      <c r="E62" s="45"/>
      <c r="F62" s="45"/>
      <c r="G62" s="45"/>
      <c r="H62" s="45"/>
      <c r="I62" s="45"/>
      <c r="J62" s="45"/>
      <c r="K62" s="45">
        <f>G$4*M62</f>
        <v>0</v>
      </c>
      <c r="L62" s="45">
        <f>IF($M$4&gt;=0.775,I$4,0)</f>
        <v>0</v>
      </c>
      <c r="M62" s="45">
        <f>IF($M$4&gt;=0.775,J$4,0)</f>
        <v>0</v>
      </c>
      <c r="N62" s="45">
        <f>IF($M$4&gt;=0.775,K$4,0)</f>
        <v>0</v>
      </c>
      <c r="O62" s="451">
        <f>IF($M$4&gt;=0.775,L$4,0)</f>
        <v>0</v>
      </c>
      <c r="P62" s="447" t="s">
        <v>1061</v>
      </c>
      <c r="Q62" s="451">
        <v>62</v>
      </c>
      <c r="R62" s="451">
        <f>D$4*0.87</f>
        <v>0</v>
      </c>
      <c r="S62" s="451">
        <f>R62*Y$61</f>
        <v>0</v>
      </c>
      <c r="T62" s="451">
        <v>0.9</v>
      </c>
      <c r="U62" s="451">
        <f>IF(M62=0,0,R62)</f>
        <v>0</v>
      </c>
      <c r="V62" s="462">
        <f>IF(M62=0,0,S62)</f>
        <v>0</v>
      </c>
      <c r="W62" s="462">
        <f>IF(M62=0,0,T62)</f>
        <v>0</v>
      </c>
      <c r="X62" s="447"/>
      <c r="Y62" s="180">
        <f>Hofdung!U8</f>
        <v>0.5</v>
      </c>
      <c r="Z62" s="179" t="s">
        <v>1063</v>
      </c>
      <c r="AA62" s="176" t="s">
        <v>1064</v>
      </c>
    </row>
    <row r="63" spans="2:27" ht="14.25" hidden="1">
      <c r="B63" s="447"/>
      <c r="C63" s="45"/>
      <c r="D63" s="45"/>
      <c r="E63" s="45"/>
      <c r="F63" s="45"/>
      <c r="G63" s="45"/>
      <c r="H63" s="45"/>
      <c r="I63" s="45"/>
      <c r="J63" s="45"/>
      <c r="K63" s="45"/>
      <c r="L63" s="45"/>
      <c r="M63" s="45"/>
      <c r="N63" s="45"/>
      <c r="O63" s="451"/>
      <c r="P63" s="447"/>
      <c r="Q63" s="451">
        <v>63</v>
      </c>
      <c r="R63" s="451"/>
      <c r="S63" s="451"/>
      <c r="T63" s="451" t="s">
        <v>1053</v>
      </c>
      <c r="U63" s="451">
        <f>SUM(U58:U62)</f>
        <v>0</v>
      </c>
      <c r="V63" s="462">
        <f>SUM(V58:V62)</f>
        <v>0</v>
      </c>
      <c r="W63" s="462">
        <f>SUM(W58:W62)</f>
        <v>0</v>
      </c>
      <c r="X63" s="447"/>
      <c r="Y63" s="180">
        <f>Hofdung!U9</f>
        <v>0.3</v>
      </c>
      <c r="Z63" s="179" t="s">
        <v>1065</v>
      </c>
      <c r="AA63" s="176" t="s">
        <v>1066</v>
      </c>
    </row>
    <row r="64" spans="2:27" ht="21" hidden="1">
      <c r="B64" s="447" t="s">
        <v>1067</v>
      </c>
      <c r="C64" s="45">
        <f>C5*$G$5</f>
        <v>0</v>
      </c>
      <c r="D64" s="45">
        <f>$C64*D5</f>
        <v>0</v>
      </c>
      <c r="E64" s="45">
        <f>$C64*E5</f>
        <v>0</v>
      </c>
      <c r="F64" s="45">
        <f>$C64*F5</f>
        <v>0</v>
      </c>
      <c r="G64" s="45">
        <f>C5-C64</f>
        <v>0</v>
      </c>
      <c r="H64" s="45">
        <f>$G64*D5</f>
        <v>0</v>
      </c>
      <c r="I64" s="45">
        <f>$G64*E5</f>
        <v>0</v>
      </c>
      <c r="J64" s="45">
        <f>$G64*F5</f>
        <v>0</v>
      </c>
      <c r="K64" s="45">
        <f>G$5*M64</f>
        <v>0</v>
      </c>
      <c r="L64" s="45">
        <f>IF($M$5=0,I$5,0)</f>
        <v>0</v>
      </c>
      <c r="M64" s="45">
        <f>IF($M$5=0,J$5,0)</f>
        <v>0</v>
      </c>
      <c r="N64" s="45">
        <f>IF($M$5=0,K$5,0)</f>
        <v>0</v>
      </c>
      <c r="O64" s="451">
        <f>IF($M$5=0,L$5,0)</f>
        <v>0</v>
      </c>
      <c r="P64" s="447" t="s">
        <v>1054</v>
      </c>
      <c r="Q64" s="451">
        <v>64</v>
      </c>
      <c r="R64" s="451">
        <f>D$5*0.87</f>
        <v>0</v>
      </c>
      <c r="S64" s="451">
        <f>R64*Y$60</f>
        <v>0</v>
      </c>
      <c r="T64" s="451">
        <v>0.65</v>
      </c>
      <c r="U64" s="451">
        <f>IF(M64=0,0,R64)</f>
        <v>0</v>
      </c>
      <c r="V64" s="462">
        <f>IF(M64=0,0,S64)</f>
        <v>0</v>
      </c>
      <c r="W64" s="462">
        <f>IF(M64=0,0,T64)</f>
        <v>0</v>
      </c>
      <c r="X64" s="447" t="s">
        <v>1067</v>
      </c>
      <c r="Y64" s="180">
        <f>Hofdung!U10</f>
        <v>0.1</v>
      </c>
      <c r="Z64" s="179" t="s">
        <v>993</v>
      </c>
      <c r="AA64" s="176" t="s">
        <v>1068</v>
      </c>
    </row>
    <row r="65" spans="2:27" ht="14.25" hidden="1">
      <c r="B65" s="447"/>
      <c r="C65" s="45"/>
      <c r="D65" s="45"/>
      <c r="E65" s="45"/>
      <c r="F65" s="45"/>
      <c r="G65" s="45"/>
      <c r="H65" s="45"/>
      <c r="I65" s="45"/>
      <c r="J65" s="45"/>
      <c r="K65" s="45">
        <f>G$5*M65</f>
        <v>0</v>
      </c>
      <c r="L65" s="45">
        <f>IF($M$5=0,0,IF($M$5&lt;0.55,I$5,0))</f>
        <v>0</v>
      </c>
      <c r="M65" s="45">
        <f>IF($M$5=0,0,IF($M$5&lt;0.55,J$5,0))</f>
        <v>0</v>
      </c>
      <c r="N65" s="45">
        <f>IF($M$5=0,0,IF($M$5&lt;0.55,K$5,0))</f>
        <v>0</v>
      </c>
      <c r="O65" s="451">
        <f>IF($M$5=0,0,IF($M$5&lt;0.55,L$5,0))</f>
        <v>0</v>
      </c>
      <c r="P65" s="447" t="s">
        <v>1055</v>
      </c>
      <c r="Q65" s="451">
        <v>65</v>
      </c>
      <c r="R65" s="451">
        <f>D$5*0.87</f>
        <v>0</v>
      </c>
      <c r="S65" s="451">
        <f>R65*Y$58</f>
        <v>0</v>
      </c>
      <c r="T65" s="451">
        <v>0.5</v>
      </c>
      <c r="U65" s="451">
        <f>IF(M65=0,0,R65)</f>
        <v>0</v>
      </c>
      <c r="V65" s="462">
        <f>IF(M65=0,0,S65)</f>
        <v>0</v>
      </c>
      <c r="W65" s="462">
        <f>IF(M65=0,0,T65)</f>
        <v>0</v>
      </c>
      <c r="X65" s="447"/>
      <c r="Y65" s="179"/>
      <c r="Z65" s="179"/>
      <c r="AA65" s="176"/>
    </row>
    <row r="66" spans="2:27" ht="14.25" hidden="1">
      <c r="B66" s="447"/>
      <c r="C66" s="45"/>
      <c r="D66" s="45"/>
      <c r="E66" s="45"/>
      <c r="F66" s="45"/>
      <c r="G66" s="45"/>
      <c r="H66" s="45"/>
      <c r="I66" s="45"/>
      <c r="J66" s="45"/>
      <c r="K66" s="45">
        <f>G$5*M66</f>
        <v>0</v>
      </c>
      <c r="L66" s="45">
        <f>IF(AND($M$5&gt;=0.55,$M$5&lt;0.625),I$5,0)</f>
        <v>0</v>
      </c>
      <c r="M66" s="45">
        <f>IF(AND($M$5&gt;=0.55,$M$5&lt;0.625),J$5,0)</f>
        <v>0</v>
      </c>
      <c r="N66" s="45">
        <f>IF(AND($M$5&gt;=0.55,$M$5&lt;0.625),K$5,0)</f>
        <v>0</v>
      </c>
      <c r="O66" s="451">
        <f>IF(AND($M$5&gt;=0.55,$M$5&lt;0.625),L$5,0)</f>
        <v>0</v>
      </c>
      <c r="P66" s="447" t="s">
        <v>1057</v>
      </c>
      <c r="Q66" s="451">
        <v>66</v>
      </c>
      <c r="R66" s="451">
        <f>D$5*0.87</f>
        <v>0</v>
      </c>
      <c r="S66" s="451">
        <f>R66*Y$59</f>
        <v>0</v>
      </c>
      <c r="T66" s="451">
        <v>0.6</v>
      </c>
      <c r="U66" s="451">
        <f>IF(M66=0,0,R66)</f>
        <v>0</v>
      </c>
      <c r="V66" s="462">
        <f>IF(M66=0,0,S66)</f>
        <v>0</v>
      </c>
      <c r="W66" s="462">
        <f>IF(M66=0,0,T66)</f>
        <v>0</v>
      </c>
      <c r="X66" s="447"/>
      <c r="Y66" s="179"/>
      <c r="Z66" s="179"/>
      <c r="AA66" s="176"/>
    </row>
    <row r="67" spans="2:27" ht="14.25" hidden="1">
      <c r="B67" s="447"/>
      <c r="C67" s="45"/>
      <c r="D67" s="45"/>
      <c r="E67" s="45"/>
      <c r="F67" s="45"/>
      <c r="G67" s="45"/>
      <c r="H67" s="45"/>
      <c r="I67" s="45"/>
      <c r="J67" s="45"/>
      <c r="K67" s="45">
        <f>G$5*M67</f>
        <v>0</v>
      </c>
      <c r="L67" s="45">
        <f>IF(AND($M$5&gt;=0.625,$M$5&lt;0.775),I$5,0)</f>
        <v>0</v>
      </c>
      <c r="M67" s="45">
        <f>IF(AND($M$5&gt;=0.625,$M$5&lt;0.775),J$5,0)</f>
        <v>0</v>
      </c>
      <c r="N67" s="45">
        <f>IF(AND($M$5&gt;=0.625,$M$5&lt;0.775),K$5,0)</f>
        <v>0</v>
      </c>
      <c r="O67" s="451">
        <f>IF(AND($M$5&gt;=0.625,$M$5&lt;0.775),L$5,0)</f>
        <v>0</v>
      </c>
      <c r="P67" s="447" t="s">
        <v>1059</v>
      </c>
      <c r="Q67" s="451">
        <v>67</v>
      </c>
      <c r="R67" s="451">
        <f>D$5*0.87</f>
        <v>0</v>
      </c>
      <c r="S67" s="451">
        <f>R67*Y$60</f>
        <v>0</v>
      </c>
      <c r="T67" s="451">
        <v>0.65</v>
      </c>
      <c r="U67" s="451">
        <f>IF(M67=0,0,R67)</f>
        <v>0</v>
      </c>
      <c r="V67" s="462">
        <f>IF(M67=0,0,S67)</f>
        <v>0</v>
      </c>
      <c r="W67" s="462">
        <f>IF(M67=0,0,T67)</f>
        <v>0</v>
      </c>
      <c r="X67" s="447"/>
      <c r="Y67" s="179"/>
      <c r="Z67" s="179"/>
      <c r="AA67" s="176"/>
    </row>
    <row r="68" spans="2:27" ht="14.25" hidden="1">
      <c r="B68" s="447"/>
      <c r="C68" s="45"/>
      <c r="D68" s="45"/>
      <c r="E68" s="45"/>
      <c r="F68" s="45"/>
      <c r="G68" s="45"/>
      <c r="H68" s="45"/>
      <c r="I68" s="45"/>
      <c r="J68" s="45"/>
      <c r="K68" s="45">
        <f>G$5*M68</f>
        <v>0</v>
      </c>
      <c r="L68" s="45">
        <f>IF($M$5&gt;=0.775,I$5,0)</f>
        <v>0</v>
      </c>
      <c r="M68" s="45">
        <f>IF($M$5&gt;=0.775,J$5,0)</f>
        <v>0</v>
      </c>
      <c r="N68" s="45">
        <f>IF($M$5&gt;=0.775,K$5,0)</f>
        <v>0</v>
      </c>
      <c r="O68" s="451">
        <f>IF($M$5&gt;=0.775,L$5,0)</f>
        <v>0</v>
      </c>
      <c r="P68" s="447" t="s">
        <v>1061</v>
      </c>
      <c r="Q68" s="451">
        <v>68</v>
      </c>
      <c r="R68" s="451">
        <f>D$5*0.87</f>
        <v>0</v>
      </c>
      <c r="S68" s="451">
        <f>R68*Y$61</f>
        <v>0</v>
      </c>
      <c r="T68" s="451">
        <v>0.9</v>
      </c>
      <c r="U68" s="451">
        <f>IF(M68=0,0,R68)</f>
        <v>0</v>
      </c>
      <c r="V68" s="462">
        <f>IF(M68=0,0,S68)</f>
        <v>0</v>
      </c>
      <c r="W68" s="462">
        <f>IF(M68=0,0,T68)</f>
        <v>0</v>
      </c>
      <c r="X68" s="447"/>
      <c r="Y68" s="179"/>
      <c r="Z68" s="179"/>
      <c r="AA68" s="176"/>
    </row>
    <row r="69" spans="2:27" ht="14.25" hidden="1">
      <c r="B69" s="447"/>
      <c r="C69" s="45"/>
      <c r="D69" s="45"/>
      <c r="E69" s="45"/>
      <c r="F69" s="45"/>
      <c r="G69" s="45"/>
      <c r="H69" s="45"/>
      <c r="I69" s="45"/>
      <c r="J69" s="45"/>
      <c r="K69" s="45"/>
      <c r="L69" s="45"/>
      <c r="M69" s="45"/>
      <c r="N69" s="45"/>
      <c r="O69" s="451"/>
      <c r="P69" s="447"/>
      <c r="Q69" s="451">
        <v>69</v>
      </c>
      <c r="R69" s="451"/>
      <c r="S69" s="451"/>
      <c r="T69" s="451" t="s">
        <v>1067</v>
      </c>
      <c r="U69" s="451">
        <f>SUM(U64:U68)</f>
        <v>0</v>
      </c>
      <c r="V69" s="462">
        <f>SUM(V64:V68)</f>
        <v>0</v>
      </c>
      <c r="W69" s="462">
        <f>SUM(W64:W68)</f>
        <v>0</v>
      </c>
      <c r="X69" s="447"/>
      <c r="Y69" s="179"/>
      <c r="Z69" s="179"/>
      <c r="AA69" s="176"/>
    </row>
    <row r="70" spans="2:27" ht="21" hidden="1">
      <c r="B70" s="447" t="s">
        <v>1069</v>
      </c>
      <c r="C70" s="45">
        <f>C6*$G$6</f>
        <v>0</v>
      </c>
      <c r="D70" s="45">
        <f>$C70*D6</f>
        <v>0</v>
      </c>
      <c r="E70" s="45">
        <f>$C70*E6</f>
        <v>0</v>
      </c>
      <c r="F70" s="45">
        <f>$C70*F6</f>
        <v>0</v>
      </c>
      <c r="G70" s="45">
        <f>C6-C70</f>
        <v>0</v>
      </c>
      <c r="H70" s="45">
        <f>$G70*D6</f>
        <v>0</v>
      </c>
      <c r="I70" s="45">
        <f>$G70*E6</f>
        <v>0</v>
      </c>
      <c r="J70" s="45">
        <f>$G70*F6</f>
        <v>0</v>
      </c>
      <c r="K70" s="45">
        <f>G$6*M70</f>
        <v>0</v>
      </c>
      <c r="L70" s="45">
        <f>IF($M$6=0,I$6,0)</f>
        <v>0</v>
      </c>
      <c r="M70" s="45">
        <f>IF($M$6=0,J$6,0)</f>
        <v>0</v>
      </c>
      <c r="N70" s="45">
        <f>IF($M$6=0,K$6,0)</f>
        <v>0</v>
      </c>
      <c r="O70" s="451">
        <f>IF($M$6=0,L$6,0)</f>
        <v>0</v>
      </c>
      <c r="P70" s="447" t="s">
        <v>1054</v>
      </c>
      <c r="Q70" s="451">
        <v>70</v>
      </c>
      <c r="R70" s="451">
        <f>D$6*0.87</f>
        <v>0</v>
      </c>
      <c r="S70" s="451">
        <f>R70*Y$60</f>
        <v>0</v>
      </c>
      <c r="T70" s="451">
        <v>0.65</v>
      </c>
      <c r="U70" s="451">
        <f>IF(M70=0,0,R70)</f>
        <v>0</v>
      </c>
      <c r="V70" s="462">
        <f>IF(M70=0,0,S70)</f>
        <v>0</v>
      </c>
      <c r="W70" s="462">
        <f>IF(M70=0,0,T70)</f>
        <v>0</v>
      </c>
      <c r="X70" s="447" t="s">
        <v>1069</v>
      </c>
      <c r="Y70" s="179"/>
      <c r="Z70" s="179"/>
      <c r="AA70" s="176"/>
    </row>
    <row r="71" spans="2:27" ht="14.25" hidden="1">
      <c r="B71" s="447"/>
      <c r="C71" s="45"/>
      <c r="D71" s="45"/>
      <c r="E71" s="45"/>
      <c r="F71" s="45"/>
      <c r="G71" s="45"/>
      <c r="H71" s="45"/>
      <c r="I71" s="45"/>
      <c r="J71" s="45"/>
      <c r="K71" s="45">
        <f>G$6*M71</f>
        <v>0</v>
      </c>
      <c r="L71" s="45">
        <f>IF($M$6=0,0,IF($M$6&lt;0.55,I$6,0))</f>
        <v>0</v>
      </c>
      <c r="M71" s="45">
        <f>IF($M$6=0,0,IF($M$6&lt;0.55,J$6,0))</f>
        <v>0</v>
      </c>
      <c r="N71" s="45">
        <f>IF($M$6=0,0,IF($M$6&lt;0.55,K$6,0))</f>
        <v>0</v>
      </c>
      <c r="O71" s="451">
        <f>IF($M$6=0,0,IF($M$6&lt;0.55,L$6,0))</f>
        <v>0</v>
      </c>
      <c r="P71" s="447" t="s">
        <v>1055</v>
      </c>
      <c r="Q71" s="451">
        <v>71</v>
      </c>
      <c r="R71" s="451">
        <f>D$6*0.87</f>
        <v>0</v>
      </c>
      <c r="S71" s="451">
        <f>R71*Y$58</f>
        <v>0</v>
      </c>
      <c r="T71" s="451">
        <v>0.5</v>
      </c>
      <c r="U71" s="451">
        <f>IF(M71=0,0,R71)</f>
        <v>0</v>
      </c>
      <c r="V71" s="462">
        <f>IF(M71=0,0,S71)</f>
        <v>0</v>
      </c>
      <c r="W71" s="462">
        <f>IF(M71=0,0,T71)</f>
        <v>0</v>
      </c>
      <c r="X71" s="447"/>
      <c r="Y71" s="179"/>
      <c r="Z71" s="179"/>
      <c r="AA71" s="176"/>
    </row>
    <row r="72" spans="2:27" ht="14.25" hidden="1">
      <c r="B72" s="447"/>
      <c r="C72" s="45"/>
      <c r="D72" s="45"/>
      <c r="E72" s="45"/>
      <c r="F72" s="45"/>
      <c r="G72" s="45"/>
      <c r="H72" s="45"/>
      <c r="I72" s="45"/>
      <c r="J72" s="45"/>
      <c r="K72" s="45">
        <f>G$6*M72</f>
        <v>0</v>
      </c>
      <c r="L72" s="45">
        <f>IF(AND($M$6&gt;=0.55,$M$6&lt;0.625),I$6,0)</f>
        <v>0</v>
      </c>
      <c r="M72" s="45">
        <f>IF(AND($M$6&gt;=0.55,$M$6&lt;0.625),J$6,0)</f>
        <v>0</v>
      </c>
      <c r="N72" s="45">
        <f>IF(AND($M$6&gt;=0.55,$M$6&lt;0.625),K$6,0)</f>
        <v>0</v>
      </c>
      <c r="O72" s="451">
        <f>IF(AND($M$6&gt;=0.55,$M$6&lt;0.625),L$6,0)</f>
        <v>0</v>
      </c>
      <c r="P72" s="447" t="s">
        <v>1057</v>
      </c>
      <c r="Q72" s="451">
        <v>72</v>
      </c>
      <c r="R72" s="451">
        <f>D$6*0.87</f>
        <v>0</v>
      </c>
      <c r="S72" s="451">
        <f>R72*Y$59</f>
        <v>0</v>
      </c>
      <c r="T72" s="451">
        <v>0.6</v>
      </c>
      <c r="U72" s="451">
        <f>IF(M72=0,0,R72)</f>
        <v>0</v>
      </c>
      <c r="V72" s="462">
        <f>IF(M72=0,0,S72)</f>
        <v>0</v>
      </c>
      <c r="W72" s="462">
        <f>IF(M72=0,0,T72)</f>
        <v>0</v>
      </c>
      <c r="X72" s="447"/>
      <c r="Y72" s="179"/>
      <c r="Z72" s="179"/>
      <c r="AA72" s="176"/>
    </row>
    <row r="73" spans="2:27" ht="14.25" hidden="1">
      <c r="B73" s="447"/>
      <c r="C73" s="45"/>
      <c r="D73" s="45"/>
      <c r="E73" s="45"/>
      <c r="F73" s="45"/>
      <c r="G73" s="45"/>
      <c r="H73" s="45"/>
      <c r="I73" s="45"/>
      <c r="J73" s="45"/>
      <c r="K73" s="45">
        <f>G$6*M73</f>
        <v>0</v>
      </c>
      <c r="L73" s="45">
        <f>IF(AND($M$6&gt;=0.625,$M$6&lt;0.775),I$6,0)</f>
        <v>0</v>
      </c>
      <c r="M73" s="45">
        <f>IF(AND($M$6&gt;=0.625,$M$6&lt;0.775),J$6,0)</f>
        <v>0</v>
      </c>
      <c r="N73" s="45">
        <f>IF(AND($M$6&gt;=0.625,$M$6&lt;0.775),K$6,0)</f>
        <v>0</v>
      </c>
      <c r="O73" s="451">
        <f>IF(AND($M$6&gt;=0.625,$M$6&lt;0.775),L$6,0)</f>
        <v>0</v>
      </c>
      <c r="P73" s="447" t="s">
        <v>1059</v>
      </c>
      <c r="Q73" s="451">
        <v>73</v>
      </c>
      <c r="R73" s="451">
        <f>D$6*0.87</f>
        <v>0</v>
      </c>
      <c r="S73" s="451">
        <f>R73*Y$60</f>
        <v>0</v>
      </c>
      <c r="T73" s="451">
        <v>0.65</v>
      </c>
      <c r="U73" s="451">
        <f>IF(M73=0,0,R73)</f>
        <v>0</v>
      </c>
      <c r="V73" s="462">
        <f>IF(M73=0,0,S73)</f>
        <v>0</v>
      </c>
      <c r="W73" s="462">
        <f>IF(M73=0,0,T73)</f>
        <v>0</v>
      </c>
      <c r="X73" s="447"/>
      <c r="Y73" s="179"/>
      <c r="Z73" s="179"/>
      <c r="AA73" s="176"/>
    </row>
    <row r="74" spans="2:27" ht="14.25" hidden="1">
      <c r="B74" s="447"/>
      <c r="C74" s="45"/>
      <c r="D74" s="45"/>
      <c r="E74" s="45"/>
      <c r="F74" s="45"/>
      <c r="G74" s="45"/>
      <c r="H74" s="45"/>
      <c r="I74" s="45"/>
      <c r="J74" s="45"/>
      <c r="K74" s="45">
        <f>G$6*M74</f>
        <v>0</v>
      </c>
      <c r="L74" s="45">
        <f>IF($M$6&gt;=0.775,I$6,0)</f>
        <v>0</v>
      </c>
      <c r="M74" s="45">
        <f>IF($M$6&gt;=0.775,J$6,0)</f>
        <v>0</v>
      </c>
      <c r="N74" s="45">
        <f>IF($M$6&gt;=0.775,K$6,0)</f>
        <v>0</v>
      </c>
      <c r="O74" s="451">
        <f>IF($M$6&gt;=0.775,L$6,0)</f>
        <v>0</v>
      </c>
      <c r="P74" s="447" t="s">
        <v>1061</v>
      </c>
      <c r="Q74" s="451">
        <v>74</v>
      </c>
      <c r="R74" s="451">
        <f>D$6*0.87</f>
        <v>0</v>
      </c>
      <c r="S74" s="451">
        <f>R74*Y$61</f>
        <v>0</v>
      </c>
      <c r="T74" s="451">
        <v>0.9</v>
      </c>
      <c r="U74" s="451">
        <f>IF(M74=0,0,R74)</f>
        <v>0</v>
      </c>
      <c r="V74" s="462">
        <f>IF(M74=0,0,S74)</f>
        <v>0</v>
      </c>
      <c r="W74" s="462">
        <f>IF(M74=0,0,T74)</f>
        <v>0</v>
      </c>
      <c r="X74" s="447"/>
      <c r="Y74" s="179"/>
      <c r="Z74" s="179"/>
      <c r="AA74" s="176"/>
    </row>
    <row r="75" spans="2:27" ht="14.25" hidden="1">
      <c r="B75" s="447"/>
      <c r="C75" s="45"/>
      <c r="D75" s="45"/>
      <c r="E75" s="45"/>
      <c r="F75" s="45"/>
      <c r="G75" s="45"/>
      <c r="H75" s="45"/>
      <c r="I75" s="45"/>
      <c r="J75" s="45"/>
      <c r="K75" s="45"/>
      <c r="L75" s="45"/>
      <c r="M75" s="45"/>
      <c r="N75" s="45"/>
      <c r="O75" s="451"/>
      <c r="P75" s="447"/>
      <c r="Q75" s="451">
        <v>75</v>
      </c>
      <c r="R75" s="451"/>
      <c r="S75" s="451"/>
      <c r="T75" s="451" t="s">
        <v>1069</v>
      </c>
      <c r="U75" s="451">
        <f>SUM(U70:U74)</f>
        <v>0</v>
      </c>
      <c r="V75" s="462">
        <f>SUM(V70:V74)</f>
        <v>0</v>
      </c>
      <c r="W75" s="462">
        <f>SUM(W70:W74)</f>
        <v>0</v>
      </c>
      <c r="X75" s="447"/>
      <c r="Y75" s="179"/>
      <c r="Z75" s="179"/>
      <c r="AA75" s="176"/>
    </row>
    <row r="76" spans="2:27" ht="21" hidden="1">
      <c r="B76" s="447" t="s">
        <v>1070</v>
      </c>
      <c r="C76" s="45">
        <f>C7*$G$7</f>
        <v>0</v>
      </c>
      <c r="D76" s="45">
        <f>$C76*D7</f>
        <v>0</v>
      </c>
      <c r="E76" s="45">
        <f>$C76*E7</f>
        <v>0</v>
      </c>
      <c r="F76" s="45">
        <f>$C76*F7</f>
        <v>0</v>
      </c>
      <c r="G76" s="45">
        <f>C7-C76</f>
        <v>0</v>
      </c>
      <c r="H76" s="45">
        <f>$G76*D7</f>
        <v>0</v>
      </c>
      <c r="I76" s="45">
        <f>$G76*E7</f>
        <v>0</v>
      </c>
      <c r="J76" s="45">
        <f>$G76*F7</f>
        <v>0</v>
      </c>
      <c r="K76" s="45">
        <f>G$7*M76</f>
        <v>0</v>
      </c>
      <c r="L76" s="45">
        <f>IF($M$7=0,I$7,0)</f>
        <v>0</v>
      </c>
      <c r="M76" s="45">
        <f>IF($M$7=0,J$7,0)</f>
        <v>0</v>
      </c>
      <c r="N76" s="45">
        <f>IF($M$7=0,K$7,0)</f>
        <v>0</v>
      </c>
      <c r="O76" s="451">
        <f>IF($M$7=0,L$7,0)</f>
        <v>0</v>
      </c>
      <c r="P76" s="447" t="s">
        <v>1054</v>
      </c>
      <c r="Q76" s="451">
        <v>76</v>
      </c>
      <c r="R76" s="451">
        <f>D$7*0.87</f>
        <v>0</v>
      </c>
      <c r="S76" s="451">
        <f>R76*Y$60</f>
        <v>0</v>
      </c>
      <c r="T76" s="451">
        <v>0.65</v>
      </c>
      <c r="U76" s="451">
        <f>IF(M76=0,0,R76)</f>
        <v>0</v>
      </c>
      <c r="V76" s="462">
        <f>IF(M76=0,0,S76)</f>
        <v>0</v>
      </c>
      <c r="W76" s="462">
        <f>IF(M76=0,0,T76)</f>
        <v>0</v>
      </c>
      <c r="X76" s="447" t="s">
        <v>1070</v>
      </c>
      <c r="Y76" s="179"/>
      <c r="Z76" s="179"/>
      <c r="AA76" s="176"/>
    </row>
    <row r="77" spans="2:27" ht="14.25" hidden="1">
      <c r="B77" s="447"/>
      <c r="C77" s="45"/>
      <c r="D77" s="45"/>
      <c r="E77" s="45"/>
      <c r="F77" s="45"/>
      <c r="G77" s="45"/>
      <c r="H77" s="45"/>
      <c r="I77" s="45"/>
      <c r="J77" s="45"/>
      <c r="K77" s="45">
        <f>G$7*M77</f>
        <v>0</v>
      </c>
      <c r="L77" s="45">
        <f>IF($M$7=0,0,IF($M$7&lt;0.55,I$7,0))</f>
        <v>0</v>
      </c>
      <c r="M77" s="45">
        <f>IF($M$7=0,0,IF($M$7&lt;0.55,J$7,0))</f>
        <v>0</v>
      </c>
      <c r="N77" s="45">
        <f>IF($M$7=0,0,IF($M$7&lt;0.55,K$7,0))</f>
        <v>0</v>
      </c>
      <c r="O77" s="451">
        <f>IF($M$7=0,0,IF($M$7&lt;0.55,L$7,0))</f>
        <v>0</v>
      </c>
      <c r="P77" s="447" t="s">
        <v>1055</v>
      </c>
      <c r="Q77" s="451">
        <v>77</v>
      </c>
      <c r="R77" s="451">
        <f>D$7*0.87</f>
        <v>0</v>
      </c>
      <c r="S77" s="451">
        <f>R77*Y$58</f>
        <v>0</v>
      </c>
      <c r="T77" s="451">
        <v>0.5</v>
      </c>
      <c r="U77" s="451">
        <f>IF(M77=0,0,R77)</f>
        <v>0</v>
      </c>
      <c r="V77" s="462">
        <f>IF(M77=0,0,S77)</f>
        <v>0</v>
      </c>
      <c r="W77" s="462">
        <f>IF(M77=0,0,T77)</f>
        <v>0</v>
      </c>
      <c r="X77" s="447"/>
      <c r="Y77" s="179"/>
      <c r="Z77" s="179"/>
      <c r="AA77" s="176"/>
    </row>
    <row r="78" spans="2:27" ht="14.25" hidden="1">
      <c r="B78" s="447"/>
      <c r="C78" s="45"/>
      <c r="D78" s="45"/>
      <c r="E78" s="45"/>
      <c r="F78" s="45"/>
      <c r="G78" s="45"/>
      <c r="H78" s="45"/>
      <c r="I78" s="45"/>
      <c r="J78" s="45"/>
      <c r="K78" s="45">
        <f>G$7*M78</f>
        <v>0</v>
      </c>
      <c r="L78" s="45">
        <f>IF(AND($M$7&gt;=0.55,$M$7&lt;0.625),I$7,0)</f>
        <v>0</v>
      </c>
      <c r="M78" s="45">
        <f>IF(AND($M$7&gt;=0.55,$M$7&lt;0.625),J$7,0)</f>
        <v>0</v>
      </c>
      <c r="N78" s="45">
        <f>IF(AND($M$7&gt;=0.55,$M$7&lt;0.625),K$7,0)</f>
        <v>0</v>
      </c>
      <c r="O78" s="451">
        <f>IF(AND($M$7&gt;=0.55,$M$7&lt;0.625),L$7,0)</f>
        <v>0</v>
      </c>
      <c r="P78" s="447" t="s">
        <v>1057</v>
      </c>
      <c r="Q78" s="451">
        <v>78</v>
      </c>
      <c r="R78" s="451">
        <f>D$7*0.87</f>
        <v>0</v>
      </c>
      <c r="S78" s="451">
        <f>R78*Y$59</f>
        <v>0</v>
      </c>
      <c r="T78" s="451">
        <v>0.6</v>
      </c>
      <c r="U78" s="451">
        <f>IF(M78=0,0,R78)</f>
        <v>0</v>
      </c>
      <c r="V78" s="462">
        <f>IF(M78=0,0,S78)</f>
        <v>0</v>
      </c>
      <c r="W78" s="462">
        <f>IF(M78=0,0,T78)</f>
        <v>0</v>
      </c>
      <c r="X78" s="447"/>
      <c r="Y78" s="179"/>
      <c r="Z78" s="179"/>
      <c r="AA78" s="176"/>
    </row>
    <row r="79" spans="2:27" ht="14.25" hidden="1">
      <c r="B79" s="447"/>
      <c r="C79" s="45"/>
      <c r="D79" s="45"/>
      <c r="E79" s="45"/>
      <c r="F79" s="45"/>
      <c r="G79" s="45"/>
      <c r="H79" s="45"/>
      <c r="I79" s="45"/>
      <c r="J79" s="45"/>
      <c r="K79" s="45">
        <f>G$7*M79</f>
        <v>0</v>
      </c>
      <c r="L79" s="45">
        <f>IF(AND($M$7&gt;=0.625,$M$7&lt;0.775),I$7,0)</f>
        <v>0</v>
      </c>
      <c r="M79" s="45">
        <f>IF(AND($M$7&gt;=0.625,$M$7&lt;0.775),J$7,0)</f>
        <v>0</v>
      </c>
      <c r="N79" s="45">
        <f>IF(AND($M$7&gt;=0.625,$M$7&lt;0.775),K$7,0)</f>
        <v>0</v>
      </c>
      <c r="O79" s="451">
        <f>IF(AND($M$7&gt;=0.625,$M$7&lt;0.775),L$7,0)</f>
        <v>0</v>
      </c>
      <c r="P79" s="447" t="s">
        <v>1059</v>
      </c>
      <c r="Q79" s="451">
        <v>79</v>
      </c>
      <c r="R79" s="451">
        <f>D$7*0.87</f>
        <v>0</v>
      </c>
      <c r="S79" s="451">
        <f>R79*Y$60</f>
        <v>0</v>
      </c>
      <c r="T79" s="451">
        <v>0.65</v>
      </c>
      <c r="U79" s="451">
        <f>IF(M79=0,0,R79)</f>
        <v>0</v>
      </c>
      <c r="V79" s="462">
        <f>IF(M79=0,0,S79)</f>
        <v>0</v>
      </c>
      <c r="W79" s="462">
        <f>IF(M79=0,0,T79)</f>
        <v>0</v>
      </c>
      <c r="X79" s="447"/>
      <c r="Y79" s="179"/>
      <c r="Z79" s="179"/>
      <c r="AA79" s="176"/>
    </row>
    <row r="80" spans="2:27" ht="14.25" hidden="1">
      <c r="B80" s="447"/>
      <c r="C80" s="45"/>
      <c r="D80" s="45"/>
      <c r="E80" s="45"/>
      <c r="F80" s="45"/>
      <c r="G80" s="45"/>
      <c r="H80" s="45"/>
      <c r="I80" s="45"/>
      <c r="J80" s="45"/>
      <c r="K80" s="45">
        <f>G$7*M80</f>
        <v>0</v>
      </c>
      <c r="L80" s="45">
        <f>IF($M$7&gt;=0.775,I$7,0)</f>
        <v>0</v>
      </c>
      <c r="M80" s="45">
        <f>IF($M$7&gt;=0.775,J$7,0)</f>
        <v>0</v>
      </c>
      <c r="N80" s="45">
        <f>IF($M$7&gt;=0.775,K$7,0)</f>
        <v>0</v>
      </c>
      <c r="O80" s="451">
        <f>IF($M$7&gt;=0.775,L$7,0)</f>
        <v>0</v>
      </c>
      <c r="P80" s="447" t="s">
        <v>1061</v>
      </c>
      <c r="Q80" s="451">
        <v>80</v>
      </c>
      <c r="R80" s="451">
        <f>D$7*0.87</f>
        <v>0</v>
      </c>
      <c r="S80" s="451">
        <f>R80*Y$61</f>
        <v>0</v>
      </c>
      <c r="T80" s="451">
        <v>0.9</v>
      </c>
      <c r="U80" s="451">
        <f>IF(M80=0,0,R80)</f>
        <v>0</v>
      </c>
      <c r="V80" s="462">
        <f>IF(M80=0,0,S80)</f>
        <v>0</v>
      </c>
      <c r="W80" s="462">
        <f>IF(M80=0,0,T80)</f>
        <v>0</v>
      </c>
      <c r="X80" s="447"/>
      <c r="Y80" s="179"/>
      <c r="Z80" s="179"/>
      <c r="AA80" s="176"/>
    </row>
    <row r="81" spans="2:27" ht="14.25" hidden="1">
      <c r="B81" s="447"/>
      <c r="C81" s="45"/>
      <c r="D81" s="45"/>
      <c r="E81" s="45"/>
      <c r="F81" s="45"/>
      <c r="G81" s="45"/>
      <c r="H81" s="45"/>
      <c r="I81" s="45"/>
      <c r="J81" s="45"/>
      <c r="K81" s="45"/>
      <c r="L81" s="45"/>
      <c r="M81" s="45"/>
      <c r="N81" s="45"/>
      <c r="O81" s="451"/>
      <c r="P81" s="447"/>
      <c r="Q81" s="451">
        <v>81</v>
      </c>
      <c r="R81" s="451"/>
      <c r="S81" s="451"/>
      <c r="T81" s="451" t="s">
        <v>1070</v>
      </c>
      <c r="U81" s="451">
        <f>SUM(U76:U80)</f>
        <v>0</v>
      </c>
      <c r="V81" s="462">
        <f>SUM(V76:V80)</f>
        <v>0</v>
      </c>
      <c r="W81" s="462">
        <f>SUM(W76:W80)</f>
        <v>0</v>
      </c>
      <c r="X81" s="447"/>
      <c r="Y81" s="179"/>
      <c r="Z81" s="179"/>
      <c r="AA81" s="176"/>
    </row>
    <row r="82" spans="2:27" ht="21" hidden="1">
      <c r="B82" s="447" t="s">
        <v>1071</v>
      </c>
      <c r="C82" s="45">
        <f>C9*$G$9</f>
        <v>0</v>
      </c>
      <c r="D82" s="45">
        <f>$C82*D9</f>
        <v>0</v>
      </c>
      <c r="E82" s="45">
        <f>$C82*E9</f>
        <v>0</v>
      </c>
      <c r="F82" s="45">
        <f>$C82*F9</f>
        <v>0</v>
      </c>
      <c r="G82" s="45">
        <f>C9-C82</f>
        <v>0</v>
      </c>
      <c r="H82" s="45">
        <f>$G82*D9</f>
        <v>0</v>
      </c>
      <c r="I82" s="45">
        <f>$G82*E9</f>
        <v>0</v>
      </c>
      <c r="J82" s="45">
        <f>$G82*F9</f>
        <v>0</v>
      </c>
      <c r="K82" s="45">
        <f>G$9*M82</f>
        <v>0</v>
      </c>
      <c r="L82" s="45">
        <f>IF($H$9=0,I$9,0)</f>
        <v>0</v>
      </c>
      <c r="M82" s="45">
        <f>IF($H$9=0,J$9,0)</f>
        <v>0</v>
      </c>
      <c r="N82" s="45">
        <f>IF($H$9=0,K$9,0)</f>
        <v>0</v>
      </c>
      <c r="O82" s="451">
        <f>IF($H$9=0,L$9,0)</f>
        <v>0</v>
      </c>
      <c r="P82" s="447" t="s">
        <v>1072</v>
      </c>
      <c r="Q82" s="451">
        <v>82</v>
      </c>
      <c r="R82" s="451">
        <f>D9*0.87</f>
        <v>0</v>
      </c>
      <c r="S82" s="451">
        <f>R82*Y$58</f>
        <v>0</v>
      </c>
      <c r="T82" s="451">
        <v>0.5</v>
      </c>
      <c r="U82" s="451">
        <f>IF(M82=0,0,R82)</f>
        <v>0</v>
      </c>
      <c r="V82" s="462">
        <f>IF(M82=0,0,S82)</f>
        <v>0</v>
      </c>
      <c r="W82" s="462">
        <f>IF(M82=0,0,T82)</f>
        <v>0</v>
      </c>
      <c r="X82" s="447" t="s">
        <v>1071</v>
      </c>
      <c r="Y82" s="179"/>
      <c r="Z82" s="179"/>
      <c r="AA82" s="176"/>
    </row>
    <row r="83" spans="2:27" ht="14.25" hidden="1">
      <c r="B83" s="447"/>
      <c r="C83" s="45"/>
      <c r="D83" s="45"/>
      <c r="E83" s="45"/>
      <c r="F83" s="45"/>
      <c r="G83" s="45"/>
      <c r="H83" s="45"/>
      <c r="I83" s="45"/>
      <c r="J83" s="45"/>
      <c r="K83" s="45">
        <f>G$9*M83</f>
        <v>0</v>
      </c>
      <c r="L83" s="45">
        <f>IF($M$9&gt;=0.325,I$9,0)</f>
        <v>0</v>
      </c>
      <c r="M83" s="45">
        <f>IF($M$9&gt;=0.325,J$9,0)</f>
        <v>0</v>
      </c>
      <c r="N83" s="45">
        <f>IF($M$9&gt;=0.325,K$9,0)</f>
        <v>0</v>
      </c>
      <c r="O83" s="451">
        <f>IF($M$9&gt;=0.325,L$9,0)</f>
        <v>0</v>
      </c>
      <c r="P83" s="447" t="s">
        <v>1055</v>
      </c>
      <c r="Q83" s="451">
        <v>83</v>
      </c>
      <c r="R83" s="451">
        <f>D9*0.87</f>
        <v>0</v>
      </c>
      <c r="S83" s="451">
        <f>R83*Y$58</f>
        <v>0</v>
      </c>
      <c r="T83" s="451">
        <v>0.5</v>
      </c>
      <c r="U83" s="451">
        <f>IF(M83=0,0,R83)</f>
        <v>0</v>
      </c>
      <c r="V83" s="462">
        <f>IF(M83=0,0,S83)</f>
        <v>0</v>
      </c>
      <c r="W83" s="462">
        <f>IF(M83=0,0,T83)</f>
        <v>0</v>
      </c>
      <c r="X83" s="447"/>
      <c r="Y83" s="179"/>
      <c r="Z83" s="179"/>
      <c r="AA83" s="176"/>
    </row>
    <row r="84" spans="2:27" ht="14.25" hidden="1">
      <c r="B84" s="447"/>
      <c r="C84" s="45"/>
      <c r="D84" s="45"/>
      <c r="E84" s="45"/>
      <c r="F84" s="45"/>
      <c r="G84" s="45"/>
      <c r="H84" s="45"/>
      <c r="I84" s="45"/>
      <c r="J84" s="45"/>
      <c r="K84" s="45">
        <f>G$9*M84</f>
        <v>0</v>
      </c>
      <c r="L84" s="45">
        <f>IF($M$9=0,0,IF($M$9&lt;0.325,I$9,0))</f>
        <v>0</v>
      </c>
      <c r="M84" s="45">
        <f>IF($M$9=0,0,IF($M$9&lt;0.325,J$9,0))</f>
        <v>0</v>
      </c>
      <c r="N84" s="45">
        <f>IF($M$9=0,0,IF($M$9&lt;0.325,K$9,0))</f>
        <v>0</v>
      </c>
      <c r="O84" s="451">
        <f>IF($M$9=0,0,IF($M$9&lt;0.325,L$9,0))</f>
        <v>0</v>
      </c>
      <c r="P84" s="447" t="s">
        <v>1063</v>
      </c>
      <c r="Q84" s="451">
        <v>84</v>
      </c>
      <c r="R84" s="451">
        <f>D9*0.91</f>
        <v>0</v>
      </c>
      <c r="S84" s="451">
        <f>R84*Y$62</f>
        <v>0</v>
      </c>
      <c r="T84" s="451">
        <v>0.15</v>
      </c>
      <c r="U84" s="451">
        <f>IF(M84=0,0,R84)</f>
        <v>0</v>
      </c>
      <c r="V84" s="462">
        <f>IF(M84=0,0,S84)</f>
        <v>0</v>
      </c>
      <c r="W84" s="462">
        <f>IF(M84=0,0,T84)</f>
        <v>0</v>
      </c>
      <c r="X84" s="447"/>
      <c r="Y84" s="179"/>
      <c r="Z84" s="179"/>
      <c r="AA84" s="176"/>
    </row>
    <row r="85" spans="2:27" ht="14.25" hidden="1">
      <c r="B85" s="447"/>
      <c r="C85" s="45"/>
      <c r="D85" s="45"/>
      <c r="E85" s="45"/>
      <c r="F85" s="45"/>
      <c r="G85" s="45"/>
      <c r="H85" s="45"/>
      <c r="I85" s="45"/>
      <c r="J85" s="45"/>
      <c r="K85" s="45"/>
      <c r="L85" s="45"/>
      <c r="M85" s="45"/>
      <c r="N85" s="45"/>
      <c r="O85" s="451"/>
      <c r="P85" s="447"/>
      <c r="Q85" s="451">
        <v>85</v>
      </c>
      <c r="R85" s="451"/>
      <c r="S85" s="451"/>
      <c r="T85" s="451" t="s">
        <v>1071</v>
      </c>
      <c r="U85" s="451">
        <f>SUM(U82:U84)</f>
        <v>0</v>
      </c>
      <c r="V85" s="462">
        <f>SUM(V82:V84)</f>
        <v>0</v>
      </c>
      <c r="W85" s="462">
        <f>SUM(W82:W84)</f>
        <v>0</v>
      </c>
      <c r="X85" s="447"/>
      <c r="Y85" s="179"/>
      <c r="Z85" s="179"/>
      <c r="AA85" s="176"/>
    </row>
    <row r="86" spans="2:27" ht="21" hidden="1">
      <c r="B86" s="447" t="s">
        <v>1073</v>
      </c>
      <c r="C86" s="45">
        <f>C10*$G$9</f>
        <v>0</v>
      </c>
      <c r="D86" s="45">
        <f>$C86*D10</f>
        <v>0</v>
      </c>
      <c r="E86" s="45">
        <f>$C86*E10</f>
        <v>0</v>
      </c>
      <c r="F86" s="45">
        <f>$C86*F10</f>
        <v>0</v>
      </c>
      <c r="G86" s="45">
        <f>C10-C86</f>
        <v>0</v>
      </c>
      <c r="H86" s="45">
        <f>$G86*D10</f>
        <v>0</v>
      </c>
      <c r="I86" s="45">
        <f>$G86*E10</f>
        <v>0</v>
      </c>
      <c r="J86" s="45">
        <f>$G86*F10</f>
        <v>0</v>
      </c>
      <c r="K86" s="45">
        <f>G$10*M86</f>
        <v>0</v>
      </c>
      <c r="L86" s="45">
        <f>IF($H$10=0,I$10,0)</f>
        <v>0</v>
      </c>
      <c r="M86" s="45">
        <f>IF($H$10=0,J$10,0)</f>
        <v>0</v>
      </c>
      <c r="N86" s="45">
        <f>IF($H$10=0,K$10,0)</f>
        <v>0</v>
      </c>
      <c r="O86" s="451">
        <f>IF($H$10=0,L$10,0)</f>
        <v>0</v>
      </c>
      <c r="P86" s="447" t="s">
        <v>1072</v>
      </c>
      <c r="Q86" s="451">
        <v>86</v>
      </c>
      <c r="R86" s="451">
        <f>D10*0.87</f>
        <v>0</v>
      </c>
      <c r="S86" s="451">
        <f>R86*Y$58</f>
        <v>0</v>
      </c>
      <c r="T86" s="451">
        <v>0.5</v>
      </c>
      <c r="U86" s="451">
        <f>IF(M86=0,0,R86)</f>
        <v>0</v>
      </c>
      <c r="V86" s="462">
        <f>IF(M86=0,0,S86)</f>
        <v>0</v>
      </c>
      <c r="W86" s="462">
        <f>IF(M86=0,0,T86)</f>
        <v>0</v>
      </c>
      <c r="X86" s="447" t="s">
        <v>1073</v>
      </c>
      <c r="Y86" s="179"/>
      <c r="Z86" s="179"/>
      <c r="AA86" s="176"/>
    </row>
    <row r="87" spans="2:27" ht="14.25" hidden="1">
      <c r="B87" s="447"/>
      <c r="C87" s="45"/>
      <c r="D87" s="45"/>
      <c r="E87" s="45"/>
      <c r="F87" s="45"/>
      <c r="G87" s="45"/>
      <c r="H87" s="45"/>
      <c r="I87" s="45"/>
      <c r="J87" s="45"/>
      <c r="K87" s="45">
        <f>G$10*M87</f>
        <v>0</v>
      </c>
      <c r="L87" s="45">
        <f>IF($M$10&gt;=0.325,I$10,0)</f>
        <v>0</v>
      </c>
      <c r="M87" s="45">
        <f>IF($M$10&gt;=0.325,J$10,0)</f>
        <v>0</v>
      </c>
      <c r="N87" s="45">
        <f>IF($M$10&gt;=0.325,K$10,0)</f>
        <v>0</v>
      </c>
      <c r="O87" s="451">
        <f>IF($M$10&gt;=0.325,L$10,0)</f>
        <v>0</v>
      </c>
      <c r="P87" s="447" t="s">
        <v>1055</v>
      </c>
      <c r="Q87" s="451">
        <v>87</v>
      </c>
      <c r="R87" s="451">
        <f>D10*0.87</f>
        <v>0</v>
      </c>
      <c r="S87" s="451">
        <f>R87*Y$58</f>
        <v>0</v>
      </c>
      <c r="T87" s="451">
        <v>0.5</v>
      </c>
      <c r="U87" s="451">
        <f>IF(M87=0,0,R87)</f>
        <v>0</v>
      </c>
      <c r="V87" s="462">
        <f>IF(M87=0,0,S87)</f>
        <v>0</v>
      </c>
      <c r="W87" s="462">
        <f>IF(M87=0,0,T87)</f>
        <v>0</v>
      </c>
      <c r="X87" s="447"/>
      <c r="Y87" s="179"/>
      <c r="Z87" s="179"/>
      <c r="AA87" s="176"/>
    </row>
    <row r="88" spans="2:27" ht="14.25" hidden="1">
      <c r="B88" s="447"/>
      <c r="C88" s="45"/>
      <c r="D88" s="45"/>
      <c r="E88" s="45"/>
      <c r="F88" s="45"/>
      <c r="G88" s="45"/>
      <c r="H88" s="45"/>
      <c r="I88" s="45"/>
      <c r="J88" s="45"/>
      <c r="K88" s="45">
        <f>G$10*M88</f>
        <v>0</v>
      </c>
      <c r="L88" s="45">
        <f>IF($M$10=0,0,IF($M$10&lt;0.325,I$10,0))</f>
        <v>0</v>
      </c>
      <c r="M88" s="45">
        <f>IF($M$10=0,0,IF($M$10&lt;0.325,J$10,0))</f>
        <v>0</v>
      </c>
      <c r="N88" s="45">
        <f>IF($M$10=0,0,IF($M$10&lt;0.325,K$10,0))</f>
        <v>0</v>
      </c>
      <c r="O88" s="451">
        <f>IF($M$10=0,0,IF($M$10&lt;0.325,L$10,0))</f>
        <v>0</v>
      </c>
      <c r="P88" s="447" t="s">
        <v>1063</v>
      </c>
      <c r="Q88" s="451">
        <v>88</v>
      </c>
      <c r="R88" s="451">
        <f>D10*0.91</f>
        <v>0</v>
      </c>
      <c r="S88" s="451">
        <f>R88*Y$62</f>
        <v>0</v>
      </c>
      <c r="T88" s="451">
        <v>0.15</v>
      </c>
      <c r="U88" s="451">
        <f>IF(M88=0,0,R88)</f>
        <v>0</v>
      </c>
      <c r="V88" s="462">
        <f>IF(M88=0,0,S88)</f>
        <v>0</v>
      </c>
      <c r="W88" s="462">
        <f>IF(M88=0,0,T88)</f>
        <v>0</v>
      </c>
      <c r="X88" s="447"/>
      <c r="Y88" s="179"/>
      <c r="Z88" s="179"/>
      <c r="AA88" s="176"/>
    </row>
    <row r="89" spans="2:27" ht="14.25" hidden="1">
      <c r="B89" s="447"/>
      <c r="C89" s="45"/>
      <c r="D89" s="45"/>
      <c r="E89" s="45"/>
      <c r="F89" s="45"/>
      <c r="G89" s="45"/>
      <c r="H89" s="45"/>
      <c r="I89" s="45"/>
      <c r="J89" s="45"/>
      <c r="K89" s="45"/>
      <c r="L89" s="45"/>
      <c r="M89" s="45"/>
      <c r="N89" s="45"/>
      <c r="O89" s="451"/>
      <c r="P89" s="447"/>
      <c r="Q89" s="451">
        <v>89</v>
      </c>
      <c r="R89" s="451"/>
      <c r="S89" s="451"/>
      <c r="T89" s="451" t="s">
        <v>1073</v>
      </c>
      <c r="U89" s="451">
        <f>SUM(U86:U88)</f>
        <v>0</v>
      </c>
      <c r="V89" s="462">
        <f>SUM(V86:V88)</f>
        <v>0</v>
      </c>
      <c r="W89" s="462">
        <f>SUM(W86:W88)</f>
        <v>0</v>
      </c>
      <c r="X89" s="447"/>
      <c r="Y89" s="179"/>
      <c r="Z89" s="179"/>
      <c r="AA89" s="176"/>
    </row>
    <row r="90" spans="2:27" ht="21" hidden="1">
      <c r="B90" s="447" t="s">
        <v>1074</v>
      </c>
      <c r="C90" s="45">
        <f>C11*$G$9</f>
        <v>0</v>
      </c>
      <c r="D90" s="45">
        <f>$C90*D11</f>
        <v>0</v>
      </c>
      <c r="E90" s="45">
        <f>$C90*E11</f>
        <v>0</v>
      </c>
      <c r="F90" s="45">
        <f>$C90*F11</f>
        <v>0</v>
      </c>
      <c r="G90" s="45">
        <f>C11-C90</f>
        <v>0</v>
      </c>
      <c r="H90" s="45">
        <f>$G90*D11</f>
        <v>0</v>
      </c>
      <c r="I90" s="45">
        <f>$G90*E11</f>
        <v>0</v>
      </c>
      <c r="J90" s="45">
        <f>$G90*F11</f>
        <v>0</v>
      </c>
      <c r="K90" s="45">
        <f>G$11*M90</f>
        <v>0</v>
      </c>
      <c r="L90" s="45">
        <f>IF($H$11=0,I$11,0)</f>
        <v>0</v>
      </c>
      <c r="M90" s="45">
        <f>IF($H$11=0,J$11,0)</f>
        <v>0</v>
      </c>
      <c r="N90" s="45">
        <f>IF($H$11=0,K$11,0)</f>
        <v>0</v>
      </c>
      <c r="O90" s="451">
        <f>IF($H$11=0,L$11,0)</f>
        <v>0</v>
      </c>
      <c r="P90" s="447" t="s">
        <v>1072</v>
      </c>
      <c r="Q90" s="451">
        <v>90</v>
      </c>
      <c r="R90" s="451">
        <f>D11*0.87</f>
        <v>0</v>
      </c>
      <c r="S90" s="451">
        <f>R90*Y$58</f>
        <v>0</v>
      </c>
      <c r="T90" s="451">
        <v>0.5</v>
      </c>
      <c r="U90" s="451">
        <f>IF(M90=0,0,R90)</f>
        <v>0</v>
      </c>
      <c r="V90" s="462">
        <f>IF(M90=0,0,S90)</f>
        <v>0</v>
      </c>
      <c r="W90" s="462">
        <f>IF(M90=0,0,T90)</f>
        <v>0</v>
      </c>
      <c r="X90" s="447" t="s">
        <v>1074</v>
      </c>
      <c r="Y90" s="179"/>
      <c r="Z90" s="179"/>
      <c r="AA90" s="176"/>
    </row>
    <row r="91" spans="2:27" ht="14.25" hidden="1">
      <c r="B91" s="447"/>
      <c r="C91" s="45"/>
      <c r="D91" s="45"/>
      <c r="E91" s="45"/>
      <c r="F91" s="45"/>
      <c r="G91" s="45"/>
      <c r="H91" s="45"/>
      <c r="I91" s="45"/>
      <c r="J91" s="45"/>
      <c r="K91" s="45">
        <f>G$11*M91</f>
        <v>0</v>
      </c>
      <c r="L91" s="45">
        <f>IF($M$11&gt;=0.325,I$11,0)</f>
        <v>0</v>
      </c>
      <c r="M91" s="45">
        <f>IF($M$11&gt;=0.325,J$11,0)</f>
        <v>0</v>
      </c>
      <c r="N91" s="45">
        <f>IF($M$11&gt;=0.325,K$11,0)</f>
        <v>0</v>
      </c>
      <c r="O91" s="451">
        <f>IF($M$11&gt;=0.325,L$11,0)</f>
        <v>0</v>
      </c>
      <c r="P91" s="447" t="s">
        <v>1055</v>
      </c>
      <c r="Q91" s="451">
        <v>91</v>
      </c>
      <c r="R91" s="451">
        <f>D11*0.87</f>
        <v>0</v>
      </c>
      <c r="S91" s="451">
        <f>R91*Y$58</f>
        <v>0</v>
      </c>
      <c r="T91" s="451">
        <v>0.5</v>
      </c>
      <c r="U91" s="451">
        <f>IF(M91=0,0,R91)</f>
        <v>0</v>
      </c>
      <c r="V91" s="462">
        <f>IF(O91=0,0,S91)</f>
        <v>0</v>
      </c>
      <c r="W91" s="462">
        <f>IF(O91=0,0,T91)</f>
        <v>0</v>
      </c>
      <c r="X91" s="447"/>
      <c r="Y91" s="179"/>
      <c r="Z91" s="179"/>
      <c r="AA91" s="176"/>
    </row>
    <row r="92" spans="2:27" ht="14.25" hidden="1">
      <c r="B92" s="447"/>
      <c r="C92" s="45"/>
      <c r="D92" s="45"/>
      <c r="E92" s="45"/>
      <c r="F92" s="45"/>
      <c r="G92" s="45"/>
      <c r="H92" s="45"/>
      <c r="I92" s="45"/>
      <c r="J92" s="45"/>
      <c r="K92" s="45">
        <f>G$11*M92</f>
        <v>0</v>
      </c>
      <c r="L92" s="45">
        <f>IF($M$11=0,0,IF($M$11&lt;0.325,I$11,0))</f>
        <v>0</v>
      </c>
      <c r="M92" s="45">
        <f>IF($M$11=0,0,IF($M$11&lt;0.325,J$11,0))</f>
        <v>0</v>
      </c>
      <c r="N92" s="45">
        <f>IF($M$11=0,0,IF($M$11&lt;0.325,K$11,0))</f>
        <v>0</v>
      </c>
      <c r="O92" s="451">
        <f>IF($M$11=0,0,IF($M$11&lt;0.325,L$11,0))</f>
        <v>0</v>
      </c>
      <c r="P92" s="447" t="s">
        <v>1063</v>
      </c>
      <c r="Q92" s="451">
        <v>92</v>
      </c>
      <c r="R92" s="451">
        <f>D11*0.91</f>
        <v>0</v>
      </c>
      <c r="S92" s="451">
        <f>R92*Y$62</f>
        <v>0</v>
      </c>
      <c r="T92" s="451">
        <v>0.15</v>
      </c>
      <c r="U92" s="451">
        <f>IF(M92=0,0,R92)</f>
        <v>0</v>
      </c>
      <c r="V92" s="462">
        <f>IF(O92=0,0,S92)</f>
        <v>0</v>
      </c>
      <c r="W92" s="462">
        <f>IF(O92=0,0,T92)</f>
        <v>0</v>
      </c>
      <c r="X92" s="447"/>
      <c r="Y92" s="179"/>
      <c r="Z92" s="179"/>
      <c r="AA92" s="176"/>
    </row>
    <row r="93" spans="2:27" ht="14.25" hidden="1">
      <c r="B93" s="447"/>
      <c r="C93" s="45"/>
      <c r="D93" s="45"/>
      <c r="E93" s="45"/>
      <c r="F93" s="45"/>
      <c r="G93" s="45"/>
      <c r="H93" s="45"/>
      <c r="I93" s="45"/>
      <c r="J93" s="45"/>
      <c r="K93" s="45"/>
      <c r="L93" s="45"/>
      <c r="M93" s="45"/>
      <c r="N93" s="45"/>
      <c r="O93" s="451"/>
      <c r="P93" s="447"/>
      <c r="Q93" s="451">
        <v>93</v>
      </c>
      <c r="R93" s="451"/>
      <c r="S93" s="451"/>
      <c r="T93" s="451" t="s">
        <v>1074</v>
      </c>
      <c r="U93" s="451">
        <f>SUM(U90:U92)</f>
        <v>0</v>
      </c>
      <c r="V93" s="462">
        <f>SUM(V90:V92)</f>
        <v>0</v>
      </c>
      <c r="W93" s="462">
        <f>SUM(W90:W92)</f>
        <v>0</v>
      </c>
      <c r="X93" s="447"/>
      <c r="Y93" s="179"/>
      <c r="Z93" s="179"/>
      <c r="AA93" s="176"/>
    </row>
    <row r="94" spans="2:27" ht="21" hidden="1">
      <c r="B94" s="447" t="s">
        <v>1075</v>
      </c>
      <c r="C94" s="45">
        <f>C13*$G$13</f>
        <v>0</v>
      </c>
      <c r="D94" s="45">
        <f>$C13*D13*$G$13</f>
        <v>0</v>
      </c>
      <c r="E94" s="45">
        <f>$C13*E13*$G$13</f>
        <v>0</v>
      </c>
      <c r="F94" s="45">
        <f>$C13*F13*$G$13</f>
        <v>0</v>
      </c>
      <c r="G94" s="45">
        <f>C13-C94</f>
        <v>0</v>
      </c>
      <c r="H94" s="45">
        <f>$G94*D13</f>
        <v>0</v>
      </c>
      <c r="I94" s="45">
        <f>$G94*E13</f>
        <v>0</v>
      </c>
      <c r="J94" s="45">
        <f>$G94*F13</f>
        <v>0</v>
      </c>
      <c r="K94" s="45">
        <f t="shared" ref="K94:K101" si="6">G$13*M94</f>
        <v>0</v>
      </c>
      <c r="L94" s="45">
        <f>IF($H$13=0,I$13,0)</f>
        <v>0</v>
      </c>
      <c r="M94" s="45">
        <f>IF($H$13=0,J$13,0)</f>
        <v>0</v>
      </c>
      <c r="N94" s="45">
        <f>IF($H$13=0,K$13,0)</f>
        <v>0</v>
      </c>
      <c r="O94" s="451">
        <f>IF($H$13=0,L$13,0)</f>
        <v>0</v>
      </c>
      <c r="P94" s="447" t="s">
        <v>1054</v>
      </c>
      <c r="Q94" s="451">
        <v>94</v>
      </c>
      <c r="R94" s="451">
        <f>D$13*0.87</f>
        <v>0</v>
      </c>
      <c r="S94" s="451">
        <f>R94*Y$60</f>
        <v>0</v>
      </c>
      <c r="T94" s="451">
        <v>0.65</v>
      </c>
      <c r="U94" s="451">
        <f t="shared" ref="U94:U101" si="7">IF(M94=0,0,R94)</f>
        <v>0</v>
      </c>
      <c r="V94" s="462">
        <f t="shared" ref="V94:V101" si="8">IF(M94=0,0,S94)</f>
        <v>0</v>
      </c>
      <c r="W94" s="462">
        <f t="shared" ref="W94:W101" si="9">IF(M94=0,0,T94)</f>
        <v>0</v>
      </c>
      <c r="X94" s="447" t="s">
        <v>1075</v>
      </c>
      <c r="Y94" s="179"/>
      <c r="Z94" s="179"/>
      <c r="AA94" s="176"/>
    </row>
    <row r="95" spans="2:27" ht="14.25" hidden="1">
      <c r="B95" s="447"/>
      <c r="C95" s="45"/>
      <c r="D95" s="45"/>
      <c r="E95" s="45"/>
      <c r="F95" s="45"/>
      <c r="G95" s="45"/>
      <c r="H95" s="45"/>
      <c r="I95" s="45"/>
      <c r="J95" s="45"/>
      <c r="K95" s="45">
        <f t="shared" si="6"/>
        <v>0</v>
      </c>
      <c r="L95" s="45">
        <f>IF($M$13=0,0,IF($M$13&lt;0.03,I$13,0))</f>
        <v>0</v>
      </c>
      <c r="M95" s="45">
        <f>IF($M$13=0,0,IF($M$13&lt;0.03,J$13,0))</f>
        <v>0</v>
      </c>
      <c r="N95" s="45">
        <f>IF($M$13=0,0,IF($M$13&lt;0.03,K$13,0))</f>
        <v>0</v>
      </c>
      <c r="O95" s="451">
        <f>IF($M$13=0,0,IF($M$13&lt;0.03,L$13,0))</f>
        <v>0</v>
      </c>
      <c r="P95" s="447" t="s">
        <v>993</v>
      </c>
      <c r="Q95" s="451">
        <v>95</v>
      </c>
      <c r="R95" s="451">
        <f>D$13*0.91</f>
        <v>0</v>
      </c>
      <c r="S95" s="451">
        <f>R95*Y$64</f>
        <v>0</v>
      </c>
      <c r="T95" s="451">
        <v>0.01</v>
      </c>
      <c r="U95" s="451">
        <f t="shared" si="7"/>
        <v>0</v>
      </c>
      <c r="V95" s="462">
        <f t="shared" si="8"/>
        <v>0</v>
      </c>
      <c r="W95" s="462">
        <f t="shared" si="9"/>
        <v>0</v>
      </c>
      <c r="X95" s="447"/>
      <c r="Y95" s="179"/>
      <c r="Z95" s="179"/>
      <c r="AA95" s="176"/>
    </row>
    <row r="96" spans="2:27" ht="14.25" hidden="1">
      <c r="B96" s="447"/>
      <c r="C96" s="45"/>
      <c r="D96" s="45"/>
      <c r="E96" s="45"/>
      <c r="F96" s="45"/>
      <c r="G96" s="45"/>
      <c r="H96" s="45"/>
      <c r="I96" s="45"/>
      <c r="J96" s="45"/>
      <c r="K96" s="45">
        <f t="shared" si="6"/>
        <v>0</v>
      </c>
      <c r="L96" s="45">
        <f>IF(AND($M$13&gt;=0.03,$M$13&lt;0.1),I$13,0)</f>
        <v>0</v>
      </c>
      <c r="M96" s="45">
        <f>IF(AND($M$13&gt;=0.03,$M$13&lt;0.1),J$13,0)</f>
        <v>0</v>
      </c>
      <c r="N96" s="45">
        <f>IF(AND($M$13&gt;=0.03,$M$13&lt;0.1),K$13,0)</f>
        <v>0</v>
      </c>
      <c r="O96" s="451">
        <f>IF(AND($M$13&gt;=0.03,$M$13&lt;0.1),L$13,0)</f>
        <v>0</v>
      </c>
      <c r="P96" s="447" t="s">
        <v>1065</v>
      </c>
      <c r="Q96" s="451">
        <v>96</v>
      </c>
      <c r="R96" s="451">
        <f>D$13*0.91</f>
        <v>0</v>
      </c>
      <c r="S96" s="451">
        <f>R96*Y$63</f>
        <v>0</v>
      </c>
      <c r="T96" s="451">
        <v>0.05</v>
      </c>
      <c r="U96" s="451">
        <f t="shared" si="7"/>
        <v>0</v>
      </c>
      <c r="V96" s="462">
        <f t="shared" si="8"/>
        <v>0</v>
      </c>
      <c r="W96" s="462">
        <f t="shared" si="9"/>
        <v>0</v>
      </c>
      <c r="X96" s="447"/>
      <c r="Y96" s="179"/>
      <c r="Z96" s="179"/>
      <c r="AA96" s="176"/>
    </row>
    <row r="97" spans="2:27" ht="14.25" hidden="1">
      <c r="B97" s="447"/>
      <c r="C97" s="45"/>
      <c r="D97" s="45"/>
      <c r="E97" s="45"/>
      <c r="F97" s="45"/>
      <c r="G97" s="45"/>
      <c r="H97" s="45"/>
      <c r="I97" s="45"/>
      <c r="J97" s="45"/>
      <c r="K97" s="45">
        <f t="shared" si="6"/>
        <v>0</v>
      </c>
      <c r="L97" s="45">
        <f>IF(AND($M$13&gt;=0.1,$M$13&lt;0.325),I$13,0)</f>
        <v>0</v>
      </c>
      <c r="M97" s="45">
        <f>IF(AND($M$13&gt;=0.1,$M$13&lt;0.325),J$13,0)</f>
        <v>0</v>
      </c>
      <c r="N97" s="45">
        <f>IF(AND($M$13&gt;=0.1,$M$13&lt;0.325),K$13,0)</f>
        <v>0</v>
      </c>
      <c r="O97" s="451">
        <f>IF(AND($M$13&gt;=0.1,$M$13&lt;0.325),L$13,0)</f>
        <v>0</v>
      </c>
      <c r="P97" s="447" t="s">
        <v>1063</v>
      </c>
      <c r="Q97" s="451">
        <v>97</v>
      </c>
      <c r="R97" s="451">
        <f>D$13*0.91</f>
        <v>0</v>
      </c>
      <c r="S97" s="451">
        <f>R97*Y$62</f>
        <v>0</v>
      </c>
      <c r="T97" s="451">
        <v>0.15</v>
      </c>
      <c r="U97" s="451">
        <f t="shared" si="7"/>
        <v>0</v>
      </c>
      <c r="V97" s="462">
        <f t="shared" si="8"/>
        <v>0</v>
      </c>
      <c r="W97" s="462">
        <f t="shared" si="9"/>
        <v>0</v>
      </c>
      <c r="X97" s="447"/>
      <c r="Y97" s="179"/>
      <c r="Z97" s="179"/>
      <c r="AA97" s="176"/>
    </row>
    <row r="98" spans="2:27" ht="14.25" hidden="1">
      <c r="B98" s="447"/>
      <c r="C98" s="45"/>
      <c r="D98" s="45"/>
      <c r="E98" s="45"/>
      <c r="F98" s="45"/>
      <c r="G98" s="45"/>
      <c r="H98" s="45"/>
      <c r="I98" s="45"/>
      <c r="J98" s="45"/>
      <c r="K98" s="45">
        <f t="shared" si="6"/>
        <v>0</v>
      </c>
      <c r="L98" s="45">
        <f>IF(AND($M$13&gt;=0.325,$M$13&lt;0.55),I$13,0)</f>
        <v>0</v>
      </c>
      <c r="M98" s="45">
        <f>IF(AND($M$13&gt;=0.325,$M$13&lt;0.55),J$13,0)</f>
        <v>0</v>
      </c>
      <c r="N98" s="45">
        <f>IF(AND($M$13&gt;=0.325,$M$13&lt;0.55),K$13,0)</f>
        <v>0</v>
      </c>
      <c r="O98" s="451">
        <f>IF(AND($M$13&gt;=0.325,$M$13&lt;0.55),L$13,0)</f>
        <v>0</v>
      </c>
      <c r="P98" s="447" t="s">
        <v>1076</v>
      </c>
      <c r="Q98" s="451">
        <v>98</v>
      </c>
      <c r="R98" s="451">
        <f>D$13*0.87</f>
        <v>0</v>
      </c>
      <c r="S98" s="451">
        <f>R98*Y$58</f>
        <v>0</v>
      </c>
      <c r="T98" s="451">
        <v>0.5</v>
      </c>
      <c r="U98" s="451">
        <f t="shared" si="7"/>
        <v>0</v>
      </c>
      <c r="V98" s="462">
        <f t="shared" si="8"/>
        <v>0</v>
      </c>
      <c r="W98" s="462">
        <f t="shared" si="9"/>
        <v>0</v>
      </c>
      <c r="X98" s="447"/>
      <c r="Y98" s="179"/>
      <c r="Z98" s="179"/>
      <c r="AA98" s="176"/>
    </row>
    <row r="99" spans="2:27" ht="14.25" hidden="1">
      <c r="B99" s="447"/>
      <c r="C99" s="45"/>
      <c r="D99" s="45"/>
      <c r="E99" s="45"/>
      <c r="F99" s="45"/>
      <c r="G99" s="45"/>
      <c r="H99" s="45"/>
      <c r="I99" s="45"/>
      <c r="J99" s="45"/>
      <c r="K99" s="45">
        <f t="shared" si="6"/>
        <v>0</v>
      </c>
      <c r="L99" s="45">
        <f>IF(AND($M$13&gt;=0.55,$M$13&lt;0.625),I$13,0)</f>
        <v>0</v>
      </c>
      <c r="M99" s="45">
        <f>IF(AND($M$13&gt;=0.55,$M$13&lt;0.625),J$13,0)</f>
        <v>0</v>
      </c>
      <c r="N99" s="45">
        <f>IF(AND($M$13&gt;=0.55,$M$13&lt;0.625),K$13,0)</f>
        <v>0</v>
      </c>
      <c r="O99" s="451">
        <f>IF(AND($M$13&gt;=0.55,$M$13&lt;0.625),L$13,0)</f>
        <v>0</v>
      </c>
      <c r="P99" s="447" t="s">
        <v>1057</v>
      </c>
      <c r="Q99" s="451">
        <v>99</v>
      </c>
      <c r="R99" s="451">
        <f>D$13*0.87</f>
        <v>0</v>
      </c>
      <c r="S99" s="451">
        <f>R99*Y$59</f>
        <v>0</v>
      </c>
      <c r="T99" s="451">
        <v>0.6</v>
      </c>
      <c r="U99" s="451">
        <f t="shared" si="7"/>
        <v>0</v>
      </c>
      <c r="V99" s="462">
        <f t="shared" si="8"/>
        <v>0</v>
      </c>
      <c r="W99" s="462">
        <f t="shared" si="9"/>
        <v>0</v>
      </c>
      <c r="X99" s="447"/>
      <c r="Y99" s="179"/>
      <c r="Z99" s="179"/>
      <c r="AA99" s="176"/>
    </row>
    <row r="100" spans="2:27" ht="14.25" hidden="1">
      <c r="B100" s="447"/>
      <c r="C100" s="45"/>
      <c r="D100" s="45"/>
      <c r="E100" s="45"/>
      <c r="F100" s="45"/>
      <c r="G100" s="45"/>
      <c r="H100" s="45"/>
      <c r="I100" s="45"/>
      <c r="J100" s="45"/>
      <c r="K100" s="45">
        <f t="shared" si="6"/>
        <v>0</v>
      </c>
      <c r="L100" s="45">
        <f>IF(AND($M$13&gt;=0.625,$M$13&lt;0.775),I$13,0)</f>
        <v>0</v>
      </c>
      <c r="M100" s="45">
        <f>IF(AND($M$13&gt;=0.625,$M$13&lt;0.775),J$13,0)</f>
        <v>0</v>
      </c>
      <c r="N100" s="45">
        <f>IF(AND($M$13&gt;=0.625,$M$13&lt;0.775),K$13,0)</f>
        <v>0</v>
      </c>
      <c r="O100" s="451">
        <f>IF(AND($M$13&gt;=0.625,$M$13&lt;0.775),L$13,0)</f>
        <v>0</v>
      </c>
      <c r="P100" s="447" t="s">
        <v>1059</v>
      </c>
      <c r="Q100" s="451">
        <v>100</v>
      </c>
      <c r="R100" s="451">
        <f>D$13*0.87</f>
        <v>0</v>
      </c>
      <c r="S100" s="451">
        <f>R100*Y$60</f>
        <v>0</v>
      </c>
      <c r="T100" s="451">
        <v>0.65</v>
      </c>
      <c r="U100" s="451">
        <f t="shared" si="7"/>
        <v>0</v>
      </c>
      <c r="V100" s="462">
        <f t="shared" si="8"/>
        <v>0</v>
      </c>
      <c r="W100" s="462">
        <f t="shared" si="9"/>
        <v>0</v>
      </c>
      <c r="X100" s="447"/>
      <c r="Y100" s="179"/>
      <c r="Z100" s="179"/>
      <c r="AA100" s="176"/>
    </row>
    <row r="101" spans="2:27" ht="14.25" hidden="1">
      <c r="B101" s="447"/>
      <c r="C101" s="45"/>
      <c r="D101" s="45"/>
      <c r="E101" s="45"/>
      <c r="F101" s="45"/>
      <c r="G101" s="45"/>
      <c r="H101" s="45"/>
      <c r="I101" s="45"/>
      <c r="J101" s="45"/>
      <c r="K101" s="45">
        <f t="shared" si="6"/>
        <v>0</v>
      </c>
      <c r="L101" s="45">
        <f>IF($M$13&gt;=0.775,I$13,0)</f>
        <v>0</v>
      </c>
      <c r="M101" s="45">
        <f>IF($M$13&gt;=0.775,J$13,0)</f>
        <v>0</v>
      </c>
      <c r="N101" s="45">
        <f>IF($M$13&gt;=0.775,K$13,0)</f>
        <v>0</v>
      </c>
      <c r="O101" s="451">
        <f>IF($M$13&gt;=0.775,L$13,0)</f>
        <v>0</v>
      </c>
      <c r="P101" s="447" t="s">
        <v>1061</v>
      </c>
      <c r="Q101" s="451">
        <v>101</v>
      </c>
      <c r="R101" s="451">
        <f>D$13*0.87</f>
        <v>0</v>
      </c>
      <c r="S101" s="451">
        <f>R101*Y$61</f>
        <v>0</v>
      </c>
      <c r="T101" s="451">
        <v>0.9</v>
      </c>
      <c r="U101" s="451">
        <f t="shared" si="7"/>
        <v>0</v>
      </c>
      <c r="V101" s="462">
        <f t="shared" si="8"/>
        <v>0</v>
      </c>
      <c r="W101" s="462">
        <f t="shared" si="9"/>
        <v>0</v>
      </c>
      <c r="X101" s="447"/>
      <c r="Y101" s="179"/>
      <c r="Z101" s="179"/>
      <c r="AA101" s="176"/>
    </row>
    <row r="102" spans="2:27" ht="14.25" hidden="1">
      <c r="B102" s="447"/>
      <c r="C102" s="45"/>
      <c r="D102" s="45"/>
      <c r="E102" s="45"/>
      <c r="F102" s="45"/>
      <c r="G102" s="45"/>
      <c r="H102" s="45"/>
      <c r="I102" s="45"/>
      <c r="J102" s="45"/>
      <c r="K102" s="45"/>
      <c r="L102" s="45"/>
      <c r="M102" s="45"/>
      <c r="N102" s="45"/>
      <c r="O102" s="451"/>
      <c r="P102" s="447"/>
      <c r="Q102" s="451">
        <v>102</v>
      </c>
      <c r="R102" s="451"/>
      <c r="S102" s="451"/>
      <c r="T102" s="451" t="s">
        <v>1075</v>
      </c>
      <c r="U102" s="451">
        <f>SUM(U94:U101)</f>
        <v>0</v>
      </c>
      <c r="V102" s="462">
        <f>SUM(V94:V101)</f>
        <v>0</v>
      </c>
      <c r="W102" s="462">
        <f>SUM(W94:W101)</f>
        <v>0</v>
      </c>
      <c r="X102" s="447"/>
      <c r="Y102" s="179"/>
      <c r="Z102" s="179"/>
      <c r="AA102" s="176"/>
    </row>
    <row r="103" spans="2:27" ht="21" hidden="1">
      <c r="B103" s="447" t="s">
        <v>1077</v>
      </c>
      <c r="C103" s="45">
        <f>C14*$G$13</f>
        <v>0</v>
      </c>
      <c r="D103" s="45">
        <f>$C14*D14*$G$13</f>
        <v>0</v>
      </c>
      <c r="E103" s="45">
        <f>$C14*E14*$G$13</f>
        <v>0</v>
      </c>
      <c r="F103" s="45">
        <f>$C14*F14*$G$13</f>
        <v>0</v>
      </c>
      <c r="G103" s="45">
        <f>C14-C103</f>
        <v>0</v>
      </c>
      <c r="H103" s="45">
        <f>$G103*D14</f>
        <v>0</v>
      </c>
      <c r="I103" s="45">
        <f>$G103*E14</f>
        <v>0</v>
      </c>
      <c r="J103" s="45">
        <f>$G103*F14</f>
        <v>0</v>
      </c>
      <c r="K103" s="45">
        <f t="shared" ref="K103:K110" si="10">G$14*M103</f>
        <v>0</v>
      </c>
      <c r="L103" s="45">
        <f>IF($H$14=0,I$14,0)</f>
        <v>0</v>
      </c>
      <c r="M103" s="45">
        <f>IF($H$14=0,J$14,0)</f>
        <v>0</v>
      </c>
      <c r="N103" s="45">
        <f>IF($H$14=0,K$14,0)</f>
        <v>0</v>
      </c>
      <c r="O103" s="451">
        <f>IF($H$14=0,L$14,0)</f>
        <v>0</v>
      </c>
      <c r="P103" s="447" t="s">
        <v>1054</v>
      </c>
      <c r="Q103" s="451">
        <v>103</v>
      </c>
      <c r="R103" s="451">
        <f>D$14*0.87</f>
        <v>0</v>
      </c>
      <c r="S103" s="451">
        <f>R103*Y$60</f>
        <v>0</v>
      </c>
      <c r="T103" s="451">
        <v>0.65</v>
      </c>
      <c r="U103" s="451">
        <f t="shared" ref="U103:U110" si="11">IF(M103=0,0,R103)</f>
        <v>0</v>
      </c>
      <c r="V103" s="462">
        <f t="shared" ref="V103:V110" si="12">IF(M103=0,0,S103)</f>
        <v>0</v>
      </c>
      <c r="W103" s="462">
        <f t="shared" ref="W103:W110" si="13">IF(M103=0,0,T103)</f>
        <v>0</v>
      </c>
      <c r="X103" s="447" t="s">
        <v>1077</v>
      </c>
      <c r="Y103" s="179"/>
      <c r="Z103" s="179"/>
      <c r="AA103" s="176"/>
    </row>
    <row r="104" spans="2:27" ht="14.25" hidden="1">
      <c r="B104" s="447"/>
      <c r="C104" s="45"/>
      <c r="D104" s="45"/>
      <c r="E104" s="45"/>
      <c r="F104" s="45"/>
      <c r="G104" s="45"/>
      <c r="H104" s="45"/>
      <c r="I104" s="45"/>
      <c r="J104" s="45"/>
      <c r="K104" s="45">
        <f t="shared" si="10"/>
        <v>0</v>
      </c>
      <c r="L104" s="45">
        <f>IF($M$14=0,0,IF($M$14&lt;0.03,I$14,0))</f>
        <v>0</v>
      </c>
      <c r="M104" s="45">
        <f>IF($M$14=0,0,IF($M$14&lt;0.03,J$14,0))</f>
        <v>0</v>
      </c>
      <c r="N104" s="45">
        <f>IF($M$14=0,0,IF($M$14&lt;0.03,K$14,0))</f>
        <v>0</v>
      </c>
      <c r="O104" s="451">
        <f>IF($M$14=0,0,IF($M$14&lt;0.03,L$14,0))</f>
        <v>0</v>
      </c>
      <c r="P104" s="447" t="s">
        <v>993</v>
      </c>
      <c r="Q104" s="451">
        <v>104</v>
      </c>
      <c r="R104" s="451">
        <f>D$14*0.91</f>
        <v>0</v>
      </c>
      <c r="S104" s="451">
        <f>R104*Y$64</f>
        <v>0</v>
      </c>
      <c r="T104" s="451">
        <v>0.01</v>
      </c>
      <c r="U104" s="451">
        <f t="shared" si="11"/>
        <v>0</v>
      </c>
      <c r="V104" s="462">
        <f t="shared" si="12"/>
        <v>0</v>
      </c>
      <c r="W104" s="462">
        <f t="shared" si="13"/>
        <v>0</v>
      </c>
      <c r="X104" s="447"/>
      <c r="Y104" s="179"/>
      <c r="Z104" s="179"/>
      <c r="AA104" s="176"/>
    </row>
    <row r="105" spans="2:27" ht="14.25" hidden="1">
      <c r="B105" s="447"/>
      <c r="C105" s="45"/>
      <c r="D105" s="45"/>
      <c r="E105" s="45"/>
      <c r="F105" s="45"/>
      <c r="G105" s="45"/>
      <c r="H105" s="45"/>
      <c r="I105" s="45"/>
      <c r="J105" s="45"/>
      <c r="K105" s="45">
        <f t="shared" si="10"/>
        <v>0</v>
      </c>
      <c r="L105" s="45">
        <f>IF(AND($M$14&gt;=0.03,$M$14&lt;0.1),I$14,0)</f>
        <v>0</v>
      </c>
      <c r="M105" s="45">
        <f>IF(AND($M$14&gt;=0.03,$M$14&lt;0.1),J$14,0)</f>
        <v>0</v>
      </c>
      <c r="N105" s="45">
        <f>IF(AND($M$14&gt;=0.03,$M$14&lt;0.1),K$14,0)</f>
        <v>0</v>
      </c>
      <c r="O105" s="451">
        <f>IF(AND($M$14&gt;=0.03,$M$14&lt;0.1),L$14,0)</f>
        <v>0</v>
      </c>
      <c r="P105" s="447" t="s">
        <v>1065</v>
      </c>
      <c r="Q105" s="451">
        <v>105</v>
      </c>
      <c r="R105" s="451">
        <f>D$14*0.91</f>
        <v>0</v>
      </c>
      <c r="S105" s="451">
        <f>R105*Y$63</f>
        <v>0</v>
      </c>
      <c r="T105" s="451">
        <v>0.05</v>
      </c>
      <c r="U105" s="451">
        <f t="shared" si="11"/>
        <v>0</v>
      </c>
      <c r="V105" s="462">
        <f t="shared" si="12"/>
        <v>0</v>
      </c>
      <c r="W105" s="462">
        <f t="shared" si="13"/>
        <v>0</v>
      </c>
      <c r="X105" s="447"/>
      <c r="Y105" s="179"/>
      <c r="Z105" s="179"/>
      <c r="AA105" s="176"/>
    </row>
    <row r="106" spans="2:27" ht="14.25" hidden="1">
      <c r="B106" s="447"/>
      <c r="C106" s="45"/>
      <c r="D106" s="45"/>
      <c r="E106" s="45"/>
      <c r="F106" s="45"/>
      <c r="G106" s="45"/>
      <c r="H106" s="45"/>
      <c r="I106" s="45"/>
      <c r="J106" s="45"/>
      <c r="K106" s="45">
        <f t="shared" si="10"/>
        <v>0</v>
      </c>
      <c r="L106" s="45">
        <f>IF(AND($M$14&gt;=0.1,$M$14&lt;0.325),I$14,0)</f>
        <v>0</v>
      </c>
      <c r="M106" s="45">
        <f>IF(AND($M$14&gt;=0.1,$M$14&lt;0.325),J$14,0)</f>
        <v>0</v>
      </c>
      <c r="N106" s="45">
        <f>IF(AND($M$14&gt;=0.1,$M$14&lt;0.325),K$14,0)</f>
        <v>0</v>
      </c>
      <c r="O106" s="451">
        <f>IF(AND($M$14&gt;=0.1,$M$14&lt;0.325),L$14,0)</f>
        <v>0</v>
      </c>
      <c r="P106" s="447" t="s">
        <v>1063</v>
      </c>
      <c r="Q106" s="451">
        <v>106</v>
      </c>
      <c r="R106" s="451">
        <f>D$14*0.91</f>
        <v>0</v>
      </c>
      <c r="S106" s="451">
        <f>R106*Y$62</f>
        <v>0</v>
      </c>
      <c r="T106" s="451">
        <v>0.15</v>
      </c>
      <c r="U106" s="451">
        <f t="shared" si="11"/>
        <v>0</v>
      </c>
      <c r="V106" s="462">
        <f t="shared" si="12"/>
        <v>0</v>
      </c>
      <c r="W106" s="462">
        <f t="shared" si="13"/>
        <v>0</v>
      </c>
      <c r="X106" s="447"/>
      <c r="Y106" s="179"/>
      <c r="Z106" s="179"/>
      <c r="AA106" s="176"/>
    </row>
    <row r="107" spans="2:27" ht="14.25" hidden="1">
      <c r="B107" s="447"/>
      <c r="C107" s="45"/>
      <c r="D107" s="45"/>
      <c r="E107" s="45"/>
      <c r="F107" s="45"/>
      <c r="G107" s="45"/>
      <c r="H107" s="45"/>
      <c r="I107" s="45"/>
      <c r="J107" s="45"/>
      <c r="K107" s="45">
        <f t="shared" si="10"/>
        <v>0</v>
      </c>
      <c r="L107" s="45">
        <f>IF(AND($M$14&gt;=0.325,$M$14&lt;0.55),I$14,0)</f>
        <v>0</v>
      </c>
      <c r="M107" s="45">
        <f>IF(AND($M$14&gt;=0.325,$M$14&lt;0.55),J$14,0)</f>
        <v>0</v>
      </c>
      <c r="N107" s="45">
        <f>IF(AND($M$14&gt;=0.325,$M$14&lt;0.55),K$14,0)</f>
        <v>0</v>
      </c>
      <c r="O107" s="451">
        <f>IF(AND($M$14&gt;=0.325,$M$14&lt;0.55),L$14,0)</f>
        <v>0</v>
      </c>
      <c r="P107" s="447" t="s">
        <v>1076</v>
      </c>
      <c r="Q107" s="451">
        <v>107</v>
      </c>
      <c r="R107" s="451">
        <f>D$14*0.87</f>
        <v>0</v>
      </c>
      <c r="S107" s="451">
        <f>R107*Y$58</f>
        <v>0</v>
      </c>
      <c r="T107" s="451">
        <v>0.5</v>
      </c>
      <c r="U107" s="451">
        <f t="shared" si="11"/>
        <v>0</v>
      </c>
      <c r="V107" s="462">
        <f t="shared" si="12"/>
        <v>0</v>
      </c>
      <c r="W107" s="462">
        <f t="shared" si="13"/>
        <v>0</v>
      </c>
      <c r="X107" s="447"/>
      <c r="Y107" s="179"/>
      <c r="Z107" s="179"/>
      <c r="AA107" s="176"/>
    </row>
    <row r="108" spans="2:27" ht="14.25" hidden="1">
      <c r="B108" s="447"/>
      <c r="C108" s="45"/>
      <c r="D108" s="45"/>
      <c r="E108" s="45"/>
      <c r="F108" s="45"/>
      <c r="G108" s="45"/>
      <c r="H108" s="45"/>
      <c r="I108" s="45"/>
      <c r="J108" s="45"/>
      <c r="K108" s="45">
        <f t="shared" si="10"/>
        <v>0</v>
      </c>
      <c r="L108" s="45">
        <f>IF(AND($M$14&gt;=0.55,$M$14&lt;0.625),I$14,0)</f>
        <v>0</v>
      </c>
      <c r="M108" s="45">
        <f>IF(AND($M$14&gt;=0.55,$M$14&lt;0.625),J$14,0)</f>
        <v>0</v>
      </c>
      <c r="N108" s="45">
        <f>IF(AND($M$14&gt;=0.55,$M$14&lt;0.625),K$14,0)</f>
        <v>0</v>
      </c>
      <c r="O108" s="451">
        <f>IF(AND($M$14&gt;=0.55,$M$14&lt;0.625),L$14,0)</f>
        <v>0</v>
      </c>
      <c r="P108" s="447" t="s">
        <v>1057</v>
      </c>
      <c r="Q108" s="451">
        <v>108</v>
      </c>
      <c r="R108" s="451">
        <f>D$14*0.87</f>
        <v>0</v>
      </c>
      <c r="S108" s="451">
        <f>R108*Y$59</f>
        <v>0</v>
      </c>
      <c r="T108" s="451">
        <v>0.6</v>
      </c>
      <c r="U108" s="451">
        <f t="shared" si="11"/>
        <v>0</v>
      </c>
      <c r="V108" s="462">
        <f t="shared" si="12"/>
        <v>0</v>
      </c>
      <c r="W108" s="462">
        <f t="shared" si="13"/>
        <v>0</v>
      </c>
      <c r="X108" s="447"/>
      <c r="Y108" s="179"/>
      <c r="Z108" s="179"/>
      <c r="AA108" s="176"/>
    </row>
    <row r="109" spans="2:27" ht="14.25" hidden="1">
      <c r="B109" s="447"/>
      <c r="C109" s="45"/>
      <c r="D109" s="45"/>
      <c r="E109" s="45"/>
      <c r="F109" s="45"/>
      <c r="G109" s="45"/>
      <c r="H109" s="45"/>
      <c r="I109" s="45"/>
      <c r="J109" s="45"/>
      <c r="K109" s="45">
        <f t="shared" si="10"/>
        <v>0</v>
      </c>
      <c r="L109" s="45">
        <f>IF(AND($M$14&gt;=0.625,$M$14&lt;0.775),I$14,0)</f>
        <v>0</v>
      </c>
      <c r="M109" s="45">
        <f>IF(AND($M$14&gt;=0.625,$M$14&lt;0.775),J$14,0)</f>
        <v>0</v>
      </c>
      <c r="N109" s="45">
        <f>IF(AND($M$14&gt;=0.625,$M$14&lt;0.775),K$14,0)</f>
        <v>0</v>
      </c>
      <c r="O109" s="451">
        <f>IF(AND($M$14&gt;=0.625,$M$14&lt;0.775),L$14,0)</f>
        <v>0</v>
      </c>
      <c r="P109" s="447" t="s">
        <v>1059</v>
      </c>
      <c r="Q109" s="451">
        <v>109</v>
      </c>
      <c r="R109" s="451">
        <f>D$14*0.87</f>
        <v>0</v>
      </c>
      <c r="S109" s="451">
        <f>R109*Y$60</f>
        <v>0</v>
      </c>
      <c r="T109" s="451">
        <v>0.65</v>
      </c>
      <c r="U109" s="451">
        <f t="shared" si="11"/>
        <v>0</v>
      </c>
      <c r="V109" s="462">
        <f t="shared" si="12"/>
        <v>0</v>
      </c>
      <c r="W109" s="462">
        <f t="shared" si="13"/>
        <v>0</v>
      </c>
      <c r="X109" s="447"/>
      <c r="Y109" s="179"/>
      <c r="Z109" s="179"/>
      <c r="AA109" s="176"/>
    </row>
    <row r="110" spans="2:27" ht="14.25" hidden="1">
      <c r="B110" s="447"/>
      <c r="C110" s="45"/>
      <c r="D110" s="45"/>
      <c r="E110" s="45"/>
      <c r="F110" s="45"/>
      <c r="G110" s="45"/>
      <c r="H110" s="45"/>
      <c r="I110" s="45"/>
      <c r="J110" s="45"/>
      <c r="K110" s="45">
        <f t="shared" si="10"/>
        <v>0</v>
      </c>
      <c r="L110" s="45">
        <f>IF($M$14&gt;=0.775,I$14,0)</f>
        <v>0</v>
      </c>
      <c r="M110" s="45">
        <f>IF($M$14&gt;=0.775,J$14,0)</f>
        <v>0</v>
      </c>
      <c r="N110" s="45">
        <f>IF($M$14&gt;=0.775,K$14,0)</f>
        <v>0</v>
      </c>
      <c r="O110" s="451">
        <f>IF($M$14&gt;=0.775,L$14,0)</f>
        <v>0</v>
      </c>
      <c r="P110" s="447" t="s">
        <v>1061</v>
      </c>
      <c r="Q110" s="451">
        <v>110</v>
      </c>
      <c r="R110" s="451">
        <f>D$14*0.87</f>
        <v>0</v>
      </c>
      <c r="S110" s="451">
        <f>R110*Y$61</f>
        <v>0</v>
      </c>
      <c r="T110" s="451">
        <v>0.9</v>
      </c>
      <c r="U110" s="451">
        <f t="shared" si="11"/>
        <v>0</v>
      </c>
      <c r="V110" s="462">
        <f t="shared" si="12"/>
        <v>0</v>
      </c>
      <c r="W110" s="462">
        <f t="shared" si="13"/>
        <v>0</v>
      </c>
      <c r="X110" s="447"/>
      <c r="Y110" s="179"/>
      <c r="Z110" s="179"/>
      <c r="AA110" s="176"/>
    </row>
    <row r="111" spans="2:27" ht="14.25" hidden="1">
      <c r="B111" s="447"/>
      <c r="C111" s="45"/>
      <c r="D111" s="45"/>
      <c r="E111" s="45"/>
      <c r="F111" s="45"/>
      <c r="G111" s="45"/>
      <c r="H111" s="45"/>
      <c r="I111" s="45"/>
      <c r="J111" s="45"/>
      <c r="K111" s="45"/>
      <c r="L111" s="45"/>
      <c r="M111" s="45"/>
      <c r="N111" s="45"/>
      <c r="O111" s="451"/>
      <c r="P111" s="447"/>
      <c r="Q111" s="451">
        <v>111</v>
      </c>
      <c r="R111" s="451"/>
      <c r="S111" s="451"/>
      <c r="T111" s="451" t="s">
        <v>1077</v>
      </c>
      <c r="U111" s="451">
        <f>SUM(U103:U110)</f>
        <v>0</v>
      </c>
      <c r="V111" s="462">
        <f>SUM(V103:V110)</f>
        <v>0</v>
      </c>
      <c r="W111" s="462">
        <f>SUM(W103:W110)</f>
        <v>0</v>
      </c>
      <c r="X111" s="447"/>
      <c r="Y111" s="179"/>
      <c r="Z111" s="179"/>
      <c r="AA111" s="176"/>
    </row>
    <row r="112" spans="2:27" ht="21" hidden="1">
      <c r="B112" s="447" t="s">
        <v>1078</v>
      </c>
      <c r="C112" s="45">
        <f>C15*$G$13</f>
        <v>0</v>
      </c>
      <c r="D112" s="45">
        <f>$C15*D15*$G$13</f>
        <v>0</v>
      </c>
      <c r="E112" s="45">
        <f>$C15*E15*$G$13</f>
        <v>0</v>
      </c>
      <c r="F112" s="45">
        <f>$C15*F15*$G$13</f>
        <v>0</v>
      </c>
      <c r="G112" s="45">
        <f>C15-C112</f>
        <v>0</v>
      </c>
      <c r="H112" s="45">
        <f>$G112*D15</f>
        <v>0</v>
      </c>
      <c r="I112" s="45">
        <f>$G112*E15</f>
        <v>0</v>
      </c>
      <c r="J112" s="45">
        <f>$G112*F15</f>
        <v>0</v>
      </c>
      <c r="K112" s="45">
        <f t="shared" ref="K112:K119" si="14">G$15*M112</f>
        <v>0</v>
      </c>
      <c r="L112" s="45">
        <f>IF($H$15=0,I$15,0)</f>
        <v>0</v>
      </c>
      <c r="M112" s="45">
        <f>IF($H$15=0,J$15,0)</f>
        <v>0</v>
      </c>
      <c r="N112" s="45">
        <f>IF($H$15=0,K$15,0)</f>
        <v>0</v>
      </c>
      <c r="O112" s="451">
        <f>IF($H$15=0,L$15,0)</f>
        <v>0</v>
      </c>
      <c r="P112" s="447" t="s">
        <v>1054</v>
      </c>
      <c r="Q112" s="451">
        <v>112</v>
      </c>
      <c r="R112" s="451">
        <f>D$15*0.87</f>
        <v>0</v>
      </c>
      <c r="S112" s="451">
        <f>R112*Y$60</f>
        <v>0</v>
      </c>
      <c r="T112" s="451">
        <v>0.65</v>
      </c>
      <c r="U112" s="451">
        <f t="shared" ref="U112:U119" si="15">IF(M112=0,0,R112)</f>
        <v>0</v>
      </c>
      <c r="V112" s="462">
        <f t="shared" ref="V112:V119" si="16">IF(M112=0,0,S112)</f>
        <v>0</v>
      </c>
      <c r="W112" s="462">
        <f t="shared" ref="W112:W119" si="17">IF(M112=0,0,T112)</f>
        <v>0</v>
      </c>
      <c r="X112" s="447" t="s">
        <v>1078</v>
      </c>
      <c r="Y112" s="179"/>
      <c r="Z112" s="179"/>
      <c r="AA112" s="176"/>
    </row>
    <row r="113" spans="2:27" ht="14.25" hidden="1">
      <c r="B113" s="447"/>
      <c r="C113" s="45"/>
      <c r="D113" s="45"/>
      <c r="E113" s="45"/>
      <c r="F113" s="45"/>
      <c r="G113" s="45"/>
      <c r="H113" s="45"/>
      <c r="I113" s="45"/>
      <c r="J113" s="45"/>
      <c r="K113" s="45">
        <f t="shared" si="14"/>
        <v>0</v>
      </c>
      <c r="L113" s="45">
        <f>IF($M$15=0,0,IF($M$15&lt;0.03,I$15,0))</f>
        <v>0</v>
      </c>
      <c r="M113" s="45">
        <f>IF($M$15=0,0,IF($M$15&lt;0.03,J$15,0))</f>
        <v>0</v>
      </c>
      <c r="N113" s="45">
        <f>IF($M$15=0,0,IF($M$15&lt;0.03,K$15,0))</f>
        <v>0</v>
      </c>
      <c r="O113" s="451">
        <f>IF($M$15=0,0,IF($M$15&lt;0.03,L$15,0))</f>
        <v>0</v>
      </c>
      <c r="P113" s="447" t="s">
        <v>993</v>
      </c>
      <c r="Q113" s="451">
        <v>113</v>
      </c>
      <c r="R113" s="451">
        <f>D$15*0.91</f>
        <v>0</v>
      </c>
      <c r="S113" s="451">
        <f>R113*Y$64</f>
        <v>0</v>
      </c>
      <c r="T113" s="451">
        <v>0.01</v>
      </c>
      <c r="U113" s="451">
        <f t="shared" si="15"/>
        <v>0</v>
      </c>
      <c r="V113" s="462">
        <f t="shared" si="16"/>
        <v>0</v>
      </c>
      <c r="W113" s="462">
        <f t="shared" si="17"/>
        <v>0</v>
      </c>
      <c r="X113" s="447"/>
      <c r="Y113" s="179"/>
      <c r="Z113" s="179"/>
      <c r="AA113" s="176"/>
    </row>
    <row r="114" spans="2:27" ht="14.25" hidden="1">
      <c r="B114" s="447"/>
      <c r="C114" s="45"/>
      <c r="D114" s="45"/>
      <c r="E114" s="45"/>
      <c r="F114" s="45"/>
      <c r="G114" s="45"/>
      <c r="H114" s="45"/>
      <c r="I114" s="45"/>
      <c r="J114" s="45"/>
      <c r="K114" s="45">
        <f t="shared" si="14"/>
        <v>0</v>
      </c>
      <c r="L114" s="45">
        <f>IF(AND($M$15&gt;=0.03,$M$15&lt;0.1),I$15,0)</f>
        <v>0</v>
      </c>
      <c r="M114" s="45">
        <f>IF(AND($M$15&gt;=0.03,$M$15&lt;0.1),J$15,0)</f>
        <v>0</v>
      </c>
      <c r="N114" s="45">
        <f>IF(AND($M$15&gt;=0.03,$M$15&lt;0.1),K$15,0)</f>
        <v>0</v>
      </c>
      <c r="O114" s="451">
        <f>IF(AND($M$15&gt;=0.03,$M$15&lt;0.1),L$15,0)</f>
        <v>0</v>
      </c>
      <c r="P114" s="447" t="s">
        <v>1065</v>
      </c>
      <c r="Q114" s="451">
        <v>114</v>
      </c>
      <c r="R114" s="451">
        <f>D$15*0.91</f>
        <v>0</v>
      </c>
      <c r="S114" s="451">
        <f>R114*Y$63</f>
        <v>0</v>
      </c>
      <c r="T114" s="451">
        <v>0.05</v>
      </c>
      <c r="U114" s="451">
        <f t="shared" si="15"/>
        <v>0</v>
      </c>
      <c r="V114" s="462">
        <f t="shared" si="16"/>
        <v>0</v>
      </c>
      <c r="W114" s="462">
        <f t="shared" si="17"/>
        <v>0</v>
      </c>
      <c r="X114" s="447"/>
      <c r="Y114" s="179"/>
      <c r="Z114" s="179"/>
      <c r="AA114" s="176"/>
    </row>
    <row r="115" spans="2:27" ht="14.25" hidden="1">
      <c r="B115" s="447"/>
      <c r="C115" s="45"/>
      <c r="D115" s="45"/>
      <c r="E115" s="45"/>
      <c r="F115" s="45"/>
      <c r="G115" s="45"/>
      <c r="H115" s="45"/>
      <c r="I115" s="45"/>
      <c r="J115" s="45"/>
      <c r="K115" s="45">
        <f t="shared" si="14"/>
        <v>0</v>
      </c>
      <c r="L115" s="45">
        <f>IF(AND($M$15&gt;=0.1,$M$15&lt;0.325),I$15,0)</f>
        <v>0</v>
      </c>
      <c r="M115" s="45">
        <f>IF(AND($M$15&gt;=0.1,$M$15&lt;0.325),J$15,0)</f>
        <v>0</v>
      </c>
      <c r="N115" s="45">
        <f>IF(AND($M$15&gt;=0.1,$M$15&lt;0.325),K$15,0)</f>
        <v>0</v>
      </c>
      <c r="O115" s="451">
        <f>IF(AND($M$15&gt;=0.1,$M$15&lt;0.325),L$15,0)</f>
        <v>0</v>
      </c>
      <c r="P115" s="447" t="s">
        <v>1063</v>
      </c>
      <c r="Q115" s="451">
        <v>115</v>
      </c>
      <c r="R115" s="451">
        <f>D$15*0.91</f>
        <v>0</v>
      </c>
      <c r="S115" s="451">
        <f>R115*Y$62</f>
        <v>0</v>
      </c>
      <c r="T115" s="451">
        <v>0.15</v>
      </c>
      <c r="U115" s="451">
        <f t="shared" si="15"/>
        <v>0</v>
      </c>
      <c r="V115" s="462">
        <f t="shared" si="16"/>
        <v>0</v>
      </c>
      <c r="W115" s="462">
        <f t="shared" si="17"/>
        <v>0</v>
      </c>
      <c r="X115" s="447"/>
      <c r="Y115" s="179"/>
      <c r="Z115" s="179"/>
      <c r="AA115" s="176"/>
    </row>
    <row r="116" spans="2:27" ht="14.25" hidden="1">
      <c r="B116" s="447"/>
      <c r="C116" s="45"/>
      <c r="D116" s="45"/>
      <c r="E116" s="45"/>
      <c r="F116" s="45"/>
      <c r="G116" s="45"/>
      <c r="H116" s="45"/>
      <c r="I116" s="45"/>
      <c r="J116" s="45"/>
      <c r="K116" s="45">
        <f t="shared" si="14"/>
        <v>0</v>
      </c>
      <c r="L116" s="45">
        <f>IF(AND($M$15&gt;=0.325,$M$15&lt;0.55),I$15,0)</f>
        <v>0</v>
      </c>
      <c r="M116" s="45">
        <f>IF(AND($M$15&gt;=0.325,$M$15&lt;0.55),J$15,0)</f>
        <v>0</v>
      </c>
      <c r="N116" s="45">
        <f>IF(AND($M$15&gt;=0.325,$M$15&lt;0.55),K$15,0)</f>
        <v>0</v>
      </c>
      <c r="O116" s="451">
        <f>IF(AND($M$15&gt;=0.325,$M$15&lt;0.55),L$15,0)</f>
        <v>0</v>
      </c>
      <c r="P116" s="447" t="s">
        <v>1076</v>
      </c>
      <c r="Q116" s="451">
        <v>116</v>
      </c>
      <c r="R116" s="451">
        <f>D$15*0.87</f>
        <v>0</v>
      </c>
      <c r="S116" s="451">
        <f>R116*Y$58</f>
        <v>0</v>
      </c>
      <c r="T116" s="451">
        <v>0.5</v>
      </c>
      <c r="U116" s="451">
        <f t="shared" si="15"/>
        <v>0</v>
      </c>
      <c r="V116" s="462">
        <f t="shared" si="16"/>
        <v>0</v>
      </c>
      <c r="W116" s="462">
        <f t="shared" si="17"/>
        <v>0</v>
      </c>
      <c r="X116" s="447"/>
      <c r="Y116" s="179"/>
      <c r="Z116" s="179"/>
      <c r="AA116" s="176"/>
    </row>
    <row r="117" spans="2:27" ht="14.25" hidden="1">
      <c r="B117" s="447"/>
      <c r="C117" s="45"/>
      <c r="D117" s="45"/>
      <c r="E117" s="45"/>
      <c r="F117" s="45"/>
      <c r="G117" s="45"/>
      <c r="H117" s="45"/>
      <c r="I117" s="45"/>
      <c r="J117" s="45"/>
      <c r="K117" s="45">
        <f t="shared" si="14"/>
        <v>0</v>
      </c>
      <c r="L117" s="45">
        <f>IF(AND($M$15&gt;=0.55,$M$15&lt;0.625),I$15,0)</f>
        <v>0</v>
      </c>
      <c r="M117" s="45">
        <f>IF(AND($M$15&gt;=0.55,$M$15&lt;0.625),J$15,0)</f>
        <v>0</v>
      </c>
      <c r="N117" s="45">
        <f>IF(AND($M$15&gt;=0.55,$M$15&lt;0.625),K$15,0)</f>
        <v>0</v>
      </c>
      <c r="O117" s="451">
        <f>IF(AND($M$15&gt;=0.55,$M$15&lt;0.625),L$15,0)</f>
        <v>0</v>
      </c>
      <c r="P117" s="447" t="s">
        <v>1057</v>
      </c>
      <c r="Q117" s="451">
        <v>117</v>
      </c>
      <c r="R117" s="451">
        <f>D$15*0.87</f>
        <v>0</v>
      </c>
      <c r="S117" s="451">
        <f>R117*Y$59</f>
        <v>0</v>
      </c>
      <c r="T117" s="451">
        <v>0.6</v>
      </c>
      <c r="U117" s="451">
        <f t="shared" si="15"/>
        <v>0</v>
      </c>
      <c r="V117" s="462">
        <f t="shared" si="16"/>
        <v>0</v>
      </c>
      <c r="W117" s="462">
        <f t="shared" si="17"/>
        <v>0</v>
      </c>
      <c r="X117" s="447"/>
      <c r="Y117" s="179"/>
      <c r="Z117" s="179"/>
      <c r="AA117" s="176"/>
    </row>
    <row r="118" spans="2:27" ht="14.25" hidden="1">
      <c r="B118" s="447"/>
      <c r="C118" s="45"/>
      <c r="D118" s="45"/>
      <c r="E118" s="45"/>
      <c r="F118" s="45"/>
      <c r="G118" s="45"/>
      <c r="H118" s="45"/>
      <c r="I118" s="45"/>
      <c r="J118" s="45"/>
      <c r="K118" s="45">
        <f t="shared" si="14"/>
        <v>0</v>
      </c>
      <c r="L118" s="45">
        <f>IF(AND($M$15&gt;=0.625,$M$15&lt;0.775),I$15,0)</f>
        <v>0</v>
      </c>
      <c r="M118" s="45">
        <f>IF(AND($M$15&gt;=0.625,$M$15&lt;0.775),J$15,0)</f>
        <v>0</v>
      </c>
      <c r="N118" s="45">
        <f>IF(AND($M$15&gt;=0.625,$M$15&lt;0.775),K$15,0)</f>
        <v>0</v>
      </c>
      <c r="O118" s="451">
        <f>IF(AND($M$15&gt;=0.625,$M$15&lt;0.775),L$15,0)</f>
        <v>0</v>
      </c>
      <c r="P118" s="447" t="s">
        <v>1059</v>
      </c>
      <c r="Q118" s="451">
        <v>118</v>
      </c>
      <c r="R118" s="451">
        <f>D$15*0.87</f>
        <v>0</v>
      </c>
      <c r="S118" s="451">
        <f>R118*Y$60</f>
        <v>0</v>
      </c>
      <c r="T118" s="451">
        <v>0.65</v>
      </c>
      <c r="U118" s="451">
        <f t="shared" si="15"/>
        <v>0</v>
      </c>
      <c r="V118" s="462">
        <f t="shared" si="16"/>
        <v>0</v>
      </c>
      <c r="W118" s="462">
        <f t="shared" si="17"/>
        <v>0</v>
      </c>
      <c r="X118" s="447"/>
      <c r="Y118" s="179"/>
      <c r="Z118" s="179"/>
      <c r="AA118" s="176"/>
    </row>
    <row r="119" spans="2:27" ht="14.25" hidden="1">
      <c r="B119" s="447"/>
      <c r="C119" s="45"/>
      <c r="D119" s="45"/>
      <c r="E119" s="45"/>
      <c r="F119" s="45"/>
      <c r="G119" s="45"/>
      <c r="H119" s="45"/>
      <c r="I119" s="45"/>
      <c r="J119" s="45"/>
      <c r="K119" s="45">
        <f t="shared" si="14"/>
        <v>0</v>
      </c>
      <c r="L119" s="45">
        <f>IF($M$15&gt;=0.775,I$15,0)</f>
        <v>0</v>
      </c>
      <c r="M119" s="45">
        <f>IF($M$15&gt;=0.775,J$15,0)</f>
        <v>0</v>
      </c>
      <c r="N119" s="45">
        <f>IF($M$15&gt;=0.775,K$15,0)</f>
        <v>0</v>
      </c>
      <c r="O119" s="451">
        <f>IF($M$15&gt;=0.775,L$15,0)</f>
        <v>0</v>
      </c>
      <c r="P119" s="447" t="s">
        <v>1061</v>
      </c>
      <c r="Q119" s="451">
        <v>119</v>
      </c>
      <c r="R119" s="451">
        <f>D$15*0.87</f>
        <v>0</v>
      </c>
      <c r="S119" s="451">
        <f>R119*Y$61</f>
        <v>0</v>
      </c>
      <c r="T119" s="451">
        <v>0.9</v>
      </c>
      <c r="U119" s="451">
        <f t="shared" si="15"/>
        <v>0</v>
      </c>
      <c r="V119" s="462">
        <f t="shared" si="16"/>
        <v>0</v>
      </c>
      <c r="W119" s="462">
        <f t="shared" si="17"/>
        <v>0</v>
      </c>
      <c r="X119" s="447"/>
      <c r="Y119" s="179"/>
      <c r="Z119" s="179"/>
      <c r="AA119" s="176"/>
    </row>
    <row r="120" spans="2:27" ht="14.25" hidden="1">
      <c r="B120" s="463"/>
      <c r="C120" s="464"/>
      <c r="D120" s="464"/>
      <c r="E120" s="464"/>
      <c r="F120" s="464"/>
      <c r="G120" s="464"/>
      <c r="H120" s="464"/>
      <c r="I120" s="464"/>
      <c r="J120" s="464"/>
      <c r="K120" s="464"/>
      <c r="L120" s="464"/>
      <c r="M120" s="464"/>
      <c r="N120" s="464"/>
      <c r="O120" s="465"/>
      <c r="P120" s="447"/>
      <c r="Q120" s="451">
        <v>120</v>
      </c>
      <c r="R120" s="451"/>
      <c r="S120" s="451"/>
      <c r="T120" s="451" t="s">
        <v>1078</v>
      </c>
      <c r="U120" s="451">
        <f>SUM(U112:U119)</f>
        <v>0</v>
      </c>
      <c r="V120" s="462">
        <f>SUM(V112:V119)</f>
        <v>0</v>
      </c>
      <c r="W120" s="462">
        <f>SUM(W112:W119)</f>
        <v>0</v>
      </c>
      <c r="X120" s="447"/>
      <c r="Y120" s="179"/>
      <c r="Z120" s="179"/>
      <c r="AA120" s="176"/>
    </row>
    <row r="121" spans="2:27" hidden="1">
      <c r="B121" s="43"/>
      <c r="C121" s="45"/>
      <c r="D121" s="366">
        <f>SUM(D58:D119)</f>
        <v>0</v>
      </c>
      <c r="E121" s="366">
        <f>SUM(E58:E119)</f>
        <v>0</v>
      </c>
      <c r="F121" s="366">
        <f>SUM(F58:F119)</f>
        <v>0</v>
      </c>
      <c r="G121" s="366"/>
      <c r="H121" s="366">
        <f>SUM(H58:H119)</f>
        <v>0</v>
      </c>
      <c r="I121" s="366">
        <f>SUM(I58:I119)</f>
        <v>0</v>
      </c>
      <c r="J121" s="366">
        <f>SUM(J58:J119)</f>
        <v>0</v>
      </c>
      <c r="K121" s="45"/>
      <c r="L121" s="45">
        <f>SUM(L58:L119)</f>
        <v>0</v>
      </c>
      <c r="M121" s="45">
        <f>SUM(M58:M119)</f>
        <v>0</v>
      </c>
      <c r="N121" s="45">
        <f>SUM(N58:N119)</f>
        <v>0</v>
      </c>
      <c r="O121" s="45">
        <f>SUM(O58:O119)</f>
        <v>0</v>
      </c>
      <c r="Y121" s="176"/>
      <c r="Z121" s="176"/>
      <c r="AA121" s="176"/>
    </row>
    <row r="122" spans="2:27" ht="14.25" hidden="1">
      <c r="L122" s="451" t="s">
        <v>656</v>
      </c>
      <c r="M122" s="451" t="s">
        <v>668</v>
      </c>
      <c r="N122" s="451" t="s">
        <v>612</v>
      </c>
      <c r="O122" s="451" t="s">
        <v>613</v>
      </c>
      <c r="Y122" s="176"/>
      <c r="Z122" s="176"/>
      <c r="AA122" s="176"/>
    </row>
    <row r="123" spans="2:27" ht="14.25" hidden="1">
      <c r="B123" s="447" t="s">
        <v>843</v>
      </c>
      <c r="C123" s="447" t="s">
        <v>650</v>
      </c>
      <c r="D123" s="447" t="s">
        <v>651</v>
      </c>
      <c r="E123" s="447" t="s">
        <v>652</v>
      </c>
      <c r="F123" s="447" t="s">
        <v>653</v>
      </c>
      <c r="G123" s="447" t="s">
        <v>460</v>
      </c>
      <c r="H123" s="447" t="s">
        <v>1079</v>
      </c>
      <c r="I123" s="447" t="s">
        <v>655</v>
      </c>
      <c r="J123" s="466"/>
      <c r="Y123" s="176"/>
      <c r="Z123" s="176"/>
      <c r="AA123" s="176"/>
    </row>
    <row r="124" spans="2:27" ht="14.25" hidden="1">
      <c r="B124" s="447" t="s">
        <v>1080</v>
      </c>
      <c r="C124" s="447">
        <f>K59+K65+K71+K77+K82+K83+K86+K87+K90+K91</f>
        <v>0</v>
      </c>
      <c r="D124" s="447">
        <f>K58+K61+K64+K67+K70+K73+K76+K79</f>
        <v>0</v>
      </c>
      <c r="E124" s="447">
        <f>K60+K66+K72+K78</f>
        <v>0</v>
      </c>
      <c r="F124" s="447">
        <f>K62+K68+K74+K80</f>
        <v>0</v>
      </c>
      <c r="G124" s="447">
        <f>K84+K88+K92</f>
        <v>0</v>
      </c>
      <c r="H124" s="447"/>
      <c r="I124" s="447"/>
      <c r="J124" s="466">
        <f>SUM(C124:I124)</f>
        <v>0</v>
      </c>
      <c r="Y124" s="176"/>
      <c r="Z124" s="176"/>
      <c r="AA124" s="176"/>
    </row>
    <row r="125" spans="2:27" ht="14.25" hidden="1">
      <c r="B125" s="447" t="s">
        <v>1081</v>
      </c>
      <c r="C125" s="447">
        <f>K98+K107+K116</f>
        <v>0</v>
      </c>
      <c r="D125" s="447">
        <f>K94+K100+K103+K109+K112+K118</f>
        <v>0</v>
      </c>
      <c r="E125" s="447">
        <f>K99+K108+K117</f>
        <v>0</v>
      </c>
      <c r="F125" s="447">
        <f>K101+K110+K119</f>
        <v>0</v>
      </c>
      <c r="G125" s="447">
        <f>K97+K106+K115</f>
        <v>0</v>
      </c>
      <c r="H125" s="447">
        <f>K96+K105+K114</f>
        <v>0</v>
      </c>
      <c r="I125" s="447">
        <f>K95+K104+K113</f>
        <v>0</v>
      </c>
      <c r="J125" s="466">
        <f>SUM(C125:I125)</f>
        <v>0</v>
      </c>
      <c r="Y125" s="176"/>
      <c r="Z125" s="176"/>
      <c r="AA125" s="176"/>
    </row>
    <row r="126" spans="2:27" ht="14.25" hidden="1">
      <c r="B126" s="447" t="s">
        <v>1082</v>
      </c>
      <c r="C126" s="447">
        <f t="shared" ref="C126:I126" si="18">SUM(C124:C125)</f>
        <v>0</v>
      </c>
      <c r="D126" s="447">
        <f t="shared" si="18"/>
        <v>0</v>
      </c>
      <c r="E126" s="447">
        <f t="shared" si="18"/>
        <v>0</v>
      </c>
      <c r="F126" s="447">
        <f t="shared" si="18"/>
        <v>0</v>
      </c>
      <c r="G126" s="447">
        <f t="shared" si="18"/>
        <v>0</v>
      </c>
      <c r="H126" s="447">
        <f t="shared" si="18"/>
        <v>0</v>
      </c>
      <c r="I126" s="447">
        <f t="shared" si="18"/>
        <v>0</v>
      </c>
      <c r="J126" s="466">
        <f>SUM(C126:I126)</f>
        <v>0</v>
      </c>
      <c r="Y126" s="176"/>
      <c r="Z126" s="176"/>
      <c r="AA126" s="176"/>
    </row>
    <row r="127" spans="2:27" hidden="1">
      <c r="Y127" s="176"/>
      <c r="Z127" s="176"/>
      <c r="AA127" s="176"/>
    </row>
    <row r="128" spans="2:27">
      <c r="Y128" s="176"/>
      <c r="Z128" s="176"/>
      <c r="AA128" s="176"/>
    </row>
  </sheetData>
  <sheetProtection password="CAEF" sheet="1" formatCells="0" formatRows="0"/>
  <mergeCells count="57">
    <mergeCell ref="K38:L38"/>
    <mergeCell ref="K39:L39"/>
    <mergeCell ref="K42:L42"/>
    <mergeCell ref="K43:L43"/>
    <mergeCell ref="K44:L44"/>
    <mergeCell ref="K31:L31"/>
    <mergeCell ref="K32:L32"/>
    <mergeCell ref="K35:L35"/>
    <mergeCell ref="K36:L36"/>
    <mergeCell ref="K37:L37"/>
    <mergeCell ref="B24:B25"/>
    <mergeCell ref="E29:F29"/>
    <mergeCell ref="G29:H29"/>
    <mergeCell ref="I29:J29"/>
    <mergeCell ref="K30:L30"/>
    <mergeCell ref="G21:H21"/>
    <mergeCell ref="L1:M1"/>
    <mergeCell ref="S13:T13"/>
    <mergeCell ref="S14:T14"/>
    <mergeCell ref="S15:T15"/>
    <mergeCell ref="M21:N21"/>
    <mergeCell ref="M19:N20"/>
    <mergeCell ref="K41:L41"/>
    <mergeCell ref="G17:H17"/>
    <mergeCell ref="M17:N17"/>
    <mergeCell ref="G18:H18"/>
    <mergeCell ref="M18:N18"/>
    <mergeCell ref="M31:N31"/>
    <mergeCell ref="K34:L34"/>
    <mergeCell ref="K29:L29"/>
    <mergeCell ref="M32:N32"/>
    <mergeCell ref="M33:N33"/>
    <mergeCell ref="M34:N34"/>
    <mergeCell ref="M35:N35"/>
    <mergeCell ref="K33:L33"/>
    <mergeCell ref="G19:H20"/>
    <mergeCell ref="M38:N38"/>
    <mergeCell ref="M39:N39"/>
    <mergeCell ref="M40:N40"/>
    <mergeCell ref="M22:N22"/>
    <mergeCell ref="M42:N42"/>
    <mergeCell ref="M36:N36"/>
    <mergeCell ref="M41:N41"/>
    <mergeCell ref="M29:N29"/>
    <mergeCell ref="M37:N37"/>
    <mergeCell ref="M30:N30"/>
    <mergeCell ref="K45:L45"/>
    <mergeCell ref="K46:L46"/>
    <mergeCell ref="K47:L47"/>
    <mergeCell ref="K40:L40"/>
    <mergeCell ref="M48:N48"/>
    <mergeCell ref="M43:N43"/>
    <mergeCell ref="M44:N44"/>
    <mergeCell ref="M45:N45"/>
    <mergeCell ref="M46:N46"/>
    <mergeCell ref="M47:N47"/>
    <mergeCell ref="K48:L48"/>
  </mergeCells>
  <phoneticPr fontId="41" type="noConversion"/>
  <hyperlinks>
    <hyperlink ref="L1" location="Tiere!B3" display="◄" xr:uid="{00000000-0004-0000-0600-000000000000}"/>
    <hyperlink ref="N1" location="Beregnung!C3" display="  ►" xr:uid="{00000000-0004-0000-0600-000001000000}"/>
    <hyperlink ref="L1:M1" location="Hofdung!B3" display="◄" xr:uid="{00000000-0004-0000-0600-000002000000}"/>
  </hyperlinks>
  <pageMargins left="0.62992125984251968" right="0.55118110236220474" top="0.27559055118110237" bottom="0.39370078740157483" header="0.51181102362204722" footer="0.19685039370078741"/>
  <pageSetup paperSize="9" scale="81" firstPageNumber="0" pageOrder="overThenDown" orientation="landscape" blackAndWhite="1" horizontalDpi="300" verticalDpi="300" r:id="rId1"/>
  <headerFooter alignWithMargins="0">
    <oddFooter>&amp;L&amp;11&amp;F&amp;C&amp;A&amp;R&amp;P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tabColor rgb="FFFFFF00"/>
    <pageSetUpPr fitToPage="1"/>
  </sheetPr>
  <dimension ref="A1:CB334"/>
  <sheetViews>
    <sheetView showZeros="0" zoomScale="80" zoomScaleNormal="80" workbookViewId="0">
      <selection activeCell="A3" sqref="A3"/>
    </sheetView>
  </sheetViews>
  <sheetFormatPr baseColWidth="10" defaultColWidth="12.28515625" defaultRowHeight="12.75"/>
  <cols>
    <col min="1" max="1" width="41.5703125" customWidth="1"/>
    <col min="2" max="2" width="9.28515625" customWidth="1"/>
    <col min="3" max="3" width="10" customWidth="1"/>
    <col min="4" max="10" width="10.28515625" customWidth="1"/>
    <col min="11" max="11" width="11.42578125" customWidth="1"/>
    <col min="12" max="12" width="9.85546875" customWidth="1"/>
    <col min="13" max="13" width="3" customWidth="1"/>
    <col min="14" max="14" width="24.7109375" customWidth="1"/>
    <col min="15" max="15" width="20.85546875" customWidth="1"/>
    <col min="16" max="17" width="17.140625" customWidth="1"/>
    <col min="18" max="18" width="25.28515625" hidden="1" customWidth="1"/>
    <col min="19" max="19" width="9.85546875" hidden="1" customWidth="1"/>
    <col min="20" max="20" width="15" hidden="1" customWidth="1"/>
    <col min="21" max="21" width="39.85546875" hidden="1" customWidth="1"/>
    <col min="22" max="22" width="6.42578125" hidden="1" customWidth="1"/>
    <col min="23" max="23" width="8" hidden="1" customWidth="1"/>
    <col min="24" max="24" width="11.5703125" hidden="1" customWidth="1"/>
    <col min="25" max="25" width="10.5703125" hidden="1" customWidth="1"/>
    <col min="26" max="26" width="8" hidden="1" customWidth="1"/>
    <col min="27" max="27" width="10.7109375" hidden="1" customWidth="1"/>
    <col min="28" max="28" width="11.28515625" hidden="1" customWidth="1"/>
    <col min="29" max="30" width="16.140625" hidden="1" customWidth="1"/>
    <col min="31" max="31" width="14.140625" hidden="1" customWidth="1"/>
    <col min="32" max="32" width="12.28515625" hidden="1" customWidth="1"/>
    <col min="33" max="33" width="16.7109375" hidden="1" customWidth="1"/>
    <col min="34" max="34" width="17.42578125" hidden="1" customWidth="1"/>
    <col min="35" max="35" width="12.28515625" hidden="1" customWidth="1"/>
    <col min="36" max="36" width="28.7109375" hidden="1" customWidth="1"/>
    <col min="37" max="37" width="12.28515625" hidden="1" customWidth="1"/>
    <col min="38" max="38" width="14.7109375" hidden="1" customWidth="1"/>
    <col min="39" max="39" width="12.28515625" hidden="1" customWidth="1"/>
    <col min="40" max="40" width="15.7109375" hidden="1" customWidth="1"/>
    <col min="41" max="41" width="12.28515625" hidden="1" customWidth="1"/>
    <col min="42" max="42" width="15.7109375" hidden="1" customWidth="1"/>
    <col min="43" max="43" width="12.28515625" hidden="1" customWidth="1"/>
    <col min="44" max="44" width="15.7109375" hidden="1" customWidth="1"/>
    <col min="45" max="45" width="12.28515625" hidden="1" customWidth="1"/>
    <col min="46" max="46" width="15.7109375" hidden="1" customWidth="1"/>
    <col min="47" max="47" width="12.28515625" hidden="1" customWidth="1"/>
    <col min="48" max="48" width="15.7109375" hidden="1" customWidth="1"/>
    <col min="49" max="49" width="12.28515625" hidden="1" customWidth="1"/>
    <col min="50" max="50" width="15.7109375" hidden="1" customWidth="1"/>
    <col min="51" max="51" width="12.28515625" hidden="1" customWidth="1"/>
    <col min="52" max="52" width="15.7109375" hidden="1" customWidth="1"/>
    <col min="53" max="53" width="12.28515625" hidden="1" customWidth="1"/>
    <col min="54" max="54" width="15.7109375" hidden="1" customWidth="1"/>
    <col min="55" max="55" width="12.28515625" hidden="1" customWidth="1"/>
    <col min="56" max="56" width="16.85546875" hidden="1" customWidth="1"/>
    <col min="57" max="57" width="12.28515625" hidden="1" customWidth="1"/>
    <col min="58" max="58" width="16.85546875" hidden="1" customWidth="1"/>
    <col min="59" max="59" width="12.28515625" hidden="1" customWidth="1"/>
    <col min="60" max="60" width="16.85546875" hidden="1" customWidth="1"/>
    <col min="61" max="61" width="12.28515625" hidden="1" customWidth="1"/>
    <col min="62" max="62" width="16.85546875" hidden="1" customWidth="1"/>
    <col min="63" max="63" width="12.28515625" hidden="1" customWidth="1"/>
    <col min="64" max="64" width="16.85546875" hidden="1" customWidth="1"/>
    <col min="65" max="65" width="12.28515625" hidden="1" customWidth="1"/>
    <col min="66" max="66" width="16.85546875" hidden="1" customWidth="1"/>
    <col min="67" max="70" width="12.28515625" hidden="1" customWidth="1"/>
    <col min="71" max="71" width="24.42578125" hidden="1" customWidth="1"/>
    <col min="72" max="73" width="12.28515625" hidden="1" customWidth="1"/>
    <col min="74" max="75" width="51.7109375" hidden="1" customWidth="1"/>
  </cols>
  <sheetData>
    <row r="1" spans="1:80" ht="33" customHeight="1" thickBot="1">
      <c r="A1" s="1131" t="s">
        <v>387</v>
      </c>
      <c r="B1" s="1056"/>
      <c r="C1" s="1057"/>
      <c r="D1" s="1057"/>
      <c r="E1" s="1057"/>
      <c r="F1" s="1057"/>
      <c r="G1" s="1057"/>
      <c r="H1" s="1058"/>
      <c r="I1" s="1058"/>
      <c r="J1" s="1058"/>
      <c r="K1" s="1058"/>
      <c r="L1" s="1058"/>
      <c r="N1" s="1678" t="s">
        <v>891</v>
      </c>
      <c r="O1" s="1678" t="s">
        <v>867</v>
      </c>
      <c r="P1" s="2174"/>
      <c r="Q1" s="2174"/>
      <c r="U1">
        <v>1</v>
      </c>
      <c r="V1">
        <v>2</v>
      </c>
      <c r="W1">
        <v>3</v>
      </c>
      <c r="X1">
        <v>4</v>
      </c>
      <c r="Y1">
        <v>5</v>
      </c>
      <c r="Z1">
        <v>6</v>
      </c>
      <c r="AA1">
        <v>7</v>
      </c>
      <c r="AB1">
        <v>8</v>
      </c>
      <c r="AC1">
        <v>9</v>
      </c>
      <c r="AD1">
        <v>10</v>
      </c>
      <c r="AE1">
        <v>11</v>
      </c>
      <c r="AF1">
        <v>12</v>
      </c>
      <c r="AG1">
        <v>13</v>
      </c>
      <c r="AH1">
        <v>14</v>
      </c>
      <c r="AJ1" s="1610" t="s">
        <v>1606</v>
      </c>
      <c r="AK1" s="1612" t="s">
        <v>1655</v>
      </c>
      <c r="AL1" s="1612" t="s">
        <v>1605</v>
      </c>
      <c r="AM1" s="1612" t="s">
        <v>1656</v>
      </c>
      <c r="AN1" s="1605" t="s">
        <v>1620</v>
      </c>
      <c r="AO1" s="1618" t="s">
        <v>1657</v>
      </c>
      <c r="AP1" s="1605" t="s">
        <v>1621</v>
      </c>
      <c r="AQ1" s="1611" t="s">
        <v>1658</v>
      </c>
      <c r="AR1" s="1605" t="s">
        <v>1622</v>
      </c>
      <c r="AS1" s="1611" t="s">
        <v>1659</v>
      </c>
      <c r="AT1" s="1605" t="s">
        <v>1623</v>
      </c>
      <c r="AU1" s="1611" t="s">
        <v>1660</v>
      </c>
      <c r="AV1" s="1605" t="s">
        <v>1624</v>
      </c>
      <c r="AW1" s="1611" t="s">
        <v>1661</v>
      </c>
      <c r="AX1" s="1605" t="s">
        <v>1625</v>
      </c>
      <c r="AY1" s="1611" t="s">
        <v>1662</v>
      </c>
      <c r="AZ1" s="1605" t="s">
        <v>1626</v>
      </c>
      <c r="BA1" s="1611" t="s">
        <v>1663</v>
      </c>
      <c r="BB1" s="1605" t="s">
        <v>1627</v>
      </c>
      <c r="BC1" s="1611" t="s">
        <v>1664</v>
      </c>
      <c r="BD1" s="1605" t="s">
        <v>1628</v>
      </c>
      <c r="BE1" s="1611" t="s">
        <v>1665</v>
      </c>
      <c r="BF1" s="1611" t="s">
        <v>1629</v>
      </c>
      <c r="BG1" s="1611" t="s">
        <v>1666</v>
      </c>
      <c r="BH1" s="1611" t="s">
        <v>1630</v>
      </c>
      <c r="BI1" s="1611" t="s">
        <v>1667</v>
      </c>
      <c r="BJ1" s="1611" t="s">
        <v>1631</v>
      </c>
      <c r="BK1" s="1611" t="s">
        <v>1668</v>
      </c>
      <c r="BL1" s="1611" t="s">
        <v>1638</v>
      </c>
      <c r="BM1" s="1611" t="s">
        <v>1669</v>
      </c>
      <c r="BN1" s="1611" t="s">
        <v>1639</v>
      </c>
      <c r="BS1" s="1689" t="s">
        <v>2340</v>
      </c>
      <c r="BT1" s="1690" t="s">
        <v>2339</v>
      </c>
      <c r="BU1" s="1691" t="s">
        <v>2338</v>
      </c>
      <c r="BV1" t="s">
        <v>2351</v>
      </c>
      <c r="BW1" t="s">
        <v>2352</v>
      </c>
    </row>
    <row r="2" spans="1:80" ht="28.5" customHeight="1" thickTop="1" thickBot="1">
      <c r="A2" s="1389" t="s">
        <v>1190</v>
      </c>
      <c r="B2" s="1390" t="s">
        <v>313</v>
      </c>
      <c r="C2" s="1301" t="s">
        <v>656</v>
      </c>
      <c r="D2" s="1397" t="s">
        <v>2342</v>
      </c>
      <c r="E2" s="1391" t="s">
        <v>391</v>
      </c>
      <c r="F2" s="1391" t="s">
        <v>392</v>
      </c>
      <c r="G2" s="1687" t="s">
        <v>2347</v>
      </c>
      <c r="H2" s="1391" t="s">
        <v>2346</v>
      </c>
      <c r="I2" s="1391" t="s">
        <v>393</v>
      </c>
      <c r="J2" s="1391" t="s">
        <v>394</v>
      </c>
      <c r="K2" s="1392" t="s">
        <v>2336</v>
      </c>
      <c r="L2" s="1392" t="s">
        <v>1191</v>
      </c>
      <c r="N2" s="1127" t="s">
        <v>940</v>
      </c>
      <c r="O2" s="1127"/>
      <c r="P2" s="2175"/>
      <c r="Q2" s="2175"/>
      <c r="S2" s="1673" t="s">
        <v>1998</v>
      </c>
      <c r="T2" s="1674" t="s">
        <v>2337</v>
      </c>
      <c r="U2" s="1674" t="s">
        <v>1681</v>
      </c>
      <c r="V2" s="1674" t="s">
        <v>2006</v>
      </c>
      <c r="W2" s="1674" t="s">
        <v>2007</v>
      </c>
      <c r="X2" s="1674" t="s">
        <v>2008</v>
      </c>
      <c r="Y2" s="1674" t="s">
        <v>2009</v>
      </c>
      <c r="Z2" s="1674" t="s">
        <v>2010</v>
      </c>
      <c r="AA2" s="1674" t="s">
        <v>2011</v>
      </c>
      <c r="AB2" s="1674" t="s">
        <v>2012</v>
      </c>
      <c r="AC2" s="1674" t="s">
        <v>2339</v>
      </c>
      <c r="AD2" s="1674" t="s">
        <v>2338</v>
      </c>
      <c r="AE2" s="1674" t="s">
        <v>2013</v>
      </c>
      <c r="AF2" s="1674" t="s">
        <v>656</v>
      </c>
      <c r="AG2" s="1673" t="s">
        <v>2344</v>
      </c>
      <c r="AH2" s="1673" t="s">
        <v>2345</v>
      </c>
      <c r="AJ2" s="1656" t="str">
        <f>""</f>
        <v/>
      </c>
      <c r="AK2" s="1613" t="str">
        <f>IFERROR(INDEX(Liste_Handelsünger[Handelsdünger],_xlfn.AGGREGATE(15,6,(ROW(Liste_Handelsünger[Handelsdünger])-1)/(--(SEARCH(AL$2,Liste_Handelsünger[Handelsdünger])&gt;0)),ROW()-2),1),"")</f>
        <v/>
      </c>
      <c r="AL2" s="1614" t="str">
        <f>IF(($A$3=""),"",IF(COUNTIF(Mineral!$AJ$3:$AJ$324,$A$3),"",$A$3))</f>
        <v/>
      </c>
      <c r="AM2" s="1613" t="str">
        <f>IFERROR(INDEX(Liste_Handelsünger[Handelsdünger],_xlfn.AGGREGATE(15,6,(ROW(Liste_Handelsünger[Handelsdünger])-1)/(--(SEARCH(AN$2,Liste_Handelsünger[Handelsdünger])&gt;0)),ROW()-2),1),"")</f>
        <v/>
      </c>
      <c r="AN2" s="1607" t="str">
        <f>IF(($A4=""),"",IF(COUNTIF(Mineral!$AJ$3:$AJ$324,$A4),"",$A4))</f>
        <v/>
      </c>
      <c r="AO2" s="1613" t="str">
        <f>IFERROR(INDEX(Liste_Handelsünger[Handelsdünger],_xlfn.AGGREGATE(15,6,(ROW(Liste_Handelsünger[Handelsdünger])-1)/(--(SEARCH(AP$2,Liste_Handelsünger[Handelsdünger])&gt;0)),ROW()-2),1),"")</f>
        <v/>
      </c>
      <c r="AP2" s="1608" t="str">
        <f>IF(($A5=""),"",IF(COUNTIF(Mineral!$AJ$3:$AJ$324,$A5),"",$A5))</f>
        <v/>
      </c>
      <c r="AQ2" s="1613" t="str">
        <f>IFERROR(INDEX(Liste_Handelsünger[Handelsdünger],_xlfn.AGGREGATE(15,6,(ROW(Liste_Handelsünger[Handelsdünger])-1)/(--(SEARCH(AR$2,Liste_Handelsünger[Handelsdünger])&gt;0)),ROW()-2),1),"")</f>
        <v/>
      </c>
      <c r="AR2" s="1608" t="str">
        <f>IF(($A6=""),"",IF(COUNTIF(Mineral!$AJ$3:$AJ$324,$A6),"",$A6))</f>
        <v/>
      </c>
      <c r="AS2" s="1613" t="str">
        <f>IFERROR(INDEX(Liste_Handelsünger[Handelsdünger],_xlfn.AGGREGATE(15,6,(ROW(Liste_Handelsünger[Handelsdünger])-1)/(--(SEARCH(AT$2,Liste_Handelsünger[Handelsdünger])&gt;0)),ROW()-2),1),"")</f>
        <v/>
      </c>
      <c r="AT2" s="1608" t="str">
        <f>IF(($A7=""),"",IF(COUNTIF(Mineral!$AJ$3:$AJ$324,$A7),"",$A7))</f>
        <v/>
      </c>
      <c r="AU2" s="1613" t="str">
        <f>IFERROR(INDEX(Liste_Handelsünger[Handelsdünger],_xlfn.AGGREGATE(15,6,(ROW(Liste_Handelsünger[Handelsdünger])-1)/(--(SEARCH(AV$2,Liste_Handelsünger[Handelsdünger])&gt;0)),ROW()-2),1),"")</f>
        <v/>
      </c>
      <c r="AV2" s="1608" t="str">
        <f>IF(($A8=""),"",IF(COUNTIF(Mineral!$AJ$3:$AJ$324,$A8),"",$A8))</f>
        <v/>
      </c>
      <c r="AW2" s="1613" t="str">
        <f>IFERROR(INDEX(Liste_Handelsünger[Handelsdünger],_xlfn.AGGREGATE(15,6,(ROW(Liste_Handelsünger[Handelsdünger])-1)/(--(SEARCH(AX$2,Liste_Handelsünger[Handelsdünger])&gt;0)),ROW()-2),1),"")</f>
        <v/>
      </c>
      <c r="AX2" s="1608" t="str">
        <f>IF(($A9=""),"",IF(COUNTIF(Mineral!$AJ$3:$AJ$324,$A9),"",$A9))</f>
        <v/>
      </c>
      <c r="AY2" s="1613" t="str">
        <f>IFERROR(INDEX(Liste_Handelsünger[Handelsdünger],_xlfn.AGGREGATE(15,6,(ROW(Liste_Handelsünger[Handelsdünger])-1)/(--(SEARCH(AZ$2,Liste_Handelsünger[Handelsdünger])&gt;0)),ROW()-2),1),"")</f>
        <v/>
      </c>
      <c r="AZ2" s="1608" t="str">
        <f>IF(($A10=""),"",IF(COUNTIF(Mineral!$AJ$3:$AJ$324,$A10),"",$A10))</f>
        <v/>
      </c>
      <c r="BA2" s="1613" t="str">
        <f>IFERROR(INDEX(Liste_Handelsünger[Handelsdünger],_xlfn.AGGREGATE(15,6,(ROW(Liste_Handelsünger[Handelsdünger])-1)/(--(SEARCH(BB$2,Liste_Handelsünger[Handelsdünger])&gt;0)),ROW()-2),1),"")</f>
        <v/>
      </c>
      <c r="BB2" s="1608" t="str">
        <f>IF(($A11=""),"",IF(COUNTIF(Mineral!$AJ$3:$AJ$324,$A11),"",$A11))</f>
        <v/>
      </c>
      <c r="BC2" s="1613" t="str">
        <f>IFERROR(INDEX(Liste_Handelsünger[Handelsdünger],_xlfn.AGGREGATE(15,6,(ROW(Liste_Handelsünger[Handelsdünger])-1)/(--(SEARCH(BD$2,Liste_Handelsünger[Handelsdünger])&gt;0)),ROW()-2),1),"")</f>
        <v/>
      </c>
      <c r="BD2" s="1608" t="str">
        <f>IF(($A12=""),"",IF(COUNTIF(Mineral!$AJ$3:$AJ$324,$A12),"",$A12))</f>
        <v/>
      </c>
      <c r="BE2" s="1613" t="str">
        <f>IFERROR(INDEX(Liste_Handelsünger[Handelsdünger],_xlfn.AGGREGATE(15,6,(ROW(Liste_Handelsünger[Handelsdünger])-1)/(--(SEARCH(BF$2,Liste_Handelsünger[Handelsdünger])&gt;0)),ROW()-2),1),"")</f>
        <v/>
      </c>
      <c r="BF2" s="1608" t="str">
        <f>IF(($A13=""),"",IF(COUNTIF(Mineral!$AJ$3:$AJ$324,$A13),"",$A13))</f>
        <v/>
      </c>
      <c r="BG2" s="1613" t="str">
        <f>IFERROR(INDEX(Liste_Handelsünger[Handelsdünger],_xlfn.AGGREGATE(15,6,(ROW(Liste_Handelsünger[Handelsdünger])-1)/(--(SEARCH(BH$2,Liste_Handelsünger[Handelsdünger])&gt;0)),ROW()-2),1),"")</f>
        <v/>
      </c>
      <c r="BH2" s="1608" t="str">
        <f>IF(($A14=""),"",IF(COUNTIF(Mineral!$AJ$3:$AJ$324,$A14),"",$A14))</f>
        <v/>
      </c>
      <c r="BI2" s="1613" t="str">
        <f>IFERROR(INDEX(Liste_Handelsünger[Handelsdünger],_xlfn.AGGREGATE(15,6,(ROW(Liste_Handelsünger[Handelsdünger])-1)/(--(SEARCH(BJ$2,Liste_Handelsünger[Handelsdünger])&gt;0)),ROW()-2),1),"")</f>
        <v/>
      </c>
      <c r="BJ2" s="1608" t="str">
        <f>IF(($A15=""),"",IF(COUNTIF(Mineral!$AJ$3:$AJ$324,$A15),"",$A15))</f>
        <v/>
      </c>
      <c r="BK2" s="1613" t="str">
        <f>IFERROR(INDEX(Liste_Handelsünger[Handelsdünger],_xlfn.AGGREGATE(15,6,(ROW(Liste_Handelsünger[Handelsdünger])-1)/(--(SEARCH(BL$2,Liste_Handelsünger[Handelsdünger])&gt;0)),ROW()-2),1),"")</f>
        <v/>
      </c>
      <c r="BL2" s="1608" t="str">
        <f>IF(($A16=""),"",IF(COUNTIF(Mineral!$AJ$3:$AJ$324,$A16),"",$A16))</f>
        <v/>
      </c>
      <c r="BM2" s="1613" t="str">
        <f>IFERROR(INDEX(Liste_Handelsünger[Handelsdünger],_xlfn.AGGREGATE(15,6,(ROW(Liste_Handelsünger[Handelsdünger])-1)/(--(SEARCH(BN$2,Liste_Handelsünger[Handelsdünger])&gt;0)),ROW()-2),1),"")</f>
        <v/>
      </c>
      <c r="BN2" s="1609" t="str">
        <f>IF(($A17=""),"",IF(COUNTIF(Mineral!$AJ$3:$AJ$324,$A17),"",$A17))</f>
        <v/>
      </c>
      <c r="BP2" s="1661" t="s">
        <v>1377</v>
      </c>
      <c r="BQ2" s="1662"/>
      <c r="BS2" s="1652"/>
      <c r="BU2" s="1664"/>
    </row>
    <row r="3" spans="1:80" ht="21.75" customHeight="1" thickTop="1" thickBot="1">
      <c r="A3" s="918"/>
      <c r="B3" s="1128">
        <f>IF(ISNA(VLOOKUP(Mineral!A3,Tabelle1!$C$188:$Q$212,15,0)),0,VLOOKUP(Mineral!A3,Tabelle1!$C$188:$Q$212,15,0))</f>
        <v>0</v>
      </c>
      <c r="C3" s="1598"/>
      <c r="D3" s="1683" t="str">
        <f>IFERROR(VLOOKUP($A3,$U$3:$AE$324,3,0)/100,"")</f>
        <v/>
      </c>
      <c r="E3" s="1683" t="str">
        <f>IFERROR(VLOOKUP($A3,Mineral!$U$2:$AE$324,4,0)/100,"")</f>
        <v/>
      </c>
      <c r="F3" s="1683" t="str">
        <f>IFERROR(VLOOKUP($A3,Mineral!$U$3:$AE$324,5,0)/100,"")</f>
        <v/>
      </c>
      <c r="G3" s="1686">
        <f>IFERROR($C3*VLOOKUP($A3,$U$3:$AH$324,10,0)*(VLOOKUP($A3,$U$3:$AH$324,3,0)/100),0)</f>
        <v>0</v>
      </c>
      <c r="H3" s="1686">
        <f>IFERROR($C3*(VLOOKUP($A3,$U$3:$AH$324,3,0)/100)*VLOOKUP($A3,$U$3:$AH$324,10,0)*VLOOKUP($A3,$U$3:$AH$324,9,0),0)</f>
        <v>0</v>
      </c>
      <c r="I3" s="956">
        <f>IFERROR($C3*$E3,0)</f>
        <v>0</v>
      </c>
      <c r="J3" s="956">
        <f>IFERROR($C3*$F3,0)</f>
        <v>0</v>
      </c>
      <c r="K3" s="1680" t="str">
        <f>IFERROR(IF(VLOOKUP($A3,$U$3:$AF$324,9,0)=0.7,"R-Gülle",IF(VLOOKUP($A3,$U$3:$AF$324,9,0)=0.8,"S-Gülle",IF(VLOOKUP($A3,$U$3:$AF$324,9,0)=0.5,"Mist",IF(VLOOKUP($A3,$U$3:$AF$324,9,0)=0.1,"Kompost","Min. Dünger")))),"")</f>
        <v/>
      </c>
      <c r="L3" s="1388" t="str">
        <f>IF($A3&lt;&gt;"",VLOOKUP($A3,$U$3:$AE$324,9,0),"")</f>
        <v/>
      </c>
      <c r="N3" s="1694" t="s">
        <v>951</v>
      </c>
      <c r="O3" s="1695">
        <f>IFERROR(N_Bedarf!J67,0)</f>
        <v>0</v>
      </c>
      <c r="P3" s="2173"/>
      <c r="Q3" s="2173"/>
      <c r="S3" s="1675">
        <v>1</v>
      </c>
      <c r="T3" s="1613" t="s">
        <v>2335</v>
      </c>
      <c r="U3" s="1613" t="s">
        <v>2213</v>
      </c>
      <c r="V3" s="1613"/>
      <c r="W3" s="1613">
        <v>27</v>
      </c>
      <c r="X3" s="1613">
        <v>0</v>
      </c>
      <c r="Y3" s="1613">
        <v>0</v>
      </c>
      <c r="Z3" s="1613">
        <v>0</v>
      </c>
      <c r="AA3" s="1613">
        <v>0</v>
      </c>
      <c r="AB3" s="1613">
        <v>0</v>
      </c>
      <c r="AC3" s="1613">
        <v>1</v>
      </c>
      <c r="AD3" s="1613">
        <v>1</v>
      </c>
      <c r="AE3" s="1613" t="s">
        <v>2016</v>
      </c>
      <c r="AF3" s="1613" t="str">
        <f>IFERROR(IF(VLOOKUP($U3,$A$3:$L$27,1,0)=$U3,VLOOKUP($U3,$A$3:$L$27,3,0),""),"")</f>
        <v/>
      </c>
      <c r="AG3" s="1656">
        <f>IFERROR(IF($AF3&gt;0,VLOOKUP($U3,Tabelle1!$C$188:$L$212,5,0)*$AF3,0),0)</f>
        <v>0</v>
      </c>
      <c r="AH3" s="1656">
        <f>IFERROR(IF($AF3&gt;0,$AG3*$AC3,0),0)</f>
        <v>0</v>
      </c>
      <c r="AJ3" t="str">
        <f>IF(Betrieb!$D$9="JA",Mineral!$BW3,Mineral!$BV3)</f>
        <v>NAC 27% 27:0:0</v>
      </c>
      <c r="AK3" s="1606" t="str">
        <f>IFERROR(INDEX(Liste_Handelsünger[Handelsdünger],_xlfn.AGGREGATE(15,6,(ROW(Liste_Handelsünger[Handelsdünger])-1)/(--(SEARCH(AL$2,Liste_Handelsünger[Handelsdünger])&gt;0)),ROW()-2),1),"")</f>
        <v>NAC 27% 27:0:0</v>
      </c>
      <c r="AL3" s="1615" t="str">
        <f>IF(($A$3=""),"",IF(COUNTIF(Mineral!$AJ$3:$AJ$324,$A$3),"",$A$3))</f>
        <v/>
      </c>
      <c r="AM3" s="1606" t="str">
        <f>IFERROR(INDEX(Liste_Handelsünger[Handelsdünger],_xlfn.AGGREGATE(15,6,(ROW(Liste_Handelsünger[Handelsdünger])-1)/(--(SEARCH(AN$2,Liste_Handelsünger[Handelsdünger])&gt;0)),ROW()-2),1),"")</f>
        <v>NAC 27% 27:0:0</v>
      </c>
      <c r="AN3" t="str">
        <f>IF(($A5=""),"",IF(COUNTIF(Mineral!$AJ$3:$AJ$324,$A5),"",$A5))</f>
        <v/>
      </c>
      <c r="AO3" t="str">
        <f>IFERROR(INDEX(Liste_Handelsünger[Handelsdünger],_xlfn.AGGREGATE(15,6,(ROW(Liste_Handelsünger[Handelsdünger])-1)/(--(SEARCH(AP$2,Liste_Handelsünger[Handelsdünger])&gt;0)),ROW()-2),1),"")</f>
        <v>NAC 27% 27:0:0</v>
      </c>
      <c r="AP3" t="str">
        <f>IF(($A6=""),"",IF(COUNTIF(Mineral!$AJ$3:$AJ$324,$A6),"",$A6))</f>
        <v/>
      </c>
      <c r="AQ3" t="str">
        <f>IFERROR(INDEX(Liste_Handelsünger[Handelsdünger],_xlfn.AGGREGATE(15,6,(ROW(Liste_Handelsünger[Handelsdünger])-1)/(--(SEARCH(AR$2,Liste_Handelsünger[Handelsdünger])&gt;0)),ROW()-2),1),"")</f>
        <v>NAC 27% 27:0:0</v>
      </c>
      <c r="AR3" t="str">
        <f>IF(($A7=""),"",IF(COUNTIF(Mineral!$AJ$3:$AJ$324,$A7),"",$A7))</f>
        <v/>
      </c>
      <c r="AS3" t="str">
        <f>IFERROR(INDEX(Liste_Handelsünger[Handelsdünger],_xlfn.AGGREGATE(15,6,(ROW(Liste_Handelsünger[Handelsdünger])-1)/(--(SEARCH(AT$2,Liste_Handelsünger[Handelsdünger])&gt;0)),ROW()-2),1),"")</f>
        <v>NAC 27% 27:0:0</v>
      </c>
      <c r="AT3" t="str">
        <f>IF(($A8=""),"",IF(COUNTIF(Mineral!$AJ$3:$AJ$324,$A8),"",$A8))</f>
        <v/>
      </c>
      <c r="AU3" t="str">
        <f>IFERROR(INDEX(Liste_Handelsünger[Handelsdünger],_xlfn.AGGREGATE(15,6,(ROW(Liste_Handelsünger[Handelsdünger])-1)/(--(SEARCH(AV$2,Liste_Handelsünger[Handelsdünger])&gt;0)),ROW()-2),1),"")</f>
        <v>NAC 27% 27:0:0</v>
      </c>
      <c r="AV3" t="str">
        <f>IF(($A9=""),"",IF(COUNTIF(Mineral!$AJ$3:$AJ$324,$A9),"",$A9))</f>
        <v/>
      </c>
      <c r="AW3" t="str">
        <f>IFERROR(INDEX(Liste_Handelsünger[Handelsdünger],_xlfn.AGGREGATE(15,6,(ROW(Liste_Handelsünger[Handelsdünger])-1)/(--(SEARCH(AX$2,Liste_Handelsünger[Handelsdünger])&gt;0)),ROW()-2),1),"")</f>
        <v>NAC 27% 27:0:0</v>
      </c>
      <c r="AX3" t="str">
        <f>IF(($A10=""),"",IF(COUNTIF(Mineral!$AJ$3:$AJ$324,$A10),"",$A10))</f>
        <v/>
      </c>
      <c r="AY3" t="str">
        <f>IFERROR(INDEX(Liste_Handelsünger[Handelsdünger],_xlfn.AGGREGATE(15,6,(ROW(Liste_Handelsünger[Handelsdünger])-1)/(--(SEARCH(AZ$2,Liste_Handelsünger[Handelsdünger])&gt;0)),ROW()-2),1),"")</f>
        <v>NAC 27% 27:0:0</v>
      </c>
      <c r="AZ3" t="str">
        <f>IF(($A11=""),"",IF(COUNTIF(Mineral!$AJ$3:$AJ$324,$A11),"",$A11))</f>
        <v/>
      </c>
      <c r="BA3" t="str">
        <f>IFERROR(INDEX(Liste_Handelsünger[Handelsdünger],_xlfn.AGGREGATE(15,6,(ROW(Liste_Handelsünger[Handelsdünger])-1)/(--(SEARCH(BB$2,Liste_Handelsünger[Handelsdünger])&gt;0)),ROW()-2),1),"")</f>
        <v>NAC 27% 27:0:0</v>
      </c>
      <c r="BB3" t="str">
        <f>IF(($A12=""),"",IF(COUNTIF(Mineral!$AJ$3:$AJ$324,$A12),"",$A12))</f>
        <v/>
      </c>
      <c r="BC3" t="str">
        <f>IFERROR(INDEX(Liste_Handelsünger[Handelsdünger],_xlfn.AGGREGATE(15,6,(ROW(Liste_Handelsünger[Handelsdünger])-1)/(--(SEARCH(BD$2,Liste_Handelsünger[Handelsdünger])&gt;0)),ROW()-2),1),"")</f>
        <v>NAC 27% 27:0:0</v>
      </c>
      <c r="BD3" t="str">
        <f>IF(($A13=""),"",IF(COUNTIF(Mineral!$AJ$3:$AJ$324,$A13),"",$A13))</f>
        <v/>
      </c>
      <c r="BE3" t="str">
        <f>IFERROR(INDEX(Liste_Handelsünger[Handelsdünger],_xlfn.AGGREGATE(15,6,(ROW(Liste_Handelsünger[Handelsdünger])-1)/(--(SEARCH(BF$2,Liste_Handelsünger[Handelsdünger])&gt;0)),ROW()-2),1),"")</f>
        <v>NAC 27% 27:0:0</v>
      </c>
      <c r="BF3" t="str">
        <f>IF(($A14=""),"",IF(COUNTIF(Mineral!$AJ$3:$AJ$324,$A14),"",$A14))</f>
        <v/>
      </c>
      <c r="BG3" t="str">
        <f>IFERROR(INDEX(Liste_Handelsünger[Handelsdünger],_xlfn.AGGREGATE(15,6,(ROW(Liste_Handelsünger[Handelsdünger])-1)/(--(SEARCH(BH$2,Liste_Handelsünger[Handelsdünger])&gt;0)),ROW()-2),1),"")</f>
        <v>NAC 27% 27:0:0</v>
      </c>
      <c r="BH3" t="str">
        <f>IF(($A15=""),"",IF(COUNTIF(Mineral!$AJ$3:$AJ$324,$A15),"",$A15))</f>
        <v/>
      </c>
      <c r="BI3" t="str">
        <f>IFERROR(INDEX(Liste_Handelsünger[Handelsdünger],_xlfn.AGGREGATE(15,6,(ROW(Liste_Handelsünger[Handelsdünger])-1)/(--(SEARCH(BJ$2,Liste_Handelsünger[Handelsdünger])&gt;0)),ROW()-2),1),"")</f>
        <v>NAC 27% 27:0:0</v>
      </c>
      <c r="BJ3" t="str">
        <f>IF(($A16=""),"",IF(COUNTIF(Mineral!$AJ$3:$AJ$324,$A16),"",$A16))</f>
        <v/>
      </c>
      <c r="BK3" t="str">
        <f>IFERROR(INDEX(Liste_Handelsünger[Handelsdünger],_xlfn.AGGREGATE(15,6,(ROW(Liste_Handelsünger[Handelsdünger])-1)/(--(SEARCH(BL$2,Liste_Handelsünger[Handelsdünger])&gt;0)),ROW()-2),1),"")</f>
        <v>NAC 27% 27:0:0</v>
      </c>
      <c r="BM3" t="str">
        <f>IFERROR(INDEX(Liste_Handelsünger[Handelsdünger],_xlfn.AGGREGATE(15,6,(ROW(Liste_Handelsünger[Handelsdünger])-1)/(--(SEARCH(BN$2,Liste_Handelsünger[Handelsdünger])&gt;0)),ROW()-2),1),"")</f>
        <v>NAC 27% 27:0:0</v>
      </c>
      <c r="BN3" t="str">
        <f>IF(($A18=""),"",IF(COUNTIF(Mineral!$AJ$3:$AJ$324,$A18),"",$A18))</f>
        <v>eigener Dünger 1</v>
      </c>
      <c r="BP3" s="1663">
        <v>2</v>
      </c>
      <c r="BQ3" s="1664">
        <f>COUNTIF(Liste_Handelsünger[Handelsdünger],$A3)</f>
        <v>0</v>
      </c>
      <c r="BS3" s="1652" t="s">
        <v>2341</v>
      </c>
      <c r="BT3">
        <v>1</v>
      </c>
      <c r="BU3" s="1664">
        <v>1</v>
      </c>
      <c r="BV3" t="s">
        <v>2213</v>
      </c>
      <c r="BW3" t="s">
        <v>2234</v>
      </c>
      <c r="BZ3" s="1602"/>
      <c r="CA3" s="1602"/>
      <c r="CB3" s="1602"/>
    </row>
    <row r="4" spans="1:80" ht="21.75" customHeight="1" thickTop="1" thickBot="1">
      <c r="A4" s="918"/>
      <c r="B4" s="1128">
        <f>IF(ISNA(VLOOKUP(Mineral!A4,Tabelle1!$C$188:$Q$212,15,0)),0,VLOOKUP(Mineral!A4,Tabelle1!$C$188:$Q$212,15,0))</f>
        <v>0</v>
      </c>
      <c r="C4" s="1598"/>
      <c r="D4" s="1683" t="str">
        <f t="shared" ref="D4:D17" si="0">IFERROR(VLOOKUP($A4,$U$3:$AE$324,3,0)/100,"")</f>
        <v/>
      </c>
      <c r="E4" s="1683" t="str">
        <f>IFERROR(VLOOKUP($A4,Mineral!$U$2:$AE$324,4,0)/100,"")</f>
        <v/>
      </c>
      <c r="F4" s="1683" t="str">
        <f>IFERROR(VLOOKUP($A4,Mineral!$U$3:$AE$324,5,0)/100,"")</f>
        <v/>
      </c>
      <c r="G4" s="1686">
        <f t="shared" ref="G4:G17" si="1">IFERROR($C4*VLOOKUP($A4,$U$3:$AH$324,10,0)*(VLOOKUP($A4,$U$3:$AH$324,3,0)/100),0)</f>
        <v>0</v>
      </c>
      <c r="H4" s="1686">
        <f t="shared" ref="H4:H17" si="2">IFERROR($C4*(VLOOKUP($A4,$U$3:$AH$324,3,0)/100)*VLOOKUP($A4,$U$3:$AH$324,10,0)*VLOOKUP($A4,$U$3:$AH$324,9,0),0)</f>
        <v>0</v>
      </c>
      <c r="I4" s="956">
        <f t="shared" ref="I4:I17" si="3">IFERROR($C4*$E4,0)</f>
        <v>0</v>
      </c>
      <c r="J4" s="956">
        <f t="shared" ref="J4:J17" si="4">IFERROR($C4*$F4,0)</f>
        <v>0</v>
      </c>
      <c r="K4" s="1680" t="str">
        <f t="shared" ref="K4:K17" si="5">IFERROR(IF(VLOOKUP($A4,$U$3:$AF$324,9,0)=0.7,"R-Gülle",IF(VLOOKUP($A4,$U$3:$AF$324,9,0)=0.8,"S-Gülle",IF(VLOOKUP($A4,$U$3:$AF$324,9,0)=0.5,"Mist",IF(VLOOKUP($A4,$U$3:$AF$324,9,0)=0.1,"Kompost","Min. Dünger")))),"")</f>
        <v/>
      </c>
      <c r="L4" s="1388" t="str">
        <f t="shared" ref="L4:L17" si="6">IF($A4&lt;&gt;"",VLOOKUP($A4,$U$3:$AE$324,9,0),"")</f>
        <v/>
      </c>
      <c r="N4" s="1694" t="s">
        <v>389</v>
      </c>
      <c r="O4" s="1695">
        <f>IFERROR(Tiere!F34,0)</f>
        <v>0</v>
      </c>
      <c r="P4" s="2173"/>
      <c r="Q4" s="2173"/>
      <c r="S4" s="1676">
        <v>2</v>
      </c>
      <c r="T4" s="1606" t="s">
        <v>2335</v>
      </c>
      <c r="U4" s="1606" t="s">
        <v>2157</v>
      </c>
      <c r="V4" s="1606"/>
      <c r="W4" s="1606">
        <v>46</v>
      </c>
      <c r="X4" s="1606">
        <v>0</v>
      </c>
      <c r="Y4" s="1606">
        <v>0</v>
      </c>
      <c r="Z4" s="1606">
        <v>0</v>
      </c>
      <c r="AA4" s="1606">
        <v>0</v>
      </c>
      <c r="AB4" s="1606">
        <v>0</v>
      </c>
      <c r="AC4" s="1606">
        <v>1</v>
      </c>
      <c r="AD4" s="1613">
        <v>1</v>
      </c>
      <c r="AE4" s="1606" t="s">
        <v>2016</v>
      </c>
      <c r="AF4" s="1613" t="str">
        <f t="shared" ref="AF4:AF67" si="7">IFERROR(IF(VLOOKUP($U4,$A$3:$L$27,1,0)=$U4,VLOOKUP($U4,$A$3:$L$27,3,0),""),"")</f>
        <v/>
      </c>
      <c r="AG4" s="1656">
        <f>IFERROR(IF($AF4&gt;0,VLOOKUP($U4,Tabelle1!$C$188:$L$212,5,0)*$AF4,0),0)</f>
        <v>0</v>
      </c>
      <c r="AH4" s="1656">
        <f t="shared" ref="AH4:AH67" si="8">IFERROR(IF($AF4&gt;0,$AG4*$AC4,0),0)</f>
        <v>0</v>
      </c>
      <c r="AJ4" t="str">
        <f>IF(Betrieb!$D$9="JA",Mineral!$BW4,Mineral!$BV4)</f>
        <v>Harnstoff 46:0:0</v>
      </c>
      <c r="AK4" s="1617" t="str">
        <f>IFERROR(INDEX(Liste_Handelsünger[Handelsdünger],_xlfn.AGGREGATE(15,6,(ROW(Liste_Handelsünger[Handelsdünger])-1)/(--(SEARCH(AL$2,Liste_Handelsünger[Handelsdünger])&gt;0)),ROW()-2),1),"")</f>
        <v>Harnstoff 46:0:0</v>
      </c>
      <c r="AL4" s="1617" t="str">
        <f>IF(($A$3=""),"",IF(COUNTIF(Mineral!$AJ$3:$AJ$324,$A$3),"",$A$3))</f>
        <v/>
      </c>
      <c r="AM4" s="1617" t="str">
        <f>IFERROR(INDEX(Liste_Handelsünger[Handelsdünger],_xlfn.AGGREGATE(15,6,(ROW(Liste_Handelsünger[Handelsdünger])-1)/(--(SEARCH(AN$2,Liste_Handelsünger[Handelsdünger])&gt;0)),ROW()-2),1),"")</f>
        <v>Harnstoff 46:0:0</v>
      </c>
      <c r="AN4" t="str">
        <f>IF(($A6=""),"",IF(COUNTIF(Mineral!$AJ$3:$AJ$324,$A6),"",$A6))</f>
        <v/>
      </c>
      <c r="AO4" t="str">
        <f>IFERROR(INDEX(Liste_Handelsünger[Handelsdünger],_xlfn.AGGREGATE(15,6,(ROW(Liste_Handelsünger[Handelsdünger])-1)/(--(SEARCH(AP$2,Liste_Handelsünger[Handelsdünger])&gt;0)),ROW()-2),1),"")</f>
        <v>Harnstoff 46:0:0</v>
      </c>
      <c r="AP4" t="str">
        <f>IF(($A7=""),"",IF(COUNTIF(Mineral!$AJ$3:$AJ$324,$A7),"",$A7))</f>
        <v/>
      </c>
      <c r="AQ4" t="str">
        <f>IFERROR(INDEX(Liste_Handelsünger[Handelsdünger],_xlfn.AGGREGATE(15,6,(ROW(Liste_Handelsünger[Handelsdünger])-1)/(--(SEARCH(AR$2,Liste_Handelsünger[Handelsdünger])&gt;0)),ROW()-2),1),"")</f>
        <v>Harnstoff 46:0:0</v>
      </c>
      <c r="AR4" t="str">
        <f>IF(($A8=""),"",IF(COUNTIF(Mineral!$AJ$3:$AJ$324,$A8),"",$A8))</f>
        <v/>
      </c>
      <c r="AS4" t="str">
        <f>IFERROR(INDEX(Liste_Handelsünger[Handelsdünger],_xlfn.AGGREGATE(15,6,(ROW(Liste_Handelsünger[Handelsdünger])-1)/(--(SEARCH(AT$2,Liste_Handelsünger[Handelsdünger])&gt;0)),ROW()-2),1),"")</f>
        <v>Harnstoff 46:0:0</v>
      </c>
      <c r="AT4" t="str">
        <f>IF(($A9=""),"",IF(COUNTIF(Mineral!$AJ$3:$AJ$324,$A9),"",$A9))</f>
        <v/>
      </c>
      <c r="AU4" t="str">
        <f>IFERROR(INDEX(Liste_Handelsünger[Handelsdünger],_xlfn.AGGREGATE(15,6,(ROW(Liste_Handelsünger[Handelsdünger])-1)/(--(SEARCH(AV$2,Liste_Handelsünger[Handelsdünger])&gt;0)),ROW()-2),1),"")</f>
        <v>Harnstoff 46:0:0</v>
      </c>
      <c r="AV4" t="str">
        <f>IF(($A10=""),"",IF(COUNTIF(Mineral!$AJ$3:$AJ$324,$A10),"",$A10))</f>
        <v/>
      </c>
      <c r="AW4" t="str">
        <f>IFERROR(INDEX(Liste_Handelsünger[Handelsdünger],_xlfn.AGGREGATE(15,6,(ROW(Liste_Handelsünger[Handelsdünger])-1)/(--(SEARCH(AX$2,Liste_Handelsünger[Handelsdünger])&gt;0)),ROW()-2),1),"")</f>
        <v>Harnstoff 46:0:0</v>
      </c>
      <c r="AX4" t="str">
        <f>IF(($A11=""),"",IF(COUNTIF(Mineral!$AJ$3:$AJ$324,$A11),"",$A11))</f>
        <v/>
      </c>
      <c r="AY4" t="str">
        <f>IFERROR(INDEX(Liste_Handelsünger[Handelsdünger],_xlfn.AGGREGATE(15,6,(ROW(Liste_Handelsünger[Handelsdünger])-1)/(--(SEARCH(AZ$2,Liste_Handelsünger[Handelsdünger])&gt;0)),ROW()-2),1),"")</f>
        <v>Harnstoff 46:0:0</v>
      </c>
      <c r="AZ4" t="str">
        <f>IF(($A12=""),"",IF(COUNTIF(Mineral!$AJ$3:$AJ$324,$A12),"",$A12))</f>
        <v/>
      </c>
      <c r="BA4" t="str">
        <f>IFERROR(INDEX(Liste_Handelsünger[Handelsdünger],_xlfn.AGGREGATE(15,6,(ROW(Liste_Handelsünger[Handelsdünger])-1)/(--(SEARCH(BB$2,Liste_Handelsünger[Handelsdünger])&gt;0)),ROW()-2),1),"")</f>
        <v>Harnstoff 46:0:0</v>
      </c>
      <c r="BB4" t="str">
        <f>IF(($A13=""),"",IF(COUNTIF(Mineral!$AJ$3:$AJ$324,$A13),"",$A13))</f>
        <v/>
      </c>
      <c r="BC4" t="str">
        <f>IFERROR(INDEX(Liste_Handelsünger[Handelsdünger],_xlfn.AGGREGATE(15,6,(ROW(Liste_Handelsünger[Handelsdünger])-1)/(--(SEARCH(BD$2,Liste_Handelsünger[Handelsdünger])&gt;0)),ROW()-2),1),"")</f>
        <v>Harnstoff 46:0:0</v>
      </c>
      <c r="BD4" t="str">
        <f>IF(($A14=""),"",IF(COUNTIF(Mineral!$AJ$3:$AJ$324,$A14),"",$A14))</f>
        <v/>
      </c>
      <c r="BE4" t="str">
        <f>IFERROR(INDEX(Liste_Handelsünger[Handelsdünger],_xlfn.AGGREGATE(15,6,(ROW(Liste_Handelsünger[Handelsdünger])-1)/(--(SEARCH(BF$2,Liste_Handelsünger[Handelsdünger])&gt;0)),ROW()-2),1),"")</f>
        <v>Harnstoff 46:0:0</v>
      </c>
      <c r="BF4" t="str">
        <f>IF(($A15=""),"",IF(COUNTIF(Mineral!$AJ$3:$AJ$324,$A15),"",$A15))</f>
        <v/>
      </c>
      <c r="BG4" t="str">
        <f>IFERROR(INDEX(Liste_Handelsünger[Handelsdünger],_xlfn.AGGREGATE(15,6,(ROW(Liste_Handelsünger[Handelsdünger])-1)/(--(SEARCH(BH$2,Liste_Handelsünger[Handelsdünger])&gt;0)),ROW()-2),1),"")</f>
        <v>Harnstoff 46:0:0</v>
      </c>
      <c r="BH4" t="str">
        <f>IF(($A16=""),"",IF(COUNTIF(Mineral!$AJ$3:$AJ$324,$A16),"",$A16))</f>
        <v/>
      </c>
      <c r="BI4" t="str">
        <f>IFERROR(INDEX(Liste_Handelsünger[Handelsdünger],_xlfn.AGGREGATE(15,6,(ROW(Liste_Handelsünger[Handelsdünger])-1)/(--(SEARCH(BJ$2,Liste_Handelsünger[Handelsdünger])&gt;0)),ROW()-2),1),"")</f>
        <v>Harnstoff 46:0:0</v>
      </c>
      <c r="BJ4" t="str">
        <f>IF(($A17=""),"",IF(COUNTIF(Mineral!$AJ$3:$AJ$324,$A17),"",$A17))</f>
        <v/>
      </c>
      <c r="BK4" t="str">
        <f>IFERROR(INDEX(Liste_Handelsünger[Handelsdünger],_xlfn.AGGREGATE(15,6,(ROW(Liste_Handelsünger[Handelsdünger])-1)/(--(SEARCH(BL$2,Liste_Handelsünger[Handelsdünger])&gt;0)),ROW()-2),1),"")</f>
        <v>Harnstoff 46:0:0</v>
      </c>
      <c r="BM4" t="str">
        <f>IFERROR(INDEX(Liste_Handelsünger[Handelsdünger],_xlfn.AGGREGATE(15,6,(ROW(Liste_Handelsünger[Handelsdünger])-1)/(--(SEARCH(BN$2,Liste_Handelsünger[Handelsdünger])&gt;0)),ROW()-2),1),"")</f>
        <v>Harnstoff 46:0:0</v>
      </c>
      <c r="BN4" t="str">
        <f>IF(($A19=""),"",IF(COUNTIF(Mineral!$AJ$3:$AJ$324,$A19),"",$A19))</f>
        <v>eigener Dünger 2</v>
      </c>
      <c r="BP4" s="1663">
        <v>3</v>
      </c>
      <c r="BQ4" s="1664">
        <f>COUNTIF(Liste_Handelsünger[Handelsdünger],$A4)</f>
        <v>0</v>
      </c>
      <c r="BS4" s="1652" t="s">
        <v>459</v>
      </c>
      <c r="BT4">
        <v>1</v>
      </c>
      <c r="BU4" s="1664">
        <v>0.87</v>
      </c>
      <c r="BV4" t="s">
        <v>2157</v>
      </c>
      <c r="BW4" t="s">
        <v>2195</v>
      </c>
      <c r="BZ4" s="1602"/>
      <c r="CA4" s="1602"/>
      <c r="CB4" s="1602"/>
    </row>
    <row r="5" spans="1:80" ht="21.75" customHeight="1" thickTop="1" thickBot="1">
      <c r="A5" s="918"/>
      <c r="B5" s="1128">
        <f>IF(ISNA(VLOOKUP(Mineral!A5,Tabelle1!$C$188:$Q$212,15,0)),0,VLOOKUP(Mineral!A5,Tabelle1!$C$188:$Q$212,15,0))</f>
        <v>0</v>
      </c>
      <c r="C5" s="1598"/>
      <c r="D5" s="1683" t="str">
        <f t="shared" si="0"/>
        <v/>
      </c>
      <c r="E5" s="1683" t="str">
        <f>IFERROR(VLOOKUP($A5,Mineral!$U$2:$AE$324,4,0)/100,"")</f>
        <v/>
      </c>
      <c r="F5" s="1683" t="str">
        <f>IFERROR(VLOOKUP($A5,Mineral!$U$3:$AE$324,5,0)/100,"")</f>
        <v/>
      </c>
      <c r="G5" s="1686">
        <f t="shared" si="1"/>
        <v>0</v>
      </c>
      <c r="H5" s="1686">
        <f t="shared" si="2"/>
        <v>0</v>
      </c>
      <c r="I5" s="956">
        <f t="shared" si="3"/>
        <v>0</v>
      </c>
      <c r="J5" s="956">
        <f t="shared" si="4"/>
        <v>0</v>
      </c>
      <c r="K5" s="1680" t="str">
        <f t="shared" si="5"/>
        <v/>
      </c>
      <c r="L5" s="1388" t="str">
        <f t="shared" si="6"/>
        <v/>
      </c>
      <c r="N5" s="1694" t="s">
        <v>388</v>
      </c>
      <c r="O5" s="1695">
        <f>IFERROR(N_Bedarf!M66,0)</f>
        <v>0</v>
      </c>
      <c r="P5" s="2173"/>
      <c r="Q5" s="2173"/>
      <c r="S5" s="1616">
        <v>3</v>
      </c>
      <c r="T5" s="1617" t="s">
        <v>2335</v>
      </c>
      <c r="U5" s="1617" t="s">
        <v>2020</v>
      </c>
      <c r="V5" s="1617"/>
      <c r="W5" s="1617">
        <v>27</v>
      </c>
      <c r="X5" s="1617">
        <v>0</v>
      </c>
      <c r="Y5" s="1617">
        <v>0</v>
      </c>
      <c r="Z5" s="1617">
        <v>0</v>
      </c>
      <c r="AA5" s="1617">
        <v>0</v>
      </c>
      <c r="AB5" s="1617">
        <v>0</v>
      </c>
      <c r="AC5" s="1617">
        <v>1</v>
      </c>
      <c r="AD5" s="1613">
        <v>1</v>
      </c>
      <c r="AE5" s="1617" t="s">
        <v>2016</v>
      </c>
      <c r="AF5" s="1613" t="str">
        <f t="shared" si="7"/>
        <v/>
      </c>
      <c r="AG5" s="1656">
        <f>IFERROR(IF($AF5&gt;0,VLOOKUP($U5,Tabelle1!$C$188:$L$212,5,0)*$AF5,0),0)</f>
        <v>0</v>
      </c>
      <c r="AH5" s="1656">
        <f t="shared" si="8"/>
        <v>0</v>
      </c>
      <c r="AJ5" t="str">
        <f>IF(Betrieb!$D$9="JA",Mineral!$BW5,Mineral!$BV5)</f>
        <v>AH - Lösung 27%</v>
      </c>
      <c r="AK5" s="1606" t="str">
        <f>IFERROR(INDEX(Liste_Handelsünger[Handelsdünger],_xlfn.AGGREGATE(15,6,(ROW(Liste_Handelsünger[Handelsdünger])-1)/(--(SEARCH(AL$2,Liste_Handelsünger[Handelsdünger])&gt;0)),ROW()-2),1),"")</f>
        <v>AH - Lösung 27%</v>
      </c>
      <c r="AL5" s="1606" t="str">
        <f>IF(($A$3=""),"",IF(COUNTIF(Mineral!$AJ$3:$AJ$324,$A$3),"",$A$3))</f>
        <v/>
      </c>
      <c r="AM5" s="1606" t="str">
        <f>IFERROR(INDEX(Liste_Handelsünger[Handelsdünger],_xlfn.AGGREGATE(15,6,(ROW(Liste_Handelsünger[Handelsdünger])-1)/(--(SEARCH(AN$2,Liste_Handelsünger[Handelsdünger])&gt;0)),ROW()-2),1),"")</f>
        <v>AH - Lösung 27%</v>
      </c>
      <c r="AN5" t="str">
        <f>IF(($A7=""),"",IF(COUNTIF(Mineral!$AJ$3:$AJ$324,$A7),"",$A7))</f>
        <v/>
      </c>
      <c r="AO5" t="str">
        <f>IFERROR(INDEX(Liste_Handelsünger[Handelsdünger],_xlfn.AGGREGATE(15,6,(ROW(Liste_Handelsünger[Handelsdünger])-1)/(--(SEARCH(AP$2,Liste_Handelsünger[Handelsdünger])&gt;0)),ROW()-2),1),"")</f>
        <v>AH - Lösung 27%</v>
      </c>
      <c r="AP5" t="str">
        <f>IF(($A8=""),"",IF(COUNTIF(Mineral!$AJ$3:$AJ$324,$A8),"",$A8))</f>
        <v/>
      </c>
      <c r="AQ5" t="str">
        <f>IFERROR(INDEX(Liste_Handelsünger[Handelsdünger],_xlfn.AGGREGATE(15,6,(ROW(Liste_Handelsünger[Handelsdünger])-1)/(--(SEARCH(AR$2,Liste_Handelsünger[Handelsdünger])&gt;0)),ROW()-2),1),"")</f>
        <v>AH - Lösung 27%</v>
      </c>
      <c r="AR5" t="str">
        <f>IF(($A9=""),"",IF(COUNTIF(Mineral!$AJ$3:$AJ$324,$A9),"",$A9))</f>
        <v/>
      </c>
      <c r="AS5" t="str">
        <f>IFERROR(INDEX(Liste_Handelsünger[Handelsdünger],_xlfn.AGGREGATE(15,6,(ROW(Liste_Handelsünger[Handelsdünger])-1)/(--(SEARCH(AT$2,Liste_Handelsünger[Handelsdünger])&gt;0)),ROW()-2),1),"")</f>
        <v>AH - Lösung 27%</v>
      </c>
      <c r="AT5" t="str">
        <f>IF(($A10=""),"",IF(COUNTIF(Mineral!$AJ$3:$AJ$324,$A10),"",$A10))</f>
        <v/>
      </c>
      <c r="AU5" t="str">
        <f>IFERROR(INDEX(Liste_Handelsünger[Handelsdünger],_xlfn.AGGREGATE(15,6,(ROW(Liste_Handelsünger[Handelsdünger])-1)/(--(SEARCH(AV$2,Liste_Handelsünger[Handelsdünger])&gt;0)),ROW()-2),1),"")</f>
        <v>AH - Lösung 27%</v>
      </c>
      <c r="AV5" t="str">
        <f>IF(($A11=""),"",IF(COUNTIF(Mineral!$AJ$3:$AJ$324,$A11),"",$A11))</f>
        <v/>
      </c>
      <c r="AW5" t="str">
        <f>IFERROR(INDEX(Liste_Handelsünger[Handelsdünger],_xlfn.AGGREGATE(15,6,(ROW(Liste_Handelsünger[Handelsdünger])-1)/(--(SEARCH(AX$2,Liste_Handelsünger[Handelsdünger])&gt;0)),ROW()-2),1),"")</f>
        <v>AH - Lösung 27%</v>
      </c>
      <c r="AX5" t="str">
        <f>IF(($A12=""),"",IF(COUNTIF(Mineral!$AJ$3:$AJ$324,$A12),"",$A12))</f>
        <v/>
      </c>
      <c r="AY5" t="str">
        <f>IFERROR(INDEX(Liste_Handelsünger[Handelsdünger],_xlfn.AGGREGATE(15,6,(ROW(Liste_Handelsünger[Handelsdünger])-1)/(--(SEARCH(AZ$2,Liste_Handelsünger[Handelsdünger])&gt;0)),ROW()-2),1),"")</f>
        <v>AH - Lösung 27%</v>
      </c>
      <c r="AZ5" t="str">
        <f>IF(($A13=""),"",IF(COUNTIF(Mineral!$AJ$3:$AJ$324,$A13),"",$A13))</f>
        <v/>
      </c>
      <c r="BA5" t="str">
        <f>IFERROR(INDEX(Liste_Handelsünger[Handelsdünger],_xlfn.AGGREGATE(15,6,(ROW(Liste_Handelsünger[Handelsdünger])-1)/(--(SEARCH(BB$2,Liste_Handelsünger[Handelsdünger])&gt;0)),ROW()-2),1),"")</f>
        <v>AH - Lösung 27%</v>
      </c>
      <c r="BB5" t="str">
        <f>IF(($A14=""),"",IF(COUNTIF(Mineral!$AJ$3:$AJ$324,$A14),"",$A14))</f>
        <v/>
      </c>
      <c r="BC5" t="str">
        <f>IFERROR(INDEX(Liste_Handelsünger[Handelsdünger],_xlfn.AGGREGATE(15,6,(ROW(Liste_Handelsünger[Handelsdünger])-1)/(--(SEARCH(BD$2,Liste_Handelsünger[Handelsdünger])&gt;0)),ROW()-2),1),"")</f>
        <v>AH - Lösung 27%</v>
      </c>
      <c r="BD5" t="str">
        <f>IF(($A15=""),"",IF(COUNTIF(Mineral!$AJ$3:$AJ$324,$A15),"",$A15))</f>
        <v/>
      </c>
      <c r="BE5" t="str">
        <f>IFERROR(INDEX(Liste_Handelsünger[Handelsdünger],_xlfn.AGGREGATE(15,6,(ROW(Liste_Handelsünger[Handelsdünger])-1)/(--(SEARCH(BF$2,Liste_Handelsünger[Handelsdünger])&gt;0)),ROW()-2),1),"")</f>
        <v>AH - Lösung 27%</v>
      </c>
      <c r="BF5" t="str">
        <f>IF(($A16=""),"",IF(COUNTIF(Mineral!$AJ$3:$AJ$324,$A16),"",$A16))</f>
        <v/>
      </c>
      <c r="BG5" t="str">
        <f>IFERROR(INDEX(Liste_Handelsünger[Handelsdünger],_xlfn.AGGREGATE(15,6,(ROW(Liste_Handelsünger[Handelsdünger])-1)/(--(SEARCH(BH$2,Liste_Handelsünger[Handelsdünger])&gt;0)),ROW()-2),1),"")</f>
        <v>AH - Lösung 27%</v>
      </c>
      <c r="BH5" t="str">
        <f>IF(($A17=""),"",IF(COUNTIF(Mineral!$AJ$3:$AJ$324,$A17),"",$A17))</f>
        <v/>
      </c>
      <c r="BI5" t="str">
        <f>IFERROR(INDEX(Liste_Handelsünger[Handelsdünger],_xlfn.AGGREGATE(15,6,(ROW(Liste_Handelsünger[Handelsdünger])-1)/(--(SEARCH(BJ$2,Liste_Handelsünger[Handelsdünger])&gt;0)),ROW()-2),1),"")</f>
        <v>AH - Lösung 27%</v>
      </c>
      <c r="BJ5" t="str">
        <f>IF(($A18=""),"",IF(COUNTIF(Mineral!$AJ$3:$AJ$324,$A18),"",$A18))</f>
        <v>eigener Dünger 1</v>
      </c>
      <c r="BK5" t="str">
        <f>IFERROR(INDEX(Liste_Handelsünger[Handelsdünger],_xlfn.AGGREGATE(15,6,(ROW(Liste_Handelsünger[Handelsdünger])-1)/(--(SEARCH(BL$2,Liste_Handelsünger[Handelsdünger])&gt;0)),ROW()-2),1),"")</f>
        <v>AH - Lösung 27%</v>
      </c>
      <c r="BM5" t="str">
        <f>IFERROR(INDEX(Liste_Handelsünger[Handelsdünger],_xlfn.AGGREGATE(15,6,(ROW(Liste_Handelsünger[Handelsdünger])-1)/(--(SEARCH(BN$2,Liste_Handelsünger[Handelsdünger])&gt;0)),ROW()-2),1),"")</f>
        <v>AH - Lösung 27%</v>
      </c>
      <c r="BN5" t="str">
        <f>IF(($A20=""),"",IF(COUNTIF(Mineral!$AJ$3:$AJ$324,$A20),"",$A20))</f>
        <v>eigener Dünger 3</v>
      </c>
      <c r="BP5" s="1663">
        <v>4</v>
      </c>
      <c r="BQ5" s="1664">
        <f>COUNTIF(Liste_Handelsünger[Handelsdünger],$A5)</f>
        <v>0</v>
      </c>
      <c r="BS5" s="1652" t="s">
        <v>457</v>
      </c>
      <c r="BT5">
        <v>0.8</v>
      </c>
      <c r="BU5" s="1664">
        <v>0.87</v>
      </c>
      <c r="BV5" t="s">
        <v>2020</v>
      </c>
      <c r="BW5" t="s">
        <v>2014</v>
      </c>
    </row>
    <row r="6" spans="1:80" ht="45" customHeight="1" thickTop="1" thickBot="1">
      <c r="A6" s="918"/>
      <c r="B6" s="1128">
        <f>IF(ISNA(VLOOKUP(Mineral!A6,Tabelle1!$C$188:$Q$212,15,0)),0,VLOOKUP(Mineral!A6,Tabelle1!$C$188:$Q$212,15,0))</f>
        <v>0</v>
      </c>
      <c r="C6" s="1598"/>
      <c r="D6" s="1683" t="str">
        <f t="shared" si="0"/>
        <v/>
      </c>
      <c r="E6" s="1683" t="str">
        <f>IFERROR(VLOOKUP($A6,Mineral!$U$2:$AE$324,4,0)/100,"")</f>
        <v/>
      </c>
      <c r="F6" s="1683" t="str">
        <f>IFERROR(VLOOKUP($A6,Mineral!$U$3:$AE$324,5,0)/100,"")</f>
        <v/>
      </c>
      <c r="G6" s="1686">
        <f t="shared" si="1"/>
        <v>0</v>
      </c>
      <c r="H6" s="1686">
        <f t="shared" si="2"/>
        <v>0</v>
      </c>
      <c r="I6" s="956">
        <f t="shared" si="3"/>
        <v>0</v>
      </c>
      <c r="J6" s="956">
        <f t="shared" si="4"/>
        <v>0</v>
      </c>
      <c r="K6" s="1680" t="str">
        <f t="shared" si="5"/>
        <v/>
      </c>
      <c r="L6" s="1388" t="str">
        <f t="shared" si="6"/>
        <v/>
      </c>
      <c r="N6" s="1694" t="s">
        <v>390</v>
      </c>
      <c r="O6" s="1695">
        <f>IFERROR(IF(I28=0,0,I28/Betrieb!D18),0)</f>
        <v>0</v>
      </c>
      <c r="P6" s="2173"/>
      <c r="Q6" s="2173"/>
      <c r="S6" s="1676">
        <v>4</v>
      </c>
      <c r="T6" s="1606" t="s">
        <v>2335</v>
      </c>
      <c r="U6" s="1606" t="s">
        <v>2021</v>
      </c>
      <c r="V6" s="1606"/>
      <c r="W6" s="1606">
        <v>30</v>
      </c>
      <c r="X6" s="1606">
        <v>0</v>
      </c>
      <c r="Y6" s="1606">
        <v>0</v>
      </c>
      <c r="Z6" s="1606">
        <v>0</v>
      </c>
      <c r="AA6" s="1606">
        <v>0</v>
      </c>
      <c r="AB6" s="1606">
        <v>0</v>
      </c>
      <c r="AC6" s="1606">
        <v>1</v>
      </c>
      <c r="AD6" s="1613">
        <v>1</v>
      </c>
      <c r="AE6" s="1606" t="s">
        <v>2016</v>
      </c>
      <c r="AF6" s="1613" t="str">
        <f t="shared" si="7"/>
        <v/>
      </c>
      <c r="AG6" s="1656">
        <f>IFERROR(IF($AF6&gt;0,VLOOKUP($U6,Tabelle1!$C$188:$L$212,5,0)*$AF6,0),0)</f>
        <v>0</v>
      </c>
      <c r="AH6" s="1656">
        <f t="shared" si="8"/>
        <v>0</v>
      </c>
      <c r="AJ6" t="str">
        <f>IF(Betrieb!$D$9="JA",Mineral!$BW6,Mineral!$BV6)</f>
        <v>AH - Lösung 30%</v>
      </c>
      <c r="AK6" s="1617" t="str">
        <f>IFERROR(INDEX(Liste_Handelsünger[Handelsdünger],_xlfn.AGGREGATE(15,6,(ROW(Liste_Handelsünger[Handelsdünger])-1)/(--(SEARCH(AL$2,Liste_Handelsünger[Handelsdünger])&gt;0)),ROW()-2),1),"")</f>
        <v>AH - Lösung 30%</v>
      </c>
      <c r="AL6" s="1617" t="str">
        <f>IF(($A$3=""),"",IF(COUNTIF(Mineral!$AJ$3:$AJ$324,$A$3),"",$A$3))</f>
        <v/>
      </c>
      <c r="AM6" s="1617" t="str">
        <f>IFERROR(INDEX(Liste_Handelsünger[Handelsdünger],_xlfn.AGGREGATE(15,6,(ROW(Liste_Handelsünger[Handelsdünger])-1)/(--(SEARCH(AN$2,Liste_Handelsünger[Handelsdünger])&gt;0)),ROW()-2),1),"")</f>
        <v>AH - Lösung 30%</v>
      </c>
      <c r="AN6" t="str">
        <f>IF(($A8=""),"",IF(COUNTIF(Mineral!$AJ$3:$AJ$324,$A8),"",$A8))</f>
        <v/>
      </c>
      <c r="AO6" t="str">
        <f>IFERROR(INDEX(Liste_Handelsünger[Handelsdünger],_xlfn.AGGREGATE(15,6,(ROW(Liste_Handelsünger[Handelsdünger])-1)/(--(SEARCH(AP$2,Liste_Handelsünger[Handelsdünger])&gt;0)),ROW()-2),1),"")</f>
        <v>AH - Lösung 30%</v>
      </c>
      <c r="AP6" t="str">
        <f>IF(($A9=""),"",IF(COUNTIF(Mineral!$AJ$3:$AJ$324,$A9),"",$A9))</f>
        <v/>
      </c>
      <c r="AQ6" t="str">
        <f>IFERROR(INDEX(Liste_Handelsünger[Handelsdünger],_xlfn.AGGREGATE(15,6,(ROW(Liste_Handelsünger[Handelsdünger])-1)/(--(SEARCH(AR$2,Liste_Handelsünger[Handelsdünger])&gt;0)),ROW()-2),1),"")</f>
        <v>AH - Lösung 30%</v>
      </c>
      <c r="AR6" t="str">
        <f>IF(($A10=""),"",IF(COUNTIF(Mineral!$AJ$3:$AJ$324,$A10),"",$A10))</f>
        <v/>
      </c>
      <c r="AS6" t="str">
        <f>IFERROR(INDEX(Liste_Handelsünger[Handelsdünger],_xlfn.AGGREGATE(15,6,(ROW(Liste_Handelsünger[Handelsdünger])-1)/(--(SEARCH(AT$2,Liste_Handelsünger[Handelsdünger])&gt;0)),ROW()-2),1),"")</f>
        <v>AH - Lösung 30%</v>
      </c>
      <c r="AT6" t="str">
        <f>IF(($A11=""),"",IF(COUNTIF(Mineral!$AJ$3:$AJ$324,$A11),"",$A11))</f>
        <v/>
      </c>
      <c r="AU6" t="str">
        <f>IFERROR(INDEX(Liste_Handelsünger[Handelsdünger],_xlfn.AGGREGATE(15,6,(ROW(Liste_Handelsünger[Handelsdünger])-1)/(--(SEARCH(AV$2,Liste_Handelsünger[Handelsdünger])&gt;0)),ROW()-2),1),"")</f>
        <v>AH - Lösung 30%</v>
      </c>
      <c r="AV6" t="str">
        <f>IF(($A12=""),"",IF(COUNTIF(Mineral!$AJ$3:$AJ$324,$A12),"",$A12))</f>
        <v/>
      </c>
      <c r="AW6" t="str">
        <f>IFERROR(INDEX(Liste_Handelsünger[Handelsdünger],_xlfn.AGGREGATE(15,6,(ROW(Liste_Handelsünger[Handelsdünger])-1)/(--(SEARCH(AX$2,Liste_Handelsünger[Handelsdünger])&gt;0)),ROW()-2),1),"")</f>
        <v>AH - Lösung 30%</v>
      </c>
      <c r="AX6" t="str">
        <f>IF(($A13=""),"",IF(COUNTIF(Mineral!$AJ$3:$AJ$324,$A13),"",$A13))</f>
        <v/>
      </c>
      <c r="AY6" t="str">
        <f>IFERROR(INDEX(Liste_Handelsünger[Handelsdünger],_xlfn.AGGREGATE(15,6,(ROW(Liste_Handelsünger[Handelsdünger])-1)/(--(SEARCH(AZ$2,Liste_Handelsünger[Handelsdünger])&gt;0)),ROW()-2),1),"")</f>
        <v>AH - Lösung 30%</v>
      </c>
      <c r="AZ6" t="str">
        <f>IF(($A14=""),"",IF(COUNTIF(Mineral!$AJ$3:$AJ$324,$A14),"",$A14))</f>
        <v/>
      </c>
      <c r="BA6" t="str">
        <f>IFERROR(INDEX(Liste_Handelsünger[Handelsdünger],_xlfn.AGGREGATE(15,6,(ROW(Liste_Handelsünger[Handelsdünger])-1)/(--(SEARCH(BB$2,Liste_Handelsünger[Handelsdünger])&gt;0)),ROW()-2),1),"")</f>
        <v>AH - Lösung 30%</v>
      </c>
      <c r="BB6" t="str">
        <f>IF(($A15=""),"",IF(COUNTIF(Mineral!$AJ$3:$AJ$324,$A15),"",$A15))</f>
        <v/>
      </c>
      <c r="BC6" t="str">
        <f>IFERROR(INDEX(Liste_Handelsünger[Handelsdünger],_xlfn.AGGREGATE(15,6,(ROW(Liste_Handelsünger[Handelsdünger])-1)/(--(SEARCH(BD$2,Liste_Handelsünger[Handelsdünger])&gt;0)),ROW()-2),1),"")</f>
        <v>AH - Lösung 30%</v>
      </c>
      <c r="BD6" t="str">
        <f>IF(($A16=""),"",IF(COUNTIF(Mineral!$AJ$3:$AJ$324,$A16),"",$A16))</f>
        <v/>
      </c>
      <c r="BE6" t="str">
        <f>IFERROR(INDEX(Liste_Handelsünger[Handelsdünger],_xlfn.AGGREGATE(15,6,(ROW(Liste_Handelsünger[Handelsdünger])-1)/(--(SEARCH(BF$2,Liste_Handelsünger[Handelsdünger])&gt;0)),ROW()-2),1),"")</f>
        <v>AH - Lösung 30%</v>
      </c>
      <c r="BF6" t="str">
        <f>IF(($A17=""),"",IF(COUNTIF(Mineral!$AJ$3:$AJ$324,$A17),"",$A17))</f>
        <v/>
      </c>
      <c r="BG6" t="str">
        <f>IFERROR(INDEX(Liste_Handelsünger[Handelsdünger],_xlfn.AGGREGATE(15,6,(ROW(Liste_Handelsünger[Handelsdünger])-1)/(--(SEARCH(BH$2,Liste_Handelsünger[Handelsdünger])&gt;0)),ROW()-2),1),"")</f>
        <v>AH - Lösung 30%</v>
      </c>
      <c r="BH6" t="str">
        <f>IF(($A18=""),"",IF(COUNTIF(Mineral!$AJ$3:$AJ$324,$A18),"",$A18))</f>
        <v>eigener Dünger 1</v>
      </c>
      <c r="BI6" t="str">
        <f>IFERROR(INDEX(Liste_Handelsünger[Handelsdünger],_xlfn.AGGREGATE(15,6,(ROW(Liste_Handelsünger[Handelsdünger])-1)/(--(SEARCH(BJ$2,Liste_Handelsünger[Handelsdünger])&gt;0)),ROW()-2),1),"")</f>
        <v>AH - Lösung 30%</v>
      </c>
      <c r="BJ6" t="str">
        <f>IF(($A19=""),"",IF(COUNTIF(Mineral!$AJ$3:$AJ$324,$A19),"",$A19))</f>
        <v>eigener Dünger 2</v>
      </c>
      <c r="BK6" t="str">
        <f>IFERROR(INDEX(Liste_Handelsünger[Handelsdünger],_xlfn.AGGREGATE(15,6,(ROW(Liste_Handelsünger[Handelsdünger])-1)/(--(SEARCH(BL$2,Liste_Handelsünger[Handelsdünger])&gt;0)),ROW()-2),1),"")</f>
        <v>AH - Lösung 30%</v>
      </c>
      <c r="BM6" t="str">
        <f>IFERROR(INDEX(Liste_Handelsünger[Handelsdünger],_xlfn.AGGREGATE(15,6,(ROW(Liste_Handelsünger[Handelsdünger])-1)/(--(SEARCH(BN$2,Liste_Handelsünger[Handelsdünger])&gt;0)),ROW()-2),1),"")</f>
        <v>AH - Lösung 30%</v>
      </c>
      <c r="BN6" t="str">
        <f>IF(($A21=""),"",IF(COUNTIF(Mineral!$AJ$3:$AJ$324,$A21),"",$A21))</f>
        <v>eigener Dünger 4</v>
      </c>
      <c r="BP6" s="1663">
        <v>5</v>
      </c>
      <c r="BQ6" s="1664">
        <f>COUNTIF(Liste_Handelsünger[Handelsdünger],$A6)</f>
        <v>0</v>
      </c>
      <c r="BS6" s="1652" t="s">
        <v>456</v>
      </c>
      <c r="BT6">
        <v>0.7</v>
      </c>
      <c r="BU6" s="1664">
        <v>0.87</v>
      </c>
      <c r="BV6" t="s">
        <v>2021</v>
      </c>
      <c r="BW6" t="s">
        <v>2018</v>
      </c>
    </row>
    <row r="7" spans="1:80" ht="17.25" thickTop="1" thickBot="1">
      <c r="A7" s="918"/>
      <c r="B7" s="1128">
        <f>IF(ISNA(VLOOKUP(Mineral!A7,Tabelle1!$C$188:$Q$212,15,0)),0,VLOOKUP(Mineral!A7,Tabelle1!$C$188:$Q$212,15,0))</f>
        <v>0</v>
      </c>
      <c r="C7" s="1598"/>
      <c r="D7" s="1683" t="str">
        <f t="shared" si="0"/>
        <v/>
      </c>
      <c r="E7" s="1683" t="str">
        <f>IFERROR(VLOOKUP($A7,Mineral!$U$2:$AE$324,4,0)/100,"")</f>
        <v/>
      </c>
      <c r="F7" s="1683" t="str">
        <f>IFERROR(VLOOKUP($A7,Mineral!$U$3:$AE$324,5,0)/100,"")</f>
        <v/>
      </c>
      <c r="G7" s="1686">
        <f t="shared" si="1"/>
        <v>0</v>
      </c>
      <c r="H7" s="1686">
        <f t="shared" si="2"/>
        <v>0</v>
      </c>
      <c r="I7" s="956">
        <f t="shared" si="3"/>
        <v>0</v>
      </c>
      <c r="J7" s="956">
        <f t="shared" si="4"/>
        <v>0</v>
      </c>
      <c r="K7" s="1680" t="str">
        <f t="shared" si="5"/>
        <v/>
      </c>
      <c r="L7" s="1388" t="str">
        <f t="shared" si="6"/>
        <v/>
      </c>
      <c r="N7" s="2373"/>
      <c r="O7" s="2374"/>
      <c r="P7" s="2173"/>
      <c r="Q7" s="2173"/>
      <c r="S7" s="1677">
        <v>5</v>
      </c>
      <c r="T7" s="1617" t="s">
        <v>2335</v>
      </c>
      <c r="U7" s="1617" t="s">
        <v>2043</v>
      </c>
      <c r="V7" s="1617"/>
      <c r="W7" s="1617">
        <v>21</v>
      </c>
      <c r="X7" s="1617">
        <v>0</v>
      </c>
      <c r="Y7" s="1617">
        <v>0</v>
      </c>
      <c r="Z7" s="1617">
        <v>24</v>
      </c>
      <c r="AA7" s="1617">
        <v>0</v>
      </c>
      <c r="AB7" s="1617">
        <v>0</v>
      </c>
      <c r="AC7" s="1617">
        <v>1</v>
      </c>
      <c r="AD7" s="1613">
        <v>1</v>
      </c>
      <c r="AE7" s="1617" t="s">
        <v>2016</v>
      </c>
      <c r="AF7" s="1613" t="str">
        <f t="shared" si="7"/>
        <v/>
      </c>
      <c r="AG7" s="1656">
        <f>IFERROR(IF($AF7&gt;0,VLOOKUP($U7,Tabelle1!$C$188:$L$212,5,0)*$AF7,0),0)</f>
        <v>0</v>
      </c>
      <c r="AH7" s="1656">
        <f t="shared" si="8"/>
        <v>0</v>
      </c>
      <c r="AJ7" t="str">
        <f>IF(Betrieb!$D$9="JA",Mineral!$BW7,Mineral!$BV7)</f>
        <v>Ammonsulfat 21% (SSA)</v>
      </c>
      <c r="AK7" s="1606" t="str">
        <f>IFERROR(INDEX(Liste_Handelsünger[Handelsdünger],_xlfn.AGGREGATE(15,6,(ROW(Liste_Handelsünger[Handelsdünger])-1)/(--(SEARCH(AL$2,Liste_Handelsünger[Handelsdünger])&gt;0)),ROW()-2),1),"")</f>
        <v>Ammonsulfat 21% (SSA)</v>
      </c>
      <c r="AL7" s="1606" t="str">
        <f>IF(($A$3=""),"",IF(COUNTIF(Mineral!$AJ$3:$AJ$324,$A$3),"",$A$3))</f>
        <v/>
      </c>
      <c r="AM7" s="1606" t="str">
        <f>IFERROR(INDEX(Liste_Handelsünger[Handelsdünger],_xlfn.AGGREGATE(15,6,(ROW(Liste_Handelsünger[Handelsdünger])-1)/(--(SEARCH(AN$2,Liste_Handelsünger[Handelsdünger])&gt;0)),ROW()-2),1),"")</f>
        <v>Ammonsulfat 21% (SSA)</v>
      </c>
      <c r="AN7" t="str">
        <f>IF(($A9=""),"",IF(COUNTIF(Mineral!$AJ$3:$AJ$324,$A9),"",$A9))</f>
        <v/>
      </c>
      <c r="AO7" t="str">
        <f>IFERROR(INDEX(Liste_Handelsünger[Handelsdünger],_xlfn.AGGREGATE(15,6,(ROW(Liste_Handelsünger[Handelsdünger])-1)/(--(SEARCH(AP$2,Liste_Handelsünger[Handelsdünger])&gt;0)),ROW()-2),1),"")</f>
        <v>Ammonsulfat 21% (SSA)</v>
      </c>
      <c r="AP7" t="str">
        <f>IF(($A10=""),"",IF(COUNTIF(Mineral!$AJ$3:$AJ$324,$A10),"",$A10))</f>
        <v/>
      </c>
      <c r="AQ7" t="str">
        <f>IFERROR(INDEX(Liste_Handelsünger[Handelsdünger],_xlfn.AGGREGATE(15,6,(ROW(Liste_Handelsünger[Handelsdünger])-1)/(--(SEARCH(AR$2,Liste_Handelsünger[Handelsdünger])&gt;0)),ROW()-2),1),"")</f>
        <v>Ammonsulfat 21% (SSA)</v>
      </c>
      <c r="AR7" t="str">
        <f>IF(($A11=""),"",IF(COUNTIF(Mineral!$AJ$3:$AJ$324,$A11),"",$A11))</f>
        <v/>
      </c>
      <c r="AS7" t="str">
        <f>IFERROR(INDEX(Liste_Handelsünger[Handelsdünger],_xlfn.AGGREGATE(15,6,(ROW(Liste_Handelsünger[Handelsdünger])-1)/(--(SEARCH(AT$2,Liste_Handelsünger[Handelsdünger])&gt;0)),ROW()-2),1),"")</f>
        <v>Ammonsulfat 21% (SSA)</v>
      </c>
      <c r="AT7" t="str">
        <f>IF(($A12=""),"",IF(COUNTIF(Mineral!$AJ$3:$AJ$324,$A12),"",$A12))</f>
        <v/>
      </c>
      <c r="AU7" t="str">
        <f>IFERROR(INDEX(Liste_Handelsünger[Handelsdünger],_xlfn.AGGREGATE(15,6,(ROW(Liste_Handelsünger[Handelsdünger])-1)/(--(SEARCH(AV$2,Liste_Handelsünger[Handelsdünger])&gt;0)),ROW()-2),1),"")</f>
        <v>Ammonsulfat 21% (SSA)</v>
      </c>
      <c r="AV7" t="str">
        <f>IF(($A13=""),"",IF(COUNTIF(Mineral!$AJ$3:$AJ$324,$A13),"",$A13))</f>
        <v/>
      </c>
      <c r="AW7" t="str">
        <f>IFERROR(INDEX(Liste_Handelsünger[Handelsdünger],_xlfn.AGGREGATE(15,6,(ROW(Liste_Handelsünger[Handelsdünger])-1)/(--(SEARCH(AX$2,Liste_Handelsünger[Handelsdünger])&gt;0)),ROW()-2),1),"")</f>
        <v>Ammonsulfat 21% (SSA)</v>
      </c>
      <c r="AX7" t="str">
        <f>IF(($A14=""),"",IF(COUNTIF(Mineral!$AJ$3:$AJ$324,$A14),"",$A14))</f>
        <v/>
      </c>
      <c r="AY7" t="str">
        <f>IFERROR(INDEX(Liste_Handelsünger[Handelsdünger],_xlfn.AGGREGATE(15,6,(ROW(Liste_Handelsünger[Handelsdünger])-1)/(--(SEARCH(AZ$2,Liste_Handelsünger[Handelsdünger])&gt;0)),ROW()-2),1),"")</f>
        <v>Ammonsulfat 21% (SSA)</v>
      </c>
      <c r="AZ7" t="str">
        <f>IF(($A15=""),"",IF(COUNTIF(Mineral!$AJ$3:$AJ$324,$A15),"",$A15))</f>
        <v/>
      </c>
      <c r="BA7" t="str">
        <f>IFERROR(INDEX(Liste_Handelsünger[Handelsdünger],_xlfn.AGGREGATE(15,6,(ROW(Liste_Handelsünger[Handelsdünger])-1)/(--(SEARCH(BB$2,Liste_Handelsünger[Handelsdünger])&gt;0)),ROW()-2),1),"")</f>
        <v>Ammonsulfat 21% (SSA)</v>
      </c>
      <c r="BB7" t="str">
        <f>IF(($A16=""),"",IF(COUNTIF(Mineral!$AJ$3:$AJ$324,$A16),"",$A16))</f>
        <v/>
      </c>
      <c r="BC7" t="str">
        <f>IFERROR(INDEX(Liste_Handelsünger[Handelsdünger],_xlfn.AGGREGATE(15,6,(ROW(Liste_Handelsünger[Handelsdünger])-1)/(--(SEARCH(BD$2,Liste_Handelsünger[Handelsdünger])&gt;0)),ROW()-2),1),"")</f>
        <v>Ammonsulfat 21% (SSA)</v>
      </c>
      <c r="BD7" t="str">
        <f>IF(($A17=""),"",IF(COUNTIF(Mineral!$AJ$3:$AJ$324,$A17),"",$A17))</f>
        <v/>
      </c>
      <c r="BE7" t="str">
        <f>IFERROR(INDEX(Liste_Handelsünger[Handelsdünger],_xlfn.AGGREGATE(15,6,(ROW(Liste_Handelsünger[Handelsdünger])-1)/(--(SEARCH(BF$2,Liste_Handelsünger[Handelsdünger])&gt;0)),ROW()-2),1),"")</f>
        <v>Ammonsulfat 21% (SSA)</v>
      </c>
      <c r="BF7" t="str">
        <f>IF(($A18=""),"",IF(COUNTIF(Mineral!$AJ$3:$AJ$324,$A18),"",$A18))</f>
        <v>eigener Dünger 1</v>
      </c>
      <c r="BG7" t="str">
        <f>IFERROR(INDEX(Liste_Handelsünger[Handelsdünger],_xlfn.AGGREGATE(15,6,(ROW(Liste_Handelsünger[Handelsdünger])-1)/(--(SEARCH(BH$2,Liste_Handelsünger[Handelsdünger])&gt;0)),ROW()-2),1),"")</f>
        <v>Ammonsulfat 21% (SSA)</v>
      </c>
      <c r="BH7" t="str">
        <f>IF(($A19=""),"",IF(COUNTIF(Mineral!$AJ$3:$AJ$324,$A19),"",$A19))</f>
        <v>eigener Dünger 2</v>
      </c>
      <c r="BI7" t="str">
        <f>IFERROR(INDEX(Liste_Handelsünger[Handelsdünger],_xlfn.AGGREGATE(15,6,(ROW(Liste_Handelsünger[Handelsdünger])-1)/(--(SEARCH(BJ$2,Liste_Handelsünger[Handelsdünger])&gt;0)),ROW()-2),1),"")</f>
        <v>Ammonsulfat 21% (SSA)</v>
      </c>
      <c r="BJ7" t="str">
        <f>IF(($A20=""),"",IF(COUNTIF(Mineral!$AJ$3:$AJ$324,$A20),"",$A20))</f>
        <v>eigener Dünger 3</v>
      </c>
      <c r="BK7" t="str">
        <f>IFERROR(INDEX(Liste_Handelsünger[Handelsdünger],_xlfn.AGGREGATE(15,6,(ROW(Liste_Handelsünger[Handelsdünger])-1)/(--(SEARCH(BL$2,Liste_Handelsünger[Handelsdünger])&gt;0)),ROW()-2),1),"")</f>
        <v>Ammonsulfat 21% (SSA)</v>
      </c>
      <c r="BM7" t="str">
        <f>IFERROR(INDEX(Liste_Handelsünger[Handelsdünger],_xlfn.AGGREGATE(15,6,(ROW(Liste_Handelsünger[Handelsdünger])-1)/(--(SEARCH(BN$2,Liste_Handelsünger[Handelsdünger])&gt;0)),ROW()-2),1),"")</f>
        <v>Ammonsulfat 21% (SSA)</v>
      </c>
      <c r="BN7" t="str">
        <f>IF(($A22=""),"",IF(COUNTIF(Mineral!$AJ$3:$AJ$324,$A22),"",$A22))</f>
        <v>eigener Dünger 5</v>
      </c>
      <c r="BP7" s="1663">
        <v>6</v>
      </c>
      <c r="BQ7" s="1664">
        <f>COUNTIF(Liste_Handelsünger[Handelsdünger],$A7)</f>
        <v>0</v>
      </c>
      <c r="BS7" s="1652" t="s">
        <v>460</v>
      </c>
      <c r="BT7">
        <v>0.5</v>
      </c>
      <c r="BU7" s="1664">
        <v>0.91</v>
      </c>
      <c r="BV7" t="s">
        <v>2043</v>
      </c>
      <c r="BW7" t="s">
        <v>2019</v>
      </c>
    </row>
    <row r="8" spans="1:80" ht="24" customHeight="1" thickTop="1" thickBot="1">
      <c r="A8" s="918"/>
      <c r="B8" s="1128">
        <f>IF(ISNA(VLOOKUP(Mineral!A8,Tabelle1!$C$188:$Q$212,15,0)),0,VLOOKUP(Mineral!A8,Tabelle1!$C$188:$Q$212,15,0))</f>
        <v>0</v>
      </c>
      <c r="C8" s="1598"/>
      <c r="D8" s="1683" t="str">
        <f t="shared" si="0"/>
        <v/>
      </c>
      <c r="E8" s="1683" t="str">
        <f>IFERROR(VLOOKUP($A8,Mineral!$U$2:$AE$324,4,0)/100,"")</f>
        <v/>
      </c>
      <c r="F8" s="1683" t="str">
        <f>IFERROR(VLOOKUP($A8,Mineral!$U$3:$AE$324,5,0)/100,"")</f>
        <v/>
      </c>
      <c r="G8" s="1686">
        <f t="shared" si="1"/>
        <v>0</v>
      </c>
      <c r="H8" s="1686">
        <f t="shared" si="2"/>
        <v>0</v>
      </c>
      <c r="I8" s="956">
        <f t="shared" si="3"/>
        <v>0</v>
      </c>
      <c r="J8" s="956">
        <f t="shared" si="4"/>
        <v>0</v>
      </c>
      <c r="K8" s="1680" t="str">
        <f t="shared" si="5"/>
        <v/>
      </c>
      <c r="L8" s="1388" t="str">
        <f t="shared" si="6"/>
        <v/>
      </c>
      <c r="S8" s="1676">
        <v>6</v>
      </c>
      <c r="T8" s="1606" t="s">
        <v>2335</v>
      </c>
      <c r="U8" s="1606" t="s">
        <v>2239</v>
      </c>
      <c r="V8" s="1606"/>
      <c r="W8" s="1606">
        <v>33</v>
      </c>
      <c r="X8" s="1606">
        <v>0</v>
      </c>
      <c r="Y8" s="1606">
        <v>0</v>
      </c>
      <c r="Z8" s="1606">
        <v>12</v>
      </c>
      <c r="AA8" s="1606">
        <v>0</v>
      </c>
      <c r="AB8" s="1606">
        <v>0</v>
      </c>
      <c r="AC8" s="1606">
        <v>1</v>
      </c>
      <c r="AD8" s="1613">
        <v>1</v>
      </c>
      <c r="AE8" s="1606" t="s">
        <v>2016</v>
      </c>
      <c r="AF8" s="1613" t="str">
        <f t="shared" si="7"/>
        <v/>
      </c>
      <c r="AG8" s="1656">
        <f>IFERROR(IF($AF8&gt;0,VLOOKUP($U8,Tabelle1!$C$188:$L$212,5,0)*$AF8,0),0)</f>
        <v>0</v>
      </c>
      <c r="AH8" s="1656">
        <f t="shared" si="8"/>
        <v>0</v>
      </c>
      <c r="AJ8" t="str">
        <f>IF(Betrieb!$D$9="JA",Mineral!$BW8,Mineral!$BV8)</f>
        <v>Piamon S33</v>
      </c>
      <c r="AK8" s="1617" t="str">
        <f>IFERROR(INDEX(Liste_Handelsünger[Handelsdünger],_xlfn.AGGREGATE(15,6,(ROW(Liste_Handelsünger[Handelsdünger])-1)/(--(SEARCH(AL$2,Liste_Handelsünger[Handelsdünger])&gt;0)),ROW()-2),1),"")</f>
        <v>Piamon S33</v>
      </c>
      <c r="AL8" s="1617" t="str">
        <f>IF(($A$3=""),"",IF(COUNTIF(Mineral!$AJ$3:$AJ$324,$A$3),"",$A$3))</f>
        <v/>
      </c>
      <c r="AM8" s="1617" t="str">
        <f>IFERROR(INDEX(Liste_Handelsünger[Handelsdünger],_xlfn.AGGREGATE(15,6,(ROW(Liste_Handelsünger[Handelsdünger])-1)/(--(SEARCH(AN$2,Liste_Handelsünger[Handelsdünger])&gt;0)),ROW()-2),1),"")</f>
        <v>Piamon S33</v>
      </c>
      <c r="AN8" t="str">
        <f>IF(($A10=""),"",IF(COUNTIF(Mineral!$AJ$3:$AJ$324,$A10),"",$A10))</f>
        <v/>
      </c>
      <c r="AO8" t="str">
        <f>IFERROR(INDEX(Liste_Handelsünger[Handelsdünger],_xlfn.AGGREGATE(15,6,(ROW(Liste_Handelsünger[Handelsdünger])-1)/(--(SEARCH(AP$2,Liste_Handelsünger[Handelsdünger])&gt;0)),ROW()-2),1),"")</f>
        <v>Piamon S33</v>
      </c>
      <c r="AP8" t="str">
        <f>IF(($A11=""),"",IF(COUNTIF(Mineral!$AJ$3:$AJ$324,$A11),"",$A11))</f>
        <v/>
      </c>
      <c r="AQ8" t="str">
        <f>IFERROR(INDEX(Liste_Handelsünger[Handelsdünger],_xlfn.AGGREGATE(15,6,(ROW(Liste_Handelsünger[Handelsdünger])-1)/(--(SEARCH(AR$2,Liste_Handelsünger[Handelsdünger])&gt;0)),ROW()-2),1),"")</f>
        <v>Piamon S33</v>
      </c>
      <c r="AR8" t="str">
        <f>IF(($A12=""),"",IF(COUNTIF(Mineral!$AJ$3:$AJ$324,$A12),"",$A12))</f>
        <v/>
      </c>
      <c r="AS8" t="str">
        <f>IFERROR(INDEX(Liste_Handelsünger[Handelsdünger],_xlfn.AGGREGATE(15,6,(ROW(Liste_Handelsünger[Handelsdünger])-1)/(--(SEARCH(AT$2,Liste_Handelsünger[Handelsdünger])&gt;0)),ROW()-2),1),"")</f>
        <v>Piamon S33</v>
      </c>
      <c r="AT8" t="str">
        <f>IF(($A13=""),"",IF(COUNTIF(Mineral!$AJ$3:$AJ$324,$A13),"",$A13))</f>
        <v/>
      </c>
      <c r="AU8" t="str">
        <f>IFERROR(INDEX(Liste_Handelsünger[Handelsdünger],_xlfn.AGGREGATE(15,6,(ROW(Liste_Handelsünger[Handelsdünger])-1)/(--(SEARCH(AV$2,Liste_Handelsünger[Handelsdünger])&gt;0)),ROW()-2),1),"")</f>
        <v>Piamon S33</v>
      </c>
      <c r="AV8" t="str">
        <f>IF(($A14=""),"",IF(COUNTIF(Mineral!$AJ$3:$AJ$324,$A14),"",$A14))</f>
        <v/>
      </c>
      <c r="AW8" t="str">
        <f>IFERROR(INDEX(Liste_Handelsünger[Handelsdünger],_xlfn.AGGREGATE(15,6,(ROW(Liste_Handelsünger[Handelsdünger])-1)/(--(SEARCH(AX$2,Liste_Handelsünger[Handelsdünger])&gt;0)),ROW()-2),1),"")</f>
        <v>Piamon S33</v>
      </c>
      <c r="AX8" t="str">
        <f>IF(($A15=""),"",IF(COUNTIF(Mineral!$AJ$3:$AJ$324,$A15),"",$A15))</f>
        <v/>
      </c>
      <c r="AY8" t="str">
        <f>IFERROR(INDEX(Liste_Handelsünger[Handelsdünger],_xlfn.AGGREGATE(15,6,(ROW(Liste_Handelsünger[Handelsdünger])-1)/(--(SEARCH(AZ$2,Liste_Handelsünger[Handelsdünger])&gt;0)),ROW()-2),1),"")</f>
        <v>Piamon S33</v>
      </c>
      <c r="AZ8" t="str">
        <f>IF(($A16=""),"",IF(COUNTIF(Mineral!$AJ$3:$AJ$324,$A16),"",$A16))</f>
        <v/>
      </c>
      <c r="BA8" t="str">
        <f>IFERROR(INDEX(Liste_Handelsünger[Handelsdünger],_xlfn.AGGREGATE(15,6,(ROW(Liste_Handelsünger[Handelsdünger])-1)/(--(SEARCH(BB$2,Liste_Handelsünger[Handelsdünger])&gt;0)),ROW()-2),1),"")</f>
        <v>Piamon S33</v>
      </c>
      <c r="BB8" t="str">
        <f>IF(($A17=""),"",IF(COUNTIF(Mineral!$AJ$3:$AJ$324,$A17),"",$A17))</f>
        <v/>
      </c>
      <c r="BC8" t="str">
        <f>IFERROR(INDEX(Liste_Handelsünger[Handelsdünger],_xlfn.AGGREGATE(15,6,(ROW(Liste_Handelsünger[Handelsdünger])-1)/(--(SEARCH(BD$2,Liste_Handelsünger[Handelsdünger])&gt;0)),ROW()-2),1),"")</f>
        <v>Piamon S33</v>
      </c>
      <c r="BD8" t="str">
        <f>IF(($A18=""),"",IF(COUNTIF(Mineral!$AJ$3:$AJ$324,$A18),"",$A18))</f>
        <v>eigener Dünger 1</v>
      </c>
      <c r="BE8" t="str">
        <f>IFERROR(INDEX(Liste_Handelsünger[Handelsdünger],_xlfn.AGGREGATE(15,6,(ROW(Liste_Handelsünger[Handelsdünger])-1)/(--(SEARCH(BF$2,Liste_Handelsünger[Handelsdünger])&gt;0)),ROW()-2),1),"")</f>
        <v>Piamon S33</v>
      </c>
      <c r="BF8" t="str">
        <f>IF(($A19=""),"",IF(COUNTIF(Mineral!$AJ$3:$AJ$324,$A19),"",$A19))</f>
        <v>eigener Dünger 2</v>
      </c>
      <c r="BG8" t="str">
        <f>IFERROR(INDEX(Liste_Handelsünger[Handelsdünger],_xlfn.AGGREGATE(15,6,(ROW(Liste_Handelsünger[Handelsdünger])-1)/(--(SEARCH(BH$2,Liste_Handelsünger[Handelsdünger])&gt;0)),ROW()-2),1),"")</f>
        <v>Piamon S33</v>
      </c>
      <c r="BH8" t="str">
        <f>IF(($A20=""),"",IF(COUNTIF(Mineral!$AJ$3:$AJ$324,$A20),"",$A20))</f>
        <v>eigener Dünger 3</v>
      </c>
      <c r="BI8" t="str">
        <f>IFERROR(INDEX(Liste_Handelsünger[Handelsdünger],_xlfn.AGGREGATE(15,6,(ROW(Liste_Handelsünger[Handelsdünger])-1)/(--(SEARCH(BJ$2,Liste_Handelsünger[Handelsdünger])&gt;0)),ROW()-2),1),"")</f>
        <v>Piamon S33</v>
      </c>
      <c r="BJ8" t="str">
        <f>IF(($A21=""),"",IF(COUNTIF(Mineral!$AJ$3:$AJ$324,$A21),"",$A21))</f>
        <v>eigener Dünger 4</v>
      </c>
      <c r="BK8" t="str">
        <f>IFERROR(INDEX(Liste_Handelsünger[Handelsdünger],_xlfn.AGGREGATE(15,6,(ROW(Liste_Handelsünger[Handelsdünger])-1)/(--(SEARCH(BL$2,Liste_Handelsünger[Handelsdünger])&gt;0)),ROW()-2),1),"")</f>
        <v>Piamon S33</v>
      </c>
      <c r="BM8" t="str">
        <f>IFERROR(INDEX(Liste_Handelsünger[Handelsdünger],_xlfn.AGGREGATE(15,6,(ROW(Liste_Handelsünger[Handelsdünger])-1)/(--(SEARCH(BN$2,Liste_Handelsünger[Handelsdünger])&gt;0)),ROW()-2),1),"")</f>
        <v>Piamon S33</v>
      </c>
      <c r="BN8" t="str">
        <f>IF(($A23=""),"",IF(COUNTIF(Mineral!$AJ$3:$AJ$324,$A23),"",$A23))</f>
        <v>eigener Dünger 6</v>
      </c>
      <c r="BP8" s="1663">
        <v>7</v>
      </c>
      <c r="BQ8" s="1664">
        <f>COUNTIF(Liste_Handelsünger[Handelsdünger],$A8)</f>
        <v>0</v>
      </c>
      <c r="BS8" s="1653" t="s">
        <v>655</v>
      </c>
      <c r="BT8" s="1692">
        <v>0.1</v>
      </c>
      <c r="BU8" s="1665">
        <v>0.91</v>
      </c>
      <c r="BV8" t="s">
        <v>2239</v>
      </c>
      <c r="BW8" t="s">
        <v>2022</v>
      </c>
    </row>
    <row r="9" spans="1:80" ht="21.75" customHeight="1" thickTop="1" thickBot="1">
      <c r="A9" s="918"/>
      <c r="B9" s="1128">
        <f>IF(ISNA(VLOOKUP(Mineral!A9,Tabelle1!$C$188:$Q$212,15,0)),0,VLOOKUP(Mineral!A9,Tabelle1!$C$188:$Q$212,15,0))</f>
        <v>0</v>
      </c>
      <c r="C9" s="1598"/>
      <c r="D9" s="1683" t="str">
        <f t="shared" si="0"/>
        <v/>
      </c>
      <c r="E9" s="1683" t="str">
        <f>IFERROR(VLOOKUP($A9,Mineral!$U$2:$AE$324,4,0)/100,"")</f>
        <v/>
      </c>
      <c r="F9" s="1683" t="str">
        <f>IFERROR(VLOOKUP($A9,Mineral!$U$3:$AE$324,5,0)/100,"")</f>
        <v/>
      </c>
      <c r="G9" s="1686">
        <f t="shared" si="1"/>
        <v>0</v>
      </c>
      <c r="H9" s="1686">
        <f t="shared" si="2"/>
        <v>0</v>
      </c>
      <c r="I9" s="956">
        <f t="shared" si="3"/>
        <v>0</v>
      </c>
      <c r="J9" s="956">
        <f t="shared" si="4"/>
        <v>0</v>
      </c>
      <c r="K9" s="1680" t="str">
        <f t="shared" si="5"/>
        <v/>
      </c>
      <c r="L9" s="1388" t="str">
        <f t="shared" si="6"/>
        <v/>
      </c>
      <c r="N9" s="2196"/>
      <c r="O9" s="2196"/>
      <c r="P9" s="2196"/>
      <c r="Q9" s="2196"/>
      <c r="S9" s="1616">
        <v>7</v>
      </c>
      <c r="T9" s="1617" t="s">
        <v>2335</v>
      </c>
      <c r="U9" s="1617" t="s">
        <v>2175</v>
      </c>
      <c r="V9" s="1617"/>
      <c r="W9" s="1617">
        <v>20</v>
      </c>
      <c r="X9" s="1617">
        <v>0</v>
      </c>
      <c r="Y9" s="1617">
        <v>0</v>
      </c>
      <c r="Z9" s="1617">
        <v>0</v>
      </c>
      <c r="AA9" s="1617">
        <v>55.000000000000007</v>
      </c>
      <c r="AB9" s="1617">
        <v>0</v>
      </c>
      <c r="AC9" s="1617">
        <v>1</v>
      </c>
      <c r="AD9" s="1613">
        <v>1</v>
      </c>
      <c r="AE9" s="1617" t="s">
        <v>2016</v>
      </c>
      <c r="AF9" s="1613" t="str">
        <f t="shared" si="7"/>
        <v/>
      </c>
      <c r="AG9" s="1656">
        <f>IFERROR(IF($AF9&gt;0,VLOOKUP($U9,Tabelle1!$C$188:$L$212,5,0)*$AF9,0),0)</f>
        <v>0</v>
      </c>
      <c r="AH9" s="1656">
        <f t="shared" si="8"/>
        <v>0</v>
      </c>
      <c r="AJ9" t="str">
        <f>IF(Betrieb!$D$9="JA",Mineral!$BW9,Mineral!$BV9)</f>
        <v>Kalkstickstoff 20:0:0</v>
      </c>
      <c r="AK9" s="1606" t="str">
        <f>IFERROR(INDEX(Liste_Handelsünger[Handelsdünger],_xlfn.AGGREGATE(15,6,(ROW(Liste_Handelsünger[Handelsdünger])-1)/(--(SEARCH(AL$2,Liste_Handelsünger[Handelsdünger])&gt;0)),ROW()-2),1),"")</f>
        <v>Kalkstickstoff 20:0:0</v>
      </c>
      <c r="AL9" s="1606" t="str">
        <f>IF(($A$3=""),"",IF(COUNTIF(Mineral!$AJ$3:$AJ$324,$A$3),"",$A$3))</f>
        <v/>
      </c>
      <c r="AM9" s="1606" t="str">
        <f>IFERROR(INDEX(Liste_Handelsünger[Handelsdünger],_xlfn.AGGREGATE(15,6,(ROW(Liste_Handelsünger[Handelsdünger])-1)/(--(SEARCH(AN$2,Liste_Handelsünger[Handelsdünger])&gt;0)),ROW()-2),1),"")</f>
        <v>Kalkstickstoff 20:0:0</v>
      </c>
      <c r="AN9" t="str">
        <f>IF(($A11=""),"",IF(COUNTIF(Mineral!$AJ$3:$AJ$324,$A11),"",$A11))</f>
        <v/>
      </c>
      <c r="AO9" t="str">
        <f>IFERROR(INDEX(Liste_Handelsünger[Handelsdünger],_xlfn.AGGREGATE(15,6,(ROW(Liste_Handelsünger[Handelsdünger])-1)/(--(SEARCH(AP$2,Liste_Handelsünger[Handelsdünger])&gt;0)),ROW()-2),1),"")</f>
        <v>Kalkstickstoff 20:0:0</v>
      </c>
      <c r="AP9" t="str">
        <f>IF(($A12=""),"",IF(COUNTIF(Mineral!$AJ$3:$AJ$324,$A12),"",$A12))</f>
        <v/>
      </c>
      <c r="AQ9" t="str">
        <f>IFERROR(INDEX(Liste_Handelsünger[Handelsdünger],_xlfn.AGGREGATE(15,6,(ROW(Liste_Handelsünger[Handelsdünger])-1)/(--(SEARCH(AR$2,Liste_Handelsünger[Handelsdünger])&gt;0)),ROW()-2),1),"")</f>
        <v>Kalkstickstoff 20:0:0</v>
      </c>
      <c r="AR9" t="str">
        <f>IF(($A13=""),"",IF(COUNTIF(Mineral!$AJ$3:$AJ$324,$A13),"",$A13))</f>
        <v/>
      </c>
      <c r="AS9" t="str">
        <f>IFERROR(INDEX(Liste_Handelsünger[Handelsdünger],_xlfn.AGGREGATE(15,6,(ROW(Liste_Handelsünger[Handelsdünger])-1)/(--(SEARCH(AT$2,Liste_Handelsünger[Handelsdünger])&gt;0)),ROW()-2),1),"")</f>
        <v>Kalkstickstoff 20:0:0</v>
      </c>
      <c r="AT9" t="str">
        <f>IF(($A14=""),"",IF(COUNTIF(Mineral!$AJ$3:$AJ$324,$A14),"",$A14))</f>
        <v/>
      </c>
      <c r="AU9" t="str">
        <f>IFERROR(INDEX(Liste_Handelsünger[Handelsdünger],_xlfn.AGGREGATE(15,6,(ROW(Liste_Handelsünger[Handelsdünger])-1)/(--(SEARCH(AV$2,Liste_Handelsünger[Handelsdünger])&gt;0)),ROW()-2),1),"")</f>
        <v>Kalkstickstoff 20:0:0</v>
      </c>
      <c r="AV9" t="str">
        <f>IF(($A15=""),"",IF(COUNTIF(Mineral!$AJ$3:$AJ$324,$A15),"",$A15))</f>
        <v/>
      </c>
      <c r="AW9" t="str">
        <f>IFERROR(INDEX(Liste_Handelsünger[Handelsdünger],_xlfn.AGGREGATE(15,6,(ROW(Liste_Handelsünger[Handelsdünger])-1)/(--(SEARCH(AX$2,Liste_Handelsünger[Handelsdünger])&gt;0)),ROW()-2),1),"")</f>
        <v>Kalkstickstoff 20:0:0</v>
      </c>
      <c r="AX9" t="str">
        <f>IF(($A16=""),"",IF(COUNTIF(Mineral!$AJ$3:$AJ$324,$A16),"",$A16))</f>
        <v/>
      </c>
      <c r="AY9" t="str">
        <f>IFERROR(INDEX(Liste_Handelsünger[Handelsdünger],_xlfn.AGGREGATE(15,6,(ROW(Liste_Handelsünger[Handelsdünger])-1)/(--(SEARCH(AZ$2,Liste_Handelsünger[Handelsdünger])&gt;0)),ROW()-2),1),"")</f>
        <v>Kalkstickstoff 20:0:0</v>
      </c>
      <c r="AZ9" t="str">
        <f>IF(($A17=""),"",IF(COUNTIF(Mineral!$AJ$3:$AJ$324,$A17),"",$A17))</f>
        <v/>
      </c>
      <c r="BA9" t="str">
        <f>IFERROR(INDEX(Liste_Handelsünger[Handelsdünger],_xlfn.AGGREGATE(15,6,(ROW(Liste_Handelsünger[Handelsdünger])-1)/(--(SEARCH(BB$2,Liste_Handelsünger[Handelsdünger])&gt;0)),ROW()-2),1),"")</f>
        <v>Kalkstickstoff 20:0:0</v>
      </c>
      <c r="BB9" t="str">
        <f>IF(($A18=""),"",IF(COUNTIF(Mineral!$AJ$3:$AJ$324,$A18),"",$A18))</f>
        <v>eigener Dünger 1</v>
      </c>
      <c r="BC9" t="str">
        <f>IFERROR(INDEX(Liste_Handelsünger[Handelsdünger],_xlfn.AGGREGATE(15,6,(ROW(Liste_Handelsünger[Handelsdünger])-1)/(--(SEARCH(BD$2,Liste_Handelsünger[Handelsdünger])&gt;0)),ROW()-2),1),"")</f>
        <v>Kalkstickstoff 20:0:0</v>
      </c>
      <c r="BD9" t="str">
        <f>IF(($A19=""),"",IF(COUNTIF(Mineral!$AJ$3:$AJ$324,$A19),"",$A19))</f>
        <v>eigener Dünger 2</v>
      </c>
      <c r="BE9" t="str">
        <f>IFERROR(INDEX(Liste_Handelsünger[Handelsdünger],_xlfn.AGGREGATE(15,6,(ROW(Liste_Handelsünger[Handelsdünger])-1)/(--(SEARCH(BF$2,Liste_Handelsünger[Handelsdünger])&gt;0)),ROW()-2),1),"")</f>
        <v>Kalkstickstoff 20:0:0</v>
      </c>
      <c r="BF9" t="str">
        <f>IF(($A20=""),"",IF(COUNTIF(Mineral!$AJ$3:$AJ$324,$A20),"",$A20))</f>
        <v>eigener Dünger 3</v>
      </c>
      <c r="BG9" t="str">
        <f>IFERROR(INDEX(Liste_Handelsünger[Handelsdünger],_xlfn.AGGREGATE(15,6,(ROW(Liste_Handelsünger[Handelsdünger])-1)/(--(SEARCH(BH$2,Liste_Handelsünger[Handelsdünger])&gt;0)),ROW()-2),1),"")</f>
        <v>Kalkstickstoff 20:0:0</v>
      </c>
      <c r="BH9" t="str">
        <f>IF(($A21=""),"",IF(COUNTIF(Mineral!$AJ$3:$AJ$324,$A21),"",$A21))</f>
        <v>eigener Dünger 4</v>
      </c>
      <c r="BI9" t="str">
        <f>IFERROR(INDEX(Liste_Handelsünger[Handelsdünger],_xlfn.AGGREGATE(15,6,(ROW(Liste_Handelsünger[Handelsdünger])-1)/(--(SEARCH(BJ$2,Liste_Handelsünger[Handelsdünger])&gt;0)),ROW()-2),1),"")</f>
        <v>Kalkstickstoff 20:0:0</v>
      </c>
      <c r="BJ9" t="str">
        <f>IF(($A22=""),"",IF(COUNTIF(Mineral!$AJ$3:$AJ$324,$A22),"",$A22))</f>
        <v>eigener Dünger 5</v>
      </c>
      <c r="BK9" t="str">
        <f>IFERROR(INDEX(Liste_Handelsünger[Handelsdünger],_xlfn.AGGREGATE(15,6,(ROW(Liste_Handelsünger[Handelsdünger])-1)/(--(SEARCH(BL$2,Liste_Handelsünger[Handelsdünger])&gt;0)),ROW()-2),1),"")</f>
        <v>Kalkstickstoff 20:0:0</v>
      </c>
      <c r="BM9" t="str">
        <f>IFERROR(INDEX(Liste_Handelsünger[Handelsdünger],_xlfn.AGGREGATE(15,6,(ROW(Liste_Handelsünger[Handelsdünger])-1)/(--(SEARCH(BN$2,Liste_Handelsünger[Handelsdünger])&gt;0)),ROW()-2),1),"")</f>
        <v>Kalkstickstoff 20:0:0</v>
      </c>
      <c r="BN9" t="str">
        <f>IF(($A24=""),"",IF(COUNTIF(Mineral!$AJ$3:$AJ$324,$A24),"",$A24))</f>
        <v>eigener Dünger 7</v>
      </c>
      <c r="BP9" s="1663">
        <v>8</v>
      </c>
      <c r="BQ9" s="1664">
        <f>COUNTIF(Liste_Handelsünger[Handelsdünger],$A9)</f>
        <v>0</v>
      </c>
      <c r="BV9" t="s">
        <v>2175</v>
      </c>
      <c r="BW9" t="s">
        <v>2023</v>
      </c>
    </row>
    <row r="10" spans="1:80" ht="21.75" customHeight="1" thickTop="1" thickBot="1">
      <c r="A10" s="918"/>
      <c r="B10" s="1128">
        <f>IF(ISNA(VLOOKUP(Mineral!A10,Tabelle1!$C$188:$Q$212,15,0)),0,VLOOKUP(Mineral!A10,Tabelle1!$C$188:$Q$212,15,0))</f>
        <v>0</v>
      </c>
      <c r="C10" s="1598"/>
      <c r="D10" s="1683" t="str">
        <f t="shared" si="0"/>
        <v/>
      </c>
      <c r="E10" s="1683" t="str">
        <f>IFERROR(VLOOKUP($A10,Mineral!$U$2:$AE$324,4,0)/100,"")</f>
        <v/>
      </c>
      <c r="F10" s="1683" t="str">
        <f>IFERROR(VLOOKUP($A10,Mineral!$U$3:$AE$324,5,0)/100,"")</f>
        <v/>
      </c>
      <c r="G10" s="1686">
        <f t="shared" si="1"/>
        <v>0</v>
      </c>
      <c r="H10" s="1686">
        <f t="shared" si="2"/>
        <v>0</v>
      </c>
      <c r="I10" s="956">
        <f t="shared" si="3"/>
        <v>0</v>
      </c>
      <c r="J10" s="956">
        <f t="shared" si="4"/>
        <v>0</v>
      </c>
      <c r="K10" s="1680" t="str">
        <f t="shared" si="5"/>
        <v/>
      </c>
      <c r="L10" s="1388" t="str">
        <f t="shared" si="6"/>
        <v/>
      </c>
      <c r="N10" s="1751"/>
      <c r="O10" s="1751"/>
      <c r="P10" s="1751"/>
      <c r="S10" s="1676">
        <v>8</v>
      </c>
      <c r="T10" s="1606" t="s">
        <v>2335</v>
      </c>
      <c r="U10" s="1606" t="s">
        <v>2162</v>
      </c>
      <c r="V10" s="1606"/>
      <c r="W10" s="1606">
        <v>0</v>
      </c>
      <c r="X10" s="1606">
        <v>28.999999999999996</v>
      </c>
      <c r="Y10" s="1606">
        <v>0</v>
      </c>
      <c r="Z10" s="1606">
        <v>0</v>
      </c>
      <c r="AA10" s="1606">
        <v>0</v>
      </c>
      <c r="AB10" s="1606">
        <v>0</v>
      </c>
      <c r="AC10" s="1606">
        <v>1</v>
      </c>
      <c r="AD10" s="1613">
        <v>1</v>
      </c>
      <c r="AE10" s="1606" t="s">
        <v>1764</v>
      </c>
      <c r="AF10" s="1613" t="str">
        <f t="shared" si="7"/>
        <v/>
      </c>
      <c r="AG10" s="1656">
        <f>IFERROR(IF($AF10&gt;0,VLOOKUP($U10,Tabelle1!$C$188:$L$212,5,0)*$AF10,0),0)</f>
        <v>0</v>
      </c>
      <c r="AH10" s="1656">
        <f t="shared" si="8"/>
        <v>0</v>
      </c>
      <c r="AJ10" t="str">
        <f>IF(Betrieb!$D$9="JA",Mineral!$BW10,Mineral!$BV10)</f>
        <v>Hyperphosphat</v>
      </c>
      <c r="AK10" s="1617" t="str">
        <f>IFERROR(INDEX(Liste_Handelsünger[Handelsdünger],_xlfn.AGGREGATE(15,6,(ROW(Liste_Handelsünger[Handelsdünger])-1)/(--(SEARCH(AL$2,Liste_Handelsünger[Handelsdünger])&gt;0)),ROW()-2),1),"")</f>
        <v>Hyperphosphat</v>
      </c>
      <c r="AL10" s="1617" t="str">
        <f>IF(($A$3=""),"",IF(COUNTIF(Mineral!$AJ$3:$AJ$324,$A$3),"",$A$3))</f>
        <v/>
      </c>
      <c r="AM10" s="1617" t="str">
        <f>IFERROR(INDEX(Liste_Handelsünger[Handelsdünger],_xlfn.AGGREGATE(15,6,(ROW(Liste_Handelsünger[Handelsdünger])-1)/(--(SEARCH(AN$2,Liste_Handelsünger[Handelsdünger])&gt;0)),ROW()-2),1),"")</f>
        <v>Hyperphosphat</v>
      </c>
      <c r="AN10" t="str">
        <f>IF(($A12=""),"",IF(COUNTIF(Mineral!$AJ$3:$AJ$324,$A12),"",$A12))</f>
        <v/>
      </c>
      <c r="AO10" t="str">
        <f>IFERROR(INDEX(Liste_Handelsünger[Handelsdünger],_xlfn.AGGREGATE(15,6,(ROW(Liste_Handelsünger[Handelsdünger])-1)/(--(SEARCH(AP$2,Liste_Handelsünger[Handelsdünger])&gt;0)),ROW()-2),1),"")</f>
        <v>Hyperphosphat</v>
      </c>
      <c r="AP10" t="str">
        <f>IF(($A13=""),"",IF(COUNTIF(Mineral!$AJ$3:$AJ$324,$A13),"",$A13))</f>
        <v/>
      </c>
      <c r="AQ10" t="str">
        <f>IFERROR(INDEX(Liste_Handelsünger[Handelsdünger],_xlfn.AGGREGATE(15,6,(ROW(Liste_Handelsünger[Handelsdünger])-1)/(--(SEARCH(AR$2,Liste_Handelsünger[Handelsdünger])&gt;0)),ROW()-2),1),"")</f>
        <v>Hyperphosphat</v>
      </c>
      <c r="AR10" t="str">
        <f>IF(($A14=""),"",IF(COUNTIF(Mineral!$AJ$3:$AJ$324,$A14),"",$A14))</f>
        <v/>
      </c>
      <c r="AS10" t="str">
        <f>IFERROR(INDEX(Liste_Handelsünger[Handelsdünger],_xlfn.AGGREGATE(15,6,(ROW(Liste_Handelsünger[Handelsdünger])-1)/(--(SEARCH(AT$2,Liste_Handelsünger[Handelsdünger])&gt;0)),ROW()-2),1),"")</f>
        <v>Hyperphosphat</v>
      </c>
      <c r="AT10" t="str">
        <f>IF(($A15=""),"",IF(COUNTIF(Mineral!$AJ$3:$AJ$324,$A15),"",$A15))</f>
        <v/>
      </c>
      <c r="AU10" t="str">
        <f>IFERROR(INDEX(Liste_Handelsünger[Handelsdünger],_xlfn.AGGREGATE(15,6,(ROW(Liste_Handelsünger[Handelsdünger])-1)/(--(SEARCH(AV$2,Liste_Handelsünger[Handelsdünger])&gt;0)),ROW()-2),1),"")</f>
        <v>Hyperphosphat</v>
      </c>
      <c r="AV10" t="str">
        <f>IF(($A16=""),"",IF(COUNTIF(Mineral!$AJ$3:$AJ$324,$A16),"",$A16))</f>
        <v/>
      </c>
      <c r="AW10" t="str">
        <f>IFERROR(INDEX(Liste_Handelsünger[Handelsdünger],_xlfn.AGGREGATE(15,6,(ROW(Liste_Handelsünger[Handelsdünger])-1)/(--(SEARCH(AX$2,Liste_Handelsünger[Handelsdünger])&gt;0)),ROW()-2),1),"")</f>
        <v>Hyperphosphat</v>
      </c>
      <c r="AX10" t="str">
        <f>IF(($A17=""),"",IF(COUNTIF(Mineral!$AJ$3:$AJ$324,$A17),"",$A17))</f>
        <v/>
      </c>
      <c r="AY10" t="str">
        <f>IFERROR(INDEX(Liste_Handelsünger[Handelsdünger],_xlfn.AGGREGATE(15,6,(ROW(Liste_Handelsünger[Handelsdünger])-1)/(--(SEARCH(AZ$2,Liste_Handelsünger[Handelsdünger])&gt;0)),ROW()-2),1),"")</f>
        <v>Hyperphosphat</v>
      </c>
      <c r="AZ10" t="str">
        <f>IF(($A18=""),"",IF(COUNTIF(Mineral!$AJ$3:$AJ$324,$A18),"",$A18))</f>
        <v>eigener Dünger 1</v>
      </c>
      <c r="BA10" t="str">
        <f>IFERROR(INDEX(Liste_Handelsünger[Handelsdünger],_xlfn.AGGREGATE(15,6,(ROW(Liste_Handelsünger[Handelsdünger])-1)/(--(SEARCH(BB$2,Liste_Handelsünger[Handelsdünger])&gt;0)),ROW()-2),1),"")</f>
        <v>Hyperphosphat</v>
      </c>
      <c r="BB10" t="str">
        <f>IF(($A19=""),"",IF(COUNTIF(Mineral!$AJ$3:$AJ$324,$A19),"",$A19))</f>
        <v>eigener Dünger 2</v>
      </c>
      <c r="BC10" t="str">
        <f>IFERROR(INDEX(Liste_Handelsünger[Handelsdünger],_xlfn.AGGREGATE(15,6,(ROW(Liste_Handelsünger[Handelsdünger])-1)/(--(SEARCH(BD$2,Liste_Handelsünger[Handelsdünger])&gt;0)),ROW()-2),1),"")</f>
        <v>Hyperphosphat</v>
      </c>
      <c r="BD10" t="str">
        <f>IF(($A20=""),"",IF(COUNTIF(Mineral!$AJ$3:$AJ$324,$A20),"",$A20))</f>
        <v>eigener Dünger 3</v>
      </c>
      <c r="BE10" t="str">
        <f>IFERROR(INDEX(Liste_Handelsünger[Handelsdünger],_xlfn.AGGREGATE(15,6,(ROW(Liste_Handelsünger[Handelsdünger])-1)/(--(SEARCH(BF$2,Liste_Handelsünger[Handelsdünger])&gt;0)),ROW()-2),1),"")</f>
        <v>Hyperphosphat</v>
      </c>
      <c r="BF10" t="str">
        <f>IF(($A21=""),"",IF(COUNTIF(Mineral!$AJ$3:$AJ$324,$A21),"",$A21))</f>
        <v>eigener Dünger 4</v>
      </c>
      <c r="BG10" t="str">
        <f>IFERROR(INDEX(Liste_Handelsünger[Handelsdünger],_xlfn.AGGREGATE(15,6,(ROW(Liste_Handelsünger[Handelsdünger])-1)/(--(SEARCH(BH$2,Liste_Handelsünger[Handelsdünger])&gt;0)),ROW()-2),1),"")</f>
        <v>Hyperphosphat</v>
      </c>
      <c r="BH10" t="str">
        <f>IF(($A22=""),"",IF(COUNTIF(Mineral!$AJ$3:$AJ$324,$A22),"",$A22))</f>
        <v>eigener Dünger 5</v>
      </c>
      <c r="BI10" t="str">
        <f>IFERROR(INDEX(Liste_Handelsünger[Handelsdünger],_xlfn.AGGREGATE(15,6,(ROW(Liste_Handelsünger[Handelsdünger])-1)/(--(SEARCH(BJ$2,Liste_Handelsünger[Handelsdünger])&gt;0)),ROW()-2),1),"")</f>
        <v>Hyperphosphat</v>
      </c>
      <c r="BJ10" t="str">
        <f>IF(($A23=""),"",IF(COUNTIF(Mineral!$AJ$3:$AJ$324,$A23),"",$A23))</f>
        <v>eigener Dünger 6</v>
      </c>
      <c r="BK10" t="str">
        <f>IFERROR(INDEX(Liste_Handelsünger[Handelsdünger],_xlfn.AGGREGATE(15,6,(ROW(Liste_Handelsünger[Handelsdünger])-1)/(--(SEARCH(BL$2,Liste_Handelsünger[Handelsdünger])&gt;0)),ROW()-2),1),"")</f>
        <v>Hyperphosphat</v>
      </c>
      <c r="BM10" t="str">
        <f>IFERROR(INDEX(Liste_Handelsünger[Handelsdünger],_xlfn.AGGREGATE(15,6,(ROW(Liste_Handelsünger[Handelsdünger])-1)/(--(SEARCH(BN$2,Liste_Handelsünger[Handelsdünger])&gt;0)),ROW()-2),1),"")</f>
        <v>Hyperphosphat</v>
      </c>
      <c r="BN10" t="str">
        <f>IF(($A25=""),"",IF(COUNTIF(Mineral!$AJ$3:$AJ$324,$A25),"",$A25))</f>
        <v>eigener Dünger 8</v>
      </c>
      <c r="BP10" s="1663">
        <v>9</v>
      </c>
      <c r="BQ10" s="1664">
        <f>COUNTIF(Liste_Handelsünger[Handelsdünger],$A10)</f>
        <v>0</v>
      </c>
      <c r="BV10" t="s">
        <v>2162</v>
      </c>
      <c r="BW10" t="s">
        <v>2024</v>
      </c>
    </row>
    <row r="11" spans="1:80" ht="21.75" customHeight="1" thickTop="1" thickBot="1">
      <c r="A11" s="918"/>
      <c r="B11" s="1128">
        <f>IF(ISNA(VLOOKUP(Mineral!A11,Tabelle1!$C$188:$Q$212,15,0)),0,VLOOKUP(Mineral!A11,Tabelle1!$C$188:$Q$212,15,0))</f>
        <v>0</v>
      </c>
      <c r="C11" s="1598"/>
      <c r="D11" s="1683" t="str">
        <f t="shared" si="0"/>
        <v/>
      </c>
      <c r="E11" s="1683" t="str">
        <f>IFERROR(VLOOKUP($A11,Mineral!$U$2:$AE$324,4,0)/100,"")</f>
        <v/>
      </c>
      <c r="F11" s="1683" t="str">
        <f>IFERROR(VLOOKUP($A11,Mineral!$U$3:$AE$324,5,0)/100,"")</f>
        <v/>
      </c>
      <c r="G11" s="1686">
        <f t="shared" si="1"/>
        <v>0</v>
      </c>
      <c r="H11" s="1686">
        <f t="shared" si="2"/>
        <v>0</v>
      </c>
      <c r="I11" s="956">
        <f t="shared" si="3"/>
        <v>0</v>
      </c>
      <c r="J11" s="956">
        <f t="shared" si="4"/>
        <v>0</v>
      </c>
      <c r="K11" s="1680" t="str">
        <f t="shared" si="5"/>
        <v/>
      </c>
      <c r="L11" s="1388" t="str">
        <f t="shared" si="6"/>
        <v/>
      </c>
      <c r="N11" s="1751"/>
      <c r="O11" s="1751"/>
      <c r="P11" s="2194"/>
      <c r="Q11" s="431"/>
      <c r="S11" s="1616">
        <v>9</v>
      </c>
      <c r="T11" s="1617" t="s">
        <v>2335</v>
      </c>
      <c r="U11" s="1617" t="s">
        <v>2160</v>
      </c>
      <c r="V11" s="1617"/>
      <c r="W11" s="1617">
        <v>0</v>
      </c>
      <c r="X11" s="1617">
        <v>26</v>
      </c>
      <c r="Y11" s="1617">
        <v>0</v>
      </c>
      <c r="Z11" s="1617">
        <v>0</v>
      </c>
      <c r="AA11" s="1617">
        <v>40</v>
      </c>
      <c r="AB11" s="1617">
        <v>0</v>
      </c>
      <c r="AC11" s="1617">
        <v>1</v>
      </c>
      <c r="AD11" s="1613">
        <v>1</v>
      </c>
      <c r="AE11" s="1617" t="s">
        <v>1764</v>
      </c>
      <c r="AF11" s="1613" t="str">
        <f t="shared" si="7"/>
        <v/>
      </c>
      <c r="AG11" s="1656">
        <f>IFERROR(IF($AF11&gt;0,VLOOKUP($U11,Tabelle1!$C$188:$L$212,5,0)*$AF11,0),0)</f>
        <v>0</v>
      </c>
      <c r="AH11" s="1656">
        <f t="shared" si="8"/>
        <v>0</v>
      </c>
      <c r="AJ11" t="str">
        <f>IF(Betrieb!$D$9="JA",Mineral!$BW11,Mineral!$BV11)</f>
        <v>Hyperkorn 26</v>
      </c>
      <c r="AK11" s="1606" t="str">
        <f>IFERROR(INDEX(Liste_Handelsünger[Handelsdünger],_xlfn.AGGREGATE(15,6,(ROW(Liste_Handelsünger[Handelsdünger])-1)/(--(SEARCH(AL$2,Liste_Handelsünger[Handelsdünger])&gt;0)),ROW()-2),1),"")</f>
        <v>Hyperkorn 26</v>
      </c>
      <c r="AL11" s="1606" t="str">
        <f>IF(($A$3=""),"",IF(COUNTIF(Mineral!$AJ$3:$AJ$324,$A$3),"",$A$3))</f>
        <v/>
      </c>
      <c r="AM11" s="1606" t="str">
        <f>IFERROR(INDEX(Liste_Handelsünger[Handelsdünger],_xlfn.AGGREGATE(15,6,(ROW(Liste_Handelsünger[Handelsdünger])-1)/(--(SEARCH(AN$2,Liste_Handelsünger[Handelsdünger])&gt;0)),ROW()-2),1),"")</f>
        <v>Hyperkorn 26</v>
      </c>
      <c r="AN11" t="str">
        <f>IF(($A13=""),"",IF(COUNTIF(Mineral!$AJ$3:$AJ$324,$A13),"",$A13))</f>
        <v/>
      </c>
      <c r="AO11" t="str">
        <f>IFERROR(INDEX(Liste_Handelsünger[Handelsdünger],_xlfn.AGGREGATE(15,6,(ROW(Liste_Handelsünger[Handelsdünger])-1)/(--(SEARCH(AP$2,Liste_Handelsünger[Handelsdünger])&gt;0)),ROW()-2),1),"")</f>
        <v>Hyperkorn 26</v>
      </c>
      <c r="AP11" t="str">
        <f>IF(($A14=""),"",IF(COUNTIF(Mineral!$AJ$3:$AJ$324,$A14),"",$A14))</f>
        <v/>
      </c>
      <c r="AQ11" t="str">
        <f>IFERROR(INDEX(Liste_Handelsünger[Handelsdünger],_xlfn.AGGREGATE(15,6,(ROW(Liste_Handelsünger[Handelsdünger])-1)/(--(SEARCH(AR$2,Liste_Handelsünger[Handelsdünger])&gt;0)),ROW()-2),1),"")</f>
        <v>Hyperkorn 26</v>
      </c>
      <c r="AR11" t="str">
        <f>IF(($A15=""),"",IF(COUNTIF(Mineral!$AJ$3:$AJ$324,$A15),"",$A15))</f>
        <v/>
      </c>
      <c r="AS11" t="str">
        <f>IFERROR(INDEX(Liste_Handelsünger[Handelsdünger],_xlfn.AGGREGATE(15,6,(ROW(Liste_Handelsünger[Handelsdünger])-1)/(--(SEARCH(AT$2,Liste_Handelsünger[Handelsdünger])&gt;0)),ROW()-2),1),"")</f>
        <v>Hyperkorn 26</v>
      </c>
      <c r="AT11" t="str">
        <f>IF(($A16=""),"",IF(COUNTIF(Mineral!$AJ$3:$AJ$324,$A16),"",$A16))</f>
        <v/>
      </c>
      <c r="AU11" t="str">
        <f>IFERROR(INDEX(Liste_Handelsünger[Handelsdünger],_xlfn.AGGREGATE(15,6,(ROW(Liste_Handelsünger[Handelsdünger])-1)/(--(SEARCH(AV$2,Liste_Handelsünger[Handelsdünger])&gt;0)),ROW()-2),1),"")</f>
        <v>Hyperkorn 26</v>
      </c>
      <c r="AV11" t="str">
        <f>IF(($A17=""),"",IF(COUNTIF(Mineral!$AJ$3:$AJ$324,$A17),"",$A17))</f>
        <v/>
      </c>
      <c r="AW11" t="str">
        <f>IFERROR(INDEX(Liste_Handelsünger[Handelsdünger],_xlfn.AGGREGATE(15,6,(ROW(Liste_Handelsünger[Handelsdünger])-1)/(--(SEARCH(AX$2,Liste_Handelsünger[Handelsdünger])&gt;0)),ROW()-2),1),"")</f>
        <v>Hyperkorn 26</v>
      </c>
      <c r="AX11" t="str">
        <f>IF(($A18=""),"",IF(COUNTIF(Mineral!$AJ$3:$AJ$324,$A18),"",$A18))</f>
        <v>eigener Dünger 1</v>
      </c>
      <c r="AY11" t="str">
        <f>IFERROR(INDEX(Liste_Handelsünger[Handelsdünger],_xlfn.AGGREGATE(15,6,(ROW(Liste_Handelsünger[Handelsdünger])-1)/(--(SEARCH(AZ$2,Liste_Handelsünger[Handelsdünger])&gt;0)),ROW()-2),1),"")</f>
        <v>Hyperkorn 26</v>
      </c>
      <c r="AZ11" t="str">
        <f>IF(($A19=""),"",IF(COUNTIF(Mineral!$AJ$3:$AJ$324,$A19),"",$A19))</f>
        <v>eigener Dünger 2</v>
      </c>
      <c r="BA11" t="str">
        <f>IFERROR(INDEX(Liste_Handelsünger[Handelsdünger],_xlfn.AGGREGATE(15,6,(ROW(Liste_Handelsünger[Handelsdünger])-1)/(--(SEARCH(BB$2,Liste_Handelsünger[Handelsdünger])&gt;0)),ROW()-2),1),"")</f>
        <v>Hyperkorn 26</v>
      </c>
      <c r="BB11" t="str">
        <f>IF(($A20=""),"",IF(COUNTIF(Mineral!$AJ$3:$AJ$324,$A20),"",$A20))</f>
        <v>eigener Dünger 3</v>
      </c>
      <c r="BC11" t="str">
        <f>IFERROR(INDEX(Liste_Handelsünger[Handelsdünger],_xlfn.AGGREGATE(15,6,(ROW(Liste_Handelsünger[Handelsdünger])-1)/(--(SEARCH(BD$2,Liste_Handelsünger[Handelsdünger])&gt;0)),ROW()-2),1),"")</f>
        <v>Hyperkorn 26</v>
      </c>
      <c r="BD11" t="str">
        <f>IF(($A21=""),"",IF(COUNTIF(Mineral!$AJ$3:$AJ$324,$A21),"",$A21))</f>
        <v>eigener Dünger 4</v>
      </c>
      <c r="BE11" t="str">
        <f>IFERROR(INDEX(Liste_Handelsünger[Handelsdünger],_xlfn.AGGREGATE(15,6,(ROW(Liste_Handelsünger[Handelsdünger])-1)/(--(SEARCH(BF$2,Liste_Handelsünger[Handelsdünger])&gt;0)),ROW()-2),1),"")</f>
        <v>Hyperkorn 26</v>
      </c>
      <c r="BF11" t="str">
        <f>IF(($A22=""),"",IF(COUNTIF(Mineral!$AJ$3:$AJ$324,$A22),"",$A22))</f>
        <v>eigener Dünger 5</v>
      </c>
      <c r="BG11" t="str">
        <f>IFERROR(INDEX(Liste_Handelsünger[Handelsdünger],_xlfn.AGGREGATE(15,6,(ROW(Liste_Handelsünger[Handelsdünger])-1)/(--(SEARCH(BH$2,Liste_Handelsünger[Handelsdünger])&gt;0)),ROW()-2),1),"")</f>
        <v>Hyperkorn 26</v>
      </c>
      <c r="BH11" t="str">
        <f>IF(($A23=""),"",IF(COUNTIF(Mineral!$AJ$3:$AJ$324,$A23),"",$A23))</f>
        <v>eigener Dünger 6</v>
      </c>
      <c r="BI11" t="str">
        <f>IFERROR(INDEX(Liste_Handelsünger[Handelsdünger],_xlfn.AGGREGATE(15,6,(ROW(Liste_Handelsünger[Handelsdünger])-1)/(--(SEARCH(BJ$2,Liste_Handelsünger[Handelsdünger])&gt;0)),ROW()-2),1),"")</f>
        <v>Hyperkorn 26</v>
      </c>
      <c r="BJ11" t="str">
        <f>IF(($A24=""),"",IF(COUNTIF(Mineral!$AJ$3:$AJ$324,$A24),"",$A24))</f>
        <v>eigener Dünger 7</v>
      </c>
      <c r="BK11" t="str">
        <f>IFERROR(INDEX(Liste_Handelsünger[Handelsdünger],_xlfn.AGGREGATE(15,6,(ROW(Liste_Handelsünger[Handelsdünger])-1)/(--(SEARCH(BL$2,Liste_Handelsünger[Handelsdünger])&gt;0)),ROW()-2),1),"")</f>
        <v>Hyperkorn 26</v>
      </c>
      <c r="BM11" t="str">
        <f>IFERROR(INDEX(Liste_Handelsünger[Handelsdünger],_xlfn.AGGREGATE(15,6,(ROW(Liste_Handelsünger[Handelsdünger])-1)/(--(SEARCH(BN$2,Liste_Handelsünger[Handelsdünger])&gt;0)),ROW()-2),1),"")</f>
        <v>Hyperkorn 26</v>
      </c>
      <c r="BN11" t="str">
        <f>IF(($A26=""),"",IF(COUNTIF(Mineral!$AJ$3:$AJ$324,$A26),"",$A26))</f>
        <v>eigener Dünger 9</v>
      </c>
      <c r="BP11" s="1663">
        <v>10</v>
      </c>
      <c r="BQ11" s="1664">
        <f>COUNTIF(Liste_Handelsünger[Handelsdünger],$A11)</f>
        <v>0</v>
      </c>
      <c r="BV11" t="s">
        <v>2160</v>
      </c>
      <c r="BW11" t="s">
        <v>2025</v>
      </c>
    </row>
    <row r="12" spans="1:80" ht="21.75" customHeight="1" thickTop="1" thickBot="1">
      <c r="A12" s="918"/>
      <c r="B12" s="1128">
        <f>IF(ISNA(VLOOKUP(Mineral!A12,Tabelle1!$C$188:$Q$212,15,0)),0,VLOOKUP(Mineral!A12,Tabelle1!$C$188:$Q$212,15,0))</f>
        <v>0</v>
      </c>
      <c r="C12" s="1598"/>
      <c r="D12" s="1683" t="str">
        <f t="shared" si="0"/>
        <v/>
      </c>
      <c r="E12" s="1683" t="str">
        <f>IFERROR(VLOOKUP($A12,Mineral!$U$2:$AE$324,4,0)/100,"")</f>
        <v/>
      </c>
      <c r="F12" s="1683" t="str">
        <f>IFERROR(VLOOKUP($A12,Mineral!$U$3:$AE$324,5,0)/100,"")</f>
        <v/>
      </c>
      <c r="G12" s="1686">
        <f t="shared" si="1"/>
        <v>0</v>
      </c>
      <c r="H12" s="1686">
        <f t="shared" si="2"/>
        <v>0</v>
      </c>
      <c r="I12" s="956">
        <f t="shared" si="3"/>
        <v>0</v>
      </c>
      <c r="J12" s="956">
        <f t="shared" si="4"/>
        <v>0</v>
      </c>
      <c r="K12" s="1680" t="str">
        <f t="shared" si="5"/>
        <v/>
      </c>
      <c r="L12" s="1388" t="str">
        <f t="shared" si="6"/>
        <v/>
      </c>
      <c r="N12" s="1751"/>
      <c r="O12" s="1751"/>
      <c r="P12" s="2194"/>
      <c r="Q12" s="431"/>
      <c r="R12" s="3"/>
      <c r="S12" s="1676">
        <v>10</v>
      </c>
      <c r="T12" s="1606" t="s">
        <v>2335</v>
      </c>
      <c r="U12" s="1606" t="s">
        <v>1192</v>
      </c>
      <c r="V12" s="1606"/>
      <c r="W12" s="1606">
        <v>0</v>
      </c>
      <c r="X12" s="1606">
        <v>18</v>
      </c>
      <c r="Y12" s="1606">
        <v>0</v>
      </c>
      <c r="Z12" s="1606">
        <v>12</v>
      </c>
      <c r="AA12" s="1606">
        <v>0</v>
      </c>
      <c r="AB12" s="1606">
        <v>0</v>
      </c>
      <c r="AC12" s="1606">
        <v>1</v>
      </c>
      <c r="AD12" s="1613">
        <v>1</v>
      </c>
      <c r="AE12" s="1606" t="s">
        <v>1764</v>
      </c>
      <c r="AF12" s="1613" t="str">
        <f t="shared" si="7"/>
        <v/>
      </c>
      <c r="AG12" s="1656">
        <f>IFERROR(IF($AF12&gt;0,VLOOKUP($U12,Tabelle1!$C$188:$L$212,5,0)*$AF12,0),0)</f>
        <v>0</v>
      </c>
      <c r="AH12" s="1656">
        <f t="shared" si="8"/>
        <v>0</v>
      </c>
      <c r="AJ12" t="str">
        <f>IF(Betrieb!$D$9="JA",Mineral!$BW12,Mineral!$BV12)</f>
        <v>Superphosphat</v>
      </c>
      <c r="AK12" s="1617" t="str">
        <f>IFERROR(INDEX(Liste_Handelsünger[Handelsdünger],_xlfn.AGGREGATE(15,6,(ROW(Liste_Handelsünger[Handelsdünger])-1)/(--(SEARCH(AL$2,Liste_Handelsünger[Handelsdünger])&gt;0)),ROW()-2),1),"")</f>
        <v>Superphosphat</v>
      </c>
      <c r="AL12" s="1617" t="str">
        <f>IF(($A$3=""),"",IF(COUNTIF(Mineral!$AJ$3:$AJ$324,$A$3),"",$A$3))</f>
        <v/>
      </c>
      <c r="AM12" s="1617" t="str">
        <f>IFERROR(INDEX(Liste_Handelsünger[Handelsdünger],_xlfn.AGGREGATE(15,6,(ROW(Liste_Handelsünger[Handelsdünger])-1)/(--(SEARCH(AN$2,Liste_Handelsünger[Handelsdünger])&gt;0)),ROW()-2),1),"")</f>
        <v>Superphosphat</v>
      </c>
      <c r="AN12" t="str">
        <f>IF(($A14=""),"",IF(COUNTIF(Mineral!$AJ$3:$AJ$324,$A14),"",$A14))</f>
        <v/>
      </c>
      <c r="AO12" t="str">
        <f>IFERROR(INDEX(Liste_Handelsünger[Handelsdünger],_xlfn.AGGREGATE(15,6,(ROW(Liste_Handelsünger[Handelsdünger])-1)/(--(SEARCH(AP$2,Liste_Handelsünger[Handelsdünger])&gt;0)),ROW()-2),1),"")</f>
        <v>Superphosphat</v>
      </c>
      <c r="AP12" t="str">
        <f>IF(($A15=""),"",IF(COUNTIF(Mineral!$AJ$3:$AJ$324,$A15),"",$A15))</f>
        <v/>
      </c>
      <c r="AQ12" t="str">
        <f>IFERROR(INDEX(Liste_Handelsünger[Handelsdünger],_xlfn.AGGREGATE(15,6,(ROW(Liste_Handelsünger[Handelsdünger])-1)/(--(SEARCH(AR$2,Liste_Handelsünger[Handelsdünger])&gt;0)),ROW()-2),1),"")</f>
        <v>Superphosphat</v>
      </c>
      <c r="AR12" t="str">
        <f>IF(($A16=""),"",IF(COUNTIF(Mineral!$AJ$3:$AJ$324,$A16),"",$A16))</f>
        <v/>
      </c>
      <c r="AS12" t="str">
        <f>IFERROR(INDEX(Liste_Handelsünger[Handelsdünger],_xlfn.AGGREGATE(15,6,(ROW(Liste_Handelsünger[Handelsdünger])-1)/(--(SEARCH(AT$2,Liste_Handelsünger[Handelsdünger])&gt;0)),ROW()-2),1),"")</f>
        <v>Superphosphat</v>
      </c>
      <c r="AT12" t="str">
        <f>IF(($A17=""),"",IF(COUNTIF(Mineral!$AJ$3:$AJ$324,$A17),"",$A17))</f>
        <v/>
      </c>
      <c r="AU12" t="str">
        <f>IFERROR(INDEX(Liste_Handelsünger[Handelsdünger],_xlfn.AGGREGATE(15,6,(ROW(Liste_Handelsünger[Handelsdünger])-1)/(--(SEARCH(AV$2,Liste_Handelsünger[Handelsdünger])&gt;0)),ROW()-2),1),"")</f>
        <v>Superphosphat</v>
      </c>
      <c r="AV12" t="str">
        <f>IF(($A18=""),"",IF(COUNTIF(Mineral!$AJ$3:$AJ$324,$A18),"",$A18))</f>
        <v>eigener Dünger 1</v>
      </c>
      <c r="AW12" t="str">
        <f>IFERROR(INDEX(Liste_Handelsünger[Handelsdünger],_xlfn.AGGREGATE(15,6,(ROW(Liste_Handelsünger[Handelsdünger])-1)/(--(SEARCH(AX$2,Liste_Handelsünger[Handelsdünger])&gt;0)),ROW()-2),1),"")</f>
        <v>Superphosphat</v>
      </c>
      <c r="AX12" t="str">
        <f>IF(($A19=""),"",IF(COUNTIF(Mineral!$AJ$3:$AJ$324,$A19),"",$A19))</f>
        <v>eigener Dünger 2</v>
      </c>
      <c r="AY12" t="str">
        <f>IFERROR(INDEX(Liste_Handelsünger[Handelsdünger],_xlfn.AGGREGATE(15,6,(ROW(Liste_Handelsünger[Handelsdünger])-1)/(--(SEARCH(AZ$2,Liste_Handelsünger[Handelsdünger])&gt;0)),ROW()-2),1),"")</f>
        <v>Superphosphat</v>
      </c>
      <c r="AZ12" t="str">
        <f>IF(($A20=""),"",IF(COUNTIF(Mineral!$AJ$3:$AJ$324,$A20),"",$A20))</f>
        <v>eigener Dünger 3</v>
      </c>
      <c r="BA12" t="str">
        <f>IFERROR(INDEX(Liste_Handelsünger[Handelsdünger],_xlfn.AGGREGATE(15,6,(ROW(Liste_Handelsünger[Handelsdünger])-1)/(--(SEARCH(BB$2,Liste_Handelsünger[Handelsdünger])&gt;0)),ROW()-2),1),"")</f>
        <v>Superphosphat</v>
      </c>
      <c r="BB12" t="str">
        <f>IF(($A21=""),"",IF(COUNTIF(Mineral!$AJ$3:$AJ$324,$A21),"",$A21))</f>
        <v>eigener Dünger 4</v>
      </c>
      <c r="BC12" t="str">
        <f>IFERROR(INDEX(Liste_Handelsünger[Handelsdünger],_xlfn.AGGREGATE(15,6,(ROW(Liste_Handelsünger[Handelsdünger])-1)/(--(SEARCH(BD$2,Liste_Handelsünger[Handelsdünger])&gt;0)),ROW()-2),1),"")</f>
        <v>Superphosphat</v>
      </c>
      <c r="BD12" t="str">
        <f>IF(($A22=""),"",IF(COUNTIF(Mineral!$AJ$3:$AJ$324,$A22),"",$A22))</f>
        <v>eigener Dünger 5</v>
      </c>
      <c r="BE12" t="str">
        <f>IFERROR(INDEX(Liste_Handelsünger[Handelsdünger],_xlfn.AGGREGATE(15,6,(ROW(Liste_Handelsünger[Handelsdünger])-1)/(--(SEARCH(BF$2,Liste_Handelsünger[Handelsdünger])&gt;0)),ROW()-2),1),"")</f>
        <v>Superphosphat</v>
      </c>
      <c r="BF12" t="str">
        <f>IF(($A23=""),"",IF(COUNTIF(Mineral!$AJ$3:$AJ$324,$A23),"",$A23))</f>
        <v>eigener Dünger 6</v>
      </c>
      <c r="BG12" t="str">
        <f>IFERROR(INDEX(Liste_Handelsünger[Handelsdünger],_xlfn.AGGREGATE(15,6,(ROW(Liste_Handelsünger[Handelsdünger])-1)/(--(SEARCH(BH$2,Liste_Handelsünger[Handelsdünger])&gt;0)),ROW()-2),1),"")</f>
        <v>Superphosphat</v>
      </c>
      <c r="BH12" t="str">
        <f>IF(($A24=""),"",IF(COUNTIF(Mineral!$AJ$3:$AJ$324,$A24),"",$A24))</f>
        <v>eigener Dünger 7</v>
      </c>
      <c r="BI12" t="str">
        <f>IFERROR(INDEX(Liste_Handelsünger[Handelsdünger],_xlfn.AGGREGATE(15,6,(ROW(Liste_Handelsünger[Handelsdünger])-1)/(--(SEARCH(BJ$2,Liste_Handelsünger[Handelsdünger])&gt;0)),ROW()-2),1),"")</f>
        <v>Superphosphat</v>
      </c>
      <c r="BJ12" t="str">
        <f>IF(($A25=""),"",IF(COUNTIF(Mineral!$AJ$3:$AJ$324,$A25),"",$A25))</f>
        <v>eigener Dünger 8</v>
      </c>
      <c r="BK12" t="str">
        <f>IFERROR(INDEX(Liste_Handelsünger[Handelsdünger],_xlfn.AGGREGATE(15,6,(ROW(Liste_Handelsünger[Handelsdünger])-1)/(--(SEARCH(BL$2,Liste_Handelsünger[Handelsdünger])&gt;0)),ROW()-2),1),"")</f>
        <v>Superphosphat</v>
      </c>
      <c r="BM12" t="str">
        <f>IFERROR(INDEX(Liste_Handelsünger[Handelsdünger],_xlfn.AGGREGATE(15,6,(ROW(Liste_Handelsünger[Handelsdünger])-1)/(--(SEARCH(BN$2,Liste_Handelsünger[Handelsdünger])&gt;0)),ROW()-2),1),"")</f>
        <v>Superphosphat</v>
      </c>
      <c r="BN12" t="str">
        <f>IF(($A27=""),"",IF(COUNTIF(Mineral!$AJ$3:$AJ$324,$A27),"",$A27))</f>
        <v>eigener Dünger 10</v>
      </c>
      <c r="BP12" s="1663">
        <v>11</v>
      </c>
      <c r="BQ12" s="1664">
        <f>COUNTIF(Liste_Handelsünger[Handelsdünger],$A12)</f>
        <v>0</v>
      </c>
      <c r="BV12" t="s">
        <v>1192</v>
      </c>
      <c r="BW12" t="s">
        <v>2026</v>
      </c>
    </row>
    <row r="13" spans="1:80" ht="21.75" customHeight="1" thickTop="1" thickBot="1">
      <c r="A13" s="918"/>
      <c r="B13" s="1128">
        <f>IF(ISNA(VLOOKUP(Mineral!A13,Tabelle1!$C$188:$Q$212,15,0)),0,VLOOKUP(Mineral!A13,Tabelle1!$C$188:$Q$212,15,0))</f>
        <v>0</v>
      </c>
      <c r="C13" s="1598"/>
      <c r="D13" s="1683" t="str">
        <f t="shared" si="0"/>
        <v/>
      </c>
      <c r="E13" s="1683" t="str">
        <f>IFERROR(VLOOKUP($A13,Mineral!$U$2:$AE$324,4,0)/100,"")</f>
        <v/>
      </c>
      <c r="F13" s="1683" t="str">
        <f>IFERROR(VLOOKUP($A13,Mineral!$U$3:$AE$324,5,0)/100,"")</f>
        <v/>
      </c>
      <c r="G13" s="1686">
        <f t="shared" si="1"/>
        <v>0</v>
      </c>
      <c r="H13" s="1686">
        <f t="shared" si="2"/>
        <v>0</v>
      </c>
      <c r="I13" s="956">
        <f t="shared" si="3"/>
        <v>0</v>
      </c>
      <c r="J13" s="956">
        <f t="shared" si="4"/>
        <v>0</v>
      </c>
      <c r="K13" s="1680" t="str">
        <f t="shared" si="5"/>
        <v/>
      </c>
      <c r="L13" s="1388" t="str">
        <f t="shared" si="6"/>
        <v/>
      </c>
      <c r="N13" s="1751"/>
      <c r="O13" s="1751"/>
      <c r="P13" s="2194"/>
      <c r="Q13" s="431"/>
      <c r="S13" s="1616">
        <v>11</v>
      </c>
      <c r="T13" s="1617" t="s">
        <v>2335</v>
      </c>
      <c r="U13" s="1617" t="s">
        <v>2306</v>
      </c>
      <c r="V13" s="1617"/>
      <c r="W13" s="1617">
        <v>0</v>
      </c>
      <c r="X13" s="1617">
        <v>45</v>
      </c>
      <c r="Y13" s="1617">
        <v>0</v>
      </c>
      <c r="Z13" s="1617">
        <v>0</v>
      </c>
      <c r="AA13" s="1617">
        <v>0</v>
      </c>
      <c r="AB13" s="1617">
        <v>0</v>
      </c>
      <c r="AC13" s="1617">
        <v>1</v>
      </c>
      <c r="AD13" s="1613">
        <v>1</v>
      </c>
      <c r="AE13" s="1617" t="s">
        <v>1764</v>
      </c>
      <c r="AF13" s="1613" t="str">
        <f t="shared" si="7"/>
        <v/>
      </c>
      <c r="AG13" s="1656">
        <f>IFERROR(IF($AF13&gt;0,VLOOKUP($U13,Tabelle1!$C$188:$L$212,5,0)*$AF13,0),0)</f>
        <v>0</v>
      </c>
      <c r="AH13" s="1656">
        <f t="shared" si="8"/>
        <v>0</v>
      </c>
      <c r="AJ13" t="str">
        <f>IF(Betrieb!$D$9="JA",Mineral!$BW13,Mineral!$BV13)</f>
        <v>Triplephosphat 0:45:0</v>
      </c>
      <c r="AK13" s="1606" t="str">
        <f>IFERROR(INDEX(Liste_Handelsünger[Handelsdünger],_xlfn.AGGREGATE(15,6,(ROW(Liste_Handelsünger[Handelsdünger])-1)/(--(SEARCH(AL$2,Liste_Handelsünger[Handelsdünger])&gt;0)),ROW()-2),1),"")</f>
        <v>Triplephosphat 0:45:0</v>
      </c>
      <c r="AL13" s="1606" t="str">
        <f>IF(($A$3=""),"",IF(COUNTIF(Mineral!$AJ$3:$AJ$324,$A$3),"",$A$3))</f>
        <v/>
      </c>
      <c r="AM13" s="1606" t="str">
        <f>IFERROR(INDEX(Liste_Handelsünger[Handelsdünger],_xlfn.AGGREGATE(15,6,(ROW(Liste_Handelsünger[Handelsdünger])-1)/(--(SEARCH(AN$2,Liste_Handelsünger[Handelsdünger])&gt;0)),ROW()-2),1),"")</f>
        <v>Triplephosphat 0:45:0</v>
      </c>
      <c r="AN13" t="str">
        <f>IF(($A15=""),"",IF(COUNTIF(Mineral!$AJ$3:$AJ$324,$A15),"",$A15))</f>
        <v/>
      </c>
      <c r="AO13" t="str">
        <f>IFERROR(INDEX(Liste_Handelsünger[Handelsdünger],_xlfn.AGGREGATE(15,6,(ROW(Liste_Handelsünger[Handelsdünger])-1)/(--(SEARCH(AP$2,Liste_Handelsünger[Handelsdünger])&gt;0)),ROW()-2),1),"")</f>
        <v>Triplephosphat 0:45:0</v>
      </c>
      <c r="AP13" t="str">
        <f>IF(($A16=""),"",IF(COUNTIF(Mineral!$AJ$3:$AJ$324,$A16),"",$A16))</f>
        <v/>
      </c>
      <c r="AQ13" t="str">
        <f>IFERROR(INDEX(Liste_Handelsünger[Handelsdünger],_xlfn.AGGREGATE(15,6,(ROW(Liste_Handelsünger[Handelsdünger])-1)/(--(SEARCH(AR$2,Liste_Handelsünger[Handelsdünger])&gt;0)),ROW()-2),1),"")</f>
        <v>Triplephosphat 0:45:0</v>
      </c>
      <c r="AR13" t="str">
        <f>IF(($A17=""),"",IF(COUNTIF(Mineral!$AJ$3:$AJ$324,$A17),"",$A17))</f>
        <v/>
      </c>
      <c r="AS13" t="str">
        <f>IFERROR(INDEX(Liste_Handelsünger[Handelsdünger],_xlfn.AGGREGATE(15,6,(ROW(Liste_Handelsünger[Handelsdünger])-1)/(--(SEARCH(AT$2,Liste_Handelsünger[Handelsdünger])&gt;0)),ROW()-2),1),"")</f>
        <v>Triplephosphat 0:45:0</v>
      </c>
      <c r="AT13" t="str">
        <f>IF(($A18=""),"",IF(COUNTIF(Mineral!$AJ$3:$AJ$324,$A18),"",$A18))</f>
        <v>eigener Dünger 1</v>
      </c>
      <c r="AU13" t="str">
        <f>IFERROR(INDEX(Liste_Handelsünger[Handelsdünger],_xlfn.AGGREGATE(15,6,(ROW(Liste_Handelsünger[Handelsdünger])-1)/(--(SEARCH(AV$2,Liste_Handelsünger[Handelsdünger])&gt;0)),ROW()-2),1),"")</f>
        <v>Triplephosphat 0:45:0</v>
      </c>
      <c r="AV13" t="str">
        <f>IF(($A19=""),"",IF(COUNTIF(Mineral!$AJ$3:$AJ$324,$A19),"",$A19))</f>
        <v>eigener Dünger 2</v>
      </c>
      <c r="AW13" t="str">
        <f>IFERROR(INDEX(Liste_Handelsünger[Handelsdünger],_xlfn.AGGREGATE(15,6,(ROW(Liste_Handelsünger[Handelsdünger])-1)/(--(SEARCH(AX$2,Liste_Handelsünger[Handelsdünger])&gt;0)),ROW()-2),1),"")</f>
        <v>Triplephosphat 0:45:0</v>
      </c>
      <c r="AX13" t="str">
        <f>IF(($A20=""),"",IF(COUNTIF(Mineral!$AJ$3:$AJ$324,$A20),"",$A20))</f>
        <v>eigener Dünger 3</v>
      </c>
      <c r="AY13" t="str">
        <f>IFERROR(INDEX(Liste_Handelsünger[Handelsdünger],_xlfn.AGGREGATE(15,6,(ROW(Liste_Handelsünger[Handelsdünger])-1)/(--(SEARCH(AZ$2,Liste_Handelsünger[Handelsdünger])&gt;0)),ROW()-2),1),"")</f>
        <v>Triplephosphat 0:45:0</v>
      </c>
      <c r="AZ13" t="str">
        <f>IF(($A21=""),"",IF(COUNTIF(Mineral!$AJ$3:$AJ$324,$A21),"",$A21))</f>
        <v>eigener Dünger 4</v>
      </c>
      <c r="BA13" t="str">
        <f>IFERROR(INDEX(Liste_Handelsünger[Handelsdünger],_xlfn.AGGREGATE(15,6,(ROW(Liste_Handelsünger[Handelsdünger])-1)/(--(SEARCH(BB$2,Liste_Handelsünger[Handelsdünger])&gt;0)),ROW()-2),1),"")</f>
        <v>Triplephosphat 0:45:0</v>
      </c>
      <c r="BB13" t="str">
        <f>IF(($A22=""),"",IF(COUNTIF(Mineral!$AJ$3:$AJ$324,$A22),"",$A22))</f>
        <v>eigener Dünger 5</v>
      </c>
      <c r="BC13" t="str">
        <f>IFERROR(INDEX(Liste_Handelsünger[Handelsdünger],_xlfn.AGGREGATE(15,6,(ROW(Liste_Handelsünger[Handelsdünger])-1)/(--(SEARCH(BD$2,Liste_Handelsünger[Handelsdünger])&gt;0)),ROW()-2),1),"")</f>
        <v>Triplephosphat 0:45:0</v>
      </c>
      <c r="BD13" t="str">
        <f>IF(($A23=""),"",IF(COUNTIF(Mineral!$AJ$3:$AJ$324,$A23),"",$A23))</f>
        <v>eigener Dünger 6</v>
      </c>
      <c r="BE13" t="str">
        <f>IFERROR(INDEX(Liste_Handelsünger[Handelsdünger],_xlfn.AGGREGATE(15,6,(ROW(Liste_Handelsünger[Handelsdünger])-1)/(--(SEARCH(BF$2,Liste_Handelsünger[Handelsdünger])&gt;0)),ROW()-2),1),"")</f>
        <v>Triplephosphat 0:45:0</v>
      </c>
      <c r="BF13" t="str">
        <f>IF(($A24=""),"",IF(COUNTIF(Mineral!$AJ$3:$AJ$324,$A24),"",$A24))</f>
        <v>eigener Dünger 7</v>
      </c>
      <c r="BG13" t="str">
        <f>IFERROR(INDEX(Liste_Handelsünger[Handelsdünger],_xlfn.AGGREGATE(15,6,(ROW(Liste_Handelsünger[Handelsdünger])-1)/(--(SEARCH(BH$2,Liste_Handelsünger[Handelsdünger])&gt;0)),ROW()-2),1),"")</f>
        <v>Triplephosphat 0:45:0</v>
      </c>
      <c r="BH13" t="str">
        <f>IF(($A25=""),"",IF(COUNTIF(Mineral!$AJ$3:$AJ$324,$A25),"",$A25))</f>
        <v>eigener Dünger 8</v>
      </c>
      <c r="BI13" t="str">
        <f>IFERROR(INDEX(Liste_Handelsünger[Handelsdünger],_xlfn.AGGREGATE(15,6,(ROW(Liste_Handelsünger[Handelsdünger])-1)/(--(SEARCH(BJ$2,Liste_Handelsünger[Handelsdünger])&gt;0)),ROW()-2),1),"")</f>
        <v>Triplephosphat 0:45:0</v>
      </c>
      <c r="BJ13" t="str">
        <f>IF(($A26=""),"",IF(COUNTIF(Mineral!$AJ$3:$AJ$324,$A26),"",$A26))</f>
        <v>eigener Dünger 9</v>
      </c>
      <c r="BK13" t="str">
        <f>IFERROR(INDEX(Liste_Handelsünger[Handelsdünger],_xlfn.AGGREGATE(15,6,(ROW(Liste_Handelsünger[Handelsdünger])-1)/(--(SEARCH(BL$2,Liste_Handelsünger[Handelsdünger])&gt;0)),ROW()-2),1),"")</f>
        <v>Triplephosphat 0:45:0</v>
      </c>
      <c r="BM13" t="str">
        <f>IFERROR(INDEX(Liste_Handelsünger[Handelsdünger],_xlfn.AGGREGATE(15,6,(ROW(Liste_Handelsünger[Handelsdünger])-1)/(--(SEARCH(BN$2,Liste_Handelsünger[Handelsdünger])&gt;0)),ROW()-2),1),"")</f>
        <v>Triplephosphat 0:45:0</v>
      </c>
      <c r="BN13" t="str">
        <f>IF(($A28=""),"",IF(COUNTIF(Mineral!$AJ$3:$AJ$324,$A28),"",$A28))</f>
        <v xml:space="preserve">Nährstoffeinsatz aus Mineraldünger in kg </v>
      </c>
      <c r="BP13" s="1663">
        <v>12</v>
      </c>
      <c r="BQ13" s="1664">
        <f>COUNTIF(Liste_Handelsünger[Handelsdünger],$A13)</f>
        <v>0</v>
      </c>
      <c r="BV13" t="s">
        <v>2306</v>
      </c>
      <c r="BW13" t="s">
        <v>2027</v>
      </c>
    </row>
    <row r="14" spans="1:80" ht="21.75" customHeight="1" thickTop="1" thickBot="1">
      <c r="A14" s="918"/>
      <c r="B14" s="1128">
        <f>IF(ISNA(VLOOKUP(Mineral!A14,Tabelle1!$C$188:$Q$212,15,0)),0,VLOOKUP(Mineral!A14,Tabelle1!$C$188:$Q$212,15,0))</f>
        <v>0</v>
      </c>
      <c r="C14" s="1598"/>
      <c r="D14" s="1683" t="str">
        <f t="shared" si="0"/>
        <v/>
      </c>
      <c r="E14" s="1683" t="str">
        <f>IFERROR(VLOOKUP($A14,Mineral!$U$2:$AE$324,4,0)/100,"")</f>
        <v/>
      </c>
      <c r="F14" s="1683" t="str">
        <f>IFERROR(VLOOKUP($A14,Mineral!$U$3:$AE$324,5,0)/100,"")</f>
        <v/>
      </c>
      <c r="G14" s="1686">
        <f t="shared" si="1"/>
        <v>0</v>
      </c>
      <c r="H14" s="1686">
        <f t="shared" si="2"/>
        <v>0</v>
      </c>
      <c r="I14" s="956">
        <f t="shared" si="3"/>
        <v>0</v>
      </c>
      <c r="J14" s="956">
        <f t="shared" si="4"/>
        <v>0</v>
      </c>
      <c r="K14" s="1680" t="str">
        <f t="shared" si="5"/>
        <v/>
      </c>
      <c r="L14" s="1388" t="str">
        <f t="shared" si="6"/>
        <v/>
      </c>
      <c r="S14" s="1676">
        <v>12</v>
      </c>
      <c r="T14" s="1606" t="s">
        <v>2335</v>
      </c>
      <c r="U14" s="1606" t="s">
        <v>2300</v>
      </c>
      <c r="V14" s="1606"/>
      <c r="W14" s="1606">
        <v>0</v>
      </c>
      <c r="X14" s="1606">
        <v>15</v>
      </c>
      <c r="Y14" s="1606">
        <v>0</v>
      </c>
      <c r="Z14" s="1606">
        <v>0</v>
      </c>
      <c r="AA14" s="1606">
        <v>30</v>
      </c>
      <c r="AB14" s="1606">
        <v>2</v>
      </c>
      <c r="AC14" s="1606">
        <v>1</v>
      </c>
      <c r="AD14" s="1613">
        <v>1</v>
      </c>
      <c r="AE14" s="1606" t="s">
        <v>1764</v>
      </c>
      <c r="AF14" s="1613" t="str">
        <f t="shared" si="7"/>
        <v/>
      </c>
      <c r="AG14" s="1656">
        <f>IFERROR(IF($AF14&gt;0,VLOOKUP($U14,Tabelle1!$C$188:$L$212,5,0)*$AF14,0),0)</f>
        <v>0</v>
      </c>
      <c r="AH14" s="1656">
        <f t="shared" si="8"/>
        <v>0</v>
      </c>
      <c r="AJ14" t="str">
        <f>IF(Betrieb!$D$9="JA",Mineral!$BW14,Mineral!$BV14)</f>
        <v>Thomaskorn</v>
      </c>
      <c r="AK14" s="1617" t="str">
        <f>IFERROR(INDEX(Liste_Handelsünger[Handelsdünger],_xlfn.AGGREGATE(15,6,(ROW(Liste_Handelsünger[Handelsdünger])-1)/(--(SEARCH(AL$2,Liste_Handelsünger[Handelsdünger])&gt;0)),ROW()-2),1),"")</f>
        <v>Thomaskorn</v>
      </c>
      <c r="AL14" s="1617" t="str">
        <f>IF(($A$3=""),"",IF(COUNTIF(Mineral!$AJ$3:$AJ$324,$A$3),"",$A$3))</f>
        <v/>
      </c>
      <c r="AM14" s="1617" t="str">
        <f>IFERROR(INDEX(Liste_Handelsünger[Handelsdünger],_xlfn.AGGREGATE(15,6,(ROW(Liste_Handelsünger[Handelsdünger])-1)/(--(SEARCH(AN$2,Liste_Handelsünger[Handelsdünger])&gt;0)),ROW()-2),1),"")</f>
        <v>Thomaskorn</v>
      </c>
      <c r="AN14" t="str">
        <f>IF(($A16=""),"",IF(COUNTIF(Mineral!$AJ$3:$AJ$324,$A16),"",$A16))</f>
        <v/>
      </c>
      <c r="AO14" t="str">
        <f>IFERROR(INDEX(Liste_Handelsünger[Handelsdünger],_xlfn.AGGREGATE(15,6,(ROW(Liste_Handelsünger[Handelsdünger])-1)/(--(SEARCH(AP$2,Liste_Handelsünger[Handelsdünger])&gt;0)),ROW()-2),1),"")</f>
        <v>Thomaskorn</v>
      </c>
      <c r="AP14" t="str">
        <f>IF(($A17=""),"",IF(COUNTIF(Mineral!$AJ$3:$AJ$324,$A17),"",$A17))</f>
        <v/>
      </c>
      <c r="AQ14" t="str">
        <f>IFERROR(INDEX(Liste_Handelsünger[Handelsdünger],_xlfn.AGGREGATE(15,6,(ROW(Liste_Handelsünger[Handelsdünger])-1)/(--(SEARCH(AR$2,Liste_Handelsünger[Handelsdünger])&gt;0)),ROW()-2),1),"")</f>
        <v>Thomaskorn</v>
      </c>
      <c r="AR14" t="str">
        <f>IF(($A18=""),"",IF(COUNTIF(Mineral!$AJ$3:$AJ$324,$A18),"",$A18))</f>
        <v>eigener Dünger 1</v>
      </c>
      <c r="AS14" t="str">
        <f>IFERROR(INDEX(Liste_Handelsünger[Handelsdünger],_xlfn.AGGREGATE(15,6,(ROW(Liste_Handelsünger[Handelsdünger])-1)/(--(SEARCH(AT$2,Liste_Handelsünger[Handelsdünger])&gt;0)),ROW()-2),1),"")</f>
        <v>Thomaskorn</v>
      </c>
      <c r="AT14" t="str">
        <f>IF(($A19=""),"",IF(COUNTIF(Mineral!$AJ$3:$AJ$324,$A19),"",$A19))</f>
        <v>eigener Dünger 2</v>
      </c>
      <c r="AU14" t="str">
        <f>IFERROR(INDEX(Liste_Handelsünger[Handelsdünger],_xlfn.AGGREGATE(15,6,(ROW(Liste_Handelsünger[Handelsdünger])-1)/(--(SEARCH(AV$2,Liste_Handelsünger[Handelsdünger])&gt;0)),ROW()-2),1),"")</f>
        <v>Thomaskorn</v>
      </c>
      <c r="AV14" t="str">
        <f>IF(($A20=""),"",IF(COUNTIF(Mineral!$AJ$3:$AJ$324,$A20),"",$A20))</f>
        <v>eigener Dünger 3</v>
      </c>
      <c r="AW14" t="str">
        <f>IFERROR(INDEX(Liste_Handelsünger[Handelsdünger],_xlfn.AGGREGATE(15,6,(ROW(Liste_Handelsünger[Handelsdünger])-1)/(--(SEARCH(AX$2,Liste_Handelsünger[Handelsdünger])&gt;0)),ROW()-2),1),"")</f>
        <v>Thomaskorn</v>
      </c>
      <c r="AX14" t="str">
        <f>IF(($A21=""),"",IF(COUNTIF(Mineral!$AJ$3:$AJ$324,$A21),"",$A21))</f>
        <v>eigener Dünger 4</v>
      </c>
      <c r="AY14" t="str">
        <f>IFERROR(INDEX(Liste_Handelsünger[Handelsdünger],_xlfn.AGGREGATE(15,6,(ROW(Liste_Handelsünger[Handelsdünger])-1)/(--(SEARCH(AZ$2,Liste_Handelsünger[Handelsdünger])&gt;0)),ROW()-2),1),"")</f>
        <v>Thomaskorn</v>
      </c>
      <c r="AZ14" t="str">
        <f>IF(($A22=""),"",IF(COUNTIF(Mineral!$AJ$3:$AJ$324,$A22),"",$A22))</f>
        <v>eigener Dünger 5</v>
      </c>
      <c r="BA14" t="str">
        <f>IFERROR(INDEX(Liste_Handelsünger[Handelsdünger],_xlfn.AGGREGATE(15,6,(ROW(Liste_Handelsünger[Handelsdünger])-1)/(--(SEARCH(BB$2,Liste_Handelsünger[Handelsdünger])&gt;0)),ROW()-2),1),"")</f>
        <v>Thomaskorn</v>
      </c>
      <c r="BB14" t="str">
        <f>IF(($A23=""),"",IF(COUNTIF(Mineral!$AJ$3:$AJ$324,$A23),"",$A23))</f>
        <v>eigener Dünger 6</v>
      </c>
      <c r="BC14" t="str">
        <f>IFERROR(INDEX(Liste_Handelsünger[Handelsdünger],_xlfn.AGGREGATE(15,6,(ROW(Liste_Handelsünger[Handelsdünger])-1)/(--(SEARCH(BD$2,Liste_Handelsünger[Handelsdünger])&gt;0)),ROW()-2),1),"")</f>
        <v>Thomaskorn</v>
      </c>
      <c r="BD14" t="str">
        <f>IF(($A24=""),"",IF(COUNTIF(Mineral!$AJ$3:$AJ$324,$A24),"",$A24))</f>
        <v>eigener Dünger 7</v>
      </c>
      <c r="BE14" t="str">
        <f>IFERROR(INDEX(Liste_Handelsünger[Handelsdünger],_xlfn.AGGREGATE(15,6,(ROW(Liste_Handelsünger[Handelsdünger])-1)/(--(SEARCH(BF$2,Liste_Handelsünger[Handelsdünger])&gt;0)),ROW()-2),1),"")</f>
        <v>Thomaskorn</v>
      </c>
      <c r="BF14" t="str">
        <f>IF(($A25=""),"",IF(COUNTIF(Mineral!$AJ$3:$AJ$324,$A25),"",$A25))</f>
        <v>eigener Dünger 8</v>
      </c>
      <c r="BG14" t="str">
        <f>IFERROR(INDEX(Liste_Handelsünger[Handelsdünger],_xlfn.AGGREGATE(15,6,(ROW(Liste_Handelsünger[Handelsdünger])-1)/(--(SEARCH(BH$2,Liste_Handelsünger[Handelsdünger])&gt;0)),ROW()-2),1),"")</f>
        <v>Thomaskorn</v>
      </c>
      <c r="BH14" t="str">
        <f>IF(($A26=""),"",IF(COUNTIF(Mineral!$AJ$3:$AJ$324,$A26),"",$A26))</f>
        <v>eigener Dünger 9</v>
      </c>
      <c r="BI14" t="str">
        <f>IFERROR(INDEX(Liste_Handelsünger[Handelsdünger],_xlfn.AGGREGATE(15,6,(ROW(Liste_Handelsünger[Handelsdünger])-1)/(--(SEARCH(BJ$2,Liste_Handelsünger[Handelsdünger])&gt;0)),ROW()-2),1),"")</f>
        <v>Thomaskorn</v>
      </c>
      <c r="BJ14" t="str">
        <f>IF(($A27=""),"",IF(COUNTIF(Mineral!$AJ$3:$AJ$324,$A27),"",$A27))</f>
        <v>eigener Dünger 10</v>
      </c>
      <c r="BK14" t="str">
        <f>IFERROR(INDEX(Liste_Handelsünger[Handelsdünger],_xlfn.AGGREGATE(15,6,(ROW(Liste_Handelsünger[Handelsdünger])-1)/(--(SEARCH(BL$2,Liste_Handelsünger[Handelsdünger])&gt;0)),ROW()-2),1),"")</f>
        <v>Thomaskorn</v>
      </c>
      <c r="BM14" t="str">
        <f>IFERROR(INDEX(Liste_Handelsünger[Handelsdünger],_xlfn.AGGREGATE(15,6,(ROW(Liste_Handelsünger[Handelsdünger])-1)/(--(SEARCH(BN$2,Liste_Handelsünger[Handelsdünger])&gt;0)),ROW()-2),1),"")</f>
        <v>Thomaskorn</v>
      </c>
      <c r="BN14" t="str">
        <f>IF(($A29=""),"",IF(COUNTIF(Mineral!$AJ$3:$AJ$324,$A29),"",$A29))</f>
        <v xml:space="preserve">*AHL hat ein höheres spezifisches Gewicht als Wasser, 100 l AHL wiegen 127 kg, 
</v>
      </c>
      <c r="BP14" s="1663">
        <v>13</v>
      </c>
      <c r="BQ14" s="1664">
        <f>COUNTIF(Liste_Handelsünger[Handelsdünger],$A14)</f>
        <v>0</v>
      </c>
      <c r="BV14" t="s">
        <v>2300</v>
      </c>
      <c r="BW14" t="s">
        <v>2028</v>
      </c>
    </row>
    <row r="15" spans="1:80" ht="21.75" customHeight="1" thickTop="1" thickBot="1">
      <c r="A15" s="918"/>
      <c r="B15" s="1128">
        <f>IF(ISNA(VLOOKUP(Mineral!A15,Tabelle1!$C$188:$Q$212,15,0)),0,VLOOKUP(Mineral!A15,Tabelle1!$C$188:$Q$212,15,0))</f>
        <v>0</v>
      </c>
      <c r="C15" s="1598"/>
      <c r="D15" s="1683" t="str">
        <f t="shared" si="0"/>
        <v/>
      </c>
      <c r="E15" s="1683" t="str">
        <f>IFERROR(VLOOKUP($A15,Mineral!$U$2:$AE$324,4,0)/100,"")</f>
        <v/>
      </c>
      <c r="F15" s="1683" t="str">
        <f>IFERROR(VLOOKUP($A15,Mineral!$U$3:$AE$324,5,0)/100,"")</f>
        <v/>
      </c>
      <c r="G15" s="1686">
        <f t="shared" si="1"/>
        <v>0</v>
      </c>
      <c r="H15" s="1686">
        <f t="shared" si="2"/>
        <v>0</v>
      </c>
      <c r="I15" s="956">
        <f t="shared" si="3"/>
        <v>0</v>
      </c>
      <c r="J15" s="956">
        <f t="shared" si="4"/>
        <v>0</v>
      </c>
      <c r="K15" s="1680" t="str">
        <f t="shared" si="5"/>
        <v/>
      </c>
      <c r="L15" s="1388" t="str">
        <f t="shared" si="6"/>
        <v/>
      </c>
      <c r="N15" s="2195"/>
      <c r="O15" s="2195"/>
      <c r="P15" s="2195"/>
      <c r="Q15" s="2195"/>
      <c r="S15" s="1616">
        <v>13</v>
      </c>
      <c r="T15" s="1617" t="s">
        <v>2335</v>
      </c>
      <c r="U15" s="1617" t="s">
        <v>2168</v>
      </c>
      <c r="V15" s="1617"/>
      <c r="W15" s="1617">
        <v>0</v>
      </c>
      <c r="X15" s="1617">
        <v>0</v>
      </c>
      <c r="Y15" s="1617">
        <v>40</v>
      </c>
      <c r="Z15" s="1617">
        <v>5</v>
      </c>
      <c r="AA15" s="1617">
        <v>0</v>
      </c>
      <c r="AB15" s="1617">
        <v>6</v>
      </c>
      <c r="AC15" s="1617">
        <v>1</v>
      </c>
      <c r="AD15" s="1613">
        <v>1</v>
      </c>
      <c r="AE15" s="1617" t="s">
        <v>1764</v>
      </c>
      <c r="AF15" s="1613" t="str">
        <f t="shared" si="7"/>
        <v/>
      </c>
      <c r="AG15" s="1656">
        <f>IFERROR(IF($AF15&gt;0,VLOOKUP($U15,Tabelle1!$C$188:$L$212,5,0)*$AF15,0),0)</f>
        <v>0</v>
      </c>
      <c r="AH15" s="1656">
        <f t="shared" si="8"/>
        <v>0</v>
      </c>
      <c r="AJ15" t="str">
        <f>IF(Betrieb!$D$9="JA",Mineral!$BW15,Mineral!$BV15)</f>
        <v>Kali 40 0:0:40+6 MgO</v>
      </c>
      <c r="AK15" s="1606" t="str">
        <f>IFERROR(INDEX(Liste_Handelsünger[Handelsdünger],_xlfn.AGGREGATE(15,6,(ROW(Liste_Handelsünger[Handelsdünger])-1)/(--(SEARCH(AL$2,Liste_Handelsünger[Handelsdünger])&gt;0)),ROW()-2),1),"")</f>
        <v>Kali 40 0:0:40+6 MgO</v>
      </c>
      <c r="AL15" s="1606" t="str">
        <f>IF(($A$3=""),"",IF(COUNTIF(Mineral!$AJ$3:$AJ$324,$A$3),"",$A$3))</f>
        <v/>
      </c>
      <c r="AM15" s="1606" t="str">
        <f>IFERROR(INDEX(Liste_Handelsünger[Handelsdünger],_xlfn.AGGREGATE(15,6,(ROW(Liste_Handelsünger[Handelsdünger])-1)/(--(SEARCH(AN$2,Liste_Handelsünger[Handelsdünger])&gt;0)),ROW()-2),1),"")</f>
        <v>Kali 40 0:0:40+6 MgO</v>
      </c>
      <c r="AN15" t="str">
        <f>IF(($A17=""),"",IF(COUNTIF(Mineral!$AJ$3:$AJ$324,$A17),"",$A17))</f>
        <v/>
      </c>
      <c r="AO15" t="str">
        <f>IFERROR(INDEX(Liste_Handelsünger[Handelsdünger],_xlfn.AGGREGATE(15,6,(ROW(Liste_Handelsünger[Handelsdünger])-1)/(--(SEARCH(AP$2,Liste_Handelsünger[Handelsdünger])&gt;0)),ROW()-2),1),"")</f>
        <v>Kali 40 0:0:40+6 MgO</v>
      </c>
      <c r="AP15" t="str">
        <f>IF(($A18=""),"",IF(COUNTIF(Mineral!$AJ$3:$AJ$324,$A18),"",$A18))</f>
        <v>eigener Dünger 1</v>
      </c>
      <c r="AQ15" t="str">
        <f>IFERROR(INDEX(Liste_Handelsünger[Handelsdünger],_xlfn.AGGREGATE(15,6,(ROW(Liste_Handelsünger[Handelsdünger])-1)/(--(SEARCH(AR$2,Liste_Handelsünger[Handelsdünger])&gt;0)),ROW()-2),1),"")</f>
        <v>Kali 40 0:0:40+6 MgO</v>
      </c>
      <c r="AR15" t="str">
        <f>IF(($A19=""),"",IF(COUNTIF(Mineral!$AJ$3:$AJ$324,$A19),"",$A19))</f>
        <v>eigener Dünger 2</v>
      </c>
      <c r="AS15" t="str">
        <f>IFERROR(INDEX(Liste_Handelsünger[Handelsdünger],_xlfn.AGGREGATE(15,6,(ROW(Liste_Handelsünger[Handelsdünger])-1)/(--(SEARCH(AT$2,Liste_Handelsünger[Handelsdünger])&gt;0)),ROW()-2),1),"")</f>
        <v>Kali 40 0:0:40+6 MgO</v>
      </c>
      <c r="AT15" t="str">
        <f>IF(($A20=""),"",IF(COUNTIF(Mineral!$AJ$3:$AJ$324,$A20),"",$A20))</f>
        <v>eigener Dünger 3</v>
      </c>
      <c r="AU15" t="str">
        <f>IFERROR(INDEX(Liste_Handelsünger[Handelsdünger],_xlfn.AGGREGATE(15,6,(ROW(Liste_Handelsünger[Handelsdünger])-1)/(--(SEARCH(AV$2,Liste_Handelsünger[Handelsdünger])&gt;0)),ROW()-2),1),"")</f>
        <v>Kali 40 0:0:40+6 MgO</v>
      </c>
      <c r="AV15" t="str">
        <f>IF(($A21=""),"",IF(COUNTIF(Mineral!$AJ$3:$AJ$324,$A21),"",$A21))</f>
        <v>eigener Dünger 4</v>
      </c>
      <c r="AW15" t="str">
        <f>IFERROR(INDEX(Liste_Handelsünger[Handelsdünger],_xlfn.AGGREGATE(15,6,(ROW(Liste_Handelsünger[Handelsdünger])-1)/(--(SEARCH(AX$2,Liste_Handelsünger[Handelsdünger])&gt;0)),ROW()-2),1),"")</f>
        <v>Kali 40 0:0:40+6 MgO</v>
      </c>
      <c r="AX15" t="str">
        <f>IF(($A22=""),"",IF(COUNTIF(Mineral!$AJ$3:$AJ$324,$A22),"",$A22))</f>
        <v>eigener Dünger 5</v>
      </c>
      <c r="AY15" t="str">
        <f>IFERROR(INDEX(Liste_Handelsünger[Handelsdünger],_xlfn.AGGREGATE(15,6,(ROW(Liste_Handelsünger[Handelsdünger])-1)/(--(SEARCH(AZ$2,Liste_Handelsünger[Handelsdünger])&gt;0)),ROW()-2),1),"")</f>
        <v>Kali 40 0:0:40+6 MgO</v>
      </c>
      <c r="AZ15" t="str">
        <f>IF(($A23=""),"",IF(COUNTIF(Mineral!$AJ$3:$AJ$324,$A23),"",$A23))</f>
        <v>eigener Dünger 6</v>
      </c>
      <c r="BA15" t="str">
        <f>IFERROR(INDEX(Liste_Handelsünger[Handelsdünger],_xlfn.AGGREGATE(15,6,(ROW(Liste_Handelsünger[Handelsdünger])-1)/(--(SEARCH(BB$2,Liste_Handelsünger[Handelsdünger])&gt;0)),ROW()-2),1),"")</f>
        <v>Kali 40 0:0:40+6 MgO</v>
      </c>
      <c r="BB15" t="str">
        <f>IF(($A24=""),"",IF(COUNTIF(Mineral!$AJ$3:$AJ$324,$A24),"",$A24))</f>
        <v>eigener Dünger 7</v>
      </c>
      <c r="BC15" t="str">
        <f>IFERROR(INDEX(Liste_Handelsünger[Handelsdünger],_xlfn.AGGREGATE(15,6,(ROW(Liste_Handelsünger[Handelsdünger])-1)/(--(SEARCH(BD$2,Liste_Handelsünger[Handelsdünger])&gt;0)),ROW()-2),1),"")</f>
        <v>Kali 40 0:0:40+6 MgO</v>
      </c>
      <c r="BD15" t="str">
        <f>IF(($A25=""),"",IF(COUNTIF(Mineral!$AJ$3:$AJ$324,$A25),"",$A25))</f>
        <v>eigener Dünger 8</v>
      </c>
      <c r="BE15" t="str">
        <f>IFERROR(INDEX(Liste_Handelsünger[Handelsdünger],_xlfn.AGGREGATE(15,6,(ROW(Liste_Handelsünger[Handelsdünger])-1)/(--(SEARCH(BF$2,Liste_Handelsünger[Handelsdünger])&gt;0)),ROW()-2),1),"")</f>
        <v>Kali 40 0:0:40+6 MgO</v>
      </c>
      <c r="BF15" t="str">
        <f>IF(($A26=""),"",IF(COUNTIF(Mineral!$AJ$3:$AJ$324,$A26),"",$A26))</f>
        <v>eigener Dünger 9</v>
      </c>
      <c r="BG15" t="str">
        <f>IFERROR(INDEX(Liste_Handelsünger[Handelsdünger],_xlfn.AGGREGATE(15,6,(ROW(Liste_Handelsünger[Handelsdünger])-1)/(--(SEARCH(BH$2,Liste_Handelsünger[Handelsdünger])&gt;0)),ROW()-2),1),"")</f>
        <v>Kali 40 0:0:40+6 MgO</v>
      </c>
      <c r="BH15" t="str">
        <f>IF(($A27=""),"",IF(COUNTIF(Mineral!$AJ$3:$AJ$324,$A27),"",$A27))</f>
        <v>eigener Dünger 10</v>
      </c>
      <c r="BI15" t="str">
        <f>IFERROR(INDEX(Liste_Handelsünger[Handelsdünger],_xlfn.AGGREGATE(15,6,(ROW(Liste_Handelsünger[Handelsdünger])-1)/(--(SEARCH(BJ$2,Liste_Handelsünger[Handelsdünger])&gt;0)),ROW()-2),1),"")</f>
        <v>Kali 40 0:0:40+6 MgO</v>
      </c>
      <c r="BJ15" t="str">
        <f>IF(($A28=""),"",IF(COUNTIF(Mineral!$AJ$3:$AJ$324,$A28),"",$A28))</f>
        <v xml:space="preserve">Nährstoffeinsatz aus Mineraldünger in kg </v>
      </c>
      <c r="BK15" t="str">
        <f>IFERROR(INDEX(Liste_Handelsünger[Handelsdünger],_xlfn.AGGREGATE(15,6,(ROW(Liste_Handelsünger[Handelsdünger])-1)/(--(SEARCH(BL$2,Liste_Handelsünger[Handelsdünger])&gt;0)),ROW()-2),1),"")</f>
        <v>Kali 40 0:0:40+6 MgO</v>
      </c>
      <c r="BM15" t="str">
        <f>IFERROR(INDEX(Liste_Handelsünger[Handelsdünger],_xlfn.AGGREGATE(15,6,(ROW(Liste_Handelsünger[Handelsdünger])-1)/(--(SEARCH(BN$2,Liste_Handelsünger[Handelsdünger])&gt;0)),ROW()-2),1),"")</f>
        <v>Kali 40 0:0:40+6 MgO</v>
      </c>
      <c r="BN15" t="str">
        <f>IF(($A30=""),"",IF(COUNTIF(Mineral!$AJ$3:$AJ$324,$A30),"",$A30))</f>
        <v xml:space="preserve"> darin sind 34,3 kg N (in 100 kg AHL sind 27 kg N)!</v>
      </c>
      <c r="BP15" s="1663">
        <v>14</v>
      </c>
      <c r="BQ15" s="1664">
        <f>COUNTIF(Liste_Handelsünger[Handelsdünger],$A15)</f>
        <v>0</v>
      </c>
      <c r="BV15" t="s">
        <v>2168</v>
      </c>
      <c r="BW15" t="s">
        <v>2029</v>
      </c>
    </row>
    <row r="16" spans="1:80" ht="21.75" customHeight="1" thickTop="1" thickBot="1">
      <c r="A16" s="918"/>
      <c r="B16" s="1128">
        <f>IF(ISNA(VLOOKUP(Mineral!A16,Tabelle1!$C$188:$Q$212,15,0)),0,VLOOKUP(Mineral!A16,Tabelle1!$C$188:$Q$212,15,0))</f>
        <v>0</v>
      </c>
      <c r="C16" s="1598"/>
      <c r="D16" s="1683" t="str">
        <f t="shared" si="0"/>
        <v/>
      </c>
      <c r="E16" s="1683" t="str">
        <f>IFERROR(VLOOKUP($A16,Mineral!$U$2:$AE$324,4,0)/100,"")</f>
        <v/>
      </c>
      <c r="F16" s="1683" t="str">
        <f>IFERROR(VLOOKUP($A16,Mineral!$U$3:$AE$324,5,0)/100,"")</f>
        <v/>
      </c>
      <c r="G16" s="1686">
        <f t="shared" si="1"/>
        <v>0</v>
      </c>
      <c r="H16" s="1686">
        <f t="shared" si="2"/>
        <v>0</v>
      </c>
      <c r="I16" s="956">
        <f t="shared" si="3"/>
        <v>0</v>
      </c>
      <c r="J16" s="956">
        <f t="shared" si="4"/>
        <v>0</v>
      </c>
      <c r="K16" s="1680" t="str">
        <f t="shared" si="5"/>
        <v/>
      </c>
      <c r="L16" s="1388" t="str">
        <f t="shared" si="6"/>
        <v/>
      </c>
      <c r="N16" s="1751"/>
      <c r="O16" s="1751"/>
      <c r="P16" s="429"/>
      <c r="Q16" s="429"/>
      <c r="S16" s="1676">
        <v>14</v>
      </c>
      <c r="T16" s="1606" t="s">
        <v>2335</v>
      </c>
      <c r="U16" s="1606" t="s">
        <v>2170</v>
      </c>
      <c r="V16" s="1606"/>
      <c r="W16" s="1606">
        <v>0</v>
      </c>
      <c r="X16" s="1606">
        <v>0</v>
      </c>
      <c r="Y16" s="1606">
        <v>60</v>
      </c>
      <c r="Z16" s="1606">
        <v>0</v>
      </c>
      <c r="AA16" s="1606">
        <v>0</v>
      </c>
      <c r="AB16" s="1606">
        <v>0</v>
      </c>
      <c r="AC16" s="1606">
        <v>1</v>
      </c>
      <c r="AD16" s="1613">
        <v>1</v>
      </c>
      <c r="AE16" s="1606" t="s">
        <v>1764</v>
      </c>
      <c r="AF16" s="1613" t="str">
        <f t="shared" si="7"/>
        <v/>
      </c>
      <c r="AG16" s="1656">
        <f>IFERROR(IF($AF16&gt;0,VLOOKUP($U16,Tabelle1!$C$188:$L$212,5,0)*$AF16,0),0)</f>
        <v>0</v>
      </c>
      <c r="AH16" s="1656">
        <f t="shared" si="8"/>
        <v>0</v>
      </c>
      <c r="AJ16" t="str">
        <f>IF(Betrieb!$D$9="JA",Mineral!$BW16,Mineral!$BV16)</f>
        <v>Kali 60 0:0:60</v>
      </c>
      <c r="AK16" s="1617" t="str">
        <f>IFERROR(INDEX(Liste_Handelsünger[Handelsdünger],_xlfn.AGGREGATE(15,6,(ROW(Liste_Handelsünger[Handelsdünger])-1)/(--(SEARCH(AL$2,Liste_Handelsünger[Handelsdünger])&gt;0)),ROW()-2),1),"")</f>
        <v>Kali 60 0:0:60</v>
      </c>
      <c r="AL16" s="1617" t="str">
        <f>IF(($A$3=""),"",IF(COUNTIF(Mineral!$AJ$3:$AJ$324,$A$3),"",$A$3))</f>
        <v/>
      </c>
      <c r="AM16" s="1617" t="str">
        <f>IFERROR(INDEX(Liste_Handelsünger[Handelsdünger],_xlfn.AGGREGATE(15,6,(ROW(Liste_Handelsünger[Handelsdünger])-1)/(--(SEARCH(AN$2,Liste_Handelsünger[Handelsdünger])&gt;0)),ROW()-2),1),"")</f>
        <v>Kali 60 0:0:60</v>
      </c>
      <c r="AN16" t="str">
        <f>IF(($A18=""),"",IF(COUNTIF(Mineral!$AJ$3:$AJ$324,$A18),"",$A18))</f>
        <v>eigener Dünger 1</v>
      </c>
      <c r="AO16" t="str">
        <f>IFERROR(INDEX(Liste_Handelsünger[Handelsdünger],_xlfn.AGGREGATE(15,6,(ROW(Liste_Handelsünger[Handelsdünger])-1)/(--(SEARCH(AP$2,Liste_Handelsünger[Handelsdünger])&gt;0)),ROW()-2),1),"")</f>
        <v>Kali 60 0:0:60</v>
      </c>
      <c r="AP16" t="str">
        <f>IF(($A19=""),"",IF(COUNTIF(Mineral!$AJ$3:$AJ$324,$A19),"",$A19))</f>
        <v>eigener Dünger 2</v>
      </c>
      <c r="AQ16" t="str">
        <f>IFERROR(INDEX(Liste_Handelsünger[Handelsdünger],_xlfn.AGGREGATE(15,6,(ROW(Liste_Handelsünger[Handelsdünger])-1)/(--(SEARCH(AR$2,Liste_Handelsünger[Handelsdünger])&gt;0)),ROW()-2),1),"")</f>
        <v>Kali 60 0:0:60</v>
      </c>
      <c r="AR16" t="str">
        <f>IF(($A20=""),"",IF(COUNTIF(Mineral!$AJ$3:$AJ$324,$A20),"",$A20))</f>
        <v>eigener Dünger 3</v>
      </c>
      <c r="AS16" t="str">
        <f>IFERROR(INDEX(Liste_Handelsünger[Handelsdünger],_xlfn.AGGREGATE(15,6,(ROW(Liste_Handelsünger[Handelsdünger])-1)/(--(SEARCH(AT$2,Liste_Handelsünger[Handelsdünger])&gt;0)),ROW()-2),1),"")</f>
        <v>Kali 60 0:0:60</v>
      </c>
      <c r="AT16" t="str">
        <f>IF(($A21=""),"",IF(COUNTIF(Mineral!$AJ$3:$AJ$324,$A21),"",$A21))</f>
        <v>eigener Dünger 4</v>
      </c>
      <c r="AU16" t="str">
        <f>IFERROR(INDEX(Liste_Handelsünger[Handelsdünger],_xlfn.AGGREGATE(15,6,(ROW(Liste_Handelsünger[Handelsdünger])-1)/(--(SEARCH(AV$2,Liste_Handelsünger[Handelsdünger])&gt;0)),ROW()-2),1),"")</f>
        <v>Kali 60 0:0:60</v>
      </c>
      <c r="AV16" t="str">
        <f>IF(($A22=""),"",IF(COUNTIF(Mineral!$AJ$3:$AJ$324,$A22),"",$A22))</f>
        <v>eigener Dünger 5</v>
      </c>
      <c r="AW16" t="str">
        <f>IFERROR(INDEX(Liste_Handelsünger[Handelsdünger],_xlfn.AGGREGATE(15,6,(ROW(Liste_Handelsünger[Handelsdünger])-1)/(--(SEARCH(AX$2,Liste_Handelsünger[Handelsdünger])&gt;0)),ROW()-2),1),"")</f>
        <v>Kali 60 0:0:60</v>
      </c>
      <c r="AX16" t="str">
        <f>IF(($A23=""),"",IF(COUNTIF(Mineral!$AJ$3:$AJ$324,$A23),"",$A23))</f>
        <v>eigener Dünger 6</v>
      </c>
      <c r="AY16" t="str">
        <f>IFERROR(INDEX(Liste_Handelsünger[Handelsdünger],_xlfn.AGGREGATE(15,6,(ROW(Liste_Handelsünger[Handelsdünger])-1)/(--(SEARCH(AZ$2,Liste_Handelsünger[Handelsdünger])&gt;0)),ROW()-2),1),"")</f>
        <v>Kali 60 0:0:60</v>
      </c>
      <c r="AZ16" t="str">
        <f>IF(($A24=""),"",IF(COUNTIF(Mineral!$AJ$3:$AJ$324,$A24),"",$A24))</f>
        <v>eigener Dünger 7</v>
      </c>
      <c r="BA16" t="str">
        <f>IFERROR(INDEX(Liste_Handelsünger[Handelsdünger],_xlfn.AGGREGATE(15,6,(ROW(Liste_Handelsünger[Handelsdünger])-1)/(--(SEARCH(BB$2,Liste_Handelsünger[Handelsdünger])&gt;0)),ROW()-2),1),"")</f>
        <v>Kali 60 0:0:60</v>
      </c>
      <c r="BB16" t="str">
        <f>IF(($A25=""),"",IF(COUNTIF(Mineral!$AJ$3:$AJ$324,$A25),"",$A25))</f>
        <v>eigener Dünger 8</v>
      </c>
      <c r="BC16" t="str">
        <f>IFERROR(INDEX(Liste_Handelsünger[Handelsdünger],_xlfn.AGGREGATE(15,6,(ROW(Liste_Handelsünger[Handelsdünger])-1)/(--(SEARCH(BD$2,Liste_Handelsünger[Handelsdünger])&gt;0)),ROW()-2),1),"")</f>
        <v>Kali 60 0:0:60</v>
      </c>
      <c r="BD16" t="str">
        <f>IF(($A26=""),"",IF(COUNTIF(Mineral!$AJ$3:$AJ$324,$A26),"",$A26))</f>
        <v>eigener Dünger 9</v>
      </c>
      <c r="BE16" t="str">
        <f>IFERROR(INDEX(Liste_Handelsünger[Handelsdünger],_xlfn.AGGREGATE(15,6,(ROW(Liste_Handelsünger[Handelsdünger])-1)/(--(SEARCH(BF$2,Liste_Handelsünger[Handelsdünger])&gt;0)),ROW()-2),1),"")</f>
        <v>Kali 60 0:0:60</v>
      </c>
      <c r="BF16" t="str">
        <f>IF(($A27=""),"",IF(COUNTIF(Mineral!$AJ$3:$AJ$324,$A27),"",$A27))</f>
        <v>eigener Dünger 10</v>
      </c>
      <c r="BG16" t="str">
        <f>IFERROR(INDEX(Liste_Handelsünger[Handelsdünger],_xlfn.AGGREGATE(15,6,(ROW(Liste_Handelsünger[Handelsdünger])-1)/(--(SEARCH(BH$2,Liste_Handelsünger[Handelsdünger])&gt;0)),ROW()-2),1),"")</f>
        <v>Kali 60 0:0:60</v>
      </c>
      <c r="BH16" t="str">
        <f>IF(($A28=""),"",IF(COUNTIF(Mineral!$AJ$3:$AJ$324,$A28),"",$A28))</f>
        <v xml:space="preserve">Nährstoffeinsatz aus Mineraldünger in kg </v>
      </c>
      <c r="BI16" t="str">
        <f>IFERROR(INDEX(Liste_Handelsünger[Handelsdünger],_xlfn.AGGREGATE(15,6,(ROW(Liste_Handelsünger[Handelsdünger])-1)/(--(SEARCH(BJ$2,Liste_Handelsünger[Handelsdünger])&gt;0)),ROW()-2),1),"")</f>
        <v>Kali 60 0:0:60</v>
      </c>
      <c r="BJ16" t="str">
        <f>IF(($A29=""),"",IF(COUNTIF(Mineral!$AJ$3:$AJ$324,$A29),"",$A29))</f>
        <v xml:space="preserve">*AHL hat ein höheres spezifisches Gewicht als Wasser, 100 l AHL wiegen 127 kg, 
</v>
      </c>
      <c r="BK16" t="str">
        <f>IFERROR(INDEX(Liste_Handelsünger[Handelsdünger],_xlfn.AGGREGATE(15,6,(ROW(Liste_Handelsünger[Handelsdünger])-1)/(--(SEARCH(BL$2,Liste_Handelsünger[Handelsdünger])&gt;0)),ROW()-2),1),"")</f>
        <v>Kali 60 0:0:60</v>
      </c>
      <c r="BM16" t="str">
        <f>IFERROR(INDEX(Liste_Handelsünger[Handelsdünger],_xlfn.AGGREGATE(15,6,(ROW(Liste_Handelsünger[Handelsdünger])-1)/(--(SEARCH(BN$2,Liste_Handelsünger[Handelsdünger])&gt;0)),ROW()-2),1),"")</f>
        <v>Kali 60 0:0:60</v>
      </c>
      <c r="BN16" t="str">
        <f>IF(($A31=""),"",IF(COUNTIF(Mineral!$AJ$3:$AJ$324,$A31),"",$A31))</f>
        <v/>
      </c>
      <c r="BP16" s="1663">
        <v>15</v>
      </c>
      <c r="BQ16" s="1664">
        <f>COUNTIF(Liste_Handelsünger[Handelsdünger],$A16)</f>
        <v>0</v>
      </c>
      <c r="BV16" t="s">
        <v>2170</v>
      </c>
      <c r="BW16" t="s">
        <v>2030</v>
      </c>
    </row>
    <row r="17" spans="1:75" ht="21.75" customHeight="1" thickTop="1" thickBot="1">
      <c r="A17" s="2178"/>
      <c r="B17" s="1128">
        <f>IF(ISNA(VLOOKUP(Mineral!A17,Tabelle1!$C$188:$Q$212,15,0)),0,VLOOKUP(Mineral!A17,Tabelle1!$C$188:$Q$212,15,0))</f>
        <v>0</v>
      </c>
      <c r="C17" s="2179"/>
      <c r="D17" s="2180" t="str">
        <f t="shared" si="0"/>
        <v/>
      </c>
      <c r="E17" s="2180" t="str">
        <f>IFERROR(VLOOKUP($A17,Mineral!$U$2:$AE$324,4,0)/100,"")</f>
        <v/>
      </c>
      <c r="F17" s="2180" t="str">
        <f>IFERROR(VLOOKUP($A17,Mineral!$U$3:$AE$324,5,0)/100,"")</f>
        <v/>
      </c>
      <c r="G17" s="2181">
        <f t="shared" si="1"/>
        <v>0</v>
      </c>
      <c r="H17" s="2181">
        <f t="shared" si="2"/>
        <v>0</v>
      </c>
      <c r="I17" s="2182">
        <f t="shared" si="3"/>
        <v>0</v>
      </c>
      <c r="J17" s="2182">
        <f t="shared" si="4"/>
        <v>0</v>
      </c>
      <c r="K17" s="2183" t="str">
        <f t="shared" si="5"/>
        <v/>
      </c>
      <c r="L17" s="2184" t="str">
        <f t="shared" si="6"/>
        <v/>
      </c>
      <c r="N17" s="431"/>
      <c r="O17" s="431"/>
      <c r="Q17" s="1883"/>
      <c r="R17" s="1574" t="s">
        <v>2343</v>
      </c>
      <c r="S17" s="1616">
        <v>15</v>
      </c>
      <c r="T17" s="1617" t="s">
        <v>2006</v>
      </c>
      <c r="U17" s="1617" t="s">
        <v>2234</v>
      </c>
      <c r="V17" s="1617" t="s">
        <v>408</v>
      </c>
      <c r="W17" s="1617">
        <v>0</v>
      </c>
      <c r="X17" s="1617">
        <v>0</v>
      </c>
      <c r="Y17" s="1617">
        <v>30</v>
      </c>
      <c r="Z17" s="1617">
        <v>17</v>
      </c>
      <c r="AA17" s="1617">
        <v>0</v>
      </c>
      <c r="AB17" s="1617">
        <v>10</v>
      </c>
      <c r="AC17" s="1617">
        <v>1</v>
      </c>
      <c r="AD17" s="1613">
        <v>1</v>
      </c>
      <c r="AE17" s="1617" t="s">
        <v>1764</v>
      </c>
      <c r="AF17" s="1613" t="str">
        <f t="shared" si="7"/>
        <v/>
      </c>
      <c r="AG17" s="1656">
        <f>IFERROR(IF($AF17&gt;0,VLOOKUP($U17,Tabelle1!$C$188:$L$212,5,0)*$AF17,0),0)</f>
        <v>0</v>
      </c>
      <c r="AH17" s="1656">
        <f t="shared" si="8"/>
        <v>0</v>
      </c>
      <c r="AJ17" t="str">
        <f>IF(Betrieb!$D$9="JA",Mineral!$BW17,Mineral!$BV17)</f>
        <v>Patentkali 0:0:30</v>
      </c>
      <c r="AK17" s="1606" t="str">
        <f>IFERROR(INDEX(Liste_Handelsünger[Handelsdünger],_xlfn.AGGREGATE(15,6,(ROW(Liste_Handelsünger[Handelsdünger])-1)/(--(SEARCH(AL$2,Liste_Handelsünger[Handelsdünger])&gt;0)),ROW()-2),1),"")</f>
        <v>Patentkali 0:0:30</v>
      </c>
      <c r="AL17" s="1606" t="str">
        <f>IF(($A$3=""),"",IF(COUNTIF(Mineral!$AJ$3:$AJ$324,$A$3),"",$A$3))</f>
        <v/>
      </c>
      <c r="AM17" s="1606" t="str">
        <f>IFERROR(INDEX(Liste_Handelsünger[Handelsdünger],_xlfn.AGGREGATE(15,6,(ROW(Liste_Handelsünger[Handelsdünger])-1)/(--(SEARCH(AN$2,Liste_Handelsünger[Handelsdünger])&gt;0)),ROW()-2),1),"")</f>
        <v>Patentkali 0:0:30</v>
      </c>
      <c r="AN17" t="str">
        <f>IF(($A19=""),"",IF(COUNTIF(Mineral!$AJ$3:$AJ$324,$A19),"",$A19))</f>
        <v>eigener Dünger 2</v>
      </c>
      <c r="AO17" t="str">
        <f>IFERROR(INDEX(Liste_Handelsünger[Handelsdünger],_xlfn.AGGREGATE(15,6,(ROW(Liste_Handelsünger[Handelsdünger])-1)/(--(SEARCH(AP$2,Liste_Handelsünger[Handelsdünger])&gt;0)),ROW()-2),1),"")</f>
        <v>Patentkali 0:0:30</v>
      </c>
      <c r="AP17" t="str">
        <f>IF(($A20=""),"",IF(COUNTIF(Mineral!$AJ$3:$AJ$324,$A20),"",$A20))</f>
        <v>eigener Dünger 3</v>
      </c>
      <c r="AQ17" t="str">
        <f>IFERROR(INDEX(Liste_Handelsünger[Handelsdünger],_xlfn.AGGREGATE(15,6,(ROW(Liste_Handelsünger[Handelsdünger])-1)/(--(SEARCH(AR$2,Liste_Handelsünger[Handelsdünger])&gt;0)),ROW()-2),1),"")</f>
        <v>Patentkali 0:0:30</v>
      </c>
      <c r="AR17" t="str">
        <f>IF(($A21=""),"",IF(COUNTIF(Mineral!$AJ$3:$AJ$324,$A21),"",$A21))</f>
        <v>eigener Dünger 4</v>
      </c>
      <c r="AS17" t="str">
        <f>IFERROR(INDEX(Liste_Handelsünger[Handelsdünger],_xlfn.AGGREGATE(15,6,(ROW(Liste_Handelsünger[Handelsdünger])-1)/(--(SEARCH(AT$2,Liste_Handelsünger[Handelsdünger])&gt;0)),ROW()-2),1),"")</f>
        <v>Patentkali 0:0:30</v>
      </c>
      <c r="AT17" t="str">
        <f>IF(($A22=""),"",IF(COUNTIF(Mineral!$AJ$3:$AJ$324,$A22),"",$A22))</f>
        <v>eigener Dünger 5</v>
      </c>
      <c r="AU17" t="str">
        <f>IFERROR(INDEX(Liste_Handelsünger[Handelsdünger],_xlfn.AGGREGATE(15,6,(ROW(Liste_Handelsünger[Handelsdünger])-1)/(--(SEARCH(AV$2,Liste_Handelsünger[Handelsdünger])&gt;0)),ROW()-2),1),"")</f>
        <v>Patentkali 0:0:30</v>
      </c>
      <c r="AV17" t="str">
        <f>IF(($A23=""),"",IF(COUNTIF(Mineral!$AJ$3:$AJ$324,$A23),"",$A23))</f>
        <v>eigener Dünger 6</v>
      </c>
      <c r="AW17" t="str">
        <f>IFERROR(INDEX(Liste_Handelsünger[Handelsdünger],_xlfn.AGGREGATE(15,6,(ROW(Liste_Handelsünger[Handelsdünger])-1)/(--(SEARCH(AX$2,Liste_Handelsünger[Handelsdünger])&gt;0)),ROW()-2),1),"")</f>
        <v>Patentkali 0:0:30</v>
      </c>
      <c r="AX17" t="str">
        <f>IF(($A24=""),"",IF(COUNTIF(Mineral!$AJ$3:$AJ$324,$A24),"",$A24))</f>
        <v>eigener Dünger 7</v>
      </c>
      <c r="AY17" t="str">
        <f>IFERROR(INDEX(Liste_Handelsünger[Handelsdünger],_xlfn.AGGREGATE(15,6,(ROW(Liste_Handelsünger[Handelsdünger])-1)/(--(SEARCH(AZ$2,Liste_Handelsünger[Handelsdünger])&gt;0)),ROW()-2),1),"")</f>
        <v>Patentkali 0:0:30</v>
      </c>
      <c r="AZ17" t="str">
        <f>IF(($A25=""),"",IF(COUNTIF(Mineral!$AJ$3:$AJ$324,$A25),"",$A25))</f>
        <v>eigener Dünger 8</v>
      </c>
      <c r="BA17" t="str">
        <f>IFERROR(INDEX(Liste_Handelsünger[Handelsdünger],_xlfn.AGGREGATE(15,6,(ROW(Liste_Handelsünger[Handelsdünger])-1)/(--(SEARCH(BB$2,Liste_Handelsünger[Handelsdünger])&gt;0)),ROW()-2),1),"")</f>
        <v>Patentkali 0:0:30</v>
      </c>
      <c r="BB17" t="str">
        <f>IF(($A26=""),"",IF(COUNTIF(Mineral!$AJ$3:$AJ$324,$A26),"",$A26))</f>
        <v>eigener Dünger 9</v>
      </c>
      <c r="BC17" t="str">
        <f>IFERROR(INDEX(Liste_Handelsünger[Handelsdünger],_xlfn.AGGREGATE(15,6,(ROW(Liste_Handelsünger[Handelsdünger])-1)/(--(SEARCH(BD$2,Liste_Handelsünger[Handelsdünger])&gt;0)),ROW()-2),1),"")</f>
        <v>Patentkali 0:0:30</v>
      </c>
      <c r="BD17" t="str">
        <f>IF(($A27=""),"",IF(COUNTIF(Mineral!$AJ$3:$AJ$324,$A27),"",$A27))</f>
        <v>eigener Dünger 10</v>
      </c>
      <c r="BE17" t="str">
        <f>IFERROR(INDEX(Liste_Handelsünger[Handelsdünger],_xlfn.AGGREGATE(15,6,(ROW(Liste_Handelsünger[Handelsdünger])-1)/(--(SEARCH(BF$2,Liste_Handelsünger[Handelsdünger])&gt;0)),ROW()-2),1),"")</f>
        <v>Patentkali 0:0:30</v>
      </c>
      <c r="BF17" t="str">
        <f>IF(($A28=""),"",IF(COUNTIF(Mineral!$AJ$3:$AJ$324,$A28),"",$A28))</f>
        <v xml:space="preserve">Nährstoffeinsatz aus Mineraldünger in kg </v>
      </c>
      <c r="BG17" t="str">
        <f>IFERROR(INDEX(Liste_Handelsünger[Handelsdünger],_xlfn.AGGREGATE(15,6,(ROW(Liste_Handelsünger[Handelsdünger])-1)/(--(SEARCH(BH$2,Liste_Handelsünger[Handelsdünger])&gt;0)),ROW()-2),1),"")</f>
        <v>Patentkali 0:0:30</v>
      </c>
      <c r="BH17" t="str">
        <f>IF(($A29=""),"",IF(COUNTIF(Mineral!$AJ$3:$AJ$324,$A29),"",$A29))</f>
        <v xml:space="preserve">*AHL hat ein höheres spezifisches Gewicht als Wasser, 100 l AHL wiegen 127 kg, 
</v>
      </c>
      <c r="BI17" t="str">
        <f>IFERROR(INDEX(Liste_Handelsünger[Handelsdünger],_xlfn.AGGREGATE(15,6,(ROW(Liste_Handelsünger[Handelsdünger])-1)/(--(SEARCH(BJ$2,Liste_Handelsünger[Handelsdünger])&gt;0)),ROW()-2),1),"")</f>
        <v>Patentkali 0:0:30</v>
      </c>
      <c r="BJ17" t="str">
        <f>IF(($A30=""),"",IF(COUNTIF(Mineral!$AJ$3:$AJ$324,$A30),"",$A30))</f>
        <v xml:space="preserve"> darin sind 34,3 kg N (in 100 kg AHL sind 27 kg N)!</v>
      </c>
      <c r="BK17" t="str">
        <f>IFERROR(INDEX(Liste_Handelsünger[Handelsdünger],_xlfn.AGGREGATE(15,6,(ROW(Liste_Handelsünger[Handelsdünger])-1)/(--(SEARCH(BL$2,Liste_Handelsünger[Handelsdünger])&gt;0)),ROW()-2),1),"")</f>
        <v>Patentkali 0:0:30</v>
      </c>
      <c r="BM17" t="str">
        <f>IFERROR(INDEX(Liste_Handelsünger[Handelsdünger],_xlfn.AGGREGATE(15,6,(ROW(Liste_Handelsünger[Handelsdünger])-1)/(--(SEARCH(BN$2,Liste_Handelsünger[Handelsdünger])&gt;0)),ROW()-2),1),"")</f>
        <v>Patentkali 0:0:30</v>
      </c>
      <c r="BN17" t="str">
        <f>IF(($A32=""),"",IF(COUNTIF(Mineral!$AJ$3:$AJ$324,$A32),"",$A32))</f>
        <v/>
      </c>
      <c r="BP17" s="1663">
        <v>16</v>
      </c>
      <c r="BQ17" s="1664">
        <f>COUNTIF(Liste_Handelsünger[Handelsdünger],$A17)</f>
        <v>0</v>
      </c>
      <c r="BV17" t="s">
        <v>2234</v>
      </c>
      <c r="BW17" t="s">
        <v>2031</v>
      </c>
    </row>
    <row r="18" spans="1:75" ht="21.75" customHeight="1" thickTop="1" thickBot="1">
      <c r="A18" s="1129" t="s">
        <v>3029</v>
      </c>
      <c r="B18" s="1128">
        <f>IF(ISNA(VLOOKUP(Mineral!A18,Tabelle1!$C$188:$Q$212,15,0)),0,VLOOKUP(Mineral!A18,Tabelle1!$C$188:$Q$212,15,0))</f>
        <v>0</v>
      </c>
      <c r="C18" s="2176"/>
      <c r="D18" s="2190"/>
      <c r="E18" s="2190"/>
      <c r="F18" s="2190"/>
      <c r="G18" s="2191">
        <f>IFERROR($C18*$D18*$R18,0)</f>
        <v>0</v>
      </c>
      <c r="H18" s="2191">
        <f>IFERROR($C18*$D18*$R18*$L18,0)</f>
        <v>0</v>
      </c>
      <c r="I18" s="2191">
        <f>$C18*$E18</f>
        <v>0</v>
      </c>
      <c r="J18" s="2191">
        <f>$C18*$F18</f>
        <v>0</v>
      </c>
      <c r="K18" s="2192"/>
      <c r="L18" s="2193" t="str">
        <f>IF(AND($C18=0,$K18=""),"",IF($K18="",1,VLOOKUP($K18,$BS$3:$BU$8,2,0)))</f>
        <v/>
      </c>
      <c r="N18" s="431"/>
      <c r="O18" s="431"/>
      <c r="Q18" s="1883"/>
      <c r="R18" s="1688">
        <f>IFERROR(VLOOKUP($K18,$BS$3:$BU$8,3,0),1)</f>
        <v>1</v>
      </c>
      <c r="S18" s="1676">
        <v>16</v>
      </c>
      <c r="T18" s="1606" t="s">
        <v>2335</v>
      </c>
      <c r="U18" s="1606" t="s">
        <v>2169</v>
      </c>
      <c r="V18" s="1606"/>
      <c r="W18" s="1606">
        <v>0</v>
      </c>
      <c r="X18" s="1606">
        <v>0</v>
      </c>
      <c r="Y18" s="1606">
        <v>50</v>
      </c>
      <c r="Z18" s="1606">
        <v>18</v>
      </c>
      <c r="AA18" s="1606">
        <v>0</v>
      </c>
      <c r="AB18" s="1606">
        <v>0</v>
      </c>
      <c r="AC18" s="1606">
        <v>1</v>
      </c>
      <c r="AD18" s="1613">
        <v>1</v>
      </c>
      <c r="AE18" s="1606" t="s">
        <v>1764</v>
      </c>
      <c r="AF18" s="1613" t="str">
        <f t="shared" si="7"/>
        <v/>
      </c>
      <c r="AG18" s="1656">
        <f>IFERROR(IF($AF18&gt;0,VLOOKUP($U18,Tabelle1!$C$188:$L$212,5,0)*$AF18,0),0)</f>
        <v>0</v>
      </c>
      <c r="AH18" s="1656">
        <f t="shared" si="8"/>
        <v>0</v>
      </c>
      <c r="AJ18" t="str">
        <f>IF(Betrieb!$D$9="JA",Mineral!$BW18,Mineral!$BV18)</f>
        <v>Kali 50 % schwefels.ges.+18 SContent</v>
      </c>
      <c r="AK18" s="1617" t="str">
        <f>IFERROR(INDEX(Liste_Handelsünger[Handelsdünger],_xlfn.AGGREGATE(15,6,(ROW(Liste_Handelsünger[Handelsdünger])-1)/(--(SEARCH(AL$2,Liste_Handelsünger[Handelsdünger])&gt;0)),ROW()-2),1),"")</f>
        <v>Kali 50 % schwefels.ges.+18 SContent</v>
      </c>
      <c r="AL18" s="1617" t="str">
        <f>IF(($A$3=""),"",IF(COUNTIF(Mineral!$AJ$3:$AJ$324,$A$3),"",$A$3))</f>
        <v/>
      </c>
      <c r="AM18" s="1617" t="str">
        <f>IFERROR(INDEX(Liste_Handelsünger[Handelsdünger],_xlfn.AGGREGATE(15,6,(ROW(Liste_Handelsünger[Handelsdünger])-1)/(--(SEARCH(AN$2,Liste_Handelsünger[Handelsdünger])&gt;0)),ROW()-2),1),"")</f>
        <v>Kali 50 % schwefels.ges.+18 SContent</v>
      </c>
      <c r="AN18" t="str">
        <f>IF(($A20=""),"",IF(COUNTIF(Mineral!$AJ$3:$AJ$324,$A20),"",$A20))</f>
        <v>eigener Dünger 3</v>
      </c>
      <c r="AO18" t="str">
        <f>IFERROR(INDEX(Liste_Handelsünger[Handelsdünger],_xlfn.AGGREGATE(15,6,(ROW(Liste_Handelsünger[Handelsdünger])-1)/(--(SEARCH(AP$2,Liste_Handelsünger[Handelsdünger])&gt;0)),ROW()-2),1),"")</f>
        <v>Kali 50 % schwefels.ges.+18 SContent</v>
      </c>
      <c r="AP18" t="str">
        <f>IF(($A21=""),"",IF(COUNTIF(Mineral!$AJ$3:$AJ$324,$A21),"",$A21))</f>
        <v>eigener Dünger 4</v>
      </c>
      <c r="AQ18" t="str">
        <f>IFERROR(INDEX(Liste_Handelsünger[Handelsdünger],_xlfn.AGGREGATE(15,6,(ROW(Liste_Handelsünger[Handelsdünger])-1)/(--(SEARCH(AR$2,Liste_Handelsünger[Handelsdünger])&gt;0)),ROW()-2),1),"")</f>
        <v>Kali 50 % schwefels.ges.+18 SContent</v>
      </c>
      <c r="AR18" t="str">
        <f>IF(($A22=""),"",IF(COUNTIF(Mineral!$AJ$3:$AJ$324,$A22),"",$A22))</f>
        <v>eigener Dünger 5</v>
      </c>
      <c r="AS18" t="str">
        <f>IFERROR(INDEX(Liste_Handelsünger[Handelsdünger],_xlfn.AGGREGATE(15,6,(ROW(Liste_Handelsünger[Handelsdünger])-1)/(--(SEARCH(AT$2,Liste_Handelsünger[Handelsdünger])&gt;0)),ROW()-2),1),"")</f>
        <v>Kali 50 % schwefels.ges.+18 SContent</v>
      </c>
      <c r="AT18" t="str">
        <f>IF(($A23=""),"",IF(COUNTIF(Mineral!$AJ$3:$AJ$324,$A23),"",$A23))</f>
        <v>eigener Dünger 6</v>
      </c>
      <c r="AU18" t="str">
        <f>IFERROR(INDEX(Liste_Handelsünger[Handelsdünger],_xlfn.AGGREGATE(15,6,(ROW(Liste_Handelsünger[Handelsdünger])-1)/(--(SEARCH(AV$2,Liste_Handelsünger[Handelsdünger])&gt;0)),ROW()-2),1),"")</f>
        <v>Kali 50 % schwefels.ges.+18 SContent</v>
      </c>
      <c r="AV18" t="str">
        <f>IF(($A24=""),"",IF(COUNTIF(Mineral!$AJ$3:$AJ$324,$A24),"",$A24))</f>
        <v>eigener Dünger 7</v>
      </c>
      <c r="AW18" t="str">
        <f>IFERROR(INDEX(Liste_Handelsünger[Handelsdünger],_xlfn.AGGREGATE(15,6,(ROW(Liste_Handelsünger[Handelsdünger])-1)/(--(SEARCH(AX$2,Liste_Handelsünger[Handelsdünger])&gt;0)),ROW()-2),1),"")</f>
        <v>Kali 50 % schwefels.ges.+18 SContent</v>
      </c>
      <c r="AX18" t="str">
        <f>IF(($A25=""),"",IF(COUNTIF(Mineral!$AJ$3:$AJ$324,$A25),"",$A25))</f>
        <v>eigener Dünger 8</v>
      </c>
      <c r="AY18" t="str">
        <f>IFERROR(INDEX(Liste_Handelsünger[Handelsdünger],_xlfn.AGGREGATE(15,6,(ROW(Liste_Handelsünger[Handelsdünger])-1)/(--(SEARCH(AZ$2,Liste_Handelsünger[Handelsdünger])&gt;0)),ROW()-2),1),"")</f>
        <v>Kali 50 % schwefels.ges.+18 SContent</v>
      </c>
      <c r="AZ18" t="str">
        <f>IF(($A26=""),"",IF(COUNTIF(Mineral!$AJ$3:$AJ$324,$A26),"",$A26))</f>
        <v>eigener Dünger 9</v>
      </c>
      <c r="BA18" t="str">
        <f>IFERROR(INDEX(Liste_Handelsünger[Handelsdünger],_xlfn.AGGREGATE(15,6,(ROW(Liste_Handelsünger[Handelsdünger])-1)/(--(SEARCH(BB$2,Liste_Handelsünger[Handelsdünger])&gt;0)),ROW()-2),1),"")</f>
        <v>Kali 50 % schwefels.ges.+18 SContent</v>
      </c>
      <c r="BB18" t="str">
        <f>IF(($A27=""),"",IF(COUNTIF(Mineral!$AJ$3:$AJ$324,$A27),"",$A27))</f>
        <v>eigener Dünger 10</v>
      </c>
      <c r="BC18" t="str">
        <f>IFERROR(INDEX(Liste_Handelsünger[Handelsdünger],_xlfn.AGGREGATE(15,6,(ROW(Liste_Handelsünger[Handelsdünger])-1)/(--(SEARCH(BD$2,Liste_Handelsünger[Handelsdünger])&gt;0)),ROW()-2),1),"")</f>
        <v>Kali 50 % schwefels.ges.+18 SContent</v>
      </c>
      <c r="BD18" t="str">
        <f>IF(($A28=""),"",IF(COUNTIF(Mineral!$AJ$3:$AJ$324,$A28),"",$A28))</f>
        <v xml:space="preserve">Nährstoffeinsatz aus Mineraldünger in kg </v>
      </c>
      <c r="BE18" t="str">
        <f>IFERROR(INDEX(Liste_Handelsünger[Handelsdünger],_xlfn.AGGREGATE(15,6,(ROW(Liste_Handelsünger[Handelsdünger])-1)/(--(SEARCH(BF$2,Liste_Handelsünger[Handelsdünger])&gt;0)),ROW()-2),1),"")</f>
        <v>Kali 50 % schwefels.ges.+18 SContent</v>
      </c>
      <c r="BF18" t="str">
        <f>IF(($A29=""),"",IF(COUNTIF(Mineral!$AJ$3:$AJ$324,$A29),"",$A29))</f>
        <v xml:space="preserve">*AHL hat ein höheres spezifisches Gewicht als Wasser, 100 l AHL wiegen 127 kg, 
</v>
      </c>
      <c r="BG18" t="str">
        <f>IFERROR(INDEX(Liste_Handelsünger[Handelsdünger],_xlfn.AGGREGATE(15,6,(ROW(Liste_Handelsünger[Handelsdünger])-1)/(--(SEARCH(BH$2,Liste_Handelsünger[Handelsdünger])&gt;0)),ROW()-2),1),"")</f>
        <v>Kali 50 % schwefels.ges.+18 SContent</v>
      </c>
      <c r="BH18" t="str">
        <f>IF(($A30=""),"",IF(COUNTIF(Mineral!$AJ$3:$AJ$324,$A30),"",$A30))</f>
        <v xml:space="preserve"> darin sind 34,3 kg N (in 100 kg AHL sind 27 kg N)!</v>
      </c>
      <c r="BI18" t="str">
        <f>IFERROR(INDEX(Liste_Handelsünger[Handelsdünger],_xlfn.AGGREGATE(15,6,(ROW(Liste_Handelsünger[Handelsdünger])-1)/(--(SEARCH(BJ$2,Liste_Handelsünger[Handelsdünger])&gt;0)),ROW()-2),1),"")</f>
        <v>Kali 50 % schwefels.ges.+18 SContent</v>
      </c>
      <c r="BJ18" t="str">
        <f>IF(($A31=""),"",IF(COUNTIF(Mineral!$AJ$3:$AJ$324,$A31),"",$A31))</f>
        <v/>
      </c>
      <c r="BK18" t="str">
        <f>IFERROR(INDEX(Liste_Handelsünger[Handelsdünger],_xlfn.AGGREGATE(15,6,(ROW(Liste_Handelsünger[Handelsdünger])-1)/(--(SEARCH(BL$2,Liste_Handelsünger[Handelsdünger])&gt;0)),ROW()-2),1),"")</f>
        <v>Kali 50 % schwefels.ges.+18 SContent</v>
      </c>
      <c r="BM18" t="str">
        <f>IFERROR(INDEX(Liste_Handelsünger[Handelsdünger],_xlfn.AGGREGATE(15,6,(ROW(Liste_Handelsünger[Handelsdünger])-1)/(--(SEARCH(BN$2,Liste_Handelsünger[Handelsdünger])&gt;0)),ROW()-2),1),"")</f>
        <v>Kali 50 % schwefels.ges.+18 SContent</v>
      </c>
      <c r="BN18" t="str">
        <f>IF(($A33=""),"",IF(COUNTIF(Mineral!$AJ$3:$AJ$324,$A33),"",$A33))</f>
        <v/>
      </c>
      <c r="BP18" s="1653">
        <v>17</v>
      </c>
      <c r="BQ18" s="1665">
        <f>COUNTIF(Liste_Handelsünger[Handelsdünger],$A18)</f>
        <v>0</v>
      </c>
      <c r="BV18" t="s">
        <v>2169</v>
      </c>
      <c r="BW18" t="s">
        <v>2032</v>
      </c>
    </row>
    <row r="19" spans="1:75" ht="21.75" customHeight="1" thickTop="1" thickBot="1">
      <c r="A19" s="1129" t="s">
        <v>3030</v>
      </c>
      <c r="B19" s="1128">
        <f>IF(ISNA(VLOOKUP(Mineral!A19,Tabelle1!$C$188:$Q$212,15,0)),0,VLOOKUP(Mineral!A19,Tabelle1!$C$188:$Q$212,15,0))</f>
        <v>0</v>
      </c>
      <c r="C19" s="2177"/>
      <c r="D19" s="2185"/>
      <c r="E19" s="2185"/>
      <c r="F19" s="2185"/>
      <c r="G19" s="2186">
        <f t="shared" ref="G19:G27" si="9">IFERROR($C19*$D19*$R19,0)</f>
        <v>0</v>
      </c>
      <c r="H19" s="2186">
        <f t="shared" ref="H19:H27" si="10">IFERROR($C19*$D19*$R19*$L19,0)</f>
        <v>0</v>
      </c>
      <c r="I19" s="2186">
        <f t="shared" ref="I19:I27" si="11">$C19*$E19</f>
        <v>0</v>
      </c>
      <c r="J19" s="2186">
        <f t="shared" ref="J19:J27" si="12">$C19*$F19</f>
        <v>0</v>
      </c>
      <c r="K19" s="2187"/>
      <c r="L19" s="2188" t="str">
        <f t="shared" ref="L19:L27" si="13">IF(AND($C19=0,$K19=""),"",IF($K19="",1,VLOOKUP($K19,$BS$3:$BU$8,2,0)))</f>
        <v/>
      </c>
      <c r="R19" s="1688">
        <f t="shared" ref="R19:R27" si="14">IFERROR(VLOOKUP($K19,$BS$3:$BU$8,3,0),1)</f>
        <v>1</v>
      </c>
      <c r="S19" s="1616">
        <v>17</v>
      </c>
      <c r="T19" s="1617" t="s">
        <v>2006</v>
      </c>
      <c r="U19" s="1617" t="s">
        <v>2195</v>
      </c>
      <c r="V19" s="1617" t="s">
        <v>408</v>
      </c>
      <c r="W19" s="1617">
        <v>0</v>
      </c>
      <c r="X19" s="1617">
        <v>0</v>
      </c>
      <c r="Y19" s="1617">
        <v>11</v>
      </c>
      <c r="Z19" s="1617">
        <v>4</v>
      </c>
      <c r="AA19" s="1617">
        <v>0</v>
      </c>
      <c r="AB19" s="1617">
        <v>5</v>
      </c>
      <c r="AC19" s="1617">
        <v>1</v>
      </c>
      <c r="AD19" s="1613">
        <v>1</v>
      </c>
      <c r="AE19" s="1617" t="s">
        <v>1764</v>
      </c>
      <c r="AF19" s="1613" t="str">
        <f t="shared" si="7"/>
        <v/>
      </c>
      <c r="AG19" s="1656">
        <f>IFERROR(IF($AF19&gt;0,VLOOKUP($U19,Tabelle1!$C$188:$L$212,5,0)*$AF19,0),0)</f>
        <v>0</v>
      </c>
      <c r="AH19" s="1656">
        <f t="shared" si="8"/>
        <v>0</v>
      </c>
      <c r="AJ19" t="str">
        <f>IF(Betrieb!$D$9="JA",Mineral!$BW19,Mineral!$BV19)</f>
        <v>Magnesia Kainit</v>
      </c>
      <c r="AK19" s="1606" t="str">
        <f>IFERROR(INDEX(Liste_Handelsünger[Handelsdünger],_xlfn.AGGREGATE(15,6,(ROW(Liste_Handelsünger[Handelsdünger])-1)/(--(SEARCH(AL$2,Liste_Handelsünger[Handelsdünger])&gt;0)),ROW()-2),1),"")</f>
        <v>Magnesia Kainit</v>
      </c>
      <c r="AL19" s="1606" t="str">
        <f>IF(($A$3=""),"",IF(COUNTIF(Mineral!$AJ$3:$AJ$324,$A$3),"",$A$3))</f>
        <v/>
      </c>
      <c r="AM19" s="1606" t="str">
        <f>IFERROR(INDEX(Liste_Handelsünger[Handelsdünger],_xlfn.AGGREGATE(15,6,(ROW(Liste_Handelsünger[Handelsdünger])-1)/(--(SEARCH(AN$2,Liste_Handelsünger[Handelsdünger])&gt;0)),ROW()-2),1),"")</f>
        <v>Magnesia Kainit</v>
      </c>
      <c r="AN19" t="str">
        <f>IF(($A21=""),"",IF(COUNTIF(Mineral!$AJ$3:$AJ$324,$A21),"",$A21))</f>
        <v>eigener Dünger 4</v>
      </c>
      <c r="AO19" t="str">
        <f>IFERROR(INDEX(Liste_Handelsünger[Handelsdünger],_xlfn.AGGREGATE(15,6,(ROW(Liste_Handelsünger[Handelsdünger])-1)/(--(SEARCH(AP$2,Liste_Handelsünger[Handelsdünger])&gt;0)),ROW()-2),1),"")</f>
        <v>Magnesia Kainit</v>
      </c>
      <c r="AP19" t="str">
        <f>IF(($A22=""),"",IF(COUNTIF(Mineral!$AJ$3:$AJ$324,$A22),"",$A22))</f>
        <v>eigener Dünger 5</v>
      </c>
      <c r="AQ19" t="str">
        <f>IFERROR(INDEX(Liste_Handelsünger[Handelsdünger],_xlfn.AGGREGATE(15,6,(ROW(Liste_Handelsünger[Handelsdünger])-1)/(--(SEARCH(AR$2,Liste_Handelsünger[Handelsdünger])&gt;0)),ROW()-2),1),"")</f>
        <v>Magnesia Kainit</v>
      </c>
      <c r="AR19" t="str">
        <f>IF(($A23=""),"",IF(COUNTIF(Mineral!$AJ$3:$AJ$324,$A23),"",$A23))</f>
        <v>eigener Dünger 6</v>
      </c>
      <c r="AS19" t="str">
        <f>IFERROR(INDEX(Liste_Handelsünger[Handelsdünger],_xlfn.AGGREGATE(15,6,(ROW(Liste_Handelsünger[Handelsdünger])-1)/(--(SEARCH(AT$2,Liste_Handelsünger[Handelsdünger])&gt;0)),ROW()-2),1),"")</f>
        <v>Magnesia Kainit</v>
      </c>
      <c r="AT19" t="str">
        <f>IF(($A24=""),"",IF(COUNTIF(Mineral!$AJ$3:$AJ$324,$A24),"",$A24))</f>
        <v>eigener Dünger 7</v>
      </c>
      <c r="AU19" t="str">
        <f>IFERROR(INDEX(Liste_Handelsünger[Handelsdünger],_xlfn.AGGREGATE(15,6,(ROW(Liste_Handelsünger[Handelsdünger])-1)/(--(SEARCH(AV$2,Liste_Handelsünger[Handelsdünger])&gt;0)),ROW()-2),1),"")</f>
        <v>Magnesia Kainit</v>
      </c>
      <c r="AV19" t="str">
        <f>IF(($A25=""),"",IF(COUNTIF(Mineral!$AJ$3:$AJ$324,$A25),"",$A25))</f>
        <v>eigener Dünger 8</v>
      </c>
      <c r="AW19" t="str">
        <f>IFERROR(INDEX(Liste_Handelsünger[Handelsdünger],_xlfn.AGGREGATE(15,6,(ROW(Liste_Handelsünger[Handelsdünger])-1)/(--(SEARCH(AX$2,Liste_Handelsünger[Handelsdünger])&gt;0)),ROW()-2),1),"")</f>
        <v>Magnesia Kainit</v>
      </c>
      <c r="AX19" t="str">
        <f>IF(($A26=""),"",IF(COUNTIF(Mineral!$AJ$3:$AJ$324,$A26),"",$A26))</f>
        <v>eigener Dünger 9</v>
      </c>
      <c r="AY19" t="str">
        <f>IFERROR(INDEX(Liste_Handelsünger[Handelsdünger],_xlfn.AGGREGATE(15,6,(ROW(Liste_Handelsünger[Handelsdünger])-1)/(--(SEARCH(AZ$2,Liste_Handelsünger[Handelsdünger])&gt;0)),ROW()-2),1),"")</f>
        <v>Magnesia Kainit</v>
      </c>
      <c r="AZ19" t="str">
        <f>IF(($A27=""),"",IF(COUNTIF(Mineral!$AJ$3:$AJ$324,$A27),"",$A27))</f>
        <v>eigener Dünger 10</v>
      </c>
      <c r="BA19" t="str">
        <f>IFERROR(INDEX(Liste_Handelsünger[Handelsdünger],_xlfn.AGGREGATE(15,6,(ROW(Liste_Handelsünger[Handelsdünger])-1)/(--(SEARCH(BB$2,Liste_Handelsünger[Handelsdünger])&gt;0)),ROW()-2),1),"")</f>
        <v>Magnesia Kainit</v>
      </c>
      <c r="BB19" t="str">
        <f>IF(($A28=""),"",IF(COUNTIF(Mineral!$AJ$3:$AJ$324,$A28),"",$A28))</f>
        <v xml:space="preserve">Nährstoffeinsatz aus Mineraldünger in kg </v>
      </c>
      <c r="BC19" t="str">
        <f>IFERROR(INDEX(Liste_Handelsünger[Handelsdünger],_xlfn.AGGREGATE(15,6,(ROW(Liste_Handelsünger[Handelsdünger])-1)/(--(SEARCH(BD$2,Liste_Handelsünger[Handelsdünger])&gt;0)),ROW()-2),1),"")</f>
        <v>Magnesia Kainit</v>
      </c>
      <c r="BD19" t="str">
        <f>IF(($A29=""),"",IF(COUNTIF(Mineral!$AJ$3:$AJ$324,$A29),"",$A29))</f>
        <v xml:space="preserve">*AHL hat ein höheres spezifisches Gewicht als Wasser, 100 l AHL wiegen 127 kg, 
</v>
      </c>
      <c r="BE19" t="str">
        <f>IFERROR(INDEX(Liste_Handelsünger[Handelsdünger],_xlfn.AGGREGATE(15,6,(ROW(Liste_Handelsünger[Handelsdünger])-1)/(--(SEARCH(BF$2,Liste_Handelsünger[Handelsdünger])&gt;0)),ROW()-2),1),"")</f>
        <v>Magnesia Kainit</v>
      </c>
      <c r="BF19" t="str">
        <f>IF(($A30=""),"",IF(COUNTIF(Mineral!$AJ$3:$AJ$324,$A30),"",$A30))</f>
        <v xml:space="preserve"> darin sind 34,3 kg N (in 100 kg AHL sind 27 kg N)!</v>
      </c>
      <c r="BG19" t="str">
        <f>IFERROR(INDEX(Liste_Handelsünger[Handelsdünger],_xlfn.AGGREGATE(15,6,(ROW(Liste_Handelsünger[Handelsdünger])-1)/(--(SEARCH(BH$2,Liste_Handelsünger[Handelsdünger])&gt;0)),ROW()-2),1),"")</f>
        <v>Magnesia Kainit</v>
      </c>
      <c r="BH19" t="str">
        <f>IF(($A31=""),"",IF(COUNTIF(Mineral!$AJ$3:$AJ$324,$A31),"",$A31))</f>
        <v/>
      </c>
      <c r="BI19" t="str">
        <f>IFERROR(INDEX(Liste_Handelsünger[Handelsdünger],_xlfn.AGGREGATE(15,6,(ROW(Liste_Handelsünger[Handelsdünger])-1)/(--(SEARCH(BJ$2,Liste_Handelsünger[Handelsdünger])&gt;0)),ROW()-2),1),"")</f>
        <v>Magnesia Kainit</v>
      </c>
      <c r="BJ19" t="str">
        <f>IF(($A32=""),"",IF(COUNTIF(Mineral!$AJ$3:$AJ$324,$A32),"",$A32))</f>
        <v/>
      </c>
      <c r="BK19" t="str">
        <f>IFERROR(INDEX(Liste_Handelsünger[Handelsdünger],_xlfn.AGGREGATE(15,6,(ROW(Liste_Handelsünger[Handelsdünger])-1)/(--(SEARCH(BL$2,Liste_Handelsünger[Handelsdünger])&gt;0)),ROW()-2),1),"")</f>
        <v>Magnesia Kainit</v>
      </c>
      <c r="BM19" t="str">
        <f>IFERROR(INDEX(Liste_Handelsünger[Handelsdünger],_xlfn.AGGREGATE(15,6,(ROW(Liste_Handelsünger[Handelsdünger])-1)/(--(SEARCH(BN$2,Liste_Handelsünger[Handelsdünger])&gt;0)),ROW()-2),1),"")</f>
        <v>Magnesia Kainit</v>
      </c>
      <c r="BN19" t="str">
        <f>IF(($A34=""),"",IF(COUNTIF(Mineral!$AJ$3:$AJ$324,$A34),"",$A34))</f>
        <v/>
      </c>
      <c r="BV19" t="s">
        <v>2195</v>
      </c>
      <c r="BW19" t="s">
        <v>2033</v>
      </c>
    </row>
    <row r="20" spans="1:75" ht="21.75" customHeight="1" thickTop="1" thickBot="1">
      <c r="A20" s="1129" t="s">
        <v>3031</v>
      </c>
      <c r="B20" s="1128">
        <f>IF(ISNA(VLOOKUP(Mineral!A20,Tabelle1!$C$188:$Q$212,15,0)),0,VLOOKUP(Mineral!A20,Tabelle1!$C$188:$Q$212,15,0))</f>
        <v>0</v>
      </c>
      <c r="C20" s="1598"/>
      <c r="D20" s="1684"/>
      <c r="E20" s="1684"/>
      <c r="F20" s="1684"/>
      <c r="G20" s="956">
        <f t="shared" si="9"/>
        <v>0</v>
      </c>
      <c r="H20" s="956">
        <f t="shared" si="10"/>
        <v>0</v>
      </c>
      <c r="I20" s="956">
        <f t="shared" si="11"/>
        <v>0</v>
      </c>
      <c r="J20" s="956">
        <f t="shared" si="12"/>
        <v>0</v>
      </c>
      <c r="K20" s="1681"/>
      <c r="L20" s="1682" t="str">
        <f t="shared" si="13"/>
        <v/>
      </c>
      <c r="R20" s="1688">
        <f t="shared" si="14"/>
        <v>1</v>
      </c>
      <c r="S20" s="1676">
        <v>18</v>
      </c>
      <c r="T20" s="1606" t="s">
        <v>2335</v>
      </c>
      <c r="U20" s="1606" t="s">
        <v>2119</v>
      </c>
      <c r="V20" s="1606"/>
      <c r="W20" s="1606">
        <v>18</v>
      </c>
      <c r="X20" s="1606">
        <v>46</v>
      </c>
      <c r="Y20" s="1606">
        <v>0</v>
      </c>
      <c r="Z20" s="1606">
        <v>0</v>
      </c>
      <c r="AA20" s="1606">
        <v>0</v>
      </c>
      <c r="AB20" s="1606">
        <v>0</v>
      </c>
      <c r="AC20" s="1606">
        <v>1</v>
      </c>
      <c r="AD20" s="1613">
        <v>1</v>
      </c>
      <c r="AE20" s="1606" t="s">
        <v>2016</v>
      </c>
      <c r="AF20" s="1613" t="str">
        <f t="shared" si="7"/>
        <v/>
      </c>
      <c r="AG20" s="1656">
        <f>IFERROR(IF($AF20&gt;0,VLOOKUP($U20,Tabelle1!$C$188:$L$212,5,0)*$AF20,0),0)</f>
        <v>0</v>
      </c>
      <c r="AH20" s="1656">
        <f t="shared" si="8"/>
        <v>0</v>
      </c>
      <c r="AJ20" t="str">
        <f>IF(Betrieb!$D$9="JA",Mineral!$BW20,Mineral!$BV20)</f>
        <v>Diammoniumphosphat DAP</v>
      </c>
      <c r="AK20" s="1617" t="str">
        <f>IFERROR(INDEX(Liste_Handelsünger[Handelsdünger],_xlfn.AGGREGATE(15,6,(ROW(Liste_Handelsünger[Handelsdünger])-1)/(--(SEARCH(AL$2,Liste_Handelsünger[Handelsdünger])&gt;0)),ROW()-2),1),"")</f>
        <v>Diammoniumphosphat DAP</v>
      </c>
      <c r="AL20" s="1617" t="str">
        <f>IF(($A$3=""),"",IF(COUNTIF(Mineral!$AJ$3:$AJ$324,$A$3),"",$A$3))</f>
        <v/>
      </c>
      <c r="AM20" s="1617" t="str">
        <f>IFERROR(INDEX(Liste_Handelsünger[Handelsdünger],_xlfn.AGGREGATE(15,6,(ROW(Liste_Handelsünger[Handelsdünger])-1)/(--(SEARCH(AN$2,Liste_Handelsünger[Handelsdünger])&gt;0)),ROW()-2),1),"")</f>
        <v>Diammoniumphosphat DAP</v>
      </c>
      <c r="AN20" t="str">
        <f>IF(($A22=""),"",IF(COUNTIF(Mineral!$AJ$3:$AJ$324,$A22),"",$A22))</f>
        <v>eigener Dünger 5</v>
      </c>
      <c r="AO20" t="str">
        <f>IFERROR(INDEX(Liste_Handelsünger[Handelsdünger],_xlfn.AGGREGATE(15,6,(ROW(Liste_Handelsünger[Handelsdünger])-1)/(--(SEARCH(AP$2,Liste_Handelsünger[Handelsdünger])&gt;0)),ROW()-2),1),"")</f>
        <v>Diammoniumphosphat DAP</v>
      </c>
      <c r="AP20" t="str">
        <f>IF(($A23=""),"",IF(COUNTIF(Mineral!$AJ$3:$AJ$324,$A23),"",$A23))</f>
        <v>eigener Dünger 6</v>
      </c>
      <c r="AQ20" t="str">
        <f>IFERROR(INDEX(Liste_Handelsünger[Handelsdünger],_xlfn.AGGREGATE(15,6,(ROW(Liste_Handelsünger[Handelsdünger])-1)/(--(SEARCH(AR$2,Liste_Handelsünger[Handelsdünger])&gt;0)),ROW()-2),1),"")</f>
        <v>Diammoniumphosphat DAP</v>
      </c>
      <c r="AR20" t="str">
        <f>IF(($A24=""),"",IF(COUNTIF(Mineral!$AJ$3:$AJ$324,$A24),"",$A24))</f>
        <v>eigener Dünger 7</v>
      </c>
      <c r="AS20" t="str">
        <f>IFERROR(INDEX(Liste_Handelsünger[Handelsdünger],_xlfn.AGGREGATE(15,6,(ROW(Liste_Handelsünger[Handelsdünger])-1)/(--(SEARCH(AT$2,Liste_Handelsünger[Handelsdünger])&gt;0)),ROW()-2),1),"")</f>
        <v>Diammoniumphosphat DAP</v>
      </c>
      <c r="AT20" t="str">
        <f>IF(($A25=""),"",IF(COUNTIF(Mineral!$AJ$3:$AJ$324,$A25),"",$A25))</f>
        <v>eigener Dünger 8</v>
      </c>
      <c r="AU20" t="str">
        <f>IFERROR(INDEX(Liste_Handelsünger[Handelsdünger],_xlfn.AGGREGATE(15,6,(ROW(Liste_Handelsünger[Handelsdünger])-1)/(--(SEARCH(AV$2,Liste_Handelsünger[Handelsdünger])&gt;0)),ROW()-2),1),"")</f>
        <v>Diammoniumphosphat DAP</v>
      </c>
      <c r="AV20" t="str">
        <f>IF(($A26=""),"",IF(COUNTIF(Mineral!$AJ$3:$AJ$324,$A26),"",$A26))</f>
        <v>eigener Dünger 9</v>
      </c>
      <c r="AW20" t="str">
        <f>IFERROR(INDEX(Liste_Handelsünger[Handelsdünger],_xlfn.AGGREGATE(15,6,(ROW(Liste_Handelsünger[Handelsdünger])-1)/(--(SEARCH(AX$2,Liste_Handelsünger[Handelsdünger])&gt;0)),ROW()-2),1),"")</f>
        <v>Diammoniumphosphat DAP</v>
      </c>
      <c r="AX20" t="str">
        <f>IF(($A27=""),"",IF(COUNTIF(Mineral!$AJ$3:$AJ$324,$A27),"",$A27))</f>
        <v>eigener Dünger 10</v>
      </c>
      <c r="AY20" t="str">
        <f>IFERROR(INDEX(Liste_Handelsünger[Handelsdünger],_xlfn.AGGREGATE(15,6,(ROW(Liste_Handelsünger[Handelsdünger])-1)/(--(SEARCH(AZ$2,Liste_Handelsünger[Handelsdünger])&gt;0)),ROW()-2),1),"")</f>
        <v>Diammoniumphosphat DAP</v>
      </c>
      <c r="AZ20" t="str">
        <f>IF(($A28=""),"",IF(COUNTIF(Mineral!$AJ$3:$AJ$324,$A28),"",$A28))</f>
        <v xml:space="preserve">Nährstoffeinsatz aus Mineraldünger in kg </v>
      </c>
      <c r="BA20" t="str">
        <f>IFERROR(INDEX(Liste_Handelsünger[Handelsdünger],_xlfn.AGGREGATE(15,6,(ROW(Liste_Handelsünger[Handelsdünger])-1)/(--(SEARCH(BB$2,Liste_Handelsünger[Handelsdünger])&gt;0)),ROW()-2),1),"")</f>
        <v>Diammoniumphosphat DAP</v>
      </c>
      <c r="BB20" t="str">
        <f>IF(($A29=""),"",IF(COUNTIF(Mineral!$AJ$3:$AJ$324,$A29),"",$A29))</f>
        <v xml:space="preserve">*AHL hat ein höheres spezifisches Gewicht als Wasser, 100 l AHL wiegen 127 kg, 
</v>
      </c>
      <c r="BC20" t="str">
        <f>IFERROR(INDEX(Liste_Handelsünger[Handelsdünger],_xlfn.AGGREGATE(15,6,(ROW(Liste_Handelsünger[Handelsdünger])-1)/(--(SEARCH(BD$2,Liste_Handelsünger[Handelsdünger])&gt;0)),ROW()-2),1),"")</f>
        <v>Diammoniumphosphat DAP</v>
      </c>
      <c r="BD20" t="str">
        <f>IF(($A30=""),"",IF(COUNTIF(Mineral!$AJ$3:$AJ$324,$A30),"",$A30))</f>
        <v xml:space="preserve"> darin sind 34,3 kg N (in 100 kg AHL sind 27 kg N)!</v>
      </c>
      <c r="BE20" t="str">
        <f>IFERROR(INDEX(Liste_Handelsünger[Handelsdünger],_xlfn.AGGREGATE(15,6,(ROW(Liste_Handelsünger[Handelsdünger])-1)/(--(SEARCH(BF$2,Liste_Handelsünger[Handelsdünger])&gt;0)),ROW()-2),1),"")</f>
        <v>Diammoniumphosphat DAP</v>
      </c>
      <c r="BF20" t="str">
        <f>IF(($A31=""),"",IF(COUNTIF(Mineral!$AJ$3:$AJ$324,$A31),"",$A31))</f>
        <v/>
      </c>
      <c r="BG20" t="str">
        <f>IFERROR(INDEX(Liste_Handelsünger[Handelsdünger],_xlfn.AGGREGATE(15,6,(ROW(Liste_Handelsünger[Handelsdünger])-1)/(--(SEARCH(BH$2,Liste_Handelsünger[Handelsdünger])&gt;0)),ROW()-2),1),"")</f>
        <v>Diammoniumphosphat DAP</v>
      </c>
      <c r="BH20" t="str">
        <f>IF(($A32=""),"",IF(COUNTIF(Mineral!$AJ$3:$AJ$324,$A32),"",$A32))</f>
        <v/>
      </c>
      <c r="BI20" t="str">
        <f>IFERROR(INDEX(Liste_Handelsünger[Handelsdünger],_xlfn.AGGREGATE(15,6,(ROW(Liste_Handelsünger[Handelsdünger])-1)/(--(SEARCH(BJ$2,Liste_Handelsünger[Handelsdünger])&gt;0)),ROW()-2),1),"")</f>
        <v>Diammoniumphosphat DAP</v>
      </c>
      <c r="BJ20" t="str">
        <f>IF(($A33=""),"",IF(COUNTIF(Mineral!$AJ$3:$AJ$324,$A33),"",$A33))</f>
        <v/>
      </c>
      <c r="BK20" t="str">
        <f>IFERROR(INDEX(Liste_Handelsünger[Handelsdünger],_xlfn.AGGREGATE(15,6,(ROW(Liste_Handelsünger[Handelsdünger])-1)/(--(SEARCH(BL$2,Liste_Handelsünger[Handelsdünger])&gt;0)),ROW()-2),1),"")</f>
        <v>Diammoniumphosphat DAP</v>
      </c>
      <c r="BM20" t="str">
        <f>IFERROR(INDEX(Liste_Handelsünger[Handelsdünger],_xlfn.AGGREGATE(15,6,(ROW(Liste_Handelsünger[Handelsdünger])-1)/(--(SEARCH(BN$2,Liste_Handelsünger[Handelsdünger])&gt;0)),ROW()-2),1),"")</f>
        <v>Diammoniumphosphat DAP</v>
      </c>
      <c r="BN20" t="str">
        <f>IF(($A35=""),"",IF(COUNTIF(Mineral!$AJ$3:$AJ$324,$A35),"",$A35))</f>
        <v/>
      </c>
      <c r="BV20" t="s">
        <v>2119</v>
      </c>
      <c r="BW20" t="s">
        <v>2034</v>
      </c>
    </row>
    <row r="21" spans="1:75" ht="21.75" customHeight="1" thickTop="1" thickBot="1">
      <c r="A21" s="1129" t="s">
        <v>2855</v>
      </c>
      <c r="B21" s="1128">
        <f>IF(ISNA(VLOOKUP(Mineral!A21,Tabelle1!$C$188:$Q$212,15,0)),0,VLOOKUP(Mineral!A21,Tabelle1!$C$188:$Q$212,15,0))</f>
        <v>0</v>
      </c>
      <c r="C21" s="1598"/>
      <c r="D21" s="1684"/>
      <c r="E21" s="1684"/>
      <c r="F21" s="1684"/>
      <c r="G21" s="956">
        <f t="shared" si="9"/>
        <v>0</v>
      </c>
      <c r="H21" s="956">
        <f t="shared" si="10"/>
        <v>0</v>
      </c>
      <c r="I21" s="956">
        <f t="shared" si="11"/>
        <v>0</v>
      </c>
      <c r="J21" s="956">
        <f t="shared" si="12"/>
        <v>0</v>
      </c>
      <c r="K21" s="1681"/>
      <c r="L21" s="1682" t="str">
        <f t="shared" si="13"/>
        <v/>
      </c>
      <c r="R21" s="1688">
        <f t="shared" si="14"/>
        <v>1</v>
      </c>
      <c r="S21" s="1616">
        <v>20</v>
      </c>
      <c r="T21" s="1617" t="s">
        <v>2335</v>
      </c>
      <c r="U21" s="1617" t="s">
        <v>2095</v>
      </c>
      <c r="V21" s="1617"/>
      <c r="W21" s="1617">
        <v>0</v>
      </c>
      <c r="X21" s="1617">
        <v>12</v>
      </c>
      <c r="Y21" s="1617">
        <v>20</v>
      </c>
      <c r="Z21" s="1617">
        <v>8</v>
      </c>
      <c r="AA21" s="1617">
        <v>0</v>
      </c>
      <c r="AB21" s="1617">
        <v>0</v>
      </c>
      <c r="AC21" s="1617">
        <v>1</v>
      </c>
      <c r="AD21" s="1613">
        <v>1</v>
      </c>
      <c r="AE21" s="1617" t="s">
        <v>1764</v>
      </c>
      <c r="AF21" s="1613" t="str">
        <f t="shared" si="7"/>
        <v/>
      </c>
      <c r="AG21" s="1656">
        <f>IFERROR(IF($AF21&gt;0,VLOOKUP($U21,Tabelle1!$C$188:$L$212,5,0)*$AF21,0),0)</f>
        <v>0</v>
      </c>
      <c r="AH21" s="1656">
        <f t="shared" si="8"/>
        <v>0</v>
      </c>
      <c r="AJ21" t="str">
        <f>IF(Betrieb!$D$9="JA",Mineral!$BW21,Mineral!$BV21)</f>
        <v>DC - 45 neu 0:12:20</v>
      </c>
      <c r="AK21" s="1606" t="str">
        <f>IFERROR(INDEX(Liste_Handelsünger[Handelsdünger],_xlfn.AGGREGATE(15,6,(ROW(Liste_Handelsünger[Handelsdünger])-1)/(--(SEARCH(AL$2,Liste_Handelsünger[Handelsdünger])&gt;0)),ROW()-2),1),"")</f>
        <v>DC - 45 neu 0:12:20</v>
      </c>
      <c r="AL21" s="1606" t="str">
        <f>IF(($A$3=""),"",IF(COUNTIF(Mineral!$AJ$3:$AJ$324,$A$3),"",$A$3))</f>
        <v/>
      </c>
      <c r="AM21" s="1606" t="str">
        <f>IFERROR(INDEX(Liste_Handelsünger[Handelsdünger],_xlfn.AGGREGATE(15,6,(ROW(Liste_Handelsünger[Handelsdünger])-1)/(--(SEARCH(AN$2,Liste_Handelsünger[Handelsdünger])&gt;0)),ROW()-2),1),"")</f>
        <v>DC - 45 neu 0:12:20</v>
      </c>
      <c r="AN21" t="str">
        <f>IF(($A23=""),"",IF(COUNTIF(Mineral!$AJ$3:$AJ$324,$A23),"",$A23))</f>
        <v>eigener Dünger 6</v>
      </c>
      <c r="AO21" t="str">
        <f>IFERROR(INDEX(Liste_Handelsünger[Handelsdünger],_xlfn.AGGREGATE(15,6,(ROW(Liste_Handelsünger[Handelsdünger])-1)/(--(SEARCH(AP$2,Liste_Handelsünger[Handelsdünger])&gt;0)),ROW()-2),1),"")</f>
        <v>DC - 45 neu 0:12:20</v>
      </c>
      <c r="AP21" t="str">
        <f>IF(($A24=""),"",IF(COUNTIF(Mineral!$AJ$3:$AJ$324,$A24),"",$A24))</f>
        <v>eigener Dünger 7</v>
      </c>
      <c r="AQ21" t="str">
        <f>IFERROR(INDEX(Liste_Handelsünger[Handelsdünger],_xlfn.AGGREGATE(15,6,(ROW(Liste_Handelsünger[Handelsdünger])-1)/(--(SEARCH(AR$2,Liste_Handelsünger[Handelsdünger])&gt;0)),ROW()-2),1),"")</f>
        <v>DC - 45 neu 0:12:20</v>
      </c>
      <c r="AR21" t="str">
        <f>IF(($A25=""),"",IF(COUNTIF(Mineral!$AJ$3:$AJ$324,$A25),"",$A25))</f>
        <v>eigener Dünger 8</v>
      </c>
      <c r="AS21" t="str">
        <f>IFERROR(INDEX(Liste_Handelsünger[Handelsdünger],_xlfn.AGGREGATE(15,6,(ROW(Liste_Handelsünger[Handelsdünger])-1)/(--(SEARCH(AT$2,Liste_Handelsünger[Handelsdünger])&gt;0)),ROW()-2),1),"")</f>
        <v>DC - 45 neu 0:12:20</v>
      </c>
      <c r="AT21" t="str">
        <f>IF(($A26=""),"",IF(COUNTIF(Mineral!$AJ$3:$AJ$324,$A26),"",$A26))</f>
        <v>eigener Dünger 9</v>
      </c>
      <c r="AU21" t="str">
        <f>IFERROR(INDEX(Liste_Handelsünger[Handelsdünger],_xlfn.AGGREGATE(15,6,(ROW(Liste_Handelsünger[Handelsdünger])-1)/(--(SEARCH(AV$2,Liste_Handelsünger[Handelsdünger])&gt;0)),ROW()-2),1),"")</f>
        <v>DC - 45 neu 0:12:20</v>
      </c>
      <c r="AV21" t="str">
        <f>IF(($A27=""),"",IF(COUNTIF(Mineral!$AJ$3:$AJ$324,$A27),"",$A27))</f>
        <v>eigener Dünger 10</v>
      </c>
      <c r="AW21" t="str">
        <f>IFERROR(INDEX(Liste_Handelsünger[Handelsdünger],_xlfn.AGGREGATE(15,6,(ROW(Liste_Handelsünger[Handelsdünger])-1)/(--(SEARCH(AX$2,Liste_Handelsünger[Handelsdünger])&gt;0)),ROW()-2),1),"")</f>
        <v>DC - 45 neu 0:12:20</v>
      </c>
      <c r="AX21" t="str">
        <f>IF(($A28=""),"",IF(COUNTIF(Mineral!$AJ$3:$AJ$324,$A28),"",$A28))</f>
        <v xml:space="preserve">Nährstoffeinsatz aus Mineraldünger in kg </v>
      </c>
      <c r="AY21" t="str">
        <f>IFERROR(INDEX(Liste_Handelsünger[Handelsdünger],_xlfn.AGGREGATE(15,6,(ROW(Liste_Handelsünger[Handelsdünger])-1)/(--(SEARCH(AZ$2,Liste_Handelsünger[Handelsdünger])&gt;0)),ROW()-2),1),"")</f>
        <v>DC - 45 neu 0:12:20</v>
      </c>
      <c r="AZ21" t="str">
        <f>IF(($A29=""),"",IF(COUNTIF(Mineral!$AJ$3:$AJ$324,$A29),"",$A29))</f>
        <v xml:space="preserve">*AHL hat ein höheres spezifisches Gewicht als Wasser, 100 l AHL wiegen 127 kg, 
</v>
      </c>
      <c r="BA21" t="str">
        <f>IFERROR(INDEX(Liste_Handelsünger[Handelsdünger],_xlfn.AGGREGATE(15,6,(ROW(Liste_Handelsünger[Handelsdünger])-1)/(--(SEARCH(BB$2,Liste_Handelsünger[Handelsdünger])&gt;0)),ROW()-2),1),"")</f>
        <v>DC - 45 neu 0:12:20</v>
      </c>
      <c r="BB21" t="str">
        <f>IF(($A30=""),"",IF(COUNTIF(Mineral!$AJ$3:$AJ$324,$A30),"",$A30))</f>
        <v xml:space="preserve"> darin sind 34,3 kg N (in 100 kg AHL sind 27 kg N)!</v>
      </c>
      <c r="BC21" t="str">
        <f>IFERROR(INDEX(Liste_Handelsünger[Handelsdünger],_xlfn.AGGREGATE(15,6,(ROW(Liste_Handelsünger[Handelsdünger])-1)/(--(SEARCH(BD$2,Liste_Handelsünger[Handelsdünger])&gt;0)),ROW()-2),1),"")</f>
        <v>DC - 45 neu 0:12:20</v>
      </c>
      <c r="BD21" t="str">
        <f>IF(($A31=""),"",IF(COUNTIF(Mineral!$AJ$3:$AJ$324,$A31),"",$A31))</f>
        <v/>
      </c>
      <c r="BE21" t="str">
        <f>IFERROR(INDEX(Liste_Handelsünger[Handelsdünger],_xlfn.AGGREGATE(15,6,(ROW(Liste_Handelsünger[Handelsdünger])-1)/(--(SEARCH(BF$2,Liste_Handelsünger[Handelsdünger])&gt;0)),ROW()-2),1),"")</f>
        <v>DC - 45 neu 0:12:20</v>
      </c>
      <c r="BF21" t="str">
        <f>IF(($A32=""),"",IF(COUNTIF(Mineral!$AJ$3:$AJ$324,$A32),"",$A32))</f>
        <v/>
      </c>
      <c r="BG21" t="str">
        <f>IFERROR(INDEX(Liste_Handelsünger[Handelsdünger],_xlfn.AGGREGATE(15,6,(ROW(Liste_Handelsünger[Handelsdünger])-1)/(--(SEARCH(BH$2,Liste_Handelsünger[Handelsdünger])&gt;0)),ROW()-2),1),"")</f>
        <v>DC - 45 neu 0:12:20</v>
      </c>
      <c r="BH21" t="str">
        <f>IF(($A33=""),"",IF(COUNTIF(Mineral!$AJ$3:$AJ$324,$A33),"",$A33))</f>
        <v/>
      </c>
      <c r="BI21" t="str">
        <f>IFERROR(INDEX(Liste_Handelsünger[Handelsdünger],_xlfn.AGGREGATE(15,6,(ROW(Liste_Handelsünger[Handelsdünger])-1)/(--(SEARCH(BJ$2,Liste_Handelsünger[Handelsdünger])&gt;0)),ROW()-2),1),"")</f>
        <v>DC - 45 neu 0:12:20</v>
      </c>
      <c r="BJ21" t="str">
        <f>IF(($A34=""),"",IF(COUNTIF(Mineral!$AJ$3:$AJ$324,$A34),"",$A34))</f>
        <v/>
      </c>
      <c r="BK21" t="str">
        <f>IFERROR(INDEX(Liste_Handelsünger[Handelsdünger],_xlfn.AGGREGATE(15,6,(ROW(Liste_Handelsünger[Handelsdünger])-1)/(--(SEARCH(BL$2,Liste_Handelsünger[Handelsdünger])&gt;0)),ROW()-2),1),"")</f>
        <v>DC - 45 neu 0:12:20</v>
      </c>
      <c r="BM21" t="str">
        <f>IFERROR(INDEX(Liste_Handelsünger[Handelsdünger],_xlfn.AGGREGATE(15,6,(ROW(Liste_Handelsünger[Handelsdünger])-1)/(--(SEARCH(BN$2,Liste_Handelsünger[Handelsdünger])&gt;0)),ROW()-2),1),"")</f>
        <v>DC - 45 neu 0:12:20</v>
      </c>
      <c r="BN21" t="str">
        <f>IF(($A36=""),"",IF(COUNTIF(Mineral!$AJ$3:$AJ$324,$A36),"",$A36))</f>
        <v/>
      </c>
      <c r="BV21" t="s">
        <v>2095</v>
      </c>
      <c r="BW21" t="s">
        <v>2035</v>
      </c>
    </row>
    <row r="22" spans="1:75" ht="21.75" customHeight="1" thickTop="1" thickBot="1">
      <c r="A22" s="1129" t="s">
        <v>2856</v>
      </c>
      <c r="B22" s="1128">
        <f>IF(ISNA(VLOOKUP(Mineral!A22,Tabelle1!$C$188:$Q$212,15,0)),0,VLOOKUP(Mineral!A22,Tabelle1!$C$188:$Q$212,15,0))</f>
        <v>0</v>
      </c>
      <c r="C22" s="1598"/>
      <c r="D22" s="1684"/>
      <c r="E22" s="1684"/>
      <c r="F22" s="1684"/>
      <c r="G22" s="956">
        <f t="shared" si="9"/>
        <v>0</v>
      </c>
      <c r="H22" s="956">
        <f t="shared" si="10"/>
        <v>0</v>
      </c>
      <c r="I22" s="956">
        <f t="shared" si="11"/>
        <v>0</v>
      </c>
      <c r="J22" s="956">
        <f t="shared" si="12"/>
        <v>0</v>
      </c>
      <c r="K22" s="1681"/>
      <c r="L22" s="1682" t="str">
        <f t="shared" si="13"/>
        <v/>
      </c>
      <c r="N22" s="263"/>
      <c r="R22" s="1688">
        <f t="shared" si="14"/>
        <v>1</v>
      </c>
      <c r="S22" s="1676">
        <v>21</v>
      </c>
      <c r="T22" s="1606" t="s">
        <v>2335</v>
      </c>
      <c r="U22" s="1606" t="s">
        <v>2094</v>
      </c>
      <c r="V22" s="1606"/>
      <c r="W22" s="1606">
        <v>0</v>
      </c>
      <c r="X22" s="1606">
        <v>10</v>
      </c>
      <c r="Y22" s="1606">
        <v>30</v>
      </c>
      <c r="Z22" s="1606">
        <v>9.6</v>
      </c>
      <c r="AA22" s="1606">
        <v>0</v>
      </c>
      <c r="AB22" s="1606">
        <v>3</v>
      </c>
      <c r="AC22" s="1606">
        <v>1</v>
      </c>
      <c r="AD22" s="1613">
        <v>1</v>
      </c>
      <c r="AE22" s="1606" t="s">
        <v>1764</v>
      </c>
      <c r="AF22" s="1613" t="str">
        <f t="shared" si="7"/>
        <v/>
      </c>
      <c r="AG22" s="1656">
        <f>IFERROR(IF($AF22&gt;0,VLOOKUP($U22,Tabelle1!$C$188:$L$212,5,0)*$AF22,0),0)</f>
        <v>0</v>
      </c>
      <c r="AH22" s="1656">
        <f t="shared" si="8"/>
        <v>0</v>
      </c>
      <c r="AJ22" t="str">
        <f>IF(Betrieb!$D$9="JA",Mineral!$BW22,Mineral!$BV22)</f>
        <v>DC - 44 0:10:30</v>
      </c>
      <c r="AK22" s="1617" t="str">
        <f>IFERROR(INDEX(Liste_Handelsünger[Handelsdünger],_xlfn.AGGREGATE(15,6,(ROW(Liste_Handelsünger[Handelsdünger])-1)/(--(SEARCH(AL$2,Liste_Handelsünger[Handelsdünger])&gt;0)),ROW()-2),1),"")</f>
        <v>DC - 44 0:10:30</v>
      </c>
      <c r="AL22" s="1617" t="str">
        <f>IF(($A$3=""),"",IF(COUNTIF(Mineral!$AJ$3:$AJ$324,$A$3),"",$A$3))</f>
        <v/>
      </c>
      <c r="AM22" s="1617" t="str">
        <f>IFERROR(INDEX(Liste_Handelsünger[Handelsdünger],_xlfn.AGGREGATE(15,6,(ROW(Liste_Handelsünger[Handelsdünger])-1)/(--(SEARCH(AN$2,Liste_Handelsünger[Handelsdünger])&gt;0)),ROW()-2),1),"")</f>
        <v>DC - 44 0:10:30</v>
      </c>
      <c r="AN22" t="str">
        <f>IF(($A24=""),"",IF(COUNTIF(Mineral!$AJ$3:$AJ$324,$A24),"",$A24))</f>
        <v>eigener Dünger 7</v>
      </c>
      <c r="AO22" t="str">
        <f>IFERROR(INDEX(Liste_Handelsünger[Handelsdünger],_xlfn.AGGREGATE(15,6,(ROW(Liste_Handelsünger[Handelsdünger])-1)/(--(SEARCH(AP$2,Liste_Handelsünger[Handelsdünger])&gt;0)),ROW()-2),1),"")</f>
        <v>DC - 44 0:10:30</v>
      </c>
      <c r="AP22" t="str">
        <f>IF(($A25=""),"",IF(COUNTIF(Mineral!$AJ$3:$AJ$324,$A25),"",$A25))</f>
        <v>eigener Dünger 8</v>
      </c>
      <c r="AQ22" t="str">
        <f>IFERROR(INDEX(Liste_Handelsünger[Handelsdünger],_xlfn.AGGREGATE(15,6,(ROW(Liste_Handelsünger[Handelsdünger])-1)/(--(SEARCH(AR$2,Liste_Handelsünger[Handelsdünger])&gt;0)),ROW()-2),1),"")</f>
        <v>DC - 44 0:10:30</v>
      </c>
      <c r="AR22" t="str">
        <f>IF(($A26=""),"",IF(COUNTIF(Mineral!$AJ$3:$AJ$324,$A26),"",$A26))</f>
        <v>eigener Dünger 9</v>
      </c>
      <c r="AS22" t="str">
        <f>IFERROR(INDEX(Liste_Handelsünger[Handelsdünger],_xlfn.AGGREGATE(15,6,(ROW(Liste_Handelsünger[Handelsdünger])-1)/(--(SEARCH(AT$2,Liste_Handelsünger[Handelsdünger])&gt;0)),ROW()-2),1),"")</f>
        <v>DC - 44 0:10:30</v>
      </c>
      <c r="AT22" t="str">
        <f>IF(($A27=""),"",IF(COUNTIF(Mineral!$AJ$3:$AJ$324,$A27),"",$A27))</f>
        <v>eigener Dünger 10</v>
      </c>
      <c r="AU22" t="str">
        <f>IFERROR(INDEX(Liste_Handelsünger[Handelsdünger],_xlfn.AGGREGATE(15,6,(ROW(Liste_Handelsünger[Handelsdünger])-1)/(--(SEARCH(AV$2,Liste_Handelsünger[Handelsdünger])&gt;0)),ROW()-2),1),"")</f>
        <v>DC - 44 0:10:30</v>
      </c>
      <c r="AV22" t="str">
        <f>IF(($A28=""),"",IF(COUNTIF(Mineral!$AJ$3:$AJ$324,$A28),"",$A28))</f>
        <v xml:space="preserve">Nährstoffeinsatz aus Mineraldünger in kg </v>
      </c>
      <c r="AW22" t="str">
        <f>IFERROR(INDEX(Liste_Handelsünger[Handelsdünger],_xlfn.AGGREGATE(15,6,(ROW(Liste_Handelsünger[Handelsdünger])-1)/(--(SEARCH(AX$2,Liste_Handelsünger[Handelsdünger])&gt;0)),ROW()-2),1),"")</f>
        <v>DC - 44 0:10:30</v>
      </c>
      <c r="AX22" t="str">
        <f>IF(($A29=""),"",IF(COUNTIF(Mineral!$AJ$3:$AJ$324,$A29),"",$A29))</f>
        <v xml:space="preserve">*AHL hat ein höheres spezifisches Gewicht als Wasser, 100 l AHL wiegen 127 kg, 
</v>
      </c>
      <c r="AY22" t="str">
        <f>IFERROR(INDEX(Liste_Handelsünger[Handelsdünger],_xlfn.AGGREGATE(15,6,(ROW(Liste_Handelsünger[Handelsdünger])-1)/(--(SEARCH(AZ$2,Liste_Handelsünger[Handelsdünger])&gt;0)),ROW()-2),1),"")</f>
        <v>DC - 44 0:10:30</v>
      </c>
      <c r="AZ22" t="str">
        <f>IF(($A30=""),"",IF(COUNTIF(Mineral!$AJ$3:$AJ$324,$A30),"",$A30))</f>
        <v xml:space="preserve"> darin sind 34,3 kg N (in 100 kg AHL sind 27 kg N)!</v>
      </c>
      <c r="BA22" t="str">
        <f>IFERROR(INDEX(Liste_Handelsünger[Handelsdünger],_xlfn.AGGREGATE(15,6,(ROW(Liste_Handelsünger[Handelsdünger])-1)/(--(SEARCH(BB$2,Liste_Handelsünger[Handelsdünger])&gt;0)),ROW()-2),1),"")</f>
        <v>DC - 44 0:10:30</v>
      </c>
      <c r="BB22" t="str">
        <f>IF(($A31=""),"",IF(COUNTIF(Mineral!$AJ$3:$AJ$324,$A31),"",$A31))</f>
        <v/>
      </c>
      <c r="BC22" t="str">
        <f>IFERROR(INDEX(Liste_Handelsünger[Handelsdünger],_xlfn.AGGREGATE(15,6,(ROW(Liste_Handelsünger[Handelsdünger])-1)/(--(SEARCH(BD$2,Liste_Handelsünger[Handelsdünger])&gt;0)),ROW()-2),1),"")</f>
        <v>DC - 44 0:10:30</v>
      </c>
      <c r="BD22" t="str">
        <f>IF(($A32=""),"",IF(COUNTIF(Mineral!$AJ$3:$AJ$324,$A32),"",$A32))</f>
        <v/>
      </c>
      <c r="BE22" t="str">
        <f>IFERROR(INDEX(Liste_Handelsünger[Handelsdünger],_xlfn.AGGREGATE(15,6,(ROW(Liste_Handelsünger[Handelsdünger])-1)/(--(SEARCH(BF$2,Liste_Handelsünger[Handelsdünger])&gt;0)),ROW()-2),1),"")</f>
        <v>DC - 44 0:10:30</v>
      </c>
      <c r="BF22" t="str">
        <f>IF(($A33=""),"",IF(COUNTIF(Mineral!$AJ$3:$AJ$324,$A33),"",$A33))</f>
        <v/>
      </c>
      <c r="BG22" t="str">
        <f>IFERROR(INDEX(Liste_Handelsünger[Handelsdünger],_xlfn.AGGREGATE(15,6,(ROW(Liste_Handelsünger[Handelsdünger])-1)/(--(SEARCH(BH$2,Liste_Handelsünger[Handelsdünger])&gt;0)),ROW()-2),1),"")</f>
        <v>DC - 44 0:10:30</v>
      </c>
      <c r="BH22" t="str">
        <f>IF(($A34=""),"",IF(COUNTIF(Mineral!$AJ$3:$AJ$324,$A34),"",$A34))</f>
        <v/>
      </c>
      <c r="BI22" t="str">
        <f>IFERROR(INDEX(Liste_Handelsünger[Handelsdünger],_xlfn.AGGREGATE(15,6,(ROW(Liste_Handelsünger[Handelsdünger])-1)/(--(SEARCH(BJ$2,Liste_Handelsünger[Handelsdünger])&gt;0)),ROW()-2),1),"")</f>
        <v>DC - 44 0:10:30</v>
      </c>
      <c r="BJ22" t="str">
        <f>IF(($A35=""),"",IF(COUNTIF(Mineral!$AJ$3:$AJ$324,$A35),"",$A35))</f>
        <v/>
      </c>
      <c r="BK22" t="str">
        <f>IFERROR(INDEX(Liste_Handelsünger[Handelsdünger],_xlfn.AGGREGATE(15,6,(ROW(Liste_Handelsünger[Handelsdünger])-1)/(--(SEARCH(BL$2,Liste_Handelsünger[Handelsdünger])&gt;0)),ROW()-2),1),"")</f>
        <v>DC - 44 0:10:30</v>
      </c>
      <c r="BM22" t="str">
        <f>IFERROR(INDEX(Liste_Handelsünger[Handelsdünger],_xlfn.AGGREGATE(15,6,(ROW(Liste_Handelsünger[Handelsdünger])-1)/(--(SEARCH(BN$2,Liste_Handelsünger[Handelsdünger])&gt;0)),ROW()-2),1),"")</f>
        <v>DC - 44 0:10:30</v>
      </c>
      <c r="BN22" t="str">
        <f>IF(($A37=""),"",IF(COUNTIF(Mineral!$AJ$3:$AJ$324,$A37),"",$A37))</f>
        <v/>
      </c>
      <c r="BV22" t="s">
        <v>2094</v>
      </c>
      <c r="BW22" t="s">
        <v>2036</v>
      </c>
    </row>
    <row r="23" spans="1:75" ht="21.75" customHeight="1" thickTop="1" thickBot="1">
      <c r="A23" s="1129" t="s">
        <v>2857</v>
      </c>
      <c r="B23" s="1128">
        <f>IF(ISNA(VLOOKUP(Mineral!A23,Tabelle1!$C$188:$Q$212,15,0)),0,VLOOKUP(Mineral!A23,Tabelle1!$C$188:$Q$212,15,0))</f>
        <v>0</v>
      </c>
      <c r="C23" s="1598"/>
      <c r="D23" s="1684"/>
      <c r="E23" s="1684"/>
      <c r="F23" s="1684"/>
      <c r="G23" s="956">
        <f t="shared" si="9"/>
        <v>0</v>
      </c>
      <c r="H23" s="956">
        <f t="shared" si="10"/>
        <v>0</v>
      </c>
      <c r="I23" s="956">
        <f t="shared" si="11"/>
        <v>0</v>
      </c>
      <c r="J23" s="956">
        <f t="shared" si="12"/>
        <v>0</v>
      </c>
      <c r="K23" s="1681"/>
      <c r="L23" s="1682" t="str">
        <f t="shared" si="13"/>
        <v/>
      </c>
      <c r="R23" s="1688">
        <f t="shared" si="14"/>
        <v>1</v>
      </c>
      <c r="S23" s="1616">
        <v>22</v>
      </c>
      <c r="T23" s="1617" t="s">
        <v>2335</v>
      </c>
      <c r="U23" s="1617" t="s">
        <v>1194</v>
      </c>
      <c r="V23" s="1617"/>
      <c r="W23" s="1617">
        <v>0</v>
      </c>
      <c r="X23" s="1617">
        <v>18</v>
      </c>
      <c r="Y23" s="1617">
        <v>18</v>
      </c>
      <c r="Z23" s="1617">
        <v>0</v>
      </c>
      <c r="AA23" s="1617">
        <v>35</v>
      </c>
      <c r="AB23" s="1617">
        <v>0</v>
      </c>
      <c r="AC23" s="1617">
        <v>1</v>
      </c>
      <c r="AD23" s="1613">
        <v>1</v>
      </c>
      <c r="AE23" s="1617" t="s">
        <v>1764</v>
      </c>
      <c r="AF23" s="1613" t="str">
        <f t="shared" si="7"/>
        <v/>
      </c>
      <c r="AG23" s="1656">
        <f>IFERROR(IF($AF23&gt;0,VLOOKUP($U23,Tabelle1!$C$188:$L$212,5,0)*$AF23,0),0)</f>
        <v>0</v>
      </c>
      <c r="AH23" s="1656">
        <f t="shared" si="8"/>
        <v>0</v>
      </c>
      <c r="AJ23" t="str">
        <f>IF(Betrieb!$D$9="JA",Mineral!$BW23,Mineral!$BV23)</f>
        <v>Hyperkali</v>
      </c>
      <c r="AK23" s="1606" t="str">
        <f>IFERROR(INDEX(Liste_Handelsünger[Handelsdünger],_xlfn.AGGREGATE(15,6,(ROW(Liste_Handelsünger[Handelsdünger])-1)/(--(SEARCH(AL$2,Liste_Handelsünger[Handelsdünger])&gt;0)),ROW()-2),1),"")</f>
        <v>Hyperkali</v>
      </c>
      <c r="AL23" s="1606" t="str">
        <f>IF(($A$3=""),"",IF(COUNTIF(Mineral!$AJ$3:$AJ$324,$A$3),"",$A$3))</f>
        <v/>
      </c>
      <c r="AM23" s="1606" t="str">
        <f>IFERROR(INDEX(Liste_Handelsünger[Handelsdünger],_xlfn.AGGREGATE(15,6,(ROW(Liste_Handelsünger[Handelsdünger])-1)/(--(SEARCH(AN$2,Liste_Handelsünger[Handelsdünger])&gt;0)),ROW()-2),1),"")</f>
        <v>Hyperkali</v>
      </c>
      <c r="AN23" t="str">
        <f>IF(($A25=""),"",IF(COUNTIF(Mineral!$AJ$3:$AJ$324,$A25),"",$A25))</f>
        <v>eigener Dünger 8</v>
      </c>
      <c r="AO23" t="str">
        <f>IFERROR(INDEX(Liste_Handelsünger[Handelsdünger],_xlfn.AGGREGATE(15,6,(ROW(Liste_Handelsünger[Handelsdünger])-1)/(--(SEARCH(AP$2,Liste_Handelsünger[Handelsdünger])&gt;0)),ROW()-2),1),"")</f>
        <v>Hyperkali</v>
      </c>
      <c r="AP23" t="str">
        <f>IF(($A26=""),"",IF(COUNTIF(Mineral!$AJ$3:$AJ$324,$A26),"",$A26))</f>
        <v>eigener Dünger 9</v>
      </c>
      <c r="AQ23" t="str">
        <f>IFERROR(INDEX(Liste_Handelsünger[Handelsdünger],_xlfn.AGGREGATE(15,6,(ROW(Liste_Handelsünger[Handelsdünger])-1)/(--(SEARCH(AR$2,Liste_Handelsünger[Handelsdünger])&gt;0)),ROW()-2),1),"")</f>
        <v>Hyperkali</v>
      </c>
      <c r="AR23" t="str">
        <f>IF(($A27=""),"",IF(COUNTIF(Mineral!$AJ$3:$AJ$324,$A27),"",$A27))</f>
        <v>eigener Dünger 10</v>
      </c>
      <c r="AS23" t="str">
        <f>IFERROR(INDEX(Liste_Handelsünger[Handelsdünger],_xlfn.AGGREGATE(15,6,(ROW(Liste_Handelsünger[Handelsdünger])-1)/(--(SEARCH(AT$2,Liste_Handelsünger[Handelsdünger])&gt;0)),ROW()-2),1),"")</f>
        <v>Hyperkali</v>
      </c>
      <c r="AT23" t="str">
        <f>IF(($A28=""),"",IF(COUNTIF(Mineral!$AJ$3:$AJ$324,$A28),"",$A28))</f>
        <v xml:space="preserve">Nährstoffeinsatz aus Mineraldünger in kg </v>
      </c>
      <c r="AU23" t="str">
        <f>IFERROR(INDEX(Liste_Handelsünger[Handelsdünger],_xlfn.AGGREGATE(15,6,(ROW(Liste_Handelsünger[Handelsdünger])-1)/(--(SEARCH(AV$2,Liste_Handelsünger[Handelsdünger])&gt;0)),ROW()-2),1),"")</f>
        <v>Hyperkali</v>
      </c>
      <c r="AV23" t="str">
        <f>IF(($A29=""),"",IF(COUNTIF(Mineral!$AJ$3:$AJ$324,$A29),"",$A29))</f>
        <v xml:space="preserve">*AHL hat ein höheres spezifisches Gewicht als Wasser, 100 l AHL wiegen 127 kg, 
</v>
      </c>
      <c r="AW23" t="str">
        <f>IFERROR(INDEX(Liste_Handelsünger[Handelsdünger],_xlfn.AGGREGATE(15,6,(ROW(Liste_Handelsünger[Handelsdünger])-1)/(--(SEARCH(AX$2,Liste_Handelsünger[Handelsdünger])&gt;0)),ROW()-2),1),"")</f>
        <v>Hyperkali</v>
      </c>
      <c r="AX23" t="str">
        <f>IF(($A30=""),"",IF(COUNTIF(Mineral!$AJ$3:$AJ$324,$A30),"",$A30))</f>
        <v xml:space="preserve"> darin sind 34,3 kg N (in 100 kg AHL sind 27 kg N)!</v>
      </c>
      <c r="AY23" t="str">
        <f>IFERROR(INDEX(Liste_Handelsünger[Handelsdünger],_xlfn.AGGREGATE(15,6,(ROW(Liste_Handelsünger[Handelsdünger])-1)/(--(SEARCH(AZ$2,Liste_Handelsünger[Handelsdünger])&gt;0)),ROW()-2),1),"")</f>
        <v>Hyperkali</v>
      </c>
      <c r="AZ23" t="str">
        <f>IF(($A31=""),"",IF(COUNTIF(Mineral!$AJ$3:$AJ$324,$A31),"",$A31))</f>
        <v/>
      </c>
      <c r="BA23" t="str">
        <f>IFERROR(INDEX(Liste_Handelsünger[Handelsdünger],_xlfn.AGGREGATE(15,6,(ROW(Liste_Handelsünger[Handelsdünger])-1)/(--(SEARCH(BB$2,Liste_Handelsünger[Handelsdünger])&gt;0)),ROW()-2),1),"")</f>
        <v>Hyperkali</v>
      </c>
      <c r="BB23" t="str">
        <f>IF(($A32=""),"",IF(COUNTIF(Mineral!$AJ$3:$AJ$324,$A32),"",$A32))</f>
        <v/>
      </c>
      <c r="BC23" t="str">
        <f>IFERROR(INDEX(Liste_Handelsünger[Handelsdünger],_xlfn.AGGREGATE(15,6,(ROW(Liste_Handelsünger[Handelsdünger])-1)/(--(SEARCH(BD$2,Liste_Handelsünger[Handelsdünger])&gt;0)),ROW()-2),1),"")</f>
        <v>Hyperkali</v>
      </c>
      <c r="BD23" t="str">
        <f>IF(($A33=""),"",IF(COUNTIF(Mineral!$AJ$3:$AJ$324,$A33),"",$A33))</f>
        <v/>
      </c>
      <c r="BE23" t="str">
        <f>IFERROR(INDEX(Liste_Handelsünger[Handelsdünger],_xlfn.AGGREGATE(15,6,(ROW(Liste_Handelsünger[Handelsdünger])-1)/(--(SEARCH(BF$2,Liste_Handelsünger[Handelsdünger])&gt;0)),ROW()-2),1),"")</f>
        <v>Hyperkali</v>
      </c>
      <c r="BF23" t="str">
        <f>IF(($A34=""),"",IF(COUNTIF(Mineral!$AJ$3:$AJ$324,$A34),"",$A34))</f>
        <v/>
      </c>
      <c r="BG23" t="str">
        <f>IFERROR(INDEX(Liste_Handelsünger[Handelsdünger],_xlfn.AGGREGATE(15,6,(ROW(Liste_Handelsünger[Handelsdünger])-1)/(--(SEARCH(BH$2,Liste_Handelsünger[Handelsdünger])&gt;0)),ROW()-2),1),"")</f>
        <v>Hyperkali</v>
      </c>
      <c r="BH23" t="str">
        <f>IF(($A35=""),"",IF(COUNTIF(Mineral!$AJ$3:$AJ$324,$A35),"",$A35))</f>
        <v/>
      </c>
      <c r="BI23" t="str">
        <f>IFERROR(INDEX(Liste_Handelsünger[Handelsdünger],_xlfn.AGGREGATE(15,6,(ROW(Liste_Handelsünger[Handelsdünger])-1)/(--(SEARCH(BJ$2,Liste_Handelsünger[Handelsdünger])&gt;0)),ROW()-2),1),"")</f>
        <v>Hyperkali</v>
      </c>
      <c r="BJ23" t="str">
        <f>IF(($A36=""),"",IF(COUNTIF(Mineral!$AJ$3:$AJ$324,$A36),"",$A36))</f>
        <v/>
      </c>
      <c r="BK23" t="str">
        <f>IFERROR(INDEX(Liste_Handelsünger[Handelsdünger],_xlfn.AGGREGATE(15,6,(ROW(Liste_Handelsünger[Handelsdünger])-1)/(--(SEARCH(BL$2,Liste_Handelsünger[Handelsdünger])&gt;0)),ROW()-2),1),"")</f>
        <v>Hyperkali</v>
      </c>
      <c r="BM23" t="str">
        <f>IFERROR(INDEX(Liste_Handelsünger[Handelsdünger],_xlfn.AGGREGATE(15,6,(ROW(Liste_Handelsünger[Handelsdünger])-1)/(--(SEARCH(BN$2,Liste_Handelsünger[Handelsdünger])&gt;0)),ROW()-2),1),"")</f>
        <v>Hyperkali</v>
      </c>
      <c r="BN23" t="str">
        <f>IF(($A38=""),"",IF(COUNTIF(Mineral!$AJ$3:$AJ$324,$A38),"",$A38))</f>
        <v/>
      </c>
      <c r="BV23" t="s">
        <v>1194</v>
      </c>
      <c r="BW23" t="s">
        <v>2040</v>
      </c>
    </row>
    <row r="24" spans="1:75" ht="21.75" customHeight="1" thickTop="1" thickBot="1">
      <c r="A24" s="1129" t="s">
        <v>2858</v>
      </c>
      <c r="B24" s="1128">
        <f>IF(ISNA(VLOOKUP(Mineral!A24,Tabelle1!$C$188:$Q$212,15,0)),0,VLOOKUP(Mineral!A24,Tabelle1!$C$188:$Q$212,15,0))</f>
        <v>0</v>
      </c>
      <c r="C24" s="1598"/>
      <c r="D24" s="1684"/>
      <c r="E24" s="1684"/>
      <c r="F24" s="1684"/>
      <c r="G24" s="956">
        <f t="shared" si="9"/>
        <v>0</v>
      </c>
      <c r="H24" s="956">
        <f t="shared" si="10"/>
        <v>0</v>
      </c>
      <c r="I24" s="956">
        <f t="shared" si="11"/>
        <v>0</v>
      </c>
      <c r="J24" s="956">
        <f t="shared" si="12"/>
        <v>0</v>
      </c>
      <c r="K24" s="1681"/>
      <c r="L24" s="1682" t="str">
        <f t="shared" si="13"/>
        <v/>
      </c>
      <c r="R24" s="1688">
        <f t="shared" si="14"/>
        <v>1</v>
      </c>
      <c r="S24" s="1676">
        <v>23</v>
      </c>
      <c r="T24" s="1606" t="s">
        <v>2335</v>
      </c>
      <c r="U24" s="1606" t="s">
        <v>2159</v>
      </c>
      <c r="V24" s="1606"/>
      <c r="W24" s="1606">
        <v>0</v>
      </c>
      <c r="X24" s="1606">
        <v>18</v>
      </c>
      <c r="Y24" s="1606">
        <v>18</v>
      </c>
      <c r="Z24" s="1606">
        <v>0</v>
      </c>
      <c r="AA24" s="1606">
        <v>35</v>
      </c>
      <c r="AB24" s="1606">
        <v>0</v>
      </c>
      <c r="AC24" s="1606">
        <v>1</v>
      </c>
      <c r="AD24" s="1613">
        <v>1</v>
      </c>
      <c r="AE24" s="1606" t="s">
        <v>1764</v>
      </c>
      <c r="AF24" s="1613" t="str">
        <f t="shared" si="7"/>
        <v/>
      </c>
      <c r="AG24" s="1656">
        <f>IFERROR(IF($AF24&gt;0,VLOOKUP($U24,Tabelle1!$C$188:$L$212,5,0)*$AF24,0),0)</f>
        <v>0</v>
      </c>
      <c r="AH24" s="1656">
        <f t="shared" si="8"/>
        <v>0</v>
      </c>
      <c r="AJ24" t="str">
        <f>IF(Betrieb!$D$9="JA",Mineral!$BW24,Mineral!$BV24)</f>
        <v>Hyperkalisulfat 18:18</v>
      </c>
      <c r="AK24" s="1617" t="str">
        <f>IFERROR(INDEX(Liste_Handelsünger[Handelsdünger],_xlfn.AGGREGATE(15,6,(ROW(Liste_Handelsünger[Handelsdünger])-1)/(--(SEARCH(AL$2,Liste_Handelsünger[Handelsdünger])&gt;0)),ROW()-2),1),"")</f>
        <v>Hyperkalisulfat 18:18</v>
      </c>
      <c r="AL24" s="1617" t="str">
        <f>IF(($A$3=""),"",IF(COUNTIF(Mineral!$AJ$3:$AJ$324,$A$3),"",$A$3))</f>
        <v/>
      </c>
      <c r="AM24" s="1617" t="str">
        <f>IFERROR(INDEX(Liste_Handelsünger[Handelsdünger],_xlfn.AGGREGATE(15,6,(ROW(Liste_Handelsünger[Handelsdünger])-1)/(--(SEARCH(AN$2,Liste_Handelsünger[Handelsdünger])&gt;0)),ROW()-2),1),"")</f>
        <v>Hyperkalisulfat 18:18</v>
      </c>
      <c r="AN24" t="str">
        <f>IF(($A26=""),"",IF(COUNTIF(Mineral!$AJ$3:$AJ$324,$A26),"",$A26))</f>
        <v>eigener Dünger 9</v>
      </c>
      <c r="AO24" t="str">
        <f>IFERROR(INDEX(Liste_Handelsünger[Handelsdünger],_xlfn.AGGREGATE(15,6,(ROW(Liste_Handelsünger[Handelsdünger])-1)/(--(SEARCH(AP$2,Liste_Handelsünger[Handelsdünger])&gt;0)),ROW()-2),1),"")</f>
        <v>Hyperkalisulfat 18:18</v>
      </c>
      <c r="AP24" t="str">
        <f>IF(($A27=""),"",IF(COUNTIF(Mineral!$AJ$3:$AJ$324,$A27),"",$A27))</f>
        <v>eigener Dünger 10</v>
      </c>
      <c r="AQ24" t="str">
        <f>IFERROR(INDEX(Liste_Handelsünger[Handelsdünger],_xlfn.AGGREGATE(15,6,(ROW(Liste_Handelsünger[Handelsdünger])-1)/(--(SEARCH(AR$2,Liste_Handelsünger[Handelsdünger])&gt;0)),ROW()-2),1),"")</f>
        <v>Hyperkalisulfat 18:18</v>
      </c>
      <c r="AR24" t="str">
        <f>IF(($A28=""),"",IF(COUNTIF(Mineral!$AJ$3:$AJ$324,$A28),"",$A28))</f>
        <v xml:space="preserve">Nährstoffeinsatz aus Mineraldünger in kg </v>
      </c>
      <c r="AS24" t="str">
        <f>IFERROR(INDEX(Liste_Handelsünger[Handelsdünger],_xlfn.AGGREGATE(15,6,(ROW(Liste_Handelsünger[Handelsdünger])-1)/(--(SEARCH(AT$2,Liste_Handelsünger[Handelsdünger])&gt;0)),ROW()-2),1),"")</f>
        <v>Hyperkalisulfat 18:18</v>
      </c>
      <c r="AT24" t="str">
        <f>IF(($A29=""),"",IF(COUNTIF(Mineral!$AJ$3:$AJ$324,$A29),"",$A29))</f>
        <v xml:space="preserve">*AHL hat ein höheres spezifisches Gewicht als Wasser, 100 l AHL wiegen 127 kg, 
</v>
      </c>
      <c r="AU24" t="str">
        <f>IFERROR(INDEX(Liste_Handelsünger[Handelsdünger],_xlfn.AGGREGATE(15,6,(ROW(Liste_Handelsünger[Handelsdünger])-1)/(--(SEARCH(AV$2,Liste_Handelsünger[Handelsdünger])&gt;0)),ROW()-2),1),"")</f>
        <v>Hyperkalisulfat 18:18</v>
      </c>
      <c r="AV24" t="str">
        <f>IF(($A30=""),"",IF(COUNTIF(Mineral!$AJ$3:$AJ$324,$A30),"",$A30))</f>
        <v xml:space="preserve"> darin sind 34,3 kg N (in 100 kg AHL sind 27 kg N)!</v>
      </c>
      <c r="AW24" t="str">
        <f>IFERROR(INDEX(Liste_Handelsünger[Handelsdünger],_xlfn.AGGREGATE(15,6,(ROW(Liste_Handelsünger[Handelsdünger])-1)/(--(SEARCH(AX$2,Liste_Handelsünger[Handelsdünger])&gt;0)),ROW()-2),1),"")</f>
        <v>Hyperkalisulfat 18:18</v>
      </c>
      <c r="AX24" t="str">
        <f>IF(($A31=""),"",IF(COUNTIF(Mineral!$AJ$3:$AJ$324,$A31),"",$A31))</f>
        <v/>
      </c>
      <c r="AY24" t="str">
        <f>IFERROR(INDEX(Liste_Handelsünger[Handelsdünger],_xlfn.AGGREGATE(15,6,(ROW(Liste_Handelsünger[Handelsdünger])-1)/(--(SEARCH(AZ$2,Liste_Handelsünger[Handelsdünger])&gt;0)),ROW()-2),1),"")</f>
        <v>Hyperkalisulfat 18:18</v>
      </c>
      <c r="AZ24" t="str">
        <f>IF(($A32=""),"",IF(COUNTIF(Mineral!$AJ$3:$AJ$324,$A32),"",$A32))</f>
        <v/>
      </c>
      <c r="BA24" t="str">
        <f>IFERROR(INDEX(Liste_Handelsünger[Handelsdünger],_xlfn.AGGREGATE(15,6,(ROW(Liste_Handelsünger[Handelsdünger])-1)/(--(SEARCH(BB$2,Liste_Handelsünger[Handelsdünger])&gt;0)),ROW()-2),1),"")</f>
        <v>Hyperkalisulfat 18:18</v>
      </c>
      <c r="BB24" t="str">
        <f>IF(($A33=""),"",IF(COUNTIF(Mineral!$AJ$3:$AJ$324,$A33),"",$A33))</f>
        <v/>
      </c>
      <c r="BC24" t="str">
        <f>IFERROR(INDEX(Liste_Handelsünger[Handelsdünger],_xlfn.AGGREGATE(15,6,(ROW(Liste_Handelsünger[Handelsdünger])-1)/(--(SEARCH(BD$2,Liste_Handelsünger[Handelsdünger])&gt;0)),ROW()-2),1),"")</f>
        <v>Hyperkalisulfat 18:18</v>
      </c>
      <c r="BD24" t="str">
        <f>IF(($A34=""),"",IF(COUNTIF(Mineral!$AJ$3:$AJ$324,$A34),"",$A34))</f>
        <v/>
      </c>
      <c r="BE24" t="str">
        <f>IFERROR(INDEX(Liste_Handelsünger[Handelsdünger],_xlfn.AGGREGATE(15,6,(ROW(Liste_Handelsünger[Handelsdünger])-1)/(--(SEARCH(BF$2,Liste_Handelsünger[Handelsdünger])&gt;0)),ROW()-2),1),"")</f>
        <v>Hyperkalisulfat 18:18</v>
      </c>
      <c r="BF24" t="str">
        <f>IF(($A35=""),"",IF(COUNTIF(Mineral!$AJ$3:$AJ$324,$A35),"",$A35))</f>
        <v/>
      </c>
      <c r="BG24" t="str">
        <f>IFERROR(INDEX(Liste_Handelsünger[Handelsdünger],_xlfn.AGGREGATE(15,6,(ROW(Liste_Handelsünger[Handelsdünger])-1)/(--(SEARCH(BH$2,Liste_Handelsünger[Handelsdünger])&gt;0)),ROW()-2),1),"")</f>
        <v>Hyperkalisulfat 18:18</v>
      </c>
      <c r="BH24" t="str">
        <f>IF(($A36=""),"",IF(COUNTIF(Mineral!$AJ$3:$AJ$324,$A36),"",$A36))</f>
        <v/>
      </c>
      <c r="BI24" t="str">
        <f>IFERROR(INDEX(Liste_Handelsünger[Handelsdünger],_xlfn.AGGREGATE(15,6,(ROW(Liste_Handelsünger[Handelsdünger])-1)/(--(SEARCH(BJ$2,Liste_Handelsünger[Handelsdünger])&gt;0)),ROW()-2),1),"")</f>
        <v>Hyperkalisulfat 18:18</v>
      </c>
      <c r="BJ24" t="str">
        <f>IF(($A37=""),"",IF(COUNTIF(Mineral!$AJ$3:$AJ$324,$A37),"",$A37))</f>
        <v/>
      </c>
      <c r="BK24" t="str">
        <f>IFERROR(INDEX(Liste_Handelsünger[Handelsdünger],_xlfn.AGGREGATE(15,6,(ROW(Liste_Handelsünger[Handelsdünger])-1)/(--(SEARCH(BL$2,Liste_Handelsünger[Handelsdünger])&gt;0)),ROW()-2),1),"")</f>
        <v>Hyperkalisulfat 18:18</v>
      </c>
      <c r="BM24" t="str">
        <f>IFERROR(INDEX(Liste_Handelsünger[Handelsdünger],_xlfn.AGGREGATE(15,6,(ROW(Liste_Handelsünger[Handelsdünger])-1)/(--(SEARCH(BN$2,Liste_Handelsünger[Handelsdünger])&gt;0)),ROW()-2),1),"")</f>
        <v>Hyperkalisulfat 18:18</v>
      </c>
      <c r="BN24" t="str">
        <f>IF(($A39=""),"",IF(COUNTIF(Mineral!$AJ$3:$AJ$324,$A39),"",$A39))</f>
        <v/>
      </c>
      <c r="BV24" t="s">
        <v>2159</v>
      </c>
      <c r="BW24" t="s">
        <v>2041</v>
      </c>
    </row>
    <row r="25" spans="1:75" ht="21.75" customHeight="1" thickTop="1" thickBot="1">
      <c r="A25" s="1129" t="s">
        <v>2859</v>
      </c>
      <c r="B25" s="1128">
        <f>IF(ISNA(VLOOKUP(Mineral!A25,Tabelle1!$C$188:$Q$212,15,0)),0,VLOOKUP(Mineral!A25,Tabelle1!$C$188:$Q$212,15,0))</f>
        <v>0</v>
      </c>
      <c r="C25" s="1598"/>
      <c r="D25" s="1684"/>
      <c r="E25" s="1684"/>
      <c r="F25" s="1684"/>
      <c r="G25" s="956">
        <f t="shared" si="9"/>
        <v>0</v>
      </c>
      <c r="H25" s="956">
        <f t="shared" si="10"/>
        <v>0</v>
      </c>
      <c r="I25" s="956">
        <f t="shared" si="11"/>
        <v>0</v>
      </c>
      <c r="J25" s="956">
        <f t="shared" si="12"/>
        <v>0</v>
      </c>
      <c r="K25" s="1681"/>
      <c r="L25" s="1682" t="str">
        <f t="shared" si="13"/>
        <v/>
      </c>
      <c r="R25" s="1688">
        <f t="shared" si="14"/>
        <v>1</v>
      </c>
      <c r="S25" s="1616">
        <v>24</v>
      </c>
      <c r="T25" s="1617" t="s">
        <v>2335</v>
      </c>
      <c r="U25" s="1617" t="s">
        <v>2109</v>
      </c>
      <c r="V25" s="1617"/>
      <c r="W25" s="1617">
        <v>6</v>
      </c>
      <c r="X25" s="1617">
        <v>10</v>
      </c>
      <c r="Y25" s="1617">
        <v>16</v>
      </c>
      <c r="Z25" s="1617">
        <v>10</v>
      </c>
      <c r="AA25" s="1617">
        <v>0</v>
      </c>
      <c r="AB25" s="1617">
        <v>0</v>
      </c>
      <c r="AC25" s="1617">
        <v>1</v>
      </c>
      <c r="AD25" s="1613">
        <v>1</v>
      </c>
      <c r="AE25" s="1617" t="s">
        <v>2016</v>
      </c>
      <c r="AF25" s="1613" t="str">
        <f t="shared" si="7"/>
        <v/>
      </c>
      <c r="AG25" s="1656">
        <f>IFERROR(IF($AF25&gt;0,VLOOKUP($U25,Tabelle1!$C$188:$L$212,5,0)*$AF25,0),0)</f>
        <v>0</v>
      </c>
      <c r="AH25" s="1656">
        <f t="shared" si="8"/>
        <v>0</v>
      </c>
      <c r="AJ25" t="str">
        <f>IF(Betrieb!$D$9="JA",Mineral!$BW25,Mineral!$BV25)</f>
        <v>DC Borstart 6:10:16 +0,1B</v>
      </c>
      <c r="AK25" s="1606" t="str">
        <f>IFERROR(INDEX(Liste_Handelsünger[Handelsdünger],_xlfn.AGGREGATE(15,6,(ROW(Liste_Handelsünger[Handelsdünger])-1)/(--(SEARCH(AL$2,Liste_Handelsünger[Handelsdünger])&gt;0)),ROW()-2),1),"")</f>
        <v>DC Borstart 6:10:16 +0,1B</v>
      </c>
      <c r="AL25" s="1606" t="str">
        <f>IF(($A$3=""),"",IF(COUNTIF(Mineral!$AJ$3:$AJ$324,$A$3),"",$A$3))</f>
        <v/>
      </c>
      <c r="AM25" s="1606" t="str">
        <f>IFERROR(INDEX(Liste_Handelsünger[Handelsdünger],_xlfn.AGGREGATE(15,6,(ROW(Liste_Handelsünger[Handelsdünger])-1)/(--(SEARCH(AN$2,Liste_Handelsünger[Handelsdünger])&gt;0)),ROW()-2),1),"")</f>
        <v>DC Borstart 6:10:16 +0,1B</v>
      </c>
      <c r="AN25" t="str">
        <f>IF(($A27=""),"",IF(COUNTIF(Mineral!$AJ$3:$AJ$324,$A27),"",$A27))</f>
        <v>eigener Dünger 10</v>
      </c>
      <c r="AO25" t="str">
        <f>IFERROR(INDEX(Liste_Handelsünger[Handelsdünger],_xlfn.AGGREGATE(15,6,(ROW(Liste_Handelsünger[Handelsdünger])-1)/(--(SEARCH(AP$2,Liste_Handelsünger[Handelsdünger])&gt;0)),ROW()-2),1),"")</f>
        <v>DC Borstart 6:10:16 +0,1B</v>
      </c>
      <c r="AP25" t="str">
        <f>IF(($A28=""),"",IF(COUNTIF(Mineral!$AJ$3:$AJ$324,$A28),"",$A28))</f>
        <v xml:space="preserve">Nährstoffeinsatz aus Mineraldünger in kg </v>
      </c>
      <c r="AQ25" t="str">
        <f>IFERROR(INDEX(Liste_Handelsünger[Handelsdünger],_xlfn.AGGREGATE(15,6,(ROW(Liste_Handelsünger[Handelsdünger])-1)/(--(SEARCH(AR$2,Liste_Handelsünger[Handelsdünger])&gt;0)),ROW()-2),1),"")</f>
        <v>DC Borstart 6:10:16 +0,1B</v>
      </c>
      <c r="AR25" t="str">
        <f>IF(($A29=""),"",IF(COUNTIF(Mineral!$AJ$3:$AJ$324,$A29),"",$A29))</f>
        <v xml:space="preserve">*AHL hat ein höheres spezifisches Gewicht als Wasser, 100 l AHL wiegen 127 kg, 
</v>
      </c>
      <c r="AS25" t="str">
        <f>IFERROR(INDEX(Liste_Handelsünger[Handelsdünger],_xlfn.AGGREGATE(15,6,(ROW(Liste_Handelsünger[Handelsdünger])-1)/(--(SEARCH(AT$2,Liste_Handelsünger[Handelsdünger])&gt;0)),ROW()-2),1),"")</f>
        <v>DC Borstart 6:10:16 +0,1B</v>
      </c>
      <c r="AT25" t="str">
        <f>IF(($A30=""),"",IF(COUNTIF(Mineral!$AJ$3:$AJ$324,$A30),"",$A30))</f>
        <v xml:space="preserve"> darin sind 34,3 kg N (in 100 kg AHL sind 27 kg N)!</v>
      </c>
      <c r="AU25" t="str">
        <f>IFERROR(INDEX(Liste_Handelsünger[Handelsdünger],_xlfn.AGGREGATE(15,6,(ROW(Liste_Handelsünger[Handelsdünger])-1)/(--(SEARCH(AV$2,Liste_Handelsünger[Handelsdünger])&gt;0)),ROW()-2),1),"")</f>
        <v>DC Borstart 6:10:16 +0,1B</v>
      </c>
      <c r="AV25" t="str">
        <f>IF(($A31=""),"",IF(COUNTIF(Mineral!$AJ$3:$AJ$324,$A31),"",$A31))</f>
        <v/>
      </c>
      <c r="AW25" t="str">
        <f>IFERROR(INDEX(Liste_Handelsünger[Handelsdünger],_xlfn.AGGREGATE(15,6,(ROW(Liste_Handelsünger[Handelsdünger])-1)/(--(SEARCH(AX$2,Liste_Handelsünger[Handelsdünger])&gt;0)),ROW()-2),1),"")</f>
        <v>DC Borstart 6:10:16 +0,1B</v>
      </c>
      <c r="AX25" t="str">
        <f>IF(($A32=""),"",IF(COUNTIF(Mineral!$AJ$3:$AJ$324,$A32),"",$A32))</f>
        <v/>
      </c>
      <c r="AY25" t="str">
        <f>IFERROR(INDEX(Liste_Handelsünger[Handelsdünger],_xlfn.AGGREGATE(15,6,(ROW(Liste_Handelsünger[Handelsdünger])-1)/(--(SEARCH(AZ$2,Liste_Handelsünger[Handelsdünger])&gt;0)),ROW()-2),1),"")</f>
        <v>DC Borstart 6:10:16 +0,1B</v>
      </c>
      <c r="AZ25" t="str">
        <f>IF(($A33=""),"",IF(COUNTIF(Mineral!$AJ$3:$AJ$324,$A33),"",$A33))</f>
        <v/>
      </c>
      <c r="BA25" t="str">
        <f>IFERROR(INDEX(Liste_Handelsünger[Handelsdünger],_xlfn.AGGREGATE(15,6,(ROW(Liste_Handelsünger[Handelsdünger])-1)/(--(SEARCH(BB$2,Liste_Handelsünger[Handelsdünger])&gt;0)),ROW()-2),1),"")</f>
        <v>DC Borstart 6:10:16 +0,1B</v>
      </c>
      <c r="BB25" t="str">
        <f>IF(($A34=""),"",IF(COUNTIF(Mineral!$AJ$3:$AJ$324,$A34),"",$A34))</f>
        <v/>
      </c>
      <c r="BC25" t="str">
        <f>IFERROR(INDEX(Liste_Handelsünger[Handelsdünger],_xlfn.AGGREGATE(15,6,(ROW(Liste_Handelsünger[Handelsdünger])-1)/(--(SEARCH(BD$2,Liste_Handelsünger[Handelsdünger])&gt;0)),ROW()-2),1),"")</f>
        <v>DC Borstart 6:10:16 +0,1B</v>
      </c>
      <c r="BD25" t="str">
        <f>IF(($A35=""),"",IF(COUNTIF(Mineral!$AJ$3:$AJ$324,$A35),"",$A35))</f>
        <v/>
      </c>
      <c r="BE25" t="str">
        <f>IFERROR(INDEX(Liste_Handelsünger[Handelsdünger],_xlfn.AGGREGATE(15,6,(ROW(Liste_Handelsünger[Handelsdünger])-1)/(--(SEARCH(BF$2,Liste_Handelsünger[Handelsdünger])&gt;0)),ROW()-2),1),"")</f>
        <v>DC Borstart 6:10:16 +0,1B</v>
      </c>
      <c r="BF25" t="str">
        <f>IF(($A36=""),"",IF(COUNTIF(Mineral!$AJ$3:$AJ$324,$A36),"",$A36))</f>
        <v/>
      </c>
      <c r="BG25" t="str">
        <f>IFERROR(INDEX(Liste_Handelsünger[Handelsdünger],_xlfn.AGGREGATE(15,6,(ROW(Liste_Handelsünger[Handelsdünger])-1)/(--(SEARCH(BH$2,Liste_Handelsünger[Handelsdünger])&gt;0)),ROW()-2),1),"")</f>
        <v>DC Borstart 6:10:16 +0,1B</v>
      </c>
      <c r="BH25" t="str">
        <f>IF(($A37=""),"",IF(COUNTIF(Mineral!$AJ$3:$AJ$324,$A37),"",$A37))</f>
        <v/>
      </c>
      <c r="BI25" t="str">
        <f>IFERROR(INDEX(Liste_Handelsünger[Handelsdünger],_xlfn.AGGREGATE(15,6,(ROW(Liste_Handelsünger[Handelsdünger])-1)/(--(SEARCH(BJ$2,Liste_Handelsünger[Handelsdünger])&gt;0)),ROW()-2),1),"")</f>
        <v>DC Borstart 6:10:16 +0,1B</v>
      </c>
      <c r="BJ25" t="str">
        <f>IF(($A38=""),"",IF(COUNTIF(Mineral!$AJ$3:$AJ$324,$A38),"",$A38))</f>
        <v/>
      </c>
      <c r="BK25" t="str">
        <f>IFERROR(INDEX(Liste_Handelsünger[Handelsdünger],_xlfn.AGGREGATE(15,6,(ROW(Liste_Handelsünger[Handelsdünger])-1)/(--(SEARCH(BL$2,Liste_Handelsünger[Handelsdünger])&gt;0)),ROW()-2),1),"")</f>
        <v>DC Borstart 6:10:16 +0,1B</v>
      </c>
      <c r="BM25" t="str">
        <f>IFERROR(INDEX(Liste_Handelsünger[Handelsdünger],_xlfn.AGGREGATE(15,6,(ROW(Liste_Handelsünger[Handelsdünger])-1)/(--(SEARCH(BN$2,Liste_Handelsünger[Handelsdünger])&gt;0)),ROW()-2),1),"")</f>
        <v>DC Borstart 6:10:16 +0,1B</v>
      </c>
      <c r="BN25" t="str">
        <f>IF(($A40=""),"",IF(COUNTIF(Mineral!$AJ$3:$AJ$324,$A40),"",$A40))</f>
        <v/>
      </c>
      <c r="BV25" t="s">
        <v>2109</v>
      </c>
      <c r="BW25" t="s">
        <v>2042</v>
      </c>
    </row>
    <row r="26" spans="1:75" ht="21.75" customHeight="1" thickTop="1" thickBot="1">
      <c r="A26" s="1129" t="s">
        <v>2860</v>
      </c>
      <c r="B26" s="1128">
        <f>IF(ISNA(VLOOKUP(Mineral!A26,Tabelle1!$C$188:$Q$212,15,0)),0,VLOOKUP(Mineral!A26,Tabelle1!$C$188:$Q$212,15,0))</f>
        <v>0</v>
      </c>
      <c r="C26" s="1598"/>
      <c r="D26" s="1684"/>
      <c r="E26" s="1684"/>
      <c r="F26" s="1684"/>
      <c r="G26" s="956">
        <f t="shared" si="9"/>
        <v>0</v>
      </c>
      <c r="H26" s="956">
        <f t="shared" si="10"/>
        <v>0</v>
      </c>
      <c r="I26" s="956">
        <f t="shared" si="11"/>
        <v>0</v>
      </c>
      <c r="J26" s="956">
        <f t="shared" si="12"/>
        <v>0</v>
      </c>
      <c r="K26" s="1681"/>
      <c r="L26" s="1682" t="str">
        <f t="shared" si="13"/>
        <v/>
      </c>
      <c r="R26" s="1688">
        <f t="shared" si="14"/>
        <v>1</v>
      </c>
      <c r="S26" s="1676">
        <v>25</v>
      </c>
      <c r="T26" s="1606" t="s">
        <v>2335</v>
      </c>
      <c r="U26" s="1606" t="s">
        <v>2105</v>
      </c>
      <c r="V26" s="1606"/>
      <c r="W26" s="1606">
        <v>12</v>
      </c>
      <c r="X26" s="1606">
        <v>10</v>
      </c>
      <c r="Y26" s="1606">
        <v>15</v>
      </c>
      <c r="Z26" s="1606">
        <v>6.4</v>
      </c>
      <c r="AA26" s="1606">
        <v>0</v>
      </c>
      <c r="AB26" s="1606">
        <v>0</v>
      </c>
      <c r="AC26" s="1606">
        <v>1</v>
      </c>
      <c r="AD26" s="1613">
        <v>1</v>
      </c>
      <c r="AE26" s="1606" t="s">
        <v>2016</v>
      </c>
      <c r="AF26" s="1613" t="str">
        <f t="shared" si="7"/>
        <v/>
      </c>
      <c r="AG26" s="1656">
        <f>IFERROR(IF($AF26&gt;0,VLOOKUP($U26,Tabelle1!$C$188:$L$212,5,0)*$AF26,0),0)</f>
        <v>0</v>
      </c>
      <c r="AH26" s="1656">
        <f t="shared" si="8"/>
        <v>0</v>
      </c>
      <c r="AJ26" t="str">
        <f>IF(Betrieb!$D$9="JA",Mineral!$BW26,Mineral!$BV26)</f>
        <v xml:space="preserve">DC 37 12:10:15 </v>
      </c>
      <c r="AK26" s="1617" t="str">
        <f>IFERROR(INDEX(Liste_Handelsünger[Handelsdünger],_xlfn.AGGREGATE(15,6,(ROW(Liste_Handelsünger[Handelsdünger])-1)/(--(SEARCH(AL$2,Liste_Handelsünger[Handelsdünger])&gt;0)),ROW()-2),1),"")</f>
        <v xml:space="preserve">DC 37 12:10:15 </v>
      </c>
      <c r="AL26" s="1617" t="str">
        <f>IF(($A$3=""),"",IF(COUNTIF(Mineral!$AJ$3:$AJ$324,$A$3),"",$A$3))</f>
        <v/>
      </c>
      <c r="AM26" s="1617" t="str">
        <f>IFERROR(INDEX(Liste_Handelsünger[Handelsdünger],_xlfn.AGGREGATE(15,6,(ROW(Liste_Handelsünger[Handelsdünger])-1)/(--(SEARCH(AN$2,Liste_Handelsünger[Handelsdünger])&gt;0)),ROW()-2),1),"")</f>
        <v xml:space="preserve">DC 37 12:10:15 </v>
      </c>
      <c r="AN26" t="str">
        <f>IF(($A28=""),"",IF(COUNTIF(Mineral!$AJ$3:$AJ$324,$A28),"",$A28))</f>
        <v xml:space="preserve">Nährstoffeinsatz aus Mineraldünger in kg </v>
      </c>
      <c r="AO26" t="str">
        <f>IFERROR(INDEX(Liste_Handelsünger[Handelsdünger],_xlfn.AGGREGATE(15,6,(ROW(Liste_Handelsünger[Handelsdünger])-1)/(--(SEARCH(AP$2,Liste_Handelsünger[Handelsdünger])&gt;0)),ROW()-2),1),"")</f>
        <v xml:space="preserve">DC 37 12:10:15 </v>
      </c>
      <c r="AP26" t="str">
        <f>IF(($A29=""),"",IF(COUNTIF(Mineral!$AJ$3:$AJ$324,$A29),"",$A29))</f>
        <v xml:space="preserve">*AHL hat ein höheres spezifisches Gewicht als Wasser, 100 l AHL wiegen 127 kg, 
</v>
      </c>
      <c r="AQ26" t="str">
        <f>IFERROR(INDEX(Liste_Handelsünger[Handelsdünger],_xlfn.AGGREGATE(15,6,(ROW(Liste_Handelsünger[Handelsdünger])-1)/(--(SEARCH(AR$2,Liste_Handelsünger[Handelsdünger])&gt;0)),ROW()-2),1),"")</f>
        <v xml:space="preserve">DC 37 12:10:15 </v>
      </c>
      <c r="AR26" t="str">
        <f>IF(($A30=""),"",IF(COUNTIF(Mineral!$AJ$3:$AJ$324,$A30),"",$A30))</f>
        <v xml:space="preserve"> darin sind 34,3 kg N (in 100 kg AHL sind 27 kg N)!</v>
      </c>
      <c r="AS26" t="str">
        <f>IFERROR(INDEX(Liste_Handelsünger[Handelsdünger],_xlfn.AGGREGATE(15,6,(ROW(Liste_Handelsünger[Handelsdünger])-1)/(--(SEARCH(AT$2,Liste_Handelsünger[Handelsdünger])&gt;0)),ROW()-2),1),"")</f>
        <v xml:space="preserve">DC 37 12:10:15 </v>
      </c>
      <c r="AT26" t="str">
        <f>IF(($A31=""),"",IF(COUNTIF(Mineral!$AJ$3:$AJ$324,$A31),"",$A31))</f>
        <v/>
      </c>
      <c r="AU26" t="str">
        <f>IFERROR(INDEX(Liste_Handelsünger[Handelsdünger],_xlfn.AGGREGATE(15,6,(ROW(Liste_Handelsünger[Handelsdünger])-1)/(--(SEARCH(AV$2,Liste_Handelsünger[Handelsdünger])&gt;0)),ROW()-2),1),"")</f>
        <v xml:space="preserve">DC 37 12:10:15 </v>
      </c>
      <c r="AV26" t="str">
        <f>IF(($A32=""),"",IF(COUNTIF(Mineral!$AJ$3:$AJ$324,$A32),"",$A32))</f>
        <v/>
      </c>
      <c r="AW26" t="str">
        <f>IFERROR(INDEX(Liste_Handelsünger[Handelsdünger],_xlfn.AGGREGATE(15,6,(ROW(Liste_Handelsünger[Handelsdünger])-1)/(--(SEARCH(AX$2,Liste_Handelsünger[Handelsdünger])&gt;0)),ROW()-2),1),"")</f>
        <v xml:space="preserve">DC 37 12:10:15 </v>
      </c>
      <c r="AX26" t="str">
        <f>IF(($A33=""),"",IF(COUNTIF(Mineral!$AJ$3:$AJ$324,$A33),"",$A33))</f>
        <v/>
      </c>
      <c r="AY26" t="str">
        <f>IFERROR(INDEX(Liste_Handelsünger[Handelsdünger],_xlfn.AGGREGATE(15,6,(ROW(Liste_Handelsünger[Handelsdünger])-1)/(--(SEARCH(AZ$2,Liste_Handelsünger[Handelsdünger])&gt;0)),ROW()-2),1),"")</f>
        <v xml:space="preserve">DC 37 12:10:15 </v>
      </c>
      <c r="AZ26" t="str">
        <f>IF(($A34=""),"",IF(COUNTIF(Mineral!$AJ$3:$AJ$324,$A34),"",$A34))</f>
        <v/>
      </c>
      <c r="BA26" t="str">
        <f>IFERROR(INDEX(Liste_Handelsünger[Handelsdünger],_xlfn.AGGREGATE(15,6,(ROW(Liste_Handelsünger[Handelsdünger])-1)/(--(SEARCH(BB$2,Liste_Handelsünger[Handelsdünger])&gt;0)),ROW()-2),1),"")</f>
        <v xml:space="preserve">DC 37 12:10:15 </v>
      </c>
      <c r="BB26" t="str">
        <f>IF(($A35=""),"",IF(COUNTIF(Mineral!$AJ$3:$AJ$324,$A35),"",$A35))</f>
        <v/>
      </c>
      <c r="BC26" t="str">
        <f>IFERROR(INDEX(Liste_Handelsünger[Handelsdünger],_xlfn.AGGREGATE(15,6,(ROW(Liste_Handelsünger[Handelsdünger])-1)/(--(SEARCH(BD$2,Liste_Handelsünger[Handelsdünger])&gt;0)),ROW()-2),1),"")</f>
        <v xml:space="preserve">DC 37 12:10:15 </v>
      </c>
      <c r="BD26" t="str">
        <f>IF(($A36=""),"",IF(COUNTIF(Mineral!$AJ$3:$AJ$324,$A36),"",$A36))</f>
        <v/>
      </c>
      <c r="BE26" t="str">
        <f>IFERROR(INDEX(Liste_Handelsünger[Handelsdünger],_xlfn.AGGREGATE(15,6,(ROW(Liste_Handelsünger[Handelsdünger])-1)/(--(SEARCH(BF$2,Liste_Handelsünger[Handelsdünger])&gt;0)),ROW()-2),1),"")</f>
        <v xml:space="preserve">DC 37 12:10:15 </v>
      </c>
      <c r="BF26" t="str">
        <f>IF(($A37=""),"",IF(COUNTIF(Mineral!$AJ$3:$AJ$324,$A37),"",$A37))</f>
        <v/>
      </c>
      <c r="BG26" t="str">
        <f>IFERROR(INDEX(Liste_Handelsünger[Handelsdünger],_xlfn.AGGREGATE(15,6,(ROW(Liste_Handelsünger[Handelsdünger])-1)/(--(SEARCH(BH$2,Liste_Handelsünger[Handelsdünger])&gt;0)),ROW()-2),1),"")</f>
        <v xml:space="preserve">DC 37 12:10:15 </v>
      </c>
      <c r="BH26" t="str">
        <f>IF(($A38=""),"",IF(COUNTIF(Mineral!$AJ$3:$AJ$324,$A38),"",$A38))</f>
        <v/>
      </c>
      <c r="BI26" t="str">
        <f>IFERROR(INDEX(Liste_Handelsünger[Handelsdünger],_xlfn.AGGREGATE(15,6,(ROW(Liste_Handelsünger[Handelsdünger])-1)/(--(SEARCH(BJ$2,Liste_Handelsünger[Handelsdünger])&gt;0)),ROW()-2),1),"")</f>
        <v xml:space="preserve">DC 37 12:10:15 </v>
      </c>
      <c r="BJ26" t="str">
        <f>IF(($A39=""),"",IF(COUNTIF(Mineral!$AJ$3:$AJ$324,$A39),"",$A39))</f>
        <v/>
      </c>
      <c r="BK26" t="str">
        <f>IFERROR(INDEX(Liste_Handelsünger[Handelsdünger],_xlfn.AGGREGATE(15,6,(ROW(Liste_Handelsünger[Handelsdünger])-1)/(--(SEARCH(BL$2,Liste_Handelsünger[Handelsdünger])&gt;0)),ROW()-2),1),"")</f>
        <v xml:space="preserve">DC 37 12:10:15 </v>
      </c>
      <c r="BM26" t="str">
        <f>IFERROR(INDEX(Liste_Handelsünger[Handelsdünger],_xlfn.AGGREGATE(15,6,(ROW(Liste_Handelsünger[Handelsdünger])-1)/(--(SEARCH(BN$2,Liste_Handelsünger[Handelsdünger])&gt;0)),ROW()-2),1),"")</f>
        <v xml:space="preserve">DC 37 12:10:15 </v>
      </c>
      <c r="BN26" t="str">
        <f>IF(($A41=""),"",IF(COUNTIF(Mineral!$AJ$3:$AJ$324,$A41),"",$A41))</f>
        <v/>
      </c>
      <c r="BV26" t="s">
        <v>2105</v>
      </c>
      <c r="BW26" t="s">
        <v>2045</v>
      </c>
    </row>
    <row r="27" spans="1:75" ht="21.75" customHeight="1" thickTop="1" thickBot="1">
      <c r="A27" s="1130" t="s">
        <v>2862</v>
      </c>
      <c r="B27" s="1128">
        <f>IF(ISNA(VLOOKUP(Mineral!A27,Tabelle1!$C$188:$Q$212,15,0)),0,VLOOKUP(Mineral!A27,Tabelle1!$C$188:$Q$212,15,0))</f>
        <v>0</v>
      </c>
      <c r="C27" s="1598"/>
      <c r="D27" s="1685"/>
      <c r="E27" s="1685"/>
      <c r="F27" s="1685"/>
      <c r="G27" s="956">
        <f t="shared" si="9"/>
        <v>0</v>
      </c>
      <c r="H27" s="956">
        <f t="shared" si="10"/>
        <v>0</v>
      </c>
      <c r="I27" s="956">
        <f t="shared" si="11"/>
        <v>0</v>
      </c>
      <c r="J27" s="956">
        <f t="shared" si="12"/>
        <v>0</v>
      </c>
      <c r="K27" s="1681"/>
      <c r="L27" s="1682" t="str">
        <f t="shared" si="13"/>
        <v/>
      </c>
      <c r="R27" s="1688">
        <f t="shared" si="14"/>
        <v>1</v>
      </c>
      <c r="S27" s="1616">
        <v>26</v>
      </c>
      <c r="T27" s="1617" t="s">
        <v>2335</v>
      </c>
      <c r="U27" s="1617" t="s">
        <v>2101</v>
      </c>
      <c r="V27" s="1617"/>
      <c r="W27" s="1617">
        <v>15</v>
      </c>
      <c r="X27" s="1617">
        <v>5</v>
      </c>
      <c r="Y27" s="1617">
        <v>5</v>
      </c>
      <c r="Z27" s="1617">
        <v>18</v>
      </c>
      <c r="AA27" s="1617">
        <v>0</v>
      </c>
      <c r="AB27" s="1617">
        <v>0</v>
      </c>
      <c r="AC27" s="1617">
        <v>1</v>
      </c>
      <c r="AD27" s="1613">
        <v>1</v>
      </c>
      <c r="AE27" s="1617" t="s">
        <v>2016</v>
      </c>
      <c r="AF27" s="1613" t="str">
        <f t="shared" si="7"/>
        <v/>
      </c>
      <c r="AG27" s="1656">
        <f>IFERROR(IF($AF27&gt;0,VLOOKUP($U27,Tabelle1!$C$188:$L$212,5,0)*$AF27,0),0)</f>
        <v>0</v>
      </c>
      <c r="AH27" s="1656">
        <f t="shared" si="8"/>
        <v>0</v>
      </c>
      <c r="AJ27" t="str">
        <f>IF(Betrieb!$D$9="JA",Mineral!$BW27,Mineral!$BV27)</f>
        <v>DC 15:5:5 + 18S</v>
      </c>
      <c r="AK27" s="1606" t="str">
        <f>IFERROR(INDEX(Liste_Handelsünger[Handelsdünger],_xlfn.AGGREGATE(15,6,(ROW(Liste_Handelsünger[Handelsdünger])-1)/(--(SEARCH(AL$2,Liste_Handelsünger[Handelsdünger])&gt;0)),ROW()-2),1),"")</f>
        <v>DC 15:5:5 + 18S</v>
      </c>
      <c r="AL27" s="1606" t="str">
        <f>IF(($A$3=""),"",IF(COUNTIF(Mineral!$AJ$3:$AJ$324,$A$3),"",$A$3))</f>
        <v/>
      </c>
      <c r="AM27" s="1606" t="str">
        <f>IFERROR(INDEX(Liste_Handelsünger[Handelsdünger],_xlfn.AGGREGATE(15,6,(ROW(Liste_Handelsünger[Handelsdünger])-1)/(--(SEARCH(AN$2,Liste_Handelsünger[Handelsdünger])&gt;0)),ROW()-2),1),"")</f>
        <v>DC 15:5:5 + 18S</v>
      </c>
      <c r="AN27" t="str">
        <f>IF(($A29=""),"",IF(COUNTIF(Mineral!$AJ$3:$AJ$324,$A29),"",$A29))</f>
        <v xml:space="preserve">*AHL hat ein höheres spezifisches Gewicht als Wasser, 100 l AHL wiegen 127 kg, 
</v>
      </c>
      <c r="AO27" t="str">
        <f>IFERROR(INDEX(Liste_Handelsünger[Handelsdünger],_xlfn.AGGREGATE(15,6,(ROW(Liste_Handelsünger[Handelsdünger])-1)/(--(SEARCH(AP$2,Liste_Handelsünger[Handelsdünger])&gt;0)),ROW()-2),1),"")</f>
        <v>DC 15:5:5 + 18S</v>
      </c>
      <c r="AP27" t="str">
        <f>IF(($A30=""),"",IF(COUNTIF(Mineral!$AJ$3:$AJ$324,$A30),"",$A30))</f>
        <v xml:space="preserve"> darin sind 34,3 kg N (in 100 kg AHL sind 27 kg N)!</v>
      </c>
      <c r="AQ27" t="str">
        <f>IFERROR(INDEX(Liste_Handelsünger[Handelsdünger],_xlfn.AGGREGATE(15,6,(ROW(Liste_Handelsünger[Handelsdünger])-1)/(--(SEARCH(AR$2,Liste_Handelsünger[Handelsdünger])&gt;0)),ROW()-2),1),"")</f>
        <v>DC 15:5:5 + 18S</v>
      </c>
      <c r="AR27" t="str">
        <f>IF(($A31=""),"",IF(COUNTIF(Mineral!$AJ$3:$AJ$324,$A31),"",$A31))</f>
        <v/>
      </c>
      <c r="AS27" t="str">
        <f>IFERROR(INDEX(Liste_Handelsünger[Handelsdünger],_xlfn.AGGREGATE(15,6,(ROW(Liste_Handelsünger[Handelsdünger])-1)/(--(SEARCH(AT$2,Liste_Handelsünger[Handelsdünger])&gt;0)),ROW()-2),1),"")</f>
        <v>DC 15:5:5 + 18S</v>
      </c>
      <c r="AT27" t="str">
        <f>IF(($A32=""),"",IF(COUNTIF(Mineral!$AJ$3:$AJ$324,$A32),"",$A32))</f>
        <v/>
      </c>
      <c r="AU27" t="str">
        <f>IFERROR(INDEX(Liste_Handelsünger[Handelsdünger],_xlfn.AGGREGATE(15,6,(ROW(Liste_Handelsünger[Handelsdünger])-1)/(--(SEARCH(AV$2,Liste_Handelsünger[Handelsdünger])&gt;0)),ROW()-2),1),"")</f>
        <v>DC 15:5:5 + 18S</v>
      </c>
      <c r="AV27" t="str">
        <f>IF(($A33=""),"",IF(COUNTIF(Mineral!$AJ$3:$AJ$324,$A33),"",$A33))</f>
        <v/>
      </c>
      <c r="AW27" t="str">
        <f>IFERROR(INDEX(Liste_Handelsünger[Handelsdünger],_xlfn.AGGREGATE(15,6,(ROW(Liste_Handelsünger[Handelsdünger])-1)/(--(SEARCH(AX$2,Liste_Handelsünger[Handelsdünger])&gt;0)),ROW()-2),1),"")</f>
        <v>DC 15:5:5 + 18S</v>
      </c>
      <c r="AX27" t="str">
        <f>IF(($A34=""),"",IF(COUNTIF(Mineral!$AJ$3:$AJ$324,$A34),"",$A34))</f>
        <v/>
      </c>
      <c r="AY27" t="str">
        <f>IFERROR(INDEX(Liste_Handelsünger[Handelsdünger],_xlfn.AGGREGATE(15,6,(ROW(Liste_Handelsünger[Handelsdünger])-1)/(--(SEARCH(AZ$2,Liste_Handelsünger[Handelsdünger])&gt;0)),ROW()-2),1),"")</f>
        <v>DC 15:5:5 + 18S</v>
      </c>
      <c r="AZ27" t="str">
        <f>IF(($A35=""),"",IF(COUNTIF(Mineral!$AJ$3:$AJ$324,$A35),"",$A35))</f>
        <v/>
      </c>
      <c r="BA27" t="str">
        <f>IFERROR(INDEX(Liste_Handelsünger[Handelsdünger],_xlfn.AGGREGATE(15,6,(ROW(Liste_Handelsünger[Handelsdünger])-1)/(--(SEARCH(BB$2,Liste_Handelsünger[Handelsdünger])&gt;0)),ROW()-2),1),"")</f>
        <v>DC 15:5:5 + 18S</v>
      </c>
      <c r="BB27" t="str">
        <f>IF(($A36=""),"",IF(COUNTIF(Mineral!$AJ$3:$AJ$324,$A36),"",$A36))</f>
        <v/>
      </c>
      <c r="BC27" t="str">
        <f>IFERROR(INDEX(Liste_Handelsünger[Handelsdünger],_xlfn.AGGREGATE(15,6,(ROW(Liste_Handelsünger[Handelsdünger])-1)/(--(SEARCH(BD$2,Liste_Handelsünger[Handelsdünger])&gt;0)),ROW()-2),1),"")</f>
        <v>DC 15:5:5 + 18S</v>
      </c>
      <c r="BD27" t="str">
        <f>IF(($A37=""),"",IF(COUNTIF(Mineral!$AJ$3:$AJ$324,$A37),"",$A37))</f>
        <v/>
      </c>
      <c r="BE27" t="str">
        <f>IFERROR(INDEX(Liste_Handelsünger[Handelsdünger],_xlfn.AGGREGATE(15,6,(ROW(Liste_Handelsünger[Handelsdünger])-1)/(--(SEARCH(BF$2,Liste_Handelsünger[Handelsdünger])&gt;0)),ROW()-2),1),"")</f>
        <v>DC 15:5:5 + 18S</v>
      </c>
      <c r="BF27" t="str">
        <f>IF(($A38=""),"",IF(COUNTIF(Mineral!$AJ$3:$AJ$324,$A38),"",$A38))</f>
        <v/>
      </c>
      <c r="BG27" t="str">
        <f>IFERROR(INDEX(Liste_Handelsünger[Handelsdünger],_xlfn.AGGREGATE(15,6,(ROW(Liste_Handelsünger[Handelsdünger])-1)/(--(SEARCH(BH$2,Liste_Handelsünger[Handelsdünger])&gt;0)),ROW()-2),1),"")</f>
        <v>DC 15:5:5 + 18S</v>
      </c>
      <c r="BH27" t="str">
        <f>IF(($A39=""),"",IF(COUNTIF(Mineral!$AJ$3:$AJ$324,$A39),"",$A39))</f>
        <v/>
      </c>
      <c r="BI27" t="str">
        <f>IFERROR(INDEX(Liste_Handelsünger[Handelsdünger],_xlfn.AGGREGATE(15,6,(ROW(Liste_Handelsünger[Handelsdünger])-1)/(--(SEARCH(BJ$2,Liste_Handelsünger[Handelsdünger])&gt;0)),ROW()-2),1),"")</f>
        <v>DC 15:5:5 + 18S</v>
      </c>
      <c r="BJ27" t="str">
        <f>IF(($A40=""),"",IF(COUNTIF(Mineral!$AJ$3:$AJ$324,$A40),"",$A40))</f>
        <v/>
      </c>
      <c r="BK27" t="str">
        <f>IFERROR(INDEX(Liste_Handelsünger[Handelsdünger],_xlfn.AGGREGATE(15,6,(ROW(Liste_Handelsünger[Handelsdünger])-1)/(--(SEARCH(BL$2,Liste_Handelsünger[Handelsdünger])&gt;0)),ROW()-2),1),"")</f>
        <v>DC 15:5:5 + 18S</v>
      </c>
      <c r="BM27" t="str">
        <f>IFERROR(INDEX(Liste_Handelsünger[Handelsdünger],_xlfn.AGGREGATE(15,6,(ROW(Liste_Handelsünger[Handelsdünger])-1)/(--(SEARCH(BN$2,Liste_Handelsünger[Handelsdünger])&gt;0)),ROW()-2),1),"")</f>
        <v>DC 15:5:5 + 18S</v>
      </c>
      <c r="BN27" t="str">
        <f>IF(($A42=""),"",IF(COUNTIF(Mineral!$AJ$3:$AJ$324,$A42),"",$A42))</f>
        <v/>
      </c>
      <c r="BV27" t="s">
        <v>2101</v>
      </c>
      <c r="BW27" t="s">
        <v>2047</v>
      </c>
    </row>
    <row r="28" spans="1:75" ht="21.75" customHeight="1" thickTop="1" thickBot="1">
      <c r="A28" s="1383" t="s">
        <v>1195</v>
      </c>
      <c r="B28" s="1384"/>
      <c r="C28" s="1384"/>
      <c r="D28" s="1384"/>
      <c r="E28" s="1384"/>
      <c r="F28" s="1385"/>
      <c r="G28" s="1385"/>
      <c r="H28" s="1386">
        <f>SUM(H3:H27)</f>
        <v>0</v>
      </c>
      <c r="I28" s="1387">
        <f>SUM(I3:I27)</f>
        <v>0</v>
      </c>
      <c r="J28" s="1387">
        <f>SUM(J3:J27)</f>
        <v>0</v>
      </c>
      <c r="K28" s="1679"/>
      <c r="L28" s="1693"/>
      <c r="S28" s="1676">
        <v>27</v>
      </c>
      <c r="T28" s="1606" t="s">
        <v>2335</v>
      </c>
      <c r="U28" s="1606" t="s">
        <v>2082</v>
      </c>
      <c r="V28" s="1606"/>
      <c r="W28" s="1606">
        <v>14.000000000000002</v>
      </c>
      <c r="X28" s="1606">
        <v>10</v>
      </c>
      <c r="Y28" s="1606">
        <v>20</v>
      </c>
      <c r="Z28" s="1606">
        <v>10</v>
      </c>
      <c r="AA28" s="1606">
        <v>0</v>
      </c>
      <c r="AB28" s="1606">
        <v>0</v>
      </c>
      <c r="AC28" s="1606">
        <v>1</v>
      </c>
      <c r="AD28" s="1613">
        <v>1</v>
      </c>
      <c r="AE28" s="1606" t="s">
        <v>2016</v>
      </c>
      <c r="AF28" s="1613" t="str">
        <f t="shared" si="7"/>
        <v/>
      </c>
      <c r="AG28" s="1656">
        <f>IFERROR(IF($AF28&gt;0,VLOOKUP($U28,Tabelle1!$C$188:$L$212,5,0)*$AF28,0),0)</f>
        <v>0</v>
      </c>
      <c r="AH28" s="1656">
        <f t="shared" si="8"/>
        <v>0</v>
      </c>
      <c r="AJ28" t="str">
        <f>IF(Betrieb!$D$9="JA",Mineral!$BW28,Mineral!$BV28)</f>
        <v>COMPLEX 14/10/20+10S</v>
      </c>
      <c r="AK28" s="1617" t="str">
        <f>IFERROR(INDEX(Liste_Handelsünger[Handelsdünger],_xlfn.AGGREGATE(15,6,(ROW(Liste_Handelsünger[Handelsdünger])-1)/(--(SEARCH(AL$2,Liste_Handelsünger[Handelsdünger])&gt;0)),ROW()-2),1),"")</f>
        <v>COMPLEX 14/10/20+10S</v>
      </c>
      <c r="AL28" s="1617" t="str">
        <f>IF(($A$3=""),"",IF(COUNTIF(Mineral!$AJ$3:$AJ$324,$A$3),"",$A$3))</f>
        <v/>
      </c>
      <c r="AM28" s="1617" t="str">
        <f>IFERROR(INDEX(Liste_Handelsünger[Handelsdünger],_xlfn.AGGREGATE(15,6,(ROW(Liste_Handelsünger[Handelsdünger])-1)/(--(SEARCH(AN$2,Liste_Handelsünger[Handelsdünger])&gt;0)),ROW()-2),1),"")</f>
        <v>COMPLEX 14/10/20+10S</v>
      </c>
      <c r="AN28" t="str">
        <f>IF(($A30=""),"",IF(COUNTIF(Mineral!$AJ$3:$AJ$324,$A30),"",$A30))</f>
        <v xml:space="preserve"> darin sind 34,3 kg N (in 100 kg AHL sind 27 kg N)!</v>
      </c>
      <c r="AO28" t="str">
        <f>IFERROR(INDEX(Liste_Handelsünger[Handelsdünger],_xlfn.AGGREGATE(15,6,(ROW(Liste_Handelsünger[Handelsdünger])-1)/(--(SEARCH(AP$2,Liste_Handelsünger[Handelsdünger])&gt;0)),ROW()-2),1),"")</f>
        <v>COMPLEX 14/10/20+10S</v>
      </c>
      <c r="AP28" t="str">
        <f>IF(($A31=""),"",IF(COUNTIF(Mineral!$AJ$3:$AJ$324,$A31),"",$A31))</f>
        <v/>
      </c>
      <c r="AQ28" t="str">
        <f>IFERROR(INDEX(Liste_Handelsünger[Handelsdünger],_xlfn.AGGREGATE(15,6,(ROW(Liste_Handelsünger[Handelsdünger])-1)/(--(SEARCH(AR$2,Liste_Handelsünger[Handelsdünger])&gt;0)),ROW()-2),1),"")</f>
        <v>COMPLEX 14/10/20+10S</v>
      </c>
      <c r="AR28" t="str">
        <f>IF(($A32=""),"",IF(COUNTIF(Mineral!$AJ$3:$AJ$324,$A32),"",$A32))</f>
        <v/>
      </c>
      <c r="AS28" t="str">
        <f>IFERROR(INDEX(Liste_Handelsünger[Handelsdünger],_xlfn.AGGREGATE(15,6,(ROW(Liste_Handelsünger[Handelsdünger])-1)/(--(SEARCH(AT$2,Liste_Handelsünger[Handelsdünger])&gt;0)),ROW()-2),1),"")</f>
        <v>COMPLEX 14/10/20+10S</v>
      </c>
      <c r="AT28" t="str">
        <f>IF(($A33=""),"",IF(COUNTIF(Mineral!$AJ$3:$AJ$324,$A33),"",$A33))</f>
        <v/>
      </c>
      <c r="AU28" t="str">
        <f>IFERROR(INDEX(Liste_Handelsünger[Handelsdünger],_xlfn.AGGREGATE(15,6,(ROW(Liste_Handelsünger[Handelsdünger])-1)/(--(SEARCH(AV$2,Liste_Handelsünger[Handelsdünger])&gt;0)),ROW()-2),1),"")</f>
        <v>COMPLEX 14/10/20+10S</v>
      </c>
      <c r="AV28" t="str">
        <f>IF(($A34=""),"",IF(COUNTIF(Mineral!$AJ$3:$AJ$324,$A34),"",$A34))</f>
        <v/>
      </c>
      <c r="AW28" t="str">
        <f>IFERROR(INDEX(Liste_Handelsünger[Handelsdünger],_xlfn.AGGREGATE(15,6,(ROW(Liste_Handelsünger[Handelsdünger])-1)/(--(SEARCH(AX$2,Liste_Handelsünger[Handelsdünger])&gt;0)),ROW()-2),1),"")</f>
        <v>COMPLEX 14/10/20+10S</v>
      </c>
      <c r="AX28" t="str">
        <f>IF(($A35=""),"",IF(COUNTIF(Mineral!$AJ$3:$AJ$324,$A35),"",$A35))</f>
        <v/>
      </c>
      <c r="AY28" t="str">
        <f>IFERROR(INDEX(Liste_Handelsünger[Handelsdünger],_xlfn.AGGREGATE(15,6,(ROW(Liste_Handelsünger[Handelsdünger])-1)/(--(SEARCH(AZ$2,Liste_Handelsünger[Handelsdünger])&gt;0)),ROW()-2),1),"")</f>
        <v>COMPLEX 14/10/20+10S</v>
      </c>
      <c r="AZ28" t="str">
        <f>IF(($A36=""),"",IF(COUNTIF(Mineral!$AJ$3:$AJ$324,$A36),"",$A36))</f>
        <v/>
      </c>
      <c r="BA28" t="str">
        <f>IFERROR(INDEX(Liste_Handelsünger[Handelsdünger],_xlfn.AGGREGATE(15,6,(ROW(Liste_Handelsünger[Handelsdünger])-1)/(--(SEARCH(BB$2,Liste_Handelsünger[Handelsdünger])&gt;0)),ROW()-2),1),"")</f>
        <v>COMPLEX 14/10/20+10S</v>
      </c>
      <c r="BB28" t="str">
        <f>IF(($A37=""),"",IF(COUNTIF(Mineral!$AJ$3:$AJ$324,$A37),"",$A37))</f>
        <v/>
      </c>
      <c r="BC28" t="str">
        <f>IFERROR(INDEX(Liste_Handelsünger[Handelsdünger],_xlfn.AGGREGATE(15,6,(ROW(Liste_Handelsünger[Handelsdünger])-1)/(--(SEARCH(BD$2,Liste_Handelsünger[Handelsdünger])&gt;0)),ROW()-2),1),"")</f>
        <v>COMPLEX 14/10/20+10S</v>
      </c>
      <c r="BD28" t="str">
        <f>IF(($A38=""),"",IF(COUNTIF(Mineral!$AJ$3:$AJ$324,$A38),"",$A38))</f>
        <v/>
      </c>
      <c r="BE28" t="str">
        <f>IFERROR(INDEX(Liste_Handelsünger[Handelsdünger],_xlfn.AGGREGATE(15,6,(ROW(Liste_Handelsünger[Handelsdünger])-1)/(--(SEARCH(BF$2,Liste_Handelsünger[Handelsdünger])&gt;0)),ROW()-2),1),"")</f>
        <v>COMPLEX 14/10/20+10S</v>
      </c>
      <c r="BF28" t="str">
        <f>IF(($A39=""),"",IF(COUNTIF(Mineral!$AJ$3:$AJ$324,$A39),"",$A39))</f>
        <v/>
      </c>
      <c r="BG28" t="str">
        <f>IFERROR(INDEX(Liste_Handelsünger[Handelsdünger],_xlfn.AGGREGATE(15,6,(ROW(Liste_Handelsünger[Handelsdünger])-1)/(--(SEARCH(BH$2,Liste_Handelsünger[Handelsdünger])&gt;0)),ROW()-2),1),"")</f>
        <v>COMPLEX 14/10/20+10S</v>
      </c>
      <c r="BH28" t="str">
        <f>IF(($A40=""),"",IF(COUNTIF(Mineral!$AJ$3:$AJ$324,$A40),"",$A40))</f>
        <v/>
      </c>
      <c r="BI28" t="str">
        <f>IFERROR(INDEX(Liste_Handelsünger[Handelsdünger],_xlfn.AGGREGATE(15,6,(ROW(Liste_Handelsünger[Handelsdünger])-1)/(--(SEARCH(BJ$2,Liste_Handelsünger[Handelsdünger])&gt;0)),ROW()-2),1),"")</f>
        <v>COMPLEX 14/10/20+10S</v>
      </c>
      <c r="BJ28" t="str">
        <f>IF(($A41=""),"",IF(COUNTIF(Mineral!$AJ$3:$AJ$324,$A41),"",$A41))</f>
        <v/>
      </c>
      <c r="BK28" t="str">
        <f>IFERROR(INDEX(Liste_Handelsünger[Handelsdünger],_xlfn.AGGREGATE(15,6,(ROW(Liste_Handelsünger[Handelsdünger])-1)/(--(SEARCH(BL$2,Liste_Handelsünger[Handelsdünger])&gt;0)),ROW()-2),1),"")</f>
        <v>COMPLEX 14/10/20+10S</v>
      </c>
      <c r="BM28" t="str">
        <f>IFERROR(INDEX(Liste_Handelsünger[Handelsdünger],_xlfn.AGGREGATE(15,6,(ROW(Liste_Handelsünger[Handelsdünger])-1)/(--(SEARCH(BN$2,Liste_Handelsünger[Handelsdünger])&gt;0)),ROW()-2),1),"")</f>
        <v>COMPLEX 14/10/20+10S</v>
      </c>
      <c r="BN28" t="str">
        <f>IF(($A43=""),"",IF(COUNTIF(Mineral!$AJ$3:$AJ$324,$A43),"",$A43))</f>
        <v/>
      </c>
      <c r="BV28" t="s">
        <v>2082</v>
      </c>
      <c r="BW28" t="s">
        <v>2048</v>
      </c>
    </row>
    <row r="29" spans="1:75" ht="21.75" customHeight="1" thickTop="1" thickBot="1">
      <c r="A29" s="771" t="s">
        <v>1196</v>
      </c>
      <c r="B29" s="772"/>
      <c r="C29" s="773"/>
      <c r="D29" s="773"/>
      <c r="E29" s="773"/>
      <c r="F29" s="773"/>
      <c r="G29" s="773"/>
      <c r="H29" s="773"/>
      <c r="I29" s="773"/>
      <c r="J29" s="773"/>
      <c r="K29" s="773"/>
      <c r="L29" s="773"/>
      <c r="S29" s="1616">
        <v>28</v>
      </c>
      <c r="T29" s="1617" t="s">
        <v>2335</v>
      </c>
      <c r="U29" s="1617" t="s">
        <v>2083</v>
      </c>
      <c r="V29" s="1617"/>
      <c r="W29" s="1617">
        <v>15</v>
      </c>
      <c r="X29" s="1617">
        <v>15</v>
      </c>
      <c r="Y29" s="1617">
        <v>15</v>
      </c>
      <c r="Z29" s="1617">
        <v>8</v>
      </c>
      <c r="AA29" s="1617">
        <v>0</v>
      </c>
      <c r="AB29" s="1617">
        <v>0</v>
      </c>
      <c r="AC29" s="1617">
        <v>1</v>
      </c>
      <c r="AD29" s="1613">
        <v>1</v>
      </c>
      <c r="AE29" s="1617" t="s">
        <v>2016</v>
      </c>
      <c r="AF29" s="1613" t="str">
        <f t="shared" si="7"/>
        <v/>
      </c>
      <c r="AG29" s="1656">
        <f>IFERROR(IF($AF29&gt;0,VLOOKUP($U29,Tabelle1!$C$188:$L$212,5,0)*$AF29,0),0)</f>
        <v>0</v>
      </c>
      <c r="AH29" s="1656">
        <f t="shared" si="8"/>
        <v>0</v>
      </c>
      <c r="AJ29" t="str">
        <f>IF(Betrieb!$D$9="JA",Mineral!$BW29,Mineral!$BV29)</f>
        <v>COMPLEX 15/15/15+8S+Zn</v>
      </c>
      <c r="AK29" s="1606" t="str">
        <f>IFERROR(INDEX(Liste_Handelsünger[Handelsdünger],_xlfn.AGGREGATE(15,6,(ROW(Liste_Handelsünger[Handelsdünger])-1)/(--(SEARCH(AL$2,Liste_Handelsünger[Handelsdünger])&gt;0)),ROW()-2),1),"")</f>
        <v>COMPLEX 15/15/15+8S+Zn</v>
      </c>
      <c r="AL29" s="1606" t="str">
        <f>IF(($A$3=""),"",IF(COUNTIF(Mineral!$AJ$3:$AJ$324,$A$3),"",$A$3))</f>
        <v/>
      </c>
      <c r="AM29" s="1606" t="str">
        <f>IFERROR(INDEX(Liste_Handelsünger[Handelsdünger],_xlfn.AGGREGATE(15,6,(ROW(Liste_Handelsünger[Handelsdünger])-1)/(--(SEARCH(AN$2,Liste_Handelsünger[Handelsdünger])&gt;0)),ROW()-2),1),"")</f>
        <v>COMPLEX 15/15/15+8S+Zn</v>
      </c>
      <c r="AN29" t="str">
        <f>IF(($A31=""),"",IF(COUNTIF(Mineral!$AJ$3:$AJ$324,$A31),"",$A31))</f>
        <v/>
      </c>
      <c r="AO29" t="str">
        <f>IFERROR(INDEX(Liste_Handelsünger[Handelsdünger],_xlfn.AGGREGATE(15,6,(ROW(Liste_Handelsünger[Handelsdünger])-1)/(--(SEARCH(AP$2,Liste_Handelsünger[Handelsdünger])&gt;0)),ROW()-2),1),"")</f>
        <v>COMPLEX 15/15/15+8S+Zn</v>
      </c>
      <c r="AP29" t="str">
        <f>IF(($A32=""),"",IF(COUNTIF(Mineral!$AJ$3:$AJ$324,$A32),"",$A32))</f>
        <v/>
      </c>
      <c r="AQ29" t="str">
        <f>IFERROR(INDEX(Liste_Handelsünger[Handelsdünger],_xlfn.AGGREGATE(15,6,(ROW(Liste_Handelsünger[Handelsdünger])-1)/(--(SEARCH(AR$2,Liste_Handelsünger[Handelsdünger])&gt;0)),ROW()-2),1),"")</f>
        <v>COMPLEX 15/15/15+8S+Zn</v>
      </c>
      <c r="AR29" t="str">
        <f>IF(($A33=""),"",IF(COUNTIF(Mineral!$AJ$3:$AJ$324,$A33),"",$A33))</f>
        <v/>
      </c>
      <c r="AS29" t="str">
        <f>IFERROR(INDEX(Liste_Handelsünger[Handelsdünger],_xlfn.AGGREGATE(15,6,(ROW(Liste_Handelsünger[Handelsdünger])-1)/(--(SEARCH(AT$2,Liste_Handelsünger[Handelsdünger])&gt;0)),ROW()-2),1),"")</f>
        <v>COMPLEX 15/15/15+8S+Zn</v>
      </c>
      <c r="AT29" t="str">
        <f>IF(($A34=""),"",IF(COUNTIF(Mineral!$AJ$3:$AJ$324,$A34),"",$A34))</f>
        <v/>
      </c>
      <c r="AU29" t="str">
        <f>IFERROR(INDEX(Liste_Handelsünger[Handelsdünger],_xlfn.AGGREGATE(15,6,(ROW(Liste_Handelsünger[Handelsdünger])-1)/(--(SEARCH(AV$2,Liste_Handelsünger[Handelsdünger])&gt;0)),ROW()-2),1),"")</f>
        <v>COMPLEX 15/15/15+8S+Zn</v>
      </c>
      <c r="AV29" t="str">
        <f>IF(($A35=""),"",IF(COUNTIF(Mineral!$AJ$3:$AJ$324,$A35),"",$A35))</f>
        <v/>
      </c>
      <c r="AW29" t="str">
        <f>IFERROR(INDEX(Liste_Handelsünger[Handelsdünger],_xlfn.AGGREGATE(15,6,(ROW(Liste_Handelsünger[Handelsdünger])-1)/(--(SEARCH(AX$2,Liste_Handelsünger[Handelsdünger])&gt;0)),ROW()-2),1),"")</f>
        <v>COMPLEX 15/15/15+8S+Zn</v>
      </c>
      <c r="AX29" t="str">
        <f>IF(($A36=""),"",IF(COUNTIF(Mineral!$AJ$3:$AJ$324,$A36),"",$A36))</f>
        <v/>
      </c>
      <c r="AY29" t="str">
        <f>IFERROR(INDEX(Liste_Handelsünger[Handelsdünger],_xlfn.AGGREGATE(15,6,(ROW(Liste_Handelsünger[Handelsdünger])-1)/(--(SEARCH(AZ$2,Liste_Handelsünger[Handelsdünger])&gt;0)),ROW()-2),1),"")</f>
        <v>COMPLEX 15/15/15+8S+Zn</v>
      </c>
      <c r="AZ29" t="str">
        <f>IF(($A37=""),"",IF(COUNTIF(Mineral!$AJ$3:$AJ$324,$A37),"",$A37))</f>
        <v/>
      </c>
      <c r="BA29" t="str">
        <f>IFERROR(INDEX(Liste_Handelsünger[Handelsdünger],_xlfn.AGGREGATE(15,6,(ROW(Liste_Handelsünger[Handelsdünger])-1)/(--(SEARCH(BB$2,Liste_Handelsünger[Handelsdünger])&gt;0)),ROW()-2),1),"")</f>
        <v>COMPLEX 15/15/15+8S+Zn</v>
      </c>
      <c r="BB29" t="str">
        <f>IF(($A38=""),"",IF(COUNTIF(Mineral!$AJ$3:$AJ$324,$A38),"",$A38))</f>
        <v/>
      </c>
      <c r="BC29" t="str">
        <f>IFERROR(INDEX(Liste_Handelsünger[Handelsdünger],_xlfn.AGGREGATE(15,6,(ROW(Liste_Handelsünger[Handelsdünger])-1)/(--(SEARCH(BD$2,Liste_Handelsünger[Handelsdünger])&gt;0)),ROW()-2),1),"")</f>
        <v>COMPLEX 15/15/15+8S+Zn</v>
      </c>
      <c r="BD29" t="str">
        <f>IF(($A39=""),"",IF(COUNTIF(Mineral!$AJ$3:$AJ$324,$A39),"",$A39))</f>
        <v/>
      </c>
      <c r="BE29" t="str">
        <f>IFERROR(INDEX(Liste_Handelsünger[Handelsdünger],_xlfn.AGGREGATE(15,6,(ROW(Liste_Handelsünger[Handelsdünger])-1)/(--(SEARCH(BF$2,Liste_Handelsünger[Handelsdünger])&gt;0)),ROW()-2),1),"")</f>
        <v>COMPLEX 15/15/15+8S+Zn</v>
      </c>
      <c r="BF29" t="str">
        <f>IF(($A40=""),"",IF(COUNTIF(Mineral!$AJ$3:$AJ$324,$A40),"",$A40))</f>
        <v/>
      </c>
      <c r="BG29" t="str">
        <f>IFERROR(INDEX(Liste_Handelsünger[Handelsdünger],_xlfn.AGGREGATE(15,6,(ROW(Liste_Handelsünger[Handelsdünger])-1)/(--(SEARCH(BH$2,Liste_Handelsünger[Handelsdünger])&gt;0)),ROW()-2),1),"")</f>
        <v>COMPLEX 15/15/15+8S+Zn</v>
      </c>
      <c r="BH29" t="str">
        <f>IF(($A41=""),"",IF(COUNTIF(Mineral!$AJ$3:$AJ$324,$A41),"",$A41))</f>
        <v/>
      </c>
      <c r="BI29" t="str">
        <f>IFERROR(INDEX(Liste_Handelsünger[Handelsdünger],_xlfn.AGGREGATE(15,6,(ROW(Liste_Handelsünger[Handelsdünger])-1)/(--(SEARCH(BJ$2,Liste_Handelsünger[Handelsdünger])&gt;0)),ROW()-2),1),"")</f>
        <v>COMPLEX 15/15/15+8S+Zn</v>
      </c>
      <c r="BJ29" t="str">
        <f>IF(($A42=""),"",IF(COUNTIF(Mineral!$AJ$3:$AJ$324,$A42),"",$A42))</f>
        <v/>
      </c>
      <c r="BK29" t="str">
        <f>IFERROR(INDEX(Liste_Handelsünger[Handelsdünger],_xlfn.AGGREGATE(15,6,(ROW(Liste_Handelsünger[Handelsdünger])-1)/(--(SEARCH(BL$2,Liste_Handelsünger[Handelsdünger])&gt;0)),ROW()-2),1),"")</f>
        <v>COMPLEX 15/15/15+8S+Zn</v>
      </c>
      <c r="BM29" t="str">
        <f>IFERROR(INDEX(Liste_Handelsünger[Handelsdünger],_xlfn.AGGREGATE(15,6,(ROW(Liste_Handelsünger[Handelsdünger])-1)/(--(SEARCH(BN$2,Liste_Handelsünger[Handelsdünger])&gt;0)),ROW()-2),1),"")</f>
        <v>COMPLEX 15/15/15+8S+Zn</v>
      </c>
      <c r="BN29" t="str">
        <f>IF(($A44=""),"",IF(COUNTIF(Mineral!$AJ$3:$AJ$324,$A44),"",$A44))</f>
        <v/>
      </c>
      <c r="BV29" t="s">
        <v>2083</v>
      </c>
      <c r="BW29" t="s">
        <v>2050</v>
      </c>
    </row>
    <row r="30" spans="1:75" ht="21.75" customHeight="1" thickTop="1" thickBot="1">
      <c r="A30" s="775" t="s">
        <v>1197</v>
      </c>
      <c r="B30" s="774"/>
      <c r="C30" s="773"/>
      <c r="D30" s="773"/>
      <c r="E30" s="773"/>
      <c r="F30" s="773"/>
      <c r="G30" s="773"/>
      <c r="H30" s="773"/>
      <c r="I30" s="773"/>
      <c r="J30" s="773"/>
      <c r="K30" s="773"/>
      <c r="L30" s="773"/>
      <c r="S30" s="1676">
        <v>29</v>
      </c>
      <c r="T30" s="1606" t="s">
        <v>2335</v>
      </c>
      <c r="U30" s="1606" t="s">
        <v>2088</v>
      </c>
      <c r="V30" s="1606"/>
      <c r="W30" s="1606">
        <v>20</v>
      </c>
      <c r="X30" s="1606">
        <v>8</v>
      </c>
      <c r="Y30" s="1606">
        <v>8</v>
      </c>
      <c r="Z30" s="1606">
        <v>4</v>
      </c>
      <c r="AA30" s="1606">
        <v>0</v>
      </c>
      <c r="AB30" s="1606">
        <v>3</v>
      </c>
      <c r="AC30" s="1606">
        <v>1</v>
      </c>
      <c r="AD30" s="1613">
        <v>1</v>
      </c>
      <c r="AE30" s="1606" t="s">
        <v>2016</v>
      </c>
      <c r="AF30" s="1613" t="str">
        <f t="shared" si="7"/>
        <v/>
      </c>
      <c r="AG30" s="1656">
        <f>IFERROR(IF($AF30&gt;0,VLOOKUP($U30,Tabelle1!$C$188:$L$212,5,0)*$AF30,0),0)</f>
        <v>0</v>
      </c>
      <c r="AH30" s="1656">
        <f t="shared" si="8"/>
        <v>0</v>
      </c>
      <c r="AJ30" t="str">
        <f>IF(Betrieb!$D$9="JA",Mineral!$BW30,Mineral!$BV30)</f>
        <v>COMPLEX 20/8/8+3MgO+4S</v>
      </c>
      <c r="AK30" s="1617" t="str">
        <f>IFERROR(INDEX(Liste_Handelsünger[Handelsdünger],_xlfn.AGGREGATE(15,6,(ROW(Liste_Handelsünger[Handelsdünger])-1)/(--(SEARCH(AL$2,Liste_Handelsünger[Handelsdünger])&gt;0)),ROW()-2),1),"")</f>
        <v>COMPLEX 20/8/8+3MgO+4S</v>
      </c>
      <c r="AL30" s="1617" t="str">
        <f>IF(($A$3=""),"",IF(COUNTIF(Mineral!$AJ$3:$AJ$324,$A$3),"",$A$3))</f>
        <v/>
      </c>
      <c r="AM30" s="1617" t="str">
        <f>IFERROR(INDEX(Liste_Handelsünger[Handelsdünger],_xlfn.AGGREGATE(15,6,(ROW(Liste_Handelsünger[Handelsdünger])-1)/(--(SEARCH(AN$2,Liste_Handelsünger[Handelsdünger])&gt;0)),ROW()-2),1),"")</f>
        <v>COMPLEX 20/8/8+3MgO+4S</v>
      </c>
      <c r="AN30" t="str">
        <f>IF(($A32=""),"",IF(COUNTIF(Mineral!$AJ$3:$AJ$324,$A32),"",$A32))</f>
        <v/>
      </c>
      <c r="AO30" t="str">
        <f>IFERROR(INDEX(Liste_Handelsünger[Handelsdünger],_xlfn.AGGREGATE(15,6,(ROW(Liste_Handelsünger[Handelsdünger])-1)/(--(SEARCH(AP$2,Liste_Handelsünger[Handelsdünger])&gt;0)),ROW()-2),1),"")</f>
        <v>COMPLEX 20/8/8+3MgO+4S</v>
      </c>
      <c r="AP30" t="str">
        <f>IF(($A33=""),"",IF(COUNTIF(Mineral!$AJ$3:$AJ$324,$A33),"",$A33))</f>
        <v/>
      </c>
      <c r="AQ30" t="str">
        <f>IFERROR(INDEX(Liste_Handelsünger[Handelsdünger],_xlfn.AGGREGATE(15,6,(ROW(Liste_Handelsünger[Handelsdünger])-1)/(--(SEARCH(AR$2,Liste_Handelsünger[Handelsdünger])&gt;0)),ROW()-2),1),"")</f>
        <v>COMPLEX 20/8/8+3MgO+4S</v>
      </c>
      <c r="AR30" t="str">
        <f>IF(($A34=""),"",IF(COUNTIF(Mineral!$AJ$3:$AJ$324,$A34),"",$A34))</f>
        <v/>
      </c>
      <c r="AS30" t="str">
        <f>IFERROR(INDEX(Liste_Handelsünger[Handelsdünger],_xlfn.AGGREGATE(15,6,(ROW(Liste_Handelsünger[Handelsdünger])-1)/(--(SEARCH(AT$2,Liste_Handelsünger[Handelsdünger])&gt;0)),ROW()-2),1),"")</f>
        <v>COMPLEX 20/8/8+3MgO+4S</v>
      </c>
      <c r="AT30" t="str">
        <f>IF(($A35=""),"",IF(COUNTIF(Mineral!$AJ$3:$AJ$324,$A35),"",$A35))</f>
        <v/>
      </c>
      <c r="AU30" t="str">
        <f>IFERROR(INDEX(Liste_Handelsünger[Handelsdünger],_xlfn.AGGREGATE(15,6,(ROW(Liste_Handelsünger[Handelsdünger])-1)/(--(SEARCH(AV$2,Liste_Handelsünger[Handelsdünger])&gt;0)),ROW()-2),1),"")</f>
        <v>COMPLEX 20/8/8+3MgO+4S</v>
      </c>
      <c r="AV30" t="str">
        <f>IF(($A36=""),"",IF(COUNTIF(Mineral!$AJ$3:$AJ$324,$A36),"",$A36))</f>
        <v/>
      </c>
      <c r="AW30" t="str">
        <f>IFERROR(INDEX(Liste_Handelsünger[Handelsdünger],_xlfn.AGGREGATE(15,6,(ROW(Liste_Handelsünger[Handelsdünger])-1)/(--(SEARCH(AX$2,Liste_Handelsünger[Handelsdünger])&gt;0)),ROW()-2),1),"")</f>
        <v>COMPLEX 20/8/8+3MgO+4S</v>
      </c>
      <c r="AX30" t="str">
        <f>IF(($A37=""),"",IF(COUNTIF(Mineral!$AJ$3:$AJ$324,$A37),"",$A37))</f>
        <v/>
      </c>
      <c r="AY30" t="str">
        <f>IFERROR(INDEX(Liste_Handelsünger[Handelsdünger],_xlfn.AGGREGATE(15,6,(ROW(Liste_Handelsünger[Handelsdünger])-1)/(--(SEARCH(AZ$2,Liste_Handelsünger[Handelsdünger])&gt;0)),ROW()-2),1),"")</f>
        <v>COMPLEX 20/8/8+3MgO+4S</v>
      </c>
      <c r="AZ30" t="str">
        <f>IF(($A38=""),"",IF(COUNTIF(Mineral!$AJ$3:$AJ$324,$A38),"",$A38))</f>
        <v/>
      </c>
      <c r="BA30" t="str">
        <f>IFERROR(INDEX(Liste_Handelsünger[Handelsdünger],_xlfn.AGGREGATE(15,6,(ROW(Liste_Handelsünger[Handelsdünger])-1)/(--(SEARCH(BB$2,Liste_Handelsünger[Handelsdünger])&gt;0)),ROW()-2),1),"")</f>
        <v>COMPLEX 20/8/8+3MgO+4S</v>
      </c>
      <c r="BB30" t="str">
        <f>IF(($A39=""),"",IF(COUNTIF(Mineral!$AJ$3:$AJ$324,$A39),"",$A39))</f>
        <v/>
      </c>
      <c r="BC30" t="str">
        <f>IFERROR(INDEX(Liste_Handelsünger[Handelsdünger],_xlfn.AGGREGATE(15,6,(ROW(Liste_Handelsünger[Handelsdünger])-1)/(--(SEARCH(BD$2,Liste_Handelsünger[Handelsdünger])&gt;0)),ROW()-2),1),"")</f>
        <v>COMPLEX 20/8/8+3MgO+4S</v>
      </c>
      <c r="BD30" t="str">
        <f>IF(($A40=""),"",IF(COUNTIF(Mineral!$AJ$3:$AJ$324,$A40),"",$A40))</f>
        <v/>
      </c>
      <c r="BE30" t="str">
        <f>IFERROR(INDEX(Liste_Handelsünger[Handelsdünger],_xlfn.AGGREGATE(15,6,(ROW(Liste_Handelsünger[Handelsdünger])-1)/(--(SEARCH(BF$2,Liste_Handelsünger[Handelsdünger])&gt;0)),ROW()-2),1),"")</f>
        <v>COMPLEX 20/8/8+3MgO+4S</v>
      </c>
      <c r="BF30" t="str">
        <f>IF(($A41=""),"",IF(COUNTIF(Mineral!$AJ$3:$AJ$324,$A41),"",$A41))</f>
        <v/>
      </c>
      <c r="BG30" t="str">
        <f>IFERROR(INDEX(Liste_Handelsünger[Handelsdünger],_xlfn.AGGREGATE(15,6,(ROW(Liste_Handelsünger[Handelsdünger])-1)/(--(SEARCH(BH$2,Liste_Handelsünger[Handelsdünger])&gt;0)),ROW()-2),1),"")</f>
        <v>COMPLEX 20/8/8+3MgO+4S</v>
      </c>
      <c r="BH30" t="str">
        <f>IF(($A42=""),"",IF(COUNTIF(Mineral!$AJ$3:$AJ$324,$A42),"",$A42))</f>
        <v/>
      </c>
      <c r="BI30" t="str">
        <f>IFERROR(INDEX(Liste_Handelsünger[Handelsdünger],_xlfn.AGGREGATE(15,6,(ROW(Liste_Handelsünger[Handelsdünger])-1)/(--(SEARCH(BJ$2,Liste_Handelsünger[Handelsdünger])&gt;0)),ROW()-2),1),"")</f>
        <v>COMPLEX 20/8/8+3MgO+4S</v>
      </c>
      <c r="BJ30" t="str">
        <f>IF(($A43=""),"",IF(COUNTIF(Mineral!$AJ$3:$AJ$324,$A43),"",$A43))</f>
        <v/>
      </c>
      <c r="BK30" t="str">
        <f>IFERROR(INDEX(Liste_Handelsünger[Handelsdünger],_xlfn.AGGREGATE(15,6,(ROW(Liste_Handelsünger[Handelsdünger])-1)/(--(SEARCH(BL$2,Liste_Handelsünger[Handelsdünger])&gt;0)),ROW()-2),1),"")</f>
        <v>COMPLEX 20/8/8+3MgO+4S</v>
      </c>
      <c r="BM30" t="str">
        <f>IFERROR(INDEX(Liste_Handelsünger[Handelsdünger],_xlfn.AGGREGATE(15,6,(ROW(Liste_Handelsünger[Handelsdünger])-1)/(--(SEARCH(BN$2,Liste_Handelsünger[Handelsdünger])&gt;0)),ROW()-2),1),"")</f>
        <v>COMPLEX 20/8/8+3MgO+4S</v>
      </c>
      <c r="BN30" t="str">
        <f>IF(($A45=""),"",IF(COUNTIF(Mineral!$AJ$3:$AJ$324,$A45),"",$A45))</f>
        <v/>
      </c>
      <c r="BV30" t="s">
        <v>2088</v>
      </c>
      <c r="BW30" t="s">
        <v>2052</v>
      </c>
    </row>
    <row r="31" spans="1:75" ht="21.75" customHeight="1" thickTop="1" thickBot="1">
      <c r="A31" s="1592"/>
      <c r="B31" s="3"/>
      <c r="C31" s="1593"/>
      <c r="D31" s="1594"/>
      <c r="E31" s="1594"/>
      <c r="F31" s="1594"/>
      <c r="G31" s="1594"/>
      <c r="H31" s="3"/>
      <c r="J31" s="3"/>
      <c r="K31" s="3"/>
      <c r="L31" s="1596"/>
      <c r="R31" t="s">
        <v>2927</v>
      </c>
      <c r="S31" s="1616">
        <v>30</v>
      </c>
      <c r="T31" s="1617" t="s">
        <v>2335</v>
      </c>
      <c r="U31" s="1617" t="s">
        <v>2091</v>
      </c>
      <c r="V31" s="1617"/>
      <c r="W31" s="1617">
        <v>15</v>
      </c>
      <c r="X31" s="1617">
        <v>5</v>
      </c>
      <c r="Y31" s="1617">
        <v>18</v>
      </c>
      <c r="Z31" s="1617">
        <v>25</v>
      </c>
      <c r="AA31" s="1617">
        <v>1.1000000000000001</v>
      </c>
      <c r="AB31" s="1617">
        <v>2.5</v>
      </c>
      <c r="AC31" s="1617">
        <v>1</v>
      </c>
      <c r="AD31" s="1613">
        <v>1</v>
      </c>
      <c r="AE31" s="1617" t="s">
        <v>2016</v>
      </c>
      <c r="AF31" s="1613" t="str">
        <f t="shared" si="7"/>
        <v/>
      </c>
      <c r="AG31" s="1656">
        <f>IFERROR(IF($AF31&gt;0,VLOOKUP($U31,Tabelle1!$C$188:$L$212,5,0)*$AF31,0),0)</f>
        <v>0</v>
      </c>
      <c r="AH31" s="1656">
        <f t="shared" si="8"/>
        <v>0</v>
      </c>
      <c r="AJ31" t="str">
        <f>IF(Betrieb!$D$9="JA",Mineral!$BW31,Mineral!$BV31)</f>
        <v>COMPLEX SOP 15/5/18+2,5MgO+25S+B+Zn</v>
      </c>
      <c r="AK31" s="1606" t="str">
        <f>IFERROR(INDEX(Liste_Handelsünger[Handelsdünger],_xlfn.AGGREGATE(15,6,(ROW(Liste_Handelsünger[Handelsdünger])-1)/(--(SEARCH(AL$2,Liste_Handelsünger[Handelsdünger])&gt;0)),ROW()-2),1),"")</f>
        <v>COMPLEX SOP 15/5/18+2,5MgO+25S+B+Zn</v>
      </c>
      <c r="AL31" s="1606" t="str">
        <f>IF(($A$3=""),"",IF(COUNTIF(Mineral!$AJ$3:$AJ$324,$A$3),"",$A$3))</f>
        <v/>
      </c>
      <c r="AM31" s="1606" t="str">
        <f>IFERROR(INDEX(Liste_Handelsünger[Handelsdünger],_xlfn.AGGREGATE(15,6,(ROW(Liste_Handelsünger[Handelsdünger])-1)/(--(SEARCH(AN$2,Liste_Handelsünger[Handelsdünger])&gt;0)),ROW()-2),1),"")</f>
        <v>COMPLEX SOP 15/5/18+2,5MgO+25S+B+Zn</v>
      </c>
      <c r="AN31" t="str">
        <f>IF(($A33=""),"",IF(COUNTIF(Mineral!$AJ$3:$AJ$324,$A33),"",$A33))</f>
        <v/>
      </c>
      <c r="AO31" t="str">
        <f>IFERROR(INDEX(Liste_Handelsünger[Handelsdünger],_xlfn.AGGREGATE(15,6,(ROW(Liste_Handelsünger[Handelsdünger])-1)/(--(SEARCH(AP$2,Liste_Handelsünger[Handelsdünger])&gt;0)),ROW()-2),1),"")</f>
        <v>COMPLEX SOP 15/5/18+2,5MgO+25S+B+Zn</v>
      </c>
      <c r="AP31" t="str">
        <f>IF(($A34=""),"",IF(COUNTIF(Mineral!$AJ$3:$AJ$324,$A34),"",$A34))</f>
        <v/>
      </c>
      <c r="AQ31" t="str">
        <f>IFERROR(INDEX(Liste_Handelsünger[Handelsdünger],_xlfn.AGGREGATE(15,6,(ROW(Liste_Handelsünger[Handelsdünger])-1)/(--(SEARCH(AR$2,Liste_Handelsünger[Handelsdünger])&gt;0)),ROW()-2),1),"")</f>
        <v>COMPLEX SOP 15/5/18+2,5MgO+25S+B+Zn</v>
      </c>
      <c r="AR31" t="str">
        <f>IF(($A35=""),"",IF(COUNTIF(Mineral!$AJ$3:$AJ$324,$A35),"",$A35))</f>
        <v/>
      </c>
      <c r="AS31" t="str">
        <f>IFERROR(INDEX(Liste_Handelsünger[Handelsdünger],_xlfn.AGGREGATE(15,6,(ROW(Liste_Handelsünger[Handelsdünger])-1)/(--(SEARCH(AT$2,Liste_Handelsünger[Handelsdünger])&gt;0)),ROW()-2),1),"")</f>
        <v>COMPLEX SOP 15/5/18+2,5MgO+25S+B+Zn</v>
      </c>
      <c r="AT31" t="str">
        <f>IF(($A36=""),"",IF(COUNTIF(Mineral!$AJ$3:$AJ$324,$A36),"",$A36))</f>
        <v/>
      </c>
      <c r="AU31" t="str">
        <f>IFERROR(INDEX(Liste_Handelsünger[Handelsdünger],_xlfn.AGGREGATE(15,6,(ROW(Liste_Handelsünger[Handelsdünger])-1)/(--(SEARCH(AV$2,Liste_Handelsünger[Handelsdünger])&gt;0)),ROW()-2),1),"")</f>
        <v>COMPLEX SOP 15/5/18+2,5MgO+25S+B+Zn</v>
      </c>
      <c r="AV31" t="str">
        <f>IF(($A37=""),"",IF(COUNTIF(Mineral!$AJ$3:$AJ$324,$A37),"",$A37))</f>
        <v/>
      </c>
      <c r="AW31" t="str">
        <f>IFERROR(INDEX(Liste_Handelsünger[Handelsdünger],_xlfn.AGGREGATE(15,6,(ROW(Liste_Handelsünger[Handelsdünger])-1)/(--(SEARCH(AX$2,Liste_Handelsünger[Handelsdünger])&gt;0)),ROW()-2),1),"")</f>
        <v>COMPLEX SOP 15/5/18+2,5MgO+25S+B+Zn</v>
      </c>
      <c r="AX31" t="str">
        <f>IF(($A38=""),"",IF(COUNTIF(Mineral!$AJ$3:$AJ$324,$A38),"",$A38))</f>
        <v/>
      </c>
      <c r="AY31" t="str">
        <f>IFERROR(INDEX(Liste_Handelsünger[Handelsdünger],_xlfn.AGGREGATE(15,6,(ROW(Liste_Handelsünger[Handelsdünger])-1)/(--(SEARCH(AZ$2,Liste_Handelsünger[Handelsdünger])&gt;0)),ROW()-2),1),"")</f>
        <v>COMPLEX SOP 15/5/18+2,5MgO+25S+B+Zn</v>
      </c>
      <c r="AZ31" t="str">
        <f>IF(($A39=""),"",IF(COUNTIF(Mineral!$AJ$3:$AJ$324,$A39),"",$A39))</f>
        <v/>
      </c>
      <c r="BA31" t="str">
        <f>IFERROR(INDEX(Liste_Handelsünger[Handelsdünger],_xlfn.AGGREGATE(15,6,(ROW(Liste_Handelsünger[Handelsdünger])-1)/(--(SEARCH(BB$2,Liste_Handelsünger[Handelsdünger])&gt;0)),ROW()-2),1),"")</f>
        <v>COMPLEX SOP 15/5/18+2,5MgO+25S+B+Zn</v>
      </c>
      <c r="BB31" t="str">
        <f>IF(($A40=""),"",IF(COUNTIF(Mineral!$AJ$3:$AJ$324,$A40),"",$A40))</f>
        <v/>
      </c>
      <c r="BC31" t="str">
        <f>IFERROR(INDEX(Liste_Handelsünger[Handelsdünger],_xlfn.AGGREGATE(15,6,(ROW(Liste_Handelsünger[Handelsdünger])-1)/(--(SEARCH(BD$2,Liste_Handelsünger[Handelsdünger])&gt;0)),ROW()-2),1),"")</f>
        <v>COMPLEX SOP 15/5/18+2,5MgO+25S+B+Zn</v>
      </c>
      <c r="BD31" t="str">
        <f>IF(($A41=""),"",IF(COUNTIF(Mineral!$AJ$3:$AJ$324,$A41),"",$A41))</f>
        <v/>
      </c>
      <c r="BE31" t="str">
        <f>IFERROR(INDEX(Liste_Handelsünger[Handelsdünger],_xlfn.AGGREGATE(15,6,(ROW(Liste_Handelsünger[Handelsdünger])-1)/(--(SEARCH(BF$2,Liste_Handelsünger[Handelsdünger])&gt;0)),ROW()-2),1),"")</f>
        <v>COMPLEX SOP 15/5/18+2,5MgO+25S+B+Zn</v>
      </c>
      <c r="BF31" t="str">
        <f>IF(($A42=""),"",IF(COUNTIF(Mineral!$AJ$3:$AJ$324,$A42),"",$A42))</f>
        <v/>
      </c>
      <c r="BG31" t="str">
        <f>IFERROR(INDEX(Liste_Handelsünger[Handelsdünger],_xlfn.AGGREGATE(15,6,(ROW(Liste_Handelsünger[Handelsdünger])-1)/(--(SEARCH(BH$2,Liste_Handelsünger[Handelsdünger])&gt;0)),ROW()-2),1),"")</f>
        <v>COMPLEX SOP 15/5/18+2,5MgO+25S+B+Zn</v>
      </c>
      <c r="BH31" t="str">
        <f>IF(($A43=""),"",IF(COUNTIF(Mineral!$AJ$3:$AJ$324,$A43),"",$A43))</f>
        <v/>
      </c>
      <c r="BI31" t="str">
        <f>IFERROR(INDEX(Liste_Handelsünger[Handelsdünger],_xlfn.AGGREGATE(15,6,(ROW(Liste_Handelsünger[Handelsdünger])-1)/(--(SEARCH(BJ$2,Liste_Handelsünger[Handelsdünger])&gt;0)),ROW()-2),1),"")</f>
        <v>COMPLEX SOP 15/5/18+2,5MgO+25S+B+Zn</v>
      </c>
      <c r="BJ31" t="str">
        <f>IF(($A44=""),"",IF(COUNTIF(Mineral!$AJ$3:$AJ$324,$A44),"",$A44))</f>
        <v/>
      </c>
      <c r="BK31" t="str">
        <f>IFERROR(INDEX(Liste_Handelsünger[Handelsdünger],_xlfn.AGGREGATE(15,6,(ROW(Liste_Handelsünger[Handelsdünger])-1)/(--(SEARCH(BL$2,Liste_Handelsünger[Handelsdünger])&gt;0)),ROW()-2),1),"")</f>
        <v>COMPLEX SOP 15/5/18+2,5MgO+25S+B+Zn</v>
      </c>
      <c r="BM31" t="str">
        <f>IFERROR(INDEX(Liste_Handelsünger[Handelsdünger],_xlfn.AGGREGATE(15,6,(ROW(Liste_Handelsünger[Handelsdünger])-1)/(--(SEARCH(BN$2,Liste_Handelsünger[Handelsdünger])&gt;0)),ROW()-2),1),"")</f>
        <v>COMPLEX SOP 15/5/18+2,5MgO+25S+B+Zn</v>
      </c>
      <c r="BN31" t="str">
        <f>IF(($A46=""),"",IF(COUNTIF(Mineral!$AJ$3:$AJ$324,$A46),"",$A46))</f>
        <v/>
      </c>
      <c r="BV31" t="s">
        <v>2091</v>
      </c>
      <c r="BW31" t="s">
        <v>2053</v>
      </c>
    </row>
    <row r="32" spans="1:75" ht="21.75" customHeight="1" thickTop="1" thickBot="1">
      <c r="A32" s="1592"/>
      <c r="B32" s="3"/>
      <c r="C32" s="1593"/>
      <c r="D32" s="1594"/>
      <c r="E32" s="1594"/>
      <c r="F32" s="1594"/>
      <c r="G32" s="1594"/>
      <c r="H32" s="3"/>
      <c r="I32" s="3"/>
      <c r="J32" s="3"/>
      <c r="K32" s="3"/>
      <c r="L32" s="1595"/>
      <c r="R32" s="2206" t="str">
        <f t="array" ref="R32">IFERROR(IF(ROW(A3)&gt;COUNTA(A:A),"",INDEX(A:A,SMALL(IF(A$3:A$27&lt;&gt;"",ROW($3:$27)),ROW(A1)))),"")</f>
        <v>eigener Dünger 1</v>
      </c>
      <c r="S32" s="1676">
        <v>31</v>
      </c>
      <c r="T32" s="1606" t="s">
        <v>2335</v>
      </c>
      <c r="U32" s="1606" t="s">
        <v>2090</v>
      </c>
      <c r="V32" s="1606"/>
      <c r="W32" s="1606">
        <v>12</v>
      </c>
      <c r="X32" s="1606">
        <v>12</v>
      </c>
      <c r="Y32" s="1606">
        <v>17</v>
      </c>
      <c r="Z32" s="1606">
        <v>12</v>
      </c>
      <c r="AA32" s="1606">
        <v>5.3</v>
      </c>
      <c r="AB32" s="1606">
        <v>2</v>
      </c>
      <c r="AC32" s="1606">
        <v>1</v>
      </c>
      <c r="AD32" s="1613">
        <v>1</v>
      </c>
      <c r="AE32" s="1606" t="s">
        <v>2016</v>
      </c>
      <c r="AF32" s="1613" t="str">
        <f t="shared" si="7"/>
        <v/>
      </c>
      <c r="AG32" s="1656">
        <f>IFERROR(IF($AF32&gt;0,VLOOKUP($U32,Tabelle1!$C$188:$L$212,5,0)*$AF32,0),0)</f>
        <v>0</v>
      </c>
      <c r="AH32" s="1656">
        <f t="shared" si="8"/>
        <v>0</v>
      </c>
      <c r="AJ32" t="str">
        <f>IF(Betrieb!$D$9="JA",Mineral!$BW32,Mineral!$BV32)</f>
        <v>COMPLEX SOP 12/12/17+2MgO+12S+B+Zn</v>
      </c>
      <c r="AK32" s="1617" t="str">
        <f>IFERROR(INDEX(Liste_Handelsünger[Handelsdünger],_xlfn.AGGREGATE(15,6,(ROW(Liste_Handelsünger[Handelsdünger])-1)/(--(SEARCH(AL$2,Liste_Handelsünger[Handelsdünger])&gt;0)),ROW()-2),1),"")</f>
        <v>COMPLEX SOP 12/12/17+2MgO+12S+B+Zn</v>
      </c>
      <c r="AL32" s="1617" t="str">
        <f>IF(($A$3=""),"",IF(COUNTIF(Mineral!$AJ$3:$AJ$324,$A$3),"",$A$3))</f>
        <v/>
      </c>
      <c r="AM32" s="1617" t="str">
        <f>IFERROR(INDEX(Liste_Handelsünger[Handelsdünger],_xlfn.AGGREGATE(15,6,(ROW(Liste_Handelsünger[Handelsdünger])-1)/(--(SEARCH(AN$2,Liste_Handelsünger[Handelsdünger])&gt;0)),ROW()-2),1),"")</f>
        <v>COMPLEX SOP 12/12/17+2MgO+12S+B+Zn</v>
      </c>
      <c r="AN32" t="str">
        <f>IF(($A34=""),"",IF(COUNTIF(Mineral!$AJ$3:$AJ$324,$A34),"",$A34))</f>
        <v/>
      </c>
      <c r="AO32" t="str">
        <f>IFERROR(INDEX(Liste_Handelsünger[Handelsdünger],_xlfn.AGGREGATE(15,6,(ROW(Liste_Handelsünger[Handelsdünger])-1)/(--(SEARCH(AP$2,Liste_Handelsünger[Handelsdünger])&gt;0)),ROW()-2),1),"")</f>
        <v>COMPLEX SOP 12/12/17+2MgO+12S+B+Zn</v>
      </c>
      <c r="AP32" t="str">
        <f>IF(($A35=""),"",IF(COUNTIF(Mineral!$AJ$3:$AJ$324,$A35),"",$A35))</f>
        <v/>
      </c>
      <c r="AQ32" t="str">
        <f>IFERROR(INDEX(Liste_Handelsünger[Handelsdünger],_xlfn.AGGREGATE(15,6,(ROW(Liste_Handelsünger[Handelsdünger])-1)/(--(SEARCH(AR$2,Liste_Handelsünger[Handelsdünger])&gt;0)),ROW()-2),1),"")</f>
        <v>COMPLEX SOP 12/12/17+2MgO+12S+B+Zn</v>
      </c>
      <c r="AR32" t="str">
        <f>IF(($A36=""),"",IF(COUNTIF(Mineral!$AJ$3:$AJ$324,$A36),"",$A36))</f>
        <v/>
      </c>
      <c r="AS32" t="str">
        <f>IFERROR(INDEX(Liste_Handelsünger[Handelsdünger],_xlfn.AGGREGATE(15,6,(ROW(Liste_Handelsünger[Handelsdünger])-1)/(--(SEARCH(AT$2,Liste_Handelsünger[Handelsdünger])&gt;0)),ROW()-2),1),"")</f>
        <v>COMPLEX SOP 12/12/17+2MgO+12S+B+Zn</v>
      </c>
      <c r="AT32" t="str">
        <f>IF(($A37=""),"",IF(COUNTIF(Mineral!$AJ$3:$AJ$324,$A37),"",$A37))</f>
        <v/>
      </c>
      <c r="AU32" t="str">
        <f>IFERROR(INDEX(Liste_Handelsünger[Handelsdünger],_xlfn.AGGREGATE(15,6,(ROW(Liste_Handelsünger[Handelsdünger])-1)/(--(SEARCH(AV$2,Liste_Handelsünger[Handelsdünger])&gt;0)),ROW()-2),1),"")</f>
        <v>COMPLEX SOP 12/12/17+2MgO+12S+B+Zn</v>
      </c>
      <c r="AV32" t="str">
        <f>IF(($A38=""),"",IF(COUNTIF(Mineral!$AJ$3:$AJ$324,$A38),"",$A38))</f>
        <v/>
      </c>
      <c r="AW32" t="str">
        <f>IFERROR(INDEX(Liste_Handelsünger[Handelsdünger],_xlfn.AGGREGATE(15,6,(ROW(Liste_Handelsünger[Handelsdünger])-1)/(--(SEARCH(AX$2,Liste_Handelsünger[Handelsdünger])&gt;0)),ROW()-2),1),"")</f>
        <v>COMPLEX SOP 12/12/17+2MgO+12S+B+Zn</v>
      </c>
      <c r="AX32" t="str">
        <f>IF(($A39=""),"",IF(COUNTIF(Mineral!$AJ$3:$AJ$324,$A39),"",$A39))</f>
        <v/>
      </c>
      <c r="AY32" t="str">
        <f>IFERROR(INDEX(Liste_Handelsünger[Handelsdünger],_xlfn.AGGREGATE(15,6,(ROW(Liste_Handelsünger[Handelsdünger])-1)/(--(SEARCH(AZ$2,Liste_Handelsünger[Handelsdünger])&gt;0)),ROW()-2),1),"")</f>
        <v>COMPLEX SOP 12/12/17+2MgO+12S+B+Zn</v>
      </c>
      <c r="AZ32" t="str">
        <f>IF(($A40=""),"",IF(COUNTIF(Mineral!$AJ$3:$AJ$324,$A40),"",$A40))</f>
        <v/>
      </c>
      <c r="BA32" t="str">
        <f>IFERROR(INDEX(Liste_Handelsünger[Handelsdünger],_xlfn.AGGREGATE(15,6,(ROW(Liste_Handelsünger[Handelsdünger])-1)/(--(SEARCH(BB$2,Liste_Handelsünger[Handelsdünger])&gt;0)),ROW()-2),1),"")</f>
        <v>COMPLEX SOP 12/12/17+2MgO+12S+B+Zn</v>
      </c>
      <c r="BB32" t="str">
        <f>IF(($A41=""),"",IF(COUNTIF(Mineral!$AJ$3:$AJ$324,$A41),"",$A41))</f>
        <v/>
      </c>
      <c r="BC32" t="str">
        <f>IFERROR(INDEX(Liste_Handelsünger[Handelsdünger],_xlfn.AGGREGATE(15,6,(ROW(Liste_Handelsünger[Handelsdünger])-1)/(--(SEARCH(BD$2,Liste_Handelsünger[Handelsdünger])&gt;0)),ROW()-2),1),"")</f>
        <v>COMPLEX SOP 12/12/17+2MgO+12S+B+Zn</v>
      </c>
      <c r="BD32" t="str">
        <f>IF(($A42=""),"",IF(COUNTIF(Mineral!$AJ$3:$AJ$324,$A42),"",$A42))</f>
        <v/>
      </c>
      <c r="BE32" t="str">
        <f>IFERROR(INDEX(Liste_Handelsünger[Handelsdünger],_xlfn.AGGREGATE(15,6,(ROW(Liste_Handelsünger[Handelsdünger])-1)/(--(SEARCH(BF$2,Liste_Handelsünger[Handelsdünger])&gt;0)),ROW()-2),1),"")</f>
        <v>COMPLEX SOP 12/12/17+2MgO+12S+B+Zn</v>
      </c>
      <c r="BF32" t="str">
        <f>IF(($A43=""),"",IF(COUNTIF(Mineral!$AJ$3:$AJ$324,$A43),"",$A43))</f>
        <v/>
      </c>
      <c r="BG32" t="str">
        <f>IFERROR(INDEX(Liste_Handelsünger[Handelsdünger],_xlfn.AGGREGATE(15,6,(ROW(Liste_Handelsünger[Handelsdünger])-1)/(--(SEARCH(BH$2,Liste_Handelsünger[Handelsdünger])&gt;0)),ROW()-2),1),"")</f>
        <v>COMPLEX SOP 12/12/17+2MgO+12S+B+Zn</v>
      </c>
      <c r="BH32" t="str">
        <f>IF(($A44=""),"",IF(COUNTIF(Mineral!$AJ$3:$AJ$324,$A44),"",$A44))</f>
        <v/>
      </c>
      <c r="BI32" t="str">
        <f>IFERROR(INDEX(Liste_Handelsünger[Handelsdünger],_xlfn.AGGREGATE(15,6,(ROW(Liste_Handelsünger[Handelsdünger])-1)/(--(SEARCH(BJ$2,Liste_Handelsünger[Handelsdünger])&gt;0)),ROW()-2),1),"")</f>
        <v>COMPLEX SOP 12/12/17+2MgO+12S+B+Zn</v>
      </c>
      <c r="BJ32" t="str">
        <f>IF(($A45=""),"",IF(COUNTIF(Mineral!$AJ$3:$AJ$324,$A45),"",$A45))</f>
        <v/>
      </c>
      <c r="BK32" t="str">
        <f>IFERROR(INDEX(Liste_Handelsünger[Handelsdünger],_xlfn.AGGREGATE(15,6,(ROW(Liste_Handelsünger[Handelsdünger])-1)/(--(SEARCH(BL$2,Liste_Handelsünger[Handelsdünger])&gt;0)),ROW()-2),1),"")</f>
        <v>COMPLEX SOP 12/12/17+2MgO+12S+B+Zn</v>
      </c>
      <c r="BM32" t="str">
        <f>IFERROR(INDEX(Liste_Handelsünger[Handelsdünger],_xlfn.AGGREGATE(15,6,(ROW(Liste_Handelsünger[Handelsdünger])-1)/(--(SEARCH(BN$2,Liste_Handelsünger[Handelsdünger])&gt;0)),ROW()-2),1),"")</f>
        <v>COMPLEX SOP 12/12/17+2MgO+12S+B+Zn</v>
      </c>
      <c r="BN32" t="str">
        <f>IF(($A47=""),"",IF(COUNTIF(Mineral!$AJ$3:$AJ$324,$A47),"",$A47))</f>
        <v/>
      </c>
      <c r="BV32" t="s">
        <v>2090</v>
      </c>
      <c r="BW32" t="s">
        <v>2054</v>
      </c>
    </row>
    <row r="33" spans="1:75" ht="21.75" customHeight="1" thickTop="1" thickBot="1">
      <c r="A33" s="1597"/>
      <c r="B33" s="3"/>
      <c r="C33" s="1593"/>
      <c r="D33" s="1594"/>
      <c r="E33" s="1594"/>
      <c r="F33" s="1594"/>
      <c r="G33" s="1594"/>
      <c r="H33" s="3"/>
      <c r="I33" s="3"/>
      <c r="J33" s="3"/>
      <c r="K33" s="3"/>
      <c r="L33" s="1595"/>
      <c r="R33" s="2206" t="str">
        <f t="array" ref="R33">IFERROR(IF(ROW(A4)&gt;COUNTA(A:A),"",INDEX(A:A,SMALL(IF(A$3:A$27&lt;&gt;"",ROW($3:$27)),ROW(A2)))),"")</f>
        <v>eigener Dünger 2</v>
      </c>
      <c r="S33" s="1616">
        <v>32</v>
      </c>
      <c r="T33" s="1617" t="s">
        <v>2335</v>
      </c>
      <c r="U33" s="1617" t="s">
        <v>2311</v>
      </c>
      <c r="V33" s="1617"/>
      <c r="W33" s="1617">
        <v>18</v>
      </c>
      <c r="X33" s="1617">
        <v>11</v>
      </c>
      <c r="Y33" s="1617">
        <v>11</v>
      </c>
      <c r="Z33" s="1617">
        <v>5</v>
      </c>
      <c r="AA33" s="1617">
        <v>0</v>
      </c>
      <c r="AB33" s="1617">
        <v>0</v>
      </c>
      <c r="AC33" s="1617">
        <v>1</v>
      </c>
      <c r="AD33" s="1613">
        <v>1</v>
      </c>
      <c r="AE33" s="1617" t="s">
        <v>2016</v>
      </c>
      <c r="AF33" s="1613" t="str">
        <f t="shared" si="7"/>
        <v/>
      </c>
      <c r="AG33" s="1656">
        <f>IFERROR(IF($AF33&gt;0,VLOOKUP($U33,Tabelle1!$C$188:$L$212,5,0)*$AF33,0),0)</f>
        <v>0</v>
      </c>
      <c r="AH33" s="1656">
        <f t="shared" si="8"/>
        <v>0</v>
      </c>
      <c r="AJ33" t="str">
        <f>IF(Betrieb!$D$9="JA",Mineral!$BW33,Mineral!$BV33)</f>
        <v>Vario 18/11/11+2S</v>
      </c>
      <c r="AK33" s="1606" t="str">
        <f>IFERROR(INDEX(Liste_Handelsünger[Handelsdünger],_xlfn.AGGREGATE(15,6,(ROW(Liste_Handelsünger[Handelsdünger])-1)/(--(SEARCH(AL$2,Liste_Handelsünger[Handelsdünger])&gt;0)),ROW()-2),1),"")</f>
        <v>Vario 18/11/11+2S</v>
      </c>
      <c r="AL33" s="1606" t="str">
        <f>IF(($A$3=""),"",IF(COUNTIF(Mineral!$AJ$3:$AJ$324,$A$3),"",$A$3))</f>
        <v/>
      </c>
      <c r="AM33" s="1606" t="str">
        <f>IFERROR(INDEX(Liste_Handelsünger[Handelsdünger],_xlfn.AGGREGATE(15,6,(ROW(Liste_Handelsünger[Handelsdünger])-1)/(--(SEARCH(AN$2,Liste_Handelsünger[Handelsdünger])&gt;0)),ROW()-2),1),"")</f>
        <v>Vario 18/11/11+2S</v>
      </c>
      <c r="AN33" t="str">
        <f>IF(($A35=""),"",IF(COUNTIF(Mineral!$AJ$3:$AJ$324,$A35),"",$A35))</f>
        <v/>
      </c>
      <c r="AO33" t="str">
        <f>IFERROR(INDEX(Liste_Handelsünger[Handelsdünger],_xlfn.AGGREGATE(15,6,(ROW(Liste_Handelsünger[Handelsdünger])-1)/(--(SEARCH(AP$2,Liste_Handelsünger[Handelsdünger])&gt;0)),ROW()-2),1),"")</f>
        <v>Vario 18/11/11+2S</v>
      </c>
      <c r="AP33" t="str">
        <f>IF(($A36=""),"",IF(COUNTIF(Mineral!$AJ$3:$AJ$324,$A36),"",$A36))</f>
        <v/>
      </c>
      <c r="AQ33" t="str">
        <f>IFERROR(INDEX(Liste_Handelsünger[Handelsdünger],_xlfn.AGGREGATE(15,6,(ROW(Liste_Handelsünger[Handelsdünger])-1)/(--(SEARCH(AR$2,Liste_Handelsünger[Handelsdünger])&gt;0)),ROW()-2),1),"")</f>
        <v>Vario 18/11/11+2S</v>
      </c>
      <c r="AR33" t="str">
        <f>IF(($A37=""),"",IF(COUNTIF(Mineral!$AJ$3:$AJ$324,$A37),"",$A37))</f>
        <v/>
      </c>
      <c r="AS33" t="str">
        <f>IFERROR(INDEX(Liste_Handelsünger[Handelsdünger],_xlfn.AGGREGATE(15,6,(ROW(Liste_Handelsünger[Handelsdünger])-1)/(--(SEARCH(AT$2,Liste_Handelsünger[Handelsdünger])&gt;0)),ROW()-2),1),"")</f>
        <v>Vario 18/11/11+2S</v>
      </c>
      <c r="AT33" t="str">
        <f>IF(($A38=""),"",IF(COUNTIF(Mineral!$AJ$3:$AJ$324,$A38),"",$A38))</f>
        <v/>
      </c>
      <c r="AU33" t="str">
        <f>IFERROR(INDEX(Liste_Handelsünger[Handelsdünger],_xlfn.AGGREGATE(15,6,(ROW(Liste_Handelsünger[Handelsdünger])-1)/(--(SEARCH(AV$2,Liste_Handelsünger[Handelsdünger])&gt;0)),ROW()-2),1),"")</f>
        <v>Vario 18/11/11+2S</v>
      </c>
      <c r="AV33" t="str">
        <f>IF(($A39=""),"",IF(COUNTIF(Mineral!$AJ$3:$AJ$324,$A39),"",$A39))</f>
        <v/>
      </c>
      <c r="AW33" t="str">
        <f>IFERROR(INDEX(Liste_Handelsünger[Handelsdünger],_xlfn.AGGREGATE(15,6,(ROW(Liste_Handelsünger[Handelsdünger])-1)/(--(SEARCH(AX$2,Liste_Handelsünger[Handelsdünger])&gt;0)),ROW()-2),1),"")</f>
        <v>Vario 18/11/11+2S</v>
      </c>
      <c r="AX33" t="str">
        <f>IF(($A40=""),"",IF(COUNTIF(Mineral!$AJ$3:$AJ$324,$A40),"",$A40))</f>
        <v/>
      </c>
      <c r="AY33" t="str">
        <f>IFERROR(INDEX(Liste_Handelsünger[Handelsdünger],_xlfn.AGGREGATE(15,6,(ROW(Liste_Handelsünger[Handelsdünger])-1)/(--(SEARCH(AZ$2,Liste_Handelsünger[Handelsdünger])&gt;0)),ROW()-2),1),"")</f>
        <v>Vario 18/11/11+2S</v>
      </c>
      <c r="AZ33" t="str">
        <f>IF(($A41=""),"",IF(COUNTIF(Mineral!$AJ$3:$AJ$324,$A41),"",$A41))</f>
        <v/>
      </c>
      <c r="BA33" t="str">
        <f>IFERROR(INDEX(Liste_Handelsünger[Handelsdünger],_xlfn.AGGREGATE(15,6,(ROW(Liste_Handelsünger[Handelsdünger])-1)/(--(SEARCH(BB$2,Liste_Handelsünger[Handelsdünger])&gt;0)),ROW()-2),1),"")</f>
        <v>Vario 18/11/11+2S</v>
      </c>
      <c r="BB33" t="str">
        <f>IF(($A42=""),"",IF(COUNTIF(Mineral!$AJ$3:$AJ$324,$A42),"",$A42))</f>
        <v/>
      </c>
      <c r="BC33" t="str">
        <f>IFERROR(INDEX(Liste_Handelsünger[Handelsdünger],_xlfn.AGGREGATE(15,6,(ROW(Liste_Handelsünger[Handelsdünger])-1)/(--(SEARCH(BD$2,Liste_Handelsünger[Handelsdünger])&gt;0)),ROW()-2),1),"")</f>
        <v>Vario 18/11/11+2S</v>
      </c>
      <c r="BD33" t="str">
        <f>IF(($A43=""),"",IF(COUNTIF(Mineral!$AJ$3:$AJ$324,$A43),"",$A43))</f>
        <v/>
      </c>
      <c r="BE33" t="str">
        <f>IFERROR(INDEX(Liste_Handelsünger[Handelsdünger],_xlfn.AGGREGATE(15,6,(ROW(Liste_Handelsünger[Handelsdünger])-1)/(--(SEARCH(BF$2,Liste_Handelsünger[Handelsdünger])&gt;0)),ROW()-2),1),"")</f>
        <v>Vario 18/11/11+2S</v>
      </c>
      <c r="BF33" t="str">
        <f>IF(($A44=""),"",IF(COUNTIF(Mineral!$AJ$3:$AJ$324,$A44),"",$A44))</f>
        <v/>
      </c>
      <c r="BG33" t="str">
        <f>IFERROR(INDEX(Liste_Handelsünger[Handelsdünger],_xlfn.AGGREGATE(15,6,(ROW(Liste_Handelsünger[Handelsdünger])-1)/(--(SEARCH(BH$2,Liste_Handelsünger[Handelsdünger])&gt;0)),ROW()-2),1),"")</f>
        <v>Vario 18/11/11+2S</v>
      </c>
      <c r="BH33" t="str">
        <f>IF(($A45=""),"",IF(COUNTIF(Mineral!$AJ$3:$AJ$324,$A45),"",$A45))</f>
        <v/>
      </c>
      <c r="BI33" t="str">
        <f>IFERROR(INDEX(Liste_Handelsünger[Handelsdünger],_xlfn.AGGREGATE(15,6,(ROW(Liste_Handelsünger[Handelsdünger])-1)/(--(SEARCH(BJ$2,Liste_Handelsünger[Handelsdünger])&gt;0)),ROW()-2),1),"")</f>
        <v>Vario 18/11/11+2S</v>
      </c>
      <c r="BJ33" t="str">
        <f>IF(($A46=""),"",IF(COUNTIF(Mineral!$AJ$3:$AJ$324,$A46),"",$A46))</f>
        <v/>
      </c>
      <c r="BK33" t="str">
        <f>IFERROR(INDEX(Liste_Handelsünger[Handelsdünger],_xlfn.AGGREGATE(15,6,(ROW(Liste_Handelsünger[Handelsdünger])-1)/(--(SEARCH(BL$2,Liste_Handelsünger[Handelsdünger])&gt;0)),ROW()-2),1),"")</f>
        <v>Vario 18/11/11+2S</v>
      </c>
      <c r="BM33" t="str">
        <f>IFERROR(INDEX(Liste_Handelsünger[Handelsdünger],_xlfn.AGGREGATE(15,6,(ROW(Liste_Handelsünger[Handelsdünger])-1)/(--(SEARCH(BN$2,Liste_Handelsünger[Handelsdünger])&gt;0)),ROW()-2),1),"")</f>
        <v>Vario 18/11/11+2S</v>
      </c>
      <c r="BN33" t="str">
        <f>IF(($A48=""),"",IF(COUNTIF(Mineral!$AJ$3:$AJ$324,$A48),"",$A48))</f>
        <v/>
      </c>
      <c r="BV33" t="s">
        <v>2311</v>
      </c>
      <c r="BW33" t="s">
        <v>2055</v>
      </c>
    </row>
    <row r="34" spans="1:75" ht="21.75" customHeight="1" thickTop="1" thickBot="1">
      <c r="A34" s="1592"/>
      <c r="B34" s="3"/>
      <c r="C34" s="1593"/>
      <c r="D34" s="1594"/>
      <c r="E34" s="1594"/>
      <c r="F34" s="1594"/>
      <c r="G34" s="1594"/>
      <c r="H34" s="3"/>
      <c r="I34" s="3"/>
      <c r="J34" s="3"/>
      <c r="K34" s="3"/>
      <c r="L34" s="1595"/>
      <c r="R34" s="2206" t="str">
        <f t="array" ref="R34">IFERROR(IF(ROW(A5)&gt;COUNTA(A:A),"",INDEX(A:A,SMALL(IF(A$3:A$27&lt;&gt;"",ROW($3:$27)),ROW(A3)))),"")</f>
        <v>eigener Dünger 3</v>
      </c>
      <c r="S34" s="1676">
        <v>33</v>
      </c>
      <c r="T34" s="1606" t="s">
        <v>2335</v>
      </c>
      <c r="U34" s="1606" t="s">
        <v>2312</v>
      </c>
      <c r="V34" s="1606"/>
      <c r="W34" s="1606">
        <v>20</v>
      </c>
      <c r="X34" s="1606">
        <v>7.0000000000000009</v>
      </c>
      <c r="Y34" s="1606">
        <v>7.0000000000000009</v>
      </c>
      <c r="Z34" s="1606">
        <v>17</v>
      </c>
      <c r="AA34" s="1606">
        <v>0</v>
      </c>
      <c r="AB34" s="1606">
        <v>0</v>
      </c>
      <c r="AC34" s="1606">
        <v>1</v>
      </c>
      <c r="AD34" s="1613">
        <v>1</v>
      </c>
      <c r="AE34" s="1606" t="s">
        <v>2016</v>
      </c>
      <c r="AF34" s="1613" t="str">
        <f t="shared" si="7"/>
        <v/>
      </c>
      <c r="AG34" s="1656">
        <f>IFERROR(IF($AF34&gt;0,VLOOKUP($U34,Tabelle1!$C$188:$L$212,5,0)*$AF34,0),0)</f>
        <v>0</v>
      </c>
      <c r="AH34" s="1656">
        <f t="shared" si="8"/>
        <v>0</v>
      </c>
      <c r="AJ34" t="str">
        <f>IF(Betrieb!$D$9="JA",Mineral!$BW34,Mineral!$BV34)</f>
        <v>Vario 20/7/7+17S</v>
      </c>
      <c r="AK34" s="1617" t="str">
        <f>IFERROR(INDEX(Liste_Handelsünger[Handelsdünger],_xlfn.AGGREGATE(15,6,(ROW(Liste_Handelsünger[Handelsdünger])-1)/(--(SEARCH(AL$2,Liste_Handelsünger[Handelsdünger])&gt;0)),ROW()-2),1),"")</f>
        <v>Vario 20/7/7+17S</v>
      </c>
      <c r="AL34" s="1617" t="str">
        <f>IF(($A$3=""),"",IF(COUNTIF(Mineral!$AJ$3:$AJ$324,$A$3),"",$A$3))</f>
        <v/>
      </c>
      <c r="AM34" s="1617" t="str">
        <f>IFERROR(INDEX(Liste_Handelsünger[Handelsdünger],_xlfn.AGGREGATE(15,6,(ROW(Liste_Handelsünger[Handelsdünger])-1)/(--(SEARCH(AN$2,Liste_Handelsünger[Handelsdünger])&gt;0)),ROW()-2),1),"")</f>
        <v>Vario 20/7/7+17S</v>
      </c>
      <c r="AN34" t="str">
        <f>IF(($A36=""),"",IF(COUNTIF(Mineral!$AJ$3:$AJ$324,$A36),"",$A36))</f>
        <v/>
      </c>
      <c r="AO34" t="str">
        <f>IFERROR(INDEX(Liste_Handelsünger[Handelsdünger],_xlfn.AGGREGATE(15,6,(ROW(Liste_Handelsünger[Handelsdünger])-1)/(--(SEARCH(AP$2,Liste_Handelsünger[Handelsdünger])&gt;0)),ROW()-2),1),"")</f>
        <v>Vario 20/7/7+17S</v>
      </c>
      <c r="AP34" t="str">
        <f>IF(($A37=""),"",IF(COUNTIF(Mineral!$AJ$3:$AJ$324,$A37),"",$A37))</f>
        <v/>
      </c>
      <c r="AQ34" t="str">
        <f>IFERROR(INDEX(Liste_Handelsünger[Handelsdünger],_xlfn.AGGREGATE(15,6,(ROW(Liste_Handelsünger[Handelsdünger])-1)/(--(SEARCH(AR$2,Liste_Handelsünger[Handelsdünger])&gt;0)),ROW()-2),1),"")</f>
        <v>Vario 20/7/7+17S</v>
      </c>
      <c r="AR34" t="str">
        <f>IF(($A38=""),"",IF(COUNTIF(Mineral!$AJ$3:$AJ$324,$A38),"",$A38))</f>
        <v/>
      </c>
      <c r="AS34" t="str">
        <f>IFERROR(INDEX(Liste_Handelsünger[Handelsdünger],_xlfn.AGGREGATE(15,6,(ROW(Liste_Handelsünger[Handelsdünger])-1)/(--(SEARCH(AT$2,Liste_Handelsünger[Handelsdünger])&gt;0)),ROW()-2),1),"")</f>
        <v>Vario 20/7/7+17S</v>
      </c>
      <c r="AT34" t="str">
        <f>IF(($A39=""),"",IF(COUNTIF(Mineral!$AJ$3:$AJ$324,$A39),"",$A39))</f>
        <v/>
      </c>
      <c r="AU34" t="str">
        <f>IFERROR(INDEX(Liste_Handelsünger[Handelsdünger],_xlfn.AGGREGATE(15,6,(ROW(Liste_Handelsünger[Handelsdünger])-1)/(--(SEARCH(AV$2,Liste_Handelsünger[Handelsdünger])&gt;0)),ROW()-2),1),"")</f>
        <v>Vario 20/7/7+17S</v>
      </c>
      <c r="AV34" t="str">
        <f>IF(($A40=""),"",IF(COUNTIF(Mineral!$AJ$3:$AJ$324,$A40),"",$A40))</f>
        <v/>
      </c>
      <c r="AW34" t="str">
        <f>IFERROR(INDEX(Liste_Handelsünger[Handelsdünger],_xlfn.AGGREGATE(15,6,(ROW(Liste_Handelsünger[Handelsdünger])-1)/(--(SEARCH(AX$2,Liste_Handelsünger[Handelsdünger])&gt;0)),ROW()-2),1),"")</f>
        <v>Vario 20/7/7+17S</v>
      </c>
      <c r="AX34" t="str">
        <f>IF(($A41=""),"",IF(COUNTIF(Mineral!$AJ$3:$AJ$324,$A41),"",$A41))</f>
        <v/>
      </c>
      <c r="AY34" t="str">
        <f>IFERROR(INDEX(Liste_Handelsünger[Handelsdünger],_xlfn.AGGREGATE(15,6,(ROW(Liste_Handelsünger[Handelsdünger])-1)/(--(SEARCH(AZ$2,Liste_Handelsünger[Handelsdünger])&gt;0)),ROW()-2),1),"")</f>
        <v>Vario 20/7/7+17S</v>
      </c>
      <c r="AZ34" t="str">
        <f>IF(($A42=""),"",IF(COUNTIF(Mineral!$AJ$3:$AJ$324,$A42),"",$A42))</f>
        <v/>
      </c>
      <c r="BA34" t="str">
        <f>IFERROR(INDEX(Liste_Handelsünger[Handelsdünger],_xlfn.AGGREGATE(15,6,(ROW(Liste_Handelsünger[Handelsdünger])-1)/(--(SEARCH(BB$2,Liste_Handelsünger[Handelsdünger])&gt;0)),ROW()-2),1),"")</f>
        <v>Vario 20/7/7+17S</v>
      </c>
      <c r="BB34" t="str">
        <f>IF(($A43=""),"",IF(COUNTIF(Mineral!$AJ$3:$AJ$324,$A43),"",$A43))</f>
        <v/>
      </c>
      <c r="BC34" t="str">
        <f>IFERROR(INDEX(Liste_Handelsünger[Handelsdünger],_xlfn.AGGREGATE(15,6,(ROW(Liste_Handelsünger[Handelsdünger])-1)/(--(SEARCH(BD$2,Liste_Handelsünger[Handelsdünger])&gt;0)),ROW()-2),1),"")</f>
        <v>Vario 20/7/7+17S</v>
      </c>
      <c r="BD34" t="str">
        <f>IF(($A44=""),"",IF(COUNTIF(Mineral!$AJ$3:$AJ$324,$A44),"",$A44))</f>
        <v/>
      </c>
      <c r="BE34" t="str">
        <f>IFERROR(INDEX(Liste_Handelsünger[Handelsdünger],_xlfn.AGGREGATE(15,6,(ROW(Liste_Handelsünger[Handelsdünger])-1)/(--(SEARCH(BF$2,Liste_Handelsünger[Handelsdünger])&gt;0)),ROW()-2),1),"")</f>
        <v>Vario 20/7/7+17S</v>
      </c>
      <c r="BF34" t="str">
        <f>IF(($A45=""),"",IF(COUNTIF(Mineral!$AJ$3:$AJ$324,$A45),"",$A45))</f>
        <v/>
      </c>
      <c r="BG34" t="str">
        <f>IFERROR(INDEX(Liste_Handelsünger[Handelsdünger],_xlfn.AGGREGATE(15,6,(ROW(Liste_Handelsünger[Handelsdünger])-1)/(--(SEARCH(BH$2,Liste_Handelsünger[Handelsdünger])&gt;0)),ROW()-2),1),"")</f>
        <v>Vario 20/7/7+17S</v>
      </c>
      <c r="BH34" t="str">
        <f>IF(($A46=""),"",IF(COUNTIF(Mineral!$AJ$3:$AJ$324,$A46),"",$A46))</f>
        <v/>
      </c>
      <c r="BI34" t="str">
        <f>IFERROR(INDEX(Liste_Handelsünger[Handelsdünger],_xlfn.AGGREGATE(15,6,(ROW(Liste_Handelsünger[Handelsdünger])-1)/(--(SEARCH(BJ$2,Liste_Handelsünger[Handelsdünger])&gt;0)),ROW()-2),1),"")</f>
        <v>Vario 20/7/7+17S</v>
      </c>
      <c r="BJ34" t="str">
        <f>IF(($A47=""),"",IF(COUNTIF(Mineral!$AJ$3:$AJ$324,$A47),"",$A47))</f>
        <v/>
      </c>
      <c r="BK34" t="str">
        <f>IFERROR(INDEX(Liste_Handelsünger[Handelsdünger],_xlfn.AGGREGATE(15,6,(ROW(Liste_Handelsünger[Handelsdünger])-1)/(--(SEARCH(BL$2,Liste_Handelsünger[Handelsdünger])&gt;0)),ROW()-2),1),"")</f>
        <v>Vario 20/7/7+17S</v>
      </c>
      <c r="BM34" t="str">
        <f>IFERROR(INDEX(Liste_Handelsünger[Handelsdünger],_xlfn.AGGREGATE(15,6,(ROW(Liste_Handelsünger[Handelsdünger])-1)/(--(SEARCH(BN$2,Liste_Handelsünger[Handelsdünger])&gt;0)),ROW()-2),1),"")</f>
        <v>Vario 20/7/7+17S</v>
      </c>
      <c r="BN34" t="str">
        <f>IF(($A49=""),"",IF(COUNTIF(Mineral!$AJ$3:$AJ$324,$A49),"",$A49))</f>
        <v/>
      </c>
      <c r="BV34" t="s">
        <v>2312</v>
      </c>
      <c r="BW34" t="s">
        <v>2056</v>
      </c>
    </row>
    <row r="35" spans="1:75" ht="21.75" customHeight="1" thickTop="1" thickBot="1">
      <c r="A35" s="1592"/>
      <c r="B35" s="3"/>
      <c r="C35" s="1593"/>
      <c r="D35" s="1594"/>
      <c r="E35" s="1594"/>
      <c r="F35" s="1594"/>
      <c r="G35" s="1594"/>
      <c r="H35" s="3"/>
      <c r="I35" s="3"/>
      <c r="J35" s="3"/>
      <c r="K35" s="3"/>
      <c r="L35" s="1595"/>
      <c r="R35" s="2206" t="str">
        <f t="array" ref="R35">IFERROR(IF(ROW(A6)&gt;COUNTA(A:A),"",INDEX(A:A,SMALL(IF(A$3:A$27&lt;&gt;"",ROW($3:$27)),ROW(A4)))),"")</f>
        <v>eigener Dünger 4</v>
      </c>
      <c r="S35" s="1616">
        <v>34</v>
      </c>
      <c r="T35" s="1617" t="s">
        <v>2335</v>
      </c>
      <c r="U35" s="1617" t="s">
        <v>2313</v>
      </c>
      <c r="V35" s="1617"/>
      <c r="W35" s="1617">
        <v>21</v>
      </c>
      <c r="X35" s="1617">
        <v>5</v>
      </c>
      <c r="Y35" s="1617">
        <v>5</v>
      </c>
      <c r="Z35" s="1617">
        <v>20</v>
      </c>
      <c r="AA35" s="1617">
        <v>0</v>
      </c>
      <c r="AB35" s="1617">
        <v>0</v>
      </c>
      <c r="AC35" s="1617">
        <v>1</v>
      </c>
      <c r="AD35" s="1613">
        <v>1</v>
      </c>
      <c r="AE35" s="1617" t="s">
        <v>2016</v>
      </c>
      <c r="AF35" s="1613" t="str">
        <f t="shared" si="7"/>
        <v/>
      </c>
      <c r="AG35" s="1656">
        <f>IFERROR(IF($AF35&gt;0,VLOOKUP($U35,Tabelle1!$C$188:$L$212,5,0)*$AF35,0),0)</f>
        <v>0</v>
      </c>
      <c r="AH35" s="1656">
        <f t="shared" si="8"/>
        <v>0</v>
      </c>
      <c r="AJ35" t="str">
        <f>IF(Betrieb!$D$9="JA",Mineral!$BW35,Mineral!$BV35)</f>
        <v>Vario 21/5/5+20S</v>
      </c>
      <c r="AK35" s="1606" t="str">
        <f>IFERROR(INDEX(Liste_Handelsünger[Handelsdünger],_xlfn.AGGREGATE(15,6,(ROW(Liste_Handelsünger[Handelsdünger])-1)/(--(SEARCH(AL$2,Liste_Handelsünger[Handelsdünger])&gt;0)),ROW()-2),1),"")</f>
        <v>Vario 21/5/5+20S</v>
      </c>
      <c r="AL35" s="1606" t="str">
        <f>IF(($A$3=""),"",IF(COUNTIF(Mineral!$AJ$3:$AJ$324,$A$3),"",$A$3))</f>
        <v/>
      </c>
      <c r="AM35" s="1606" t="str">
        <f>IFERROR(INDEX(Liste_Handelsünger[Handelsdünger],_xlfn.AGGREGATE(15,6,(ROW(Liste_Handelsünger[Handelsdünger])-1)/(--(SEARCH(AN$2,Liste_Handelsünger[Handelsdünger])&gt;0)),ROW()-2),1),"")</f>
        <v>Vario 21/5/5+20S</v>
      </c>
      <c r="AN35" t="str">
        <f>IF(($A37=""),"",IF(COUNTIF(Mineral!$AJ$3:$AJ$324,$A37),"",$A37))</f>
        <v/>
      </c>
      <c r="AO35" t="str">
        <f>IFERROR(INDEX(Liste_Handelsünger[Handelsdünger],_xlfn.AGGREGATE(15,6,(ROW(Liste_Handelsünger[Handelsdünger])-1)/(--(SEARCH(AP$2,Liste_Handelsünger[Handelsdünger])&gt;0)),ROW()-2),1),"")</f>
        <v>Vario 21/5/5+20S</v>
      </c>
      <c r="AP35" t="str">
        <f>IF(($A38=""),"",IF(COUNTIF(Mineral!$AJ$3:$AJ$324,$A38),"",$A38))</f>
        <v/>
      </c>
      <c r="AQ35" t="str">
        <f>IFERROR(INDEX(Liste_Handelsünger[Handelsdünger],_xlfn.AGGREGATE(15,6,(ROW(Liste_Handelsünger[Handelsdünger])-1)/(--(SEARCH(AR$2,Liste_Handelsünger[Handelsdünger])&gt;0)),ROW()-2),1),"")</f>
        <v>Vario 21/5/5+20S</v>
      </c>
      <c r="AR35" t="str">
        <f>IF(($A39=""),"",IF(COUNTIF(Mineral!$AJ$3:$AJ$324,$A39),"",$A39))</f>
        <v/>
      </c>
      <c r="AS35" t="str">
        <f>IFERROR(INDEX(Liste_Handelsünger[Handelsdünger],_xlfn.AGGREGATE(15,6,(ROW(Liste_Handelsünger[Handelsdünger])-1)/(--(SEARCH(AT$2,Liste_Handelsünger[Handelsdünger])&gt;0)),ROW()-2),1),"")</f>
        <v>Vario 21/5/5+20S</v>
      </c>
      <c r="AT35" t="str">
        <f>IF(($A40=""),"",IF(COUNTIF(Mineral!$AJ$3:$AJ$324,$A40),"",$A40))</f>
        <v/>
      </c>
      <c r="AU35" t="str">
        <f>IFERROR(INDEX(Liste_Handelsünger[Handelsdünger],_xlfn.AGGREGATE(15,6,(ROW(Liste_Handelsünger[Handelsdünger])-1)/(--(SEARCH(AV$2,Liste_Handelsünger[Handelsdünger])&gt;0)),ROW()-2),1),"")</f>
        <v>Vario 21/5/5+20S</v>
      </c>
      <c r="AV35" t="str">
        <f>IF(($A41=""),"",IF(COUNTIF(Mineral!$AJ$3:$AJ$324,$A41),"",$A41))</f>
        <v/>
      </c>
      <c r="AW35" t="str">
        <f>IFERROR(INDEX(Liste_Handelsünger[Handelsdünger],_xlfn.AGGREGATE(15,6,(ROW(Liste_Handelsünger[Handelsdünger])-1)/(--(SEARCH(AX$2,Liste_Handelsünger[Handelsdünger])&gt;0)),ROW()-2),1),"")</f>
        <v>Vario 21/5/5+20S</v>
      </c>
      <c r="AX35" t="str">
        <f>IF(($A42=""),"",IF(COUNTIF(Mineral!$AJ$3:$AJ$324,$A42),"",$A42))</f>
        <v/>
      </c>
      <c r="AY35" t="str">
        <f>IFERROR(INDEX(Liste_Handelsünger[Handelsdünger],_xlfn.AGGREGATE(15,6,(ROW(Liste_Handelsünger[Handelsdünger])-1)/(--(SEARCH(AZ$2,Liste_Handelsünger[Handelsdünger])&gt;0)),ROW()-2),1),"")</f>
        <v>Vario 21/5/5+20S</v>
      </c>
      <c r="AZ35" t="str">
        <f>IF(($A43=""),"",IF(COUNTIF(Mineral!$AJ$3:$AJ$324,$A43),"",$A43))</f>
        <v/>
      </c>
      <c r="BA35" t="str">
        <f>IFERROR(INDEX(Liste_Handelsünger[Handelsdünger],_xlfn.AGGREGATE(15,6,(ROW(Liste_Handelsünger[Handelsdünger])-1)/(--(SEARCH(BB$2,Liste_Handelsünger[Handelsdünger])&gt;0)),ROW()-2),1),"")</f>
        <v>Vario 21/5/5+20S</v>
      </c>
      <c r="BB35" t="str">
        <f>IF(($A44=""),"",IF(COUNTIF(Mineral!$AJ$3:$AJ$324,$A44),"",$A44))</f>
        <v/>
      </c>
      <c r="BC35" t="str">
        <f>IFERROR(INDEX(Liste_Handelsünger[Handelsdünger],_xlfn.AGGREGATE(15,6,(ROW(Liste_Handelsünger[Handelsdünger])-1)/(--(SEARCH(BD$2,Liste_Handelsünger[Handelsdünger])&gt;0)),ROW()-2),1),"")</f>
        <v>Vario 21/5/5+20S</v>
      </c>
      <c r="BD35" t="str">
        <f>IF(($A45=""),"",IF(COUNTIF(Mineral!$AJ$3:$AJ$324,$A45),"",$A45))</f>
        <v/>
      </c>
      <c r="BE35" t="str">
        <f>IFERROR(INDEX(Liste_Handelsünger[Handelsdünger],_xlfn.AGGREGATE(15,6,(ROW(Liste_Handelsünger[Handelsdünger])-1)/(--(SEARCH(BF$2,Liste_Handelsünger[Handelsdünger])&gt;0)),ROW()-2),1),"")</f>
        <v>Vario 21/5/5+20S</v>
      </c>
      <c r="BF35" t="str">
        <f>IF(($A46=""),"",IF(COUNTIF(Mineral!$AJ$3:$AJ$324,$A46),"",$A46))</f>
        <v/>
      </c>
      <c r="BG35" t="str">
        <f>IFERROR(INDEX(Liste_Handelsünger[Handelsdünger],_xlfn.AGGREGATE(15,6,(ROW(Liste_Handelsünger[Handelsdünger])-1)/(--(SEARCH(BH$2,Liste_Handelsünger[Handelsdünger])&gt;0)),ROW()-2),1),"")</f>
        <v>Vario 21/5/5+20S</v>
      </c>
      <c r="BH35" t="str">
        <f>IF(($A47=""),"",IF(COUNTIF(Mineral!$AJ$3:$AJ$324,$A47),"",$A47))</f>
        <v/>
      </c>
      <c r="BI35" t="str">
        <f>IFERROR(INDEX(Liste_Handelsünger[Handelsdünger],_xlfn.AGGREGATE(15,6,(ROW(Liste_Handelsünger[Handelsdünger])-1)/(--(SEARCH(BJ$2,Liste_Handelsünger[Handelsdünger])&gt;0)),ROW()-2),1),"")</f>
        <v>Vario 21/5/5+20S</v>
      </c>
      <c r="BJ35" t="str">
        <f>IF(($A48=""),"",IF(COUNTIF(Mineral!$AJ$3:$AJ$324,$A48),"",$A48))</f>
        <v/>
      </c>
      <c r="BK35" t="str">
        <f>IFERROR(INDEX(Liste_Handelsünger[Handelsdünger],_xlfn.AGGREGATE(15,6,(ROW(Liste_Handelsünger[Handelsdünger])-1)/(--(SEARCH(BL$2,Liste_Handelsünger[Handelsdünger])&gt;0)),ROW()-2),1),"")</f>
        <v>Vario 21/5/5+20S</v>
      </c>
      <c r="BM35" t="str">
        <f>IFERROR(INDEX(Liste_Handelsünger[Handelsdünger],_xlfn.AGGREGATE(15,6,(ROW(Liste_Handelsünger[Handelsdünger])-1)/(--(SEARCH(BN$2,Liste_Handelsünger[Handelsdünger])&gt;0)),ROW()-2),1),"")</f>
        <v>Vario 21/5/5+20S</v>
      </c>
      <c r="BN35" t="str">
        <f>IF(($A50=""),"",IF(COUNTIF(Mineral!$AJ$3:$AJ$324,$A50),"",$A50))</f>
        <v/>
      </c>
      <c r="BV35" t="s">
        <v>2313</v>
      </c>
      <c r="BW35" t="s">
        <v>2057</v>
      </c>
    </row>
    <row r="36" spans="1:75" ht="21.75" customHeight="1" thickTop="1" thickBot="1">
      <c r="A36" s="1592"/>
      <c r="B36" s="3"/>
      <c r="C36" s="1593"/>
      <c r="D36" s="1594"/>
      <c r="E36" s="1594"/>
      <c r="F36" s="1594"/>
      <c r="G36" s="1594"/>
      <c r="H36" s="3"/>
      <c r="I36" s="3"/>
      <c r="J36" s="3"/>
      <c r="K36" s="3"/>
      <c r="L36" s="1596"/>
      <c r="R36" s="2206" t="str">
        <f t="array" ref="R36">IFERROR(IF(ROW(A7)&gt;COUNTA(A:A),"",INDEX(A:A,SMALL(IF(A$3:A$27&lt;&gt;"",ROW($3:$27)),ROW(A5)))),"")</f>
        <v>eigener Dünger 5</v>
      </c>
      <c r="S36" s="1676">
        <v>35</v>
      </c>
      <c r="T36" s="1606" t="s">
        <v>2335</v>
      </c>
      <c r="U36" s="1606" t="s">
        <v>2017</v>
      </c>
      <c r="V36" s="1606"/>
      <c r="W36" s="1606">
        <v>7.0000000000000009</v>
      </c>
      <c r="X36" s="1606">
        <v>0.5</v>
      </c>
      <c r="Y36" s="1606">
        <v>0.5</v>
      </c>
      <c r="Z36" s="1606">
        <v>0</v>
      </c>
      <c r="AA36" s="1606">
        <v>0</v>
      </c>
      <c r="AB36" s="1606">
        <v>0</v>
      </c>
      <c r="AC36" s="1606">
        <v>1</v>
      </c>
      <c r="AD36" s="1613">
        <v>1</v>
      </c>
      <c r="AE36" s="1606" t="s">
        <v>2016</v>
      </c>
      <c r="AF36" s="1613" t="str">
        <f t="shared" si="7"/>
        <v/>
      </c>
      <c r="AG36" s="1656">
        <f>IFERROR(IF($AF36&gt;0,VLOOKUP($U36,Tabelle1!$C$188:$L$212,5,0)*$AF36,0),0)</f>
        <v>0</v>
      </c>
      <c r="AH36" s="1656">
        <f t="shared" si="8"/>
        <v>0</v>
      </c>
      <c r="AJ36" t="str">
        <f>IF(Betrieb!$D$9="JA",Mineral!$BW36,Mineral!$BV36)</f>
        <v>Agrobiosol</v>
      </c>
      <c r="AK36" s="1617" t="str">
        <f>IFERROR(INDEX(Liste_Handelsünger[Handelsdünger],_xlfn.AGGREGATE(15,6,(ROW(Liste_Handelsünger[Handelsdünger])-1)/(--(SEARCH(AL$2,Liste_Handelsünger[Handelsdünger])&gt;0)),ROW()-2),1),"")</f>
        <v>Agrobiosol</v>
      </c>
      <c r="AL36" s="1617" t="str">
        <f>IF(($A$3=""),"",IF(COUNTIF(Mineral!$AJ$3:$AJ$324,$A$3),"",$A$3))</f>
        <v/>
      </c>
      <c r="AM36" s="1617" t="str">
        <f>IFERROR(INDEX(Liste_Handelsünger[Handelsdünger],_xlfn.AGGREGATE(15,6,(ROW(Liste_Handelsünger[Handelsdünger])-1)/(--(SEARCH(AN$2,Liste_Handelsünger[Handelsdünger])&gt;0)),ROW()-2),1),"")</f>
        <v>Agrobiosol</v>
      </c>
      <c r="AN36" t="str">
        <f>IF(($A38=""),"",IF(COUNTIF(Mineral!$AJ$3:$AJ$324,$A38),"",$A38))</f>
        <v/>
      </c>
      <c r="AO36" t="str">
        <f>IFERROR(INDEX(Liste_Handelsünger[Handelsdünger],_xlfn.AGGREGATE(15,6,(ROW(Liste_Handelsünger[Handelsdünger])-1)/(--(SEARCH(AP$2,Liste_Handelsünger[Handelsdünger])&gt;0)),ROW()-2),1),"")</f>
        <v>Agrobiosol</v>
      </c>
      <c r="AP36" t="str">
        <f>IF(($A39=""),"",IF(COUNTIF(Mineral!$AJ$3:$AJ$324,$A39),"",$A39))</f>
        <v/>
      </c>
      <c r="AQ36" t="str">
        <f>IFERROR(INDEX(Liste_Handelsünger[Handelsdünger],_xlfn.AGGREGATE(15,6,(ROW(Liste_Handelsünger[Handelsdünger])-1)/(--(SEARCH(AR$2,Liste_Handelsünger[Handelsdünger])&gt;0)),ROW()-2),1),"")</f>
        <v>Agrobiosol</v>
      </c>
      <c r="AR36" t="str">
        <f>IF(($A40=""),"",IF(COUNTIF(Mineral!$AJ$3:$AJ$324,$A40),"",$A40))</f>
        <v/>
      </c>
      <c r="AS36" t="str">
        <f>IFERROR(INDEX(Liste_Handelsünger[Handelsdünger],_xlfn.AGGREGATE(15,6,(ROW(Liste_Handelsünger[Handelsdünger])-1)/(--(SEARCH(AT$2,Liste_Handelsünger[Handelsdünger])&gt;0)),ROW()-2),1),"")</f>
        <v>Agrobiosol</v>
      </c>
      <c r="AT36" t="str">
        <f>IF(($A41=""),"",IF(COUNTIF(Mineral!$AJ$3:$AJ$324,$A41),"",$A41))</f>
        <v/>
      </c>
      <c r="AU36" t="str">
        <f>IFERROR(INDEX(Liste_Handelsünger[Handelsdünger],_xlfn.AGGREGATE(15,6,(ROW(Liste_Handelsünger[Handelsdünger])-1)/(--(SEARCH(AV$2,Liste_Handelsünger[Handelsdünger])&gt;0)),ROW()-2),1),"")</f>
        <v>Agrobiosol</v>
      </c>
      <c r="AV36" t="str">
        <f>IF(($A42=""),"",IF(COUNTIF(Mineral!$AJ$3:$AJ$324,$A42),"",$A42))</f>
        <v/>
      </c>
      <c r="AW36" t="str">
        <f>IFERROR(INDEX(Liste_Handelsünger[Handelsdünger],_xlfn.AGGREGATE(15,6,(ROW(Liste_Handelsünger[Handelsdünger])-1)/(--(SEARCH(AX$2,Liste_Handelsünger[Handelsdünger])&gt;0)),ROW()-2),1),"")</f>
        <v>Agrobiosol</v>
      </c>
      <c r="AX36" t="str">
        <f>IF(($A43=""),"",IF(COUNTIF(Mineral!$AJ$3:$AJ$324,$A43),"",$A43))</f>
        <v/>
      </c>
      <c r="AY36" t="str">
        <f>IFERROR(INDEX(Liste_Handelsünger[Handelsdünger],_xlfn.AGGREGATE(15,6,(ROW(Liste_Handelsünger[Handelsdünger])-1)/(--(SEARCH(AZ$2,Liste_Handelsünger[Handelsdünger])&gt;0)),ROW()-2),1),"")</f>
        <v>Agrobiosol</v>
      </c>
      <c r="AZ36" t="str">
        <f>IF(($A44=""),"",IF(COUNTIF(Mineral!$AJ$3:$AJ$324,$A44),"",$A44))</f>
        <v/>
      </c>
      <c r="BA36" t="str">
        <f>IFERROR(INDEX(Liste_Handelsünger[Handelsdünger],_xlfn.AGGREGATE(15,6,(ROW(Liste_Handelsünger[Handelsdünger])-1)/(--(SEARCH(BB$2,Liste_Handelsünger[Handelsdünger])&gt;0)),ROW()-2),1),"")</f>
        <v>Agrobiosol</v>
      </c>
      <c r="BB36" t="str">
        <f>IF(($A45=""),"",IF(COUNTIF(Mineral!$AJ$3:$AJ$324,$A45),"",$A45))</f>
        <v/>
      </c>
      <c r="BC36" t="str">
        <f>IFERROR(INDEX(Liste_Handelsünger[Handelsdünger],_xlfn.AGGREGATE(15,6,(ROW(Liste_Handelsünger[Handelsdünger])-1)/(--(SEARCH(BD$2,Liste_Handelsünger[Handelsdünger])&gt;0)),ROW()-2),1),"")</f>
        <v>Agrobiosol</v>
      </c>
      <c r="BD36" t="str">
        <f>IF(($A46=""),"",IF(COUNTIF(Mineral!$AJ$3:$AJ$324,$A46),"",$A46))</f>
        <v/>
      </c>
      <c r="BE36" t="str">
        <f>IFERROR(INDEX(Liste_Handelsünger[Handelsdünger],_xlfn.AGGREGATE(15,6,(ROW(Liste_Handelsünger[Handelsdünger])-1)/(--(SEARCH(BF$2,Liste_Handelsünger[Handelsdünger])&gt;0)),ROW()-2),1),"")</f>
        <v>Agrobiosol</v>
      </c>
      <c r="BF36" t="str">
        <f>IF(($A47=""),"",IF(COUNTIF(Mineral!$AJ$3:$AJ$324,$A47),"",$A47))</f>
        <v/>
      </c>
      <c r="BG36" t="str">
        <f>IFERROR(INDEX(Liste_Handelsünger[Handelsdünger],_xlfn.AGGREGATE(15,6,(ROW(Liste_Handelsünger[Handelsdünger])-1)/(--(SEARCH(BH$2,Liste_Handelsünger[Handelsdünger])&gt;0)),ROW()-2),1),"")</f>
        <v>Agrobiosol</v>
      </c>
      <c r="BH36" t="str">
        <f>IF(($A48=""),"",IF(COUNTIF(Mineral!$AJ$3:$AJ$324,$A48),"",$A48))</f>
        <v/>
      </c>
      <c r="BI36" t="str">
        <f>IFERROR(INDEX(Liste_Handelsünger[Handelsdünger],_xlfn.AGGREGATE(15,6,(ROW(Liste_Handelsünger[Handelsdünger])-1)/(--(SEARCH(BJ$2,Liste_Handelsünger[Handelsdünger])&gt;0)),ROW()-2),1),"")</f>
        <v>Agrobiosol</v>
      </c>
      <c r="BJ36" t="str">
        <f>IF(($A49=""),"",IF(COUNTIF(Mineral!$AJ$3:$AJ$324,$A49),"",$A49))</f>
        <v/>
      </c>
      <c r="BK36" t="str">
        <f>IFERROR(INDEX(Liste_Handelsünger[Handelsdünger],_xlfn.AGGREGATE(15,6,(ROW(Liste_Handelsünger[Handelsdünger])-1)/(--(SEARCH(BL$2,Liste_Handelsünger[Handelsdünger])&gt;0)),ROW()-2),1),"")</f>
        <v>Agrobiosol</v>
      </c>
      <c r="BM36" t="str">
        <f>IFERROR(INDEX(Liste_Handelsünger[Handelsdünger],_xlfn.AGGREGATE(15,6,(ROW(Liste_Handelsünger[Handelsdünger])-1)/(--(SEARCH(BN$2,Liste_Handelsünger[Handelsdünger])&gt;0)),ROW()-2),1),"")</f>
        <v>Agrobiosol</v>
      </c>
      <c r="BN36" t="str">
        <f>IF(($A51=""),"",IF(COUNTIF(Mineral!$AJ$3:$AJ$324,$A51),"",$A51))</f>
        <v/>
      </c>
      <c r="BV36" t="s">
        <v>2017</v>
      </c>
      <c r="BW36" t="s">
        <v>2058</v>
      </c>
    </row>
    <row r="37" spans="1:75" ht="21.75" customHeight="1" thickTop="1" thickBot="1">
      <c r="A37" s="1592"/>
      <c r="B37" s="3"/>
      <c r="C37" s="1593"/>
      <c r="D37" s="1594"/>
      <c r="E37" s="1594"/>
      <c r="F37" s="1594"/>
      <c r="G37" s="1594"/>
      <c r="H37" s="3"/>
      <c r="I37" s="3"/>
      <c r="J37" s="3"/>
      <c r="K37" s="3"/>
      <c r="L37" s="1596"/>
      <c r="R37" s="2206" t="str">
        <f t="array" ref="R37">IFERROR(IF(ROW(A8)&gt;COUNTA(A:A),"",INDEX(A:A,SMALL(IF(A$3:A$27&lt;&gt;"",ROW($3:$27)),ROW(A6)))),"")</f>
        <v>eigener Dünger 6</v>
      </c>
      <c r="S37" s="1616">
        <v>36</v>
      </c>
      <c r="T37" s="1617" t="s">
        <v>2335</v>
      </c>
      <c r="U37" s="1617" t="s">
        <v>2038</v>
      </c>
      <c r="V37" s="1617"/>
      <c r="W37" s="1617">
        <v>46</v>
      </c>
      <c r="X37" s="1617">
        <v>0</v>
      </c>
      <c r="Y37" s="1617">
        <v>0</v>
      </c>
      <c r="Z37" s="1617">
        <v>0</v>
      </c>
      <c r="AA37" s="1617">
        <v>0</v>
      </c>
      <c r="AB37" s="1617">
        <v>0</v>
      </c>
      <c r="AC37" s="1617">
        <v>1</v>
      </c>
      <c r="AD37" s="1613">
        <v>1</v>
      </c>
      <c r="AE37" s="1617" t="s">
        <v>1764</v>
      </c>
      <c r="AF37" s="1613" t="str">
        <f t="shared" si="7"/>
        <v/>
      </c>
      <c r="AG37" s="1656">
        <f>IFERROR(IF($AF37&gt;0,VLOOKUP($U37,Tabelle1!$C$188:$L$212,5,0)*$AF37,0),0)</f>
        <v>0</v>
      </c>
      <c r="AH37" s="1656">
        <f t="shared" si="8"/>
        <v>0</v>
      </c>
      <c r="AJ37" t="str">
        <f>IF(Betrieb!$D$9="JA",Mineral!$BW37,Mineral!$BV37)</f>
        <v>Alzon 46</v>
      </c>
      <c r="AK37" s="1606" t="str">
        <f>IFERROR(INDEX(Liste_Handelsünger[Handelsdünger],_xlfn.AGGREGATE(15,6,(ROW(Liste_Handelsünger[Handelsdünger])-1)/(--(SEARCH(AL$2,Liste_Handelsünger[Handelsdünger])&gt;0)),ROW()-2),1),"")</f>
        <v>Alzon 46</v>
      </c>
      <c r="AL37" s="1606" t="str">
        <f>IF(($A$3=""),"",IF(COUNTIF(Mineral!$AJ$3:$AJ$324,$A$3),"",$A$3))</f>
        <v/>
      </c>
      <c r="AM37" s="1606" t="str">
        <f>IFERROR(INDEX(Liste_Handelsünger[Handelsdünger],_xlfn.AGGREGATE(15,6,(ROW(Liste_Handelsünger[Handelsdünger])-1)/(--(SEARCH(AN$2,Liste_Handelsünger[Handelsdünger])&gt;0)),ROW()-2),1),"")</f>
        <v>Alzon 46</v>
      </c>
      <c r="AN37" t="str">
        <f>IF(($A39=""),"",IF(COUNTIF(Mineral!$AJ$3:$AJ$324,$A39),"",$A39))</f>
        <v/>
      </c>
      <c r="AO37" t="str">
        <f>IFERROR(INDEX(Liste_Handelsünger[Handelsdünger],_xlfn.AGGREGATE(15,6,(ROW(Liste_Handelsünger[Handelsdünger])-1)/(--(SEARCH(AP$2,Liste_Handelsünger[Handelsdünger])&gt;0)),ROW()-2),1),"")</f>
        <v>Alzon 46</v>
      </c>
      <c r="AP37" t="str">
        <f>IF(($A40=""),"",IF(COUNTIF(Mineral!$AJ$3:$AJ$324,$A40),"",$A40))</f>
        <v/>
      </c>
      <c r="AQ37" t="str">
        <f>IFERROR(INDEX(Liste_Handelsünger[Handelsdünger],_xlfn.AGGREGATE(15,6,(ROW(Liste_Handelsünger[Handelsdünger])-1)/(--(SEARCH(AR$2,Liste_Handelsünger[Handelsdünger])&gt;0)),ROW()-2),1),"")</f>
        <v>Alzon 46</v>
      </c>
      <c r="AR37" t="str">
        <f>IF(($A41=""),"",IF(COUNTIF(Mineral!$AJ$3:$AJ$324,$A41),"",$A41))</f>
        <v/>
      </c>
      <c r="AS37" t="str">
        <f>IFERROR(INDEX(Liste_Handelsünger[Handelsdünger],_xlfn.AGGREGATE(15,6,(ROW(Liste_Handelsünger[Handelsdünger])-1)/(--(SEARCH(AT$2,Liste_Handelsünger[Handelsdünger])&gt;0)),ROW()-2),1),"")</f>
        <v>Alzon 46</v>
      </c>
      <c r="AT37" t="str">
        <f>IF(($A42=""),"",IF(COUNTIF(Mineral!$AJ$3:$AJ$324,$A42),"",$A42))</f>
        <v/>
      </c>
      <c r="AU37" t="str">
        <f>IFERROR(INDEX(Liste_Handelsünger[Handelsdünger],_xlfn.AGGREGATE(15,6,(ROW(Liste_Handelsünger[Handelsdünger])-1)/(--(SEARCH(AV$2,Liste_Handelsünger[Handelsdünger])&gt;0)),ROW()-2),1),"")</f>
        <v>Alzon 46</v>
      </c>
      <c r="AV37" t="str">
        <f>IF(($A43=""),"",IF(COUNTIF(Mineral!$AJ$3:$AJ$324,$A43),"",$A43))</f>
        <v/>
      </c>
      <c r="AW37" t="str">
        <f>IFERROR(INDEX(Liste_Handelsünger[Handelsdünger],_xlfn.AGGREGATE(15,6,(ROW(Liste_Handelsünger[Handelsdünger])-1)/(--(SEARCH(AX$2,Liste_Handelsünger[Handelsdünger])&gt;0)),ROW()-2),1),"")</f>
        <v>Alzon 46</v>
      </c>
      <c r="AX37" t="str">
        <f>IF(($A44=""),"",IF(COUNTIF(Mineral!$AJ$3:$AJ$324,$A44),"",$A44))</f>
        <v/>
      </c>
      <c r="AY37" t="str">
        <f>IFERROR(INDEX(Liste_Handelsünger[Handelsdünger],_xlfn.AGGREGATE(15,6,(ROW(Liste_Handelsünger[Handelsdünger])-1)/(--(SEARCH(AZ$2,Liste_Handelsünger[Handelsdünger])&gt;0)),ROW()-2),1),"")</f>
        <v>Alzon 46</v>
      </c>
      <c r="AZ37" t="str">
        <f>IF(($A45=""),"",IF(COUNTIF(Mineral!$AJ$3:$AJ$324,$A45),"",$A45))</f>
        <v/>
      </c>
      <c r="BA37" t="str">
        <f>IFERROR(INDEX(Liste_Handelsünger[Handelsdünger],_xlfn.AGGREGATE(15,6,(ROW(Liste_Handelsünger[Handelsdünger])-1)/(--(SEARCH(BB$2,Liste_Handelsünger[Handelsdünger])&gt;0)),ROW()-2),1),"")</f>
        <v>Alzon 46</v>
      </c>
      <c r="BB37" t="str">
        <f>IF(($A46=""),"",IF(COUNTIF(Mineral!$AJ$3:$AJ$324,$A46),"",$A46))</f>
        <v/>
      </c>
      <c r="BC37" t="str">
        <f>IFERROR(INDEX(Liste_Handelsünger[Handelsdünger],_xlfn.AGGREGATE(15,6,(ROW(Liste_Handelsünger[Handelsdünger])-1)/(--(SEARCH(BD$2,Liste_Handelsünger[Handelsdünger])&gt;0)),ROW()-2),1),"")</f>
        <v>Alzon 46</v>
      </c>
      <c r="BD37" t="str">
        <f>IF(($A47=""),"",IF(COUNTIF(Mineral!$AJ$3:$AJ$324,$A47),"",$A47))</f>
        <v/>
      </c>
      <c r="BE37" t="str">
        <f>IFERROR(INDEX(Liste_Handelsünger[Handelsdünger],_xlfn.AGGREGATE(15,6,(ROW(Liste_Handelsünger[Handelsdünger])-1)/(--(SEARCH(BF$2,Liste_Handelsünger[Handelsdünger])&gt;0)),ROW()-2),1),"")</f>
        <v>Alzon 46</v>
      </c>
      <c r="BF37" t="str">
        <f>IF(($A48=""),"",IF(COUNTIF(Mineral!$AJ$3:$AJ$324,$A48),"",$A48))</f>
        <v/>
      </c>
      <c r="BG37" t="str">
        <f>IFERROR(INDEX(Liste_Handelsünger[Handelsdünger],_xlfn.AGGREGATE(15,6,(ROW(Liste_Handelsünger[Handelsdünger])-1)/(--(SEARCH(BH$2,Liste_Handelsünger[Handelsdünger])&gt;0)),ROW()-2),1),"")</f>
        <v>Alzon 46</v>
      </c>
      <c r="BH37" t="str">
        <f>IF(($A49=""),"",IF(COUNTIF(Mineral!$AJ$3:$AJ$324,$A49),"",$A49))</f>
        <v/>
      </c>
      <c r="BI37" t="str">
        <f>IFERROR(INDEX(Liste_Handelsünger[Handelsdünger],_xlfn.AGGREGATE(15,6,(ROW(Liste_Handelsünger[Handelsdünger])-1)/(--(SEARCH(BJ$2,Liste_Handelsünger[Handelsdünger])&gt;0)),ROW()-2),1),"")</f>
        <v>Alzon 46</v>
      </c>
      <c r="BJ37" t="str">
        <f>IF(($A50=""),"",IF(COUNTIF(Mineral!$AJ$3:$AJ$324,$A50),"",$A50))</f>
        <v/>
      </c>
      <c r="BK37" t="str">
        <f>IFERROR(INDEX(Liste_Handelsünger[Handelsdünger],_xlfn.AGGREGATE(15,6,(ROW(Liste_Handelsünger[Handelsdünger])-1)/(--(SEARCH(BL$2,Liste_Handelsünger[Handelsdünger])&gt;0)),ROW()-2),1),"")</f>
        <v>Alzon 46</v>
      </c>
      <c r="BM37" t="str">
        <f>IFERROR(INDEX(Liste_Handelsünger[Handelsdünger],_xlfn.AGGREGATE(15,6,(ROW(Liste_Handelsünger[Handelsdünger])-1)/(--(SEARCH(BN$2,Liste_Handelsünger[Handelsdünger])&gt;0)),ROW()-2),1),"")</f>
        <v>Alzon 46</v>
      </c>
      <c r="BN37" t="str">
        <f>IF(($A52=""),"",IF(COUNTIF(Mineral!$AJ$3:$AJ$324,$A52),"",$A52))</f>
        <v/>
      </c>
      <c r="BV37" t="s">
        <v>2038</v>
      </c>
      <c r="BW37" t="s">
        <v>2059</v>
      </c>
    </row>
    <row r="38" spans="1:75" ht="21.75" customHeight="1" thickTop="1" thickBot="1">
      <c r="A38" s="1592"/>
      <c r="B38" s="3"/>
      <c r="C38" s="1593"/>
      <c r="D38" s="1594"/>
      <c r="E38" s="1594"/>
      <c r="F38" s="1594"/>
      <c r="G38" s="1594"/>
      <c r="H38" s="3"/>
      <c r="I38" s="3"/>
      <c r="J38" s="3"/>
      <c r="K38" s="3"/>
      <c r="L38" s="1596"/>
      <c r="N38" s="2189"/>
      <c r="R38" s="2206" t="str">
        <f t="array" ref="R38">IFERROR(IF(ROW(A9)&gt;COUNTA(A:A),"",INDEX(A:A,SMALL(IF(A$3:A$27&lt;&gt;"",ROW($3:$27)),ROW(A7)))),"")</f>
        <v>eigener Dünger 7</v>
      </c>
      <c r="S38" s="1676">
        <v>37</v>
      </c>
      <c r="T38" s="1606" t="s">
        <v>2335</v>
      </c>
      <c r="U38" s="1606" t="s">
        <v>2039</v>
      </c>
      <c r="V38" s="1606"/>
      <c r="W38" s="1606">
        <v>46</v>
      </c>
      <c r="X38" s="1606">
        <v>0</v>
      </c>
      <c r="Y38" s="1606">
        <v>0</v>
      </c>
      <c r="Z38" s="1606">
        <v>0</v>
      </c>
      <c r="AA38" s="1606">
        <v>0</v>
      </c>
      <c r="AB38" s="1606">
        <v>0</v>
      </c>
      <c r="AC38" s="1606">
        <v>1</v>
      </c>
      <c r="AD38" s="1613">
        <v>1</v>
      </c>
      <c r="AE38" s="1606" t="s">
        <v>1764</v>
      </c>
      <c r="AF38" s="1613" t="str">
        <f t="shared" si="7"/>
        <v/>
      </c>
      <c r="AG38" s="1656">
        <f>IFERROR(IF($AF38&gt;0,VLOOKUP($U38,Tabelle1!$C$188:$L$212,5,0)*$AF38,0),0)</f>
        <v>0</v>
      </c>
      <c r="AH38" s="1656">
        <f t="shared" si="8"/>
        <v>0</v>
      </c>
      <c r="AJ38" t="str">
        <f>IF(Betrieb!$D$9="JA",Mineral!$BW38,Mineral!$BV38)</f>
        <v>ALZON neo-N</v>
      </c>
      <c r="AK38" s="1606" t="str">
        <f>IFERROR(INDEX(Liste_Handelsünger[Handelsdünger],_xlfn.AGGREGATE(15,6,(ROW(Liste_Handelsünger[Handelsdünger])-1)/(--(SEARCH(AL$2,Liste_Handelsünger[Handelsdünger])&gt;0)),ROW()-2),1),"")</f>
        <v>ALZON neo-N</v>
      </c>
      <c r="AL38" s="1606" t="str">
        <f>IF(($A$3=""),"",IF(COUNTIF(Mineral!$AJ$3:$AJ$324,$A$3),"",$A$3))</f>
        <v/>
      </c>
      <c r="AM38" s="1606" t="str">
        <f>IFERROR(INDEX(Liste_Handelsünger[Handelsdünger],_xlfn.AGGREGATE(15,6,(ROW(Liste_Handelsünger[Handelsdünger])-1)/(--(SEARCH(AN$2,Liste_Handelsünger[Handelsdünger])&gt;0)),ROW()-2),1),"")</f>
        <v>ALZON neo-N</v>
      </c>
      <c r="AN38" t="str">
        <f>IF(($A40=""),"",IF(COUNTIF(Mineral!$AJ$3:$AJ$324,$A40),"",$A40))</f>
        <v/>
      </c>
      <c r="AO38" t="str">
        <f>IFERROR(INDEX(Liste_Handelsünger[Handelsdünger],_xlfn.AGGREGATE(15,6,(ROW(Liste_Handelsünger[Handelsdünger])-1)/(--(SEARCH(AP$2,Liste_Handelsünger[Handelsdünger])&gt;0)),ROW()-2),1),"")</f>
        <v>ALZON neo-N</v>
      </c>
      <c r="AP38" t="str">
        <f>IF(($A41=""),"",IF(COUNTIF(Mineral!$AJ$3:$AJ$324,$A41),"",$A41))</f>
        <v/>
      </c>
      <c r="AQ38" t="str">
        <f>IFERROR(INDEX(Liste_Handelsünger[Handelsdünger],_xlfn.AGGREGATE(15,6,(ROW(Liste_Handelsünger[Handelsdünger])-1)/(--(SEARCH(AR$2,Liste_Handelsünger[Handelsdünger])&gt;0)),ROW()-2),1),"")</f>
        <v>ALZON neo-N</v>
      </c>
      <c r="AR38" t="str">
        <f>IF(($A42=""),"",IF(COUNTIF(Mineral!$AJ$3:$AJ$324,$A42),"",$A42))</f>
        <v/>
      </c>
      <c r="AS38" t="str">
        <f>IFERROR(INDEX(Liste_Handelsünger[Handelsdünger],_xlfn.AGGREGATE(15,6,(ROW(Liste_Handelsünger[Handelsdünger])-1)/(--(SEARCH(AT$2,Liste_Handelsünger[Handelsdünger])&gt;0)),ROW()-2),1),"")</f>
        <v>ALZON neo-N</v>
      </c>
      <c r="AT38" t="str">
        <f>IF(($A43=""),"",IF(COUNTIF(Mineral!$AJ$3:$AJ$324,$A43),"",$A43))</f>
        <v/>
      </c>
      <c r="AU38" t="str">
        <f>IFERROR(INDEX(Liste_Handelsünger[Handelsdünger],_xlfn.AGGREGATE(15,6,(ROW(Liste_Handelsünger[Handelsdünger])-1)/(--(SEARCH(AV$2,Liste_Handelsünger[Handelsdünger])&gt;0)),ROW()-2),1),"")</f>
        <v>ALZON neo-N</v>
      </c>
      <c r="AV38" t="str">
        <f>IF(($A44=""),"",IF(COUNTIF(Mineral!$AJ$3:$AJ$324,$A44),"",$A44))</f>
        <v/>
      </c>
      <c r="AW38" t="str">
        <f>IFERROR(INDEX(Liste_Handelsünger[Handelsdünger],_xlfn.AGGREGATE(15,6,(ROW(Liste_Handelsünger[Handelsdünger])-1)/(--(SEARCH(AX$2,Liste_Handelsünger[Handelsdünger])&gt;0)),ROW()-2),1),"")</f>
        <v>ALZON neo-N</v>
      </c>
      <c r="AX38" t="str">
        <f>IF(($A45=""),"",IF(COUNTIF(Mineral!$AJ$3:$AJ$324,$A45),"",$A45))</f>
        <v/>
      </c>
      <c r="AY38" t="str">
        <f>IFERROR(INDEX(Liste_Handelsünger[Handelsdünger],_xlfn.AGGREGATE(15,6,(ROW(Liste_Handelsünger[Handelsdünger])-1)/(--(SEARCH(AZ$2,Liste_Handelsünger[Handelsdünger])&gt;0)),ROW()-2),1),"")</f>
        <v>ALZON neo-N</v>
      </c>
      <c r="AZ38" t="str">
        <f>IF(($A46=""),"",IF(COUNTIF(Mineral!$AJ$3:$AJ$324,$A46),"",$A46))</f>
        <v/>
      </c>
      <c r="BA38" t="str">
        <f>IFERROR(INDEX(Liste_Handelsünger[Handelsdünger],_xlfn.AGGREGATE(15,6,(ROW(Liste_Handelsünger[Handelsdünger])-1)/(--(SEARCH(BB$2,Liste_Handelsünger[Handelsdünger])&gt;0)),ROW()-2),1),"")</f>
        <v>ALZON neo-N</v>
      </c>
      <c r="BB38" t="str">
        <f>IF(($A47=""),"",IF(COUNTIF(Mineral!$AJ$3:$AJ$324,$A47),"",$A47))</f>
        <v/>
      </c>
      <c r="BC38" t="str">
        <f>IFERROR(INDEX(Liste_Handelsünger[Handelsdünger],_xlfn.AGGREGATE(15,6,(ROW(Liste_Handelsünger[Handelsdünger])-1)/(--(SEARCH(BD$2,Liste_Handelsünger[Handelsdünger])&gt;0)),ROW()-2),1),"")</f>
        <v>ALZON neo-N</v>
      </c>
      <c r="BD38" t="str">
        <f>IF(($A48=""),"",IF(COUNTIF(Mineral!$AJ$3:$AJ$324,$A48),"",$A48))</f>
        <v/>
      </c>
      <c r="BE38" t="str">
        <f>IFERROR(INDEX(Liste_Handelsünger[Handelsdünger],_xlfn.AGGREGATE(15,6,(ROW(Liste_Handelsünger[Handelsdünger])-1)/(--(SEARCH(BF$2,Liste_Handelsünger[Handelsdünger])&gt;0)),ROW()-2),1),"")</f>
        <v>ALZON neo-N</v>
      </c>
      <c r="BF38" t="str">
        <f>IF(($A49=""),"",IF(COUNTIF(Mineral!$AJ$3:$AJ$324,$A49),"",$A49))</f>
        <v/>
      </c>
      <c r="BG38" t="str">
        <f>IFERROR(INDEX(Liste_Handelsünger[Handelsdünger],_xlfn.AGGREGATE(15,6,(ROW(Liste_Handelsünger[Handelsdünger])-1)/(--(SEARCH(BH$2,Liste_Handelsünger[Handelsdünger])&gt;0)),ROW()-2),1),"")</f>
        <v>ALZON neo-N</v>
      </c>
      <c r="BH38" t="str">
        <f>IF(($A50=""),"",IF(COUNTIF(Mineral!$AJ$3:$AJ$324,$A50),"",$A50))</f>
        <v/>
      </c>
      <c r="BI38" t="str">
        <f>IFERROR(INDEX(Liste_Handelsünger[Handelsdünger],_xlfn.AGGREGATE(15,6,(ROW(Liste_Handelsünger[Handelsdünger])-1)/(--(SEARCH(BJ$2,Liste_Handelsünger[Handelsdünger])&gt;0)),ROW()-2),1),"")</f>
        <v>ALZON neo-N</v>
      </c>
      <c r="BJ38" t="str">
        <f>IF(($A51=""),"",IF(COUNTIF(Mineral!$AJ$3:$AJ$324,$A51),"",$A51))</f>
        <v/>
      </c>
      <c r="BK38" t="str">
        <f>IFERROR(INDEX(Liste_Handelsünger[Handelsdünger],_xlfn.AGGREGATE(15,6,(ROW(Liste_Handelsünger[Handelsdünger])-1)/(--(SEARCH(BL$2,Liste_Handelsünger[Handelsdünger])&gt;0)),ROW()-2),1),"")</f>
        <v>ALZON neo-N</v>
      </c>
      <c r="BM38" t="str">
        <f>IFERROR(INDEX(Liste_Handelsünger[Handelsdünger],_xlfn.AGGREGATE(15,6,(ROW(Liste_Handelsünger[Handelsdünger])-1)/(--(SEARCH(BN$2,Liste_Handelsünger[Handelsdünger])&gt;0)),ROW()-2),1),"")</f>
        <v>ALZON neo-N</v>
      </c>
      <c r="BN38" t="str">
        <f>IF(($A53=""),"",IF(COUNTIF(Mineral!$AJ$3:$AJ$324,$A53),"",$A53))</f>
        <v/>
      </c>
      <c r="BV38" t="s">
        <v>2039</v>
      </c>
      <c r="BW38" t="s">
        <v>2060</v>
      </c>
    </row>
    <row r="39" spans="1:75" ht="15.95" customHeight="1" thickTop="1" thickBot="1">
      <c r="R39" s="2206" t="str">
        <f t="array" ref="R39">IFERROR(IF(ROW(A10)&gt;COUNTA(A:A),"",INDEX(A:A,SMALL(IF(A$3:A$27&lt;&gt;"",ROW($3:$27)),ROW(A8)))),"")</f>
        <v>eigener Dünger 8</v>
      </c>
      <c r="S39" s="1616">
        <v>38</v>
      </c>
      <c r="T39" s="1617" t="s">
        <v>2335</v>
      </c>
      <c r="U39" s="1617" t="s">
        <v>2044</v>
      </c>
      <c r="V39" s="1617"/>
      <c r="W39" s="1617">
        <v>26</v>
      </c>
      <c r="X39" s="1617">
        <v>0</v>
      </c>
      <c r="Y39" s="1617">
        <v>0</v>
      </c>
      <c r="Z39" s="1617">
        <v>13</v>
      </c>
      <c r="AA39" s="1617">
        <v>0</v>
      </c>
      <c r="AB39" s="1617">
        <v>0</v>
      </c>
      <c r="AC39" s="1617">
        <v>1</v>
      </c>
      <c r="AD39" s="1613">
        <v>1</v>
      </c>
      <c r="AE39" s="1617" t="s">
        <v>2016</v>
      </c>
      <c r="AF39" s="1613" t="str">
        <f t="shared" si="7"/>
        <v/>
      </c>
      <c r="AG39" s="1656">
        <f>IFERROR(IF($AF39&gt;0,VLOOKUP($U39,Tabelle1!$C$188:$L$212,5,0)*$AF39,0),0)</f>
        <v>0</v>
      </c>
      <c r="AH39" s="1656">
        <f t="shared" si="8"/>
        <v>0</v>
      </c>
      <c r="AJ39" t="str">
        <f>IF(Betrieb!$D$9="JA",Mineral!$BW39,Mineral!$BV39)</f>
        <v>Ammonsulfatsalpeter (ASS)</v>
      </c>
      <c r="AK39" s="1606" t="str">
        <f>IFERROR(INDEX(Liste_Handelsünger[Handelsdünger],_xlfn.AGGREGATE(15,6,(ROW(Liste_Handelsünger[Handelsdünger])-1)/(--(SEARCH(AL$2,Liste_Handelsünger[Handelsdünger])&gt;0)),ROW()-2),1),"")</f>
        <v>Ammonsulfatsalpeter (ASS)</v>
      </c>
      <c r="AL39" s="1606" t="str">
        <f>IF(($A$3=""),"",IF(COUNTIF(Mineral!$AJ$3:$AJ$324,$A$3),"",$A$3))</f>
        <v/>
      </c>
      <c r="AM39" s="1606" t="str">
        <f>IFERROR(INDEX(Liste_Handelsünger[Handelsdünger],_xlfn.AGGREGATE(15,6,(ROW(Liste_Handelsünger[Handelsdünger])-1)/(--(SEARCH(AN$2,Liste_Handelsünger[Handelsdünger])&gt;0)),ROW()-2),1),"")</f>
        <v>Ammonsulfatsalpeter (ASS)</v>
      </c>
      <c r="AN39" t="str">
        <f>IF(($A41=""),"",IF(COUNTIF(Mineral!$AJ$3:$AJ$324,$A41),"",$A41))</f>
        <v/>
      </c>
      <c r="AO39" t="str">
        <f>IFERROR(INDEX(Liste_Handelsünger[Handelsdünger],_xlfn.AGGREGATE(15,6,(ROW(Liste_Handelsünger[Handelsdünger])-1)/(--(SEARCH(AP$2,Liste_Handelsünger[Handelsdünger])&gt;0)),ROW()-2),1),"")</f>
        <v>Ammonsulfatsalpeter (ASS)</v>
      </c>
      <c r="AP39" t="str">
        <f>IF(($A42=""),"",IF(COUNTIF(Mineral!$AJ$3:$AJ$324,$A42),"",$A42))</f>
        <v/>
      </c>
      <c r="AQ39" t="str">
        <f>IFERROR(INDEX(Liste_Handelsünger[Handelsdünger],_xlfn.AGGREGATE(15,6,(ROW(Liste_Handelsünger[Handelsdünger])-1)/(--(SEARCH(AR$2,Liste_Handelsünger[Handelsdünger])&gt;0)),ROW()-2),1),"")</f>
        <v>Ammonsulfatsalpeter (ASS)</v>
      </c>
      <c r="AR39" t="str">
        <f>IF(($A43=""),"",IF(COUNTIF(Mineral!$AJ$3:$AJ$324,$A43),"",$A43))</f>
        <v/>
      </c>
      <c r="AS39" t="str">
        <f>IFERROR(INDEX(Liste_Handelsünger[Handelsdünger],_xlfn.AGGREGATE(15,6,(ROW(Liste_Handelsünger[Handelsdünger])-1)/(--(SEARCH(AT$2,Liste_Handelsünger[Handelsdünger])&gt;0)),ROW()-2),1),"")</f>
        <v>Ammonsulfatsalpeter (ASS)</v>
      </c>
      <c r="AT39" t="str">
        <f>IF(($A44=""),"",IF(COUNTIF(Mineral!$AJ$3:$AJ$324,$A44),"",$A44))</f>
        <v/>
      </c>
      <c r="AU39" t="str">
        <f>IFERROR(INDEX(Liste_Handelsünger[Handelsdünger],_xlfn.AGGREGATE(15,6,(ROW(Liste_Handelsünger[Handelsdünger])-1)/(--(SEARCH(AV$2,Liste_Handelsünger[Handelsdünger])&gt;0)),ROW()-2),1),"")</f>
        <v>Ammonsulfatsalpeter (ASS)</v>
      </c>
      <c r="AV39" t="str">
        <f>IF(($A45=""),"",IF(COUNTIF(Mineral!$AJ$3:$AJ$324,$A45),"",$A45))</f>
        <v/>
      </c>
      <c r="AW39" t="str">
        <f>IFERROR(INDEX(Liste_Handelsünger[Handelsdünger],_xlfn.AGGREGATE(15,6,(ROW(Liste_Handelsünger[Handelsdünger])-1)/(--(SEARCH(AX$2,Liste_Handelsünger[Handelsdünger])&gt;0)),ROW()-2),1),"")</f>
        <v>Ammonsulfatsalpeter (ASS)</v>
      </c>
      <c r="AX39" t="str">
        <f>IF(($A46=""),"",IF(COUNTIF(Mineral!$AJ$3:$AJ$324,$A46),"",$A46))</f>
        <v/>
      </c>
      <c r="AY39" t="str">
        <f>IFERROR(INDEX(Liste_Handelsünger[Handelsdünger],_xlfn.AGGREGATE(15,6,(ROW(Liste_Handelsünger[Handelsdünger])-1)/(--(SEARCH(AZ$2,Liste_Handelsünger[Handelsdünger])&gt;0)),ROW()-2),1),"")</f>
        <v>Ammonsulfatsalpeter (ASS)</v>
      </c>
      <c r="AZ39" t="str">
        <f>IF(($A47=""),"",IF(COUNTIF(Mineral!$AJ$3:$AJ$324,$A47),"",$A47))</f>
        <v/>
      </c>
      <c r="BA39" t="str">
        <f>IFERROR(INDEX(Liste_Handelsünger[Handelsdünger],_xlfn.AGGREGATE(15,6,(ROW(Liste_Handelsünger[Handelsdünger])-1)/(--(SEARCH(BB$2,Liste_Handelsünger[Handelsdünger])&gt;0)),ROW()-2),1),"")</f>
        <v>Ammonsulfatsalpeter (ASS)</v>
      </c>
      <c r="BB39" t="str">
        <f>IF(($A48=""),"",IF(COUNTIF(Mineral!$AJ$3:$AJ$324,$A48),"",$A48))</f>
        <v/>
      </c>
      <c r="BC39" t="str">
        <f>IFERROR(INDEX(Liste_Handelsünger[Handelsdünger],_xlfn.AGGREGATE(15,6,(ROW(Liste_Handelsünger[Handelsdünger])-1)/(--(SEARCH(BD$2,Liste_Handelsünger[Handelsdünger])&gt;0)),ROW()-2),1),"")</f>
        <v>Ammonsulfatsalpeter (ASS)</v>
      </c>
      <c r="BD39" t="str">
        <f>IF(($A49=""),"",IF(COUNTIF(Mineral!$AJ$3:$AJ$324,$A49),"",$A49))</f>
        <v/>
      </c>
      <c r="BE39" t="str">
        <f>IFERROR(INDEX(Liste_Handelsünger[Handelsdünger],_xlfn.AGGREGATE(15,6,(ROW(Liste_Handelsünger[Handelsdünger])-1)/(--(SEARCH(BF$2,Liste_Handelsünger[Handelsdünger])&gt;0)),ROW()-2),1),"")</f>
        <v>Ammonsulfatsalpeter (ASS)</v>
      </c>
      <c r="BF39" t="str">
        <f>IF(($A50=""),"",IF(COUNTIF(Mineral!$AJ$3:$AJ$324,$A50),"",$A50))</f>
        <v/>
      </c>
      <c r="BG39" t="str">
        <f>IFERROR(INDEX(Liste_Handelsünger[Handelsdünger],_xlfn.AGGREGATE(15,6,(ROW(Liste_Handelsünger[Handelsdünger])-1)/(--(SEARCH(BH$2,Liste_Handelsünger[Handelsdünger])&gt;0)),ROW()-2),1),"")</f>
        <v>Ammonsulfatsalpeter (ASS)</v>
      </c>
      <c r="BH39" t="str">
        <f>IF(($A51=""),"",IF(COUNTIF(Mineral!$AJ$3:$AJ$324,$A51),"",$A51))</f>
        <v/>
      </c>
      <c r="BI39" t="str">
        <f>IFERROR(INDEX(Liste_Handelsünger[Handelsdünger],_xlfn.AGGREGATE(15,6,(ROW(Liste_Handelsünger[Handelsdünger])-1)/(--(SEARCH(BJ$2,Liste_Handelsünger[Handelsdünger])&gt;0)),ROW()-2),1),"")</f>
        <v>Ammonsulfatsalpeter (ASS)</v>
      </c>
      <c r="BJ39" t="str">
        <f>IF(($A52=""),"",IF(COUNTIF(Mineral!$AJ$3:$AJ$324,$A52),"",$A52))</f>
        <v/>
      </c>
      <c r="BK39" t="str">
        <f>IFERROR(INDEX(Liste_Handelsünger[Handelsdünger],_xlfn.AGGREGATE(15,6,(ROW(Liste_Handelsünger[Handelsdünger])-1)/(--(SEARCH(BL$2,Liste_Handelsünger[Handelsdünger])&gt;0)),ROW()-2),1),"")</f>
        <v>Ammonsulfatsalpeter (ASS)</v>
      </c>
      <c r="BM39" t="str">
        <f>IFERROR(INDEX(Liste_Handelsünger[Handelsdünger],_xlfn.AGGREGATE(15,6,(ROW(Liste_Handelsünger[Handelsdünger])-1)/(--(SEARCH(BN$2,Liste_Handelsünger[Handelsdünger])&gt;0)),ROW()-2),1),"")</f>
        <v>Ammonsulfatsalpeter (ASS)</v>
      </c>
      <c r="BN39" t="str">
        <f>IF(($A54=""),"",IF(COUNTIF(Mineral!$AJ$3:$AJ$324,$A54),"",$A54))</f>
        <v/>
      </c>
      <c r="BV39" t="s">
        <v>2044</v>
      </c>
      <c r="BW39" t="s">
        <v>2061</v>
      </c>
    </row>
    <row r="40" spans="1:75" ht="15.95" customHeight="1" thickTop="1" thickBot="1">
      <c r="R40" s="2206" t="str">
        <f t="array" ref="R40">IFERROR(IF(ROW(A11)&gt;COUNTA(A:A),"",INDEX(A:A,SMALL(IF(A$3:A$27&lt;&gt;"",ROW($3:$27)),ROW(A9)))),"")</f>
        <v>eigener Dünger 9</v>
      </c>
      <c r="S40" s="1676">
        <v>39</v>
      </c>
      <c r="T40" s="1606" t="s">
        <v>2335</v>
      </c>
      <c r="U40" s="1606" t="s">
        <v>2046</v>
      </c>
      <c r="V40" s="1606"/>
      <c r="W40" s="1606">
        <v>23</v>
      </c>
      <c r="X40" s="1606">
        <v>0</v>
      </c>
      <c r="Y40" s="1606">
        <v>0</v>
      </c>
      <c r="Z40" s="1606">
        <v>2</v>
      </c>
      <c r="AA40" s="1606">
        <v>0</v>
      </c>
      <c r="AB40" s="1606">
        <v>1.5</v>
      </c>
      <c r="AC40" s="1606">
        <v>1</v>
      </c>
      <c r="AD40" s="1613">
        <v>1</v>
      </c>
      <c r="AE40" s="1606" t="s">
        <v>2016</v>
      </c>
      <c r="AF40" s="1613" t="str">
        <f t="shared" si="7"/>
        <v/>
      </c>
      <c r="AG40" s="1656">
        <f>IFERROR(IF($AF40&gt;0,VLOOKUP($U40,Tabelle1!$C$188:$L$212,5,0)*$AF40,0),0)</f>
        <v>0</v>
      </c>
      <c r="AH40" s="1656">
        <f t="shared" si="8"/>
        <v>0</v>
      </c>
      <c r="AJ40" t="str">
        <f>IF(Betrieb!$D$9="JA",Mineral!$BW40,Mineral!$BV40)</f>
        <v>AZO - Speed</v>
      </c>
      <c r="AK40" s="1672" t="str">
        <f>IFERROR(INDEX(Liste_Handelsünger[Handelsdünger],_xlfn.AGGREGATE(15,6,(ROW(Liste_Handelsünger[Handelsdünger])-1)/(--(SEARCH(AL$2,Liste_Handelsünger[Handelsdünger])&gt;0)),ROW()-2),1),"")</f>
        <v>AZO - Speed</v>
      </c>
      <c r="AL40" s="1672" t="str">
        <f>IF(($A$3=""),"",IF(COUNTIF(Mineral!$AJ$3:$AJ$324,$A$3),"",$A$3))</f>
        <v/>
      </c>
      <c r="AM40" s="1672" t="str">
        <f>IFERROR(INDEX(Liste_Handelsünger[Handelsdünger],_xlfn.AGGREGATE(15,6,(ROW(Liste_Handelsünger[Handelsdünger])-1)/(--(SEARCH(AN$2,Liste_Handelsünger[Handelsdünger])&gt;0)),ROW()-2),1),"")</f>
        <v>AZO - Speed</v>
      </c>
      <c r="AN40" t="str">
        <f>IF(($A42=""),"",IF(COUNTIF(Mineral!$AJ$3:$AJ$324,$A42),"",$A42))</f>
        <v/>
      </c>
      <c r="AO40" t="str">
        <f>IFERROR(INDEX(Liste_Handelsünger[Handelsdünger],_xlfn.AGGREGATE(15,6,(ROW(Liste_Handelsünger[Handelsdünger])-1)/(--(SEARCH(AP$2,Liste_Handelsünger[Handelsdünger])&gt;0)),ROW()-2),1),"")</f>
        <v>AZO - Speed</v>
      </c>
      <c r="AP40" t="str">
        <f>IF(($A43=""),"",IF(COUNTIF(Mineral!$AJ$3:$AJ$324,$A43),"",$A43))</f>
        <v/>
      </c>
      <c r="AQ40" t="str">
        <f>IFERROR(INDEX(Liste_Handelsünger[Handelsdünger],_xlfn.AGGREGATE(15,6,(ROW(Liste_Handelsünger[Handelsdünger])-1)/(--(SEARCH(AR$2,Liste_Handelsünger[Handelsdünger])&gt;0)),ROW()-2),1),"")</f>
        <v>AZO - Speed</v>
      </c>
      <c r="AR40" t="str">
        <f>IF(($A44=""),"",IF(COUNTIF(Mineral!$AJ$3:$AJ$324,$A44),"",$A44))</f>
        <v/>
      </c>
      <c r="AS40" t="str">
        <f>IFERROR(INDEX(Liste_Handelsünger[Handelsdünger],_xlfn.AGGREGATE(15,6,(ROW(Liste_Handelsünger[Handelsdünger])-1)/(--(SEARCH(AT$2,Liste_Handelsünger[Handelsdünger])&gt;0)),ROW()-2),1),"")</f>
        <v>AZO - Speed</v>
      </c>
      <c r="AT40" t="str">
        <f>IF(($A45=""),"",IF(COUNTIF(Mineral!$AJ$3:$AJ$324,$A45),"",$A45))</f>
        <v/>
      </c>
      <c r="AU40" t="str">
        <f>IFERROR(INDEX(Liste_Handelsünger[Handelsdünger],_xlfn.AGGREGATE(15,6,(ROW(Liste_Handelsünger[Handelsdünger])-1)/(--(SEARCH(AV$2,Liste_Handelsünger[Handelsdünger])&gt;0)),ROW()-2),1),"")</f>
        <v>AZO - Speed</v>
      </c>
      <c r="AV40" t="str">
        <f>IF(($A46=""),"",IF(COUNTIF(Mineral!$AJ$3:$AJ$324,$A46),"",$A46))</f>
        <v/>
      </c>
      <c r="AW40" t="str">
        <f>IFERROR(INDEX(Liste_Handelsünger[Handelsdünger],_xlfn.AGGREGATE(15,6,(ROW(Liste_Handelsünger[Handelsdünger])-1)/(--(SEARCH(AX$2,Liste_Handelsünger[Handelsdünger])&gt;0)),ROW()-2),1),"")</f>
        <v>AZO - Speed</v>
      </c>
      <c r="AX40" t="str">
        <f>IF(($A47=""),"",IF(COUNTIF(Mineral!$AJ$3:$AJ$324,$A47),"",$A47))</f>
        <v/>
      </c>
      <c r="AY40" t="str">
        <f>IFERROR(INDEX(Liste_Handelsünger[Handelsdünger],_xlfn.AGGREGATE(15,6,(ROW(Liste_Handelsünger[Handelsdünger])-1)/(--(SEARCH(AZ$2,Liste_Handelsünger[Handelsdünger])&gt;0)),ROW()-2),1),"")</f>
        <v>AZO - Speed</v>
      </c>
      <c r="AZ40" t="str">
        <f>IF(($A48=""),"",IF(COUNTIF(Mineral!$AJ$3:$AJ$324,$A48),"",$A48))</f>
        <v/>
      </c>
      <c r="BA40" t="str">
        <f>IFERROR(INDEX(Liste_Handelsünger[Handelsdünger],_xlfn.AGGREGATE(15,6,(ROW(Liste_Handelsünger[Handelsdünger])-1)/(--(SEARCH(BB$2,Liste_Handelsünger[Handelsdünger])&gt;0)),ROW()-2),1),"")</f>
        <v>AZO - Speed</v>
      </c>
      <c r="BB40" t="str">
        <f>IF(($A49=""),"",IF(COUNTIF(Mineral!$AJ$3:$AJ$324,$A49),"",$A49))</f>
        <v/>
      </c>
      <c r="BC40" t="str">
        <f>IFERROR(INDEX(Liste_Handelsünger[Handelsdünger],_xlfn.AGGREGATE(15,6,(ROW(Liste_Handelsünger[Handelsdünger])-1)/(--(SEARCH(BD$2,Liste_Handelsünger[Handelsdünger])&gt;0)),ROW()-2),1),"")</f>
        <v>AZO - Speed</v>
      </c>
      <c r="BD40" t="str">
        <f>IF(($A50=""),"",IF(COUNTIF(Mineral!$AJ$3:$AJ$324,$A50),"",$A50))</f>
        <v/>
      </c>
      <c r="BE40" t="str">
        <f>IFERROR(INDEX(Liste_Handelsünger[Handelsdünger],_xlfn.AGGREGATE(15,6,(ROW(Liste_Handelsünger[Handelsdünger])-1)/(--(SEARCH(BF$2,Liste_Handelsünger[Handelsdünger])&gt;0)),ROW()-2),1),"")</f>
        <v>AZO - Speed</v>
      </c>
      <c r="BF40" t="str">
        <f>IF(($A51=""),"",IF(COUNTIF(Mineral!$AJ$3:$AJ$324,$A51),"",$A51))</f>
        <v/>
      </c>
      <c r="BG40" t="str">
        <f>IFERROR(INDEX(Liste_Handelsünger[Handelsdünger],_xlfn.AGGREGATE(15,6,(ROW(Liste_Handelsünger[Handelsdünger])-1)/(--(SEARCH(BH$2,Liste_Handelsünger[Handelsdünger])&gt;0)),ROW()-2),1),"")</f>
        <v>AZO - Speed</v>
      </c>
      <c r="BH40" t="str">
        <f>IF(($A52=""),"",IF(COUNTIF(Mineral!$AJ$3:$AJ$324,$A52),"",$A52))</f>
        <v/>
      </c>
      <c r="BI40" t="str">
        <f>IFERROR(INDEX(Liste_Handelsünger[Handelsdünger],_xlfn.AGGREGATE(15,6,(ROW(Liste_Handelsünger[Handelsdünger])-1)/(--(SEARCH(BJ$2,Liste_Handelsünger[Handelsdünger])&gt;0)),ROW()-2),1),"")</f>
        <v>AZO - Speed</v>
      </c>
      <c r="BJ40" t="str">
        <f>IF(($A53=""),"",IF(COUNTIF(Mineral!$AJ$3:$AJ$324,$A53),"",$A53))</f>
        <v/>
      </c>
      <c r="BK40" t="str">
        <f>IFERROR(INDEX(Liste_Handelsünger[Handelsdünger],_xlfn.AGGREGATE(15,6,(ROW(Liste_Handelsünger[Handelsdünger])-1)/(--(SEARCH(BL$2,Liste_Handelsünger[Handelsdünger])&gt;0)),ROW()-2),1),"")</f>
        <v>AZO - Speed</v>
      </c>
      <c r="BM40" t="str">
        <f>IFERROR(INDEX(Liste_Handelsünger[Handelsdünger],_xlfn.AGGREGATE(15,6,(ROW(Liste_Handelsünger[Handelsdünger])-1)/(--(SEARCH(BN$2,Liste_Handelsünger[Handelsdünger])&gt;0)),ROW()-2),1),"")</f>
        <v>AZO - Speed</v>
      </c>
      <c r="BN40" t="str">
        <f>IF(($A55=""),"",IF(COUNTIF(Mineral!$AJ$3:$AJ$324,$A55),"",$A55))</f>
        <v/>
      </c>
      <c r="BV40" t="s">
        <v>2046</v>
      </c>
      <c r="BW40" t="s">
        <v>2062</v>
      </c>
    </row>
    <row r="41" spans="1:75" ht="15.95" customHeight="1" thickTop="1" thickBot="1">
      <c r="R41" s="2206" t="str">
        <f t="array" ref="R41">IFERROR(IF(ROW(A12)&gt;COUNTA(A:A),"",INDEX(A:A,SMALL(IF(A$3:A$27&lt;&gt;"",ROW($3:$27)),ROW(A10)))),"")</f>
        <v>eigener Dünger 10</v>
      </c>
      <c r="S41" s="1616">
        <v>40</v>
      </c>
      <c r="T41" s="1617" t="s">
        <v>2335</v>
      </c>
      <c r="U41" s="1617" t="s">
        <v>2049</v>
      </c>
      <c r="V41" s="1617"/>
      <c r="W41" s="1617">
        <v>8</v>
      </c>
      <c r="X41" s="1617">
        <v>3</v>
      </c>
      <c r="Y41" s="1617">
        <v>3</v>
      </c>
      <c r="Z41" s="1617">
        <v>0</v>
      </c>
      <c r="AA41" s="1617">
        <v>0</v>
      </c>
      <c r="AB41" s="1617">
        <v>0</v>
      </c>
      <c r="AC41" s="1617">
        <v>1</v>
      </c>
      <c r="AD41" s="1613">
        <v>1</v>
      </c>
      <c r="AE41" s="1617" t="s">
        <v>2016</v>
      </c>
      <c r="AF41" s="1613" t="str">
        <f t="shared" si="7"/>
        <v/>
      </c>
      <c r="AG41" s="1656">
        <f>IFERROR(IF($AF41&gt;0,VLOOKUP($U41,Tabelle1!$C$188:$L$212,5,0)*$AF41,0),0)</f>
        <v>0</v>
      </c>
      <c r="AH41" s="1656">
        <f t="shared" si="8"/>
        <v>0</v>
      </c>
      <c r="AJ41" t="str">
        <f>IF(Betrieb!$D$9="JA",Mineral!$BW41,Mineral!$BV41)</f>
        <v>Bactosol</v>
      </c>
      <c r="AK41" s="1672" t="str">
        <f>IFERROR(INDEX(Liste_Handelsünger[Handelsdünger],_xlfn.AGGREGATE(15,6,(ROW(Liste_Handelsünger[Handelsdünger])-1)/(--(SEARCH(AL$2,Liste_Handelsünger[Handelsdünger])&gt;0)),ROW()-2),1),"")</f>
        <v>Bactosol</v>
      </c>
      <c r="AL41" s="1672" t="str">
        <f>IF(($A$3=""),"",IF(COUNTIF(Mineral!$AJ$3:$AJ$324,$A$3),"",$A$3))</f>
        <v/>
      </c>
      <c r="AM41" s="1672" t="str">
        <f>IFERROR(INDEX(Liste_Handelsünger[Handelsdünger],_xlfn.AGGREGATE(15,6,(ROW(Liste_Handelsünger[Handelsdünger])-1)/(--(SEARCH(AN$2,Liste_Handelsünger[Handelsdünger])&gt;0)),ROW()-2),1),"")</f>
        <v>Bactosol</v>
      </c>
      <c r="AN41" t="str">
        <f>IF(($A43=""),"",IF(COUNTIF(Mineral!$AJ$3:$AJ$324,$A43),"",$A43))</f>
        <v/>
      </c>
      <c r="AO41" t="str">
        <f>IFERROR(INDEX(Liste_Handelsünger[Handelsdünger],_xlfn.AGGREGATE(15,6,(ROW(Liste_Handelsünger[Handelsdünger])-1)/(--(SEARCH(AP$2,Liste_Handelsünger[Handelsdünger])&gt;0)),ROW()-2),1),"")</f>
        <v>Bactosol</v>
      </c>
      <c r="AP41" t="str">
        <f>IF(($A44=""),"",IF(COUNTIF(Mineral!$AJ$3:$AJ$324,$A44),"",$A44))</f>
        <v/>
      </c>
      <c r="AQ41" t="str">
        <f>IFERROR(INDEX(Liste_Handelsünger[Handelsdünger],_xlfn.AGGREGATE(15,6,(ROW(Liste_Handelsünger[Handelsdünger])-1)/(--(SEARCH(AR$2,Liste_Handelsünger[Handelsdünger])&gt;0)),ROW()-2),1),"")</f>
        <v>Bactosol</v>
      </c>
      <c r="AR41" t="str">
        <f>IF(($A45=""),"",IF(COUNTIF(Mineral!$AJ$3:$AJ$324,$A45),"",$A45))</f>
        <v/>
      </c>
      <c r="AS41" t="str">
        <f>IFERROR(INDEX(Liste_Handelsünger[Handelsdünger],_xlfn.AGGREGATE(15,6,(ROW(Liste_Handelsünger[Handelsdünger])-1)/(--(SEARCH(AT$2,Liste_Handelsünger[Handelsdünger])&gt;0)),ROW()-2),1),"")</f>
        <v>Bactosol</v>
      </c>
      <c r="AT41" t="str">
        <f>IF(($A46=""),"",IF(COUNTIF(Mineral!$AJ$3:$AJ$324,$A46),"",$A46))</f>
        <v/>
      </c>
      <c r="AU41" t="str">
        <f>IFERROR(INDEX(Liste_Handelsünger[Handelsdünger],_xlfn.AGGREGATE(15,6,(ROW(Liste_Handelsünger[Handelsdünger])-1)/(--(SEARCH(AV$2,Liste_Handelsünger[Handelsdünger])&gt;0)),ROW()-2),1),"")</f>
        <v>Bactosol</v>
      </c>
      <c r="AV41" t="str">
        <f>IF(($A47=""),"",IF(COUNTIF(Mineral!$AJ$3:$AJ$324,$A47),"",$A47))</f>
        <v/>
      </c>
      <c r="AW41" t="str">
        <f>IFERROR(INDEX(Liste_Handelsünger[Handelsdünger],_xlfn.AGGREGATE(15,6,(ROW(Liste_Handelsünger[Handelsdünger])-1)/(--(SEARCH(AX$2,Liste_Handelsünger[Handelsdünger])&gt;0)),ROW()-2),1),"")</f>
        <v>Bactosol</v>
      </c>
      <c r="AX41" t="str">
        <f>IF(($A48=""),"",IF(COUNTIF(Mineral!$AJ$3:$AJ$324,$A48),"",$A48))</f>
        <v/>
      </c>
      <c r="AY41" t="str">
        <f>IFERROR(INDEX(Liste_Handelsünger[Handelsdünger],_xlfn.AGGREGATE(15,6,(ROW(Liste_Handelsünger[Handelsdünger])-1)/(--(SEARCH(AZ$2,Liste_Handelsünger[Handelsdünger])&gt;0)),ROW()-2),1),"")</f>
        <v>Bactosol</v>
      </c>
      <c r="AZ41" t="str">
        <f>IF(($A49=""),"",IF(COUNTIF(Mineral!$AJ$3:$AJ$324,$A49),"",$A49))</f>
        <v/>
      </c>
      <c r="BA41" t="str">
        <f>IFERROR(INDEX(Liste_Handelsünger[Handelsdünger],_xlfn.AGGREGATE(15,6,(ROW(Liste_Handelsünger[Handelsdünger])-1)/(--(SEARCH(BB$2,Liste_Handelsünger[Handelsdünger])&gt;0)),ROW()-2),1),"")</f>
        <v>Bactosol</v>
      </c>
      <c r="BB41" t="str">
        <f>IF(($A50=""),"",IF(COUNTIF(Mineral!$AJ$3:$AJ$324,$A50),"",$A50))</f>
        <v/>
      </c>
      <c r="BC41" t="str">
        <f>IFERROR(INDEX(Liste_Handelsünger[Handelsdünger],_xlfn.AGGREGATE(15,6,(ROW(Liste_Handelsünger[Handelsdünger])-1)/(--(SEARCH(BD$2,Liste_Handelsünger[Handelsdünger])&gt;0)),ROW()-2),1),"")</f>
        <v>Bactosol</v>
      </c>
      <c r="BD41" t="str">
        <f>IF(($A51=""),"",IF(COUNTIF(Mineral!$AJ$3:$AJ$324,$A51),"",$A51))</f>
        <v/>
      </c>
      <c r="BE41" t="str">
        <f>IFERROR(INDEX(Liste_Handelsünger[Handelsdünger],_xlfn.AGGREGATE(15,6,(ROW(Liste_Handelsünger[Handelsdünger])-1)/(--(SEARCH(BF$2,Liste_Handelsünger[Handelsdünger])&gt;0)),ROW()-2),1),"")</f>
        <v>Bactosol</v>
      </c>
      <c r="BF41" t="str">
        <f>IF(($A52=""),"",IF(COUNTIF(Mineral!$AJ$3:$AJ$324,$A52),"",$A52))</f>
        <v/>
      </c>
      <c r="BG41" t="str">
        <f>IFERROR(INDEX(Liste_Handelsünger[Handelsdünger],_xlfn.AGGREGATE(15,6,(ROW(Liste_Handelsünger[Handelsdünger])-1)/(--(SEARCH(BH$2,Liste_Handelsünger[Handelsdünger])&gt;0)),ROW()-2),1),"")</f>
        <v>Bactosol</v>
      </c>
      <c r="BH41" t="str">
        <f>IF(($A53=""),"",IF(COUNTIF(Mineral!$AJ$3:$AJ$324,$A53),"",$A53))</f>
        <v/>
      </c>
      <c r="BI41" t="str">
        <f>IFERROR(INDEX(Liste_Handelsünger[Handelsdünger],_xlfn.AGGREGATE(15,6,(ROW(Liste_Handelsünger[Handelsdünger])-1)/(--(SEARCH(BJ$2,Liste_Handelsünger[Handelsdünger])&gt;0)),ROW()-2),1),"")</f>
        <v>Bactosol</v>
      </c>
      <c r="BJ41" t="str">
        <f>IF(($A54=""),"",IF(COUNTIF(Mineral!$AJ$3:$AJ$324,$A54),"",$A54))</f>
        <v/>
      </c>
      <c r="BK41" t="str">
        <f>IFERROR(INDEX(Liste_Handelsünger[Handelsdünger],_xlfn.AGGREGATE(15,6,(ROW(Liste_Handelsünger[Handelsdünger])-1)/(--(SEARCH(BL$2,Liste_Handelsünger[Handelsdünger])&gt;0)),ROW()-2),1),"")</f>
        <v>Bactosol</v>
      </c>
      <c r="BM41" t="str">
        <f>IFERROR(INDEX(Liste_Handelsünger[Handelsdünger],_xlfn.AGGREGATE(15,6,(ROW(Liste_Handelsünger[Handelsdünger])-1)/(--(SEARCH(BN$2,Liste_Handelsünger[Handelsdünger])&gt;0)),ROW()-2),1),"")</f>
        <v>Bactosol</v>
      </c>
      <c r="BN41" t="str">
        <f>IF(($A56=""),"",IF(COUNTIF(Mineral!$AJ$3:$AJ$324,$A56),"",$A56))</f>
        <v/>
      </c>
      <c r="BV41" t="s">
        <v>2049</v>
      </c>
      <c r="BW41" t="s">
        <v>2063</v>
      </c>
    </row>
    <row r="42" spans="1:75" ht="15.95" customHeight="1" thickTop="1" thickBot="1">
      <c r="R42" s="2206" t="str">
        <f t="array" ref="R42">IFERROR(IF(ROW(A13)&gt;COUNTA(A:A),"",INDEX(A:A,SMALL(IF(A$3:A$27&lt;&gt;"",ROW($3:$27)),ROW(A11)))),"")</f>
        <v/>
      </c>
      <c r="S42" s="1676">
        <v>41</v>
      </c>
      <c r="T42" s="1606" t="s">
        <v>2335</v>
      </c>
      <c r="U42" s="1606" t="s">
        <v>2051</v>
      </c>
      <c r="V42" s="1606"/>
      <c r="W42" s="1606">
        <v>0</v>
      </c>
      <c r="X42" s="1606">
        <v>0</v>
      </c>
      <c r="Y42" s="1606">
        <v>0</v>
      </c>
      <c r="Z42" s="1606">
        <v>57.3</v>
      </c>
      <c r="AA42" s="1606">
        <v>0</v>
      </c>
      <c r="AB42" s="1606">
        <v>0</v>
      </c>
      <c r="AC42" s="1606">
        <v>1</v>
      </c>
      <c r="AD42" s="1613">
        <v>1</v>
      </c>
      <c r="AE42" s="1606" t="s">
        <v>1764</v>
      </c>
      <c r="AF42" s="1613" t="str">
        <f t="shared" si="7"/>
        <v/>
      </c>
      <c r="AG42" s="1656">
        <f>IFERROR(IF($AF42&gt;0,VLOOKUP($U42,Tabelle1!$C$188:$L$212,5,0)*$AF42,0),0)</f>
        <v>0</v>
      </c>
      <c r="AH42" s="1656">
        <f t="shared" si="8"/>
        <v>0</v>
      </c>
      <c r="AJ42" t="str">
        <f>IF(Betrieb!$D$9="JA",Mineral!$BW42,Mineral!$BV42)</f>
        <v>Bayfolan S</v>
      </c>
      <c r="AK42" s="1672" t="str">
        <f>IFERROR(INDEX(Liste_Handelsünger[Handelsdünger],_xlfn.AGGREGATE(15,6,(ROW(Liste_Handelsünger[Handelsdünger])-1)/(--(SEARCH(AL$2,Liste_Handelsünger[Handelsdünger])&gt;0)),ROW()-2),1),"")</f>
        <v>Bayfolan S</v>
      </c>
      <c r="AL42" s="1672" t="str">
        <f>IF(($A$3=""),"",IF(COUNTIF(Mineral!$AJ$3:$AJ$324,$A$3),"",$A$3))</f>
        <v/>
      </c>
      <c r="AM42" s="1672" t="str">
        <f>IFERROR(INDEX(Liste_Handelsünger[Handelsdünger],_xlfn.AGGREGATE(15,6,(ROW(Liste_Handelsünger[Handelsdünger])-1)/(--(SEARCH(AN$2,Liste_Handelsünger[Handelsdünger])&gt;0)),ROW()-2),1),"")</f>
        <v>Bayfolan S</v>
      </c>
      <c r="AN42" t="str">
        <f>IF(($A44=""),"",IF(COUNTIF(Mineral!$AJ$3:$AJ$324,$A44),"",$A44))</f>
        <v/>
      </c>
      <c r="AO42" t="str">
        <f>IFERROR(INDEX(Liste_Handelsünger[Handelsdünger],_xlfn.AGGREGATE(15,6,(ROW(Liste_Handelsünger[Handelsdünger])-1)/(--(SEARCH(AP$2,Liste_Handelsünger[Handelsdünger])&gt;0)),ROW()-2),1),"")</f>
        <v>Bayfolan S</v>
      </c>
      <c r="AP42" t="str">
        <f>IF(($A45=""),"",IF(COUNTIF(Mineral!$AJ$3:$AJ$324,$A45),"",$A45))</f>
        <v/>
      </c>
      <c r="AQ42" t="str">
        <f>IFERROR(INDEX(Liste_Handelsünger[Handelsdünger],_xlfn.AGGREGATE(15,6,(ROW(Liste_Handelsünger[Handelsdünger])-1)/(--(SEARCH(AR$2,Liste_Handelsünger[Handelsdünger])&gt;0)),ROW()-2),1),"")</f>
        <v>Bayfolan S</v>
      </c>
      <c r="AR42" t="str">
        <f>IF(($A46=""),"",IF(COUNTIF(Mineral!$AJ$3:$AJ$324,$A46),"",$A46))</f>
        <v/>
      </c>
      <c r="AS42" t="str">
        <f>IFERROR(INDEX(Liste_Handelsünger[Handelsdünger],_xlfn.AGGREGATE(15,6,(ROW(Liste_Handelsünger[Handelsdünger])-1)/(--(SEARCH(AT$2,Liste_Handelsünger[Handelsdünger])&gt;0)),ROW()-2),1),"")</f>
        <v>Bayfolan S</v>
      </c>
      <c r="AT42" t="str">
        <f>IF(($A47=""),"",IF(COUNTIF(Mineral!$AJ$3:$AJ$324,$A47),"",$A47))</f>
        <v/>
      </c>
      <c r="AU42" t="str">
        <f>IFERROR(INDEX(Liste_Handelsünger[Handelsdünger],_xlfn.AGGREGATE(15,6,(ROW(Liste_Handelsünger[Handelsdünger])-1)/(--(SEARCH(AV$2,Liste_Handelsünger[Handelsdünger])&gt;0)),ROW()-2),1),"")</f>
        <v>Bayfolan S</v>
      </c>
      <c r="AV42" t="str">
        <f>IF(($A48=""),"",IF(COUNTIF(Mineral!$AJ$3:$AJ$324,$A48),"",$A48))</f>
        <v/>
      </c>
      <c r="AW42" t="str">
        <f>IFERROR(INDEX(Liste_Handelsünger[Handelsdünger],_xlfn.AGGREGATE(15,6,(ROW(Liste_Handelsünger[Handelsdünger])-1)/(--(SEARCH(AX$2,Liste_Handelsünger[Handelsdünger])&gt;0)),ROW()-2),1),"")</f>
        <v>Bayfolan S</v>
      </c>
      <c r="AX42" t="str">
        <f>IF(($A49=""),"",IF(COUNTIF(Mineral!$AJ$3:$AJ$324,$A49),"",$A49))</f>
        <v/>
      </c>
      <c r="AY42" t="str">
        <f>IFERROR(INDEX(Liste_Handelsünger[Handelsdünger],_xlfn.AGGREGATE(15,6,(ROW(Liste_Handelsünger[Handelsdünger])-1)/(--(SEARCH(AZ$2,Liste_Handelsünger[Handelsdünger])&gt;0)),ROW()-2),1),"")</f>
        <v>Bayfolan S</v>
      </c>
      <c r="AZ42" t="str">
        <f>IF(($A50=""),"",IF(COUNTIF(Mineral!$AJ$3:$AJ$324,$A50),"",$A50))</f>
        <v/>
      </c>
      <c r="BA42" t="str">
        <f>IFERROR(INDEX(Liste_Handelsünger[Handelsdünger],_xlfn.AGGREGATE(15,6,(ROW(Liste_Handelsünger[Handelsdünger])-1)/(--(SEARCH(BB$2,Liste_Handelsünger[Handelsdünger])&gt;0)),ROW()-2),1),"")</f>
        <v>Bayfolan S</v>
      </c>
      <c r="BB42" t="str">
        <f>IF(($A51=""),"",IF(COUNTIF(Mineral!$AJ$3:$AJ$324,$A51),"",$A51))</f>
        <v/>
      </c>
      <c r="BC42" t="str">
        <f>IFERROR(INDEX(Liste_Handelsünger[Handelsdünger],_xlfn.AGGREGATE(15,6,(ROW(Liste_Handelsünger[Handelsdünger])-1)/(--(SEARCH(BD$2,Liste_Handelsünger[Handelsdünger])&gt;0)),ROW()-2),1),"")</f>
        <v>Bayfolan S</v>
      </c>
      <c r="BD42" t="str">
        <f>IF(($A52=""),"",IF(COUNTIF(Mineral!$AJ$3:$AJ$324,$A52),"",$A52))</f>
        <v/>
      </c>
      <c r="BE42" t="str">
        <f>IFERROR(INDEX(Liste_Handelsünger[Handelsdünger],_xlfn.AGGREGATE(15,6,(ROW(Liste_Handelsünger[Handelsdünger])-1)/(--(SEARCH(BF$2,Liste_Handelsünger[Handelsdünger])&gt;0)),ROW()-2),1),"")</f>
        <v>Bayfolan S</v>
      </c>
      <c r="BF42" t="str">
        <f>IF(($A53=""),"",IF(COUNTIF(Mineral!$AJ$3:$AJ$324,$A53),"",$A53))</f>
        <v/>
      </c>
      <c r="BG42" t="str">
        <f>IFERROR(INDEX(Liste_Handelsünger[Handelsdünger],_xlfn.AGGREGATE(15,6,(ROW(Liste_Handelsünger[Handelsdünger])-1)/(--(SEARCH(BH$2,Liste_Handelsünger[Handelsdünger])&gt;0)),ROW()-2),1),"")</f>
        <v>Bayfolan S</v>
      </c>
      <c r="BH42" t="str">
        <f>IF(($A54=""),"",IF(COUNTIF(Mineral!$AJ$3:$AJ$324,$A54),"",$A54))</f>
        <v/>
      </c>
      <c r="BI42" t="str">
        <f>IFERROR(INDEX(Liste_Handelsünger[Handelsdünger],_xlfn.AGGREGATE(15,6,(ROW(Liste_Handelsünger[Handelsdünger])-1)/(--(SEARCH(BJ$2,Liste_Handelsünger[Handelsdünger])&gt;0)),ROW()-2),1),"")</f>
        <v>Bayfolan S</v>
      </c>
      <c r="BJ42" t="str">
        <f>IF(($A55=""),"",IF(COUNTIF(Mineral!$AJ$3:$AJ$324,$A55),"",$A55))</f>
        <v/>
      </c>
      <c r="BK42" t="str">
        <f>IFERROR(INDEX(Liste_Handelsünger[Handelsdünger],_xlfn.AGGREGATE(15,6,(ROW(Liste_Handelsünger[Handelsdünger])-1)/(--(SEARCH(BL$2,Liste_Handelsünger[Handelsdünger])&gt;0)),ROW()-2),1),"")</f>
        <v>Bayfolan S</v>
      </c>
      <c r="BM42" t="str">
        <f>IFERROR(INDEX(Liste_Handelsünger[Handelsdünger],_xlfn.AGGREGATE(15,6,(ROW(Liste_Handelsünger[Handelsdünger])-1)/(--(SEARCH(BN$2,Liste_Handelsünger[Handelsdünger])&gt;0)),ROW()-2),1),"")</f>
        <v>Bayfolan S</v>
      </c>
      <c r="BN42" t="str">
        <f>IF(($A57=""),"",IF(COUNTIF(Mineral!$AJ$3:$AJ$324,$A57),"",$A57))</f>
        <v/>
      </c>
      <c r="BV42" t="s">
        <v>2051</v>
      </c>
      <c r="BW42" t="s">
        <v>2064</v>
      </c>
    </row>
    <row r="43" spans="1:75" ht="15.95" customHeight="1" thickTop="1" thickBot="1">
      <c r="R43" s="2206" t="str">
        <f t="array" ref="R43">IFERROR(IF(ROW(A14)&gt;COUNTA(A:A),"",INDEX(A:A,SMALL(IF(A$3:A$27&lt;&gt;"",ROW($3:$27)),ROW(A12)))),"")</f>
        <v/>
      </c>
      <c r="S43" s="1616">
        <v>42</v>
      </c>
      <c r="T43" s="1617" t="s">
        <v>2335</v>
      </c>
      <c r="U43" s="1617" t="s">
        <v>2071</v>
      </c>
      <c r="V43" s="1617"/>
      <c r="W43" s="1617">
        <v>0</v>
      </c>
      <c r="X43" s="1617">
        <v>0</v>
      </c>
      <c r="Y43" s="1617">
        <v>0</v>
      </c>
      <c r="Z43" s="1617">
        <v>13</v>
      </c>
      <c r="AA43" s="1617">
        <v>0</v>
      </c>
      <c r="AB43" s="1617">
        <v>16</v>
      </c>
      <c r="AC43" s="1617">
        <v>1</v>
      </c>
      <c r="AD43" s="1613">
        <v>1</v>
      </c>
      <c r="AE43" s="1617" t="s">
        <v>1764</v>
      </c>
      <c r="AF43" s="1613" t="str">
        <f t="shared" si="7"/>
        <v/>
      </c>
      <c r="AG43" s="1656">
        <f>IFERROR(IF($AF43&gt;0,VLOOKUP($U43,Tabelle1!$C$188:$L$212,5,0)*$AF43,0),0)</f>
        <v>0</v>
      </c>
      <c r="AH43" s="1656">
        <f t="shared" si="8"/>
        <v>0</v>
      </c>
      <c r="AJ43" t="str">
        <f>IF(Betrieb!$D$9="JA",Mineral!$BW43,Mineral!$BV43)</f>
        <v>Bittersalz</v>
      </c>
      <c r="AK43" s="1672" t="str">
        <f>IFERROR(INDEX(Liste_Handelsünger[Handelsdünger],_xlfn.AGGREGATE(15,6,(ROW(Liste_Handelsünger[Handelsdünger])-1)/(--(SEARCH(AL$2,Liste_Handelsünger[Handelsdünger])&gt;0)),ROW()-2),1),"")</f>
        <v>Bittersalz</v>
      </c>
      <c r="AL43" s="1672" t="str">
        <f>IF(($A$3=""),"",IF(COUNTIF(Mineral!$AJ$3:$AJ$324,$A$3),"",$A$3))</f>
        <v/>
      </c>
      <c r="AM43" s="1672" t="str">
        <f>IFERROR(INDEX(Liste_Handelsünger[Handelsdünger],_xlfn.AGGREGATE(15,6,(ROW(Liste_Handelsünger[Handelsdünger])-1)/(--(SEARCH(AN$2,Liste_Handelsünger[Handelsdünger])&gt;0)),ROW()-2),1),"")</f>
        <v>Bittersalz</v>
      </c>
      <c r="AN43" t="str">
        <f>IF(($A45=""),"",IF(COUNTIF(Mineral!$AJ$3:$AJ$324,$A45),"",$A45))</f>
        <v/>
      </c>
      <c r="AO43" t="str">
        <f>IFERROR(INDEX(Liste_Handelsünger[Handelsdünger],_xlfn.AGGREGATE(15,6,(ROW(Liste_Handelsünger[Handelsdünger])-1)/(--(SEARCH(AP$2,Liste_Handelsünger[Handelsdünger])&gt;0)),ROW()-2),1),"")</f>
        <v>Bittersalz</v>
      </c>
      <c r="AP43" t="str">
        <f>IF(($A46=""),"",IF(COUNTIF(Mineral!$AJ$3:$AJ$324,$A46),"",$A46))</f>
        <v/>
      </c>
      <c r="AQ43" t="str">
        <f>IFERROR(INDEX(Liste_Handelsünger[Handelsdünger],_xlfn.AGGREGATE(15,6,(ROW(Liste_Handelsünger[Handelsdünger])-1)/(--(SEARCH(AR$2,Liste_Handelsünger[Handelsdünger])&gt;0)),ROW()-2),1),"")</f>
        <v>Bittersalz</v>
      </c>
      <c r="AR43" t="str">
        <f>IF(($A47=""),"",IF(COUNTIF(Mineral!$AJ$3:$AJ$324,$A47),"",$A47))</f>
        <v/>
      </c>
      <c r="AS43" t="str">
        <f>IFERROR(INDEX(Liste_Handelsünger[Handelsdünger],_xlfn.AGGREGATE(15,6,(ROW(Liste_Handelsünger[Handelsdünger])-1)/(--(SEARCH(AT$2,Liste_Handelsünger[Handelsdünger])&gt;0)),ROW()-2),1),"")</f>
        <v>Bittersalz</v>
      </c>
      <c r="AT43" t="str">
        <f>IF(($A48=""),"",IF(COUNTIF(Mineral!$AJ$3:$AJ$324,$A48),"",$A48))</f>
        <v/>
      </c>
      <c r="AU43" t="str">
        <f>IFERROR(INDEX(Liste_Handelsünger[Handelsdünger],_xlfn.AGGREGATE(15,6,(ROW(Liste_Handelsünger[Handelsdünger])-1)/(--(SEARCH(AV$2,Liste_Handelsünger[Handelsdünger])&gt;0)),ROW()-2),1),"")</f>
        <v>Bittersalz</v>
      </c>
      <c r="AV43" t="str">
        <f>IF(($A49=""),"",IF(COUNTIF(Mineral!$AJ$3:$AJ$324,$A49),"",$A49))</f>
        <v/>
      </c>
      <c r="AW43" t="str">
        <f>IFERROR(INDEX(Liste_Handelsünger[Handelsdünger],_xlfn.AGGREGATE(15,6,(ROW(Liste_Handelsünger[Handelsdünger])-1)/(--(SEARCH(AX$2,Liste_Handelsünger[Handelsdünger])&gt;0)),ROW()-2),1),"")</f>
        <v>Bittersalz</v>
      </c>
      <c r="AX43" t="str">
        <f>IF(($A50=""),"",IF(COUNTIF(Mineral!$AJ$3:$AJ$324,$A50),"",$A50))</f>
        <v/>
      </c>
      <c r="AY43" t="str">
        <f>IFERROR(INDEX(Liste_Handelsünger[Handelsdünger],_xlfn.AGGREGATE(15,6,(ROW(Liste_Handelsünger[Handelsdünger])-1)/(--(SEARCH(AZ$2,Liste_Handelsünger[Handelsdünger])&gt;0)),ROW()-2),1),"")</f>
        <v>Bittersalz</v>
      </c>
      <c r="AZ43" t="str">
        <f>IF(($A51=""),"",IF(COUNTIF(Mineral!$AJ$3:$AJ$324,$A51),"",$A51))</f>
        <v/>
      </c>
      <c r="BA43" t="str">
        <f>IFERROR(INDEX(Liste_Handelsünger[Handelsdünger],_xlfn.AGGREGATE(15,6,(ROW(Liste_Handelsünger[Handelsdünger])-1)/(--(SEARCH(BB$2,Liste_Handelsünger[Handelsdünger])&gt;0)),ROW()-2),1),"")</f>
        <v>Bittersalz</v>
      </c>
      <c r="BB43" t="str">
        <f>IF(($A52=""),"",IF(COUNTIF(Mineral!$AJ$3:$AJ$324,$A52),"",$A52))</f>
        <v/>
      </c>
      <c r="BC43" t="str">
        <f>IFERROR(INDEX(Liste_Handelsünger[Handelsdünger],_xlfn.AGGREGATE(15,6,(ROW(Liste_Handelsünger[Handelsdünger])-1)/(--(SEARCH(BD$2,Liste_Handelsünger[Handelsdünger])&gt;0)),ROW()-2),1),"")</f>
        <v>Bittersalz</v>
      </c>
      <c r="BD43" t="str">
        <f>IF(($A53=""),"",IF(COUNTIF(Mineral!$AJ$3:$AJ$324,$A53),"",$A53))</f>
        <v/>
      </c>
      <c r="BE43" t="str">
        <f>IFERROR(INDEX(Liste_Handelsünger[Handelsdünger],_xlfn.AGGREGATE(15,6,(ROW(Liste_Handelsünger[Handelsdünger])-1)/(--(SEARCH(BF$2,Liste_Handelsünger[Handelsdünger])&gt;0)),ROW()-2),1),"")</f>
        <v>Bittersalz</v>
      </c>
      <c r="BF43" t="str">
        <f>IF(($A54=""),"",IF(COUNTIF(Mineral!$AJ$3:$AJ$324,$A54),"",$A54))</f>
        <v/>
      </c>
      <c r="BG43" t="str">
        <f>IFERROR(INDEX(Liste_Handelsünger[Handelsdünger],_xlfn.AGGREGATE(15,6,(ROW(Liste_Handelsünger[Handelsdünger])-1)/(--(SEARCH(BH$2,Liste_Handelsünger[Handelsdünger])&gt;0)),ROW()-2),1),"")</f>
        <v>Bittersalz</v>
      </c>
      <c r="BH43" t="str">
        <f>IF(($A55=""),"",IF(COUNTIF(Mineral!$AJ$3:$AJ$324,$A55),"",$A55))</f>
        <v/>
      </c>
      <c r="BI43" t="str">
        <f>IFERROR(INDEX(Liste_Handelsünger[Handelsdünger],_xlfn.AGGREGATE(15,6,(ROW(Liste_Handelsünger[Handelsdünger])-1)/(--(SEARCH(BJ$2,Liste_Handelsünger[Handelsdünger])&gt;0)),ROW()-2),1),"")</f>
        <v>Bittersalz</v>
      </c>
      <c r="BJ43" t="str">
        <f>IF(($A56=""),"",IF(COUNTIF(Mineral!$AJ$3:$AJ$324,$A56),"",$A56))</f>
        <v/>
      </c>
      <c r="BK43" t="str">
        <f>IFERROR(INDEX(Liste_Handelsünger[Handelsdünger],_xlfn.AGGREGATE(15,6,(ROW(Liste_Handelsünger[Handelsdünger])-1)/(--(SEARCH(BL$2,Liste_Handelsünger[Handelsdünger])&gt;0)),ROW()-2),1),"")</f>
        <v>Bittersalz</v>
      </c>
      <c r="BM43" t="str">
        <f>IFERROR(INDEX(Liste_Handelsünger[Handelsdünger],_xlfn.AGGREGATE(15,6,(ROW(Liste_Handelsünger[Handelsdünger])-1)/(--(SEARCH(BN$2,Liste_Handelsünger[Handelsdünger])&gt;0)),ROW()-2),1),"")</f>
        <v>Bittersalz</v>
      </c>
      <c r="BN43" t="str">
        <f>IF(($A58=""),"",IF(COUNTIF(Mineral!$AJ$3:$AJ$324,$A58),"",$A58))</f>
        <v/>
      </c>
      <c r="BV43" t="s">
        <v>2071</v>
      </c>
      <c r="BW43" t="s">
        <v>2065</v>
      </c>
    </row>
    <row r="44" spans="1:75" ht="15.95" customHeight="1" thickTop="1" thickBot="1">
      <c r="R44" s="2206" t="str">
        <f t="array" ref="R44">IFERROR(IF(ROW(A15)&gt;COUNTA(A:A),"",INDEX(A:A,SMALL(IF(A$3:A$27&lt;&gt;"",ROW($3:$27)),ROW(A13)))),"")</f>
        <v/>
      </c>
      <c r="S44" s="1676">
        <v>43</v>
      </c>
      <c r="T44" s="1606" t="s">
        <v>2335</v>
      </c>
      <c r="U44" s="1606" t="s">
        <v>2074</v>
      </c>
      <c r="V44" s="1606"/>
      <c r="W44" s="1606">
        <v>26</v>
      </c>
      <c r="X44" s="1606">
        <v>0</v>
      </c>
      <c r="Y44" s="1606">
        <v>0</v>
      </c>
      <c r="Z44" s="1606">
        <v>0</v>
      </c>
      <c r="AA44" s="1606">
        <v>0</v>
      </c>
      <c r="AB44" s="1606">
        <v>0</v>
      </c>
      <c r="AC44" s="1606">
        <v>1</v>
      </c>
      <c r="AD44" s="1613">
        <v>1</v>
      </c>
      <c r="AE44" s="1606" t="s">
        <v>2016</v>
      </c>
      <c r="AF44" s="1613" t="str">
        <f t="shared" si="7"/>
        <v/>
      </c>
      <c r="AG44" s="1656">
        <f>IFERROR(IF($AF44&gt;0,VLOOKUP($U44,Tabelle1!$C$188:$L$212,5,0)*$AF44,0),0)</f>
        <v>0</v>
      </c>
      <c r="AH44" s="1656">
        <f t="shared" si="8"/>
        <v>0</v>
      </c>
      <c r="AJ44" t="str">
        <f>IF(Betrieb!$D$9="JA",Mineral!$BW44,Mineral!$BV44)</f>
        <v>BOR-NAC 26:0:0</v>
      </c>
      <c r="AK44" s="1672" t="str">
        <f>IFERROR(INDEX(Liste_Handelsünger[Handelsdünger],_xlfn.AGGREGATE(15,6,(ROW(Liste_Handelsünger[Handelsdünger])-1)/(--(SEARCH(AL$2,Liste_Handelsünger[Handelsdünger])&gt;0)),ROW()-2),1),"")</f>
        <v>BOR-NAC 26:0:0</v>
      </c>
      <c r="AL44" s="1672" t="str">
        <f>IF(($A$3=""),"",IF(COUNTIF(Mineral!$AJ$3:$AJ$324,$A$3),"",$A$3))</f>
        <v/>
      </c>
      <c r="AM44" s="1672" t="str">
        <f>IFERROR(INDEX(Liste_Handelsünger[Handelsdünger],_xlfn.AGGREGATE(15,6,(ROW(Liste_Handelsünger[Handelsdünger])-1)/(--(SEARCH(AN$2,Liste_Handelsünger[Handelsdünger])&gt;0)),ROW()-2),1),"")</f>
        <v>BOR-NAC 26:0:0</v>
      </c>
      <c r="AN44" t="str">
        <f>IF(($A46=""),"",IF(COUNTIF(Mineral!$AJ$3:$AJ$324,$A46),"",$A46))</f>
        <v/>
      </c>
      <c r="AO44" t="str">
        <f>IFERROR(INDEX(Liste_Handelsünger[Handelsdünger],_xlfn.AGGREGATE(15,6,(ROW(Liste_Handelsünger[Handelsdünger])-1)/(--(SEARCH(AP$2,Liste_Handelsünger[Handelsdünger])&gt;0)),ROW()-2),1),"")</f>
        <v>BOR-NAC 26:0:0</v>
      </c>
      <c r="AP44" t="str">
        <f>IF(($A47=""),"",IF(COUNTIF(Mineral!$AJ$3:$AJ$324,$A47),"",$A47))</f>
        <v/>
      </c>
      <c r="AQ44" t="str">
        <f>IFERROR(INDEX(Liste_Handelsünger[Handelsdünger],_xlfn.AGGREGATE(15,6,(ROW(Liste_Handelsünger[Handelsdünger])-1)/(--(SEARCH(AR$2,Liste_Handelsünger[Handelsdünger])&gt;0)),ROW()-2),1),"")</f>
        <v>BOR-NAC 26:0:0</v>
      </c>
      <c r="AR44" t="str">
        <f>IF(($A48=""),"",IF(COUNTIF(Mineral!$AJ$3:$AJ$324,$A48),"",$A48))</f>
        <v/>
      </c>
      <c r="AS44" t="str">
        <f>IFERROR(INDEX(Liste_Handelsünger[Handelsdünger],_xlfn.AGGREGATE(15,6,(ROW(Liste_Handelsünger[Handelsdünger])-1)/(--(SEARCH(AT$2,Liste_Handelsünger[Handelsdünger])&gt;0)),ROW()-2),1),"")</f>
        <v>BOR-NAC 26:0:0</v>
      </c>
      <c r="AT44" t="str">
        <f>IF(($A49=""),"",IF(COUNTIF(Mineral!$AJ$3:$AJ$324,$A49),"",$A49))</f>
        <v/>
      </c>
      <c r="AU44" t="str">
        <f>IFERROR(INDEX(Liste_Handelsünger[Handelsdünger],_xlfn.AGGREGATE(15,6,(ROW(Liste_Handelsünger[Handelsdünger])-1)/(--(SEARCH(AV$2,Liste_Handelsünger[Handelsdünger])&gt;0)),ROW()-2),1),"")</f>
        <v>BOR-NAC 26:0:0</v>
      </c>
      <c r="AV44" t="str">
        <f>IF(($A50=""),"",IF(COUNTIF(Mineral!$AJ$3:$AJ$324,$A50),"",$A50))</f>
        <v/>
      </c>
      <c r="AW44" t="str">
        <f>IFERROR(INDEX(Liste_Handelsünger[Handelsdünger],_xlfn.AGGREGATE(15,6,(ROW(Liste_Handelsünger[Handelsdünger])-1)/(--(SEARCH(AX$2,Liste_Handelsünger[Handelsdünger])&gt;0)),ROW()-2),1),"")</f>
        <v>BOR-NAC 26:0:0</v>
      </c>
      <c r="AX44" t="str">
        <f>IF(($A51=""),"",IF(COUNTIF(Mineral!$AJ$3:$AJ$324,$A51),"",$A51))</f>
        <v/>
      </c>
      <c r="AY44" t="str">
        <f>IFERROR(INDEX(Liste_Handelsünger[Handelsdünger],_xlfn.AGGREGATE(15,6,(ROW(Liste_Handelsünger[Handelsdünger])-1)/(--(SEARCH(AZ$2,Liste_Handelsünger[Handelsdünger])&gt;0)),ROW()-2),1),"")</f>
        <v>BOR-NAC 26:0:0</v>
      </c>
      <c r="AZ44" t="str">
        <f>IF(($A52=""),"",IF(COUNTIF(Mineral!$AJ$3:$AJ$324,$A52),"",$A52))</f>
        <v/>
      </c>
      <c r="BA44" t="str">
        <f>IFERROR(INDEX(Liste_Handelsünger[Handelsdünger],_xlfn.AGGREGATE(15,6,(ROW(Liste_Handelsünger[Handelsdünger])-1)/(--(SEARCH(BB$2,Liste_Handelsünger[Handelsdünger])&gt;0)),ROW()-2),1),"")</f>
        <v>BOR-NAC 26:0:0</v>
      </c>
      <c r="BB44" t="str">
        <f>IF(($A53=""),"",IF(COUNTIF(Mineral!$AJ$3:$AJ$324,$A53),"",$A53))</f>
        <v/>
      </c>
      <c r="BC44" t="str">
        <f>IFERROR(INDEX(Liste_Handelsünger[Handelsdünger],_xlfn.AGGREGATE(15,6,(ROW(Liste_Handelsünger[Handelsdünger])-1)/(--(SEARCH(BD$2,Liste_Handelsünger[Handelsdünger])&gt;0)),ROW()-2),1),"")</f>
        <v>BOR-NAC 26:0:0</v>
      </c>
      <c r="BD44" t="str">
        <f>IF(($A54=""),"",IF(COUNTIF(Mineral!$AJ$3:$AJ$324,$A54),"",$A54))</f>
        <v/>
      </c>
      <c r="BE44" t="str">
        <f>IFERROR(INDEX(Liste_Handelsünger[Handelsdünger],_xlfn.AGGREGATE(15,6,(ROW(Liste_Handelsünger[Handelsdünger])-1)/(--(SEARCH(BF$2,Liste_Handelsünger[Handelsdünger])&gt;0)),ROW()-2),1),"")</f>
        <v>BOR-NAC 26:0:0</v>
      </c>
      <c r="BF44" t="str">
        <f>IF(($A55=""),"",IF(COUNTIF(Mineral!$AJ$3:$AJ$324,$A55),"",$A55))</f>
        <v/>
      </c>
      <c r="BG44" t="str">
        <f>IFERROR(INDEX(Liste_Handelsünger[Handelsdünger],_xlfn.AGGREGATE(15,6,(ROW(Liste_Handelsünger[Handelsdünger])-1)/(--(SEARCH(BH$2,Liste_Handelsünger[Handelsdünger])&gt;0)),ROW()-2),1),"")</f>
        <v>BOR-NAC 26:0:0</v>
      </c>
      <c r="BH44" t="str">
        <f>IF(($A56=""),"",IF(COUNTIF(Mineral!$AJ$3:$AJ$324,$A56),"",$A56))</f>
        <v/>
      </c>
      <c r="BI44" t="str">
        <f>IFERROR(INDEX(Liste_Handelsünger[Handelsdünger],_xlfn.AGGREGATE(15,6,(ROW(Liste_Handelsünger[Handelsdünger])-1)/(--(SEARCH(BJ$2,Liste_Handelsünger[Handelsdünger])&gt;0)),ROW()-2),1),"")</f>
        <v>BOR-NAC 26:0:0</v>
      </c>
      <c r="BJ44" t="str">
        <f>IF(($A57=""),"",IF(COUNTIF(Mineral!$AJ$3:$AJ$324,$A57),"",$A57))</f>
        <v/>
      </c>
      <c r="BK44" t="str">
        <f>IFERROR(INDEX(Liste_Handelsünger[Handelsdünger],_xlfn.AGGREGATE(15,6,(ROW(Liste_Handelsünger[Handelsdünger])-1)/(--(SEARCH(BL$2,Liste_Handelsünger[Handelsdünger])&gt;0)),ROW()-2),1),"")</f>
        <v>BOR-NAC 26:0:0</v>
      </c>
      <c r="BM44" t="str">
        <f>IFERROR(INDEX(Liste_Handelsünger[Handelsdünger],_xlfn.AGGREGATE(15,6,(ROW(Liste_Handelsünger[Handelsdünger])-1)/(--(SEARCH(BN$2,Liste_Handelsünger[Handelsdünger])&gt;0)),ROW()-2),1),"")</f>
        <v>BOR-NAC 26:0:0</v>
      </c>
      <c r="BN44" t="str">
        <f>IF(($A59=""),"",IF(COUNTIF(Mineral!$AJ$3:$AJ$324,$A59),"",$A59))</f>
        <v/>
      </c>
      <c r="BV44" t="s">
        <v>2074</v>
      </c>
      <c r="BW44" t="s">
        <v>2066</v>
      </c>
    </row>
    <row r="45" spans="1:75" ht="15.95" customHeight="1" thickTop="1" thickBot="1">
      <c r="R45" s="2206" t="str">
        <f t="array" ref="R45">IFERROR(IF(ROW(A16)&gt;COUNTA(A:A),"",INDEX(A:A,SMALL(IF(A$3:A$27&lt;&gt;"",ROW($3:$27)),ROW(A14)))),"")</f>
        <v/>
      </c>
      <c r="S45" s="1616">
        <v>44</v>
      </c>
      <c r="T45" s="1617" t="s">
        <v>2335</v>
      </c>
      <c r="U45" s="1617" t="s">
        <v>2075</v>
      </c>
      <c r="V45" s="1617"/>
      <c r="W45" s="1617">
        <v>0</v>
      </c>
      <c r="X45" s="1617">
        <v>0</v>
      </c>
      <c r="Y45" s="1617">
        <v>0</v>
      </c>
      <c r="Z45" s="1617">
        <v>0</v>
      </c>
      <c r="AA45" s="1617">
        <v>92</v>
      </c>
      <c r="AB45" s="1617">
        <v>0</v>
      </c>
      <c r="AC45" s="1617">
        <v>1</v>
      </c>
      <c r="AD45" s="1613">
        <v>1</v>
      </c>
      <c r="AE45" s="1617" t="s">
        <v>1764</v>
      </c>
      <c r="AF45" s="1613" t="str">
        <f t="shared" si="7"/>
        <v/>
      </c>
      <c r="AG45" s="1656">
        <f>IFERROR(IF($AF45&gt;0,VLOOKUP($U45,Tabelle1!$C$188:$L$212,5,0)*$AF45,0),0)</f>
        <v>0</v>
      </c>
      <c r="AH45" s="1656">
        <f t="shared" si="8"/>
        <v>0</v>
      </c>
      <c r="AJ45" t="str">
        <f>IF(Betrieb!$D$9="JA",Mineral!$BW45,Mineral!$BV45)</f>
        <v>Branntkalk</v>
      </c>
      <c r="AK45" s="1672" t="str">
        <f>IFERROR(INDEX(Liste_Handelsünger[Handelsdünger],_xlfn.AGGREGATE(15,6,(ROW(Liste_Handelsünger[Handelsdünger])-1)/(--(SEARCH(AL$2,Liste_Handelsünger[Handelsdünger])&gt;0)),ROW()-2),1),"")</f>
        <v>Branntkalk</v>
      </c>
      <c r="AL45" s="1672" t="str">
        <f>IF(($A$3=""),"",IF(COUNTIF(Mineral!$AJ$3:$AJ$324,$A$3),"",$A$3))</f>
        <v/>
      </c>
      <c r="AM45" s="1672" t="str">
        <f>IFERROR(INDEX(Liste_Handelsünger[Handelsdünger],_xlfn.AGGREGATE(15,6,(ROW(Liste_Handelsünger[Handelsdünger])-1)/(--(SEARCH(AN$2,Liste_Handelsünger[Handelsdünger])&gt;0)),ROW()-2),1),"")</f>
        <v>Branntkalk</v>
      </c>
      <c r="AN45" t="str">
        <f>IF(($A47=""),"",IF(COUNTIF(Mineral!$AJ$3:$AJ$324,$A47),"",$A47))</f>
        <v/>
      </c>
      <c r="AO45" t="str">
        <f>IFERROR(INDEX(Liste_Handelsünger[Handelsdünger],_xlfn.AGGREGATE(15,6,(ROW(Liste_Handelsünger[Handelsdünger])-1)/(--(SEARCH(AP$2,Liste_Handelsünger[Handelsdünger])&gt;0)),ROW()-2),1),"")</f>
        <v>Branntkalk</v>
      </c>
      <c r="AP45" t="str">
        <f>IF(($A48=""),"",IF(COUNTIF(Mineral!$AJ$3:$AJ$324,$A48),"",$A48))</f>
        <v/>
      </c>
      <c r="AQ45" t="str">
        <f>IFERROR(INDEX(Liste_Handelsünger[Handelsdünger],_xlfn.AGGREGATE(15,6,(ROW(Liste_Handelsünger[Handelsdünger])-1)/(--(SEARCH(AR$2,Liste_Handelsünger[Handelsdünger])&gt;0)),ROW()-2),1),"")</f>
        <v>Branntkalk</v>
      </c>
      <c r="AR45" t="str">
        <f>IF(($A49=""),"",IF(COUNTIF(Mineral!$AJ$3:$AJ$324,$A49),"",$A49))</f>
        <v/>
      </c>
      <c r="AS45" t="str">
        <f>IFERROR(INDEX(Liste_Handelsünger[Handelsdünger],_xlfn.AGGREGATE(15,6,(ROW(Liste_Handelsünger[Handelsdünger])-1)/(--(SEARCH(AT$2,Liste_Handelsünger[Handelsdünger])&gt;0)),ROW()-2),1),"")</f>
        <v>Branntkalk</v>
      </c>
      <c r="AT45" t="str">
        <f>IF(($A50=""),"",IF(COUNTIF(Mineral!$AJ$3:$AJ$324,$A50),"",$A50))</f>
        <v/>
      </c>
      <c r="AU45" t="str">
        <f>IFERROR(INDEX(Liste_Handelsünger[Handelsdünger],_xlfn.AGGREGATE(15,6,(ROW(Liste_Handelsünger[Handelsdünger])-1)/(--(SEARCH(AV$2,Liste_Handelsünger[Handelsdünger])&gt;0)),ROW()-2),1),"")</f>
        <v>Branntkalk</v>
      </c>
      <c r="AV45" t="str">
        <f>IF(($A51=""),"",IF(COUNTIF(Mineral!$AJ$3:$AJ$324,$A51),"",$A51))</f>
        <v/>
      </c>
      <c r="AW45" t="str">
        <f>IFERROR(INDEX(Liste_Handelsünger[Handelsdünger],_xlfn.AGGREGATE(15,6,(ROW(Liste_Handelsünger[Handelsdünger])-1)/(--(SEARCH(AX$2,Liste_Handelsünger[Handelsdünger])&gt;0)),ROW()-2),1),"")</f>
        <v>Branntkalk</v>
      </c>
      <c r="AX45" t="str">
        <f>IF(($A52=""),"",IF(COUNTIF(Mineral!$AJ$3:$AJ$324,$A52),"",$A52))</f>
        <v/>
      </c>
      <c r="AY45" t="str">
        <f>IFERROR(INDEX(Liste_Handelsünger[Handelsdünger],_xlfn.AGGREGATE(15,6,(ROW(Liste_Handelsünger[Handelsdünger])-1)/(--(SEARCH(AZ$2,Liste_Handelsünger[Handelsdünger])&gt;0)),ROW()-2),1),"")</f>
        <v>Branntkalk</v>
      </c>
      <c r="AZ45" t="str">
        <f>IF(($A53=""),"",IF(COUNTIF(Mineral!$AJ$3:$AJ$324,$A53),"",$A53))</f>
        <v/>
      </c>
      <c r="BA45" t="str">
        <f>IFERROR(INDEX(Liste_Handelsünger[Handelsdünger],_xlfn.AGGREGATE(15,6,(ROW(Liste_Handelsünger[Handelsdünger])-1)/(--(SEARCH(BB$2,Liste_Handelsünger[Handelsdünger])&gt;0)),ROW()-2),1),"")</f>
        <v>Branntkalk</v>
      </c>
      <c r="BB45" t="str">
        <f>IF(($A54=""),"",IF(COUNTIF(Mineral!$AJ$3:$AJ$324,$A54),"",$A54))</f>
        <v/>
      </c>
      <c r="BC45" t="str">
        <f>IFERROR(INDEX(Liste_Handelsünger[Handelsdünger],_xlfn.AGGREGATE(15,6,(ROW(Liste_Handelsünger[Handelsdünger])-1)/(--(SEARCH(BD$2,Liste_Handelsünger[Handelsdünger])&gt;0)),ROW()-2),1),"")</f>
        <v>Branntkalk</v>
      </c>
      <c r="BD45" t="str">
        <f>IF(($A55=""),"",IF(COUNTIF(Mineral!$AJ$3:$AJ$324,$A55),"",$A55))</f>
        <v/>
      </c>
      <c r="BE45" t="str">
        <f>IFERROR(INDEX(Liste_Handelsünger[Handelsdünger],_xlfn.AGGREGATE(15,6,(ROW(Liste_Handelsünger[Handelsdünger])-1)/(--(SEARCH(BF$2,Liste_Handelsünger[Handelsdünger])&gt;0)),ROW()-2),1),"")</f>
        <v>Branntkalk</v>
      </c>
      <c r="BF45" t="str">
        <f>IF(($A56=""),"",IF(COUNTIF(Mineral!$AJ$3:$AJ$324,$A56),"",$A56))</f>
        <v/>
      </c>
      <c r="BG45" t="str">
        <f>IFERROR(INDEX(Liste_Handelsünger[Handelsdünger],_xlfn.AGGREGATE(15,6,(ROW(Liste_Handelsünger[Handelsdünger])-1)/(--(SEARCH(BH$2,Liste_Handelsünger[Handelsdünger])&gt;0)),ROW()-2),1),"")</f>
        <v>Branntkalk</v>
      </c>
      <c r="BH45" t="str">
        <f>IF(($A57=""),"",IF(COUNTIF(Mineral!$AJ$3:$AJ$324,$A57),"",$A57))</f>
        <v/>
      </c>
      <c r="BI45" t="str">
        <f>IFERROR(INDEX(Liste_Handelsünger[Handelsdünger],_xlfn.AGGREGATE(15,6,(ROW(Liste_Handelsünger[Handelsdünger])-1)/(--(SEARCH(BJ$2,Liste_Handelsünger[Handelsdünger])&gt;0)),ROW()-2),1),"")</f>
        <v>Branntkalk</v>
      </c>
      <c r="BJ45" t="str">
        <f>IF(($A58=""),"",IF(COUNTIF(Mineral!$AJ$3:$AJ$324,$A58),"",$A58))</f>
        <v/>
      </c>
      <c r="BK45" t="str">
        <f>IFERROR(INDEX(Liste_Handelsünger[Handelsdünger],_xlfn.AGGREGATE(15,6,(ROW(Liste_Handelsünger[Handelsdünger])-1)/(--(SEARCH(BL$2,Liste_Handelsünger[Handelsdünger])&gt;0)),ROW()-2),1),"")</f>
        <v>Branntkalk</v>
      </c>
      <c r="BM45" t="str">
        <f>IFERROR(INDEX(Liste_Handelsünger[Handelsdünger],_xlfn.AGGREGATE(15,6,(ROW(Liste_Handelsünger[Handelsdünger])-1)/(--(SEARCH(BN$2,Liste_Handelsünger[Handelsdünger])&gt;0)),ROW()-2),1),"")</f>
        <v>Branntkalk</v>
      </c>
      <c r="BN45" t="str">
        <f>IF(($A60=""),"",IF(COUNTIF(Mineral!$AJ$3:$AJ$324,$A60),"",$A60))</f>
        <v/>
      </c>
      <c r="BV45" t="s">
        <v>2075</v>
      </c>
      <c r="BW45" t="s">
        <v>2067</v>
      </c>
    </row>
    <row r="46" spans="1:75" ht="15.95" customHeight="1" thickTop="1" thickBot="1">
      <c r="R46" s="2206" t="str">
        <f t="array" ref="R46">IFERROR(IF(ROW(A17)&gt;COUNTA(A:A),"",INDEX(A:A,SMALL(IF(A$3:A$27&lt;&gt;"",ROW($3:$27)),ROW(A15)))),"")</f>
        <v/>
      </c>
      <c r="S46" s="1676">
        <v>45</v>
      </c>
      <c r="T46" s="1606" t="s">
        <v>2335</v>
      </c>
      <c r="U46" s="1606" t="s">
        <v>2080</v>
      </c>
      <c r="V46" s="1606"/>
      <c r="W46" s="1606">
        <v>15</v>
      </c>
      <c r="X46" s="1606">
        <v>5</v>
      </c>
      <c r="Y46" s="1606">
        <v>16</v>
      </c>
      <c r="Z46" s="1606">
        <v>0</v>
      </c>
      <c r="AA46" s="1606">
        <v>0</v>
      </c>
      <c r="AB46" s="1606">
        <v>4</v>
      </c>
      <c r="AC46" s="1606">
        <v>1</v>
      </c>
      <c r="AD46" s="1613">
        <v>1</v>
      </c>
      <c r="AE46" s="1606" t="s">
        <v>2016</v>
      </c>
      <c r="AF46" s="1613" t="str">
        <f t="shared" si="7"/>
        <v/>
      </c>
      <c r="AG46" s="1656">
        <f>IFERROR(IF($AF46&gt;0,VLOOKUP($U46,Tabelle1!$C$188:$L$212,5,0)*$AF46,0),0)</f>
        <v>0</v>
      </c>
      <c r="AH46" s="1656">
        <f t="shared" si="8"/>
        <v>0</v>
      </c>
      <c r="AJ46" t="str">
        <f>IF(Betrieb!$D$9="JA",Mineral!$BW46,Mineral!$BV46)</f>
        <v>Complesal plus 15:5:16 +4MgO</v>
      </c>
      <c r="AK46" s="1672" t="str">
        <f>IFERROR(INDEX(Liste_Handelsünger[Handelsdünger],_xlfn.AGGREGATE(15,6,(ROW(Liste_Handelsünger[Handelsdünger])-1)/(--(SEARCH(AL$2,Liste_Handelsünger[Handelsdünger])&gt;0)),ROW()-2),1),"")</f>
        <v>Complesal plus 15:5:16 +4MgO</v>
      </c>
      <c r="AL46" s="1672" t="str">
        <f>IF(($A$3=""),"",IF(COUNTIF(Mineral!$AJ$3:$AJ$324,$A$3),"",$A$3))</f>
        <v/>
      </c>
      <c r="AM46" s="1672" t="str">
        <f>IFERROR(INDEX(Liste_Handelsünger[Handelsdünger],_xlfn.AGGREGATE(15,6,(ROW(Liste_Handelsünger[Handelsdünger])-1)/(--(SEARCH(AN$2,Liste_Handelsünger[Handelsdünger])&gt;0)),ROW()-2),1),"")</f>
        <v>Complesal plus 15:5:16 +4MgO</v>
      </c>
      <c r="AN46" t="str">
        <f>IF(($A48=""),"",IF(COUNTIF(Mineral!$AJ$3:$AJ$324,$A48),"",$A48))</f>
        <v/>
      </c>
      <c r="AO46" t="str">
        <f>IFERROR(INDEX(Liste_Handelsünger[Handelsdünger],_xlfn.AGGREGATE(15,6,(ROW(Liste_Handelsünger[Handelsdünger])-1)/(--(SEARCH(AP$2,Liste_Handelsünger[Handelsdünger])&gt;0)),ROW()-2),1),"")</f>
        <v>Complesal plus 15:5:16 +4MgO</v>
      </c>
      <c r="AP46" t="str">
        <f>IF(($A49=""),"",IF(COUNTIF(Mineral!$AJ$3:$AJ$324,$A49),"",$A49))</f>
        <v/>
      </c>
      <c r="AQ46" t="str">
        <f>IFERROR(INDEX(Liste_Handelsünger[Handelsdünger],_xlfn.AGGREGATE(15,6,(ROW(Liste_Handelsünger[Handelsdünger])-1)/(--(SEARCH(AR$2,Liste_Handelsünger[Handelsdünger])&gt;0)),ROW()-2),1),"")</f>
        <v>Complesal plus 15:5:16 +4MgO</v>
      </c>
      <c r="AR46" t="str">
        <f>IF(($A50=""),"",IF(COUNTIF(Mineral!$AJ$3:$AJ$324,$A50),"",$A50))</f>
        <v/>
      </c>
      <c r="AS46" t="str">
        <f>IFERROR(INDEX(Liste_Handelsünger[Handelsdünger],_xlfn.AGGREGATE(15,6,(ROW(Liste_Handelsünger[Handelsdünger])-1)/(--(SEARCH(AT$2,Liste_Handelsünger[Handelsdünger])&gt;0)),ROW()-2),1),"")</f>
        <v>Complesal plus 15:5:16 +4MgO</v>
      </c>
      <c r="AT46" t="str">
        <f>IF(($A51=""),"",IF(COUNTIF(Mineral!$AJ$3:$AJ$324,$A51),"",$A51))</f>
        <v/>
      </c>
      <c r="AU46" t="str">
        <f>IFERROR(INDEX(Liste_Handelsünger[Handelsdünger],_xlfn.AGGREGATE(15,6,(ROW(Liste_Handelsünger[Handelsdünger])-1)/(--(SEARCH(AV$2,Liste_Handelsünger[Handelsdünger])&gt;0)),ROW()-2),1),"")</f>
        <v>Complesal plus 15:5:16 +4MgO</v>
      </c>
      <c r="AV46" t="str">
        <f>IF(($A52=""),"",IF(COUNTIF(Mineral!$AJ$3:$AJ$324,$A52),"",$A52))</f>
        <v/>
      </c>
      <c r="AW46" t="str">
        <f>IFERROR(INDEX(Liste_Handelsünger[Handelsdünger],_xlfn.AGGREGATE(15,6,(ROW(Liste_Handelsünger[Handelsdünger])-1)/(--(SEARCH(AX$2,Liste_Handelsünger[Handelsdünger])&gt;0)),ROW()-2),1),"")</f>
        <v>Complesal plus 15:5:16 +4MgO</v>
      </c>
      <c r="AX46" t="str">
        <f>IF(($A53=""),"",IF(COUNTIF(Mineral!$AJ$3:$AJ$324,$A53),"",$A53))</f>
        <v/>
      </c>
      <c r="AY46" t="str">
        <f>IFERROR(INDEX(Liste_Handelsünger[Handelsdünger],_xlfn.AGGREGATE(15,6,(ROW(Liste_Handelsünger[Handelsdünger])-1)/(--(SEARCH(AZ$2,Liste_Handelsünger[Handelsdünger])&gt;0)),ROW()-2),1),"")</f>
        <v>Complesal plus 15:5:16 +4MgO</v>
      </c>
      <c r="AZ46" t="str">
        <f>IF(($A54=""),"",IF(COUNTIF(Mineral!$AJ$3:$AJ$324,$A54),"",$A54))</f>
        <v/>
      </c>
      <c r="BA46" t="str">
        <f>IFERROR(INDEX(Liste_Handelsünger[Handelsdünger],_xlfn.AGGREGATE(15,6,(ROW(Liste_Handelsünger[Handelsdünger])-1)/(--(SEARCH(BB$2,Liste_Handelsünger[Handelsdünger])&gt;0)),ROW()-2),1),"")</f>
        <v>Complesal plus 15:5:16 +4MgO</v>
      </c>
      <c r="BB46" t="str">
        <f>IF(($A55=""),"",IF(COUNTIF(Mineral!$AJ$3:$AJ$324,$A55),"",$A55))</f>
        <v/>
      </c>
      <c r="BC46" t="str">
        <f>IFERROR(INDEX(Liste_Handelsünger[Handelsdünger],_xlfn.AGGREGATE(15,6,(ROW(Liste_Handelsünger[Handelsdünger])-1)/(--(SEARCH(BD$2,Liste_Handelsünger[Handelsdünger])&gt;0)),ROW()-2),1),"")</f>
        <v>Complesal plus 15:5:16 +4MgO</v>
      </c>
      <c r="BD46" t="str">
        <f>IF(($A56=""),"",IF(COUNTIF(Mineral!$AJ$3:$AJ$324,$A56),"",$A56))</f>
        <v/>
      </c>
      <c r="BE46" t="str">
        <f>IFERROR(INDEX(Liste_Handelsünger[Handelsdünger],_xlfn.AGGREGATE(15,6,(ROW(Liste_Handelsünger[Handelsdünger])-1)/(--(SEARCH(BF$2,Liste_Handelsünger[Handelsdünger])&gt;0)),ROW()-2),1),"")</f>
        <v>Complesal plus 15:5:16 +4MgO</v>
      </c>
      <c r="BF46" t="str">
        <f>IF(($A57=""),"",IF(COUNTIF(Mineral!$AJ$3:$AJ$324,$A57),"",$A57))</f>
        <v/>
      </c>
      <c r="BG46" t="str">
        <f>IFERROR(INDEX(Liste_Handelsünger[Handelsdünger],_xlfn.AGGREGATE(15,6,(ROW(Liste_Handelsünger[Handelsdünger])-1)/(--(SEARCH(BH$2,Liste_Handelsünger[Handelsdünger])&gt;0)),ROW()-2),1),"")</f>
        <v>Complesal plus 15:5:16 +4MgO</v>
      </c>
      <c r="BH46" t="str">
        <f>IF(($A58=""),"",IF(COUNTIF(Mineral!$AJ$3:$AJ$324,$A58),"",$A58))</f>
        <v/>
      </c>
      <c r="BI46" t="str">
        <f>IFERROR(INDEX(Liste_Handelsünger[Handelsdünger],_xlfn.AGGREGATE(15,6,(ROW(Liste_Handelsünger[Handelsdünger])-1)/(--(SEARCH(BJ$2,Liste_Handelsünger[Handelsdünger])&gt;0)),ROW()-2),1),"")</f>
        <v>Complesal plus 15:5:16 +4MgO</v>
      </c>
      <c r="BJ46" t="str">
        <f>IF(($A59=""),"",IF(COUNTIF(Mineral!$AJ$3:$AJ$324,$A59),"",$A59))</f>
        <v/>
      </c>
      <c r="BK46" t="str">
        <f>IFERROR(INDEX(Liste_Handelsünger[Handelsdünger],_xlfn.AGGREGATE(15,6,(ROW(Liste_Handelsünger[Handelsdünger])-1)/(--(SEARCH(BL$2,Liste_Handelsünger[Handelsdünger])&gt;0)),ROW()-2),1),"")</f>
        <v>Complesal plus 15:5:16 +4MgO</v>
      </c>
      <c r="BM46" t="str">
        <f>IFERROR(INDEX(Liste_Handelsünger[Handelsdünger],_xlfn.AGGREGATE(15,6,(ROW(Liste_Handelsünger[Handelsdünger])-1)/(--(SEARCH(BN$2,Liste_Handelsünger[Handelsdünger])&gt;0)),ROW()-2),1),"")</f>
        <v>Complesal plus 15:5:16 +4MgO</v>
      </c>
      <c r="BN46" t="str">
        <f>IF(($A61=""),"",IF(COUNTIF(Mineral!$AJ$3:$AJ$324,$A61),"",$A61))</f>
        <v/>
      </c>
      <c r="BV46" t="s">
        <v>2080</v>
      </c>
      <c r="BW46" t="s">
        <v>2068</v>
      </c>
    </row>
    <row r="47" spans="1:75" ht="15.95" customHeight="1" thickTop="1" thickBot="1">
      <c r="R47" s="2206" t="str">
        <f t="array" ref="R47">IFERROR(IF(ROW(A18)&gt;COUNTA(A:A),"",INDEX(A:A,SMALL(IF(A$3:A$27&lt;&gt;"",ROW($3:$27)),ROW(A16)))),"")</f>
        <v/>
      </c>
      <c r="S47" s="1616">
        <v>46</v>
      </c>
      <c r="T47" s="1617" t="s">
        <v>2335</v>
      </c>
      <c r="U47" s="1617" t="s">
        <v>2081</v>
      </c>
      <c r="V47" s="1617"/>
      <c r="W47" s="1617">
        <v>12</v>
      </c>
      <c r="X47" s="1617">
        <v>12</v>
      </c>
      <c r="Y47" s="1617">
        <v>17</v>
      </c>
      <c r="Z47" s="1617">
        <v>12</v>
      </c>
      <c r="AA47" s="1617">
        <v>5.3</v>
      </c>
      <c r="AB47" s="1617">
        <v>2</v>
      </c>
      <c r="AC47" s="1617">
        <v>1</v>
      </c>
      <c r="AD47" s="1613">
        <v>1</v>
      </c>
      <c r="AE47" s="1617" t="s">
        <v>2016</v>
      </c>
      <c r="AF47" s="1613" t="str">
        <f t="shared" si="7"/>
        <v/>
      </c>
      <c r="AG47" s="1656">
        <f>IFERROR(IF($AF47&gt;0,VLOOKUP($U47,Tabelle1!$C$188:$L$212,5,0)*$AF47,0),0)</f>
        <v>0</v>
      </c>
      <c r="AH47" s="1656">
        <f t="shared" si="8"/>
        <v>0</v>
      </c>
      <c r="AJ47" t="str">
        <f>IF(Betrieb!$D$9="JA",Mineral!$BW47,Mineral!$BV47)</f>
        <v>COMPLEX 12/12/17+2MgO+12S+B+Zn</v>
      </c>
      <c r="AK47" s="1672" t="str">
        <f>IFERROR(INDEX(Liste_Handelsünger[Handelsdünger],_xlfn.AGGREGATE(15,6,(ROW(Liste_Handelsünger[Handelsdünger])-1)/(--(SEARCH(AL$2,Liste_Handelsünger[Handelsdünger])&gt;0)),ROW()-2),1),"")</f>
        <v>COMPLEX 12/12/17+2MgO+12S+B+Zn</v>
      </c>
      <c r="AL47" s="1672" t="str">
        <f>IF(($A$3=""),"",IF(COUNTIF(Mineral!$AJ$3:$AJ$324,$A$3),"",$A$3))</f>
        <v/>
      </c>
      <c r="AM47" s="1672" t="str">
        <f>IFERROR(INDEX(Liste_Handelsünger[Handelsdünger],_xlfn.AGGREGATE(15,6,(ROW(Liste_Handelsünger[Handelsdünger])-1)/(--(SEARCH(AN$2,Liste_Handelsünger[Handelsdünger])&gt;0)),ROW()-2),1),"")</f>
        <v>COMPLEX 12/12/17+2MgO+12S+B+Zn</v>
      </c>
      <c r="AN47" t="str">
        <f>IF(($A49=""),"",IF(COUNTIF(Mineral!$AJ$3:$AJ$324,$A49),"",$A49))</f>
        <v/>
      </c>
      <c r="AO47" t="str">
        <f>IFERROR(INDEX(Liste_Handelsünger[Handelsdünger],_xlfn.AGGREGATE(15,6,(ROW(Liste_Handelsünger[Handelsdünger])-1)/(--(SEARCH(AP$2,Liste_Handelsünger[Handelsdünger])&gt;0)),ROW()-2),1),"")</f>
        <v>COMPLEX 12/12/17+2MgO+12S+B+Zn</v>
      </c>
      <c r="AP47" t="str">
        <f>IF(($A50=""),"",IF(COUNTIF(Mineral!$AJ$3:$AJ$324,$A50),"",$A50))</f>
        <v/>
      </c>
      <c r="AQ47" t="str">
        <f>IFERROR(INDEX(Liste_Handelsünger[Handelsdünger],_xlfn.AGGREGATE(15,6,(ROW(Liste_Handelsünger[Handelsdünger])-1)/(--(SEARCH(AR$2,Liste_Handelsünger[Handelsdünger])&gt;0)),ROW()-2),1),"")</f>
        <v>COMPLEX 12/12/17+2MgO+12S+B+Zn</v>
      </c>
      <c r="AR47" t="str">
        <f>IF(($A51=""),"",IF(COUNTIF(Mineral!$AJ$3:$AJ$324,$A51),"",$A51))</f>
        <v/>
      </c>
      <c r="AS47" t="str">
        <f>IFERROR(INDEX(Liste_Handelsünger[Handelsdünger],_xlfn.AGGREGATE(15,6,(ROW(Liste_Handelsünger[Handelsdünger])-1)/(--(SEARCH(AT$2,Liste_Handelsünger[Handelsdünger])&gt;0)),ROW()-2),1),"")</f>
        <v>COMPLEX 12/12/17+2MgO+12S+B+Zn</v>
      </c>
      <c r="AT47" t="str">
        <f>IF(($A52=""),"",IF(COUNTIF(Mineral!$AJ$3:$AJ$324,$A52),"",$A52))</f>
        <v/>
      </c>
      <c r="AU47" t="str">
        <f>IFERROR(INDEX(Liste_Handelsünger[Handelsdünger],_xlfn.AGGREGATE(15,6,(ROW(Liste_Handelsünger[Handelsdünger])-1)/(--(SEARCH(AV$2,Liste_Handelsünger[Handelsdünger])&gt;0)),ROW()-2),1),"")</f>
        <v>COMPLEX 12/12/17+2MgO+12S+B+Zn</v>
      </c>
      <c r="AV47" t="str">
        <f>IF(($A53=""),"",IF(COUNTIF(Mineral!$AJ$3:$AJ$324,$A53),"",$A53))</f>
        <v/>
      </c>
      <c r="AW47" t="str">
        <f>IFERROR(INDEX(Liste_Handelsünger[Handelsdünger],_xlfn.AGGREGATE(15,6,(ROW(Liste_Handelsünger[Handelsdünger])-1)/(--(SEARCH(AX$2,Liste_Handelsünger[Handelsdünger])&gt;0)),ROW()-2),1),"")</f>
        <v>COMPLEX 12/12/17+2MgO+12S+B+Zn</v>
      </c>
      <c r="AX47" t="str">
        <f>IF(($A54=""),"",IF(COUNTIF(Mineral!$AJ$3:$AJ$324,$A54),"",$A54))</f>
        <v/>
      </c>
      <c r="AY47" t="str">
        <f>IFERROR(INDEX(Liste_Handelsünger[Handelsdünger],_xlfn.AGGREGATE(15,6,(ROW(Liste_Handelsünger[Handelsdünger])-1)/(--(SEARCH(AZ$2,Liste_Handelsünger[Handelsdünger])&gt;0)),ROW()-2),1),"")</f>
        <v>COMPLEX 12/12/17+2MgO+12S+B+Zn</v>
      </c>
      <c r="AZ47" t="str">
        <f>IF(($A55=""),"",IF(COUNTIF(Mineral!$AJ$3:$AJ$324,$A55),"",$A55))</f>
        <v/>
      </c>
      <c r="BA47" t="str">
        <f>IFERROR(INDEX(Liste_Handelsünger[Handelsdünger],_xlfn.AGGREGATE(15,6,(ROW(Liste_Handelsünger[Handelsdünger])-1)/(--(SEARCH(BB$2,Liste_Handelsünger[Handelsdünger])&gt;0)),ROW()-2),1),"")</f>
        <v>COMPLEX 12/12/17+2MgO+12S+B+Zn</v>
      </c>
      <c r="BB47" t="str">
        <f>IF(($A56=""),"",IF(COUNTIF(Mineral!$AJ$3:$AJ$324,$A56),"",$A56))</f>
        <v/>
      </c>
      <c r="BC47" t="str">
        <f>IFERROR(INDEX(Liste_Handelsünger[Handelsdünger],_xlfn.AGGREGATE(15,6,(ROW(Liste_Handelsünger[Handelsdünger])-1)/(--(SEARCH(BD$2,Liste_Handelsünger[Handelsdünger])&gt;0)),ROW()-2),1),"")</f>
        <v>COMPLEX 12/12/17+2MgO+12S+B+Zn</v>
      </c>
      <c r="BD47" t="str">
        <f>IF(($A57=""),"",IF(COUNTIF(Mineral!$AJ$3:$AJ$324,$A57),"",$A57))</f>
        <v/>
      </c>
      <c r="BE47" t="str">
        <f>IFERROR(INDEX(Liste_Handelsünger[Handelsdünger],_xlfn.AGGREGATE(15,6,(ROW(Liste_Handelsünger[Handelsdünger])-1)/(--(SEARCH(BF$2,Liste_Handelsünger[Handelsdünger])&gt;0)),ROW()-2),1),"")</f>
        <v>COMPLEX 12/12/17+2MgO+12S+B+Zn</v>
      </c>
      <c r="BF47" t="str">
        <f>IF(($A58=""),"",IF(COUNTIF(Mineral!$AJ$3:$AJ$324,$A58),"",$A58))</f>
        <v/>
      </c>
      <c r="BG47" t="str">
        <f>IFERROR(INDEX(Liste_Handelsünger[Handelsdünger],_xlfn.AGGREGATE(15,6,(ROW(Liste_Handelsünger[Handelsdünger])-1)/(--(SEARCH(BH$2,Liste_Handelsünger[Handelsdünger])&gt;0)),ROW()-2),1),"")</f>
        <v>COMPLEX 12/12/17+2MgO+12S+B+Zn</v>
      </c>
      <c r="BH47" t="str">
        <f>IF(($A59=""),"",IF(COUNTIF(Mineral!$AJ$3:$AJ$324,$A59),"",$A59))</f>
        <v/>
      </c>
      <c r="BI47" t="str">
        <f>IFERROR(INDEX(Liste_Handelsünger[Handelsdünger],_xlfn.AGGREGATE(15,6,(ROW(Liste_Handelsünger[Handelsdünger])-1)/(--(SEARCH(BJ$2,Liste_Handelsünger[Handelsdünger])&gt;0)),ROW()-2),1),"")</f>
        <v>COMPLEX 12/12/17+2MgO+12S+B+Zn</v>
      </c>
      <c r="BJ47" t="str">
        <f>IF(($A60=""),"",IF(COUNTIF(Mineral!$AJ$3:$AJ$324,$A60),"",$A60))</f>
        <v/>
      </c>
      <c r="BK47" t="str">
        <f>IFERROR(INDEX(Liste_Handelsünger[Handelsdünger],_xlfn.AGGREGATE(15,6,(ROW(Liste_Handelsünger[Handelsdünger])-1)/(--(SEARCH(BL$2,Liste_Handelsünger[Handelsdünger])&gt;0)),ROW()-2),1),"")</f>
        <v>COMPLEX 12/12/17+2MgO+12S+B+Zn</v>
      </c>
      <c r="BM47" t="str">
        <f>IFERROR(INDEX(Liste_Handelsünger[Handelsdünger],_xlfn.AGGREGATE(15,6,(ROW(Liste_Handelsünger[Handelsdünger])-1)/(--(SEARCH(BN$2,Liste_Handelsünger[Handelsdünger])&gt;0)),ROW()-2),1),"")</f>
        <v>COMPLEX 12/12/17+2MgO+12S+B+Zn</v>
      </c>
      <c r="BN47" t="str">
        <f>IF(($A62=""),"",IF(COUNTIF(Mineral!$AJ$3:$AJ$324,$A62),"",$A62))</f>
        <v/>
      </c>
      <c r="BV47" t="s">
        <v>2081</v>
      </c>
      <c r="BW47" t="s">
        <v>2069</v>
      </c>
    </row>
    <row r="48" spans="1:75" ht="15.95" customHeight="1" thickTop="1" thickBot="1">
      <c r="R48" s="2206" t="str">
        <f t="array" ref="R48">IFERROR(IF(ROW(A19)&gt;COUNTA(A:A),"",INDEX(A:A,SMALL(IF(A$3:A$27&lt;&gt;"",ROW($3:$27)),ROW(A17)))),"")</f>
        <v/>
      </c>
      <c r="S48" s="1676">
        <v>47</v>
      </c>
      <c r="T48" s="1606" t="s">
        <v>2335</v>
      </c>
      <c r="U48" s="1606" t="s">
        <v>2084</v>
      </c>
      <c r="V48" s="1606"/>
      <c r="W48" s="1606">
        <v>15</v>
      </c>
      <c r="X48" s="1606">
        <v>5</v>
      </c>
      <c r="Y48" s="1606">
        <v>18</v>
      </c>
      <c r="Z48" s="1606">
        <v>25</v>
      </c>
      <c r="AA48" s="1606">
        <v>1.1000000000000001</v>
      </c>
      <c r="AB48" s="1606">
        <v>2.5</v>
      </c>
      <c r="AC48" s="1606">
        <v>1</v>
      </c>
      <c r="AD48" s="1613">
        <v>1</v>
      </c>
      <c r="AE48" s="1606" t="s">
        <v>2016</v>
      </c>
      <c r="AF48" s="1613" t="str">
        <f t="shared" si="7"/>
        <v/>
      </c>
      <c r="AG48" s="1656">
        <f>IFERROR(IF($AF48&gt;0,VLOOKUP($U48,Tabelle1!$C$188:$L$212,5,0)*$AF48,0),0)</f>
        <v>0</v>
      </c>
      <c r="AH48" s="1656">
        <f t="shared" si="8"/>
        <v>0</v>
      </c>
      <c r="AJ48" t="str">
        <f>IF(Betrieb!$D$9="JA",Mineral!$BW48,Mineral!$BV48)</f>
        <v>COMPLEX 15/5/18+2,5MgO+10S+B+Zn</v>
      </c>
      <c r="AK48" s="1672" t="str">
        <f>IFERROR(INDEX(Liste_Handelsünger[Handelsdünger],_xlfn.AGGREGATE(15,6,(ROW(Liste_Handelsünger[Handelsdünger])-1)/(--(SEARCH(AL$2,Liste_Handelsünger[Handelsdünger])&gt;0)),ROW()-2),1),"")</f>
        <v>COMPLEX 15/5/18+2,5MgO+10S+B+Zn</v>
      </c>
      <c r="AL48" s="1672" t="str">
        <f>IF(($A$3=""),"",IF(COUNTIF(Mineral!$AJ$3:$AJ$324,$A$3),"",$A$3))</f>
        <v/>
      </c>
      <c r="AM48" s="1672" t="str">
        <f>IFERROR(INDEX(Liste_Handelsünger[Handelsdünger],_xlfn.AGGREGATE(15,6,(ROW(Liste_Handelsünger[Handelsdünger])-1)/(--(SEARCH(AN$2,Liste_Handelsünger[Handelsdünger])&gt;0)),ROW()-2),1),"")</f>
        <v>COMPLEX 15/5/18+2,5MgO+10S+B+Zn</v>
      </c>
      <c r="AN48" t="str">
        <f>IF(($A50=""),"",IF(COUNTIF(Mineral!$AJ$3:$AJ$324,$A50),"",$A50))</f>
        <v/>
      </c>
      <c r="AO48" t="str">
        <f>IFERROR(INDEX(Liste_Handelsünger[Handelsdünger],_xlfn.AGGREGATE(15,6,(ROW(Liste_Handelsünger[Handelsdünger])-1)/(--(SEARCH(AP$2,Liste_Handelsünger[Handelsdünger])&gt;0)),ROW()-2),1),"")</f>
        <v>COMPLEX 15/5/18+2,5MgO+10S+B+Zn</v>
      </c>
      <c r="AP48" t="str">
        <f>IF(($A51=""),"",IF(COUNTIF(Mineral!$AJ$3:$AJ$324,$A51),"",$A51))</f>
        <v/>
      </c>
      <c r="AQ48" t="str">
        <f>IFERROR(INDEX(Liste_Handelsünger[Handelsdünger],_xlfn.AGGREGATE(15,6,(ROW(Liste_Handelsünger[Handelsdünger])-1)/(--(SEARCH(AR$2,Liste_Handelsünger[Handelsdünger])&gt;0)),ROW()-2),1),"")</f>
        <v>COMPLEX 15/5/18+2,5MgO+10S+B+Zn</v>
      </c>
      <c r="AR48" t="str">
        <f>IF(($A52=""),"",IF(COUNTIF(Mineral!$AJ$3:$AJ$324,$A52),"",$A52))</f>
        <v/>
      </c>
      <c r="AS48" t="str">
        <f>IFERROR(INDEX(Liste_Handelsünger[Handelsdünger],_xlfn.AGGREGATE(15,6,(ROW(Liste_Handelsünger[Handelsdünger])-1)/(--(SEARCH(AT$2,Liste_Handelsünger[Handelsdünger])&gt;0)),ROW()-2),1),"")</f>
        <v>COMPLEX 15/5/18+2,5MgO+10S+B+Zn</v>
      </c>
      <c r="AT48" t="str">
        <f>IF(($A53=""),"",IF(COUNTIF(Mineral!$AJ$3:$AJ$324,$A53),"",$A53))</f>
        <v/>
      </c>
      <c r="AU48" t="str">
        <f>IFERROR(INDEX(Liste_Handelsünger[Handelsdünger],_xlfn.AGGREGATE(15,6,(ROW(Liste_Handelsünger[Handelsdünger])-1)/(--(SEARCH(AV$2,Liste_Handelsünger[Handelsdünger])&gt;0)),ROW()-2),1),"")</f>
        <v>COMPLEX 15/5/18+2,5MgO+10S+B+Zn</v>
      </c>
      <c r="AV48" t="str">
        <f>IF(($A54=""),"",IF(COUNTIF(Mineral!$AJ$3:$AJ$324,$A54),"",$A54))</f>
        <v/>
      </c>
      <c r="AW48" t="str">
        <f>IFERROR(INDEX(Liste_Handelsünger[Handelsdünger],_xlfn.AGGREGATE(15,6,(ROW(Liste_Handelsünger[Handelsdünger])-1)/(--(SEARCH(AX$2,Liste_Handelsünger[Handelsdünger])&gt;0)),ROW()-2),1),"")</f>
        <v>COMPLEX 15/5/18+2,5MgO+10S+B+Zn</v>
      </c>
      <c r="AX48" t="str">
        <f>IF(($A55=""),"",IF(COUNTIF(Mineral!$AJ$3:$AJ$324,$A55),"",$A55))</f>
        <v/>
      </c>
      <c r="AY48" t="str">
        <f>IFERROR(INDEX(Liste_Handelsünger[Handelsdünger],_xlfn.AGGREGATE(15,6,(ROW(Liste_Handelsünger[Handelsdünger])-1)/(--(SEARCH(AZ$2,Liste_Handelsünger[Handelsdünger])&gt;0)),ROW()-2),1),"")</f>
        <v>COMPLEX 15/5/18+2,5MgO+10S+B+Zn</v>
      </c>
      <c r="AZ48" t="str">
        <f>IF(($A56=""),"",IF(COUNTIF(Mineral!$AJ$3:$AJ$324,$A56),"",$A56))</f>
        <v/>
      </c>
      <c r="BA48" t="str">
        <f>IFERROR(INDEX(Liste_Handelsünger[Handelsdünger],_xlfn.AGGREGATE(15,6,(ROW(Liste_Handelsünger[Handelsdünger])-1)/(--(SEARCH(BB$2,Liste_Handelsünger[Handelsdünger])&gt;0)),ROW()-2),1),"")</f>
        <v>COMPLEX 15/5/18+2,5MgO+10S+B+Zn</v>
      </c>
      <c r="BB48" t="str">
        <f>IF(($A57=""),"",IF(COUNTIF(Mineral!$AJ$3:$AJ$324,$A57),"",$A57))</f>
        <v/>
      </c>
      <c r="BC48" t="str">
        <f>IFERROR(INDEX(Liste_Handelsünger[Handelsdünger],_xlfn.AGGREGATE(15,6,(ROW(Liste_Handelsünger[Handelsdünger])-1)/(--(SEARCH(BD$2,Liste_Handelsünger[Handelsdünger])&gt;0)),ROW()-2),1),"")</f>
        <v>COMPLEX 15/5/18+2,5MgO+10S+B+Zn</v>
      </c>
      <c r="BD48" t="str">
        <f>IF(($A58=""),"",IF(COUNTIF(Mineral!$AJ$3:$AJ$324,$A58),"",$A58))</f>
        <v/>
      </c>
      <c r="BE48" t="str">
        <f>IFERROR(INDEX(Liste_Handelsünger[Handelsdünger],_xlfn.AGGREGATE(15,6,(ROW(Liste_Handelsünger[Handelsdünger])-1)/(--(SEARCH(BF$2,Liste_Handelsünger[Handelsdünger])&gt;0)),ROW()-2),1),"")</f>
        <v>COMPLEX 15/5/18+2,5MgO+10S+B+Zn</v>
      </c>
      <c r="BF48" t="str">
        <f>IF(($A59=""),"",IF(COUNTIF(Mineral!$AJ$3:$AJ$324,$A59),"",$A59))</f>
        <v/>
      </c>
      <c r="BG48" t="str">
        <f>IFERROR(INDEX(Liste_Handelsünger[Handelsdünger],_xlfn.AGGREGATE(15,6,(ROW(Liste_Handelsünger[Handelsdünger])-1)/(--(SEARCH(BH$2,Liste_Handelsünger[Handelsdünger])&gt;0)),ROW()-2),1),"")</f>
        <v>COMPLEX 15/5/18+2,5MgO+10S+B+Zn</v>
      </c>
      <c r="BH48" t="str">
        <f>IF(($A60=""),"",IF(COUNTIF(Mineral!$AJ$3:$AJ$324,$A60),"",$A60))</f>
        <v/>
      </c>
      <c r="BI48" t="str">
        <f>IFERROR(INDEX(Liste_Handelsünger[Handelsdünger],_xlfn.AGGREGATE(15,6,(ROW(Liste_Handelsünger[Handelsdünger])-1)/(--(SEARCH(BJ$2,Liste_Handelsünger[Handelsdünger])&gt;0)),ROW()-2),1),"")</f>
        <v>COMPLEX 15/5/18+2,5MgO+10S+B+Zn</v>
      </c>
      <c r="BJ48" t="str">
        <f>IF(($A61=""),"",IF(COUNTIF(Mineral!$AJ$3:$AJ$324,$A61),"",$A61))</f>
        <v/>
      </c>
      <c r="BK48" t="str">
        <f>IFERROR(INDEX(Liste_Handelsünger[Handelsdünger],_xlfn.AGGREGATE(15,6,(ROW(Liste_Handelsünger[Handelsdünger])-1)/(--(SEARCH(BL$2,Liste_Handelsünger[Handelsdünger])&gt;0)),ROW()-2),1),"")</f>
        <v>COMPLEX 15/5/18+2,5MgO+10S+B+Zn</v>
      </c>
      <c r="BM48" t="str">
        <f>IFERROR(INDEX(Liste_Handelsünger[Handelsdünger],_xlfn.AGGREGATE(15,6,(ROW(Liste_Handelsünger[Handelsdünger])-1)/(--(SEARCH(BN$2,Liste_Handelsünger[Handelsdünger])&gt;0)),ROW()-2),1),"")</f>
        <v>COMPLEX 15/5/18+2,5MgO+10S+B+Zn</v>
      </c>
      <c r="BN48" t="str">
        <f>IF(($A63=""),"",IF(COUNTIF(Mineral!$AJ$3:$AJ$324,$A63),"",$A63))</f>
        <v/>
      </c>
      <c r="BV48" t="s">
        <v>2084</v>
      </c>
      <c r="BW48" t="s">
        <v>2070</v>
      </c>
    </row>
    <row r="49" spans="18:75" ht="27.2" customHeight="1" thickTop="1" thickBot="1">
      <c r="R49" s="2206" t="str">
        <f t="array" ref="R49">IFERROR(IF(ROW(A20)&gt;COUNTA(A:A),"",INDEX(A:A,SMALL(IF(A$3:A$27&lt;&gt;"",ROW($3:$27)),ROW(A18)))),"")</f>
        <v/>
      </c>
      <c r="S49" s="1616">
        <v>48</v>
      </c>
      <c r="T49" s="1617" t="s">
        <v>2335</v>
      </c>
      <c r="U49" s="1617" t="s">
        <v>2085</v>
      </c>
      <c r="V49" s="1617"/>
      <c r="W49" s="1617">
        <v>18</v>
      </c>
      <c r="X49" s="1617">
        <v>28</v>
      </c>
      <c r="Y49" s="1617">
        <v>0</v>
      </c>
      <c r="Z49" s="1617"/>
      <c r="AA49" s="1617">
        <v>0</v>
      </c>
      <c r="AB49" s="1617">
        <v>0</v>
      </c>
      <c r="AC49" s="1617">
        <v>1</v>
      </c>
      <c r="AD49" s="1613">
        <v>1</v>
      </c>
      <c r="AE49" s="1617" t="s">
        <v>2016</v>
      </c>
      <c r="AF49" s="1613" t="str">
        <f t="shared" si="7"/>
        <v/>
      </c>
      <c r="AG49" s="1656">
        <f>IFERROR(IF($AF49&gt;0,VLOOKUP($U49,Tabelle1!$C$188:$L$212,5,0)*$AF49,0),0)</f>
        <v>0</v>
      </c>
      <c r="AH49" s="1656">
        <f t="shared" si="8"/>
        <v>0</v>
      </c>
      <c r="AJ49" t="str">
        <f>IF(Betrieb!$D$9="JA",Mineral!$BW49,Mineral!$BV49)</f>
        <v>COMPLEX 18/28+Zn</v>
      </c>
      <c r="AK49" s="1672" t="str">
        <f>IFERROR(INDEX(Liste_Handelsünger[Handelsdünger],_xlfn.AGGREGATE(15,6,(ROW(Liste_Handelsünger[Handelsdünger])-1)/(--(SEARCH(AL$2,Liste_Handelsünger[Handelsdünger])&gt;0)),ROW()-2),1),"")</f>
        <v>COMPLEX 18/28+Zn</v>
      </c>
      <c r="AL49" s="1672" t="str">
        <f>IF(($A$3=""),"",IF(COUNTIF(Mineral!$AJ$3:$AJ$324,$A$3),"",$A$3))</f>
        <v/>
      </c>
      <c r="AM49" s="1672" t="str">
        <f>IFERROR(INDEX(Liste_Handelsünger[Handelsdünger],_xlfn.AGGREGATE(15,6,(ROW(Liste_Handelsünger[Handelsdünger])-1)/(--(SEARCH(AN$2,Liste_Handelsünger[Handelsdünger])&gt;0)),ROW()-2),1),"")</f>
        <v>COMPLEX 18/28+Zn</v>
      </c>
      <c r="AN49" t="str">
        <f>IF(($A51=""),"",IF(COUNTIF(Mineral!$AJ$3:$AJ$324,$A51),"",$A51))</f>
        <v/>
      </c>
      <c r="AO49" t="str">
        <f>IFERROR(INDEX(Liste_Handelsünger[Handelsdünger],_xlfn.AGGREGATE(15,6,(ROW(Liste_Handelsünger[Handelsdünger])-1)/(--(SEARCH(AP$2,Liste_Handelsünger[Handelsdünger])&gt;0)),ROW()-2),1),"")</f>
        <v>COMPLEX 18/28+Zn</v>
      </c>
      <c r="AP49" t="str">
        <f>IF(($A52=""),"",IF(COUNTIF(Mineral!$AJ$3:$AJ$324,$A52),"",$A52))</f>
        <v/>
      </c>
      <c r="AQ49" t="str">
        <f>IFERROR(INDEX(Liste_Handelsünger[Handelsdünger],_xlfn.AGGREGATE(15,6,(ROW(Liste_Handelsünger[Handelsdünger])-1)/(--(SEARCH(AR$2,Liste_Handelsünger[Handelsdünger])&gt;0)),ROW()-2),1),"")</f>
        <v>COMPLEX 18/28+Zn</v>
      </c>
      <c r="AR49" t="str">
        <f>IF(($A53=""),"",IF(COUNTIF(Mineral!$AJ$3:$AJ$324,$A53),"",$A53))</f>
        <v/>
      </c>
      <c r="AS49" t="str">
        <f>IFERROR(INDEX(Liste_Handelsünger[Handelsdünger],_xlfn.AGGREGATE(15,6,(ROW(Liste_Handelsünger[Handelsdünger])-1)/(--(SEARCH(AT$2,Liste_Handelsünger[Handelsdünger])&gt;0)),ROW()-2),1),"")</f>
        <v>COMPLEX 18/28+Zn</v>
      </c>
      <c r="AT49" t="str">
        <f>IF(($A54=""),"",IF(COUNTIF(Mineral!$AJ$3:$AJ$324,$A54),"",$A54))</f>
        <v/>
      </c>
      <c r="AU49" t="str">
        <f>IFERROR(INDEX(Liste_Handelsünger[Handelsdünger],_xlfn.AGGREGATE(15,6,(ROW(Liste_Handelsünger[Handelsdünger])-1)/(--(SEARCH(AV$2,Liste_Handelsünger[Handelsdünger])&gt;0)),ROW()-2),1),"")</f>
        <v>COMPLEX 18/28+Zn</v>
      </c>
      <c r="AV49" t="str">
        <f>IF(($A55=""),"",IF(COUNTIF(Mineral!$AJ$3:$AJ$324,$A55),"",$A55))</f>
        <v/>
      </c>
      <c r="AW49" t="str">
        <f>IFERROR(INDEX(Liste_Handelsünger[Handelsdünger],_xlfn.AGGREGATE(15,6,(ROW(Liste_Handelsünger[Handelsdünger])-1)/(--(SEARCH(AX$2,Liste_Handelsünger[Handelsdünger])&gt;0)),ROW()-2),1),"")</f>
        <v>COMPLEX 18/28+Zn</v>
      </c>
      <c r="AX49" t="str">
        <f>IF(($A56=""),"",IF(COUNTIF(Mineral!$AJ$3:$AJ$324,$A56),"",$A56))</f>
        <v/>
      </c>
      <c r="AY49" t="str">
        <f>IFERROR(INDEX(Liste_Handelsünger[Handelsdünger],_xlfn.AGGREGATE(15,6,(ROW(Liste_Handelsünger[Handelsdünger])-1)/(--(SEARCH(AZ$2,Liste_Handelsünger[Handelsdünger])&gt;0)),ROW()-2),1),"")</f>
        <v>COMPLEX 18/28+Zn</v>
      </c>
      <c r="AZ49" t="str">
        <f>IF(($A57=""),"",IF(COUNTIF(Mineral!$AJ$3:$AJ$324,$A57),"",$A57))</f>
        <v/>
      </c>
      <c r="BA49" t="str">
        <f>IFERROR(INDEX(Liste_Handelsünger[Handelsdünger],_xlfn.AGGREGATE(15,6,(ROW(Liste_Handelsünger[Handelsdünger])-1)/(--(SEARCH(BB$2,Liste_Handelsünger[Handelsdünger])&gt;0)),ROW()-2),1),"")</f>
        <v>COMPLEX 18/28+Zn</v>
      </c>
      <c r="BB49" t="str">
        <f>IF(($A58=""),"",IF(COUNTIF(Mineral!$AJ$3:$AJ$324,$A58),"",$A58))</f>
        <v/>
      </c>
      <c r="BC49" t="str">
        <f>IFERROR(INDEX(Liste_Handelsünger[Handelsdünger],_xlfn.AGGREGATE(15,6,(ROW(Liste_Handelsünger[Handelsdünger])-1)/(--(SEARCH(BD$2,Liste_Handelsünger[Handelsdünger])&gt;0)),ROW()-2),1),"")</f>
        <v>COMPLEX 18/28+Zn</v>
      </c>
      <c r="BD49" t="str">
        <f>IF(($A59=""),"",IF(COUNTIF(Mineral!$AJ$3:$AJ$324,$A59),"",$A59))</f>
        <v/>
      </c>
      <c r="BE49" t="str">
        <f>IFERROR(INDEX(Liste_Handelsünger[Handelsdünger],_xlfn.AGGREGATE(15,6,(ROW(Liste_Handelsünger[Handelsdünger])-1)/(--(SEARCH(BF$2,Liste_Handelsünger[Handelsdünger])&gt;0)),ROW()-2),1),"")</f>
        <v>COMPLEX 18/28+Zn</v>
      </c>
      <c r="BF49" t="str">
        <f>IF(($A60=""),"",IF(COUNTIF(Mineral!$AJ$3:$AJ$324,$A60),"",$A60))</f>
        <v/>
      </c>
      <c r="BG49" t="str">
        <f>IFERROR(INDEX(Liste_Handelsünger[Handelsdünger],_xlfn.AGGREGATE(15,6,(ROW(Liste_Handelsünger[Handelsdünger])-1)/(--(SEARCH(BH$2,Liste_Handelsünger[Handelsdünger])&gt;0)),ROW()-2),1),"")</f>
        <v>COMPLEX 18/28+Zn</v>
      </c>
      <c r="BH49" t="str">
        <f>IF(($A61=""),"",IF(COUNTIF(Mineral!$AJ$3:$AJ$324,$A61),"",$A61))</f>
        <v/>
      </c>
      <c r="BI49" t="str">
        <f>IFERROR(INDEX(Liste_Handelsünger[Handelsdünger],_xlfn.AGGREGATE(15,6,(ROW(Liste_Handelsünger[Handelsdünger])-1)/(--(SEARCH(BJ$2,Liste_Handelsünger[Handelsdünger])&gt;0)),ROW()-2),1),"")</f>
        <v>COMPLEX 18/28+Zn</v>
      </c>
      <c r="BJ49" t="str">
        <f>IF(($A62=""),"",IF(COUNTIF(Mineral!$AJ$3:$AJ$324,$A62),"",$A62))</f>
        <v/>
      </c>
      <c r="BK49" t="str">
        <f>IFERROR(INDEX(Liste_Handelsünger[Handelsdünger],_xlfn.AGGREGATE(15,6,(ROW(Liste_Handelsünger[Handelsdünger])-1)/(--(SEARCH(BL$2,Liste_Handelsünger[Handelsdünger])&gt;0)),ROW()-2),1),"")</f>
        <v>COMPLEX 18/28+Zn</v>
      </c>
      <c r="BM49" t="str">
        <f>IFERROR(INDEX(Liste_Handelsünger[Handelsdünger],_xlfn.AGGREGATE(15,6,(ROW(Liste_Handelsünger[Handelsdünger])-1)/(--(SEARCH(BN$2,Liste_Handelsünger[Handelsdünger])&gt;0)),ROW()-2),1),"")</f>
        <v>COMPLEX 18/28+Zn</v>
      </c>
      <c r="BN49" t="str">
        <f>IF(($A64=""),"",IF(COUNTIF(Mineral!$AJ$3:$AJ$324,$A64),"",$A64))</f>
        <v/>
      </c>
      <c r="BV49" t="s">
        <v>2085</v>
      </c>
      <c r="BW49" t="s">
        <v>2072</v>
      </c>
    </row>
    <row r="50" spans="18:75" ht="22.5" customHeight="1" thickTop="1" thickBot="1">
      <c r="R50" s="2206" t="str">
        <f t="array" ref="R50">IFERROR(IF(ROW(A21)&gt;COUNTA(A:A),"",INDEX(A:A,SMALL(IF(A$3:A$27&lt;&gt;"",ROW($3:$27)),ROW(A19)))),"")</f>
        <v/>
      </c>
      <c r="S50" s="1676">
        <v>49</v>
      </c>
      <c r="T50" s="1606" t="s">
        <v>2335</v>
      </c>
      <c r="U50" s="1606" t="s">
        <v>2086</v>
      </c>
      <c r="V50" s="1606"/>
      <c r="W50" s="1606">
        <v>20</v>
      </c>
      <c r="X50" s="1606">
        <v>10</v>
      </c>
      <c r="Y50" s="1606">
        <v>8</v>
      </c>
      <c r="Z50" s="1606">
        <v>12</v>
      </c>
      <c r="AA50" s="1606">
        <v>5</v>
      </c>
      <c r="AB50" s="1606">
        <v>0</v>
      </c>
      <c r="AC50" s="1606">
        <v>1</v>
      </c>
      <c r="AD50" s="1613">
        <v>1</v>
      </c>
      <c r="AE50" s="1606" t="s">
        <v>2016</v>
      </c>
      <c r="AF50" s="1613" t="str">
        <f t="shared" si="7"/>
        <v/>
      </c>
      <c r="AG50" s="1656">
        <f>IFERROR(IF($AF50&gt;0,VLOOKUP($U50,Tabelle1!$C$188:$L$212,5,0)*$AF50,0),0)</f>
        <v>0</v>
      </c>
      <c r="AH50" s="1656">
        <f t="shared" si="8"/>
        <v>0</v>
      </c>
      <c r="AJ50" t="str">
        <f>IF(Betrieb!$D$9="JA",Mineral!$BW50,Mineral!$BV50)</f>
        <v>COMPLEX 20/10/8+12S</v>
      </c>
      <c r="AK50" s="1672" t="str">
        <f>IFERROR(INDEX(Liste_Handelsünger[Handelsdünger],_xlfn.AGGREGATE(15,6,(ROW(Liste_Handelsünger[Handelsdünger])-1)/(--(SEARCH(AL$2,Liste_Handelsünger[Handelsdünger])&gt;0)),ROW()-2),1),"")</f>
        <v>COMPLEX 20/10/8+12S</v>
      </c>
      <c r="AL50" s="1672" t="str">
        <f>IF(($A$3=""),"",IF(COUNTIF(Mineral!$AJ$3:$AJ$324,$A$3),"",$A$3))</f>
        <v/>
      </c>
      <c r="AM50" s="1672" t="str">
        <f>IFERROR(INDEX(Liste_Handelsünger[Handelsdünger],_xlfn.AGGREGATE(15,6,(ROW(Liste_Handelsünger[Handelsdünger])-1)/(--(SEARCH(AN$2,Liste_Handelsünger[Handelsdünger])&gt;0)),ROW()-2),1),"")</f>
        <v>COMPLEX 20/10/8+12S</v>
      </c>
      <c r="AN50" t="str">
        <f>IF(($A52=""),"",IF(COUNTIF(Mineral!$AJ$3:$AJ$324,$A52),"",$A52))</f>
        <v/>
      </c>
      <c r="AO50" t="str">
        <f>IFERROR(INDEX(Liste_Handelsünger[Handelsdünger],_xlfn.AGGREGATE(15,6,(ROW(Liste_Handelsünger[Handelsdünger])-1)/(--(SEARCH(AP$2,Liste_Handelsünger[Handelsdünger])&gt;0)),ROW()-2),1),"")</f>
        <v>COMPLEX 20/10/8+12S</v>
      </c>
      <c r="AP50" t="str">
        <f>IF(($A53=""),"",IF(COUNTIF(Mineral!$AJ$3:$AJ$324,$A53),"",$A53))</f>
        <v/>
      </c>
      <c r="AQ50" t="str">
        <f>IFERROR(INDEX(Liste_Handelsünger[Handelsdünger],_xlfn.AGGREGATE(15,6,(ROW(Liste_Handelsünger[Handelsdünger])-1)/(--(SEARCH(AR$2,Liste_Handelsünger[Handelsdünger])&gt;0)),ROW()-2),1),"")</f>
        <v>COMPLEX 20/10/8+12S</v>
      </c>
      <c r="AR50" t="str">
        <f>IF(($A54=""),"",IF(COUNTIF(Mineral!$AJ$3:$AJ$324,$A54),"",$A54))</f>
        <v/>
      </c>
      <c r="AS50" t="str">
        <f>IFERROR(INDEX(Liste_Handelsünger[Handelsdünger],_xlfn.AGGREGATE(15,6,(ROW(Liste_Handelsünger[Handelsdünger])-1)/(--(SEARCH(AT$2,Liste_Handelsünger[Handelsdünger])&gt;0)),ROW()-2),1),"")</f>
        <v>COMPLEX 20/10/8+12S</v>
      </c>
      <c r="AT50" t="str">
        <f>IF(($A55=""),"",IF(COUNTIF(Mineral!$AJ$3:$AJ$324,$A55),"",$A55))</f>
        <v/>
      </c>
      <c r="AU50" t="str">
        <f>IFERROR(INDEX(Liste_Handelsünger[Handelsdünger],_xlfn.AGGREGATE(15,6,(ROW(Liste_Handelsünger[Handelsdünger])-1)/(--(SEARCH(AV$2,Liste_Handelsünger[Handelsdünger])&gt;0)),ROW()-2),1),"")</f>
        <v>COMPLEX 20/10/8+12S</v>
      </c>
      <c r="AV50" t="str">
        <f>IF(($A56=""),"",IF(COUNTIF(Mineral!$AJ$3:$AJ$324,$A56),"",$A56))</f>
        <v/>
      </c>
      <c r="AW50" t="str">
        <f>IFERROR(INDEX(Liste_Handelsünger[Handelsdünger],_xlfn.AGGREGATE(15,6,(ROW(Liste_Handelsünger[Handelsdünger])-1)/(--(SEARCH(AX$2,Liste_Handelsünger[Handelsdünger])&gt;0)),ROW()-2),1),"")</f>
        <v>COMPLEX 20/10/8+12S</v>
      </c>
      <c r="AX50" t="str">
        <f>IF(($A57=""),"",IF(COUNTIF(Mineral!$AJ$3:$AJ$324,$A57),"",$A57))</f>
        <v/>
      </c>
      <c r="AY50" t="str">
        <f>IFERROR(INDEX(Liste_Handelsünger[Handelsdünger],_xlfn.AGGREGATE(15,6,(ROW(Liste_Handelsünger[Handelsdünger])-1)/(--(SEARCH(AZ$2,Liste_Handelsünger[Handelsdünger])&gt;0)),ROW()-2),1),"")</f>
        <v>COMPLEX 20/10/8+12S</v>
      </c>
      <c r="AZ50" t="str">
        <f>IF(($A58=""),"",IF(COUNTIF(Mineral!$AJ$3:$AJ$324,$A58),"",$A58))</f>
        <v/>
      </c>
      <c r="BA50" t="str">
        <f>IFERROR(INDEX(Liste_Handelsünger[Handelsdünger],_xlfn.AGGREGATE(15,6,(ROW(Liste_Handelsünger[Handelsdünger])-1)/(--(SEARCH(BB$2,Liste_Handelsünger[Handelsdünger])&gt;0)),ROW()-2),1),"")</f>
        <v>COMPLEX 20/10/8+12S</v>
      </c>
      <c r="BB50" t="str">
        <f>IF(($A59=""),"",IF(COUNTIF(Mineral!$AJ$3:$AJ$324,$A59),"",$A59))</f>
        <v/>
      </c>
      <c r="BC50" t="str">
        <f>IFERROR(INDEX(Liste_Handelsünger[Handelsdünger],_xlfn.AGGREGATE(15,6,(ROW(Liste_Handelsünger[Handelsdünger])-1)/(--(SEARCH(BD$2,Liste_Handelsünger[Handelsdünger])&gt;0)),ROW()-2),1),"")</f>
        <v>COMPLEX 20/10/8+12S</v>
      </c>
      <c r="BD50" t="str">
        <f>IF(($A60=""),"",IF(COUNTIF(Mineral!$AJ$3:$AJ$324,$A60),"",$A60))</f>
        <v/>
      </c>
      <c r="BE50" t="str">
        <f>IFERROR(INDEX(Liste_Handelsünger[Handelsdünger],_xlfn.AGGREGATE(15,6,(ROW(Liste_Handelsünger[Handelsdünger])-1)/(--(SEARCH(BF$2,Liste_Handelsünger[Handelsdünger])&gt;0)),ROW()-2),1),"")</f>
        <v>COMPLEX 20/10/8+12S</v>
      </c>
      <c r="BF50" t="str">
        <f>IF(($A61=""),"",IF(COUNTIF(Mineral!$AJ$3:$AJ$324,$A61),"",$A61))</f>
        <v/>
      </c>
      <c r="BG50" t="str">
        <f>IFERROR(INDEX(Liste_Handelsünger[Handelsdünger],_xlfn.AGGREGATE(15,6,(ROW(Liste_Handelsünger[Handelsdünger])-1)/(--(SEARCH(BH$2,Liste_Handelsünger[Handelsdünger])&gt;0)),ROW()-2),1),"")</f>
        <v>COMPLEX 20/10/8+12S</v>
      </c>
      <c r="BH50" t="str">
        <f>IF(($A62=""),"",IF(COUNTIF(Mineral!$AJ$3:$AJ$324,$A62),"",$A62))</f>
        <v/>
      </c>
      <c r="BI50" t="str">
        <f>IFERROR(INDEX(Liste_Handelsünger[Handelsdünger],_xlfn.AGGREGATE(15,6,(ROW(Liste_Handelsünger[Handelsdünger])-1)/(--(SEARCH(BJ$2,Liste_Handelsünger[Handelsdünger])&gt;0)),ROW()-2),1),"")</f>
        <v>COMPLEX 20/10/8+12S</v>
      </c>
      <c r="BJ50" t="str">
        <f>IF(($A63=""),"",IF(COUNTIF(Mineral!$AJ$3:$AJ$324,$A63),"",$A63))</f>
        <v/>
      </c>
      <c r="BK50" t="str">
        <f>IFERROR(INDEX(Liste_Handelsünger[Handelsdünger],_xlfn.AGGREGATE(15,6,(ROW(Liste_Handelsünger[Handelsdünger])-1)/(--(SEARCH(BL$2,Liste_Handelsünger[Handelsdünger])&gt;0)),ROW()-2),1),"")</f>
        <v>COMPLEX 20/10/8+12S</v>
      </c>
      <c r="BM50" t="str">
        <f>IFERROR(INDEX(Liste_Handelsünger[Handelsdünger],_xlfn.AGGREGATE(15,6,(ROW(Liste_Handelsünger[Handelsdünger])-1)/(--(SEARCH(BN$2,Liste_Handelsünger[Handelsdünger])&gt;0)),ROW()-2),1),"")</f>
        <v>COMPLEX 20/10/8+12S</v>
      </c>
      <c r="BN50" t="str">
        <f>IF(($A65=""),"",IF(COUNTIF(Mineral!$AJ$3:$AJ$324,$A65),"",$A65))</f>
        <v/>
      </c>
      <c r="BV50" t="s">
        <v>2086</v>
      </c>
      <c r="BW50" t="s">
        <v>2073</v>
      </c>
    </row>
    <row r="51" spans="18:75" ht="18.75" customHeight="1" thickTop="1" thickBot="1">
      <c r="R51" s="2206" t="str">
        <f t="array" ref="R51">IFERROR(IF(ROW(A22)&gt;COUNTA(A:A),"",INDEX(A:A,SMALL(IF(A$3:A$27&lt;&gt;"",ROW($3:$27)),ROW(A20)))),"")</f>
        <v/>
      </c>
      <c r="S51" s="1616">
        <v>50</v>
      </c>
      <c r="T51" s="1617" t="s">
        <v>2335</v>
      </c>
      <c r="U51" s="1617" t="s">
        <v>2087</v>
      </c>
      <c r="V51" s="1617"/>
      <c r="W51" s="1617">
        <v>20</v>
      </c>
      <c r="X51" s="1617">
        <v>20</v>
      </c>
      <c r="Y51" s="1617">
        <v>0</v>
      </c>
      <c r="Z51" s="1617">
        <v>7.5</v>
      </c>
      <c r="AA51" s="1617">
        <v>6.9</v>
      </c>
      <c r="AB51" s="1617">
        <v>0</v>
      </c>
      <c r="AC51" s="1617">
        <v>1</v>
      </c>
      <c r="AD51" s="1613">
        <v>1</v>
      </c>
      <c r="AE51" s="1617" t="s">
        <v>2016</v>
      </c>
      <c r="AF51" s="1613" t="str">
        <f t="shared" si="7"/>
        <v/>
      </c>
      <c r="AG51" s="1656">
        <f>IFERROR(IF($AF51&gt;0,VLOOKUP($U51,Tabelle1!$C$188:$L$212,5,0)*$AF51,0),0)</f>
        <v>0</v>
      </c>
      <c r="AH51" s="1656">
        <f t="shared" si="8"/>
        <v>0</v>
      </c>
      <c r="AJ51" t="str">
        <f>IF(Betrieb!$D$9="JA",Mineral!$BW51,Mineral!$BV51)</f>
        <v>COMPLEX 20/20+7S+Zn</v>
      </c>
      <c r="AK51" s="1672" t="str">
        <f>IFERROR(INDEX(Liste_Handelsünger[Handelsdünger],_xlfn.AGGREGATE(15,6,(ROW(Liste_Handelsünger[Handelsdünger])-1)/(--(SEARCH(AL$2,Liste_Handelsünger[Handelsdünger])&gt;0)),ROW()-2),1),"")</f>
        <v>COMPLEX 20/20+7S+Zn</v>
      </c>
      <c r="AL51" s="1672" t="str">
        <f>IF(($A$3=""),"",IF(COUNTIF(Mineral!$AJ$3:$AJ$324,$A$3),"",$A$3))</f>
        <v/>
      </c>
      <c r="AM51" s="1672" t="str">
        <f>IFERROR(INDEX(Liste_Handelsünger[Handelsdünger],_xlfn.AGGREGATE(15,6,(ROW(Liste_Handelsünger[Handelsdünger])-1)/(--(SEARCH(AN$2,Liste_Handelsünger[Handelsdünger])&gt;0)),ROW()-2),1),"")</f>
        <v>COMPLEX 20/20+7S+Zn</v>
      </c>
      <c r="AN51" t="str">
        <f>IF(($A53=""),"",IF(COUNTIF(Mineral!$AJ$3:$AJ$324,$A53),"",$A53))</f>
        <v/>
      </c>
      <c r="AO51" t="str">
        <f>IFERROR(INDEX(Liste_Handelsünger[Handelsdünger],_xlfn.AGGREGATE(15,6,(ROW(Liste_Handelsünger[Handelsdünger])-1)/(--(SEARCH(AP$2,Liste_Handelsünger[Handelsdünger])&gt;0)),ROW()-2),1),"")</f>
        <v>COMPLEX 20/20+7S+Zn</v>
      </c>
      <c r="AP51" t="str">
        <f>IF(($A54=""),"",IF(COUNTIF(Mineral!$AJ$3:$AJ$324,$A54),"",$A54))</f>
        <v/>
      </c>
      <c r="AQ51" t="str">
        <f>IFERROR(INDEX(Liste_Handelsünger[Handelsdünger],_xlfn.AGGREGATE(15,6,(ROW(Liste_Handelsünger[Handelsdünger])-1)/(--(SEARCH(AR$2,Liste_Handelsünger[Handelsdünger])&gt;0)),ROW()-2),1),"")</f>
        <v>COMPLEX 20/20+7S+Zn</v>
      </c>
      <c r="AR51" t="str">
        <f>IF(($A55=""),"",IF(COUNTIF(Mineral!$AJ$3:$AJ$324,$A55),"",$A55))</f>
        <v/>
      </c>
      <c r="AS51" t="str">
        <f>IFERROR(INDEX(Liste_Handelsünger[Handelsdünger],_xlfn.AGGREGATE(15,6,(ROW(Liste_Handelsünger[Handelsdünger])-1)/(--(SEARCH(AT$2,Liste_Handelsünger[Handelsdünger])&gt;0)),ROW()-2),1),"")</f>
        <v>COMPLEX 20/20+7S+Zn</v>
      </c>
      <c r="AT51" t="str">
        <f>IF(($A56=""),"",IF(COUNTIF(Mineral!$AJ$3:$AJ$324,$A56),"",$A56))</f>
        <v/>
      </c>
      <c r="AU51" t="str">
        <f>IFERROR(INDEX(Liste_Handelsünger[Handelsdünger],_xlfn.AGGREGATE(15,6,(ROW(Liste_Handelsünger[Handelsdünger])-1)/(--(SEARCH(AV$2,Liste_Handelsünger[Handelsdünger])&gt;0)),ROW()-2),1),"")</f>
        <v>COMPLEX 20/20+7S+Zn</v>
      </c>
      <c r="AV51" t="str">
        <f>IF(($A57=""),"",IF(COUNTIF(Mineral!$AJ$3:$AJ$324,$A57),"",$A57))</f>
        <v/>
      </c>
      <c r="AW51" t="str">
        <f>IFERROR(INDEX(Liste_Handelsünger[Handelsdünger],_xlfn.AGGREGATE(15,6,(ROW(Liste_Handelsünger[Handelsdünger])-1)/(--(SEARCH(AX$2,Liste_Handelsünger[Handelsdünger])&gt;0)),ROW()-2),1),"")</f>
        <v>COMPLEX 20/20+7S+Zn</v>
      </c>
      <c r="AX51" t="str">
        <f>IF(($A58=""),"",IF(COUNTIF(Mineral!$AJ$3:$AJ$324,$A58),"",$A58))</f>
        <v/>
      </c>
      <c r="AY51" t="str">
        <f>IFERROR(INDEX(Liste_Handelsünger[Handelsdünger],_xlfn.AGGREGATE(15,6,(ROW(Liste_Handelsünger[Handelsdünger])-1)/(--(SEARCH(AZ$2,Liste_Handelsünger[Handelsdünger])&gt;0)),ROW()-2),1),"")</f>
        <v>COMPLEX 20/20+7S+Zn</v>
      </c>
      <c r="AZ51" t="str">
        <f>IF(($A59=""),"",IF(COUNTIF(Mineral!$AJ$3:$AJ$324,$A59),"",$A59))</f>
        <v/>
      </c>
      <c r="BA51" t="str">
        <f>IFERROR(INDEX(Liste_Handelsünger[Handelsdünger],_xlfn.AGGREGATE(15,6,(ROW(Liste_Handelsünger[Handelsdünger])-1)/(--(SEARCH(BB$2,Liste_Handelsünger[Handelsdünger])&gt;0)),ROW()-2),1),"")</f>
        <v>COMPLEX 20/20+7S+Zn</v>
      </c>
      <c r="BB51" t="str">
        <f>IF(($A60=""),"",IF(COUNTIF(Mineral!$AJ$3:$AJ$324,$A60),"",$A60))</f>
        <v/>
      </c>
      <c r="BC51" t="str">
        <f>IFERROR(INDEX(Liste_Handelsünger[Handelsdünger],_xlfn.AGGREGATE(15,6,(ROW(Liste_Handelsünger[Handelsdünger])-1)/(--(SEARCH(BD$2,Liste_Handelsünger[Handelsdünger])&gt;0)),ROW()-2),1),"")</f>
        <v>COMPLEX 20/20+7S+Zn</v>
      </c>
      <c r="BD51" t="str">
        <f>IF(($A61=""),"",IF(COUNTIF(Mineral!$AJ$3:$AJ$324,$A61),"",$A61))</f>
        <v/>
      </c>
      <c r="BE51" t="str">
        <f>IFERROR(INDEX(Liste_Handelsünger[Handelsdünger],_xlfn.AGGREGATE(15,6,(ROW(Liste_Handelsünger[Handelsdünger])-1)/(--(SEARCH(BF$2,Liste_Handelsünger[Handelsdünger])&gt;0)),ROW()-2),1),"")</f>
        <v>COMPLEX 20/20+7S+Zn</v>
      </c>
      <c r="BF51" t="str">
        <f>IF(($A62=""),"",IF(COUNTIF(Mineral!$AJ$3:$AJ$324,$A62),"",$A62))</f>
        <v/>
      </c>
      <c r="BG51" t="str">
        <f>IFERROR(INDEX(Liste_Handelsünger[Handelsdünger],_xlfn.AGGREGATE(15,6,(ROW(Liste_Handelsünger[Handelsdünger])-1)/(--(SEARCH(BH$2,Liste_Handelsünger[Handelsdünger])&gt;0)),ROW()-2),1),"")</f>
        <v>COMPLEX 20/20+7S+Zn</v>
      </c>
      <c r="BH51" t="str">
        <f>IF(($A63=""),"",IF(COUNTIF(Mineral!$AJ$3:$AJ$324,$A63),"",$A63))</f>
        <v/>
      </c>
      <c r="BI51" t="str">
        <f>IFERROR(INDEX(Liste_Handelsünger[Handelsdünger],_xlfn.AGGREGATE(15,6,(ROW(Liste_Handelsünger[Handelsdünger])-1)/(--(SEARCH(BJ$2,Liste_Handelsünger[Handelsdünger])&gt;0)),ROW()-2),1),"")</f>
        <v>COMPLEX 20/20+7S+Zn</v>
      </c>
      <c r="BJ51" t="str">
        <f>IF(($A64=""),"",IF(COUNTIF(Mineral!$AJ$3:$AJ$324,$A64),"",$A64))</f>
        <v/>
      </c>
      <c r="BK51" t="str">
        <f>IFERROR(INDEX(Liste_Handelsünger[Handelsdünger],_xlfn.AGGREGATE(15,6,(ROW(Liste_Handelsünger[Handelsdünger])-1)/(--(SEARCH(BL$2,Liste_Handelsünger[Handelsdünger])&gt;0)),ROW()-2),1),"")</f>
        <v>COMPLEX 20/20+7S+Zn</v>
      </c>
      <c r="BM51" t="str">
        <f>IFERROR(INDEX(Liste_Handelsünger[Handelsdünger],_xlfn.AGGREGATE(15,6,(ROW(Liste_Handelsünger[Handelsdünger])-1)/(--(SEARCH(BN$2,Liste_Handelsünger[Handelsdünger])&gt;0)),ROW()-2),1),"")</f>
        <v>COMPLEX 20/20+7S+Zn</v>
      </c>
      <c r="BN51" t="str">
        <f>IF(($A66=""),"",IF(COUNTIF(Mineral!$AJ$3:$AJ$324,$A66),"",$A66))</f>
        <v/>
      </c>
      <c r="BV51" t="s">
        <v>2087</v>
      </c>
      <c r="BW51" t="s">
        <v>2076</v>
      </c>
    </row>
    <row r="52" spans="18:75" ht="18" customHeight="1" thickTop="1" thickBot="1">
      <c r="R52" s="2206" t="str">
        <f t="array" ref="R52">IFERROR(IF(ROW(A23)&gt;COUNTA(A:A),"",INDEX(A:A,SMALL(IF(A$3:A$27&lt;&gt;"",ROW($3:$27)),ROW(A21)))),"")</f>
        <v/>
      </c>
      <c r="S52" s="1676">
        <v>51</v>
      </c>
      <c r="T52" s="1606" t="s">
        <v>2335</v>
      </c>
      <c r="U52" s="1606" t="s">
        <v>2089</v>
      </c>
      <c r="V52" s="1606"/>
      <c r="W52" s="1606">
        <v>24</v>
      </c>
      <c r="X52" s="1606">
        <v>14.000000000000002</v>
      </c>
      <c r="Y52" s="1606">
        <v>0</v>
      </c>
      <c r="Z52" s="1606">
        <v>7</v>
      </c>
      <c r="AA52" s="1606">
        <v>4.8</v>
      </c>
      <c r="AB52" s="1606">
        <v>0</v>
      </c>
      <c r="AC52" s="1606">
        <v>1</v>
      </c>
      <c r="AD52" s="1613">
        <v>1</v>
      </c>
      <c r="AE52" s="1606" t="s">
        <v>2016</v>
      </c>
      <c r="AF52" s="1613" t="str">
        <f t="shared" si="7"/>
        <v/>
      </c>
      <c r="AG52" s="1656">
        <f>IFERROR(IF($AF52&gt;0,VLOOKUP($U52,Tabelle1!$C$188:$L$212,5,0)*$AF52,0),0)</f>
        <v>0</v>
      </c>
      <c r="AH52" s="1656">
        <f t="shared" si="8"/>
        <v>0</v>
      </c>
      <c r="AJ52" t="str">
        <f>IF(Betrieb!$D$9="JA",Mineral!$BW52,Mineral!$BV52)</f>
        <v>COMPLEX 24/14+7S</v>
      </c>
      <c r="AK52" s="1672" t="str">
        <f>IFERROR(INDEX(Liste_Handelsünger[Handelsdünger],_xlfn.AGGREGATE(15,6,(ROW(Liste_Handelsünger[Handelsdünger])-1)/(--(SEARCH(AL$2,Liste_Handelsünger[Handelsdünger])&gt;0)),ROW()-2),1),"")</f>
        <v>COMPLEX 24/14+7S</v>
      </c>
      <c r="AL52" s="1672" t="str">
        <f>IF(($A$3=""),"",IF(COUNTIF(Mineral!$AJ$3:$AJ$324,$A$3),"",$A$3))</f>
        <v/>
      </c>
      <c r="AM52" s="1672" t="str">
        <f>IFERROR(INDEX(Liste_Handelsünger[Handelsdünger],_xlfn.AGGREGATE(15,6,(ROW(Liste_Handelsünger[Handelsdünger])-1)/(--(SEARCH(AN$2,Liste_Handelsünger[Handelsdünger])&gt;0)),ROW()-2),1),"")</f>
        <v>COMPLEX 24/14+7S</v>
      </c>
      <c r="AN52" t="str">
        <f>IF(($A54=""),"",IF(COUNTIF(Mineral!$AJ$3:$AJ$324,$A54),"",$A54))</f>
        <v/>
      </c>
      <c r="AO52" t="str">
        <f>IFERROR(INDEX(Liste_Handelsünger[Handelsdünger],_xlfn.AGGREGATE(15,6,(ROW(Liste_Handelsünger[Handelsdünger])-1)/(--(SEARCH(AP$2,Liste_Handelsünger[Handelsdünger])&gt;0)),ROW()-2),1),"")</f>
        <v>COMPLEX 24/14+7S</v>
      </c>
      <c r="AP52" t="str">
        <f>IF(($A55=""),"",IF(COUNTIF(Mineral!$AJ$3:$AJ$324,$A55),"",$A55))</f>
        <v/>
      </c>
      <c r="AQ52" t="str">
        <f>IFERROR(INDEX(Liste_Handelsünger[Handelsdünger],_xlfn.AGGREGATE(15,6,(ROW(Liste_Handelsünger[Handelsdünger])-1)/(--(SEARCH(AR$2,Liste_Handelsünger[Handelsdünger])&gt;0)),ROW()-2),1),"")</f>
        <v>COMPLEX 24/14+7S</v>
      </c>
      <c r="AR52" t="str">
        <f>IF(($A56=""),"",IF(COUNTIF(Mineral!$AJ$3:$AJ$324,$A56),"",$A56))</f>
        <v/>
      </c>
      <c r="AS52" t="str">
        <f>IFERROR(INDEX(Liste_Handelsünger[Handelsdünger],_xlfn.AGGREGATE(15,6,(ROW(Liste_Handelsünger[Handelsdünger])-1)/(--(SEARCH(AT$2,Liste_Handelsünger[Handelsdünger])&gt;0)),ROW()-2),1),"")</f>
        <v>COMPLEX 24/14+7S</v>
      </c>
      <c r="AT52" t="str">
        <f>IF(($A57=""),"",IF(COUNTIF(Mineral!$AJ$3:$AJ$324,$A57),"",$A57))</f>
        <v/>
      </c>
      <c r="AU52" t="str">
        <f>IFERROR(INDEX(Liste_Handelsünger[Handelsdünger],_xlfn.AGGREGATE(15,6,(ROW(Liste_Handelsünger[Handelsdünger])-1)/(--(SEARCH(AV$2,Liste_Handelsünger[Handelsdünger])&gt;0)),ROW()-2),1),"")</f>
        <v>COMPLEX 24/14+7S</v>
      </c>
      <c r="AV52" t="str">
        <f>IF(($A58=""),"",IF(COUNTIF(Mineral!$AJ$3:$AJ$324,$A58),"",$A58))</f>
        <v/>
      </c>
      <c r="AW52" t="str">
        <f>IFERROR(INDEX(Liste_Handelsünger[Handelsdünger],_xlfn.AGGREGATE(15,6,(ROW(Liste_Handelsünger[Handelsdünger])-1)/(--(SEARCH(AX$2,Liste_Handelsünger[Handelsdünger])&gt;0)),ROW()-2),1),"")</f>
        <v>COMPLEX 24/14+7S</v>
      </c>
      <c r="AX52" t="str">
        <f>IF(($A59=""),"",IF(COUNTIF(Mineral!$AJ$3:$AJ$324,$A59),"",$A59))</f>
        <v/>
      </c>
      <c r="AY52" t="str">
        <f>IFERROR(INDEX(Liste_Handelsünger[Handelsdünger],_xlfn.AGGREGATE(15,6,(ROW(Liste_Handelsünger[Handelsdünger])-1)/(--(SEARCH(AZ$2,Liste_Handelsünger[Handelsdünger])&gt;0)),ROW()-2),1),"")</f>
        <v>COMPLEX 24/14+7S</v>
      </c>
      <c r="AZ52" t="str">
        <f>IF(($A60=""),"",IF(COUNTIF(Mineral!$AJ$3:$AJ$324,$A60),"",$A60))</f>
        <v/>
      </c>
      <c r="BA52" t="str">
        <f>IFERROR(INDEX(Liste_Handelsünger[Handelsdünger],_xlfn.AGGREGATE(15,6,(ROW(Liste_Handelsünger[Handelsdünger])-1)/(--(SEARCH(BB$2,Liste_Handelsünger[Handelsdünger])&gt;0)),ROW()-2),1),"")</f>
        <v>COMPLEX 24/14+7S</v>
      </c>
      <c r="BB52" t="str">
        <f>IF(($A61=""),"",IF(COUNTIF(Mineral!$AJ$3:$AJ$324,$A61),"",$A61))</f>
        <v/>
      </c>
      <c r="BC52" t="str">
        <f>IFERROR(INDEX(Liste_Handelsünger[Handelsdünger],_xlfn.AGGREGATE(15,6,(ROW(Liste_Handelsünger[Handelsdünger])-1)/(--(SEARCH(BD$2,Liste_Handelsünger[Handelsdünger])&gt;0)),ROW()-2),1),"")</f>
        <v>COMPLEX 24/14+7S</v>
      </c>
      <c r="BD52" t="str">
        <f>IF(($A62=""),"",IF(COUNTIF(Mineral!$AJ$3:$AJ$324,$A62),"",$A62))</f>
        <v/>
      </c>
      <c r="BE52" t="str">
        <f>IFERROR(INDEX(Liste_Handelsünger[Handelsdünger],_xlfn.AGGREGATE(15,6,(ROW(Liste_Handelsünger[Handelsdünger])-1)/(--(SEARCH(BF$2,Liste_Handelsünger[Handelsdünger])&gt;0)),ROW()-2),1),"")</f>
        <v>COMPLEX 24/14+7S</v>
      </c>
      <c r="BF52" t="str">
        <f>IF(($A63=""),"",IF(COUNTIF(Mineral!$AJ$3:$AJ$324,$A63),"",$A63))</f>
        <v/>
      </c>
      <c r="BG52" t="str">
        <f>IFERROR(INDEX(Liste_Handelsünger[Handelsdünger],_xlfn.AGGREGATE(15,6,(ROW(Liste_Handelsünger[Handelsdünger])-1)/(--(SEARCH(BH$2,Liste_Handelsünger[Handelsdünger])&gt;0)),ROW()-2),1),"")</f>
        <v>COMPLEX 24/14+7S</v>
      </c>
      <c r="BH52" t="str">
        <f>IF(($A64=""),"",IF(COUNTIF(Mineral!$AJ$3:$AJ$324,$A64),"",$A64))</f>
        <v/>
      </c>
      <c r="BI52" t="str">
        <f>IFERROR(INDEX(Liste_Handelsünger[Handelsdünger],_xlfn.AGGREGATE(15,6,(ROW(Liste_Handelsünger[Handelsdünger])-1)/(--(SEARCH(BJ$2,Liste_Handelsünger[Handelsdünger])&gt;0)),ROW()-2),1),"")</f>
        <v>COMPLEX 24/14+7S</v>
      </c>
      <c r="BJ52" t="str">
        <f>IF(($A65=""),"",IF(COUNTIF(Mineral!$AJ$3:$AJ$324,$A65),"",$A65))</f>
        <v/>
      </c>
      <c r="BK52" t="str">
        <f>IFERROR(INDEX(Liste_Handelsünger[Handelsdünger],_xlfn.AGGREGATE(15,6,(ROW(Liste_Handelsünger[Handelsdünger])-1)/(--(SEARCH(BL$2,Liste_Handelsünger[Handelsdünger])&gt;0)),ROW()-2),1),"")</f>
        <v>COMPLEX 24/14+7S</v>
      </c>
      <c r="BM52" t="str">
        <f>IFERROR(INDEX(Liste_Handelsünger[Handelsdünger],_xlfn.AGGREGATE(15,6,(ROW(Liste_Handelsünger[Handelsdünger])-1)/(--(SEARCH(BN$2,Liste_Handelsünger[Handelsdünger])&gt;0)),ROW()-2),1),"")</f>
        <v>COMPLEX 24/14+7S</v>
      </c>
      <c r="BN52" t="str">
        <f>IF(($A67=""),"",IF(COUNTIF(Mineral!$AJ$3:$AJ$324,$A67),"",$A67))</f>
        <v/>
      </c>
      <c r="BV52" t="s">
        <v>2089</v>
      </c>
      <c r="BW52" t="s">
        <v>2077</v>
      </c>
    </row>
    <row r="53" spans="18:75" ht="14.25" thickTop="1" thickBot="1">
      <c r="R53" s="2206" t="str">
        <f t="array" ref="R53">IFERROR(IF(ROW(A24)&gt;COUNTA(A:A),"",INDEX(A:A,SMALL(IF(A$3:A$27&lt;&gt;"",ROW($3:$27)),ROW(A22)))),"")</f>
        <v/>
      </c>
      <c r="S53" s="1616">
        <v>52</v>
      </c>
      <c r="T53" s="1617" t="s">
        <v>2335</v>
      </c>
      <c r="U53" s="1617" t="s">
        <v>2096</v>
      </c>
      <c r="V53" s="1617"/>
      <c r="W53" s="1617">
        <v>0</v>
      </c>
      <c r="X53" s="1617">
        <v>15</v>
      </c>
      <c r="Y53" s="1617">
        <v>30</v>
      </c>
      <c r="Z53" s="1617">
        <v>3</v>
      </c>
      <c r="AA53" s="1617">
        <v>0</v>
      </c>
      <c r="AB53" s="1617">
        <v>0</v>
      </c>
      <c r="AC53" s="1617">
        <v>1</v>
      </c>
      <c r="AD53" s="1613">
        <v>1</v>
      </c>
      <c r="AE53" s="1617" t="s">
        <v>1764</v>
      </c>
      <c r="AF53" s="1613" t="str">
        <f t="shared" si="7"/>
        <v/>
      </c>
      <c r="AG53" s="1656">
        <f>IFERROR(IF($AF53&gt;0,VLOOKUP($U53,Tabelle1!$C$188:$L$212,5,0)*$AF53,0),0)</f>
        <v>0</v>
      </c>
      <c r="AH53" s="1656">
        <f t="shared" si="8"/>
        <v>0</v>
      </c>
      <c r="AJ53" t="str">
        <f>IF(Betrieb!$D$9="JA",Mineral!$BW53,Mineral!$BV53)</f>
        <v>DC - classic 0:15:30 + 3S</v>
      </c>
      <c r="AK53" s="1672" t="str">
        <f>IFERROR(INDEX(Liste_Handelsünger[Handelsdünger],_xlfn.AGGREGATE(15,6,(ROW(Liste_Handelsünger[Handelsdünger])-1)/(--(SEARCH(AL$2,Liste_Handelsünger[Handelsdünger])&gt;0)),ROW()-2),1),"")</f>
        <v>DC - classic 0:15:30 + 3S</v>
      </c>
      <c r="AL53" s="1672" t="str">
        <f>IF(($A$3=""),"",IF(COUNTIF(Mineral!$AJ$3:$AJ$324,$A$3),"",$A$3))</f>
        <v/>
      </c>
      <c r="AM53" s="1672" t="str">
        <f>IFERROR(INDEX(Liste_Handelsünger[Handelsdünger],_xlfn.AGGREGATE(15,6,(ROW(Liste_Handelsünger[Handelsdünger])-1)/(--(SEARCH(AN$2,Liste_Handelsünger[Handelsdünger])&gt;0)),ROW()-2),1),"")</f>
        <v>DC - classic 0:15:30 + 3S</v>
      </c>
      <c r="AN53" t="str">
        <f>IF(($A55=""),"",IF(COUNTIF(Mineral!$AJ$3:$AJ$324,$A55),"",$A55))</f>
        <v/>
      </c>
      <c r="AO53" t="str">
        <f>IFERROR(INDEX(Liste_Handelsünger[Handelsdünger],_xlfn.AGGREGATE(15,6,(ROW(Liste_Handelsünger[Handelsdünger])-1)/(--(SEARCH(AP$2,Liste_Handelsünger[Handelsdünger])&gt;0)),ROW()-2),1),"")</f>
        <v>DC - classic 0:15:30 + 3S</v>
      </c>
      <c r="AP53" t="str">
        <f>IF(($A56=""),"",IF(COUNTIF(Mineral!$AJ$3:$AJ$324,$A56),"",$A56))</f>
        <v/>
      </c>
      <c r="AQ53" t="str">
        <f>IFERROR(INDEX(Liste_Handelsünger[Handelsdünger],_xlfn.AGGREGATE(15,6,(ROW(Liste_Handelsünger[Handelsdünger])-1)/(--(SEARCH(AR$2,Liste_Handelsünger[Handelsdünger])&gt;0)),ROW()-2),1),"")</f>
        <v>DC - classic 0:15:30 + 3S</v>
      </c>
      <c r="AR53" t="str">
        <f>IF(($A57=""),"",IF(COUNTIF(Mineral!$AJ$3:$AJ$324,$A57),"",$A57))</f>
        <v/>
      </c>
      <c r="AS53" t="str">
        <f>IFERROR(INDEX(Liste_Handelsünger[Handelsdünger],_xlfn.AGGREGATE(15,6,(ROW(Liste_Handelsünger[Handelsdünger])-1)/(--(SEARCH(AT$2,Liste_Handelsünger[Handelsdünger])&gt;0)),ROW()-2),1),"")</f>
        <v>DC - classic 0:15:30 + 3S</v>
      </c>
      <c r="AT53" t="str">
        <f>IF(($A58=""),"",IF(COUNTIF(Mineral!$AJ$3:$AJ$324,$A58),"",$A58))</f>
        <v/>
      </c>
      <c r="AU53" t="str">
        <f>IFERROR(INDEX(Liste_Handelsünger[Handelsdünger],_xlfn.AGGREGATE(15,6,(ROW(Liste_Handelsünger[Handelsdünger])-1)/(--(SEARCH(AV$2,Liste_Handelsünger[Handelsdünger])&gt;0)),ROW()-2),1),"")</f>
        <v>DC - classic 0:15:30 + 3S</v>
      </c>
      <c r="AV53" t="str">
        <f>IF(($A59=""),"",IF(COUNTIF(Mineral!$AJ$3:$AJ$324,$A59),"",$A59))</f>
        <v/>
      </c>
      <c r="AW53" t="str">
        <f>IFERROR(INDEX(Liste_Handelsünger[Handelsdünger],_xlfn.AGGREGATE(15,6,(ROW(Liste_Handelsünger[Handelsdünger])-1)/(--(SEARCH(AX$2,Liste_Handelsünger[Handelsdünger])&gt;0)),ROW()-2),1),"")</f>
        <v>DC - classic 0:15:30 + 3S</v>
      </c>
      <c r="AX53" t="str">
        <f>IF(($A60=""),"",IF(COUNTIF(Mineral!$AJ$3:$AJ$324,$A60),"",$A60))</f>
        <v/>
      </c>
      <c r="AY53" t="str">
        <f>IFERROR(INDEX(Liste_Handelsünger[Handelsdünger],_xlfn.AGGREGATE(15,6,(ROW(Liste_Handelsünger[Handelsdünger])-1)/(--(SEARCH(AZ$2,Liste_Handelsünger[Handelsdünger])&gt;0)),ROW()-2),1),"")</f>
        <v>DC - classic 0:15:30 + 3S</v>
      </c>
      <c r="AZ53" t="str">
        <f>IF(($A61=""),"",IF(COUNTIF(Mineral!$AJ$3:$AJ$324,$A61),"",$A61))</f>
        <v/>
      </c>
      <c r="BA53" t="str">
        <f>IFERROR(INDEX(Liste_Handelsünger[Handelsdünger],_xlfn.AGGREGATE(15,6,(ROW(Liste_Handelsünger[Handelsdünger])-1)/(--(SEARCH(BB$2,Liste_Handelsünger[Handelsdünger])&gt;0)),ROW()-2),1),"")</f>
        <v>DC - classic 0:15:30 + 3S</v>
      </c>
      <c r="BB53" t="str">
        <f>IF(($A62=""),"",IF(COUNTIF(Mineral!$AJ$3:$AJ$324,$A62),"",$A62))</f>
        <v/>
      </c>
      <c r="BC53" t="str">
        <f>IFERROR(INDEX(Liste_Handelsünger[Handelsdünger],_xlfn.AGGREGATE(15,6,(ROW(Liste_Handelsünger[Handelsdünger])-1)/(--(SEARCH(BD$2,Liste_Handelsünger[Handelsdünger])&gt;0)),ROW()-2),1),"")</f>
        <v>DC - classic 0:15:30 + 3S</v>
      </c>
      <c r="BD53" t="str">
        <f>IF(($A63=""),"",IF(COUNTIF(Mineral!$AJ$3:$AJ$324,$A63),"",$A63))</f>
        <v/>
      </c>
      <c r="BE53" t="str">
        <f>IFERROR(INDEX(Liste_Handelsünger[Handelsdünger],_xlfn.AGGREGATE(15,6,(ROW(Liste_Handelsünger[Handelsdünger])-1)/(--(SEARCH(BF$2,Liste_Handelsünger[Handelsdünger])&gt;0)),ROW()-2),1),"")</f>
        <v>DC - classic 0:15:30 + 3S</v>
      </c>
      <c r="BF53" t="str">
        <f>IF(($A64=""),"",IF(COUNTIF(Mineral!$AJ$3:$AJ$324,$A64),"",$A64))</f>
        <v/>
      </c>
      <c r="BG53" t="str">
        <f>IFERROR(INDEX(Liste_Handelsünger[Handelsdünger],_xlfn.AGGREGATE(15,6,(ROW(Liste_Handelsünger[Handelsdünger])-1)/(--(SEARCH(BH$2,Liste_Handelsünger[Handelsdünger])&gt;0)),ROW()-2),1),"")</f>
        <v>DC - classic 0:15:30 + 3S</v>
      </c>
      <c r="BH53" t="str">
        <f>IF(($A65=""),"",IF(COUNTIF(Mineral!$AJ$3:$AJ$324,$A65),"",$A65))</f>
        <v/>
      </c>
      <c r="BI53" t="str">
        <f>IFERROR(INDEX(Liste_Handelsünger[Handelsdünger],_xlfn.AGGREGATE(15,6,(ROW(Liste_Handelsünger[Handelsdünger])-1)/(--(SEARCH(BJ$2,Liste_Handelsünger[Handelsdünger])&gt;0)),ROW()-2),1),"")</f>
        <v>DC - classic 0:15:30 + 3S</v>
      </c>
      <c r="BJ53" t="str">
        <f>IF(($A66=""),"",IF(COUNTIF(Mineral!$AJ$3:$AJ$324,$A66),"",$A66))</f>
        <v/>
      </c>
      <c r="BK53" t="str">
        <f>IFERROR(INDEX(Liste_Handelsünger[Handelsdünger],_xlfn.AGGREGATE(15,6,(ROW(Liste_Handelsünger[Handelsdünger])-1)/(--(SEARCH(BL$2,Liste_Handelsünger[Handelsdünger])&gt;0)),ROW()-2),1),"")</f>
        <v>DC - classic 0:15:30 + 3S</v>
      </c>
      <c r="BM53" t="str">
        <f>IFERROR(INDEX(Liste_Handelsünger[Handelsdünger],_xlfn.AGGREGATE(15,6,(ROW(Liste_Handelsünger[Handelsdünger])-1)/(--(SEARCH(BN$2,Liste_Handelsünger[Handelsdünger])&gt;0)),ROW()-2),1),"")</f>
        <v>DC - classic 0:15:30 + 3S</v>
      </c>
      <c r="BN53" t="str">
        <f>IF(($A68=""),"",IF(COUNTIF(Mineral!$AJ$3:$AJ$324,$A68),"",$A68))</f>
        <v/>
      </c>
      <c r="BV53" t="s">
        <v>2096</v>
      </c>
      <c r="BW53" t="s">
        <v>2078</v>
      </c>
    </row>
    <row r="54" spans="18:75" ht="14.25" thickTop="1" thickBot="1">
      <c r="R54" s="2206" t="str">
        <f t="array" ref="R54">IFERROR(IF(ROW(A25)&gt;COUNTA(A:A),"",INDEX(A:A,SMALL(IF(A$3:A$27&lt;&gt;"",ROW($3:$27)),ROW(A23)))),"")</f>
        <v/>
      </c>
      <c r="S54" s="1676">
        <v>53</v>
      </c>
      <c r="T54" s="1606" t="s">
        <v>2335</v>
      </c>
      <c r="U54" s="1606" t="s">
        <v>2097</v>
      </c>
      <c r="V54" s="1606"/>
      <c r="W54" s="1606">
        <v>0</v>
      </c>
      <c r="X54" s="1606">
        <v>10</v>
      </c>
      <c r="Y54" s="1606">
        <v>30</v>
      </c>
      <c r="Z54" s="1606">
        <v>11</v>
      </c>
      <c r="AA54" s="1606">
        <v>0</v>
      </c>
      <c r="AB54" s="1606">
        <v>0</v>
      </c>
      <c r="AC54" s="1606">
        <v>1</v>
      </c>
      <c r="AD54" s="1613">
        <v>1</v>
      </c>
      <c r="AE54" s="1606" t="s">
        <v>1764</v>
      </c>
      <c r="AF54" s="1613" t="str">
        <f t="shared" si="7"/>
        <v/>
      </c>
      <c r="AG54" s="1656">
        <f>IFERROR(IF($AF54&gt;0,VLOOKUP($U54,Tabelle1!$C$188:$L$212,5,0)*$AF54,0),0)</f>
        <v>0</v>
      </c>
      <c r="AH54" s="1656">
        <f t="shared" si="8"/>
        <v>0</v>
      </c>
      <c r="AJ54" t="str">
        <f>IF(Betrieb!$D$9="JA",Mineral!$BW54,Mineral!$BV54)</f>
        <v>DC - Fit 0:10:30 + 0,1B + 11S</v>
      </c>
      <c r="AK54" s="1672" t="str">
        <f>IFERROR(INDEX(Liste_Handelsünger[Handelsdünger],_xlfn.AGGREGATE(15,6,(ROW(Liste_Handelsünger[Handelsdünger])-1)/(--(SEARCH(AL$2,Liste_Handelsünger[Handelsdünger])&gt;0)),ROW()-2),1),"")</f>
        <v>DC - Fit 0:10:30 + 0,1B + 11S</v>
      </c>
      <c r="AL54" s="1672" t="str">
        <f>IF(($A$3=""),"",IF(COUNTIF(Mineral!$AJ$3:$AJ$324,$A$3),"",$A$3))</f>
        <v/>
      </c>
      <c r="AM54" s="1672" t="str">
        <f>IFERROR(INDEX(Liste_Handelsünger[Handelsdünger],_xlfn.AGGREGATE(15,6,(ROW(Liste_Handelsünger[Handelsdünger])-1)/(--(SEARCH(AN$2,Liste_Handelsünger[Handelsdünger])&gt;0)),ROW()-2),1),"")</f>
        <v>DC - Fit 0:10:30 + 0,1B + 11S</v>
      </c>
      <c r="AN54" t="str">
        <f>IF(($A56=""),"",IF(COUNTIF(Mineral!$AJ$3:$AJ$324,$A56),"",$A56))</f>
        <v/>
      </c>
      <c r="AO54" t="str">
        <f>IFERROR(INDEX(Liste_Handelsünger[Handelsdünger],_xlfn.AGGREGATE(15,6,(ROW(Liste_Handelsünger[Handelsdünger])-1)/(--(SEARCH(AP$2,Liste_Handelsünger[Handelsdünger])&gt;0)),ROW()-2),1),"")</f>
        <v>DC - Fit 0:10:30 + 0,1B + 11S</v>
      </c>
      <c r="AP54" t="str">
        <f>IF(($A57=""),"",IF(COUNTIF(Mineral!$AJ$3:$AJ$324,$A57),"",$A57))</f>
        <v/>
      </c>
      <c r="AQ54" t="str">
        <f>IFERROR(INDEX(Liste_Handelsünger[Handelsdünger],_xlfn.AGGREGATE(15,6,(ROW(Liste_Handelsünger[Handelsdünger])-1)/(--(SEARCH(AR$2,Liste_Handelsünger[Handelsdünger])&gt;0)),ROW()-2),1),"")</f>
        <v>DC - Fit 0:10:30 + 0,1B + 11S</v>
      </c>
      <c r="AR54" t="str">
        <f>IF(($A58=""),"",IF(COUNTIF(Mineral!$AJ$3:$AJ$324,$A58),"",$A58))</f>
        <v/>
      </c>
      <c r="AS54" t="str">
        <f>IFERROR(INDEX(Liste_Handelsünger[Handelsdünger],_xlfn.AGGREGATE(15,6,(ROW(Liste_Handelsünger[Handelsdünger])-1)/(--(SEARCH(AT$2,Liste_Handelsünger[Handelsdünger])&gt;0)),ROW()-2),1),"")</f>
        <v>DC - Fit 0:10:30 + 0,1B + 11S</v>
      </c>
      <c r="AT54" t="str">
        <f>IF(($A59=""),"",IF(COUNTIF(Mineral!$AJ$3:$AJ$324,$A59),"",$A59))</f>
        <v/>
      </c>
      <c r="AU54" t="str">
        <f>IFERROR(INDEX(Liste_Handelsünger[Handelsdünger],_xlfn.AGGREGATE(15,6,(ROW(Liste_Handelsünger[Handelsdünger])-1)/(--(SEARCH(AV$2,Liste_Handelsünger[Handelsdünger])&gt;0)),ROW()-2),1),"")</f>
        <v>DC - Fit 0:10:30 + 0,1B + 11S</v>
      </c>
      <c r="AV54" t="str">
        <f>IF(($A60=""),"",IF(COUNTIF(Mineral!$AJ$3:$AJ$324,$A60),"",$A60))</f>
        <v/>
      </c>
      <c r="AW54" t="str">
        <f>IFERROR(INDEX(Liste_Handelsünger[Handelsdünger],_xlfn.AGGREGATE(15,6,(ROW(Liste_Handelsünger[Handelsdünger])-1)/(--(SEARCH(AX$2,Liste_Handelsünger[Handelsdünger])&gt;0)),ROW()-2),1),"")</f>
        <v>DC - Fit 0:10:30 + 0,1B + 11S</v>
      </c>
      <c r="AX54" t="str">
        <f>IF(($A61=""),"",IF(COUNTIF(Mineral!$AJ$3:$AJ$324,$A61),"",$A61))</f>
        <v/>
      </c>
      <c r="AY54" t="str">
        <f>IFERROR(INDEX(Liste_Handelsünger[Handelsdünger],_xlfn.AGGREGATE(15,6,(ROW(Liste_Handelsünger[Handelsdünger])-1)/(--(SEARCH(AZ$2,Liste_Handelsünger[Handelsdünger])&gt;0)),ROW()-2),1),"")</f>
        <v>DC - Fit 0:10:30 + 0,1B + 11S</v>
      </c>
      <c r="AZ54" t="str">
        <f>IF(($A62=""),"",IF(COUNTIF(Mineral!$AJ$3:$AJ$324,$A62),"",$A62))</f>
        <v/>
      </c>
      <c r="BA54" t="str">
        <f>IFERROR(INDEX(Liste_Handelsünger[Handelsdünger],_xlfn.AGGREGATE(15,6,(ROW(Liste_Handelsünger[Handelsdünger])-1)/(--(SEARCH(BB$2,Liste_Handelsünger[Handelsdünger])&gt;0)),ROW()-2),1),"")</f>
        <v>DC - Fit 0:10:30 + 0,1B + 11S</v>
      </c>
      <c r="BB54" t="str">
        <f>IF(($A63=""),"",IF(COUNTIF(Mineral!$AJ$3:$AJ$324,$A63),"",$A63))</f>
        <v/>
      </c>
      <c r="BC54" t="str">
        <f>IFERROR(INDEX(Liste_Handelsünger[Handelsdünger],_xlfn.AGGREGATE(15,6,(ROW(Liste_Handelsünger[Handelsdünger])-1)/(--(SEARCH(BD$2,Liste_Handelsünger[Handelsdünger])&gt;0)),ROW()-2),1),"")</f>
        <v>DC - Fit 0:10:30 + 0,1B + 11S</v>
      </c>
      <c r="BD54" t="str">
        <f>IF(($A64=""),"",IF(COUNTIF(Mineral!$AJ$3:$AJ$324,$A64),"",$A64))</f>
        <v/>
      </c>
      <c r="BE54" t="str">
        <f>IFERROR(INDEX(Liste_Handelsünger[Handelsdünger],_xlfn.AGGREGATE(15,6,(ROW(Liste_Handelsünger[Handelsdünger])-1)/(--(SEARCH(BF$2,Liste_Handelsünger[Handelsdünger])&gt;0)),ROW()-2),1),"")</f>
        <v>DC - Fit 0:10:30 + 0,1B + 11S</v>
      </c>
      <c r="BF54" t="str">
        <f>IF(($A65=""),"",IF(COUNTIF(Mineral!$AJ$3:$AJ$324,$A65),"",$A65))</f>
        <v/>
      </c>
      <c r="BG54" t="str">
        <f>IFERROR(INDEX(Liste_Handelsünger[Handelsdünger],_xlfn.AGGREGATE(15,6,(ROW(Liste_Handelsünger[Handelsdünger])-1)/(--(SEARCH(BH$2,Liste_Handelsünger[Handelsdünger])&gt;0)),ROW()-2),1),"")</f>
        <v>DC - Fit 0:10:30 + 0,1B + 11S</v>
      </c>
      <c r="BH54" t="str">
        <f>IF(($A66=""),"",IF(COUNTIF(Mineral!$AJ$3:$AJ$324,$A66),"",$A66))</f>
        <v/>
      </c>
      <c r="BI54" t="str">
        <f>IFERROR(INDEX(Liste_Handelsünger[Handelsdünger],_xlfn.AGGREGATE(15,6,(ROW(Liste_Handelsünger[Handelsdünger])-1)/(--(SEARCH(BJ$2,Liste_Handelsünger[Handelsdünger])&gt;0)),ROW()-2),1),"")</f>
        <v>DC - Fit 0:10:30 + 0,1B + 11S</v>
      </c>
      <c r="BJ54" t="str">
        <f>IF(($A67=""),"",IF(COUNTIF(Mineral!$AJ$3:$AJ$324,$A67),"",$A67))</f>
        <v/>
      </c>
      <c r="BK54" t="str">
        <f>IFERROR(INDEX(Liste_Handelsünger[Handelsdünger],_xlfn.AGGREGATE(15,6,(ROW(Liste_Handelsünger[Handelsdünger])-1)/(--(SEARCH(BL$2,Liste_Handelsünger[Handelsdünger])&gt;0)),ROW()-2),1),"")</f>
        <v>DC - Fit 0:10:30 + 0,1B + 11S</v>
      </c>
      <c r="BM54" t="str">
        <f>IFERROR(INDEX(Liste_Handelsünger[Handelsdünger],_xlfn.AGGREGATE(15,6,(ROW(Liste_Handelsünger[Handelsdünger])-1)/(--(SEARCH(BN$2,Liste_Handelsünger[Handelsdünger])&gt;0)),ROW()-2),1),"")</f>
        <v>DC - Fit 0:10:30 + 0,1B + 11S</v>
      </c>
      <c r="BN54" t="str">
        <f>IF(($A69=""),"",IF(COUNTIF(Mineral!$AJ$3:$AJ$324,$A69),"",$A69))</f>
        <v/>
      </c>
      <c r="BV54" t="s">
        <v>2097</v>
      </c>
      <c r="BW54" t="s">
        <v>2079</v>
      </c>
    </row>
    <row r="55" spans="18:75" ht="14.25" thickTop="1" thickBot="1">
      <c r="R55" s="2206" t="str">
        <f t="array" ref="R55">IFERROR(IF(ROW(A26)&gt;COUNTA(A:A),"",INDEX(A:A,SMALL(IF(A$3:A$27&lt;&gt;"",ROW($3:$27)),ROW(A24)))),"")</f>
        <v/>
      </c>
      <c r="S55" s="1616">
        <v>54</v>
      </c>
      <c r="T55" s="1617" t="s">
        <v>2335</v>
      </c>
      <c r="U55" s="1617" t="s">
        <v>2098</v>
      </c>
      <c r="V55" s="1617"/>
      <c r="W55" s="1617">
        <v>12</v>
      </c>
      <c r="X55" s="1617">
        <v>5</v>
      </c>
      <c r="Y55" s="1617">
        <v>15</v>
      </c>
      <c r="Z55" s="1617">
        <v>15.6</v>
      </c>
      <c r="AA55" s="1617">
        <v>0</v>
      </c>
      <c r="AB55" s="1617">
        <v>0</v>
      </c>
      <c r="AC55" s="1617">
        <v>1</v>
      </c>
      <c r="AD55" s="1613">
        <v>1</v>
      </c>
      <c r="AE55" s="1617" t="s">
        <v>2016</v>
      </c>
      <c r="AF55" s="1613" t="str">
        <f t="shared" si="7"/>
        <v/>
      </c>
      <c r="AG55" s="1656">
        <f>IFERROR(IF($AF55&gt;0,VLOOKUP($U55,Tabelle1!$C$188:$L$212,5,0)*$AF55,0),0)</f>
        <v>0</v>
      </c>
      <c r="AH55" s="1656">
        <f t="shared" si="8"/>
        <v>0</v>
      </c>
      <c r="AJ55" t="str">
        <f>IF(Betrieb!$D$9="JA",Mineral!$BW55,Mineral!$BV55)</f>
        <v>DC - Frucht 12:5:15</v>
      </c>
      <c r="AK55" s="1672" t="str">
        <f>IFERROR(INDEX(Liste_Handelsünger[Handelsdünger],_xlfn.AGGREGATE(15,6,(ROW(Liste_Handelsünger[Handelsdünger])-1)/(--(SEARCH(AL$2,Liste_Handelsünger[Handelsdünger])&gt;0)),ROW()-2),1),"")</f>
        <v>DC - Frucht 12:5:15</v>
      </c>
      <c r="AL55" s="1672" t="str">
        <f>IF(($A$3=""),"",IF(COUNTIF(Mineral!$AJ$3:$AJ$324,$A$3),"",$A$3))</f>
        <v/>
      </c>
      <c r="AM55" s="1672" t="str">
        <f>IFERROR(INDEX(Liste_Handelsünger[Handelsdünger],_xlfn.AGGREGATE(15,6,(ROW(Liste_Handelsünger[Handelsdünger])-1)/(--(SEARCH(AN$2,Liste_Handelsünger[Handelsdünger])&gt;0)),ROW()-2),1),"")</f>
        <v>DC - Frucht 12:5:15</v>
      </c>
      <c r="AN55" t="str">
        <f>IF(($A57=""),"",IF(COUNTIF(Mineral!$AJ$3:$AJ$324,$A57),"",$A57))</f>
        <v/>
      </c>
      <c r="AO55" t="str">
        <f>IFERROR(INDEX(Liste_Handelsünger[Handelsdünger],_xlfn.AGGREGATE(15,6,(ROW(Liste_Handelsünger[Handelsdünger])-1)/(--(SEARCH(AP$2,Liste_Handelsünger[Handelsdünger])&gt;0)),ROW()-2),1),"")</f>
        <v>DC - Frucht 12:5:15</v>
      </c>
      <c r="AP55" t="str">
        <f>IF(($A58=""),"",IF(COUNTIF(Mineral!$AJ$3:$AJ$324,$A58),"",$A58))</f>
        <v/>
      </c>
      <c r="AQ55" t="str">
        <f>IFERROR(INDEX(Liste_Handelsünger[Handelsdünger],_xlfn.AGGREGATE(15,6,(ROW(Liste_Handelsünger[Handelsdünger])-1)/(--(SEARCH(AR$2,Liste_Handelsünger[Handelsdünger])&gt;0)),ROW()-2),1),"")</f>
        <v>DC - Frucht 12:5:15</v>
      </c>
      <c r="AR55" t="str">
        <f>IF(($A59=""),"",IF(COUNTIF(Mineral!$AJ$3:$AJ$324,$A59),"",$A59))</f>
        <v/>
      </c>
      <c r="AS55" t="str">
        <f>IFERROR(INDEX(Liste_Handelsünger[Handelsdünger],_xlfn.AGGREGATE(15,6,(ROW(Liste_Handelsünger[Handelsdünger])-1)/(--(SEARCH(AT$2,Liste_Handelsünger[Handelsdünger])&gt;0)),ROW()-2),1),"")</f>
        <v>DC - Frucht 12:5:15</v>
      </c>
      <c r="AT55" t="str">
        <f>IF(($A60=""),"",IF(COUNTIF(Mineral!$AJ$3:$AJ$324,$A60),"",$A60))</f>
        <v/>
      </c>
      <c r="AU55" t="str">
        <f>IFERROR(INDEX(Liste_Handelsünger[Handelsdünger],_xlfn.AGGREGATE(15,6,(ROW(Liste_Handelsünger[Handelsdünger])-1)/(--(SEARCH(AV$2,Liste_Handelsünger[Handelsdünger])&gt;0)),ROW()-2),1),"")</f>
        <v>DC - Frucht 12:5:15</v>
      </c>
      <c r="AV55" t="str">
        <f>IF(($A61=""),"",IF(COUNTIF(Mineral!$AJ$3:$AJ$324,$A61),"",$A61))</f>
        <v/>
      </c>
      <c r="AW55" t="str">
        <f>IFERROR(INDEX(Liste_Handelsünger[Handelsdünger],_xlfn.AGGREGATE(15,6,(ROW(Liste_Handelsünger[Handelsdünger])-1)/(--(SEARCH(AX$2,Liste_Handelsünger[Handelsdünger])&gt;0)),ROW()-2),1),"")</f>
        <v>DC - Frucht 12:5:15</v>
      </c>
      <c r="AX55" t="str">
        <f>IF(($A62=""),"",IF(COUNTIF(Mineral!$AJ$3:$AJ$324,$A62),"",$A62))</f>
        <v/>
      </c>
      <c r="AY55" t="str">
        <f>IFERROR(INDEX(Liste_Handelsünger[Handelsdünger],_xlfn.AGGREGATE(15,6,(ROW(Liste_Handelsünger[Handelsdünger])-1)/(--(SEARCH(AZ$2,Liste_Handelsünger[Handelsdünger])&gt;0)),ROW()-2),1),"")</f>
        <v>DC - Frucht 12:5:15</v>
      </c>
      <c r="AZ55" t="str">
        <f>IF(($A63=""),"",IF(COUNTIF(Mineral!$AJ$3:$AJ$324,$A63),"",$A63))</f>
        <v/>
      </c>
      <c r="BA55" t="str">
        <f>IFERROR(INDEX(Liste_Handelsünger[Handelsdünger],_xlfn.AGGREGATE(15,6,(ROW(Liste_Handelsünger[Handelsdünger])-1)/(--(SEARCH(BB$2,Liste_Handelsünger[Handelsdünger])&gt;0)),ROW()-2),1),"")</f>
        <v>DC - Frucht 12:5:15</v>
      </c>
      <c r="BB55" t="str">
        <f>IF(($A64=""),"",IF(COUNTIF(Mineral!$AJ$3:$AJ$324,$A64),"",$A64))</f>
        <v/>
      </c>
      <c r="BC55" t="str">
        <f>IFERROR(INDEX(Liste_Handelsünger[Handelsdünger],_xlfn.AGGREGATE(15,6,(ROW(Liste_Handelsünger[Handelsdünger])-1)/(--(SEARCH(BD$2,Liste_Handelsünger[Handelsdünger])&gt;0)),ROW()-2),1),"")</f>
        <v>DC - Frucht 12:5:15</v>
      </c>
      <c r="BD55" t="str">
        <f>IF(($A65=""),"",IF(COUNTIF(Mineral!$AJ$3:$AJ$324,$A65),"",$A65))</f>
        <v/>
      </c>
      <c r="BE55" t="str">
        <f>IFERROR(INDEX(Liste_Handelsünger[Handelsdünger],_xlfn.AGGREGATE(15,6,(ROW(Liste_Handelsünger[Handelsdünger])-1)/(--(SEARCH(BF$2,Liste_Handelsünger[Handelsdünger])&gt;0)),ROW()-2),1),"")</f>
        <v>DC - Frucht 12:5:15</v>
      </c>
      <c r="BF55" t="str">
        <f>IF(($A66=""),"",IF(COUNTIF(Mineral!$AJ$3:$AJ$324,$A66),"",$A66))</f>
        <v/>
      </c>
      <c r="BG55" t="str">
        <f>IFERROR(INDEX(Liste_Handelsünger[Handelsdünger],_xlfn.AGGREGATE(15,6,(ROW(Liste_Handelsünger[Handelsdünger])-1)/(--(SEARCH(BH$2,Liste_Handelsünger[Handelsdünger])&gt;0)),ROW()-2),1),"")</f>
        <v>DC - Frucht 12:5:15</v>
      </c>
      <c r="BH55" t="str">
        <f>IF(($A67=""),"",IF(COUNTIF(Mineral!$AJ$3:$AJ$324,$A67),"",$A67))</f>
        <v/>
      </c>
      <c r="BI55" t="str">
        <f>IFERROR(INDEX(Liste_Handelsünger[Handelsdünger],_xlfn.AGGREGATE(15,6,(ROW(Liste_Handelsünger[Handelsdünger])-1)/(--(SEARCH(BJ$2,Liste_Handelsünger[Handelsdünger])&gt;0)),ROW()-2),1),"")</f>
        <v>DC - Frucht 12:5:15</v>
      </c>
      <c r="BJ55" t="str">
        <f>IF(($A68=""),"",IF(COUNTIF(Mineral!$AJ$3:$AJ$324,$A68),"",$A68))</f>
        <v/>
      </c>
      <c r="BK55" t="str">
        <f>IFERROR(INDEX(Liste_Handelsünger[Handelsdünger],_xlfn.AGGREGATE(15,6,(ROW(Liste_Handelsünger[Handelsdünger])-1)/(--(SEARCH(BL$2,Liste_Handelsünger[Handelsdünger])&gt;0)),ROW()-2),1),"")</f>
        <v>DC - Frucht 12:5:15</v>
      </c>
      <c r="BM55" t="str">
        <f>IFERROR(INDEX(Liste_Handelsünger[Handelsdünger],_xlfn.AGGREGATE(15,6,(ROW(Liste_Handelsünger[Handelsdünger])-1)/(--(SEARCH(BN$2,Liste_Handelsünger[Handelsdünger])&gt;0)),ROW()-2),1),"")</f>
        <v>DC - Frucht 12:5:15</v>
      </c>
      <c r="BN55" t="str">
        <f>IF(($A70=""),"",IF(COUNTIF(Mineral!$AJ$3:$AJ$324,$A70),"",$A70))</f>
        <v/>
      </c>
      <c r="BV55" t="s">
        <v>2098</v>
      </c>
      <c r="BW55" t="s">
        <v>2092</v>
      </c>
    </row>
    <row r="56" spans="18:75" ht="14.25" thickTop="1" thickBot="1">
      <c r="R56" s="2206" t="str">
        <f t="array" ref="R56">IFERROR(IF(ROW(A27)&gt;COUNTA(A:A),"",INDEX(A:A,SMALL(IF(A$3:A$27&lt;&gt;"",ROW($3:$27)),ROW(A25)))),"")</f>
        <v/>
      </c>
      <c r="S56" s="1676">
        <v>55</v>
      </c>
      <c r="T56" s="1606" t="s">
        <v>2335</v>
      </c>
      <c r="U56" s="1606" t="s">
        <v>2099</v>
      </c>
      <c r="V56" s="1606"/>
      <c r="W56" s="1606">
        <v>10</v>
      </c>
      <c r="X56" s="1606">
        <v>8</v>
      </c>
      <c r="Y56" s="1606">
        <v>20</v>
      </c>
      <c r="Z56" s="1606">
        <v>13</v>
      </c>
      <c r="AA56" s="1606">
        <v>0</v>
      </c>
      <c r="AB56" s="1606">
        <v>0</v>
      </c>
      <c r="AC56" s="1606">
        <v>1</v>
      </c>
      <c r="AD56" s="1613">
        <v>1</v>
      </c>
      <c r="AE56" s="1606" t="s">
        <v>2016</v>
      </c>
      <c r="AF56" s="1613" t="str">
        <f t="shared" si="7"/>
        <v/>
      </c>
      <c r="AG56" s="1656">
        <f>IFERROR(IF($AF56&gt;0,VLOOKUP($U56,Tabelle1!$C$188:$L$212,5,0)*$AF56,0),0)</f>
        <v>0</v>
      </c>
      <c r="AH56" s="1656">
        <f t="shared" si="8"/>
        <v>0</v>
      </c>
      <c r="AJ56" t="str">
        <f>IF(Betrieb!$D$9="JA",Mineral!$BW56,Mineral!$BV56)</f>
        <v>DC - ROT 10:8:20 +13S +0,1B</v>
      </c>
      <c r="AK56" s="1672" t="str">
        <f>IFERROR(INDEX(Liste_Handelsünger[Handelsdünger],_xlfn.AGGREGATE(15,6,(ROW(Liste_Handelsünger[Handelsdünger])-1)/(--(SEARCH(AL$2,Liste_Handelsünger[Handelsdünger])&gt;0)),ROW()-2),1),"")</f>
        <v>DC - ROT 10:8:20 +13S +0,1B</v>
      </c>
      <c r="AL56" s="1672" t="str">
        <f>IF(($A$3=""),"",IF(COUNTIF(Mineral!$AJ$3:$AJ$324,$A$3),"",$A$3))</f>
        <v/>
      </c>
      <c r="AM56" s="1672" t="str">
        <f>IFERROR(INDEX(Liste_Handelsünger[Handelsdünger],_xlfn.AGGREGATE(15,6,(ROW(Liste_Handelsünger[Handelsdünger])-1)/(--(SEARCH(AN$2,Liste_Handelsünger[Handelsdünger])&gt;0)),ROW()-2),1),"")</f>
        <v>DC - ROT 10:8:20 +13S +0,1B</v>
      </c>
      <c r="AN56" t="str">
        <f>IF(($A58=""),"",IF(COUNTIF(Mineral!$AJ$3:$AJ$324,$A58),"",$A58))</f>
        <v/>
      </c>
      <c r="AO56" t="str">
        <f>IFERROR(INDEX(Liste_Handelsünger[Handelsdünger],_xlfn.AGGREGATE(15,6,(ROW(Liste_Handelsünger[Handelsdünger])-1)/(--(SEARCH(AP$2,Liste_Handelsünger[Handelsdünger])&gt;0)),ROW()-2),1),"")</f>
        <v>DC - ROT 10:8:20 +13S +0,1B</v>
      </c>
      <c r="AP56" t="str">
        <f>IF(($A59=""),"",IF(COUNTIF(Mineral!$AJ$3:$AJ$324,$A59),"",$A59))</f>
        <v/>
      </c>
      <c r="AQ56" t="str">
        <f>IFERROR(INDEX(Liste_Handelsünger[Handelsdünger],_xlfn.AGGREGATE(15,6,(ROW(Liste_Handelsünger[Handelsdünger])-1)/(--(SEARCH(AR$2,Liste_Handelsünger[Handelsdünger])&gt;0)),ROW()-2),1),"")</f>
        <v>DC - ROT 10:8:20 +13S +0,1B</v>
      </c>
      <c r="AR56" t="str">
        <f>IF(($A60=""),"",IF(COUNTIF(Mineral!$AJ$3:$AJ$324,$A60),"",$A60))</f>
        <v/>
      </c>
      <c r="AS56" t="str">
        <f>IFERROR(INDEX(Liste_Handelsünger[Handelsdünger],_xlfn.AGGREGATE(15,6,(ROW(Liste_Handelsünger[Handelsdünger])-1)/(--(SEARCH(AT$2,Liste_Handelsünger[Handelsdünger])&gt;0)),ROW()-2),1),"")</f>
        <v>DC - ROT 10:8:20 +13S +0,1B</v>
      </c>
      <c r="AT56" t="str">
        <f>IF(($A61=""),"",IF(COUNTIF(Mineral!$AJ$3:$AJ$324,$A61),"",$A61))</f>
        <v/>
      </c>
      <c r="AU56" t="str">
        <f>IFERROR(INDEX(Liste_Handelsünger[Handelsdünger],_xlfn.AGGREGATE(15,6,(ROW(Liste_Handelsünger[Handelsdünger])-1)/(--(SEARCH(AV$2,Liste_Handelsünger[Handelsdünger])&gt;0)),ROW()-2),1),"")</f>
        <v>DC - ROT 10:8:20 +13S +0,1B</v>
      </c>
      <c r="AV56" t="str">
        <f>IF(($A62=""),"",IF(COUNTIF(Mineral!$AJ$3:$AJ$324,$A62),"",$A62))</f>
        <v/>
      </c>
      <c r="AW56" t="str">
        <f>IFERROR(INDEX(Liste_Handelsünger[Handelsdünger],_xlfn.AGGREGATE(15,6,(ROW(Liste_Handelsünger[Handelsdünger])-1)/(--(SEARCH(AX$2,Liste_Handelsünger[Handelsdünger])&gt;0)),ROW()-2),1),"")</f>
        <v>DC - ROT 10:8:20 +13S +0,1B</v>
      </c>
      <c r="AX56" t="str">
        <f>IF(($A63=""),"",IF(COUNTIF(Mineral!$AJ$3:$AJ$324,$A63),"",$A63))</f>
        <v/>
      </c>
      <c r="AY56" t="str">
        <f>IFERROR(INDEX(Liste_Handelsünger[Handelsdünger],_xlfn.AGGREGATE(15,6,(ROW(Liste_Handelsünger[Handelsdünger])-1)/(--(SEARCH(AZ$2,Liste_Handelsünger[Handelsdünger])&gt;0)),ROW()-2),1),"")</f>
        <v>DC - ROT 10:8:20 +13S +0,1B</v>
      </c>
      <c r="AZ56" t="str">
        <f>IF(($A64=""),"",IF(COUNTIF(Mineral!$AJ$3:$AJ$324,$A64),"",$A64))</f>
        <v/>
      </c>
      <c r="BA56" t="str">
        <f>IFERROR(INDEX(Liste_Handelsünger[Handelsdünger],_xlfn.AGGREGATE(15,6,(ROW(Liste_Handelsünger[Handelsdünger])-1)/(--(SEARCH(BB$2,Liste_Handelsünger[Handelsdünger])&gt;0)),ROW()-2),1),"")</f>
        <v>DC - ROT 10:8:20 +13S +0,1B</v>
      </c>
      <c r="BB56" t="str">
        <f>IF(($A65=""),"",IF(COUNTIF(Mineral!$AJ$3:$AJ$324,$A65),"",$A65))</f>
        <v/>
      </c>
      <c r="BC56" t="str">
        <f>IFERROR(INDEX(Liste_Handelsünger[Handelsdünger],_xlfn.AGGREGATE(15,6,(ROW(Liste_Handelsünger[Handelsdünger])-1)/(--(SEARCH(BD$2,Liste_Handelsünger[Handelsdünger])&gt;0)),ROW()-2),1),"")</f>
        <v>DC - ROT 10:8:20 +13S +0,1B</v>
      </c>
      <c r="BD56" t="str">
        <f>IF(($A66=""),"",IF(COUNTIF(Mineral!$AJ$3:$AJ$324,$A66),"",$A66))</f>
        <v/>
      </c>
      <c r="BE56" t="str">
        <f>IFERROR(INDEX(Liste_Handelsünger[Handelsdünger],_xlfn.AGGREGATE(15,6,(ROW(Liste_Handelsünger[Handelsdünger])-1)/(--(SEARCH(BF$2,Liste_Handelsünger[Handelsdünger])&gt;0)),ROW()-2),1),"")</f>
        <v>DC - ROT 10:8:20 +13S +0,1B</v>
      </c>
      <c r="BF56" t="str">
        <f>IF(($A67=""),"",IF(COUNTIF(Mineral!$AJ$3:$AJ$324,$A67),"",$A67))</f>
        <v/>
      </c>
      <c r="BG56" t="str">
        <f>IFERROR(INDEX(Liste_Handelsünger[Handelsdünger],_xlfn.AGGREGATE(15,6,(ROW(Liste_Handelsünger[Handelsdünger])-1)/(--(SEARCH(BH$2,Liste_Handelsünger[Handelsdünger])&gt;0)),ROW()-2),1),"")</f>
        <v>DC - ROT 10:8:20 +13S +0,1B</v>
      </c>
      <c r="BH56" t="str">
        <f>IF(($A68=""),"",IF(COUNTIF(Mineral!$AJ$3:$AJ$324,$A68),"",$A68))</f>
        <v/>
      </c>
      <c r="BI56" t="str">
        <f>IFERROR(INDEX(Liste_Handelsünger[Handelsdünger],_xlfn.AGGREGATE(15,6,(ROW(Liste_Handelsünger[Handelsdünger])-1)/(--(SEARCH(BJ$2,Liste_Handelsünger[Handelsdünger])&gt;0)),ROW()-2),1),"")</f>
        <v>DC - ROT 10:8:20 +13S +0,1B</v>
      </c>
      <c r="BJ56" t="str">
        <f>IF(($A69=""),"",IF(COUNTIF(Mineral!$AJ$3:$AJ$324,$A69),"",$A69))</f>
        <v/>
      </c>
      <c r="BK56" t="str">
        <f>IFERROR(INDEX(Liste_Handelsünger[Handelsdünger],_xlfn.AGGREGATE(15,6,(ROW(Liste_Handelsünger[Handelsdünger])-1)/(--(SEARCH(BL$2,Liste_Handelsünger[Handelsdünger])&gt;0)),ROW()-2),1),"")</f>
        <v>DC - ROT 10:8:20 +13S +0,1B</v>
      </c>
      <c r="BM56" t="str">
        <f>IFERROR(INDEX(Liste_Handelsünger[Handelsdünger],_xlfn.AGGREGATE(15,6,(ROW(Liste_Handelsünger[Handelsdünger])-1)/(--(SEARCH(BN$2,Liste_Handelsünger[Handelsdünger])&gt;0)),ROW()-2),1),"")</f>
        <v>DC - ROT 10:8:20 +13S +0,1B</v>
      </c>
      <c r="BN56" t="str">
        <f>IF(($A71=""),"",IF(COUNTIF(Mineral!$AJ$3:$AJ$324,$A71),"",$A71))</f>
        <v/>
      </c>
      <c r="BV56" t="s">
        <v>2099</v>
      </c>
      <c r="BW56" t="s">
        <v>2093</v>
      </c>
    </row>
    <row r="57" spans="18:75" ht="14.25" thickTop="1" thickBot="1">
      <c r="R57" s="2281"/>
      <c r="S57" s="1616">
        <v>56</v>
      </c>
      <c r="T57" s="1617" t="s">
        <v>2335</v>
      </c>
      <c r="U57" s="1617" t="s">
        <v>2100</v>
      </c>
      <c r="V57" s="1617"/>
      <c r="W57" s="1617">
        <v>0</v>
      </c>
      <c r="X57" s="1617">
        <v>10</v>
      </c>
      <c r="Y57" s="1617">
        <v>30</v>
      </c>
      <c r="Z57" s="1617">
        <v>6</v>
      </c>
      <c r="AA57" s="1617">
        <v>0</v>
      </c>
      <c r="AB57" s="1617">
        <v>0</v>
      </c>
      <c r="AC57" s="1617">
        <v>1</v>
      </c>
      <c r="AD57" s="1613">
        <v>1</v>
      </c>
      <c r="AE57" s="1617" t="s">
        <v>1764</v>
      </c>
      <c r="AF57" s="1613" t="str">
        <f t="shared" si="7"/>
        <v/>
      </c>
      <c r="AG57" s="1656">
        <f>IFERROR(IF($AF57&gt;0,VLOOKUP($U57,Tabelle1!$C$188:$L$212,5,0)*$AF57,0),0)</f>
        <v>0</v>
      </c>
      <c r="AH57" s="1656">
        <f t="shared" si="8"/>
        <v>0</v>
      </c>
      <c r="AJ57" t="str">
        <f>IF(Betrieb!$D$9="JA",Mineral!$BW57,Mineral!$BV57)</f>
        <v>DC - Rübe 0:10:30 + 0,2B + 6S</v>
      </c>
      <c r="AK57" s="1672" t="str">
        <f>IFERROR(INDEX(Liste_Handelsünger[Handelsdünger],_xlfn.AGGREGATE(15,6,(ROW(Liste_Handelsünger[Handelsdünger])-1)/(--(SEARCH(AL$2,Liste_Handelsünger[Handelsdünger])&gt;0)),ROW()-2),1),"")</f>
        <v>DC - Rübe 0:10:30 + 0,2B + 6S</v>
      </c>
      <c r="AL57" s="1672" t="str">
        <f>IF(($A$3=""),"",IF(COUNTIF(Mineral!$AJ$3:$AJ$324,$A$3),"",$A$3))</f>
        <v/>
      </c>
      <c r="AM57" s="1672" t="str">
        <f>IFERROR(INDEX(Liste_Handelsünger[Handelsdünger],_xlfn.AGGREGATE(15,6,(ROW(Liste_Handelsünger[Handelsdünger])-1)/(--(SEARCH(AN$2,Liste_Handelsünger[Handelsdünger])&gt;0)),ROW()-2),1),"")</f>
        <v>DC - Rübe 0:10:30 + 0,2B + 6S</v>
      </c>
      <c r="AN57" t="str">
        <f>IF(($A59=""),"",IF(COUNTIF(Mineral!$AJ$3:$AJ$324,$A59),"",$A59))</f>
        <v/>
      </c>
      <c r="AO57" t="str">
        <f>IFERROR(INDEX(Liste_Handelsünger[Handelsdünger],_xlfn.AGGREGATE(15,6,(ROW(Liste_Handelsünger[Handelsdünger])-1)/(--(SEARCH(AP$2,Liste_Handelsünger[Handelsdünger])&gt;0)),ROW()-2),1),"")</f>
        <v>DC - Rübe 0:10:30 + 0,2B + 6S</v>
      </c>
      <c r="AP57" t="str">
        <f>IF(($A60=""),"",IF(COUNTIF(Mineral!$AJ$3:$AJ$324,$A60),"",$A60))</f>
        <v/>
      </c>
      <c r="AQ57" t="str">
        <f>IFERROR(INDEX(Liste_Handelsünger[Handelsdünger],_xlfn.AGGREGATE(15,6,(ROW(Liste_Handelsünger[Handelsdünger])-1)/(--(SEARCH(AR$2,Liste_Handelsünger[Handelsdünger])&gt;0)),ROW()-2),1),"")</f>
        <v>DC - Rübe 0:10:30 + 0,2B + 6S</v>
      </c>
      <c r="AR57" t="str">
        <f>IF(($A61=""),"",IF(COUNTIF(Mineral!$AJ$3:$AJ$324,$A61),"",$A61))</f>
        <v/>
      </c>
      <c r="AS57" t="str">
        <f>IFERROR(INDEX(Liste_Handelsünger[Handelsdünger],_xlfn.AGGREGATE(15,6,(ROW(Liste_Handelsünger[Handelsdünger])-1)/(--(SEARCH(AT$2,Liste_Handelsünger[Handelsdünger])&gt;0)),ROW()-2),1),"")</f>
        <v>DC - Rübe 0:10:30 + 0,2B + 6S</v>
      </c>
      <c r="AT57" t="str">
        <f>IF(($A62=""),"",IF(COUNTIF(Mineral!$AJ$3:$AJ$324,$A62),"",$A62))</f>
        <v/>
      </c>
      <c r="AU57" t="str">
        <f>IFERROR(INDEX(Liste_Handelsünger[Handelsdünger],_xlfn.AGGREGATE(15,6,(ROW(Liste_Handelsünger[Handelsdünger])-1)/(--(SEARCH(AV$2,Liste_Handelsünger[Handelsdünger])&gt;0)),ROW()-2),1),"")</f>
        <v>DC - Rübe 0:10:30 + 0,2B + 6S</v>
      </c>
      <c r="AV57" t="str">
        <f>IF(($A63=""),"",IF(COUNTIF(Mineral!$AJ$3:$AJ$324,$A63),"",$A63))</f>
        <v/>
      </c>
      <c r="AW57" t="str">
        <f>IFERROR(INDEX(Liste_Handelsünger[Handelsdünger],_xlfn.AGGREGATE(15,6,(ROW(Liste_Handelsünger[Handelsdünger])-1)/(--(SEARCH(AX$2,Liste_Handelsünger[Handelsdünger])&gt;0)),ROW()-2),1),"")</f>
        <v>DC - Rübe 0:10:30 + 0,2B + 6S</v>
      </c>
      <c r="AX57" t="str">
        <f>IF(($A64=""),"",IF(COUNTIF(Mineral!$AJ$3:$AJ$324,$A64),"",$A64))</f>
        <v/>
      </c>
      <c r="AY57" t="str">
        <f>IFERROR(INDEX(Liste_Handelsünger[Handelsdünger],_xlfn.AGGREGATE(15,6,(ROW(Liste_Handelsünger[Handelsdünger])-1)/(--(SEARCH(AZ$2,Liste_Handelsünger[Handelsdünger])&gt;0)),ROW()-2),1),"")</f>
        <v>DC - Rübe 0:10:30 + 0,2B + 6S</v>
      </c>
      <c r="AZ57" t="str">
        <f>IF(($A65=""),"",IF(COUNTIF(Mineral!$AJ$3:$AJ$324,$A65),"",$A65))</f>
        <v/>
      </c>
      <c r="BA57" t="str">
        <f>IFERROR(INDEX(Liste_Handelsünger[Handelsdünger],_xlfn.AGGREGATE(15,6,(ROW(Liste_Handelsünger[Handelsdünger])-1)/(--(SEARCH(BB$2,Liste_Handelsünger[Handelsdünger])&gt;0)),ROW()-2),1),"")</f>
        <v>DC - Rübe 0:10:30 + 0,2B + 6S</v>
      </c>
      <c r="BB57" t="str">
        <f>IF(($A66=""),"",IF(COUNTIF(Mineral!$AJ$3:$AJ$324,$A66),"",$A66))</f>
        <v/>
      </c>
      <c r="BC57" t="str">
        <f>IFERROR(INDEX(Liste_Handelsünger[Handelsdünger],_xlfn.AGGREGATE(15,6,(ROW(Liste_Handelsünger[Handelsdünger])-1)/(--(SEARCH(BD$2,Liste_Handelsünger[Handelsdünger])&gt;0)),ROW()-2),1),"")</f>
        <v>DC - Rübe 0:10:30 + 0,2B + 6S</v>
      </c>
      <c r="BD57" t="str">
        <f>IF(($A67=""),"",IF(COUNTIF(Mineral!$AJ$3:$AJ$324,$A67),"",$A67))</f>
        <v/>
      </c>
      <c r="BE57" t="str">
        <f>IFERROR(INDEX(Liste_Handelsünger[Handelsdünger],_xlfn.AGGREGATE(15,6,(ROW(Liste_Handelsünger[Handelsdünger])-1)/(--(SEARCH(BF$2,Liste_Handelsünger[Handelsdünger])&gt;0)),ROW()-2),1),"")</f>
        <v>DC - Rübe 0:10:30 + 0,2B + 6S</v>
      </c>
      <c r="BF57" t="str">
        <f>IF(($A68=""),"",IF(COUNTIF(Mineral!$AJ$3:$AJ$324,$A68),"",$A68))</f>
        <v/>
      </c>
      <c r="BG57" t="str">
        <f>IFERROR(INDEX(Liste_Handelsünger[Handelsdünger],_xlfn.AGGREGATE(15,6,(ROW(Liste_Handelsünger[Handelsdünger])-1)/(--(SEARCH(BH$2,Liste_Handelsünger[Handelsdünger])&gt;0)),ROW()-2),1),"")</f>
        <v>DC - Rübe 0:10:30 + 0,2B + 6S</v>
      </c>
      <c r="BH57" t="str">
        <f>IF(($A69=""),"",IF(COUNTIF(Mineral!$AJ$3:$AJ$324,$A69),"",$A69))</f>
        <v/>
      </c>
      <c r="BI57" t="str">
        <f>IFERROR(INDEX(Liste_Handelsünger[Handelsdünger],_xlfn.AGGREGATE(15,6,(ROW(Liste_Handelsünger[Handelsdünger])-1)/(--(SEARCH(BJ$2,Liste_Handelsünger[Handelsdünger])&gt;0)),ROW()-2),1),"")</f>
        <v>DC - Rübe 0:10:30 + 0,2B + 6S</v>
      </c>
      <c r="BJ57" t="str">
        <f>IF(($A70=""),"",IF(COUNTIF(Mineral!$AJ$3:$AJ$324,$A70),"",$A70))</f>
        <v/>
      </c>
      <c r="BK57" t="str">
        <f>IFERROR(INDEX(Liste_Handelsünger[Handelsdünger],_xlfn.AGGREGATE(15,6,(ROW(Liste_Handelsünger[Handelsdünger])-1)/(--(SEARCH(BL$2,Liste_Handelsünger[Handelsdünger])&gt;0)),ROW()-2),1),"")</f>
        <v>DC - Rübe 0:10:30 + 0,2B + 6S</v>
      </c>
      <c r="BM57" t="str">
        <f>IFERROR(INDEX(Liste_Handelsünger[Handelsdünger],_xlfn.AGGREGATE(15,6,(ROW(Liste_Handelsünger[Handelsdünger])-1)/(--(SEARCH(BN$2,Liste_Handelsünger[Handelsdünger])&gt;0)),ROW()-2),1),"")</f>
        <v>DC - Rübe 0:10:30 + 0,2B + 6S</v>
      </c>
      <c r="BN57" t="str">
        <f>IF(($A72=""),"",IF(COUNTIF(Mineral!$AJ$3:$AJ$324,$A72),"",$A72))</f>
        <v/>
      </c>
      <c r="BV57" t="s">
        <v>2100</v>
      </c>
      <c r="BW57" t="s">
        <v>2117</v>
      </c>
    </row>
    <row r="58" spans="18:75" ht="14.25" thickTop="1" thickBot="1">
      <c r="S58" s="1676">
        <v>57</v>
      </c>
      <c r="T58" s="1606" t="s">
        <v>2335</v>
      </c>
      <c r="U58" s="1606" t="s">
        <v>2102</v>
      </c>
      <c r="V58" s="1606"/>
      <c r="W58" s="1606">
        <v>14.000000000000002</v>
      </c>
      <c r="X58" s="1606">
        <v>7.0000000000000009</v>
      </c>
      <c r="Y58" s="1606">
        <v>7.0000000000000009</v>
      </c>
      <c r="Z58" s="1606">
        <v>0</v>
      </c>
      <c r="AA58" s="1606">
        <v>0</v>
      </c>
      <c r="AB58" s="1606">
        <v>0</v>
      </c>
      <c r="AC58" s="1606">
        <v>1</v>
      </c>
      <c r="AD58" s="1613">
        <v>1</v>
      </c>
      <c r="AE58" s="1606" t="s">
        <v>2016</v>
      </c>
      <c r="AF58" s="1613" t="str">
        <f t="shared" si="7"/>
        <v/>
      </c>
      <c r="AG58" s="1656">
        <f>IFERROR(IF($AF58&gt;0,VLOOKUP($U58,Tabelle1!$C$188:$L$212,5,0)*$AF58,0),0)</f>
        <v>0</v>
      </c>
      <c r="AH58" s="1656">
        <f t="shared" si="8"/>
        <v>0</v>
      </c>
      <c r="AJ58" t="str">
        <f>IF(Betrieb!$D$9="JA",Mineral!$BW58,Mineral!$BV58)</f>
        <v>DC 28 14:7:7</v>
      </c>
      <c r="AK58" s="1672" t="str">
        <f>IFERROR(INDEX(Liste_Handelsünger[Handelsdünger],_xlfn.AGGREGATE(15,6,(ROW(Liste_Handelsünger[Handelsdünger])-1)/(--(SEARCH(AL$2,Liste_Handelsünger[Handelsdünger])&gt;0)),ROW()-2),1),"")</f>
        <v>DC 28 14:7:7</v>
      </c>
      <c r="AL58" s="1672" t="str">
        <f>IF(($A$3=""),"",IF(COUNTIF(Mineral!$AJ$3:$AJ$324,$A$3),"",$A$3))</f>
        <v/>
      </c>
      <c r="AM58" s="1672" t="str">
        <f>IFERROR(INDEX(Liste_Handelsünger[Handelsdünger],_xlfn.AGGREGATE(15,6,(ROW(Liste_Handelsünger[Handelsdünger])-1)/(--(SEARCH(AN$2,Liste_Handelsünger[Handelsdünger])&gt;0)),ROW()-2),1),"")</f>
        <v>DC 28 14:7:7</v>
      </c>
      <c r="AN58" t="str">
        <f>IF(($A60=""),"",IF(COUNTIF(Mineral!$AJ$3:$AJ$324,$A60),"",$A60))</f>
        <v/>
      </c>
      <c r="AO58" t="str">
        <f>IFERROR(INDEX(Liste_Handelsünger[Handelsdünger],_xlfn.AGGREGATE(15,6,(ROW(Liste_Handelsünger[Handelsdünger])-1)/(--(SEARCH(AP$2,Liste_Handelsünger[Handelsdünger])&gt;0)),ROW()-2),1),"")</f>
        <v>DC 28 14:7:7</v>
      </c>
      <c r="AP58" t="str">
        <f>IF(($A61=""),"",IF(COUNTIF(Mineral!$AJ$3:$AJ$324,$A61),"",$A61))</f>
        <v/>
      </c>
      <c r="AQ58" t="str">
        <f>IFERROR(INDEX(Liste_Handelsünger[Handelsdünger],_xlfn.AGGREGATE(15,6,(ROW(Liste_Handelsünger[Handelsdünger])-1)/(--(SEARCH(AR$2,Liste_Handelsünger[Handelsdünger])&gt;0)),ROW()-2),1),"")</f>
        <v>DC 28 14:7:7</v>
      </c>
      <c r="AR58" t="str">
        <f>IF(($A62=""),"",IF(COUNTIF(Mineral!$AJ$3:$AJ$324,$A62),"",$A62))</f>
        <v/>
      </c>
      <c r="AS58" t="str">
        <f>IFERROR(INDEX(Liste_Handelsünger[Handelsdünger],_xlfn.AGGREGATE(15,6,(ROW(Liste_Handelsünger[Handelsdünger])-1)/(--(SEARCH(AT$2,Liste_Handelsünger[Handelsdünger])&gt;0)),ROW()-2),1),"")</f>
        <v>DC 28 14:7:7</v>
      </c>
      <c r="AT58" t="str">
        <f>IF(($A63=""),"",IF(COUNTIF(Mineral!$AJ$3:$AJ$324,$A63),"",$A63))</f>
        <v/>
      </c>
      <c r="AU58" t="str">
        <f>IFERROR(INDEX(Liste_Handelsünger[Handelsdünger],_xlfn.AGGREGATE(15,6,(ROW(Liste_Handelsünger[Handelsdünger])-1)/(--(SEARCH(AV$2,Liste_Handelsünger[Handelsdünger])&gt;0)),ROW()-2),1),"")</f>
        <v>DC 28 14:7:7</v>
      </c>
      <c r="AV58" t="str">
        <f>IF(($A64=""),"",IF(COUNTIF(Mineral!$AJ$3:$AJ$324,$A64),"",$A64))</f>
        <v/>
      </c>
      <c r="AW58" t="str">
        <f>IFERROR(INDEX(Liste_Handelsünger[Handelsdünger],_xlfn.AGGREGATE(15,6,(ROW(Liste_Handelsünger[Handelsdünger])-1)/(--(SEARCH(AX$2,Liste_Handelsünger[Handelsdünger])&gt;0)),ROW()-2),1),"")</f>
        <v>DC 28 14:7:7</v>
      </c>
      <c r="AX58" t="str">
        <f>IF(($A65=""),"",IF(COUNTIF(Mineral!$AJ$3:$AJ$324,$A65),"",$A65))</f>
        <v/>
      </c>
      <c r="AY58" t="str">
        <f>IFERROR(INDEX(Liste_Handelsünger[Handelsdünger],_xlfn.AGGREGATE(15,6,(ROW(Liste_Handelsünger[Handelsdünger])-1)/(--(SEARCH(AZ$2,Liste_Handelsünger[Handelsdünger])&gt;0)),ROW()-2),1),"")</f>
        <v>DC 28 14:7:7</v>
      </c>
      <c r="AZ58" t="str">
        <f>IF(($A66=""),"",IF(COUNTIF(Mineral!$AJ$3:$AJ$324,$A66),"",$A66))</f>
        <v/>
      </c>
      <c r="BA58" t="str">
        <f>IFERROR(INDEX(Liste_Handelsünger[Handelsdünger],_xlfn.AGGREGATE(15,6,(ROW(Liste_Handelsünger[Handelsdünger])-1)/(--(SEARCH(BB$2,Liste_Handelsünger[Handelsdünger])&gt;0)),ROW()-2),1),"")</f>
        <v>DC 28 14:7:7</v>
      </c>
      <c r="BB58" t="str">
        <f>IF(($A67=""),"",IF(COUNTIF(Mineral!$AJ$3:$AJ$324,$A67),"",$A67))</f>
        <v/>
      </c>
      <c r="BC58" t="str">
        <f>IFERROR(INDEX(Liste_Handelsünger[Handelsdünger],_xlfn.AGGREGATE(15,6,(ROW(Liste_Handelsünger[Handelsdünger])-1)/(--(SEARCH(BD$2,Liste_Handelsünger[Handelsdünger])&gt;0)),ROW()-2),1),"")</f>
        <v>DC 28 14:7:7</v>
      </c>
      <c r="BD58" t="str">
        <f>IF(($A68=""),"",IF(COUNTIF(Mineral!$AJ$3:$AJ$324,$A68),"",$A68))</f>
        <v/>
      </c>
      <c r="BE58" t="str">
        <f>IFERROR(INDEX(Liste_Handelsünger[Handelsdünger],_xlfn.AGGREGATE(15,6,(ROW(Liste_Handelsünger[Handelsdünger])-1)/(--(SEARCH(BF$2,Liste_Handelsünger[Handelsdünger])&gt;0)),ROW()-2),1),"")</f>
        <v>DC 28 14:7:7</v>
      </c>
      <c r="BF58" t="str">
        <f>IF(($A69=""),"",IF(COUNTIF(Mineral!$AJ$3:$AJ$324,$A69),"",$A69))</f>
        <v/>
      </c>
      <c r="BG58" t="str">
        <f>IFERROR(INDEX(Liste_Handelsünger[Handelsdünger],_xlfn.AGGREGATE(15,6,(ROW(Liste_Handelsünger[Handelsdünger])-1)/(--(SEARCH(BH$2,Liste_Handelsünger[Handelsdünger])&gt;0)),ROW()-2),1),"")</f>
        <v>DC 28 14:7:7</v>
      </c>
      <c r="BH58" t="str">
        <f>IF(($A70=""),"",IF(COUNTIF(Mineral!$AJ$3:$AJ$324,$A70),"",$A70))</f>
        <v/>
      </c>
      <c r="BI58" t="str">
        <f>IFERROR(INDEX(Liste_Handelsünger[Handelsdünger],_xlfn.AGGREGATE(15,6,(ROW(Liste_Handelsünger[Handelsdünger])-1)/(--(SEARCH(BJ$2,Liste_Handelsünger[Handelsdünger])&gt;0)),ROW()-2),1),"")</f>
        <v>DC 28 14:7:7</v>
      </c>
      <c r="BJ58" t="str">
        <f>IF(($A71=""),"",IF(COUNTIF(Mineral!$AJ$3:$AJ$324,$A71),"",$A71))</f>
        <v/>
      </c>
      <c r="BK58" t="str">
        <f>IFERROR(INDEX(Liste_Handelsünger[Handelsdünger],_xlfn.AGGREGATE(15,6,(ROW(Liste_Handelsünger[Handelsdünger])-1)/(--(SEARCH(BL$2,Liste_Handelsünger[Handelsdünger])&gt;0)),ROW()-2),1),"")</f>
        <v>DC 28 14:7:7</v>
      </c>
      <c r="BM58" t="str">
        <f>IFERROR(INDEX(Liste_Handelsünger[Handelsdünger],_xlfn.AGGREGATE(15,6,(ROW(Liste_Handelsünger[Handelsdünger])-1)/(--(SEARCH(BN$2,Liste_Handelsünger[Handelsdünger])&gt;0)),ROW()-2),1),"")</f>
        <v>DC 28 14:7:7</v>
      </c>
      <c r="BN58" t="str">
        <f>IF(($A73=""),"",IF(COUNTIF(Mineral!$AJ$3:$AJ$324,$A73),"",$A73))</f>
        <v/>
      </c>
      <c r="BV58" t="s">
        <v>2102</v>
      </c>
      <c r="BW58" t="s">
        <v>2118</v>
      </c>
    </row>
    <row r="59" spans="18:75" ht="14.25" thickTop="1" thickBot="1">
      <c r="S59" s="1616">
        <v>58</v>
      </c>
      <c r="T59" s="1617" t="s">
        <v>2335</v>
      </c>
      <c r="U59" s="1617" t="s">
        <v>2103</v>
      </c>
      <c r="V59" s="1617"/>
      <c r="W59" s="1617">
        <v>10</v>
      </c>
      <c r="X59" s="1617">
        <v>10</v>
      </c>
      <c r="Y59" s="1617">
        <v>15</v>
      </c>
      <c r="Z59" s="1617">
        <v>0</v>
      </c>
      <c r="AA59" s="1617">
        <v>0</v>
      </c>
      <c r="AB59" s="1617">
        <v>0</v>
      </c>
      <c r="AC59" s="1617">
        <v>1</v>
      </c>
      <c r="AD59" s="1613">
        <v>1</v>
      </c>
      <c r="AE59" s="1617" t="s">
        <v>2016</v>
      </c>
      <c r="AF59" s="1613" t="str">
        <f t="shared" si="7"/>
        <v/>
      </c>
      <c r="AG59" s="1656">
        <f>IFERROR(IF($AF59&gt;0,VLOOKUP($U59,Tabelle1!$C$188:$L$212,5,0)*$AF59,0),0)</f>
        <v>0</v>
      </c>
      <c r="AH59" s="1656">
        <f t="shared" si="8"/>
        <v>0</v>
      </c>
      <c r="AJ59" t="str">
        <f>IF(Betrieb!$D$9="JA",Mineral!$BW59,Mineral!$BV59)</f>
        <v>DC 35 10:10:15</v>
      </c>
      <c r="AK59" s="1672" t="str">
        <f>IFERROR(INDEX(Liste_Handelsünger[Handelsdünger],_xlfn.AGGREGATE(15,6,(ROW(Liste_Handelsünger[Handelsdünger])-1)/(--(SEARCH(AL$2,Liste_Handelsünger[Handelsdünger])&gt;0)),ROW()-2),1),"")</f>
        <v>DC 35 10:10:15</v>
      </c>
      <c r="AL59" s="1672" t="str">
        <f>IF(($A$3=""),"",IF(COUNTIF(Mineral!$AJ$3:$AJ$324,$A$3),"",$A$3))</f>
        <v/>
      </c>
      <c r="AM59" s="1672" t="str">
        <f>IFERROR(INDEX(Liste_Handelsünger[Handelsdünger],_xlfn.AGGREGATE(15,6,(ROW(Liste_Handelsünger[Handelsdünger])-1)/(--(SEARCH(AN$2,Liste_Handelsünger[Handelsdünger])&gt;0)),ROW()-2),1),"")</f>
        <v>DC 35 10:10:15</v>
      </c>
      <c r="AN59" t="str">
        <f>IF(($A61=""),"",IF(COUNTIF(Mineral!$AJ$3:$AJ$324,$A61),"",$A61))</f>
        <v/>
      </c>
      <c r="AO59" t="str">
        <f>IFERROR(INDEX(Liste_Handelsünger[Handelsdünger],_xlfn.AGGREGATE(15,6,(ROW(Liste_Handelsünger[Handelsdünger])-1)/(--(SEARCH(AP$2,Liste_Handelsünger[Handelsdünger])&gt;0)),ROW()-2),1),"")</f>
        <v>DC 35 10:10:15</v>
      </c>
      <c r="AP59" t="str">
        <f>IF(($A62=""),"",IF(COUNTIF(Mineral!$AJ$3:$AJ$324,$A62),"",$A62))</f>
        <v/>
      </c>
      <c r="AQ59" t="str">
        <f>IFERROR(INDEX(Liste_Handelsünger[Handelsdünger],_xlfn.AGGREGATE(15,6,(ROW(Liste_Handelsünger[Handelsdünger])-1)/(--(SEARCH(AR$2,Liste_Handelsünger[Handelsdünger])&gt;0)),ROW()-2),1),"")</f>
        <v>DC 35 10:10:15</v>
      </c>
      <c r="AR59" t="str">
        <f>IF(($A63=""),"",IF(COUNTIF(Mineral!$AJ$3:$AJ$324,$A63),"",$A63))</f>
        <v/>
      </c>
      <c r="AS59" t="str">
        <f>IFERROR(INDEX(Liste_Handelsünger[Handelsdünger],_xlfn.AGGREGATE(15,6,(ROW(Liste_Handelsünger[Handelsdünger])-1)/(--(SEARCH(AT$2,Liste_Handelsünger[Handelsdünger])&gt;0)),ROW()-2),1),"")</f>
        <v>DC 35 10:10:15</v>
      </c>
      <c r="AT59" t="str">
        <f>IF(($A64=""),"",IF(COUNTIF(Mineral!$AJ$3:$AJ$324,$A64),"",$A64))</f>
        <v/>
      </c>
      <c r="AU59" t="str">
        <f>IFERROR(INDEX(Liste_Handelsünger[Handelsdünger],_xlfn.AGGREGATE(15,6,(ROW(Liste_Handelsünger[Handelsdünger])-1)/(--(SEARCH(AV$2,Liste_Handelsünger[Handelsdünger])&gt;0)),ROW()-2),1),"")</f>
        <v>DC 35 10:10:15</v>
      </c>
      <c r="AV59" t="str">
        <f>IF(($A65=""),"",IF(COUNTIF(Mineral!$AJ$3:$AJ$324,$A65),"",$A65))</f>
        <v/>
      </c>
      <c r="AW59" t="str">
        <f>IFERROR(INDEX(Liste_Handelsünger[Handelsdünger],_xlfn.AGGREGATE(15,6,(ROW(Liste_Handelsünger[Handelsdünger])-1)/(--(SEARCH(AX$2,Liste_Handelsünger[Handelsdünger])&gt;0)),ROW()-2),1),"")</f>
        <v>DC 35 10:10:15</v>
      </c>
      <c r="AX59" t="str">
        <f>IF(($A66=""),"",IF(COUNTIF(Mineral!$AJ$3:$AJ$324,$A66),"",$A66))</f>
        <v/>
      </c>
      <c r="AY59" t="str">
        <f>IFERROR(INDEX(Liste_Handelsünger[Handelsdünger],_xlfn.AGGREGATE(15,6,(ROW(Liste_Handelsünger[Handelsdünger])-1)/(--(SEARCH(AZ$2,Liste_Handelsünger[Handelsdünger])&gt;0)),ROW()-2),1),"")</f>
        <v>DC 35 10:10:15</v>
      </c>
      <c r="AZ59" t="str">
        <f>IF(($A67=""),"",IF(COUNTIF(Mineral!$AJ$3:$AJ$324,$A67),"",$A67))</f>
        <v/>
      </c>
      <c r="BA59" t="str">
        <f>IFERROR(INDEX(Liste_Handelsünger[Handelsdünger],_xlfn.AGGREGATE(15,6,(ROW(Liste_Handelsünger[Handelsdünger])-1)/(--(SEARCH(BB$2,Liste_Handelsünger[Handelsdünger])&gt;0)),ROW()-2),1),"")</f>
        <v>DC 35 10:10:15</v>
      </c>
      <c r="BB59" t="str">
        <f>IF(($A68=""),"",IF(COUNTIF(Mineral!$AJ$3:$AJ$324,$A68),"",$A68))</f>
        <v/>
      </c>
      <c r="BC59" t="str">
        <f>IFERROR(INDEX(Liste_Handelsünger[Handelsdünger],_xlfn.AGGREGATE(15,6,(ROW(Liste_Handelsünger[Handelsdünger])-1)/(--(SEARCH(BD$2,Liste_Handelsünger[Handelsdünger])&gt;0)),ROW()-2),1),"")</f>
        <v>DC 35 10:10:15</v>
      </c>
      <c r="BD59" t="str">
        <f>IF(($A69=""),"",IF(COUNTIF(Mineral!$AJ$3:$AJ$324,$A69),"",$A69))</f>
        <v/>
      </c>
      <c r="BE59" t="str">
        <f>IFERROR(INDEX(Liste_Handelsünger[Handelsdünger],_xlfn.AGGREGATE(15,6,(ROW(Liste_Handelsünger[Handelsdünger])-1)/(--(SEARCH(BF$2,Liste_Handelsünger[Handelsdünger])&gt;0)),ROW()-2),1),"")</f>
        <v>DC 35 10:10:15</v>
      </c>
      <c r="BF59" t="str">
        <f>IF(($A70=""),"",IF(COUNTIF(Mineral!$AJ$3:$AJ$324,$A70),"",$A70))</f>
        <v/>
      </c>
      <c r="BG59" t="str">
        <f>IFERROR(INDEX(Liste_Handelsünger[Handelsdünger],_xlfn.AGGREGATE(15,6,(ROW(Liste_Handelsünger[Handelsdünger])-1)/(--(SEARCH(BH$2,Liste_Handelsünger[Handelsdünger])&gt;0)),ROW()-2),1),"")</f>
        <v>DC 35 10:10:15</v>
      </c>
      <c r="BH59" t="str">
        <f>IF(($A71=""),"",IF(COUNTIF(Mineral!$AJ$3:$AJ$324,$A71),"",$A71))</f>
        <v/>
      </c>
      <c r="BI59" t="str">
        <f>IFERROR(INDEX(Liste_Handelsünger[Handelsdünger],_xlfn.AGGREGATE(15,6,(ROW(Liste_Handelsünger[Handelsdünger])-1)/(--(SEARCH(BJ$2,Liste_Handelsünger[Handelsdünger])&gt;0)),ROW()-2),1),"")</f>
        <v>DC 35 10:10:15</v>
      </c>
      <c r="BJ59" t="str">
        <f>IF(($A72=""),"",IF(COUNTIF(Mineral!$AJ$3:$AJ$324,$A72),"",$A72))</f>
        <v/>
      </c>
      <c r="BK59" t="str">
        <f>IFERROR(INDEX(Liste_Handelsünger[Handelsdünger],_xlfn.AGGREGATE(15,6,(ROW(Liste_Handelsünger[Handelsdünger])-1)/(--(SEARCH(BL$2,Liste_Handelsünger[Handelsdünger])&gt;0)),ROW()-2),1),"")</f>
        <v>DC 35 10:10:15</v>
      </c>
      <c r="BM59" t="str">
        <f>IFERROR(INDEX(Liste_Handelsünger[Handelsdünger],_xlfn.AGGREGATE(15,6,(ROW(Liste_Handelsünger[Handelsdünger])-1)/(--(SEARCH(BN$2,Liste_Handelsünger[Handelsdünger])&gt;0)),ROW()-2),1),"")</f>
        <v>DC 35 10:10:15</v>
      </c>
      <c r="BN59" t="str">
        <f>IF(($A74=""),"",IF(COUNTIF(Mineral!$AJ$3:$AJ$324,$A74),"",$A74))</f>
        <v/>
      </c>
      <c r="BV59" t="s">
        <v>2103</v>
      </c>
      <c r="BW59" t="s">
        <v>2120</v>
      </c>
    </row>
    <row r="60" spans="18:75" ht="14.25" thickTop="1" thickBot="1">
      <c r="S60" s="1676">
        <v>59</v>
      </c>
      <c r="T60" s="1606" t="s">
        <v>2335</v>
      </c>
      <c r="U60" s="1606" t="s">
        <v>2104</v>
      </c>
      <c r="V60" s="1606"/>
      <c r="W60" s="1606">
        <v>0</v>
      </c>
      <c r="X60" s="1606">
        <v>18</v>
      </c>
      <c r="Y60" s="1606">
        <v>18</v>
      </c>
      <c r="Z60" s="1606">
        <v>0</v>
      </c>
      <c r="AA60" s="1606">
        <v>0</v>
      </c>
      <c r="AB60" s="1606">
        <v>0</v>
      </c>
      <c r="AC60" s="1606">
        <v>1</v>
      </c>
      <c r="AD60" s="1613">
        <v>1</v>
      </c>
      <c r="AE60" s="1606" t="s">
        <v>1764</v>
      </c>
      <c r="AF60" s="1613" t="str">
        <f t="shared" si="7"/>
        <v/>
      </c>
      <c r="AG60" s="1656">
        <f>IFERROR(IF($AF60&gt;0,VLOOKUP($U60,Tabelle1!$C$188:$L$212,5,0)*$AF60,0),0)</f>
        <v>0</v>
      </c>
      <c r="AH60" s="1656">
        <f t="shared" si="8"/>
        <v>0</v>
      </c>
      <c r="AJ60" t="str">
        <f>IF(Betrieb!$D$9="JA",Mineral!$BW60,Mineral!$BV60)</f>
        <v>DC 36 0:18:18</v>
      </c>
      <c r="AK60" s="1672" t="str">
        <f>IFERROR(INDEX(Liste_Handelsünger[Handelsdünger],_xlfn.AGGREGATE(15,6,(ROW(Liste_Handelsünger[Handelsdünger])-1)/(--(SEARCH(AL$2,Liste_Handelsünger[Handelsdünger])&gt;0)),ROW()-2),1),"")</f>
        <v>DC 36 0:18:18</v>
      </c>
      <c r="AL60" s="1672" t="str">
        <f>IF(($A$3=""),"",IF(COUNTIF(Mineral!$AJ$3:$AJ$324,$A$3),"",$A$3))</f>
        <v/>
      </c>
      <c r="AM60" s="1672" t="str">
        <f>IFERROR(INDEX(Liste_Handelsünger[Handelsdünger],_xlfn.AGGREGATE(15,6,(ROW(Liste_Handelsünger[Handelsdünger])-1)/(--(SEARCH(AN$2,Liste_Handelsünger[Handelsdünger])&gt;0)),ROW()-2),1),"")</f>
        <v>DC 36 0:18:18</v>
      </c>
      <c r="AN60" t="str">
        <f>IF(($A62=""),"",IF(COUNTIF(Mineral!$AJ$3:$AJ$324,$A62),"",$A62))</f>
        <v/>
      </c>
      <c r="AO60" t="str">
        <f>IFERROR(INDEX(Liste_Handelsünger[Handelsdünger],_xlfn.AGGREGATE(15,6,(ROW(Liste_Handelsünger[Handelsdünger])-1)/(--(SEARCH(AP$2,Liste_Handelsünger[Handelsdünger])&gt;0)),ROW()-2),1),"")</f>
        <v>DC 36 0:18:18</v>
      </c>
      <c r="AP60" t="str">
        <f>IF(($A63=""),"",IF(COUNTIF(Mineral!$AJ$3:$AJ$324,$A63),"",$A63))</f>
        <v/>
      </c>
      <c r="AQ60" t="str">
        <f>IFERROR(INDEX(Liste_Handelsünger[Handelsdünger],_xlfn.AGGREGATE(15,6,(ROW(Liste_Handelsünger[Handelsdünger])-1)/(--(SEARCH(AR$2,Liste_Handelsünger[Handelsdünger])&gt;0)),ROW()-2),1),"")</f>
        <v>DC 36 0:18:18</v>
      </c>
      <c r="AR60" t="str">
        <f>IF(($A64=""),"",IF(COUNTIF(Mineral!$AJ$3:$AJ$324,$A64),"",$A64))</f>
        <v/>
      </c>
      <c r="AS60" t="str">
        <f>IFERROR(INDEX(Liste_Handelsünger[Handelsdünger],_xlfn.AGGREGATE(15,6,(ROW(Liste_Handelsünger[Handelsdünger])-1)/(--(SEARCH(AT$2,Liste_Handelsünger[Handelsdünger])&gt;0)),ROW()-2),1),"")</f>
        <v>DC 36 0:18:18</v>
      </c>
      <c r="AT60" t="str">
        <f>IF(($A65=""),"",IF(COUNTIF(Mineral!$AJ$3:$AJ$324,$A65),"",$A65))</f>
        <v/>
      </c>
      <c r="AU60" t="str">
        <f>IFERROR(INDEX(Liste_Handelsünger[Handelsdünger],_xlfn.AGGREGATE(15,6,(ROW(Liste_Handelsünger[Handelsdünger])-1)/(--(SEARCH(AV$2,Liste_Handelsünger[Handelsdünger])&gt;0)),ROW()-2),1),"")</f>
        <v>DC 36 0:18:18</v>
      </c>
      <c r="AV60" t="str">
        <f>IF(($A66=""),"",IF(COUNTIF(Mineral!$AJ$3:$AJ$324,$A66),"",$A66))</f>
        <v/>
      </c>
      <c r="AW60" t="str">
        <f>IFERROR(INDEX(Liste_Handelsünger[Handelsdünger],_xlfn.AGGREGATE(15,6,(ROW(Liste_Handelsünger[Handelsdünger])-1)/(--(SEARCH(AX$2,Liste_Handelsünger[Handelsdünger])&gt;0)),ROW()-2),1),"")</f>
        <v>DC 36 0:18:18</v>
      </c>
      <c r="AX60" t="str">
        <f>IF(($A67=""),"",IF(COUNTIF(Mineral!$AJ$3:$AJ$324,$A67),"",$A67))</f>
        <v/>
      </c>
      <c r="AY60" t="str">
        <f>IFERROR(INDEX(Liste_Handelsünger[Handelsdünger],_xlfn.AGGREGATE(15,6,(ROW(Liste_Handelsünger[Handelsdünger])-1)/(--(SEARCH(AZ$2,Liste_Handelsünger[Handelsdünger])&gt;0)),ROW()-2),1),"")</f>
        <v>DC 36 0:18:18</v>
      </c>
      <c r="AZ60" t="str">
        <f>IF(($A68=""),"",IF(COUNTIF(Mineral!$AJ$3:$AJ$324,$A68),"",$A68))</f>
        <v/>
      </c>
      <c r="BA60" t="str">
        <f>IFERROR(INDEX(Liste_Handelsünger[Handelsdünger],_xlfn.AGGREGATE(15,6,(ROW(Liste_Handelsünger[Handelsdünger])-1)/(--(SEARCH(BB$2,Liste_Handelsünger[Handelsdünger])&gt;0)),ROW()-2),1),"")</f>
        <v>DC 36 0:18:18</v>
      </c>
      <c r="BB60" t="str">
        <f>IF(($A69=""),"",IF(COUNTIF(Mineral!$AJ$3:$AJ$324,$A69),"",$A69))</f>
        <v/>
      </c>
      <c r="BC60" t="str">
        <f>IFERROR(INDEX(Liste_Handelsünger[Handelsdünger],_xlfn.AGGREGATE(15,6,(ROW(Liste_Handelsünger[Handelsdünger])-1)/(--(SEARCH(BD$2,Liste_Handelsünger[Handelsdünger])&gt;0)),ROW()-2),1),"")</f>
        <v>DC 36 0:18:18</v>
      </c>
      <c r="BD60" t="str">
        <f>IF(($A70=""),"",IF(COUNTIF(Mineral!$AJ$3:$AJ$324,$A70),"",$A70))</f>
        <v/>
      </c>
      <c r="BE60" t="str">
        <f>IFERROR(INDEX(Liste_Handelsünger[Handelsdünger],_xlfn.AGGREGATE(15,6,(ROW(Liste_Handelsünger[Handelsdünger])-1)/(--(SEARCH(BF$2,Liste_Handelsünger[Handelsdünger])&gt;0)),ROW()-2),1),"")</f>
        <v>DC 36 0:18:18</v>
      </c>
      <c r="BF60" t="str">
        <f>IF(($A71=""),"",IF(COUNTIF(Mineral!$AJ$3:$AJ$324,$A71),"",$A71))</f>
        <v/>
      </c>
      <c r="BG60" t="str">
        <f>IFERROR(INDEX(Liste_Handelsünger[Handelsdünger],_xlfn.AGGREGATE(15,6,(ROW(Liste_Handelsünger[Handelsdünger])-1)/(--(SEARCH(BH$2,Liste_Handelsünger[Handelsdünger])&gt;0)),ROW()-2),1),"")</f>
        <v>DC 36 0:18:18</v>
      </c>
      <c r="BH60" t="str">
        <f>IF(($A72=""),"",IF(COUNTIF(Mineral!$AJ$3:$AJ$324,$A72),"",$A72))</f>
        <v/>
      </c>
      <c r="BI60" t="str">
        <f>IFERROR(INDEX(Liste_Handelsünger[Handelsdünger],_xlfn.AGGREGATE(15,6,(ROW(Liste_Handelsünger[Handelsdünger])-1)/(--(SEARCH(BJ$2,Liste_Handelsünger[Handelsdünger])&gt;0)),ROW()-2),1),"")</f>
        <v>DC 36 0:18:18</v>
      </c>
      <c r="BJ60" t="str">
        <f>IF(($A73=""),"",IF(COUNTIF(Mineral!$AJ$3:$AJ$324,$A73),"",$A73))</f>
        <v/>
      </c>
      <c r="BK60" t="str">
        <f>IFERROR(INDEX(Liste_Handelsünger[Handelsdünger],_xlfn.AGGREGATE(15,6,(ROW(Liste_Handelsünger[Handelsdünger])-1)/(--(SEARCH(BL$2,Liste_Handelsünger[Handelsdünger])&gt;0)),ROW()-2),1),"")</f>
        <v>DC 36 0:18:18</v>
      </c>
      <c r="BM60" t="str">
        <f>IFERROR(INDEX(Liste_Handelsünger[Handelsdünger],_xlfn.AGGREGATE(15,6,(ROW(Liste_Handelsünger[Handelsdünger])-1)/(--(SEARCH(BN$2,Liste_Handelsünger[Handelsdünger])&gt;0)),ROW()-2),1),"")</f>
        <v>DC 36 0:18:18</v>
      </c>
      <c r="BN60" t="str">
        <f>IF(($A75=""),"",IF(COUNTIF(Mineral!$AJ$3:$AJ$324,$A75),"",$A75))</f>
        <v/>
      </c>
      <c r="BV60" t="s">
        <v>2104</v>
      </c>
      <c r="BW60" t="s">
        <v>2125</v>
      </c>
    </row>
    <row r="61" spans="18:75" ht="14.25" thickTop="1" thickBot="1">
      <c r="S61" s="1616">
        <v>60</v>
      </c>
      <c r="T61" s="1617" t="s">
        <v>2335</v>
      </c>
      <c r="U61" s="1617" t="s">
        <v>2106</v>
      </c>
      <c r="V61" s="1617"/>
      <c r="W61" s="1617">
        <v>9</v>
      </c>
      <c r="X61" s="1617">
        <v>15</v>
      </c>
      <c r="Y61" s="1617">
        <v>15</v>
      </c>
      <c r="Z61" s="1617">
        <v>0</v>
      </c>
      <c r="AA61" s="1617">
        <v>0</v>
      </c>
      <c r="AB61" s="1617">
        <v>0</v>
      </c>
      <c r="AC61" s="1617">
        <v>1</v>
      </c>
      <c r="AD61" s="1613">
        <v>1</v>
      </c>
      <c r="AE61" s="1617" t="s">
        <v>2016</v>
      </c>
      <c r="AF61" s="1613" t="str">
        <f t="shared" si="7"/>
        <v/>
      </c>
      <c r="AG61" s="1656">
        <f>IFERROR(IF($AF61&gt;0,VLOOKUP($U61,Tabelle1!$C$188:$L$212,5,0)*$AF61,0),0)</f>
        <v>0</v>
      </c>
      <c r="AH61" s="1656">
        <f t="shared" si="8"/>
        <v>0</v>
      </c>
      <c r="AJ61" t="str">
        <f>IF(Betrieb!$D$9="JA",Mineral!$BW61,Mineral!$BV61)</f>
        <v>DC 39 9:15:15</v>
      </c>
      <c r="AK61" s="1672" t="str">
        <f>IFERROR(INDEX(Liste_Handelsünger[Handelsdünger],_xlfn.AGGREGATE(15,6,(ROW(Liste_Handelsünger[Handelsdünger])-1)/(--(SEARCH(AL$2,Liste_Handelsünger[Handelsdünger])&gt;0)),ROW()-2),1),"")</f>
        <v>DC 39 9:15:15</v>
      </c>
      <c r="AL61" s="1672" t="str">
        <f>IF(($A$3=""),"",IF(COUNTIF(Mineral!$AJ$3:$AJ$324,$A$3),"",$A$3))</f>
        <v/>
      </c>
      <c r="AM61" s="1672" t="str">
        <f>IFERROR(INDEX(Liste_Handelsünger[Handelsdünger],_xlfn.AGGREGATE(15,6,(ROW(Liste_Handelsünger[Handelsdünger])-1)/(--(SEARCH(AN$2,Liste_Handelsünger[Handelsdünger])&gt;0)),ROW()-2),1),"")</f>
        <v>DC 39 9:15:15</v>
      </c>
      <c r="AN61" t="str">
        <f>IF(($A63=""),"",IF(COUNTIF(Mineral!$AJ$3:$AJ$324,$A63),"",$A63))</f>
        <v/>
      </c>
      <c r="AO61" t="str">
        <f>IFERROR(INDEX(Liste_Handelsünger[Handelsdünger],_xlfn.AGGREGATE(15,6,(ROW(Liste_Handelsünger[Handelsdünger])-1)/(--(SEARCH(AP$2,Liste_Handelsünger[Handelsdünger])&gt;0)),ROW()-2),1),"")</f>
        <v>DC 39 9:15:15</v>
      </c>
      <c r="AP61" t="str">
        <f>IF(($A64=""),"",IF(COUNTIF(Mineral!$AJ$3:$AJ$324,$A64),"",$A64))</f>
        <v/>
      </c>
      <c r="AQ61" t="str">
        <f>IFERROR(INDEX(Liste_Handelsünger[Handelsdünger],_xlfn.AGGREGATE(15,6,(ROW(Liste_Handelsünger[Handelsdünger])-1)/(--(SEARCH(AR$2,Liste_Handelsünger[Handelsdünger])&gt;0)),ROW()-2),1),"")</f>
        <v>DC 39 9:15:15</v>
      </c>
      <c r="AR61" t="str">
        <f>IF(($A65=""),"",IF(COUNTIF(Mineral!$AJ$3:$AJ$324,$A65),"",$A65))</f>
        <v/>
      </c>
      <c r="AS61" t="str">
        <f>IFERROR(INDEX(Liste_Handelsünger[Handelsdünger],_xlfn.AGGREGATE(15,6,(ROW(Liste_Handelsünger[Handelsdünger])-1)/(--(SEARCH(AT$2,Liste_Handelsünger[Handelsdünger])&gt;0)),ROW()-2),1),"")</f>
        <v>DC 39 9:15:15</v>
      </c>
      <c r="AT61" t="str">
        <f>IF(($A66=""),"",IF(COUNTIF(Mineral!$AJ$3:$AJ$324,$A66),"",$A66))</f>
        <v/>
      </c>
      <c r="AU61" t="str">
        <f>IFERROR(INDEX(Liste_Handelsünger[Handelsdünger],_xlfn.AGGREGATE(15,6,(ROW(Liste_Handelsünger[Handelsdünger])-1)/(--(SEARCH(AV$2,Liste_Handelsünger[Handelsdünger])&gt;0)),ROW()-2),1),"")</f>
        <v>DC 39 9:15:15</v>
      </c>
      <c r="AV61" t="str">
        <f>IF(($A67=""),"",IF(COUNTIF(Mineral!$AJ$3:$AJ$324,$A67),"",$A67))</f>
        <v/>
      </c>
      <c r="AW61" t="str">
        <f>IFERROR(INDEX(Liste_Handelsünger[Handelsdünger],_xlfn.AGGREGATE(15,6,(ROW(Liste_Handelsünger[Handelsdünger])-1)/(--(SEARCH(AX$2,Liste_Handelsünger[Handelsdünger])&gt;0)),ROW()-2),1),"")</f>
        <v>DC 39 9:15:15</v>
      </c>
      <c r="AX61" t="str">
        <f>IF(($A68=""),"",IF(COUNTIF(Mineral!$AJ$3:$AJ$324,$A68),"",$A68))</f>
        <v/>
      </c>
      <c r="AY61" t="str">
        <f>IFERROR(INDEX(Liste_Handelsünger[Handelsdünger],_xlfn.AGGREGATE(15,6,(ROW(Liste_Handelsünger[Handelsdünger])-1)/(--(SEARCH(AZ$2,Liste_Handelsünger[Handelsdünger])&gt;0)),ROW()-2),1),"")</f>
        <v>DC 39 9:15:15</v>
      </c>
      <c r="AZ61" t="str">
        <f>IF(($A69=""),"",IF(COUNTIF(Mineral!$AJ$3:$AJ$324,$A69),"",$A69))</f>
        <v/>
      </c>
      <c r="BA61" t="str">
        <f>IFERROR(INDEX(Liste_Handelsünger[Handelsdünger],_xlfn.AGGREGATE(15,6,(ROW(Liste_Handelsünger[Handelsdünger])-1)/(--(SEARCH(BB$2,Liste_Handelsünger[Handelsdünger])&gt;0)),ROW()-2),1),"")</f>
        <v>DC 39 9:15:15</v>
      </c>
      <c r="BB61" t="str">
        <f>IF(($A70=""),"",IF(COUNTIF(Mineral!$AJ$3:$AJ$324,$A70),"",$A70))</f>
        <v/>
      </c>
      <c r="BC61" t="str">
        <f>IFERROR(INDEX(Liste_Handelsünger[Handelsdünger],_xlfn.AGGREGATE(15,6,(ROW(Liste_Handelsünger[Handelsdünger])-1)/(--(SEARCH(BD$2,Liste_Handelsünger[Handelsdünger])&gt;0)),ROW()-2),1),"")</f>
        <v>DC 39 9:15:15</v>
      </c>
      <c r="BD61" t="str">
        <f>IF(($A71=""),"",IF(COUNTIF(Mineral!$AJ$3:$AJ$324,$A71),"",$A71))</f>
        <v/>
      </c>
      <c r="BE61" t="str">
        <f>IFERROR(INDEX(Liste_Handelsünger[Handelsdünger],_xlfn.AGGREGATE(15,6,(ROW(Liste_Handelsünger[Handelsdünger])-1)/(--(SEARCH(BF$2,Liste_Handelsünger[Handelsdünger])&gt;0)),ROW()-2),1),"")</f>
        <v>DC 39 9:15:15</v>
      </c>
      <c r="BF61" t="str">
        <f>IF(($A72=""),"",IF(COUNTIF(Mineral!$AJ$3:$AJ$324,$A72),"",$A72))</f>
        <v/>
      </c>
      <c r="BG61" t="str">
        <f>IFERROR(INDEX(Liste_Handelsünger[Handelsdünger],_xlfn.AGGREGATE(15,6,(ROW(Liste_Handelsünger[Handelsdünger])-1)/(--(SEARCH(BH$2,Liste_Handelsünger[Handelsdünger])&gt;0)),ROW()-2),1),"")</f>
        <v>DC 39 9:15:15</v>
      </c>
      <c r="BH61" t="str">
        <f>IF(($A73=""),"",IF(COUNTIF(Mineral!$AJ$3:$AJ$324,$A73),"",$A73))</f>
        <v/>
      </c>
      <c r="BI61" t="str">
        <f>IFERROR(INDEX(Liste_Handelsünger[Handelsdünger],_xlfn.AGGREGATE(15,6,(ROW(Liste_Handelsünger[Handelsdünger])-1)/(--(SEARCH(BJ$2,Liste_Handelsünger[Handelsdünger])&gt;0)),ROW()-2),1),"")</f>
        <v>DC 39 9:15:15</v>
      </c>
      <c r="BJ61" t="str">
        <f>IF(($A74=""),"",IF(COUNTIF(Mineral!$AJ$3:$AJ$324,$A74),"",$A74))</f>
        <v/>
      </c>
      <c r="BK61" t="str">
        <f>IFERROR(INDEX(Liste_Handelsünger[Handelsdünger],_xlfn.AGGREGATE(15,6,(ROW(Liste_Handelsünger[Handelsdünger])-1)/(--(SEARCH(BL$2,Liste_Handelsünger[Handelsdünger])&gt;0)),ROW()-2),1),"")</f>
        <v>DC 39 9:15:15</v>
      </c>
      <c r="BM61" t="str">
        <f>IFERROR(INDEX(Liste_Handelsünger[Handelsdünger],_xlfn.AGGREGATE(15,6,(ROW(Liste_Handelsünger[Handelsdünger])-1)/(--(SEARCH(BN$2,Liste_Handelsünger[Handelsdünger])&gt;0)),ROW()-2),1),"")</f>
        <v>DC 39 9:15:15</v>
      </c>
      <c r="BN61" t="str">
        <f>IF(($A76=""),"",IF(COUNTIF(Mineral!$AJ$3:$AJ$324,$A76),"",$A76))</f>
        <v/>
      </c>
      <c r="BV61" t="s">
        <v>2106</v>
      </c>
      <c r="BW61" t="s">
        <v>2126</v>
      </c>
    </row>
    <row r="62" spans="18:75" ht="14.25" thickTop="1" thickBot="1">
      <c r="S62" s="1676">
        <v>61</v>
      </c>
      <c r="T62" s="1606" t="s">
        <v>2335</v>
      </c>
      <c r="U62" s="1606" t="s">
        <v>2107</v>
      </c>
      <c r="V62" s="1606"/>
      <c r="W62" s="1606">
        <v>12</v>
      </c>
      <c r="X62" s="1606">
        <v>12</v>
      </c>
      <c r="Y62" s="1606">
        <v>12</v>
      </c>
      <c r="Z62" s="1606">
        <v>12</v>
      </c>
      <c r="AA62" s="1606">
        <v>0</v>
      </c>
      <c r="AB62" s="1606">
        <v>0</v>
      </c>
      <c r="AC62" s="1606">
        <v>1</v>
      </c>
      <c r="AD62" s="1613">
        <v>1</v>
      </c>
      <c r="AE62" s="1606" t="s">
        <v>2016</v>
      </c>
      <c r="AF62" s="1613" t="str">
        <f t="shared" si="7"/>
        <v/>
      </c>
      <c r="AG62" s="1656">
        <f>IFERROR(IF($AF62&gt;0,VLOOKUP($U62,Tabelle1!$C$188:$L$212,5,0)*$AF62,0),0)</f>
        <v>0</v>
      </c>
      <c r="AH62" s="1656">
        <f t="shared" si="8"/>
        <v>0</v>
      </c>
      <c r="AJ62" t="str">
        <f>IF(Betrieb!$D$9="JA",Mineral!$BW62,Mineral!$BV62)</f>
        <v>DC 4 x 12</v>
      </c>
      <c r="AK62" s="1672" t="str">
        <f>IFERROR(INDEX(Liste_Handelsünger[Handelsdünger],_xlfn.AGGREGATE(15,6,(ROW(Liste_Handelsünger[Handelsdünger])-1)/(--(SEARCH(AL$2,Liste_Handelsünger[Handelsdünger])&gt;0)),ROW()-2),1),"")</f>
        <v>DC 4 x 12</v>
      </c>
      <c r="AL62" s="1672" t="str">
        <f>IF(($A$3=""),"",IF(COUNTIF(Mineral!$AJ$3:$AJ$324,$A$3),"",$A$3))</f>
        <v/>
      </c>
      <c r="AM62" s="1672" t="str">
        <f>IFERROR(INDEX(Liste_Handelsünger[Handelsdünger],_xlfn.AGGREGATE(15,6,(ROW(Liste_Handelsünger[Handelsdünger])-1)/(--(SEARCH(AN$2,Liste_Handelsünger[Handelsdünger])&gt;0)),ROW()-2),1),"")</f>
        <v>DC 4 x 12</v>
      </c>
      <c r="AN62" t="str">
        <f>IF(($A64=""),"",IF(COUNTIF(Mineral!$AJ$3:$AJ$324,$A64),"",$A64))</f>
        <v/>
      </c>
      <c r="AO62" t="str">
        <f>IFERROR(INDEX(Liste_Handelsünger[Handelsdünger],_xlfn.AGGREGATE(15,6,(ROW(Liste_Handelsünger[Handelsdünger])-1)/(--(SEARCH(AP$2,Liste_Handelsünger[Handelsdünger])&gt;0)),ROW()-2),1),"")</f>
        <v>DC 4 x 12</v>
      </c>
      <c r="AP62" t="str">
        <f>IF(($A65=""),"",IF(COUNTIF(Mineral!$AJ$3:$AJ$324,$A65),"",$A65))</f>
        <v/>
      </c>
      <c r="AQ62" t="str">
        <f>IFERROR(INDEX(Liste_Handelsünger[Handelsdünger],_xlfn.AGGREGATE(15,6,(ROW(Liste_Handelsünger[Handelsdünger])-1)/(--(SEARCH(AR$2,Liste_Handelsünger[Handelsdünger])&gt;0)),ROW()-2),1),"")</f>
        <v>DC 4 x 12</v>
      </c>
      <c r="AR62" t="str">
        <f>IF(($A66=""),"",IF(COUNTIF(Mineral!$AJ$3:$AJ$324,$A66),"",$A66))</f>
        <v/>
      </c>
      <c r="AS62" t="str">
        <f>IFERROR(INDEX(Liste_Handelsünger[Handelsdünger],_xlfn.AGGREGATE(15,6,(ROW(Liste_Handelsünger[Handelsdünger])-1)/(--(SEARCH(AT$2,Liste_Handelsünger[Handelsdünger])&gt;0)),ROW()-2),1),"")</f>
        <v>DC 4 x 12</v>
      </c>
      <c r="AT62" t="str">
        <f>IF(($A67=""),"",IF(COUNTIF(Mineral!$AJ$3:$AJ$324,$A67),"",$A67))</f>
        <v/>
      </c>
      <c r="AU62" t="str">
        <f>IFERROR(INDEX(Liste_Handelsünger[Handelsdünger],_xlfn.AGGREGATE(15,6,(ROW(Liste_Handelsünger[Handelsdünger])-1)/(--(SEARCH(AV$2,Liste_Handelsünger[Handelsdünger])&gt;0)),ROW()-2),1),"")</f>
        <v>DC 4 x 12</v>
      </c>
      <c r="AV62" t="str">
        <f>IF(($A68=""),"",IF(COUNTIF(Mineral!$AJ$3:$AJ$324,$A68),"",$A68))</f>
        <v/>
      </c>
      <c r="AW62" t="str">
        <f>IFERROR(INDEX(Liste_Handelsünger[Handelsdünger],_xlfn.AGGREGATE(15,6,(ROW(Liste_Handelsünger[Handelsdünger])-1)/(--(SEARCH(AX$2,Liste_Handelsünger[Handelsdünger])&gt;0)),ROW()-2),1),"")</f>
        <v>DC 4 x 12</v>
      </c>
      <c r="AX62" t="str">
        <f>IF(($A69=""),"",IF(COUNTIF(Mineral!$AJ$3:$AJ$324,$A69),"",$A69))</f>
        <v/>
      </c>
      <c r="AY62" t="str">
        <f>IFERROR(INDEX(Liste_Handelsünger[Handelsdünger],_xlfn.AGGREGATE(15,6,(ROW(Liste_Handelsünger[Handelsdünger])-1)/(--(SEARCH(AZ$2,Liste_Handelsünger[Handelsdünger])&gt;0)),ROW()-2),1),"")</f>
        <v>DC 4 x 12</v>
      </c>
      <c r="AZ62" t="str">
        <f>IF(($A70=""),"",IF(COUNTIF(Mineral!$AJ$3:$AJ$324,$A70),"",$A70))</f>
        <v/>
      </c>
      <c r="BA62" t="str">
        <f>IFERROR(INDEX(Liste_Handelsünger[Handelsdünger],_xlfn.AGGREGATE(15,6,(ROW(Liste_Handelsünger[Handelsdünger])-1)/(--(SEARCH(BB$2,Liste_Handelsünger[Handelsdünger])&gt;0)),ROW()-2),1),"")</f>
        <v>DC 4 x 12</v>
      </c>
      <c r="BB62" t="str">
        <f>IF(($A71=""),"",IF(COUNTIF(Mineral!$AJ$3:$AJ$324,$A71),"",$A71))</f>
        <v/>
      </c>
      <c r="BC62" t="str">
        <f>IFERROR(INDEX(Liste_Handelsünger[Handelsdünger],_xlfn.AGGREGATE(15,6,(ROW(Liste_Handelsünger[Handelsdünger])-1)/(--(SEARCH(BD$2,Liste_Handelsünger[Handelsdünger])&gt;0)),ROW()-2),1),"")</f>
        <v>DC 4 x 12</v>
      </c>
      <c r="BD62" t="str">
        <f>IF(($A72=""),"",IF(COUNTIF(Mineral!$AJ$3:$AJ$324,$A72),"",$A72))</f>
        <v/>
      </c>
      <c r="BE62" t="str">
        <f>IFERROR(INDEX(Liste_Handelsünger[Handelsdünger],_xlfn.AGGREGATE(15,6,(ROW(Liste_Handelsünger[Handelsdünger])-1)/(--(SEARCH(BF$2,Liste_Handelsünger[Handelsdünger])&gt;0)),ROW()-2),1),"")</f>
        <v>DC 4 x 12</v>
      </c>
      <c r="BF62" t="str">
        <f>IF(($A73=""),"",IF(COUNTIF(Mineral!$AJ$3:$AJ$324,$A73),"",$A73))</f>
        <v/>
      </c>
      <c r="BG62" t="str">
        <f>IFERROR(INDEX(Liste_Handelsünger[Handelsdünger],_xlfn.AGGREGATE(15,6,(ROW(Liste_Handelsünger[Handelsdünger])-1)/(--(SEARCH(BH$2,Liste_Handelsünger[Handelsdünger])&gt;0)),ROW()-2),1),"")</f>
        <v>DC 4 x 12</v>
      </c>
      <c r="BH62" t="str">
        <f>IF(($A74=""),"",IF(COUNTIF(Mineral!$AJ$3:$AJ$324,$A74),"",$A74))</f>
        <v/>
      </c>
      <c r="BI62" t="str">
        <f>IFERROR(INDEX(Liste_Handelsünger[Handelsdünger],_xlfn.AGGREGATE(15,6,(ROW(Liste_Handelsünger[Handelsdünger])-1)/(--(SEARCH(BJ$2,Liste_Handelsünger[Handelsdünger])&gt;0)),ROW()-2),1),"")</f>
        <v>DC 4 x 12</v>
      </c>
      <c r="BJ62" t="str">
        <f>IF(($A75=""),"",IF(COUNTIF(Mineral!$AJ$3:$AJ$324,$A75),"",$A75))</f>
        <v/>
      </c>
      <c r="BK62" t="str">
        <f>IFERROR(INDEX(Liste_Handelsünger[Handelsdünger],_xlfn.AGGREGATE(15,6,(ROW(Liste_Handelsünger[Handelsdünger])-1)/(--(SEARCH(BL$2,Liste_Handelsünger[Handelsdünger])&gt;0)),ROW()-2),1),"")</f>
        <v>DC 4 x 12</v>
      </c>
      <c r="BM62" t="str">
        <f>IFERROR(INDEX(Liste_Handelsünger[Handelsdünger],_xlfn.AGGREGATE(15,6,(ROW(Liste_Handelsünger[Handelsdünger])-1)/(--(SEARCH(BN$2,Liste_Handelsünger[Handelsdünger])&gt;0)),ROW()-2),1),"")</f>
        <v>DC 4 x 12</v>
      </c>
      <c r="BN62" t="str">
        <f>IF(($A77=""),"",IF(COUNTIF(Mineral!$AJ$3:$AJ$324,$A77),"",$A77))</f>
        <v/>
      </c>
      <c r="BV62" t="s">
        <v>2107</v>
      </c>
      <c r="BW62" t="s">
        <v>2129</v>
      </c>
    </row>
    <row r="63" spans="18:75" ht="14.25" thickTop="1" thickBot="1">
      <c r="S63" s="1616">
        <v>62</v>
      </c>
      <c r="T63" s="1617" t="s">
        <v>2335</v>
      </c>
      <c r="U63" s="1617" t="s">
        <v>2108</v>
      </c>
      <c r="V63" s="1617"/>
      <c r="W63" s="1617">
        <v>6</v>
      </c>
      <c r="X63" s="1617">
        <v>14</v>
      </c>
      <c r="Y63" s="1617">
        <v>24</v>
      </c>
      <c r="Z63" s="1617">
        <v>0</v>
      </c>
      <c r="AA63" s="1617">
        <v>0</v>
      </c>
      <c r="AB63" s="1617">
        <v>0</v>
      </c>
      <c r="AC63" s="1617">
        <v>1</v>
      </c>
      <c r="AD63" s="1613">
        <v>1</v>
      </c>
      <c r="AE63" s="1617" t="s">
        <v>2016</v>
      </c>
      <c r="AF63" s="1613" t="str">
        <f t="shared" si="7"/>
        <v/>
      </c>
      <c r="AG63" s="1656">
        <f>IFERROR(IF($AF63&gt;0,VLOOKUP($U63,Tabelle1!$C$188:$L$212,5,0)*$AF63,0),0)</f>
        <v>0</v>
      </c>
      <c r="AH63" s="1656">
        <f t="shared" si="8"/>
        <v>0</v>
      </c>
      <c r="AJ63" t="str">
        <f>IF(Betrieb!$D$9="JA",Mineral!$BW63,Mineral!$BV63)</f>
        <v>DC 42 6:14:24</v>
      </c>
      <c r="AK63" s="1672" t="str">
        <f>IFERROR(INDEX(Liste_Handelsünger[Handelsdünger],_xlfn.AGGREGATE(15,6,(ROW(Liste_Handelsünger[Handelsdünger])-1)/(--(SEARCH(AL$2,Liste_Handelsünger[Handelsdünger])&gt;0)),ROW()-2),1),"")</f>
        <v>DC 42 6:14:24</v>
      </c>
      <c r="AL63" s="1672" t="str">
        <f>IF(($A$3=""),"",IF(COUNTIF(Mineral!$AJ$3:$AJ$324,$A$3),"",$A$3))</f>
        <v/>
      </c>
      <c r="AM63" s="1672" t="str">
        <f>IFERROR(INDEX(Liste_Handelsünger[Handelsdünger],_xlfn.AGGREGATE(15,6,(ROW(Liste_Handelsünger[Handelsdünger])-1)/(--(SEARCH(AN$2,Liste_Handelsünger[Handelsdünger])&gt;0)),ROW()-2),1),"")</f>
        <v>DC 42 6:14:24</v>
      </c>
      <c r="AN63" t="str">
        <f>IF(($A65=""),"",IF(COUNTIF(Mineral!$AJ$3:$AJ$324,$A65),"",$A65))</f>
        <v/>
      </c>
      <c r="AO63" t="str">
        <f>IFERROR(INDEX(Liste_Handelsünger[Handelsdünger],_xlfn.AGGREGATE(15,6,(ROW(Liste_Handelsünger[Handelsdünger])-1)/(--(SEARCH(AP$2,Liste_Handelsünger[Handelsdünger])&gt;0)),ROW()-2),1),"")</f>
        <v>DC 42 6:14:24</v>
      </c>
      <c r="AP63" t="str">
        <f>IF(($A66=""),"",IF(COUNTIF(Mineral!$AJ$3:$AJ$324,$A66),"",$A66))</f>
        <v/>
      </c>
      <c r="AQ63" t="str">
        <f>IFERROR(INDEX(Liste_Handelsünger[Handelsdünger],_xlfn.AGGREGATE(15,6,(ROW(Liste_Handelsünger[Handelsdünger])-1)/(--(SEARCH(AR$2,Liste_Handelsünger[Handelsdünger])&gt;0)),ROW()-2),1),"")</f>
        <v>DC 42 6:14:24</v>
      </c>
      <c r="AR63" t="str">
        <f>IF(($A67=""),"",IF(COUNTIF(Mineral!$AJ$3:$AJ$324,$A67),"",$A67))</f>
        <v/>
      </c>
      <c r="AS63" t="str">
        <f>IFERROR(INDEX(Liste_Handelsünger[Handelsdünger],_xlfn.AGGREGATE(15,6,(ROW(Liste_Handelsünger[Handelsdünger])-1)/(--(SEARCH(AT$2,Liste_Handelsünger[Handelsdünger])&gt;0)),ROW()-2),1),"")</f>
        <v>DC 42 6:14:24</v>
      </c>
      <c r="AT63" t="str">
        <f>IF(($A68=""),"",IF(COUNTIF(Mineral!$AJ$3:$AJ$324,$A68),"",$A68))</f>
        <v/>
      </c>
      <c r="AU63" t="str">
        <f>IFERROR(INDEX(Liste_Handelsünger[Handelsdünger],_xlfn.AGGREGATE(15,6,(ROW(Liste_Handelsünger[Handelsdünger])-1)/(--(SEARCH(AV$2,Liste_Handelsünger[Handelsdünger])&gt;0)),ROW()-2),1),"")</f>
        <v>DC 42 6:14:24</v>
      </c>
      <c r="AV63" t="str">
        <f>IF(($A69=""),"",IF(COUNTIF(Mineral!$AJ$3:$AJ$324,$A69),"",$A69))</f>
        <v/>
      </c>
      <c r="AW63" t="str">
        <f>IFERROR(INDEX(Liste_Handelsünger[Handelsdünger],_xlfn.AGGREGATE(15,6,(ROW(Liste_Handelsünger[Handelsdünger])-1)/(--(SEARCH(AX$2,Liste_Handelsünger[Handelsdünger])&gt;0)),ROW()-2),1),"")</f>
        <v>DC 42 6:14:24</v>
      </c>
      <c r="AX63" t="str">
        <f>IF(($A70=""),"",IF(COUNTIF(Mineral!$AJ$3:$AJ$324,$A70),"",$A70))</f>
        <v/>
      </c>
      <c r="AY63" t="str">
        <f>IFERROR(INDEX(Liste_Handelsünger[Handelsdünger],_xlfn.AGGREGATE(15,6,(ROW(Liste_Handelsünger[Handelsdünger])-1)/(--(SEARCH(AZ$2,Liste_Handelsünger[Handelsdünger])&gt;0)),ROW()-2),1),"")</f>
        <v>DC 42 6:14:24</v>
      </c>
      <c r="AZ63" t="str">
        <f>IF(($A71=""),"",IF(COUNTIF(Mineral!$AJ$3:$AJ$324,$A71),"",$A71))</f>
        <v/>
      </c>
      <c r="BA63" t="str">
        <f>IFERROR(INDEX(Liste_Handelsünger[Handelsdünger],_xlfn.AGGREGATE(15,6,(ROW(Liste_Handelsünger[Handelsdünger])-1)/(--(SEARCH(BB$2,Liste_Handelsünger[Handelsdünger])&gt;0)),ROW()-2),1),"")</f>
        <v>DC 42 6:14:24</v>
      </c>
      <c r="BB63" t="str">
        <f>IF(($A72=""),"",IF(COUNTIF(Mineral!$AJ$3:$AJ$324,$A72),"",$A72))</f>
        <v/>
      </c>
      <c r="BC63" t="str">
        <f>IFERROR(INDEX(Liste_Handelsünger[Handelsdünger],_xlfn.AGGREGATE(15,6,(ROW(Liste_Handelsünger[Handelsdünger])-1)/(--(SEARCH(BD$2,Liste_Handelsünger[Handelsdünger])&gt;0)),ROW()-2),1),"")</f>
        <v>DC 42 6:14:24</v>
      </c>
      <c r="BD63" t="str">
        <f>IF(($A73=""),"",IF(COUNTIF(Mineral!$AJ$3:$AJ$324,$A73),"",$A73))</f>
        <v/>
      </c>
      <c r="BE63" t="str">
        <f>IFERROR(INDEX(Liste_Handelsünger[Handelsdünger],_xlfn.AGGREGATE(15,6,(ROW(Liste_Handelsünger[Handelsdünger])-1)/(--(SEARCH(BF$2,Liste_Handelsünger[Handelsdünger])&gt;0)),ROW()-2),1),"")</f>
        <v>DC 42 6:14:24</v>
      </c>
      <c r="BF63" t="str">
        <f>IF(($A74=""),"",IF(COUNTIF(Mineral!$AJ$3:$AJ$324,$A74),"",$A74))</f>
        <v/>
      </c>
      <c r="BG63" t="str">
        <f>IFERROR(INDEX(Liste_Handelsünger[Handelsdünger],_xlfn.AGGREGATE(15,6,(ROW(Liste_Handelsünger[Handelsdünger])-1)/(--(SEARCH(BH$2,Liste_Handelsünger[Handelsdünger])&gt;0)),ROW()-2),1),"")</f>
        <v>DC 42 6:14:24</v>
      </c>
      <c r="BH63" t="str">
        <f>IF(($A75=""),"",IF(COUNTIF(Mineral!$AJ$3:$AJ$324,$A75),"",$A75))</f>
        <v/>
      </c>
      <c r="BI63" t="str">
        <f>IFERROR(INDEX(Liste_Handelsünger[Handelsdünger],_xlfn.AGGREGATE(15,6,(ROW(Liste_Handelsünger[Handelsdünger])-1)/(--(SEARCH(BJ$2,Liste_Handelsünger[Handelsdünger])&gt;0)),ROW()-2),1),"")</f>
        <v>DC 42 6:14:24</v>
      </c>
      <c r="BJ63" t="str">
        <f>IF(($A76=""),"",IF(COUNTIF(Mineral!$AJ$3:$AJ$324,$A76),"",$A76))</f>
        <v/>
      </c>
      <c r="BK63" t="str">
        <f>IFERROR(INDEX(Liste_Handelsünger[Handelsdünger],_xlfn.AGGREGATE(15,6,(ROW(Liste_Handelsünger[Handelsdünger])-1)/(--(SEARCH(BL$2,Liste_Handelsünger[Handelsdünger])&gt;0)),ROW()-2),1),"")</f>
        <v>DC 42 6:14:24</v>
      </c>
      <c r="BM63" t="str">
        <f>IFERROR(INDEX(Liste_Handelsünger[Handelsdünger],_xlfn.AGGREGATE(15,6,(ROW(Liste_Handelsünger[Handelsdünger])-1)/(--(SEARCH(BN$2,Liste_Handelsünger[Handelsdünger])&gt;0)),ROW()-2),1),"")</f>
        <v>DC 42 6:14:24</v>
      </c>
      <c r="BN63" t="str">
        <f>IF(($A78=""),"",IF(COUNTIF(Mineral!$AJ$3:$AJ$324,$A78),"",$A78))</f>
        <v/>
      </c>
      <c r="BV63" t="s">
        <v>2108</v>
      </c>
      <c r="BW63" t="s">
        <v>2130</v>
      </c>
    </row>
    <row r="64" spans="18:75" ht="14.25" thickTop="1" thickBot="1">
      <c r="S64" s="1676">
        <v>63</v>
      </c>
      <c r="T64" s="1606" t="s">
        <v>2335</v>
      </c>
      <c r="U64" s="1606" t="s">
        <v>2110</v>
      </c>
      <c r="V64" s="1606"/>
      <c r="W64" s="1606">
        <v>16</v>
      </c>
      <c r="X64" s="1606">
        <v>5</v>
      </c>
      <c r="Y64" s="1606">
        <v>7</v>
      </c>
      <c r="Z64" s="1606">
        <v>10.6</v>
      </c>
      <c r="AA64" s="1606"/>
      <c r="AB64" s="1606"/>
      <c r="AC64" s="1606">
        <v>1</v>
      </c>
      <c r="AD64" s="1613">
        <v>1</v>
      </c>
      <c r="AE64" s="1606" t="s">
        <v>2016</v>
      </c>
      <c r="AF64" s="1613" t="str">
        <f t="shared" si="7"/>
        <v/>
      </c>
      <c r="AG64" s="1656">
        <f>IFERROR(IF($AF64&gt;0,VLOOKUP($U64,Tabelle1!$C$188:$L$212,5,0)*$AF64,0),0)</f>
        <v>0</v>
      </c>
      <c r="AH64" s="1656">
        <f t="shared" si="8"/>
        <v>0</v>
      </c>
      <c r="AJ64" t="str">
        <f>IF(Betrieb!$D$9="JA",Mineral!$BW64,Mineral!$BV64)</f>
        <v>DC NPK</v>
      </c>
      <c r="AK64" s="1672" t="str">
        <f>IFERROR(INDEX(Liste_Handelsünger[Handelsdünger],_xlfn.AGGREGATE(15,6,(ROW(Liste_Handelsünger[Handelsdünger])-1)/(--(SEARCH(AL$2,Liste_Handelsünger[Handelsdünger])&gt;0)),ROW()-2),1),"")</f>
        <v>DC NPK</v>
      </c>
      <c r="AL64" s="1672" t="str">
        <f>IF(($A$3=""),"",IF(COUNTIF(Mineral!$AJ$3:$AJ$324,$A$3),"",$A$3))</f>
        <v/>
      </c>
      <c r="AM64" s="1672" t="str">
        <f>IFERROR(INDEX(Liste_Handelsünger[Handelsdünger],_xlfn.AGGREGATE(15,6,(ROW(Liste_Handelsünger[Handelsdünger])-1)/(--(SEARCH(AN$2,Liste_Handelsünger[Handelsdünger])&gt;0)),ROW()-2),1),"")</f>
        <v>DC NPK</v>
      </c>
      <c r="AN64" t="str">
        <f>IF(($A66=""),"",IF(COUNTIF(Mineral!$AJ$3:$AJ$324,$A66),"",$A66))</f>
        <v/>
      </c>
      <c r="AO64" t="str">
        <f>IFERROR(INDEX(Liste_Handelsünger[Handelsdünger],_xlfn.AGGREGATE(15,6,(ROW(Liste_Handelsünger[Handelsdünger])-1)/(--(SEARCH(AP$2,Liste_Handelsünger[Handelsdünger])&gt;0)),ROW()-2),1),"")</f>
        <v>DC NPK</v>
      </c>
      <c r="AP64" t="str">
        <f>IF(($A67=""),"",IF(COUNTIF(Mineral!$AJ$3:$AJ$324,$A67),"",$A67))</f>
        <v/>
      </c>
      <c r="AQ64" t="str">
        <f>IFERROR(INDEX(Liste_Handelsünger[Handelsdünger],_xlfn.AGGREGATE(15,6,(ROW(Liste_Handelsünger[Handelsdünger])-1)/(--(SEARCH(AR$2,Liste_Handelsünger[Handelsdünger])&gt;0)),ROW()-2),1),"")</f>
        <v>DC NPK</v>
      </c>
      <c r="AR64" t="str">
        <f>IF(($A68=""),"",IF(COUNTIF(Mineral!$AJ$3:$AJ$324,$A68),"",$A68))</f>
        <v/>
      </c>
      <c r="AS64" t="str">
        <f>IFERROR(INDEX(Liste_Handelsünger[Handelsdünger],_xlfn.AGGREGATE(15,6,(ROW(Liste_Handelsünger[Handelsdünger])-1)/(--(SEARCH(AT$2,Liste_Handelsünger[Handelsdünger])&gt;0)),ROW()-2),1),"")</f>
        <v>DC NPK</v>
      </c>
      <c r="AT64" t="str">
        <f>IF(($A69=""),"",IF(COUNTIF(Mineral!$AJ$3:$AJ$324,$A69),"",$A69))</f>
        <v/>
      </c>
      <c r="AU64" t="str">
        <f>IFERROR(INDEX(Liste_Handelsünger[Handelsdünger],_xlfn.AGGREGATE(15,6,(ROW(Liste_Handelsünger[Handelsdünger])-1)/(--(SEARCH(AV$2,Liste_Handelsünger[Handelsdünger])&gt;0)),ROW()-2),1),"")</f>
        <v>DC NPK</v>
      </c>
      <c r="AV64" t="str">
        <f>IF(($A70=""),"",IF(COUNTIF(Mineral!$AJ$3:$AJ$324,$A70),"",$A70))</f>
        <v/>
      </c>
      <c r="AW64" t="str">
        <f>IFERROR(INDEX(Liste_Handelsünger[Handelsdünger],_xlfn.AGGREGATE(15,6,(ROW(Liste_Handelsünger[Handelsdünger])-1)/(--(SEARCH(AX$2,Liste_Handelsünger[Handelsdünger])&gt;0)),ROW()-2),1),"")</f>
        <v>DC NPK</v>
      </c>
      <c r="AX64" t="str">
        <f>IF(($A71=""),"",IF(COUNTIF(Mineral!$AJ$3:$AJ$324,$A71),"",$A71))</f>
        <v/>
      </c>
      <c r="AY64" t="str">
        <f>IFERROR(INDEX(Liste_Handelsünger[Handelsdünger],_xlfn.AGGREGATE(15,6,(ROW(Liste_Handelsünger[Handelsdünger])-1)/(--(SEARCH(AZ$2,Liste_Handelsünger[Handelsdünger])&gt;0)),ROW()-2),1),"")</f>
        <v>DC NPK</v>
      </c>
      <c r="AZ64" t="str">
        <f>IF(($A72=""),"",IF(COUNTIF(Mineral!$AJ$3:$AJ$324,$A72),"",$A72))</f>
        <v/>
      </c>
      <c r="BA64" t="str">
        <f>IFERROR(INDEX(Liste_Handelsünger[Handelsdünger],_xlfn.AGGREGATE(15,6,(ROW(Liste_Handelsünger[Handelsdünger])-1)/(--(SEARCH(BB$2,Liste_Handelsünger[Handelsdünger])&gt;0)),ROW()-2),1),"")</f>
        <v>DC NPK</v>
      </c>
      <c r="BB64" t="str">
        <f>IF(($A73=""),"",IF(COUNTIF(Mineral!$AJ$3:$AJ$324,$A73),"",$A73))</f>
        <v/>
      </c>
      <c r="BC64" t="str">
        <f>IFERROR(INDEX(Liste_Handelsünger[Handelsdünger],_xlfn.AGGREGATE(15,6,(ROW(Liste_Handelsünger[Handelsdünger])-1)/(--(SEARCH(BD$2,Liste_Handelsünger[Handelsdünger])&gt;0)),ROW()-2),1),"")</f>
        <v>DC NPK</v>
      </c>
      <c r="BD64" t="str">
        <f>IF(($A74=""),"",IF(COUNTIF(Mineral!$AJ$3:$AJ$324,$A74),"",$A74))</f>
        <v/>
      </c>
      <c r="BE64" t="str">
        <f>IFERROR(INDEX(Liste_Handelsünger[Handelsdünger],_xlfn.AGGREGATE(15,6,(ROW(Liste_Handelsünger[Handelsdünger])-1)/(--(SEARCH(BF$2,Liste_Handelsünger[Handelsdünger])&gt;0)),ROW()-2),1),"")</f>
        <v>DC NPK</v>
      </c>
      <c r="BF64" t="str">
        <f>IF(($A75=""),"",IF(COUNTIF(Mineral!$AJ$3:$AJ$324,$A75),"",$A75))</f>
        <v/>
      </c>
      <c r="BG64" t="str">
        <f>IFERROR(INDEX(Liste_Handelsünger[Handelsdünger],_xlfn.AGGREGATE(15,6,(ROW(Liste_Handelsünger[Handelsdünger])-1)/(--(SEARCH(BH$2,Liste_Handelsünger[Handelsdünger])&gt;0)),ROW()-2),1),"")</f>
        <v>DC NPK</v>
      </c>
      <c r="BH64" t="str">
        <f>IF(($A76=""),"",IF(COUNTIF(Mineral!$AJ$3:$AJ$324,$A76),"",$A76))</f>
        <v/>
      </c>
      <c r="BI64" t="str">
        <f>IFERROR(INDEX(Liste_Handelsünger[Handelsdünger],_xlfn.AGGREGATE(15,6,(ROW(Liste_Handelsünger[Handelsdünger])-1)/(--(SEARCH(BJ$2,Liste_Handelsünger[Handelsdünger])&gt;0)),ROW()-2),1),"")</f>
        <v>DC NPK</v>
      </c>
      <c r="BJ64" t="str">
        <f>IF(($A77=""),"",IF(COUNTIF(Mineral!$AJ$3:$AJ$324,$A77),"",$A77))</f>
        <v/>
      </c>
      <c r="BK64" t="str">
        <f>IFERROR(INDEX(Liste_Handelsünger[Handelsdünger],_xlfn.AGGREGATE(15,6,(ROW(Liste_Handelsünger[Handelsdünger])-1)/(--(SEARCH(BL$2,Liste_Handelsünger[Handelsdünger])&gt;0)),ROW()-2),1),"")</f>
        <v>DC NPK</v>
      </c>
      <c r="BM64" t="str">
        <f>IFERROR(INDEX(Liste_Handelsünger[Handelsdünger],_xlfn.AGGREGATE(15,6,(ROW(Liste_Handelsünger[Handelsdünger])-1)/(--(SEARCH(BN$2,Liste_Handelsünger[Handelsdünger])&gt;0)),ROW()-2),1),"")</f>
        <v>DC NPK</v>
      </c>
      <c r="BN64" t="str">
        <f>IF(($A79=""),"",IF(COUNTIF(Mineral!$AJ$3:$AJ$324,$A79),"",$A79))</f>
        <v/>
      </c>
      <c r="BV64" t="s">
        <v>2110</v>
      </c>
      <c r="BW64" t="s">
        <v>2131</v>
      </c>
    </row>
    <row r="65" spans="19:75" ht="14.25" thickTop="1" thickBot="1">
      <c r="S65" s="1616">
        <v>64</v>
      </c>
      <c r="T65" s="1617" t="s">
        <v>2335</v>
      </c>
      <c r="U65" s="1617" t="s">
        <v>2111</v>
      </c>
      <c r="V65" s="1617"/>
      <c r="W65" s="1617">
        <v>0</v>
      </c>
      <c r="X65" s="1617">
        <v>12</v>
      </c>
      <c r="Y65" s="1617">
        <v>20</v>
      </c>
      <c r="Z65" s="1617">
        <v>0</v>
      </c>
      <c r="AA65" s="1617">
        <v>0</v>
      </c>
      <c r="AB65" s="1617">
        <v>0</v>
      </c>
      <c r="AC65" s="1617">
        <v>1</v>
      </c>
      <c r="AD65" s="1613">
        <v>1</v>
      </c>
      <c r="AE65" s="1617" t="s">
        <v>1764</v>
      </c>
      <c r="AF65" s="1613" t="str">
        <f t="shared" si="7"/>
        <v/>
      </c>
      <c r="AG65" s="1656">
        <f>IFERROR(IF($AF65&gt;0,VLOOKUP($U65,Tabelle1!$C$188:$L$212,5,0)*$AF65,0),0)</f>
        <v>0</v>
      </c>
      <c r="AH65" s="1656">
        <f t="shared" si="8"/>
        <v>0</v>
      </c>
      <c r="AJ65" t="str">
        <f>IF(Betrieb!$D$9="JA",Mineral!$BW65,Mineral!$BV65)</f>
        <v>DC PK 0:12:20</v>
      </c>
      <c r="AK65" s="1672" t="str">
        <f>IFERROR(INDEX(Liste_Handelsünger[Handelsdünger],_xlfn.AGGREGATE(15,6,(ROW(Liste_Handelsünger[Handelsdünger])-1)/(--(SEARCH(AL$2,Liste_Handelsünger[Handelsdünger])&gt;0)),ROW()-2),1),"")</f>
        <v>DC PK 0:12:20</v>
      </c>
      <c r="AL65" s="1672" t="str">
        <f>IF(($A$3=""),"",IF(COUNTIF(Mineral!$AJ$3:$AJ$324,$A$3),"",$A$3))</f>
        <v/>
      </c>
      <c r="AM65" s="1672" t="str">
        <f>IFERROR(INDEX(Liste_Handelsünger[Handelsdünger],_xlfn.AGGREGATE(15,6,(ROW(Liste_Handelsünger[Handelsdünger])-1)/(--(SEARCH(AN$2,Liste_Handelsünger[Handelsdünger])&gt;0)),ROW()-2),1),"")</f>
        <v>DC PK 0:12:20</v>
      </c>
      <c r="AN65" t="str">
        <f>IF(($A67=""),"",IF(COUNTIF(Mineral!$AJ$3:$AJ$324,$A67),"",$A67))</f>
        <v/>
      </c>
      <c r="AO65" t="str">
        <f>IFERROR(INDEX(Liste_Handelsünger[Handelsdünger],_xlfn.AGGREGATE(15,6,(ROW(Liste_Handelsünger[Handelsdünger])-1)/(--(SEARCH(AP$2,Liste_Handelsünger[Handelsdünger])&gt;0)),ROW()-2),1),"")</f>
        <v>DC PK 0:12:20</v>
      </c>
      <c r="AP65" t="str">
        <f>IF(($A68=""),"",IF(COUNTIF(Mineral!$AJ$3:$AJ$324,$A68),"",$A68))</f>
        <v/>
      </c>
      <c r="AQ65" t="str">
        <f>IFERROR(INDEX(Liste_Handelsünger[Handelsdünger],_xlfn.AGGREGATE(15,6,(ROW(Liste_Handelsünger[Handelsdünger])-1)/(--(SEARCH(AR$2,Liste_Handelsünger[Handelsdünger])&gt;0)),ROW()-2),1),"")</f>
        <v>DC PK 0:12:20</v>
      </c>
      <c r="AR65" t="str">
        <f>IF(($A69=""),"",IF(COUNTIF(Mineral!$AJ$3:$AJ$324,$A69),"",$A69))</f>
        <v/>
      </c>
      <c r="AS65" t="str">
        <f>IFERROR(INDEX(Liste_Handelsünger[Handelsdünger],_xlfn.AGGREGATE(15,6,(ROW(Liste_Handelsünger[Handelsdünger])-1)/(--(SEARCH(AT$2,Liste_Handelsünger[Handelsdünger])&gt;0)),ROW()-2),1),"")</f>
        <v>DC PK 0:12:20</v>
      </c>
      <c r="AT65" t="str">
        <f>IF(($A70=""),"",IF(COUNTIF(Mineral!$AJ$3:$AJ$324,$A70),"",$A70))</f>
        <v/>
      </c>
      <c r="AU65" t="str">
        <f>IFERROR(INDEX(Liste_Handelsünger[Handelsdünger],_xlfn.AGGREGATE(15,6,(ROW(Liste_Handelsünger[Handelsdünger])-1)/(--(SEARCH(AV$2,Liste_Handelsünger[Handelsdünger])&gt;0)),ROW()-2),1),"")</f>
        <v>DC PK 0:12:20</v>
      </c>
      <c r="AV65" t="str">
        <f>IF(($A71=""),"",IF(COUNTIF(Mineral!$AJ$3:$AJ$324,$A71),"",$A71))</f>
        <v/>
      </c>
      <c r="AW65" t="str">
        <f>IFERROR(INDEX(Liste_Handelsünger[Handelsdünger],_xlfn.AGGREGATE(15,6,(ROW(Liste_Handelsünger[Handelsdünger])-1)/(--(SEARCH(AX$2,Liste_Handelsünger[Handelsdünger])&gt;0)),ROW()-2),1),"")</f>
        <v>DC PK 0:12:20</v>
      </c>
      <c r="AX65" t="str">
        <f>IF(($A72=""),"",IF(COUNTIF(Mineral!$AJ$3:$AJ$324,$A72),"",$A72))</f>
        <v/>
      </c>
      <c r="AY65" t="str">
        <f>IFERROR(INDEX(Liste_Handelsünger[Handelsdünger],_xlfn.AGGREGATE(15,6,(ROW(Liste_Handelsünger[Handelsdünger])-1)/(--(SEARCH(AZ$2,Liste_Handelsünger[Handelsdünger])&gt;0)),ROW()-2),1),"")</f>
        <v>DC PK 0:12:20</v>
      </c>
      <c r="AZ65" t="str">
        <f>IF(($A73=""),"",IF(COUNTIF(Mineral!$AJ$3:$AJ$324,$A73),"",$A73))</f>
        <v/>
      </c>
      <c r="BA65" t="str">
        <f>IFERROR(INDEX(Liste_Handelsünger[Handelsdünger],_xlfn.AGGREGATE(15,6,(ROW(Liste_Handelsünger[Handelsdünger])-1)/(--(SEARCH(BB$2,Liste_Handelsünger[Handelsdünger])&gt;0)),ROW()-2),1),"")</f>
        <v>DC PK 0:12:20</v>
      </c>
      <c r="BB65" t="str">
        <f>IF(($A74=""),"",IF(COUNTIF(Mineral!$AJ$3:$AJ$324,$A74),"",$A74))</f>
        <v/>
      </c>
      <c r="BC65" t="str">
        <f>IFERROR(INDEX(Liste_Handelsünger[Handelsdünger],_xlfn.AGGREGATE(15,6,(ROW(Liste_Handelsünger[Handelsdünger])-1)/(--(SEARCH(BD$2,Liste_Handelsünger[Handelsdünger])&gt;0)),ROW()-2),1),"")</f>
        <v>DC PK 0:12:20</v>
      </c>
      <c r="BD65" t="str">
        <f>IF(($A75=""),"",IF(COUNTIF(Mineral!$AJ$3:$AJ$324,$A75),"",$A75))</f>
        <v/>
      </c>
      <c r="BE65" t="str">
        <f>IFERROR(INDEX(Liste_Handelsünger[Handelsdünger],_xlfn.AGGREGATE(15,6,(ROW(Liste_Handelsünger[Handelsdünger])-1)/(--(SEARCH(BF$2,Liste_Handelsünger[Handelsdünger])&gt;0)),ROW()-2),1),"")</f>
        <v>DC PK 0:12:20</v>
      </c>
      <c r="BF65" t="str">
        <f>IF(($A76=""),"",IF(COUNTIF(Mineral!$AJ$3:$AJ$324,$A76),"",$A76))</f>
        <v/>
      </c>
      <c r="BG65" t="str">
        <f>IFERROR(INDEX(Liste_Handelsünger[Handelsdünger],_xlfn.AGGREGATE(15,6,(ROW(Liste_Handelsünger[Handelsdünger])-1)/(--(SEARCH(BH$2,Liste_Handelsünger[Handelsdünger])&gt;0)),ROW()-2),1),"")</f>
        <v>DC PK 0:12:20</v>
      </c>
      <c r="BH65" t="str">
        <f>IF(($A77=""),"",IF(COUNTIF(Mineral!$AJ$3:$AJ$324,$A77),"",$A77))</f>
        <v/>
      </c>
      <c r="BI65" t="str">
        <f>IFERROR(INDEX(Liste_Handelsünger[Handelsdünger],_xlfn.AGGREGATE(15,6,(ROW(Liste_Handelsünger[Handelsdünger])-1)/(--(SEARCH(BJ$2,Liste_Handelsünger[Handelsdünger])&gt;0)),ROW()-2),1),"")</f>
        <v>DC PK 0:12:20</v>
      </c>
      <c r="BJ65" t="str">
        <f>IF(($A78=""),"",IF(COUNTIF(Mineral!$AJ$3:$AJ$324,$A78),"",$A78))</f>
        <v/>
      </c>
      <c r="BK65" t="str">
        <f>IFERROR(INDEX(Liste_Handelsünger[Handelsdünger],_xlfn.AGGREGATE(15,6,(ROW(Liste_Handelsünger[Handelsdünger])-1)/(--(SEARCH(BL$2,Liste_Handelsünger[Handelsdünger])&gt;0)),ROW()-2),1),"")</f>
        <v>DC PK 0:12:20</v>
      </c>
      <c r="BM65" t="str">
        <f>IFERROR(INDEX(Liste_Handelsünger[Handelsdünger],_xlfn.AGGREGATE(15,6,(ROW(Liste_Handelsünger[Handelsdünger])-1)/(--(SEARCH(BN$2,Liste_Handelsünger[Handelsdünger])&gt;0)),ROW()-2),1),"")</f>
        <v>DC PK 0:12:20</v>
      </c>
      <c r="BN65" t="str">
        <f>IF(($A80=""),"",IF(COUNTIF(Mineral!$AJ$3:$AJ$324,$A80),"",$A80))</f>
        <v/>
      </c>
      <c r="BV65" t="s">
        <v>2111</v>
      </c>
      <c r="BW65" t="s">
        <v>2132</v>
      </c>
    </row>
    <row r="66" spans="19:75" ht="14.25" thickTop="1" thickBot="1">
      <c r="S66" s="1676">
        <v>65</v>
      </c>
      <c r="T66" s="1606" t="s">
        <v>2335</v>
      </c>
      <c r="U66" s="1606" t="s">
        <v>2112</v>
      </c>
      <c r="V66" s="1606"/>
      <c r="W66" s="1606">
        <v>9</v>
      </c>
      <c r="X66" s="1606">
        <v>9</v>
      </c>
      <c r="Y66" s="1606">
        <v>15</v>
      </c>
      <c r="Z66" s="1606">
        <v>0</v>
      </c>
      <c r="AA66" s="1606">
        <v>0</v>
      </c>
      <c r="AB66" s="1606">
        <v>2</v>
      </c>
      <c r="AC66" s="1606">
        <v>1</v>
      </c>
      <c r="AD66" s="1613">
        <v>1</v>
      </c>
      <c r="AE66" s="1606" t="s">
        <v>2016</v>
      </c>
      <c r="AF66" s="1613" t="str">
        <f t="shared" si="7"/>
        <v/>
      </c>
      <c r="AG66" s="1656">
        <f>IFERROR(IF($AF66&gt;0,VLOOKUP($U66,Tabelle1!$C$188:$L$212,5,0)*$AF66,0),0)</f>
        <v>0</v>
      </c>
      <c r="AH66" s="1656">
        <f t="shared" si="8"/>
        <v>0</v>
      </c>
      <c r="AJ66" t="str">
        <f>IF(Betrieb!$D$9="JA",Mineral!$BW66,Mineral!$BV66)</f>
        <v>DC Stabil Sp. 9:9:15+2</v>
      </c>
      <c r="AK66" s="1672" t="str">
        <f>IFERROR(INDEX(Liste_Handelsünger[Handelsdünger],_xlfn.AGGREGATE(15,6,(ROW(Liste_Handelsünger[Handelsdünger])-1)/(--(SEARCH(AL$2,Liste_Handelsünger[Handelsdünger])&gt;0)),ROW()-2),1),"")</f>
        <v>DC Stabil Sp. 9:9:15+2</v>
      </c>
      <c r="AL66" s="1672" t="str">
        <f>IF(($A$3=""),"",IF(COUNTIF(Mineral!$AJ$3:$AJ$324,$A$3),"",$A$3))</f>
        <v/>
      </c>
      <c r="AM66" s="1672" t="str">
        <f>IFERROR(INDEX(Liste_Handelsünger[Handelsdünger],_xlfn.AGGREGATE(15,6,(ROW(Liste_Handelsünger[Handelsdünger])-1)/(--(SEARCH(AN$2,Liste_Handelsünger[Handelsdünger])&gt;0)),ROW()-2),1),"")</f>
        <v>DC Stabil Sp. 9:9:15+2</v>
      </c>
      <c r="AN66" t="str">
        <f>IF(($A68=""),"",IF(COUNTIF(Mineral!$AJ$3:$AJ$324,$A68),"",$A68))</f>
        <v/>
      </c>
      <c r="AO66" t="str">
        <f>IFERROR(INDEX(Liste_Handelsünger[Handelsdünger],_xlfn.AGGREGATE(15,6,(ROW(Liste_Handelsünger[Handelsdünger])-1)/(--(SEARCH(AP$2,Liste_Handelsünger[Handelsdünger])&gt;0)),ROW()-2),1),"")</f>
        <v>DC Stabil Sp. 9:9:15+2</v>
      </c>
      <c r="AP66" t="str">
        <f>IF(($A69=""),"",IF(COUNTIF(Mineral!$AJ$3:$AJ$324,$A69),"",$A69))</f>
        <v/>
      </c>
      <c r="AQ66" t="str">
        <f>IFERROR(INDEX(Liste_Handelsünger[Handelsdünger],_xlfn.AGGREGATE(15,6,(ROW(Liste_Handelsünger[Handelsdünger])-1)/(--(SEARCH(AR$2,Liste_Handelsünger[Handelsdünger])&gt;0)),ROW()-2),1),"")</f>
        <v>DC Stabil Sp. 9:9:15+2</v>
      </c>
      <c r="AR66" t="str">
        <f>IF(($A70=""),"",IF(COUNTIF(Mineral!$AJ$3:$AJ$324,$A70),"",$A70))</f>
        <v/>
      </c>
      <c r="AS66" t="str">
        <f>IFERROR(INDEX(Liste_Handelsünger[Handelsdünger],_xlfn.AGGREGATE(15,6,(ROW(Liste_Handelsünger[Handelsdünger])-1)/(--(SEARCH(AT$2,Liste_Handelsünger[Handelsdünger])&gt;0)),ROW()-2),1),"")</f>
        <v>DC Stabil Sp. 9:9:15+2</v>
      </c>
      <c r="AT66" t="str">
        <f>IF(($A71=""),"",IF(COUNTIF(Mineral!$AJ$3:$AJ$324,$A71),"",$A71))</f>
        <v/>
      </c>
      <c r="AU66" t="str">
        <f>IFERROR(INDEX(Liste_Handelsünger[Handelsdünger],_xlfn.AGGREGATE(15,6,(ROW(Liste_Handelsünger[Handelsdünger])-1)/(--(SEARCH(AV$2,Liste_Handelsünger[Handelsdünger])&gt;0)),ROW()-2),1),"")</f>
        <v>DC Stabil Sp. 9:9:15+2</v>
      </c>
      <c r="AV66" t="str">
        <f>IF(($A72=""),"",IF(COUNTIF(Mineral!$AJ$3:$AJ$324,$A72),"",$A72))</f>
        <v/>
      </c>
      <c r="AW66" t="str">
        <f>IFERROR(INDEX(Liste_Handelsünger[Handelsdünger],_xlfn.AGGREGATE(15,6,(ROW(Liste_Handelsünger[Handelsdünger])-1)/(--(SEARCH(AX$2,Liste_Handelsünger[Handelsdünger])&gt;0)),ROW()-2),1),"")</f>
        <v>DC Stabil Sp. 9:9:15+2</v>
      </c>
      <c r="AX66" t="str">
        <f>IF(($A73=""),"",IF(COUNTIF(Mineral!$AJ$3:$AJ$324,$A73),"",$A73))</f>
        <v/>
      </c>
      <c r="AY66" t="str">
        <f>IFERROR(INDEX(Liste_Handelsünger[Handelsdünger],_xlfn.AGGREGATE(15,6,(ROW(Liste_Handelsünger[Handelsdünger])-1)/(--(SEARCH(AZ$2,Liste_Handelsünger[Handelsdünger])&gt;0)),ROW()-2),1),"")</f>
        <v>DC Stabil Sp. 9:9:15+2</v>
      </c>
      <c r="AZ66" t="str">
        <f>IF(($A74=""),"",IF(COUNTIF(Mineral!$AJ$3:$AJ$324,$A74),"",$A74))</f>
        <v/>
      </c>
      <c r="BA66" t="str">
        <f>IFERROR(INDEX(Liste_Handelsünger[Handelsdünger],_xlfn.AGGREGATE(15,6,(ROW(Liste_Handelsünger[Handelsdünger])-1)/(--(SEARCH(BB$2,Liste_Handelsünger[Handelsdünger])&gt;0)),ROW()-2),1),"")</f>
        <v>DC Stabil Sp. 9:9:15+2</v>
      </c>
      <c r="BB66" t="str">
        <f>IF(($A75=""),"",IF(COUNTIF(Mineral!$AJ$3:$AJ$324,$A75),"",$A75))</f>
        <v/>
      </c>
      <c r="BC66" t="str">
        <f>IFERROR(INDEX(Liste_Handelsünger[Handelsdünger],_xlfn.AGGREGATE(15,6,(ROW(Liste_Handelsünger[Handelsdünger])-1)/(--(SEARCH(BD$2,Liste_Handelsünger[Handelsdünger])&gt;0)),ROW()-2),1),"")</f>
        <v>DC Stabil Sp. 9:9:15+2</v>
      </c>
      <c r="BD66" t="str">
        <f>IF(($A76=""),"",IF(COUNTIF(Mineral!$AJ$3:$AJ$324,$A76),"",$A76))</f>
        <v/>
      </c>
      <c r="BE66" t="str">
        <f>IFERROR(INDEX(Liste_Handelsünger[Handelsdünger],_xlfn.AGGREGATE(15,6,(ROW(Liste_Handelsünger[Handelsdünger])-1)/(--(SEARCH(BF$2,Liste_Handelsünger[Handelsdünger])&gt;0)),ROW()-2),1),"")</f>
        <v>DC Stabil Sp. 9:9:15+2</v>
      </c>
      <c r="BF66" t="str">
        <f>IF(($A77=""),"",IF(COUNTIF(Mineral!$AJ$3:$AJ$324,$A77),"",$A77))</f>
        <v/>
      </c>
      <c r="BG66" t="str">
        <f>IFERROR(INDEX(Liste_Handelsünger[Handelsdünger],_xlfn.AGGREGATE(15,6,(ROW(Liste_Handelsünger[Handelsdünger])-1)/(--(SEARCH(BH$2,Liste_Handelsünger[Handelsdünger])&gt;0)),ROW()-2),1),"")</f>
        <v>DC Stabil Sp. 9:9:15+2</v>
      </c>
      <c r="BH66" t="str">
        <f>IF(($A78=""),"",IF(COUNTIF(Mineral!$AJ$3:$AJ$324,$A78),"",$A78))</f>
        <v/>
      </c>
      <c r="BI66" t="str">
        <f>IFERROR(INDEX(Liste_Handelsünger[Handelsdünger],_xlfn.AGGREGATE(15,6,(ROW(Liste_Handelsünger[Handelsdünger])-1)/(--(SEARCH(BJ$2,Liste_Handelsünger[Handelsdünger])&gt;0)),ROW()-2),1),"")</f>
        <v>DC Stabil Sp. 9:9:15+2</v>
      </c>
      <c r="BJ66" t="str">
        <f>IF(($A79=""),"",IF(COUNTIF(Mineral!$AJ$3:$AJ$324,$A79),"",$A79))</f>
        <v/>
      </c>
      <c r="BK66" t="str">
        <f>IFERROR(INDEX(Liste_Handelsünger[Handelsdünger],_xlfn.AGGREGATE(15,6,(ROW(Liste_Handelsünger[Handelsdünger])-1)/(--(SEARCH(BL$2,Liste_Handelsünger[Handelsdünger])&gt;0)),ROW()-2),1),"")</f>
        <v>DC Stabil Sp. 9:9:15+2</v>
      </c>
      <c r="BM66" t="str">
        <f>IFERROR(INDEX(Liste_Handelsünger[Handelsdünger],_xlfn.AGGREGATE(15,6,(ROW(Liste_Handelsünger[Handelsdünger])-1)/(--(SEARCH(BN$2,Liste_Handelsünger[Handelsdünger])&gt;0)),ROW()-2),1),"")</f>
        <v>DC Stabil Sp. 9:9:15+2</v>
      </c>
      <c r="BN66" t="str">
        <f>IF(($A81=""),"",IF(COUNTIF(Mineral!$AJ$3:$AJ$324,$A81),"",$A81))</f>
        <v/>
      </c>
      <c r="BV66" t="s">
        <v>2112</v>
      </c>
      <c r="BW66" t="s">
        <v>2133</v>
      </c>
    </row>
    <row r="67" spans="19:75" ht="14.25" thickTop="1" thickBot="1">
      <c r="S67" s="1616">
        <v>66</v>
      </c>
      <c r="T67" s="1617" t="s">
        <v>2335</v>
      </c>
      <c r="U67" s="1617" t="s">
        <v>2113</v>
      </c>
      <c r="V67" s="1617"/>
      <c r="W67" s="1617"/>
      <c r="X67" s="1617">
        <v>18</v>
      </c>
      <c r="Y67" s="1617"/>
      <c r="Z67" s="1617">
        <v>12</v>
      </c>
      <c r="AA67" s="1617"/>
      <c r="AB67" s="1617"/>
      <c r="AC67" s="1617">
        <v>1</v>
      </c>
      <c r="AD67" s="1613">
        <v>1</v>
      </c>
      <c r="AE67" s="1617" t="s">
        <v>1764</v>
      </c>
      <c r="AF67" s="1613" t="str">
        <f t="shared" si="7"/>
        <v/>
      </c>
      <c r="AG67" s="1656">
        <f>IFERROR(IF($AF67&gt;0,VLOOKUP($U67,Tabelle1!$C$188:$L$212,5,0)*$AF67,0),0)</f>
        <v>0</v>
      </c>
      <c r="AH67" s="1656">
        <f t="shared" si="8"/>
        <v>0</v>
      </c>
      <c r="AJ67" t="str">
        <f>IF(Betrieb!$D$9="JA",Mineral!$BW67,Mineral!$BV67)</f>
        <v>DC Superphosphat</v>
      </c>
      <c r="AK67" s="1672" t="str">
        <f>IFERROR(INDEX(Liste_Handelsünger[Handelsdünger],_xlfn.AGGREGATE(15,6,(ROW(Liste_Handelsünger[Handelsdünger])-1)/(--(SEARCH(AL$2,Liste_Handelsünger[Handelsdünger])&gt;0)),ROW()-2),1),"")</f>
        <v>DC Superphosphat</v>
      </c>
      <c r="AL67" s="1672" t="str">
        <f>IF(($A$3=""),"",IF(COUNTIF(Mineral!$AJ$3:$AJ$324,$A$3),"",$A$3))</f>
        <v/>
      </c>
      <c r="AM67" s="1672" t="str">
        <f>IFERROR(INDEX(Liste_Handelsünger[Handelsdünger],_xlfn.AGGREGATE(15,6,(ROW(Liste_Handelsünger[Handelsdünger])-1)/(--(SEARCH(AN$2,Liste_Handelsünger[Handelsdünger])&gt;0)),ROW()-2),1),"")</f>
        <v>DC Superphosphat</v>
      </c>
      <c r="AN67" t="str">
        <f>IF(($A69=""),"",IF(COUNTIF(Mineral!$AJ$3:$AJ$324,$A69),"",$A69))</f>
        <v/>
      </c>
      <c r="AO67" t="str">
        <f>IFERROR(INDEX(Liste_Handelsünger[Handelsdünger],_xlfn.AGGREGATE(15,6,(ROW(Liste_Handelsünger[Handelsdünger])-1)/(--(SEARCH(AP$2,Liste_Handelsünger[Handelsdünger])&gt;0)),ROW()-2),1),"")</f>
        <v>DC Superphosphat</v>
      </c>
      <c r="AP67" t="str">
        <f>IF(($A70=""),"",IF(COUNTIF(Mineral!$AJ$3:$AJ$324,$A70),"",$A70))</f>
        <v/>
      </c>
      <c r="AQ67" t="str">
        <f>IFERROR(INDEX(Liste_Handelsünger[Handelsdünger],_xlfn.AGGREGATE(15,6,(ROW(Liste_Handelsünger[Handelsdünger])-1)/(--(SEARCH(AR$2,Liste_Handelsünger[Handelsdünger])&gt;0)),ROW()-2),1),"")</f>
        <v>DC Superphosphat</v>
      </c>
      <c r="AR67" t="str">
        <f>IF(($A71=""),"",IF(COUNTIF(Mineral!$AJ$3:$AJ$324,$A71),"",$A71))</f>
        <v/>
      </c>
      <c r="AS67" t="str">
        <f>IFERROR(INDEX(Liste_Handelsünger[Handelsdünger],_xlfn.AGGREGATE(15,6,(ROW(Liste_Handelsünger[Handelsdünger])-1)/(--(SEARCH(AT$2,Liste_Handelsünger[Handelsdünger])&gt;0)),ROW()-2),1),"")</f>
        <v>DC Superphosphat</v>
      </c>
      <c r="AT67" t="str">
        <f>IF(($A72=""),"",IF(COUNTIF(Mineral!$AJ$3:$AJ$324,$A72),"",$A72))</f>
        <v/>
      </c>
      <c r="AU67" t="str">
        <f>IFERROR(INDEX(Liste_Handelsünger[Handelsdünger],_xlfn.AGGREGATE(15,6,(ROW(Liste_Handelsünger[Handelsdünger])-1)/(--(SEARCH(AV$2,Liste_Handelsünger[Handelsdünger])&gt;0)),ROW()-2),1),"")</f>
        <v>DC Superphosphat</v>
      </c>
      <c r="AV67" t="str">
        <f>IF(($A73=""),"",IF(COUNTIF(Mineral!$AJ$3:$AJ$324,$A73),"",$A73))</f>
        <v/>
      </c>
      <c r="AW67" t="str">
        <f>IFERROR(INDEX(Liste_Handelsünger[Handelsdünger],_xlfn.AGGREGATE(15,6,(ROW(Liste_Handelsünger[Handelsdünger])-1)/(--(SEARCH(AX$2,Liste_Handelsünger[Handelsdünger])&gt;0)),ROW()-2),1),"")</f>
        <v>DC Superphosphat</v>
      </c>
      <c r="AX67" t="str">
        <f>IF(($A74=""),"",IF(COUNTIF(Mineral!$AJ$3:$AJ$324,$A74),"",$A74))</f>
        <v/>
      </c>
      <c r="AY67" t="str">
        <f>IFERROR(INDEX(Liste_Handelsünger[Handelsdünger],_xlfn.AGGREGATE(15,6,(ROW(Liste_Handelsünger[Handelsdünger])-1)/(--(SEARCH(AZ$2,Liste_Handelsünger[Handelsdünger])&gt;0)),ROW()-2),1),"")</f>
        <v>DC Superphosphat</v>
      </c>
      <c r="AZ67" t="str">
        <f>IF(($A75=""),"",IF(COUNTIF(Mineral!$AJ$3:$AJ$324,$A75),"",$A75))</f>
        <v/>
      </c>
      <c r="BA67" t="str">
        <f>IFERROR(INDEX(Liste_Handelsünger[Handelsdünger],_xlfn.AGGREGATE(15,6,(ROW(Liste_Handelsünger[Handelsdünger])-1)/(--(SEARCH(BB$2,Liste_Handelsünger[Handelsdünger])&gt;0)),ROW()-2),1),"")</f>
        <v>DC Superphosphat</v>
      </c>
      <c r="BB67" t="str">
        <f>IF(($A76=""),"",IF(COUNTIF(Mineral!$AJ$3:$AJ$324,$A76),"",$A76))</f>
        <v/>
      </c>
      <c r="BC67" t="str">
        <f>IFERROR(INDEX(Liste_Handelsünger[Handelsdünger],_xlfn.AGGREGATE(15,6,(ROW(Liste_Handelsünger[Handelsdünger])-1)/(--(SEARCH(BD$2,Liste_Handelsünger[Handelsdünger])&gt;0)),ROW()-2),1),"")</f>
        <v>DC Superphosphat</v>
      </c>
      <c r="BD67" t="str">
        <f>IF(($A77=""),"",IF(COUNTIF(Mineral!$AJ$3:$AJ$324,$A77),"",$A77))</f>
        <v/>
      </c>
      <c r="BE67" t="str">
        <f>IFERROR(INDEX(Liste_Handelsünger[Handelsdünger],_xlfn.AGGREGATE(15,6,(ROW(Liste_Handelsünger[Handelsdünger])-1)/(--(SEARCH(BF$2,Liste_Handelsünger[Handelsdünger])&gt;0)),ROW()-2),1),"")</f>
        <v>DC Superphosphat</v>
      </c>
      <c r="BF67" t="str">
        <f>IF(($A78=""),"",IF(COUNTIF(Mineral!$AJ$3:$AJ$324,$A78),"",$A78))</f>
        <v/>
      </c>
      <c r="BG67" t="str">
        <f>IFERROR(INDEX(Liste_Handelsünger[Handelsdünger],_xlfn.AGGREGATE(15,6,(ROW(Liste_Handelsünger[Handelsdünger])-1)/(--(SEARCH(BH$2,Liste_Handelsünger[Handelsdünger])&gt;0)),ROW()-2),1),"")</f>
        <v>DC Superphosphat</v>
      </c>
      <c r="BH67" t="str">
        <f>IF(($A79=""),"",IF(COUNTIF(Mineral!$AJ$3:$AJ$324,$A79),"",$A79))</f>
        <v/>
      </c>
      <c r="BI67" t="str">
        <f>IFERROR(INDEX(Liste_Handelsünger[Handelsdünger],_xlfn.AGGREGATE(15,6,(ROW(Liste_Handelsünger[Handelsdünger])-1)/(--(SEARCH(BJ$2,Liste_Handelsünger[Handelsdünger])&gt;0)),ROW()-2),1),"")</f>
        <v>DC Superphosphat</v>
      </c>
      <c r="BJ67" t="str">
        <f>IF(($A80=""),"",IF(COUNTIF(Mineral!$AJ$3:$AJ$324,$A80),"",$A80))</f>
        <v/>
      </c>
      <c r="BK67" t="str">
        <f>IFERROR(INDEX(Liste_Handelsünger[Handelsdünger],_xlfn.AGGREGATE(15,6,(ROW(Liste_Handelsünger[Handelsdünger])-1)/(--(SEARCH(BL$2,Liste_Handelsünger[Handelsdünger])&gt;0)),ROW()-2),1),"")</f>
        <v>DC Superphosphat</v>
      </c>
      <c r="BM67" t="str">
        <f>IFERROR(INDEX(Liste_Handelsünger[Handelsdünger],_xlfn.AGGREGATE(15,6,(ROW(Liste_Handelsünger[Handelsdünger])-1)/(--(SEARCH(BN$2,Liste_Handelsünger[Handelsdünger])&gt;0)),ROW()-2),1),"")</f>
        <v>DC Superphosphat</v>
      </c>
      <c r="BN67" t="str">
        <f>IF(($A82=""),"",IF(COUNTIF(Mineral!$AJ$3:$AJ$324,$A82),"",$A82))</f>
        <v/>
      </c>
      <c r="BV67" t="s">
        <v>2113</v>
      </c>
      <c r="BW67" t="s">
        <v>2135</v>
      </c>
    </row>
    <row r="68" spans="19:75" ht="14.25" thickTop="1" thickBot="1">
      <c r="S68" s="1676">
        <v>67</v>
      </c>
      <c r="T68" s="1606" t="s">
        <v>2335</v>
      </c>
      <c r="U68" s="1606" t="s">
        <v>2114</v>
      </c>
      <c r="V68" s="1606"/>
      <c r="W68" s="1606">
        <v>15</v>
      </c>
      <c r="X68" s="1606">
        <v>5</v>
      </c>
      <c r="Y68" s="1606">
        <v>0</v>
      </c>
      <c r="Z68" s="1606">
        <v>0</v>
      </c>
      <c r="AA68" s="1606">
        <v>0</v>
      </c>
      <c r="AB68" s="1606">
        <v>0</v>
      </c>
      <c r="AC68" s="1606">
        <v>1</v>
      </c>
      <c r="AD68" s="1613">
        <v>1</v>
      </c>
      <c r="AE68" s="1606" t="s">
        <v>2016</v>
      </c>
      <c r="AF68" s="1613" t="str">
        <f t="shared" ref="AF68:AF131" si="15">IFERROR(IF(VLOOKUP($U68,$A$3:$L$27,1,0)=$U68,VLOOKUP($U68,$A$3:$L$27,3,0),""),"")</f>
        <v/>
      </c>
      <c r="AG68" s="1656">
        <f>IFERROR(IF($AF68&gt;0,VLOOKUP($U68,Tabelle1!$C$188:$L$212,5,0)*$AF68,0),0)</f>
        <v>0</v>
      </c>
      <c r="AH68" s="1656">
        <f t="shared" ref="AH68:AH131" si="16">IFERROR(IF($AF68&gt;0,$AG68*$AC68,0),0)</f>
        <v>0</v>
      </c>
      <c r="AJ68" t="str">
        <f>IF(Betrieb!$D$9="JA",Mineral!$BW68,Mineral!$BV68)</f>
        <v>DC Top 15:5:0</v>
      </c>
      <c r="AK68" s="1672" t="str">
        <f>IFERROR(INDEX(Liste_Handelsünger[Handelsdünger],_xlfn.AGGREGATE(15,6,(ROW(Liste_Handelsünger[Handelsdünger])-1)/(--(SEARCH(AL$2,Liste_Handelsünger[Handelsdünger])&gt;0)),ROW()-2),1),"")</f>
        <v>DC Top 15:5:0</v>
      </c>
      <c r="AL68" s="1672" t="str">
        <f>IF(($A$3=""),"",IF(COUNTIF(Mineral!$AJ$3:$AJ$324,$A$3),"",$A$3))</f>
        <v/>
      </c>
      <c r="AM68" s="1672" t="str">
        <f>IFERROR(INDEX(Liste_Handelsünger[Handelsdünger],_xlfn.AGGREGATE(15,6,(ROW(Liste_Handelsünger[Handelsdünger])-1)/(--(SEARCH(AN$2,Liste_Handelsünger[Handelsdünger])&gt;0)),ROW()-2),1),"")</f>
        <v>DC Top 15:5:0</v>
      </c>
      <c r="AN68" t="str">
        <f>IF(($A70=""),"",IF(COUNTIF(Mineral!$AJ$3:$AJ$324,$A70),"",$A70))</f>
        <v/>
      </c>
      <c r="AO68" t="str">
        <f>IFERROR(INDEX(Liste_Handelsünger[Handelsdünger],_xlfn.AGGREGATE(15,6,(ROW(Liste_Handelsünger[Handelsdünger])-1)/(--(SEARCH(AP$2,Liste_Handelsünger[Handelsdünger])&gt;0)),ROW()-2),1),"")</f>
        <v>DC Top 15:5:0</v>
      </c>
      <c r="AP68" t="str">
        <f>IF(($A71=""),"",IF(COUNTIF(Mineral!$AJ$3:$AJ$324,$A71),"",$A71))</f>
        <v/>
      </c>
      <c r="AQ68" t="str">
        <f>IFERROR(INDEX(Liste_Handelsünger[Handelsdünger],_xlfn.AGGREGATE(15,6,(ROW(Liste_Handelsünger[Handelsdünger])-1)/(--(SEARCH(AR$2,Liste_Handelsünger[Handelsdünger])&gt;0)),ROW()-2),1),"")</f>
        <v>DC Top 15:5:0</v>
      </c>
      <c r="AR68" t="str">
        <f>IF(($A72=""),"",IF(COUNTIF(Mineral!$AJ$3:$AJ$324,$A72),"",$A72))</f>
        <v/>
      </c>
      <c r="AS68" t="str">
        <f>IFERROR(INDEX(Liste_Handelsünger[Handelsdünger],_xlfn.AGGREGATE(15,6,(ROW(Liste_Handelsünger[Handelsdünger])-1)/(--(SEARCH(AT$2,Liste_Handelsünger[Handelsdünger])&gt;0)),ROW()-2),1),"")</f>
        <v>DC Top 15:5:0</v>
      </c>
      <c r="AT68" t="str">
        <f>IF(($A73=""),"",IF(COUNTIF(Mineral!$AJ$3:$AJ$324,$A73),"",$A73))</f>
        <v/>
      </c>
      <c r="AU68" t="str">
        <f>IFERROR(INDEX(Liste_Handelsünger[Handelsdünger],_xlfn.AGGREGATE(15,6,(ROW(Liste_Handelsünger[Handelsdünger])-1)/(--(SEARCH(AV$2,Liste_Handelsünger[Handelsdünger])&gt;0)),ROW()-2),1),"")</f>
        <v>DC Top 15:5:0</v>
      </c>
      <c r="AV68" t="str">
        <f>IF(($A74=""),"",IF(COUNTIF(Mineral!$AJ$3:$AJ$324,$A74),"",$A74))</f>
        <v/>
      </c>
      <c r="AW68" t="str">
        <f>IFERROR(INDEX(Liste_Handelsünger[Handelsdünger],_xlfn.AGGREGATE(15,6,(ROW(Liste_Handelsünger[Handelsdünger])-1)/(--(SEARCH(AX$2,Liste_Handelsünger[Handelsdünger])&gt;0)),ROW()-2),1),"")</f>
        <v>DC Top 15:5:0</v>
      </c>
      <c r="AX68" t="str">
        <f>IF(($A75=""),"",IF(COUNTIF(Mineral!$AJ$3:$AJ$324,$A75),"",$A75))</f>
        <v/>
      </c>
      <c r="AY68" t="str">
        <f>IFERROR(INDEX(Liste_Handelsünger[Handelsdünger],_xlfn.AGGREGATE(15,6,(ROW(Liste_Handelsünger[Handelsdünger])-1)/(--(SEARCH(AZ$2,Liste_Handelsünger[Handelsdünger])&gt;0)),ROW()-2),1),"")</f>
        <v>DC Top 15:5:0</v>
      </c>
      <c r="AZ68" t="str">
        <f>IF(($A76=""),"",IF(COUNTIF(Mineral!$AJ$3:$AJ$324,$A76),"",$A76))</f>
        <v/>
      </c>
      <c r="BA68" t="str">
        <f>IFERROR(INDEX(Liste_Handelsünger[Handelsdünger],_xlfn.AGGREGATE(15,6,(ROW(Liste_Handelsünger[Handelsdünger])-1)/(--(SEARCH(BB$2,Liste_Handelsünger[Handelsdünger])&gt;0)),ROW()-2),1),"")</f>
        <v>DC Top 15:5:0</v>
      </c>
      <c r="BB68" t="str">
        <f>IF(($A77=""),"",IF(COUNTIF(Mineral!$AJ$3:$AJ$324,$A77),"",$A77))</f>
        <v/>
      </c>
      <c r="BC68" t="str">
        <f>IFERROR(INDEX(Liste_Handelsünger[Handelsdünger],_xlfn.AGGREGATE(15,6,(ROW(Liste_Handelsünger[Handelsdünger])-1)/(--(SEARCH(BD$2,Liste_Handelsünger[Handelsdünger])&gt;0)),ROW()-2),1),"")</f>
        <v>DC Top 15:5:0</v>
      </c>
      <c r="BD68" t="str">
        <f>IF(($A78=""),"",IF(COUNTIF(Mineral!$AJ$3:$AJ$324,$A78),"",$A78))</f>
        <v/>
      </c>
      <c r="BE68" t="str">
        <f>IFERROR(INDEX(Liste_Handelsünger[Handelsdünger],_xlfn.AGGREGATE(15,6,(ROW(Liste_Handelsünger[Handelsdünger])-1)/(--(SEARCH(BF$2,Liste_Handelsünger[Handelsdünger])&gt;0)),ROW()-2),1),"")</f>
        <v>DC Top 15:5:0</v>
      </c>
      <c r="BF68" t="str">
        <f>IF(($A79=""),"",IF(COUNTIF(Mineral!$AJ$3:$AJ$324,$A79),"",$A79))</f>
        <v/>
      </c>
      <c r="BG68" t="str">
        <f>IFERROR(INDEX(Liste_Handelsünger[Handelsdünger],_xlfn.AGGREGATE(15,6,(ROW(Liste_Handelsünger[Handelsdünger])-1)/(--(SEARCH(BH$2,Liste_Handelsünger[Handelsdünger])&gt;0)),ROW()-2),1),"")</f>
        <v>DC Top 15:5:0</v>
      </c>
      <c r="BH68" t="str">
        <f>IF(($A80=""),"",IF(COUNTIF(Mineral!$AJ$3:$AJ$324,$A80),"",$A80))</f>
        <v/>
      </c>
      <c r="BI68" t="str">
        <f>IFERROR(INDEX(Liste_Handelsünger[Handelsdünger],_xlfn.AGGREGATE(15,6,(ROW(Liste_Handelsünger[Handelsdünger])-1)/(--(SEARCH(BJ$2,Liste_Handelsünger[Handelsdünger])&gt;0)),ROW()-2),1),"")</f>
        <v>DC Top 15:5:0</v>
      </c>
      <c r="BJ68" t="str">
        <f>IF(($A81=""),"",IF(COUNTIF(Mineral!$AJ$3:$AJ$324,$A81),"",$A81))</f>
        <v/>
      </c>
      <c r="BK68" t="str">
        <f>IFERROR(INDEX(Liste_Handelsünger[Handelsdünger],_xlfn.AGGREGATE(15,6,(ROW(Liste_Handelsünger[Handelsdünger])-1)/(--(SEARCH(BL$2,Liste_Handelsünger[Handelsdünger])&gt;0)),ROW()-2),1),"")</f>
        <v>DC Top 15:5:0</v>
      </c>
      <c r="BM68" t="str">
        <f>IFERROR(INDEX(Liste_Handelsünger[Handelsdünger],_xlfn.AGGREGATE(15,6,(ROW(Liste_Handelsünger[Handelsdünger])-1)/(--(SEARCH(BN$2,Liste_Handelsünger[Handelsdünger])&gt;0)),ROW()-2),1),"")</f>
        <v>DC Top 15:5:0</v>
      </c>
      <c r="BN68" t="str">
        <f>IF(($A83=""),"",IF(COUNTIF(Mineral!$AJ$3:$AJ$324,$A83),"",$A83))</f>
        <v/>
      </c>
      <c r="BV68" t="s">
        <v>2114</v>
      </c>
      <c r="BW68" t="s">
        <v>2136</v>
      </c>
    </row>
    <row r="69" spans="19:75" ht="14.25" thickTop="1" thickBot="1">
      <c r="S69" s="1616">
        <v>68</v>
      </c>
      <c r="T69" s="1617" t="s">
        <v>2335</v>
      </c>
      <c r="U69" s="1617" t="s">
        <v>2115</v>
      </c>
      <c r="V69" s="1617"/>
      <c r="W69" s="1617">
        <v>6</v>
      </c>
      <c r="X69" s="1617">
        <v>8</v>
      </c>
      <c r="Y69" s="1617">
        <v>20</v>
      </c>
      <c r="Z69" s="1617">
        <v>15</v>
      </c>
      <c r="AA69" s="1617">
        <v>0</v>
      </c>
      <c r="AB69" s="1617">
        <v>2</v>
      </c>
      <c r="AC69" s="1617">
        <v>1</v>
      </c>
      <c r="AD69" s="1613">
        <v>1</v>
      </c>
      <c r="AE69" s="1617" t="s">
        <v>2016</v>
      </c>
      <c r="AF69" s="1613" t="str">
        <f t="shared" si="15"/>
        <v/>
      </c>
      <c r="AG69" s="1656">
        <f>IFERROR(IF($AF69&gt;0,VLOOKUP($U69,Tabelle1!$C$188:$L$212,5,0)*$AF69,0),0)</f>
        <v>0</v>
      </c>
      <c r="AH69" s="1656">
        <f t="shared" si="16"/>
        <v>0</v>
      </c>
      <c r="AJ69" t="str">
        <f>IF(Betrieb!$D$9="JA",Mineral!$BW69,Mineral!$BV69)</f>
        <v>DC Vital 6:8:20+2 MgO + 15 SContent</v>
      </c>
      <c r="AK69" s="1672" t="str">
        <f>IFERROR(INDEX(Liste_Handelsünger[Handelsdünger],_xlfn.AGGREGATE(15,6,(ROW(Liste_Handelsünger[Handelsdünger])-1)/(--(SEARCH(AL$2,Liste_Handelsünger[Handelsdünger])&gt;0)),ROW()-2),1),"")</f>
        <v>DC Vital 6:8:20+2 MgO + 15 SContent</v>
      </c>
      <c r="AL69" s="1672" t="str">
        <f>IF(($A$3=""),"",IF(COUNTIF(Mineral!$AJ$3:$AJ$324,$A$3),"",$A$3))</f>
        <v/>
      </c>
      <c r="AM69" s="1672" t="str">
        <f>IFERROR(INDEX(Liste_Handelsünger[Handelsdünger],_xlfn.AGGREGATE(15,6,(ROW(Liste_Handelsünger[Handelsdünger])-1)/(--(SEARCH(AN$2,Liste_Handelsünger[Handelsdünger])&gt;0)),ROW()-2),1),"")</f>
        <v>DC Vital 6:8:20+2 MgO + 15 SContent</v>
      </c>
      <c r="AN69" t="str">
        <f>IF(($A71=""),"",IF(COUNTIF(Mineral!$AJ$3:$AJ$324,$A71),"",$A71))</f>
        <v/>
      </c>
      <c r="AO69" t="str">
        <f>IFERROR(INDEX(Liste_Handelsünger[Handelsdünger],_xlfn.AGGREGATE(15,6,(ROW(Liste_Handelsünger[Handelsdünger])-1)/(--(SEARCH(AP$2,Liste_Handelsünger[Handelsdünger])&gt;0)),ROW()-2),1),"")</f>
        <v>DC Vital 6:8:20+2 MgO + 15 SContent</v>
      </c>
      <c r="AP69" t="str">
        <f>IF(($A72=""),"",IF(COUNTIF(Mineral!$AJ$3:$AJ$324,$A72),"",$A72))</f>
        <v/>
      </c>
      <c r="AQ69" t="str">
        <f>IFERROR(INDEX(Liste_Handelsünger[Handelsdünger],_xlfn.AGGREGATE(15,6,(ROW(Liste_Handelsünger[Handelsdünger])-1)/(--(SEARCH(AR$2,Liste_Handelsünger[Handelsdünger])&gt;0)),ROW()-2),1),"")</f>
        <v>DC Vital 6:8:20+2 MgO + 15 SContent</v>
      </c>
      <c r="AR69" t="str">
        <f>IF(($A73=""),"",IF(COUNTIF(Mineral!$AJ$3:$AJ$324,$A73),"",$A73))</f>
        <v/>
      </c>
      <c r="AS69" t="str">
        <f>IFERROR(INDEX(Liste_Handelsünger[Handelsdünger],_xlfn.AGGREGATE(15,6,(ROW(Liste_Handelsünger[Handelsdünger])-1)/(--(SEARCH(AT$2,Liste_Handelsünger[Handelsdünger])&gt;0)),ROW()-2),1),"")</f>
        <v>DC Vital 6:8:20+2 MgO + 15 SContent</v>
      </c>
      <c r="AT69" t="str">
        <f>IF(($A74=""),"",IF(COUNTIF(Mineral!$AJ$3:$AJ$324,$A74),"",$A74))</f>
        <v/>
      </c>
      <c r="AU69" t="str">
        <f>IFERROR(INDEX(Liste_Handelsünger[Handelsdünger],_xlfn.AGGREGATE(15,6,(ROW(Liste_Handelsünger[Handelsdünger])-1)/(--(SEARCH(AV$2,Liste_Handelsünger[Handelsdünger])&gt;0)),ROW()-2),1),"")</f>
        <v>DC Vital 6:8:20+2 MgO + 15 SContent</v>
      </c>
      <c r="AV69" t="str">
        <f>IF(($A75=""),"",IF(COUNTIF(Mineral!$AJ$3:$AJ$324,$A75),"",$A75))</f>
        <v/>
      </c>
      <c r="AW69" t="str">
        <f>IFERROR(INDEX(Liste_Handelsünger[Handelsdünger],_xlfn.AGGREGATE(15,6,(ROW(Liste_Handelsünger[Handelsdünger])-1)/(--(SEARCH(AX$2,Liste_Handelsünger[Handelsdünger])&gt;0)),ROW()-2),1),"")</f>
        <v>DC Vital 6:8:20+2 MgO + 15 SContent</v>
      </c>
      <c r="AX69" t="str">
        <f>IF(($A76=""),"",IF(COUNTIF(Mineral!$AJ$3:$AJ$324,$A76),"",$A76))</f>
        <v/>
      </c>
      <c r="AY69" t="str">
        <f>IFERROR(INDEX(Liste_Handelsünger[Handelsdünger],_xlfn.AGGREGATE(15,6,(ROW(Liste_Handelsünger[Handelsdünger])-1)/(--(SEARCH(AZ$2,Liste_Handelsünger[Handelsdünger])&gt;0)),ROW()-2),1),"")</f>
        <v>DC Vital 6:8:20+2 MgO + 15 SContent</v>
      </c>
      <c r="AZ69" t="str">
        <f>IF(($A77=""),"",IF(COUNTIF(Mineral!$AJ$3:$AJ$324,$A77),"",$A77))</f>
        <v/>
      </c>
      <c r="BA69" t="str">
        <f>IFERROR(INDEX(Liste_Handelsünger[Handelsdünger],_xlfn.AGGREGATE(15,6,(ROW(Liste_Handelsünger[Handelsdünger])-1)/(--(SEARCH(BB$2,Liste_Handelsünger[Handelsdünger])&gt;0)),ROW()-2),1),"")</f>
        <v>DC Vital 6:8:20+2 MgO + 15 SContent</v>
      </c>
      <c r="BB69" t="str">
        <f>IF(($A78=""),"",IF(COUNTIF(Mineral!$AJ$3:$AJ$324,$A78),"",$A78))</f>
        <v/>
      </c>
      <c r="BC69" t="str">
        <f>IFERROR(INDEX(Liste_Handelsünger[Handelsdünger],_xlfn.AGGREGATE(15,6,(ROW(Liste_Handelsünger[Handelsdünger])-1)/(--(SEARCH(BD$2,Liste_Handelsünger[Handelsdünger])&gt;0)),ROW()-2),1),"")</f>
        <v>DC Vital 6:8:20+2 MgO + 15 SContent</v>
      </c>
      <c r="BD69" t="str">
        <f>IF(($A79=""),"",IF(COUNTIF(Mineral!$AJ$3:$AJ$324,$A79),"",$A79))</f>
        <v/>
      </c>
      <c r="BE69" t="str">
        <f>IFERROR(INDEX(Liste_Handelsünger[Handelsdünger],_xlfn.AGGREGATE(15,6,(ROW(Liste_Handelsünger[Handelsdünger])-1)/(--(SEARCH(BF$2,Liste_Handelsünger[Handelsdünger])&gt;0)),ROW()-2),1),"")</f>
        <v>DC Vital 6:8:20+2 MgO + 15 SContent</v>
      </c>
      <c r="BF69" t="str">
        <f>IF(($A80=""),"",IF(COUNTIF(Mineral!$AJ$3:$AJ$324,$A80),"",$A80))</f>
        <v/>
      </c>
      <c r="BG69" t="str">
        <f>IFERROR(INDEX(Liste_Handelsünger[Handelsdünger],_xlfn.AGGREGATE(15,6,(ROW(Liste_Handelsünger[Handelsdünger])-1)/(--(SEARCH(BH$2,Liste_Handelsünger[Handelsdünger])&gt;0)),ROW()-2),1),"")</f>
        <v>DC Vital 6:8:20+2 MgO + 15 SContent</v>
      </c>
      <c r="BH69" t="str">
        <f>IF(($A81=""),"",IF(COUNTIF(Mineral!$AJ$3:$AJ$324,$A81),"",$A81))</f>
        <v/>
      </c>
      <c r="BI69" t="str">
        <f>IFERROR(INDEX(Liste_Handelsünger[Handelsdünger],_xlfn.AGGREGATE(15,6,(ROW(Liste_Handelsünger[Handelsdünger])-1)/(--(SEARCH(BJ$2,Liste_Handelsünger[Handelsdünger])&gt;0)),ROW()-2),1),"")</f>
        <v>DC Vital 6:8:20+2 MgO + 15 SContent</v>
      </c>
      <c r="BJ69" t="str">
        <f>IF(($A82=""),"",IF(COUNTIF(Mineral!$AJ$3:$AJ$324,$A82),"",$A82))</f>
        <v/>
      </c>
      <c r="BK69" t="str">
        <f>IFERROR(INDEX(Liste_Handelsünger[Handelsdünger],_xlfn.AGGREGATE(15,6,(ROW(Liste_Handelsünger[Handelsdünger])-1)/(--(SEARCH(BL$2,Liste_Handelsünger[Handelsdünger])&gt;0)),ROW()-2),1),"")</f>
        <v>DC Vital 6:8:20+2 MgO + 15 SContent</v>
      </c>
      <c r="BM69" t="str">
        <f>IFERROR(INDEX(Liste_Handelsünger[Handelsdünger],_xlfn.AGGREGATE(15,6,(ROW(Liste_Handelsünger[Handelsdünger])-1)/(--(SEARCH(BN$2,Liste_Handelsünger[Handelsdünger])&gt;0)),ROW()-2),1),"")</f>
        <v>DC Vital 6:8:20+2 MgO + 15 SContent</v>
      </c>
      <c r="BN69" t="str">
        <f>IF(($A84=""),"",IF(COUNTIF(Mineral!$AJ$3:$AJ$324,$A84),"",$A84))</f>
        <v/>
      </c>
      <c r="BV69" t="s">
        <v>2115</v>
      </c>
      <c r="BW69" t="s">
        <v>2137</v>
      </c>
    </row>
    <row r="70" spans="19:75" ht="14.25" thickTop="1" thickBot="1">
      <c r="S70" s="1676">
        <v>69</v>
      </c>
      <c r="T70" s="1606" t="s">
        <v>2335</v>
      </c>
      <c r="U70" s="1606" t="s">
        <v>2116</v>
      </c>
      <c r="V70" s="1606"/>
      <c r="W70" s="1606">
        <v>0</v>
      </c>
      <c r="X70" s="1606">
        <v>26</v>
      </c>
      <c r="Y70" s="1606">
        <v>0</v>
      </c>
      <c r="Z70" s="1606">
        <v>0</v>
      </c>
      <c r="AA70" s="1606">
        <v>40</v>
      </c>
      <c r="AB70" s="1606">
        <v>0</v>
      </c>
      <c r="AC70" s="1606">
        <v>1</v>
      </c>
      <c r="AD70" s="1613">
        <v>1</v>
      </c>
      <c r="AE70" s="1606" t="s">
        <v>1764</v>
      </c>
      <c r="AF70" s="1613" t="str">
        <f t="shared" si="15"/>
        <v/>
      </c>
      <c r="AG70" s="1656">
        <f>IFERROR(IF($AF70&gt;0,VLOOKUP($U70,Tabelle1!$C$188:$L$212,5,0)*$AF70,0),0)</f>
        <v>0</v>
      </c>
      <c r="AH70" s="1656">
        <f t="shared" si="16"/>
        <v>0</v>
      </c>
      <c r="AJ70" t="str">
        <f>IF(Betrieb!$D$9="JA",Mineral!$BW70,Mineral!$BV70)</f>
        <v>DC-Naturphosphat</v>
      </c>
      <c r="AK70" s="1672" t="str">
        <f>IFERROR(INDEX(Liste_Handelsünger[Handelsdünger],_xlfn.AGGREGATE(15,6,(ROW(Liste_Handelsünger[Handelsdünger])-1)/(--(SEARCH(AL$2,Liste_Handelsünger[Handelsdünger])&gt;0)),ROW()-2),1),"")</f>
        <v>DC-Naturphosphat</v>
      </c>
      <c r="AL70" s="1672" t="str">
        <f>IF(($A$3=""),"",IF(COUNTIF(Mineral!$AJ$3:$AJ$324,$A$3),"",$A$3))</f>
        <v/>
      </c>
      <c r="AM70" s="1672" t="str">
        <f>IFERROR(INDEX(Liste_Handelsünger[Handelsdünger],_xlfn.AGGREGATE(15,6,(ROW(Liste_Handelsünger[Handelsdünger])-1)/(--(SEARCH(AN$2,Liste_Handelsünger[Handelsdünger])&gt;0)),ROW()-2),1),"")</f>
        <v>DC-Naturphosphat</v>
      </c>
      <c r="AN70" t="str">
        <f>IF(($A72=""),"",IF(COUNTIF(Mineral!$AJ$3:$AJ$324,$A72),"",$A72))</f>
        <v/>
      </c>
      <c r="AO70" t="str">
        <f>IFERROR(INDEX(Liste_Handelsünger[Handelsdünger],_xlfn.AGGREGATE(15,6,(ROW(Liste_Handelsünger[Handelsdünger])-1)/(--(SEARCH(AP$2,Liste_Handelsünger[Handelsdünger])&gt;0)),ROW()-2),1),"")</f>
        <v>DC-Naturphosphat</v>
      </c>
      <c r="AP70" t="str">
        <f>IF(($A73=""),"",IF(COUNTIF(Mineral!$AJ$3:$AJ$324,$A73),"",$A73))</f>
        <v/>
      </c>
      <c r="AQ70" t="str">
        <f>IFERROR(INDEX(Liste_Handelsünger[Handelsdünger],_xlfn.AGGREGATE(15,6,(ROW(Liste_Handelsünger[Handelsdünger])-1)/(--(SEARCH(AR$2,Liste_Handelsünger[Handelsdünger])&gt;0)),ROW()-2),1),"")</f>
        <v>DC-Naturphosphat</v>
      </c>
      <c r="AR70" t="str">
        <f>IF(($A74=""),"",IF(COUNTIF(Mineral!$AJ$3:$AJ$324,$A74),"",$A74))</f>
        <v/>
      </c>
      <c r="AS70" t="str">
        <f>IFERROR(INDEX(Liste_Handelsünger[Handelsdünger],_xlfn.AGGREGATE(15,6,(ROW(Liste_Handelsünger[Handelsdünger])-1)/(--(SEARCH(AT$2,Liste_Handelsünger[Handelsdünger])&gt;0)),ROW()-2),1),"")</f>
        <v>DC-Naturphosphat</v>
      </c>
      <c r="AT70" t="str">
        <f>IF(($A75=""),"",IF(COUNTIF(Mineral!$AJ$3:$AJ$324,$A75),"",$A75))</f>
        <v/>
      </c>
      <c r="AU70" t="str">
        <f>IFERROR(INDEX(Liste_Handelsünger[Handelsdünger],_xlfn.AGGREGATE(15,6,(ROW(Liste_Handelsünger[Handelsdünger])-1)/(--(SEARCH(AV$2,Liste_Handelsünger[Handelsdünger])&gt;0)),ROW()-2),1),"")</f>
        <v>DC-Naturphosphat</v>
      </c>
      <c r="AV70" t="str">
        <f>IF(($A76=""),"",IF(COUNTIF(Mineral!$AJ$3:$AJ$324,$A76),"",$A76))</f>
        <v/>
      </c>
      <c r="AW70" t="str">
        <f>IFERROR(INDEX(Liste_Handelsünger[Handelsdünger],_xlfn.AGGREGATE(15,6,(ROW(Liste_Handelsünger[Handelsdünger])-1)/(--(SEARCH(AX$2,Liste_Handelsünger[Handelsdünger])&gt;0)),ROW()-2),1),"")</f>
        <v>DC-Naturphosphat</v>
      </c>
      <c r="AX70" t="str">
        <f>IF(($A77=""),"",IF(COUNTIF(Mineral!$AJ$3:$AJ$324,$A77),"",$A77))</f>
        <v/>
      </c>
      <c r="AY70" t="str">
        <f>IFERROR(INDEX(Liste_Handelsünger[Handelsdünger],_xlfn.AGGREGATE(15,6,(ROW(Liste_Handelsünger[Handelsdünger])-1)/(--(SEARCH(AZ$2,Liste_Handelsünger[Handelsdünger])&gt;0)),ROW()-2),1),"")</f>
        <v>DC-Naturphosphat</v>
      </c>
      <c r="AZ70" t="str">
        <f>IF(($A78=""),"",IF(COUNTIF(Mineral!$AJ$3:$AJ$324,$A78),"",$A78))</f>
        <v/>
      </c>
      <c r="BA70" t="str">
        <f>IFERROR(INDEX(Liste_Handelsünger[Handelsdünger],_xlfn.AGGREGATE(15,6,(ROW(Liste_Handelsünger[Handelsdünger])-1)/(--(SEARCH(BB$2,Liste_Handelsünger[Handelsdünger])&gt;0)),ROW()-2),1),"")</f>
        <v>DC-Naturphosphat</v>
      </c>
      <c r="BB70" t="str">
        <f>IF(($A79=""),"",IF(COUNTIF(Mineral!$AJ$3:$AJ$324,$A79),"",$A79))</f>
        <v/>
      </c>
      <c r="BC70" t="str">
        <f>IFERROR(INDEX(Liste_Handelsünger[Handelsdünger],_xlfn.AGGREGATE(15,6,(ROW(Liste_Handelsünger[Handelsdünger])-1)/(--(SEARCH(BD$2,Liste_Handelsünger[Handelsdünger])&gt;0)),ROW()-2),1),"")</f>
        <v>DC-Naturphosphat</v>
      </c>
      <c r="BD70" t="str">
        <f>IF(($A80=""),"",IF(COUNTIF(Mineral!$AJ$3:$AJ$324,$A80),"",$A80))</f>
        <v/>
      </c>
      <c r="BE70" t="str">
        <f>IFERROR(INDEX(Liste_Handelsünger[Handelsdünger],_xlfn.AGGREGATE(15,6,(ROW(Liste_Handelsünger[Handelsdünger])-1)/(--(SEARCH(BF$2,Liste_Handelsünger[Handelsdünger])&gt;0)),ROW()-2),1),"")</f>
        <v>DC-Naturphosphat</v>
      </c>
      <c r="BF70" t="str">
        <f>IF(($A81=""),"",IF(COUNTIF(Mineral!$AJ$3:$AJ$324,$A81),"",$A81))</f>
        <v/>
      </c>
      <c r="BG70" t="str">
        <f>IFERROR(INDEX(Liste_Handelsünger[Handelsdünger],_xlfn.AGGREGATE(15,6,(ROW(Liste_Handelsünger[Handelsdünger])-1)/(--(SEARCH(BH$2,Liste_Handelsünger[Handelsdünger])&gt;0)),ROW()-2),1),"")</f>
        <v>DC-Naturphosphat</v>
      </c>
      <c r="BH70" t="str">
        <f>IF(($A82=""),"",IF(COUNTIF(Mineral!$AJ$3:$AJ$324,$A82),"",$A82))</f>
        <v/>
      </c>
      <c r="BI70" t="str">
        <f>IFERROR(INDEX(Liste_Handelsünger[Handelsdünger],_xlfn.AGGREGATE(15,6,(ROW(Liste_Handelsünger[Handelsdünger])-1)/(--(SEARCH(BJ$2,Liste_Handelsünger[Handelsdünger])&gt;0)),ROW()-2),1),"")</f>
        <v>DC-Naturphosphat</v>
      </c>
      <c r="BJ70" t="str">
        <f>IF(($A83=""),"",IF(COUNTIF(Mineral!$AJ$3:$AJ$324,$A83),"",$A83))</f>
        <v/>
      </c>
      <c r="BK70" t="str">
        <f>IFERROR(INDEX(Liste_Handelsünger[Handelsdünger],_xlfn.AGGREGATE(15,6,(ROW(Liste_Handelsünger[Handelsdünger])-1)/(--(SEARCH(BL$2,Liste_Handelsünger[Handelsdünger])&gt;0)),ROW()-2),1),"")</f>
        <v>DC-Naturphosphat</v>
      </c>
      <c r="BM70" t="str">
        <f>IFERROR(INDEX(Liste_Handelsünger[Handelsdünger],_xlfn.AGGREGATE(15,6,(ROW(Liste_Handelsünger[Handelsdünger])-1)/(--(SEARCH(BN$2,Liste_Handelsünger[Handelsdünger])&gt;0)),ROW()-2),1),"")</f>
        <v>DC-Naturphosphat</v>
      </c>
      <c r="BN70" t="str">
        <f>IF(($A85=""),"",IF(COUNTIF(Mineral!$AJ$3:$AJ$324,$A85),"",$A85))</f>
        <v/>
      </c>
      <c r="BV70" t="s">
        <v>2116</v>
      </c>
      <c r="BW70" t="s">
        <v>2138</v>
      </c>
    </row>
    <row r="71" spans="19:75" ht="14.25" thickTop="1" thickBot="1">
      <c r="S71" s="1616">
        <v>70</v>
      </c>
      <c r="T71" s="1617" t="s">
        <v>2335</v>
      </c>
      <c r="U71" s="1617" t="s">
        <v>2121</v>
      </c>
      <c r="V71" s="1617"/>
      <c r="W71" s="1617">
        <v>0</v>
      </c>
      <c r="X71" s="1617">
        <v>0</v>
      </c>
      <c r="Y71" s="1617">
        <v>0</v>
      </c>
      <c r="Z71" s="1617">
        <v>0</v>
      </c>
      <c r="AA71" s="1617">
        <v>54</v>
      </c>
      <c r="AB71" s="1617">
        <v>15</v>
      </c>
      <c r="AC71" s="1617">
        <v>1</v>
      </c>
      <c r="AD71" s="1613">
        <v>1</v>
      </c>
      <c r="AE71" s="1617" t="s">
        <v>1764</v>
      </c>
      <c r="AF71" s="1613" t="str">
        <f t="shared" si="15"/>
        <v/>
      </c>
      <c r="AG71" s="1656">
        <f>IFERROR(IF($AF71&gt;0,VLOOKUP($U71,Tabelle1!$C$188:$L$212,5,0)*$AF71,0),0)</f>
        <v>0</v>
      </c>
      <c r="AH71" s="1656">
        <f t="shared" si="16"/>
        <v>0</v>
      </c>
      <c r="AJ71" t="str">
        <f>IF(Betrieb!$D$9="JA",Mineral!$BW71,Mineral!$BV71)</f>
        <v>Dolokorn</v>
      </c>
      <c r="AK71" s="1672" t="str">
        <f>IFERROR(INDEX(Liste_Handelsünger[Handelsdünger],_xlfn.AGGREGATE(15,6,(ROW(Liste_Handelsünger[Handelsdünger])-1)/(--(SEARCH(AL$2,Liste_Handelsünger[Handelsdünger])&gt;0)),ROW()-2),1),"")</f>
        <v>Dolokorn</v>
      </c>
      <c r="AL71" s="1672" t="str">
        <f>IF(($A$3=""),"",IF(COUNTIF(Mineral!$AJ$3:$AJ$324,$A$3),"",$A$3))</f>
        <v/>
      </c>
      <c r="AM71" s="1672" t="str">
        <f>IFERROR(INDEX(Liste_Handelsünger[Handelsdünger],_xlfn.AGGREGATE(15,6,(ROW(Liste_Handelsünger[Handelsdünger])-1)/(--(SEARCH(AN$2,Liste_Handelsünger[Handelsdünger])&gt;0)),ROW()-2),1),"")</f>
        <v>Dolokorn</v>
      </c>
      <c r="AN71" t="str">
        <f>IF(($A73=""),"",IF(COUNTIF(Mineral!$AJ$3:$AJ$324,$A73),"",$A73))</f>
        <v/>
      </c>
      <c r="AO71" t="str">
        <f>IFERROR(INDEX(Liste_Handelsünger[Handelsdünger],_xlfn.AGGREGATE(15,6,(ROW(Liste_Handelsünger[Handelsdünger])-1)/(--(SEARCH(AP$2,Liste_Handelsünger[Handelsdünger])&gt;0)),ROW()-2),1),"")</f>
        <v>Dolokorn</v>
      </c>
      <c r="AP71" t="str">
        <f>IF(($A74=""),"",IF(COUNTIF(Mineral!$AJ$3:$AJ$324,$A74),"",$A74))</f>
        <v/>
      </c>
      <c r="AQ71" t="str">
        <f>IFERROR(INDEX(Liste_Handelsünger[Handelsdünger],_xlfn.AGGREGATE(15,6,(ROW(Liste_Handelsünger[Handelsdünger])-1)/(--(SEARCH(AR$2,Liste_Handelsünger[Handelsdünger])&gt;0)),ROW()-2),1),"")</f>
        <v>Dolokorn</v>
      </c>
      <c r="AR71" t="str">
        <f>IF(($A75=""),"",IF(COUNTIF(Mineral!$AJ$3:$AJ$324,$A75),"",$A75))</f>
        <v/>
      </c>
      <c r="AS71" t="str">
        <f>IFERROR(INDEX(Liste_Handelsünger[Handelsdünger],_xlfn.AGGREGATE(15,6,(ROW(Liste_Handelsünger[Handelsdünger])-1)/(--(SEARCH(AT$2,Liste_Handelsünger[Handelsdünger])&gt;0)),ROW()-2),1),"")</f>
        <v>Dolokorn</v>
      </c>
      <c r="AT71" t="str">
        <f>IF(($A76=""),"",IF(COUNTIF(Mineral!$AJ$3:$AJ$324,$A76),"",$A76))</f>
        <v/>
      </c>
      <c r="AU71" t="str">
        <f>IFERROR(INDEX(Liste_Handelsünger[Handelsdünger],_xlfn.AGGREGATE(15,6,(ROW(Liste_Handelsünger[Handelsdünger])-1)/(--(SEARCH(AV$2,Liste_Handelsünger[Handelsdünger])&gt;0)),ROW()-2),1),"")</f>
        <v>Dolokorn</v>
      </c>
      <c r="AV71" t="str">
        <f>IF(($A77=""),"",IF(COUNTIF(Mineral!$AJ$3:$AJ$324,$A77),"",$A77))</f>
        <v/>
      </c>
      <c r="AW71" t="str">
        <f>IFERROR(INDEX(Liste_Handelsünger[Handelsdünger],_xlfn.AGGREGATE(15,6,(ROW(Liste_Handelsünger[Handelsdünger])-1)/(--(SEARCH(AX$2,Liste_Handelsünger[Handelsdünger])&gt;0)),ROW()-2),1),"")</f>
        <v>Dolokorn</v>
      </c>
      <c r="AX71" t="str">
        <f>IF(($A78=""),"",IF(COUNTIF(Mineral!$AJ$3:$AJ$324,$A78),"",$A78))</f>
        <v/>
      </c>
      <c r="AY71" t="str">
        <f>IFERROR(INDEX(Liste_Handelsünger[Handelsdünger],_xlfn.AGGREGATE(15,6,(ROW(Liste_Handelsünger[Handelsdünger])-1)/(--(SEARCH(AZ$2,Liste_Handelsünger[Handelsdünger])&gt;0)),ROW()-2),1),"")</f>
        <v>Dolokorn</v>
      </c>
      <c r="AZ71" t="str">
        <f>IF(($A79=""),"",IF(COUNTIF(Mineral!$AJ$3:$AJ$324,$A79),"",$A79))</f>
        <v/>
      </c>
      <c r="BA71" t="str">
        <f>IFERROR(INDEX(Liste_Handelsünger[Handelsdünger],_xlfn.AGGREGATE(15,6,(ROW(Liste_Handelsünger[Handelsdünger])-1)/(--(SEARCH(BB$2,Liste_Handelsünger[Handelsdünger])&gt;0)),ROW()-2),1),"")</f>
        <v>Dolokorn</v>
      </c>
      <c r="BB71" t="str">
        <f>IF(($A80=""),"",IF(COUNTIF(Mineral!$AJ$3:$AJ$324,$A80),"",$A80))</f>
        <v/>
      </c>
      <c r="BC71" t="str">
        <f>IFERROR(INDEX(Liste_Handelsünger[Handelsdünger],_xlfn.AGGREGATE(15,6,(ROW(Liste_Handelsünger[Handelsdünger])-1)/(--(SEARCH(BD$2,Liste_Handelsünger[Handelsdünger])&gt;0)),ROW()-2),1),"")</f>
        <v>Dolokorn</v>
      </c>
      <c r="BD71" t="str">
        <f>IF(($A81=""),"",IF(COUNTIF(Mineral!$AJ$3:$AJ$324,$A81),"",$A81))</f>
        <v/>
      </c>
      <c r="BE71" t="str">
        <f>IFERROR(INDEX(Liste_Handelsünger[Handelsdünger],_xlfn.AGGREGATE(15,6,(ROW(Liste_Handelsünger[Handelsdünger])-1)/(--(SEARCH(BF$2,Liste_Handelsünger[Handelsdünger])&gt;0)),ROW()-2),1),"")</f>
        <v>Dolokorn</v>
      </c>
      <c r="BF71" t="str">
        <f>IF(($A82=""),"",IF(COUNTIF(Mineral!$AJ$3:$AJ$324,$A82),"",$A82))</f>
        <v/>
      </c>
      <c r="BG71" t="str">
        <f>IFERROR(INDEX(Liste_Handelsünger[Handelsdünger],_xlfn.AGGREGATE(15,6,(ROW(Liste_Handelsünger[Handelsdünger])-1)/(--(SEARCH(BH$2,Liste_Handelsünger[Handelsdünger])&gt;0)),ROW()-2),1),"")</f>
        <v>Dolokorn</v>
      </c>
      <c r="BH71" t="str">
        <f>IF(($A83=""),"",IF(COUNTIF(Mineral!$AJ$3:$AJ$324,$A83),"",$A83))</f>
        <v/>
      </c>
      <c r="BI71" t="str">
        <f>IFERROR(INDEX(Liste_Handelsünger[Handelsdünger],_xlfn.AGGREGATE(15,6,(ROW(Liste_Handelsünger[Handelsdünger])-1)/(--(SEARCH(BJ$2,Liste_Handelsünger[Handelsdünger])&gt;0)),ROW()-2),1),"")</f>
        <v>Dolokorn</v>
      </c>
      <c r="BJ71" t="str">
        <f>IF(($A84=""),"",IF(COUNTIF(Mineral!$AJ$3:$AJ$324,$A84),"",$A84))</f>
        <v/>
      </c>
      <c r="BK71" t="str">
        <f>IFERROR(INDEX(Liste_Handelsünger[Handelsdünger],_xlfn.AGGREGATE(15,6,(ROW(Liste_Handelsünger[Handelsdünger])-1)/(--(SEARCH(BL$2,Liste_Handelsünger[Handelsdünger])&gt;0)),ROW()-2),1),"")</f>
        <v>Dolokorn</v>
      </c>
      <c r="BM71" t="str">
        <f>IFERROR(INDEX(Liste_Handelsünger[Handelsdünger],_xlfn.AGGREGATE(15,6,(ROW(Liste_Handelsünger[Handelsdünger])-1)/(--(SEARCH(BN$2,Liste_Handelsünger[Handelsdünger])&gt;0)),ROW()-2),1),"")</f>
        <v>Dolokorn</v>
      </c>
      <c r="BN71" t="str">
        <f>IF(($A86=""),"",IF(COUNTIF(Mineral!$AJ$3:$AJ$324,$A86),"",$A86))</f>
        <v/>
      </c>
      <c r="BV71" t="s">
        <v>2121</v>
      </c>
      <c r="BW71" t="s">
        <v>2139</v>
      </c>
    </row>
    <row r="72" spans="19:75" ht="14.25" thickTop="1" thickBot="1">
      <c r="S72" s="1676">
        <v>71</v>
      </c>
      <c r="T72" s="1606" t="s">
        <v>2335</v>
      </c>
      <c r="U72" s="1606" t="s">
        <v>2122</v>
      </c>
      <c r="V72" s="1606"/>
      <c r="W72" s="1606">
        <v>0</v>
      </c>
      <c r="X72" s="1606">
        <v>20.5</v>
      </c>
      <c r="Y72" s="1606">
        <v>0</v>
      </c>
      <c r="Z72" s="1606">
        <v>0</v>
      </c>
      <c r="AA72" s="1606">
        <v>32.5</v>
      </c>
      <c r="AB72" s="1606">
        <v>3</v>
      </c>
      <c r="AC72" s="1606">
        <v>1</v>
      </c>
      <c r="AD72" s="1613">
        <v>1</v>
      </c>
      <c r="AE72" s="1606" t="s">
        <v>1764</v>
      </c>
      <c r="AF72" s="1613" t="str">
        <f t="shared" si="15"/>
        <v/>
      </c>
      <c r="AG72" s="1656">
        <f>IFERROR(IF($AF72&gt;0,VLOOKUP($U72,Tabelle1!$C$188:$L$212,5,0)*$AF72,0),0)</f>
        <v>0</v>
      </c>
      <c r="AH72" s="1656">
        <f t="shared" si="16"/>
        <v>0</v>
      </c>
      <c r="AJ72" t="str">
        <f>IF(Betrieb!$D$9="JA",Mineral!$BW72,Mineral!$BV72)</f>
        <v>Dolophos 15 / Dolophos 26</v>
      </c>
      <c r="AK72" s="1672" t="str">
        <f>IFERROR(INDEX(Liste_Handelsünger[Handelsdünger],_xlfn.AGGREGATE(15,6,(ROW(Liste_Handelsünger[Handelsdünger])-1)/(--(SEARCH(AL$2,Liste_Handelsünger[Handelsdünger])&gt;0)),ROW()-2),1),"")</f>
        <v>Dolophos 15 / Dolophos 26</v>
      </c>
      <c r="AL72" s="1672" t="str">
        <f>IF(($A$3=""),"",IF(COUNTIF(Mineral!$AJ$3:$AJ$324,$A$3),"",$A$3))</f>
        <v/>
      </c>
      <c r="AM72" s="1672" t="str">
        <f>IFERROR(INDEX(Liste_Handelsünger[Handelsdünger],_xlfn.AGGREGATE(15,6,(ROW(Liste_Handelsünger[Handelsdünger])-1)/(--(SEARCH(AN$2,Liste_Handelsünger[Handelsdünger])&gt;0)),ROW()-2),1),"")</f>
        <v>Dolophos 15 / Dolophos 26</v>
      </c>
      <c r="AN72" t="str">
        <f>IF(($A74=""),"",IF(COUNTIF(Mineral!$AJ$3:$AJ$324,$A74),"",$A74))</f>
        <v/>
      </c>
      <c r="AO72" t="str">
        <f>IFERROR(INDEX(Liste_Handelsünger[Handelsdünger],_xlfn.AGGREGATE(15,6,(ROW(Liste_Handelsünger[Handelsdünger])-1)/(--(SEARCH(AP$2,Liste_Handelsünger[Handelsdünger])&gt;0)),ROW()-2),1),"")</f>
        <v>Dolophos 15 / Dolophos 26</v>
      </c>
      <c r="AP72" t="str">
        <f>IF(($A75=""),"",IF(COUNTIF(Mineral!$AJ$3:$AJ$324,$A75),"",$A75))</f>
        <v/>
      </c>
      <c r="AQ72" t="str">
        <f>IFERROR(INDEX(Liste_Handelsünger[Handelsdünger],_xlfn.AGGREGATE(15,6,(ROW(Liste_Handelsünger[Handelsdünger])-1)/(--(SEARCH(AR$2,Liste_Handelsünger[Handelsdünger])&gt;0)),ROW()-2),1),"")</f>
        <v>Dolophos 15 / Dolophos 26</v>
      </c>
      <c r="AR72" t="str">
        <f>IF(($A76=""),"",IF(COUNTIF(Mineral!$AJ$3:$AJ$324,$A76),"",$A76))</f>
        <v/>
      </c>
      <c r="AS72" t="str">
        <f>IFERROR(INDEX(Liste_Handelsünger[Handelsdünger],_xlfn.AGGREGATE(15,6,(ROW(Liste_Handelsünger[Handelsdünger])-1)/(--(SEARCH(AT$2,Liste_Handelsünger[Handelsdünger])&gt;0)),ROW()-2),1),"")</f>
        <v>Dolophos 15 / Dolophos 26</v>
      </c>
      <c r="AT72" t="str">
        <f>IF(($A77=""),"",IF(COUNTIF(Mineral!$AJ$3:$AJ$324,$A77),"",$A77))</f>
        <v/>
      </c>
      <c r="AU72" t="str">
        <f>IFERROR(INDEX(Liste_Handelsünger[Handelsdünger],_xlfn.AGGREGATE(15,6,(ROW(Liste_Handelsünger[Handelsdünger])-1)/(--(SEARCH(AV$2,Liste_Handelsünger[Handelsdünger])&gt;0)),ROW()-2),1),"")</f>
        <v>Dolophos 15 / Dolophos 26</v>
      </c>
      <c r="AV72" t="str">
        <f>IF(($A78=""),"",IF(COUNTIF(Mineral!$AJ$3:$AJ$324,$A78),"",$A78))</f>
        <v/>
      </c>
      <c r="AW72" t="str">
        <f>IFERROR(INDEX(Liste_Handelsünger[Handelsdünger],_xlfn.AGGREGATE(15,6,(ROW(Liste_Handelsünger[Handelsdünger])-1)/(--(SEARCH(AX$2,Liste_Handelsünger[Handelsdünger])&gt;0)),ROW()-2),1),"")</f>
        <v>Dolophos 15 / Dolophos 26</v>
      </c>
      <c r="AX72" t="str">
        <f>IF(($A79=""),"",IF(COUNTIF(Mineral!$AJ$3:$AJ$324,$A79),"",$A79))</f>
        <v/>
      </c>
      <c r="AY72" t="str">
        <f>IFERROR(INDEX(Liste_Handelsünger[Handelsdünger],_xlfn.AGGREGATE(15,6,(ROW(Liste_Handelsünger[Handelsdünger])-1)/(--(SEARCH(AZ$2,Liste_Handelsünger[Handelsdünger])&gt;0)),ROW()-2),1),"")</f>
        <v>Dolophos 15 / Dolophos 26</v>
      </c>
      <c r="AZ72" t="str">
        <f>IF(($A80=""),"",IF(COUNTIF(Mineral!$AJ$3:$AJ$324,$A80),"",$A80))</f>
        <v/>
      </c>
      <c r="BA72" t="str">
        <f>IFERROR(INDEX(Liste_Handelsünger[Handelsdünger],_xlfn.AGGREGATE(15,6,(ROW(Liste_Handelsünger[Handelsdünger])-1)/(--(SEARCH(BB$2,Liste_Handelsünger[Handelsdünger])&gt;0)),ROW()-2),1),"")</f>
        <v>Dolophos 15 / Dolophos 26</v>
      </c>
      <c r="BB72" t="str">
        <f>IF(($A81=""),"",IF(COUNTIF(Mineral!$AJ$3:$AJ$324,$A81),"",$A81))</f>
        <v/>
      </c>
      <c r="BC72" t="str">
        <f>IFERROR(INDEX(Liste_Handelsünger[Handelsdünger],_xlfn.AGGREGATE(15,6,(ROW(Liste_Handelsünger[Handelsdünger])-1)/(--(SEARCH(BD$2,Liste_Handelsünger[Handelsdünger])&gt;0)),ROW()-2),1),"")</f>
        <v>Dolophos 15 / Dolophos 26</v>
      </c>
      <c r="BD72" t="str">
        <f>IF(($A82=""),"",IF(COUNTIF(Mineral!$AJ$3:$AJ$324,$A82),"",$A82))</f>
        <v/>
      </c>
      <c r="BE72" t="str">
        <f>IFERROR(INDEX(Liste_Handelsünger[Handelsdünger],_xlfn.AGGREGATE(15,6,(ROW(Liste_Handelsünger[Handelsdünger])-1)/(--(SEARCH(BF$2,Liste_Handelsünger[Handelsdünger])&gt;0)),ROW()-2),1),"")</f>
        <v>Dolophos 15 / Dolophos 26</v>
      </c>
      <c r="BF72" t="str">
        <f>IF(($A83=""),"",IF(COUNTIF(Mineral!$AJ$3:$AJ$324,$A83),"",$A83))</f>
        <v/>
      </c>
      <c r="BG72" t="str">
        <f>IFERROR(INDEX(Liste_Handelsünger[Handelsdünger],_xlfn.AGGREGATE(15,6,(ROW(Liste_Handelsünger[Handelsdünger])-1)/(--(SEARCH(BH$2,Liste_Handelsünger[Handelsdünger])&gt;0)),ROW()-2),1),"")</f>
        <v>Dolophos 15 / Dolophos 26</v>
      </c>
      <c r="BH72" t="str">
        <f>IF(($A84=""),"",IF(COUNTIF(Mineral!$AJ$3:$AJ$324,$A84),"",$A84))</f>
        <v/>
      </c>
      <c r="BI72" t="str">
        <f>IFERROR(INDEX(Liste_Handelsünger[Handelsdünger],_xlfn.AGGREGATE(15,6,(ROW(Liste_Handelsünger[Handelsdünger])-1)/(--(SEARCH(BJ$2,Liste_Handelsünger[Handelsdünger])&gt;0)),ROW()-2),1),"")</f>
        <v>Dolophos 15 / Dolophos 26</v>
      </c>
      <c r="BJ72" t="str">
        <f>IF(($A85=""),"",IF(COUNTIF(Mineral!$AJ$3:$AJ$324,$A85),"",$A85))</f>
        <v/>
      </c>
      <c r="BK72" t="str">
        <f>IFERROR(INDEX(Liste_Handelsünger[Handelsdünger],_xlfn.AGGREGATE(15,6,(ROW(Liste_Handelsünger[Handelsdünger])-1)/(--(SEARCH(BL$2,Liste_Handelsünger[Handelsdünger])&gt;0)),ROW()-2),1),"")</f>
        <v>Dolophos 15 / Dolophos 26</v>
      </c>
      <c r="BM72" t="str">
        <f>IFERROR(INDEX(Liste_Handelsünger[Handelsdünger],_xlfn.AGGREGATE(15,6,(ROW(Liste_Handelsünger[Handelsdünger])-1)/(--(SEARCH(BN$2,Liste_Handelsünger[Handelsdünger])&gt;0)),ROW()-2),1),"")</f>
        <v>Dolophos 15 / Dolophos 26</v>
      </c>
      <c r="BN72" t="str">
        <f>IF(($A87=""),"",IF(COUNTIF(Mineral!$AJ$3:$AJ$324,$A87),"",$A87))</f>
        <v/>
      </c>
      <c r="BV72" t="s">
        <v>2122</v>
      </c>
      <c r="BW72" t="s">
        <v>2140</v>
      </c>
    </row>
    <row r="73" spans="19:75" ht="14.25" thickTop="1" thickBot="1">
      <c r="S73" s="1616">
        <v>72</v>
      </c>
      <c r="T73" s="1617" t="s">
        <v>2335</v>
      </c>
      <c r="U73" s="1617" t="s">
        <v>2123</v>
      </c>
      <c r="V73" s="1617"/>
      <c r="W73" s="1617">
        <v>0</v>
      </c>
      <c r="X73" s="1617">
        <v>15</v>
      </c>
      <c r="Y73" s="1617">
        <v>0</v>
      </c>
      <c r="Z73" s="1617">
        <v>0</v>
      </c>
      <c r="AA73" s="1617">
        <v>40</v>
      </c>
      <c r="AB73" s="1617">
        <v>0</v>
      </c>
      <c r="AC73" s="1617">
        <v>1</v>
      </c>
      <c r="AD73" s="1613">
        <v>1</v>
      </c>
      <c r="AE73" s="1617" t="s">
        <v>1764</v>
      </c>
      <c r="AF73" s="1613" t="str">
        <f t="shared" si="15"/>
        <v/>
      </c>
      <c r="AG73" s="1656">
        <f>IFERROR(IF($AF73&gt;0,VLOOKUP($U73,Tabelle1!$C$188:$L$212,5,0)*$AF73,0),0)</f>
        <v>0</v>
      </c>
      <c r="AH73" s="1656">
        <f t="shared" si="16"/>
        <v>0</v>
      </c>
      <c r="AJ73" t="str">
        <f>IF(Betrieb!$D$9="JA",Mineral!$BW73,Mineral!$BV73)</f>
        <v>Dolophos 15 gran.</v>
      </c>
      <c r="AK73" s="1672" t="str">
        <f>IFERROR(INDEX(Liste_Handelsünger[Handelsdünger],_xlfn.AGGREGATE(15,6,(ROW(Liste_Handelsünger[Handelsdünger])-1)/(--(SEARCH(AL$2,Liste_Handelsünger[Handelsdünger])&gt;0)),ROW()-2),1),"")</f>
        <v>Dolophos 15 gran.</v>
      </c>
      <c r="AL73" s="1672" t="str">
        <f>IF(($A$3=""),"",IF(COUNTIF(Mineral!$AJ$3:$AJ$324,$A$3),"",$A$3))</f>
        <v/>
      </c>
      <c r="AM73" s="1672" t="str">
        <f>IFERROR(INDEX(Liste_Handelsünger[Handelsdünger],_xlfn.AGGREGATE(15,6,(ROW(Liste_Handelsünger[Handelsdünger])-1)/(--(SEARCH(AN$2,Liste_Handelsünger[Handelsdünger])&gt;0)),ROW()-2),1),"")</f>
        <v>Dolophos 15 gran.</v>
      </c>
      <c r="AN73" t="str">
        <f>IF(($A75=""),"",IF(COUNTIF(Mineral!$AJ$3:$AJ$324,$A75),"",$A75))</f>
        <v/>
      </c>
      <c r="AO73" t="str">
        <f>IFERROR(INDEX(Liste_Handelsünger[Handelsdünger],_xlfn.AGGREGATE(15,6,(ROW(Liste_Handelsünger[Handelsdünger])-1)/(--(SEARCH(AP$2,Liste_Handelsünger[Handelsdünger])&gt;0)),ROW()-2),1),"")</f>
        <v>Dolophos 15 gran.</v>
      </c>
      <c r="AP73" t="str">
        <f>IF(($A76=""),"",IF(COUNTIF(Mineral!$AJ$3:$AJ$324,$A76),"",$A76))</f>
        <v/>
      </c>
      <c r="AQ73" t="str">
        <f>IFERROR(INDEX(Liste_Handelsünger[Handelsdünger],_xlfn.AGGREGATE(15,6,(ROW(Liste_Handelsünger[Handelsdünger])-1)/(--(SEARCH(AR$2,Liste_Handelsünger[Handelsdünger])&gt;0)),ROW()-2),1),"")</f>
        <v>Dolophos 15 gran.</v>
      </c>
      <c r="AR73" t="str">
        <f>IF(($A77=""),"",IF(COUNTIF(Mineral!$AJ$3:$AJ$324,$A77),"",$A77))</f>
        <v/>
      </c>
      <c r="AS73" t="str">
        <f>IFERROR(INDEX(Liste_Handelsünger[Handelsdünger],_xlfn.AGGREGATE(15,6,(ROW(Liste_Handelsünger[Handelsdünger])-1)/(--(SEARCH(AT$2,Liste_Handelsünger[Handelsdünger])&gt;0)),ROW()-2),1),"")</f>
        <v>Dolophos 15 gran.</v>
      </c>
      <c r="AT73" t="str">
        <f>IF(($A78=""),"",IF(COUNTIF(Mineral!$AJ$3:$AJ$324,$A78),"",$A78))</f>
        <v/>
      </c>
      <c r="AU73" t="str">
        <f>IFERROR(INDEX(Liste_Handelsünger[Handelsdünger],_xlfn.AGGREGATE(15,6,(ROW(Liste_Handelsünger[Handelsdünger])-1)/(--(SEARCH(AV$2,Liste_Handelsünger[Handelsdünger])&gt;0)),ROW()-2),1),"")</f>
        <v>Dolophos 15 gran.</v>
      </c>
      <c r="AV73" t="str">
        <f>IF(($A79=""),"",IF(COUNTIF(Mineral!$AJ$3:$AJ$324,$A79),"",$A79))</f>
        <v/>
      </c>
      <c r="AW73" t="str">
        <f>IFERROR(INDEX(Liste_Handelsünger[Handelsdünger],_xlfn.AGGREGATE(15,6,(ROW(Liste_Handelsünger[Handelsdünger])-1)/(--(SEARCH(AX$2,Liste_Handelsünger[Handelsdünger])&gt;0)),ROW()-2),1),"")</f>
        <v>Dolophos 15 gran.</v>
      </c>
      <c r="AX73" t="str">
        <f>IF(($A80=""),"",IF(COUNTIF(Mineral!$AJ$3:$AJ$324,$A80),"",$A80))</f>
        <v/>
      </c>
      <c r="AY73" t="str">
        <f>IFERROR(INDEX(Liste_Handelsünger[Handelsdünger],_xlfn.AGGREGATE(15,6,(ROW(Liste_Handelsünger[Handelsdünger])-1)/(--(SEARCH(AZ$2,Liste_Handelsünger[Handelsdünger])&gt;0)),ROW()-2),1),"")</f>
        <v>Dolophos 15 gran.</v>
      </c>
      <c r="AZ73" t="str">
        <f>IF(($A81=""),"",IF(COUNTIF(Mineral!$AJ$3:$AJ$324,$A81),"",$A81))</f>
        <v/>
      </c>
      <c r="BA73" t="str">
        <f>IFERROR(INDEX(Liste_Handelsünger[Handelsdünger],_xlfn.AGGREGATE(15,6,(ROW(Liste_Handelsünger[Handelsdünger])-1)/(--(SEARCH(BB$2,Liste_Handelsünger[Handelsdünger])&gt;0)),ROW()-2),1),"")</f>
        <v>Dolophos 15 gran.</v>
      </c>
      <c r="BB73" t="str">
        <f>IF(($A82=""),"",IF(COUNTIF(Mineral!$AJ$3:$AJ$324,$A82),"",$A82))</f>
        <v/>
      </c>
      <c r="BC73" t="str">
        <f>IFERROR(INDEX(Liste_Handelsünger[Handelsdünger],_xlfn.AGGREGATE(15,6,(ROW(Liste_Handelsünger[Handelsdünger])-1)/(--(SEARCH(BD$2,Liste_Handelsünger[Handelsdünger])&gt;0)),ROW()-2),1),"")</f>
        <v>Dolophos 15 gran.</v>
      </c>
      <c r="BD73" t="str">
        <f>IF(($A83=""),"",IF(COUNTIF(Mineral!$AJ$3:$AJ$324,$A83),"",$A83))</f>
        <v/>
      </c>
      <c r="BE73" t="str">
        <f>IFERROR(INDEX(Liste_Handelsünger[Handelsdünger],_xlfn.AGGREGATE(15,6,(ROW(Liste_Handelsünger[Handelsdünger])-1)/(--(SEARCH(BF$2,Liste_Handelsünger[Handelsdünger])&gt;0)),ROW()-2),1),"")</f>
        <v>Dolophos 15 gran.</v>
      </c>
      <c r="BF73" t="str">
        <f>IF(($A84=""),"",IF(COUNTIF(Mineral!$AJ$3:$AJ$324,$A84),"",$A84))</f>
        <v/>
      </c>
      <c r="BG73" t="str">
        <f>IFERROR(INDEX(Liste_Handelsünger[Handelsdünger],_xlfn.AGGREGATE(15,6,(ROW(Liste_Handelsünger[Handelsdünger])-1)/(--(SEARCH(BH$2,Liste_Handelsünger[Handelsdünger])&gt;0)),ROW()-2),1),"")</f>
        <v>Dolophos 15 gran.</v>
      </c>
      <c r="BH73" t="str">
        <f>IF(($A85=""),"",IF(COUNTIF(Mineral!$AJ$3:$AJ$324,$A85),"",$A85))</f>
        <v/>
      </c>
      <c r="BI73" t="str">
        <f>IFERROR(INDEX(Liste_Handelsünger[Handelsdünger],_xlfn.AGGREGATE(15,6,(ROW(Liste_Handelsünger[Handelsdünger])-1)/(--(SEARCH(BJ$2,Liste_Handelsünger[Handelsdünger])&gt;0)),ROW()-2),1),"")</f>
        <v>Dolophos 15 gran.</v>
      </c>
      <c r="BJ73" t="str">
        <f>IF(($A86=""),"",IF(COUNTIF(Mineral!$AJ$3:$AJ$324,$A86),"",$A86))</f>
        <v/>
      </c>
      <c r="BK73" t="str">
        <f>IFERROR(INDEX(Liste_Handelsünger[Handelsdünger],_xlfn.AGGREGATE(15,6,(ROW(Liste_Handelsünger[Handelsdünger])-1)/(--(SEARCH(BL$2,Liste_Handelsünger[Handelsdünger])&gt;0)),ROW()-2),1),"")</f>
        <v>Dolophos 15 gran.</v>
      </c>
      <c r="BM73" t="str">
        <f>IFERROR(INDEX(Liste_Handelsünger[Handelsdünger],_xlfn.AGGREGATE(15,6,(ROW(Liste_Handelsünger[Handelsdünger])-1)/(--(SEARCH(BN$2,Liste_Handelsünger[Handelsdünger])&gt;0)),ROW()-2),1),"")</f>
        <v>Dolophos 15 gran.</v>
      </c>
      <c r="BN73" t="str">
        <f>IF(($A88=""),"",IF(COUNTIF(Mineral!$AJ$3:$AJ$324,$A88),"",$A88))</f>
        <v/>
      </c>
      <c r="BV73" t="s">
        <v>2123</v>
      </c>
      <c r="BW73" t="s">
        <v>2141</v>
      </c>
    </row>
    <row r="74" spans="19:75" ht="14.25" thickTop="1" thickBot="1">
      <c r="S74" s="1676">
        <v>73</v>
      </c>
      <c r="T74" s="1606" t="s">
        <v>2335</v>
      </c>
      <c r="U74" s="1606" t="s">
        <v>2124</v>
      </c>
      <c r="V74" s="1606"/>
      <c r="W74" s="1606">
        <v>3</v>
      </c>
      <c r="X74" s="1606">
        <v>1</v>
      </c>
      <c r="Y74" s="1606">
        <v>1</v>
      </c>
      <c r="Z74" s="1606">
        <v>0</v>
      </c>
      <c r="AA74" s="1606">
        <v>30</v>
      </c>
      <c r="AB74" s="1606">
        <v>13</v>
      </c>
      <c r="AC74" s="1606">
        <v>1</v>
      </c>
      <c r="AD74" s="1613">
        <v>1</v>
      </c>
      <c r="AE74" s="1606" t="s">
        <v>2016</v>
      </c>
      <c r="AF74" s="1613" t="str">
        <f t="shared" si="15"/>
        <v/>
      </c>
      <c r="AG74" s="1656">
        <f>IFERROR(IF($AF74&gt;0,VLOOKUP($U74,Tabelle1!$C$188:$L$212,5,0)*$AF74,0),0)</f>
        <v>0</v>
      </c>
      <c r="AH74" s="1656">
        <f t="shared" si="16"/>
        <v>0</v>
      </c>
      <c r="AJ74" t="str">
        <f>IF(Betrieb!$D$9="JA",Mineral!$BW74,Mineral!$BV74)</f>
        <v>Dolosol</v>
      </c>
      <c r="AK74" s="1672" t="str">
        <f>IFERROR(INDEX(Liste_Handelsünger[Handelsdünger],_xlfn.AGGREGATE(15,6,(ROW(Liste_Handelsünger[Handelsdünger])-1)/(--(SEARCH(AL$2,Liste_Handelsünger[Handelsdünger])&gt;0)),ROW()-2),1),"")</f>
        <v>Dolosol</v>
      </c>
      <c r="AL74" s="1672" t="str">
        <f>IF(($A$3=""),"",IF(COUNTIF(Mineral!$AJ$3:$AJ$324,$A$3),"",$A$3))</f>
        <v/>
      </c>
      <c r="AM74" s="1672" t="str">
        <f>IFERROR(INDEX(Liste_Handelsünger[Handelsdünger],_xlfn.AGGREGATE(15,6,(ROW(Liste_Handelsünger[Handelsdünger])-1)/(--(SEARCH(AN$2,Liste_Handelsünger[Handelsdünger])&gt;0)),ROW()-2),1),"")</f>
        <v>Dolosol</v>
      </c>
      <c r="AN74" t="str">
        <f>IF(($A76=""),"",IF(COUNTIF(Mineral!$AJ$3:$AJ$324,$A76),"",$A76))</f>
        <v/>
      </c>
      <c r="AO74" t="str">
        <f>IFERROR(INDEX(Liste_Handelsünger[Handelsdünger],_xlfn.AGGREGATE(15,6,(ROW(Liste_Handelsünger[Handelsdünger])-1)/(--(SEARCH(AP$2,Liste_Handelsünger[Handelsdünger])&gt;0)),ROW()-2),1),"")</f>
        <v>Dolosol</v>
      </c>
      <c r="AP74" t="str">
        <f>IF(($A77=""),"",IF(COUNTIF(Mineral!$AJ$3:$AJ$324,$A77),"",$A77))</f>
        <v/>
      </c>
      <c r="AQ74" t="str">
        <f>IFERROR(INDEX(Liste_Handelsünger[Handelsdünger],_xlfn.AGGREGATE(15,6,(ROW(Liste_Handelsünger[Handelsdünger])-1)/(--(SEARCH(AR$2,Liste_Handelsünger[Handelsdünger])&gt;0)),ROW()-2),1),"")</f>
        <v>Dolosol</v>
      </c>
      <c r="AR74" t="str">
        <f>IF(($A78=""),"",IF(COUNTIF(Mineral!$AJ$3:$AJ$324,$A78),"",$A78))</f>
        <v/>
      </c>
      <c r="AS74" t="str">
        <f>IFERROR(INDEX(Liste_Handelsünger[Handelsdünger],_xlfn.AGGREGATE(15,6,(ROW(Liste_Handelsünger[Handelsdünger])-1)/(--(SEARCH(AT$2,Liste_Handelsünger[Handelsdünger])&gt;0)),ROW()-2),1),"")</f>
        <v>Dolosol</v>
      </c>
      <c r="AT74" t="str">
        <f>IF(($A79=""),"",IF(COUNTIF(Mineral!$AJ$3:$AJ$324,$A79),"",$A79))</f>
        <v/>
      </c>
      <c r="AU74" t="str">
        <f>IFERROR(INDEX(Liste_Handelsünger[Handelsdünger],_xlfn.AGGREGATE(15,6,(ROW(Liste_Handelsünger[Handelsdünger])-1)/(--(SEARCH(AV$2,Liste_Handelsünger[Handelsdünger])&gt;0)),ROW()-2),1),"")</f>
        <v>Dolosol</v>
      </c>
      <c r="AV74" t="str">
        <f>IF(($A80=""),"",IF(COUNTIF(Mineral!$AJ$3:$AJ$324,$A80),"",$A80))</f>
        <v/>
      </c>
      <c r="AW74" t="str">
        <f>IFERROR(INDEX(Liste_Handelsünger[Handelsdünger],_xlfn.AGGREGATE(15,6,(ROW(Liste_Handelsünger[Handelsdünger])-1)/(--(SEARCH(AX$2,Liste_Handelsünger[Handelsdünger])&gt;0)),ROW()-2),1),"")</f>
        <v>Dolosol</v>
      </c>
      <c r="AX74" t="str">
        <f>IF(($A81=""),"",IF(COUNTIF(Mineral!$AJ$3:$AJ$324,$A81),"",$A81))</f>
        <v/>
      </c>
      <c r="AY74" t="str">
        <f>IFERROR(INDEX(Liste_Handelsünger[Handelsdünger],_xlfn.AGGREGATE(15,6,(ROW(Liste_Handelsünger[Handelsdünger])-1)/(--(SEARCH(AZ$2,Liste_Handelsünger[Handelsdünger])&gt;0)),ROW()-2),1),"")</f>
        <v>Dolosol</v>
      </c>
      <c r="AZ74" t="str">
        <f>IF(($A82=""),"",IF(COUNTIF(Mineral!$AJ$3:$AJ$324,$A82),"",$A82))</f>
        <v/>
      </c>
      <c r="BA74" t="str">
        <f>IFERROR(INDEX(Liste_Handelsünger[Handelsdünger],_xlfn.AGGREGATE(15,6,(ROW(Liste_Handelsünger[Handelsdünger])-1)/(--(SEARCH(BB$2,Liste_Handelsünger[Handelsdünger])&gt;0)),ROW()-2),1),"")</f>
        <v>Dolosol</v>
      </c>
      <c r="BB74" t="str">
        <f>IF(($A83=""),"",IF(COUNTIF(Mineral!$AJ$3:$AJ$324,$A83),"",$A83))</f>
        <v/>
      </c>
      <c r="BC74" t="str">
        <f>IFERROR(INDEX(Liste_Handelsünger[Handelsdünger],_xlfn.AGGREGATE(15,6,(ROW(Liste_Handelsünger[Handelsdünger])-1)/(--(SEARCH(BD$2,Liste_Handelsünger[Handelsdünger])&gt;0)),ROW()-2),1),"")</f>
        <v>Dolosol</v>
      </c>
      <c r="BD74" t="str">
        <f>IF(($A84=""),"",IF(COUNTIF(Mineral!$AJ$3:$AJ$324,$A84),"",$A84))</f>
        <v/>
      </c>
      <c r="BE74" t="str">
        <f>IFERROR(INDEX(Liste_Handelsünger[Handelsdünger],_xlfn.AGGREGATE(15,6,(ROW(Liste_Handelsünger[Handelsdünger])-1)/(--(SEARCH(BF$2,Liste_Handelsünger[Handelsdünger])&gt;0)),ROW()-2),1),"")</f>
        <v>Dolosol</v>
      </c>
      <c r="BF74" t="str">
        <f>IF(($A85=""),"",IF(COUNTIF(Mineral!$AJ$3:$AJ$324,$A85),"",$A85))</f>
        <v/>
      </c>
      <c r="BG74" t="str">
        <f>IFERROR(INDEX(Liste_Handelsünger[Handelsdünger],_xlfn.AGGREGATE(15,6,(ROW(Liste_Handelsünger[Handelsdünger])-1)/(--(SEARCH(BH$2,Liste_Handelsünger[Handelsdünger])&gt;0)),ROW()-2),1),"")</f>
        <v>Dolosol</v>
      </c>
      <c r="BH74" t="str">
        <f>IF(($A86=""),"",IF(COUNTIF(Mineral!$AJ$3:$AJ$324,$A86),"",$A86))</f>
        <v/>
      </c>
      <c r="BI74" t="str">
        <f>IFERROR(INDEX(Liste_Handelsünger[Handelsdünger],_xlfn.AGGREGATE(15,6,(ROW(Liste_Handelsünger[Handelsdünger])-1)/(--(SEARCH(BJ$2,Liste_Handelsünger[Handelsdünger])&gt;0)),ROW()-2),1),"")</f>
        <v>Dolosol</v>
      </c>
      <c r="BJ74" t="str">
        <f>IF(($A87=""),"",IF(COUNTIF(Mineral!$AJ$3:$AJ$324,$A87),"",$A87))</f>
        <v/>
      </c>
      <c r="BK74" t="str">
        <f>IFERROR(INDEX(Liste_Handelsünger[Handelsdünger],_xlfn.AGGREGATE(15,6,(ROW(Liste_Handelsünger[Handelsdünger])-1)/(--(SEARCH(BL$2,Liste_Handelsünger[Handelsdünger])&gt;0)),ROW()-2),1),"")</f>
        <v>Dolosol</v>
      </c>
      <c r="BM74" t="str">
        <f>IFERROR(INDEX(Liste_Handelsünger[Handelsdünger],_xlfn.AGGREGATE(15,6,(ROW(Liste_Handelsünger[Handelsdünger])-1)/(--(SEARCH(BN$2,Liste_Handelsünger[Handelsdünger])&gt;0)),ROW()-2),1),"")</f>
        <v>Dolosol</v>
      </c>
      <c r="BN74" t="str">
        <f>IF(($A89=""),"",IF(COUNTIF(Mineral!$AJ$3:$AJ$324,$A89),"",$A89))</f>
        <v/>
      </c>
      <c r="BV74" t="s">
        <v>2124</v>
      </c>
      <c r="BW74" t="s">
        <v>2142</v>
      </c>
    </row>
    <row r="75" spans="19:75" ht="14.25" thickTop="1" thickBot="1">
      <c r="S75" s="1616">
        <v>74</v>
      </c>
      <c r="T75" s="1617" t="s">
        <v>2335</v>
      </c>
      <c r="U75" s="1617" t="s">
        <v>2127</v>
      </c>
      <c r="V75" s="1617"/>
      <c r="W75" s="1617">
        <v>0</v>
      </c>
      <c r="X75" s="1617">
        <v>0</v>
      </c>
      <c r="Y75" s="1617">
        <v>0</v>
      </c>
      <c r="Z75" s="1617">
        <v>0</v>
      </c>
      <c r="AA75" s="1617">
        <v>0</v>
      </c>
      <c r="AB75" s="1617">
        <v>0</v>
      </c>
      <c r="AC75" s="1617">
        <v>1</v>
      </c>
      <c r="AD75" s="1613">
        <v>1</v>
      </c>
      <c r="AE75" s="1617" t="s">
        <v>1764</v>
      </c>
      <c r="AF75" s="1613" t="str">
        <f t="shared" si="15"/>
        <v/>
      </c>
      <c r="AG75" s="1656">
        <f>IFERROR(IF($AF75&gt;0,VLOOKUP($U75,Tabelle1!$C$188:$L$212,5,0)*$AF75,0),0)</f>
        <v>0</v>
      </c>
      <c r="AH75" s="1656">
        <f t="shared" si="16"/>
        <v>0</v>
      </c>
      <c r="AJ75" t="str">
        <f>IF(Betrieb!$D$9="JA",Mineral!$BW75,Mineral!$BV75)</f>
        <v>Eisen Chelat 6,5%</v>
      </c>
      <c r="AK75" s="1672" t="str">
        <f>IFERROR(INDEX(Liste_Handelsünger[Handelsdünger],_xlfn.AGGREGATE(15,6,(ROW(Liste_Handelsünger[Handelsdünger])-1)/(--(SEARCH(AL$2,Liste_Handelsünger[Handelsdünger])&gt;0)),ROW()-2),1),"")</f>
        <v>Eisen Chelat 6,5%</v>
      </c>
      <c r="AL75" s="1672" t="str">
        <f>IF(($A$3=""),"",IF(COUNTIF(Mineral!$AJ$3:$AJ$324,$A$3),"",$A$3))</f>
        <v/>
      </c>
      <c r="AM75" s="1672" t="str">
        <f>IFERROR(INDEX(Liste_Handelsünger[Handelsdünger],_xlfn.AGGREGATE(15,6,(ROW(Liste_Handelsünger[Handelsdünger])-1)/(--(SEARCH(AN$2,Liste_Handelsünger[Handelsdünger])&gt;0)),ROW()-2),1),"")</f>
        <v>Eisen Chelat 6,5%</v>
      </c>
      <c r="AN75" t="str">
        <f>IF(($A77=""),"",IF(COUNTIF(Mineral!$AJ$3:$AJ$324,$A77),"",$A77))</f>
        <v/>
      </c>
      <c r="AO75" t="str">
        <f>IFERROR(INDEX(Liste_Handelsünger[Handelsdünger],_xlfn.AGGREGATE(15,6,(ROW(Liste_Handelsünger[Handelsdünger])-1)/(--(SEARCH(AP$2,Liste_Handelsünger[Handelsdünger])&gt;0)),ROW()-2),1),"")</f>
        <v>Eisen Chelat 6,5%</v>
      </c>
      <c r="AP75" t="str">
        <f>IF(($A78=""),"",IF(COUNTIF(Mineral!$AJ$3:$AJ$324,$A78),"",$A78))</f>
        <v/>
      </c>
      <c r="AQ75" t="str">
        <f>IFERROR(INDEX(Liste_Handelsünger[Handelsdünger],_xlfn.AGGREGATE(15,6,(ROW(Liste_Handelsünger[Handelsdünger])-1)/(--(SEARCH(AR$2,Liste_Handelsünger[Handelsdünger])&gt;0)),ROW()-2),1),"")</f>
        <v>Eisen Chelat 6,5%</v>
      </c>
      <c r="AR75" t="str">
        <f>IF(($A79=""),"",IF(COUNTIF(Mineral!$AJ$3:$AJ$324,$A79),"",$A79))</f>
        <v/>
      </c>
      <c r="AS75" t="str">
        <f>IFERROR(INDEX(Liste_Handelsünger[Handelsdünger],_xlfn.AGGREGATE(15,6,(ROW(Liste_Handelsünger[Handelsdünger])-1)/(--(SEARCH(AT$2,Liste_Handelsünger[Handelsdünger])&gt;0)),ROW()-2),1),"")</f>
        <v>Eisen Chelat 6,5%</v>
      </c>
      <c r="AT75" t="str">
        <f>IF(($A80=""),"",IF(COUNTIF(Mineral!$AJ$3:$AJ$324,$A80),"",$A80))</f>
        <v/>
      </c>
      <c r="AU75" t="str">
        <f>IFERROR(INDEX(Liste_Handelsünger[Handelsdünger],_xlfn.AGGREGATE(15,6,(ROW(Liste_Handelsünger[Handelsdünger])-1)/(--(SEARCH(AV$2,Liste_Handelsünger[Handelsdünger])&gt;0)),ROW()-2),1),"")</f>
        <v>Eisen Chelat 6,5%</v>
      </c>
      <c r="AV75" t="str">
        <f>IF(($A81=""),"",IF(COUNTIF(Mineral!$AJ$3:$AJ$324,$A81),"",$A81))</f>
        <v/>
      </c>
      <c r="AW75" t="str">
        <f>IFERROR(INDEX(Liste_Handelsünger[Handelsdünger],_xlfn.AGGREGATE(15,6,(ROW(Liste_Handelsünger[Handelsdünger])-1)/(--(SEARCH(AX$2,Liste_Handelsünger[Handelsdünger])&gt;0)),ROW()-2),1),"")</f>
        <v>Eisen Chelat 6,5%</v>
      </c>
      <c r="AX75" t="str">
        <f>IF(($A82=""),"",IF(COUNTIF(Mineral!$AJ$3:$AJ$324,$A82),"",$A82))</f>
        <v/>
      </c>
      <c r="AY75" t="str">
        <f>IFERROR(INDEX(Liste_Handelsünger[Handelsdünger],_xlfn.AGGREGATE(15,6,(ROW(Liste_Handelsünger[Handelsdünger])-1)/(--(SEARCH(AZ$2,Liste_Handelsünger[Handelsdünger])&gt;0)),ROW()-2),1),"")</f>
        <v>Eisen Chelat 6,5%</v>
      </c>
      <c r="AZ75" t="str">
        <f>IF(($A83=""),"",IF(COUNTIF(Mineral!$AJ$3:$AJ$324,$A83),"",$A83))</f>
        <v/>
      </c>
      <c r="BA75" t="str">
        <f>IFERROR(INDEX(Liste_Handelsünger[Handelsdünger],_xlfn.AGGREGATE(15,6,(ROW(Liste_Handelsünger[Handelsdünger])-1)/(--(SEARCH(BB$2,Liste_Handelsünger[Handelsdünger])&gt;0)),ROW()-2),1),"")</f>
        <v>Eisen Chelat 6,5%</v>
      </c>
      <c r="BB75" t="str">
        <f>IF(($A84=""),"",IF(COUNTIF(Mineral!$AJ$3:$AJ$324,$A84),"",$A84))</f>
        <v/>
      </c>
      <c r="BC75" t="str">
        <f>IFERROR(INDEX(Liste_Handelsünger[Handelsdünger],_xlfn.AGGREGATE(15,6,(ROW(Liste_Handelsünger[Handelsdünger])-1)/(--(SEARCH(BD$2,Liste_Handelsünger[Handelsdünger])&gt;0)),ROW()-2),1),"")</f>
        <v>Eisen Chelat 6,5%</v>
      </c>
      <c r="BD75" t="str">
        <f>IF(($A85=""),"",IF(COUNTIF(Mineral!$AJ$3:$AJ$324,$A85),"",$A85))</f>
        <v/>
      </c>
      <c r="BE75" t="str">
        <f>IFERROR(INDEX(Liste_Handelsünger[Handelsdünger],_xlfn.AGGREGATE(15,6,(ROW(Liste_Handelsünger[Handelsdünger])-1)/(--(SEARCH(BF$2,Liste_Handelsünger[Handelsdünger])&gt;0)),ROW()-2),1),"")</f>
        <v>Eisen Chelat 6,5%</v>
      </c>
      <c r="BF75" t="str">
        <f>IF(($A86=""),"",IF(COUNTIF(Mineral!$AJ$3:$AJ$324,$A86),"",$A86))</f>
        <v/>
      </c>
      <c r="BG75" t="str">
        <f>IFERROR(INDEX(Liste_Handelsünger[Handelsdünger],_xlfn.AGGREGATE(15,6,(ROW(Liste_Handelsünger[Handelsdünger])-1)/(--(SEARCH(BH$2,Liste_Handelsünger[Handelsdünger])&gt;0)),ROW()-2),1),"")</f>
        <v>Eisen Chelat 6,5%</v>
      </c>
      <c r="BH75" t="str">
        <f>IF(($A87=""),"",IF(COUNTIF(Mineral!$AJ$3:$AJ$324,$A87),"",$A87))</f>
        <v/>
      </c>
      <c r="BI75" t="str">
        <f>IFERROR(INDEX(Liste_Handelsünger[Handelsdünger],_xlfn.AGGREGATE(15,6,(ROW(Liste_Handelsünger[Handelsdünger])-1)/(--(SEARCH(BJ$2,Liste_Handelsünger[Handelsdünger])&gt;0)),ROW()-2),1),"")</f>
        <v>Eisen Chelat 6,5%</v>
      </c>
      <c r="BJ75" t="str">
        <f>IF(($A88=""),"",IF(COUNTIF(Mineral!$AJ$3:$AJ$324,$A88),"",$A88))</f>
        <v/>
      </c>
      <c r="BK75" t="str">
        <f>IFERROR(INDEX(Liste_Handelsünger[Handelsdünger],_xlfn.AGGREGATE(15,6,(ROW(Liste_Handelsünger[Handelsdünger])-1)/(--(SEARCH(BL$2,Liste_Handelsünger[Handelsdünger])&gt;0)),ROW()-2),1),"")</f>
        <v>Eisen Chelat 6,5%</v>
      </c>
      <c r="BM75" t="str">
        <f>IFERROR(INDEX(Liste_Handelsünger[Handelsdünger],_xlfn.AGGREGATE(15,6,(ROW(Liste_Handelsünger[Handelsdünger])-1)/(--(SEARCH(BN$2,Liste_Handelsünger[Handelsdünger])&gt;0)),ROW()-2),1),"")</f>
        <v>Eisen Chelat 6,5%</v>
      </c>
      <c r="BN75" t="str">
        <f>IF(($A90=""),"",IF(COUNTIF(Mineral!$AJ$3:$AJ$324,$A90),"",$A90))</f>
        <v/>
      </c>
      <c r="BV75" t="s">
        <v>2127</v>
      </c>
      <c r="BW75" t="s">
        <v>2143</v>
      </c>
    </row>
    <row r="76" spans="19:75" ht="14.25" thickTop="1" thickBot="1">
      <c r="S76" s="1676">
        <v>75</v>
      </c>
      <c r="T76" s="1606" t="s">
        <v>2335</v>
      </c>
      <c r="U76" s="1606" t="s">
        <v>2128</v>
      </c>
      <c r="V76" s="1606"/>
      <c r="W76" s="1606">
        <v>0</v>
      </c>
      <c r="X76" s="1606">
        <v>0</v>
      </c>
      <c r="Y76" s="1606">
        <v>0</v>
      </c>
      <c r="Z76" s="1606">
        <v>0</v>
      </c>
      <c r="AA76" s="1606">
        <v>0</v>
      </c>
      <c r="AB76" s="1606">
        <v>0</v>
      </c>
      <c r="AC76" s="1606">
        <v>1</v>
      </c>
      <c r="AD76" s="1613">
        <v>1</v>
      </c>
      <c r="AE76" s="1606" t="s">
        <v>1764</v>
      </c>
      <c r="AF76" s="1613" t="str">
        <f t="shared" si="15"/>
        <v/>
      </c>
      <c r="AG76" s="1656">
        <f>IFERROR(IF($AF76&gt;0,VLOOKUP($U76,Tabelle1!$C$188:$L$212,5,0)*$AF76,0),0)</f>
        <v>0</v>
      </c>
      <c r="AH76" s="1656">
        <f t="shared" si="16"/>
        <v>0</v>
      </c>
      <c r="AJ76" t="str">
        <f>IF(Betrieb!$D$9="JA",Mineral!$BW76,Mineral!$BV76)</f>
        <v>Eisenchelat 3%</v>
      </c>
      <c r="AK76" s="1672" t="str">
        <f>IFERROR(INDEX(Liste_Handelsünger[Handelsdünger],_xlfn.AGGREGATE(15,6,(ROW(Liste_Handelsünger[Handelsdünger])-1)/(--(SEARCH(AL$2,Liste_Handelsünger[Handelsdünger])&gt;0)),ROW()-2),1),"")</f>
        <v>Eisenchelat 3%</v>
      </c>
      <c r="AL76" s="1672" t="str">
        <f>IF(($A$3=""),"",IF(COUNTIF(Mineral!$AJ$3:$AJ$324,$A$3),"",$A$3))</f>
        <v/>
      </c>
      <c r="AM76" s="1672" t="str">
        <f>IFERROR(INDEX(Liste_Handelsünger[Handelsdünger],_xlfn.AGGREGATE(15,6,(ROW(Liste_Handelsünger[Handelsdünger])-1)/(--(SEARCH(AN$2,Liste_Handelsünger[Handelsdünger])&gt;0)),ROW()-2),1),"")</f>
        <v>Eisenchelat 3%</v>
      </c>
      <c r="AN76" t="str">
        <f>IF(($A78=""),"",IF(COUNTIF(Mineral!$AJ$3:$AJ$324,$A78),"",$A78))</f>
        <v/>
      </c>
      <c r="AO76" t="str">
        <f>IFERROR(INDEX(Liste_Handelsünger[Handelsdünger],_xlfn.AGGREGATE(15,6,(ROW(Liste_Handelsünger[Handelsdünger])-1)/(--(SEARCH(AP$2,Liste_Handelsünger[Handelsdünger])&gt;0)),ROW()-2),1),"")</f>
        <v>Eisenchelat 3%</v>
      </c>
      <c r="AP76" t="str">
        <f>IF(($A79=""),"",IF(COUNTIF(Mineral!$AJ$3:$AJ$324,$A79),"",$A79))</f>
        <v/>
      </c>
      <c r="AQ76" t="str">
        <f>IFERROR(INDEX(Liste_Handelsünger[Handelsdünger],_xlfn.AGGREGATE(15,6,(ROW(Liste_Handelsünger[Handelsdünger])-1)/(--(SEARCH(AR$2,Liste_Handelsünger[Handelsdünger])&gt;0)),ROW()-2),1),"")</f>
        <v>Eisenchelat 3%</v>
      </c>
      <c r="AR76" t="str">
        <f>IF(($A80=""),"",IF(COUNTIF(Mineral!$AJ$3:$AJ$324,$A80),"",$A80))</f>
        <v/>
      </c>
      <c r="AS76" t="str">
        <f>IFERROR(INDEX(Liste_Handelsünger[Handelsdünger],_xlfn.AGGREGATE(15,6,(ROW(Liste_Handelsünger[Handelsdünger])-1)/(--(SEARCH(AT$2,Liste_Handelsünger[Handelsdünger])&gt;0)),ROW()-2),1),"")</f>
        <v>Eisenchelat 3%</v>
      </c>
      <c r="AT76" t="str">
        <f>IF(($A81=""),"",IF(COUNTIF(Mineral!$AJ$3:$AJ$324,$A81),"",$A81))</f>
        <v/>
      </c>
      <c r="AU76" t="str">
        <f>IFERROR(INDEX(Liste_Handelsünger[Handelsdünger],_xlfn.AGGREGATE(15,6,(ROW(Liste_Handelsünger[Handelsdünger])-1)/(--(SEARCH(AV$2,Liste_Handelsünger[Handelsdünger])&gt;0)),ROW()-2),1),"")</f>
        <v>Eisenchelat 3%</v>
      </c>
      <c r="AV76" t="str">
        <f>IF(($A82=""),"",IF(COUNTIF(Mineral!$AJ$3:$AJ$324,$A82),"",$A82))</f>
        <v/>
      </c>
      <c r="AW76" t="str">
        <f>IFERROR(INDEX(Liste_Handelsünger[Handelsdünger],_xlfn.AGGREGATE(15,6,(ROW(Liste_Handelsünger[Handelsdünger])-1)/(--(SEARCH(AX$2,Liste_Handelsünger[Handelsdünger])&gt;0)),ROW()-2),1),"")</f>
        <v>Eisenchelat 3%</v>
      </c>
      <c r="AX76" t="str">
        <f>IF(($A83=""),"",IF(COUNTIF(Mineral!$AJ$3:$AJ$324,$A83),"",$A83))</f>
        <v/>
      </c>
      <c r="AY76" t="str">
        <f>IFERROR(INDEX(Liste_Handelsünger[Handelsdünger],_xlfn.AGGREGATE(15,6,(ROW(Liste_Handelsünger[Handelsdünger])-1)/(--(SEARCH(AZ$2,Liste_Handelsünger[Handelsdünger])&gt;0)),ROW()-2),1),"")</f>
        <v>Eisenchelat 3%</v>
      </c>
      <c r="AZ76" t="str">
        <f>IF(($A84=""),"",IF(COUNTIF(Mineral!$AJ$3:$AJ$324,$A84),"",$A84))</f>
        <v/>
      </c>
      <c r="BA76" t="str">
        <f>IFERROR(INDEX(Liste_Handelsünger[Handelsdünger],_xlfn.AGGREGATE(15,6,(ROW(Liste_Handelsünger[Handelsdünger])-1)/(--(SEARCH(BB$2,Liste_Handelsünger[Handelsdünger])&gt;0)),ROW()-2),1),"")</f>
        <v>Eisenchelat 3%</v>
      </c>
      <c r="BB76" t="str">
        <f>IF(($A85=""),"",IF(COUNTIF(Mineral!$AJ$3:$AJ$324,$A85),"",$A85))</f>
        <v/>
      </c>
      <c r="BC76" t="str">
        <f>IFERROR(INDEX(Liste_Handelsünger[Handelsdünger],_xlfn.AGGREGATE(15,6,(ROW(Liste_Handelsünger[Handelsdünger])-1)/(--(SEARCH(BD$2,Liste_Handelsünger[Handelsdünger])&gt;0)),ROW()-2),1),"")</f>
        <v>Eisenchelat 3%</v>
      </c>
      <c r="BD76" t="str">
        <f>IF(($A86=""),"",IF(COUNTIF(Mineral!$AJ$3:$AJ$324,$A86),"",$A86))</f>
        <v/>
      </c>
      <c r="BE76" t="str">
        <f>IFERROR(INDEX(Liste_Handelsünger[Handelsdünger],_xlfn.AGGREGATE(15,6,(ROW(Liste_Handelsünger[Handelsdünger])-1)/(--(SEARCH(BF$2,Liste_Handelsünger[Handelsdünger])&gt;0)),ROW()-2),1),"")</f>
        <v>Eisenchelat 3%</v>
      </c>
      <c r="BF76" t="str">
        <f>IF(($A87=""),"",IF(COUNTIF(Mineral!$AJ$3:$AJ$324,$A87),"",$A87))</f>
        <v/>
      </c>
      <c r="BG76" t="str">
        <f>IFERROR(INDEX(Liste_Handelsünger[Handelsdünger],_xlfn.AGGREGATE(15,6,(ROW(Liste_Handelsünger[Handelsdünger])-1)/(--(SEARCH(BH$2,Liste_Handelsünger[Handelsdünger])&gt;0)),ROW()-2),1),"")</f>
        <v>Eisenchelat 3%</v>
      </c>
      <c r="BH76" t="str">
        <f>IF(($A88=""),"",IF(COUNTIF(Mineral!$AJ$3:$AJ$324,$A88),"",$A88))</f>
        <v/>
      </c>
      <c r="BI76" t="str">
        <f>IFERROR(INDEX(Liste_Handelsünger[Handelsdünger],_xlfn.AGGREGATE(15,6,(ROW(Liste_Handelsünger[Handelsdünger])-1)/(--(SEARCH(BJ$2,Liste_Handelsünger[Handelsdünger])&gt;0)),ROW()-2),1),"")</f>
        <v>Eisenchelat 3%</v>
      </c>
      <c r="BJ76" t="str">
        <f>IF(($A89=""),"",IF(COUNTIF(Mineral!$AJ$3:$AJ$324,$A89),"",$A89))</f>
        <v/>
      </c>
      <c r="BK76" t="str">
        <f>IFERROR(INDEX(Liste_Handelsünger[Handelsdünger],_xlfn.AGGREGATE(15,6,(ROW(Liste_Handelsünger[Handelsdünger])-1)/(--(SEARCH(BL$2,Liste_Handelsünger[Handelsdünger])&gt;0)),ROW()-2),1),"")</f>
        <v>Eisenchelat 3%</v>
      </c>
      <c r="BM76" t="str">
        <f>IFERROR(INDEX(Liste_Handelsünger[Handelsdünger],_xlfn.AGGREGATE(15,6,(ROW(Liste_Handelsünger[Handelsdünger])-1)/(--(SEARCH(BN$2,Liste_Handelsünger[Handelsdünger])&gt;0)),ROW()-2),1),"")</f>
        <v>Eisenchelat 3%</v>
      </c>
      <c r="BN76" t="str">
        <f>IF(($A91=""),"",IF(COUNTIF(Mineral!$AJ$3:$AJ$324,$A91),"",$A91))</f>
        <v/>
      </c>
      <c r="BV76" t="s">
        <v>2128</v>
      </c>
      <c r="BW76" t="s">
        <v>2144</v>
      </c>
    </row>
    <row r="77" spans="19:75" ht="14.25" thickTop="1" thickBot="1">
      <c r="S77" s="1616">
        <v>76</v>
      </c>
      <c r="T77" s="1617" t="s">
        <v>2335</v>
      </c>
      <c r="U77" s="1617" t="s">
        <v>2134</v>
      </c>
      <c r="V77" s="1617"/>
      <c r="W77" s="1617">
        <v>26</v>
      </c>
      <c r="X77" s="1617">
        <v>0</v>
      </c>
      <c r="Y77" s="1617">
        <v>0</v>
      </c>
      <c r="Z77" s="1617">
        <v>13</v>
      </c>
      <c r="AA77" s="1617">
        <v>0</v>
      </c>
      <c r="AB77" s="1617">
        <v>0</v>
      </c>
      <c r="AC77" s="1617">
        <v>1</v>
      </c>
      <c r="AD77" s="1613">
        <v>1</v>
      </c>
      <c r="AE77" s="1617" t="s">
        <v>1764</v>
      </c>
      <c r="AF77" s="1613" t="str">
        <f t="shared" si="15"/>
        <v/>
      </c>
      <c r="AG77" s="1656">
        <f>IFERROR(IF($AF77&gt;0,VLOOKUP($U77,Tabelle1!$C$188:$L$212,5,0)*$AF77,0),0)</f>
        <v>0</v>
      </c>
      <c r="AH77" s="1656">
        <f t="shared" si="16"/>
        <v>0</v>
      </c>
      <c r="AJ77" t="str">
        <f>IF(Betrieb!$D$9="JA",Mineral!$BW77,Mineral!$BV77)</f>
        <v>ENTEC 26</v>
      </c>
      <c r="AK77" s="1672" t="str">
        <f>IFERROR(INDEX(Liste_Handelsünger[Handelsdünger],_xlfn.AGGREGATE(15,6,(ROW(Liste_Handelsünger[Handelsdünger])-1)/(--(SEARCH(AL$2,Liste_Handelsünger[Handelsdünger])&gt;0)),ROW()-2),1),"")</f>
        <v>ENTEC 26</v>
      </c>
      <c r="AL77" s="1672" t="str">
        <f>IF(($A$3=""),"",IF(COUNTIF(Mineral!$AJ$3:$AJ$324,$A$3),"",$A$3))</f>
        <v/>
      </c>
      <c r="AM77" s="1672" t="str">
        <f>IFERROR(INDEX(Liste_Handelsünger[Handelsdünger],_xlfn.AGGREGATE(15,6,(ROW(Liste_Handelsünger[Handelsdünger])-1)/(--(SEARCH(AN$2,Liste_Handelsünger[Handelsdünger])&gt;0)),ROW()-2),1),"")</f>
        <v>ENTEC 26</v>
      </c>
      <c r="AN77" t="str">
        <f>IF(($A79=""),"",IF(COUNTIF(Mineral!$AJ$3:$AJ$324,$A79),"",$A79))</f>
        <v/>
      </c>
      <c r="AO77" t="str">
        <f>IFERROR(INDEX(Liste_Handelsünger[Handelsdünger],_xlfn.AGGREGATE(15,6,(ROW(Liste_Handelsünger[Handelsdünger])-1)/(--(SEARCH(AP$2,Liste_Handelsünger[Handelsdünger])&gt;0)),ROW()-2),1),"")</f>
        <v>ENTEC 26</v>
      </c>
      <c r="AP77" t="str">
        <f>IF(($A80=""),"",IF(COUNTIF(Mineral!$AJ$3:$AJ$324,$A80),"",$A80))</f>
        <v/>
      </c>
      <c r="AQ77" t="str">
        <f>IFERROR(INDEX(Liste_Handelsünger[Handelsdünger],_xlfn.AGGREGATE(15,6,(ROW(Liste_Handelsünger[Handelsdünger])-1)/(--(SEARCH(AR$2,Liste_Handelsünger[Handelsdünger])&gt;0)),ROW()-2),1),"")</f>
        <v>ENTEC 26</v>
      </c>
      <c r="AR77" t="str">
        <f>IF(($A81=""),"",IF(COUNTIF(Mineral!$AJ$3:$AJ$324,$A81),"",$A81))</f>
        <v/>
      </c>
      <c r="AS77" t="str">
        <f>IFERROR(INDEX(Liste_Handelsünger[Handelsdünger],_xlfn.AGGREGATE(15,6,(ROW(Liste_Handelsünger[Handelsdünger])-1)/(--(SEARCH(AT$2,Liste_Handelsünger[Handelsdünger])&gt;0)),ROW()-2),1),"")</f>
        <v>ENTEC 26</v>
      </c>
      <c r="AT77" t="str">
        <f>IF(($A82=""),"",IF(COUNTIF(Mineral!$AJ$3:$AJ$324,$A82),"",$A82))</f>
        <v/>
      </c>
      <c r="AU77" t="str">
        <f>IFERROR(INDEX(Liste_Handelsünger[Handelsdünger],_xlfn.AGGREGATE(15,6,(ROW(Liste_Handelsünger[Handelsdünger])-1)/(--(SEARCH(AV$2,Liste_Handelsünger[Handelsdünger])&gt;0)),ROW()-2),1),"")</f>
        <v>ENTEC 26</v>
      </c>
      <c r="AV77" t="str">
        <f>IF(($A83=""),"",IF(COUNTIF(Mineral!$AJ$3:$AJ$324,$A83),"",$A83))</f>
        <v/>
      </c>
      <c r="AW77" t="str">
        <f>IFERROR(INDEX(Liste_Handelsünger[Handelsdünger],_xlfn.AGGREGATE(15,6,(ROW(Liste_Handelsünger[Handelsdünger])-1)/(--(SEARCH(AX$2,Liste_Handelsünger[Handelsdünger])&gt;0)),ROW()-2),1),"")</f>
        <v>ENTEC 26</v>
      </c>
      <c r="AX77" t="str">
        <f>IF(($A84=""),"",IF(COUNTIF(Mineral!$AJ$3:$AJ$324,$A84),"",$A84))</f>
        <v/>
      </c>
      <c r="AY77" t="str">
        <f>IFERROR(INDEX(Liste_Handelsünger[Handelsdünger],_xlfn.AGGREGATE(15,6,(ROW(Liste_Handelsünger[Handelsdünger])-1)/(--(SEARCH(AZ$2,Liste_Handelsünger[Handelsdünger])&gt;0)),ROW()-2),1),"")</f>
        <v>ENTEC 26</v>
      </c>
      <c r="AZ77" t="str">
        <f>IF(($A85=""),"",IF(COUNTIF(Mineral!$AJ$3:$AJ$324,$A85),"",$A85))</f>
        <v/>
      </c>
      <c r="BA77" t="str">
        <f>IFERROR(INDEX(Liste_Handelsünger[Handelsdünger],_xlfn.AGGREGATE(15,6,(ROW(Liste_Handelsünger[Handelsdünger])-1)/(--(SEARCH(BB$2,Liste_Handelsünger[Handelsdünger])&gt;0)),ROW()-2),1),"")</f>
        <v>ENTEC 26</v>
      </c>
      <c r="BB77" t="str">
        <f>IF(($A86=""),"",IF(COUNTIF(Mineral!$AJ$3:$AJ$324,$A86),"",$A86))</f>
        <v/>
      </c>
      <c r="BC77" t="str">
        <f>IFERROR(INDEX(Liste_Handelsünger[Handelsdünger],_xlfn.AGGREGATE(15,6,(ROW(Liste_Handelsünger[Handelsdünger])-1)/(--(SEARCH(BD$2,Liste_Handelsünger[Handelsdünger])&gt;0)),ROW()-2),1),"")</f>
        <v>ENTEC 26</v>
      </c>
      <c r="BD77" t="str">
        <f>IF(($A87=""),"",IF(COUNTIF(Mineral!$AJ$3:$AJ$324,$A87),"",$A87))</f>
        <v/>
      </c>
      <c r="BE77" t="str">
        <f>IFERROR(INDEX(Liste_Handelsünger[Handelsdünger],_xlfn.AGGREGATE(15,6,(ROW(Liste_Handelsünger[Handelsdünger])-1)/(--(SEARCH(BF$2,Liste_Handelsünger[Handelsdünger])&gt;0)),ROW()-2),1),"")</f>
        <v>ENTEC 26</v>
      </c>
      <c r="BF77" t="str">
        <f>IF(($A88=""),"",IF(COUNTIF(Mineral!$AJ$3:$AJ$324,$A88),"",$A88))</f>
        <v/>
      </c>
      <c r="BG77" t="str">
        <f>IFERROR(INDEX(Liste_Handelsünger[Handelsdünger],_xlfn.AGGREGATE(15,6,(ROW(Liste_Handelsünger[Handelsdünger])-1)/(--(SEARCH(BH$2,Liste_Handelsünger[Handelsdünger])&gt;0)),ROW()-2),1),"")</f>
        <v>ENTEC 26</v>
      </c>
      <c r="BH77" t="str">
        <f>IF(($A89=""),"",IF(COUNTIF(Mineral!$AJ$3:$AJ$324,$A89),"",$A89))</f>
        <v/>
      </c>
      <c r="BI77" t="str">
        <f>IFERROR(INDEX(Liste_Handelsünger[Handelsdünger],_xlfn.AGGREGATE(15,6,(ROW(Liste_Handelsünger[Handelsdünger])-1)/(--(SEARCH(BJ$2,Liste_Handelsünger[Handelsdünger])&gt;0)),ROW()-2),1),"")</f>
        <v>ENTEC 26</v>
      </c>
      <c r="BJ77" t="str">
        <f>IF(($A90=""),"",IF(COUNTIF(Mineral!$AJ$3:$AJ$324,$A90),"",$A90))</f>
        <v/>
      </c>
      <c r="BK77" t="str">
        <f>IFERROR(INDEX(Liste_Handelsünger[Handelsdünger],_xlfn.AGGREGATE(15,6,(ROW(Liste_Handelsünger[Handelsdünger])-1)/(--(SEARCH(BL$2,Liste_Handelsünger[Handelsdünger])&gt;0)),ROW()-2),1),"")</f>
        <v>ENTEC 26</v>
      </c>
      <c r="BM77" t="str">
        <f>IFERROR(INDEX(Liste_Handelsünger[Handelsdünger],_xlfn.AGGREGATE(15,6,(ROW(Liste_Handelsünger[Handelsdünger])-1)/(--(SEARCH(BN$2,Liste_Handelsünger[Handelsdünger])&gt;0)),ROW()-2),1),"")</f>
        <v>ENTEC 26</v>
      </c>
      <c r="BN77" t="str">
        <f>IF(($A92=""),"",IF(COUNTIF(Mineral!$AJ$3:$AJ$324,$A92),"",$A92))</f>
        <v/>
      </c>
      <c r="BV77" t="s">
        <v>2134</v>
      </c>
      <c r="BW77" t="s">
        <v>2145</v>
      </c>
    </row>
    <row r="78" spans="19:75" ht="14.25" thickTop="1" thickBot="1">
      <c r="S78" s="1676">
        <v>77</v>
      </c>
      <c r="T78" s="1606" t="s">
        <v>2335</v>
      </c>
      <c r="U78" s="1606" t="s">
        <v>2146</v>
      </c>
      <c r="V78" s="1606"/>
      <c r="W78" s="1606">
        <v>0</v>
      </c>
      <c r="X78" s="1606">
        <v>0</v>
      </c>
      <c r="Y78" s="1606">
        <v>0</v>
      </c>
      <c r="Z78" s="1606">
        <v>0</v>
      </c>
      <c r="AA78" s="1606">
        <v>0</v>
      </c>
      <c r="AB78" s="1606">
        <v>0</v>
      </c>
      <c r="AC78" s="1606">
        <v>1</v>
      </c>
      <c r="AD78" s="1613">
        <v>1</v>
      </c>
      <c r="AE78" s="1606" t="s">
        <v>1764</v>
      </c>
      <c r="AF78" s="1613" t="str">
        <f t="shared" si="15"/>
        <v/>
      </c>
      <c r="AG78" s="1656">
        <f>IFERROR(IF($AF78&gt;0,VLOOKUP($U78,Tabelle1!$C$188:$L$212,5,0)*$AF78,0),0)</f>
        <v>0</v>
      </c>
      <c r="AH78" s="1656">
        <f t="shared" si="16"/>
        <v>0</v>
      </c>
      <c r="AJ78" t="str">
        <f>IF(Betrieb!$D$9="JA",Mineral!$BW78,Mineral!$BV78)</f>
        <v>Fertileader OPAL</v>
      </c>
      <c r="AK78" s="1672" t="str">
        <f>IFERROR(INDEX(Liste_Handelsünger[Handelsdünger],_xlfn.AGGREGATE(15,6,(ROW(Liste_Handelsünger[Handelsdünger])-1)/(--(SEARCH(AL$2,Liste_Handelsünger[Handelsdünger])&gt;0)),ROW()-2),1),"")</f>
        <v>Fertileader OPAL</v>
      </c>
      <c r="AL78" s="1672" t="str">
        <f>IF(($A$3=""),"",IF(COUNTIF(Mineral!$AJ$3:$AJ$324,$A$3),"",$A$3))</f>
        <v/>
      </c>
      <c r="AM78" s="1672" t="str">
        <f>IFERROR(INDEX(Liste_Handelsünger[Handelsdünger],_xlfn.AGGREGATE(15,6,(ROW(Liste_Handelsünger[Handelsdünger])-1)/(--(SEARCH(AN$2,Liste_Handelsünger[Handelsdünger])&gt;0)),ROW()-2),1),"")</f>
        <v>Fertileader OPAL</v>
      </c>
      <c r="AN78" t="str">
        <f>IF(($A80=""),"",IF(COUNTIF(Mineral!$AJ$3:$AJ$324,$A80),"",$A80))</f>
        <v/>
      </c>
      <c r="AO78" t="str">
        <f>IFERROR(INDEX(Liste_Handelsünger[Handelsdünger],_xlfn.AGGREGATE(15,6,(ROW(Liste_Handelsünger[Handelsdünger])-1)/(--(SEARCH(AP$2,Liste_Handelsünger[Handelsdünger])&gt;0)),ROW()-2),1),"")</f>
        <v>Fertileader OPAL</v>
      </c>
      <c r="AP78" t="str">
        <f>IF(($A81=""),"",IF(COUNTIF(Mineral!$AJ$3:$AJ$324,$A81),"",$A81))</f>
        <v/>
      </c>
      <c r="AQ78" t="str">
        <f>IFERROR(INDEX(Liste_Handelsünger[Handelsdünger],_xlfn.AGGREGATE(15,6,(ROW(Liste_Handelsünger[Handelsdünger])-1)/(--(SEARCH(AR$2,Liste_Handelsünger[Handelsdünger])&gt;0)),ROW()-2),1),"")</f>
        <v>Fertileader OPAL</v>
      </c>
      <c r="AR78" t="str">
        <f>IF(($A82=""),"",IF(COUNTIF(Mineral!$AJ$3:$AJ$324,$A82),"",$A82))</f>
        <v/>
      </c>
      <c r="AS78" t="str">
        <f>IFERROR(INDEX(Liste_Handelsünger[Handelsdünger],_xlfn.AGGREGATE(15,6,(ROW(Liste_Handelsünger[Handelsdünger])-1)/(--(SEARCH(AT$2,Liste_Handelsünger[Handelsdünger])&gt;0)),ROW()-2),1),"")</f>
        <v>Fertileader OPAL</v>
      </c>
      <c r="AT78" t="str">
        <f>IF(($A83=""),"",IF(COUNTIF(Mineral!$AJ$3:$AJ$324,$A83),"",$A83))</f>
        <v/>
      </c>
      <c r="AU78" t="str">
        <f>IFERROR(INDEX(Liste_Handelsünger[Handelsdünger],_xlfn.AGGREGATE(15,6,(ROW(Liste_Handelsünger[Handelsdünger])-1)/(--(SEARCH(AV$2,Liste_Handelsünger[Handelsdünger])&gt;0)),ROW()-2),1),"")</f>
        <v>Fertileader OPAL</v>
      </c>
      <c r="AV78" t="str">
        <f>IF(($A84=""),"",IF(COUNTIF(Mineral!$AJ$3:$AJ$324,$A84),"",$A84))</f>
        <v/>
      </c>
      <c r="AW78" t="str">
        <f>IFERROR(INDEX(Liste_Handelsünger[Handelsdünger],_xlfn.AGGREGATE(15,6,(ROW(Liste_Handelsünger[Handelsdünger])-1)/(--(SEARCH(AX$2,Liste_Handelsünger[Handelsdünger])&gt;0)),ROW()-2),1),"")</f>
        <v>Fertileader OPAL</v>
      </c>
      <c r="AX78" t="str">
        <f>IF(($A85=""),"",IF(COUNTIF(Mineral!$AJ$3:$AJ$324,$A85),"",$A85))</f>
        <v/>
      </c>
      <c r="AY78" t="str">
        <f>IFERROR(INDEX(Liste_Handelsünger[Handelsdünger],_xlfn.AGGREGATE(15,6,(ROW(Liste_Handelsünger[Handelsdünger])-1)/(--(SEARCH(AZ$2,Liste_Handelsünger[Handelsdünger])&gt;0)),ROW()-2),1),"")</f>
        <v>Fertileader OPAL</v>
      </c>
      <c r="AZ78" t="str">
        <f>IF(($A86=""),"",IF(COUNTIF(Mineral!$AJ$3:$AJ$324,$A86),"",$A86))</f>
        <v/>
      </c>
      <c r="BA78" t="str">
        <f>IFERROR(INDEX(Liste_Handelsünger[Handelsdünger],_xlfn.AGGREGATE(15,6,(ROW(Liste_Handelsünger[Handelsdünger])-1)/(--(SEARCH(BB$2,Liste_Handelsünger[Handelsdünger])&gt;0)),ROW()-2),1),"")</f>
        <v>Fertileader OPAL</v>
      </c>
      <c r="BB78" t="str">
        <f>IF(($A87=""),"",IF(COUNTIF(Mineral!$AJ$3:$AJ$324,$A87),"",$A87))</f>
        <v/>
      </c>
      <c r="BC78" t="str">
        <f>IFERROR(INDEX(Liste_Handelsünger[Handelsdünger],_xlfn.AGGREGATE(15,6,(ROW(Liste_Handelsünger[Handelsdünger])-1)/(--(SEARCH(BD$2,Liste_Handelsünger[Handelsdünger])&gt;0)),ROW()-2),1),"")</f>
        <v>Fertileader OPAL</v>
      </c>
      <c r="BD78" t="str">
        <f>IF(($A88=""),"",IF(COUNTIF(Mineral!$AJ$3:$AJ$324,$A88),"",$A88))</f>
        <v/>
      </c>
      <c r="BE78" t="str">
        <f>IFERROR(INDEX(Liste_Handelsünger[Handelsdünger],_xlfn.AGGREGATE(15,6,(ROW(Liste_Handelsünger[Handelsdünger])-1)/(--(SEARCH(BF$2,Liste_Handelsünger[Handelsdünger])&gt;0)),ROW()-2),1),"")</f>
        <v>Fertileader OPAL</v>
      </c>
      <c r="BF78" t="str">
        <f>IF(($A89=""),"",IF(COUNTIF(Mineral!$AJ$3:$AJ$324,$A89),"",$A89))</f>
        <v/>
      </c>
      <c r="BG78" t="str">
        <f>IFERROR(INDEX(Liste_Handelsünger[Handelsdünger],_xlfn.AGGREGATE(15,6,(ROW(Liste_Handelsünger[Handelsdünger])-1)/(--(SEARCH(BH$2,Liste_Handelsünger[Handelsdünger])&gt;0)),ROW()-2),1),"")</f>
        <v>Fertileader OPAL</v>
      </c>
      <c r="BH78" t="str">
        <f>IF(($A90=""),"",IF(COUNTIF(Mineral!$AJ$3:$AJ$324,$A90),"",$A90))</f>
        <v/>
      </c>
      <c r="BI78" t="str">
        <f>IFERROR(INDEX(Liste_Handelsünger[Handelsdünger],_xlfn.AGGREGATE(15,6,(ROW(Liste_Handelsünger[Handelsdünger])-1)/(--(SEARCH(BJ$2,Liste_Handelsünger[Handelsdünger])&gt;0)),ROW()-2),1),"")</f>
        <v>Fertileader OPAL</v>
      </c>
      <c r="BJ78" t="str">
        <f>IF(($A91=""),"",IF(COUNTIF(Mineral!$AJ$3:$AJ$324,$A91),"",$A91))</f>
        <v/>
      </c>
      <c r="BK78" t="str">
        <f>IFERROR(INDEX(Liste_Handelsünger[Handelsdünger],_xlfn.AGGREGATE(15,6,(ROW(Liste_Handelsünger[Handelsdünger])-1)/(--(SEARCH(BL$2,Liste_Handelsünger[Handelsdünger])&gt;0)),ROW()-2),1),"")</f>
        <v>Fertileader OPAL</v>
      </c>
      <c r="BM78" t="str">
        <f>IFERROR(INDEX(Liste_Handelsünger[Handelsdünger],_xlfn.AGGREGATE(15,6,(ROW(Liste_Handelsünger[Handelsdünger])-1)/(--(SEARCH(BN$2,Liste_Handelsünger[Handelsdünger])&gt;0)),ROW()-2),1),"")</f>
        <v>Fertileader OPAL</v>
      </c>
      <c r="BN78" t="str">
        <f>IF(($A93=""),"",IF(COUNTIF(Mineral!$AJ$3:$AJ$324,$A93),"",$A93))</f>
        <v/>
      </c>
      <c r="BV78" t="s">
        <v>2146</v>
      </c>
      <c r="BW78" t="s">
        <v>2153</v>
      </c>
    </row>
    <row r="79" spans="19:75" ht="14.25" thickTop="1" thickBot="1">
      <c r="S79" s="1616">
        <v>78</v>
      </c>
      <c r="T79" s="1617" t="s">
        <v>2335</v>
      </c>
      <c r="U79" s="1617" t="s">
        <v>2147</v>
      </c>
      <c r="V79" s="1617"/>
      <c r="W79" s="1617">
        <v>0</v>
      </c>
      <c r="X79" s="1617">
        <v>0</v>
      </c>
      <c r="Y79" s="1617">
        <v>0</v>
      </c>
      <c r="Z79" s="1617">
        <v>0</v>
      </c>
      <c r="AA79" s="1617">
        <v>43</v>
      </c>
      <c r="AB79" s="1617">
        <v>0</v>
      </c>
      <c r="AC79" s="1617">
        <v>1</v>
      </c>
      <c r="AD79" s="1613">
        <v>1</v>
      </c>
      <c r="AE79" s="1617" t="s">
        <v>1764</v>
      </c>
      <c r="AF79" s="1613" t="str">
        <f t="shared" si="15"/>
        <v/>
      </c>
      <c r="AG79" s="1656">
        <f>IFERROR(IF($AF79&gt;0,VLOOKUP($U79,Tabelle1!$C$188:$L$212,5,0)*$AF79,0),0)</f>
        <v>0</v>
      </c>
      <c r="AH79" s="1656">
        <f t="shared" si="16"/>
        <v>0</v>
      </c>
      <c r="AJ79" t="str">
        <f>IF(Betrieb!$D$9="JA",Mineral!$BW79,Mineral!$BV79)</f>
        <v>Feuchtkalk</v>
      </c>
      <c r="AK79" s="1672" t="str">
        <f>IFERROR(INDEX(Liste_Handelsünger[Handelsdünger],_xlfn.AGGREGATE(15,6,(ROW(Liste_Handelsünger[Handelsdünger])-1)/(--(SEARCH(AL$2,Liste_Handelsünger[Handelsdünger])&gt;0)),ROW()-2),1),"")</f>
        <v>Feuchtkalk</v>
      </c>
      <c r="AL79" s="1672" t="str">
        <f>IF(($A$3=""),"",IF(COUNTIF(Mineral!$AJ$3:$AJ$324,$A$3),"",$A$3))</f>
        <v/>
      </c>
      <c r="AM79" s="1672" t="str">
        <f>IFERROR(INDEX(Liste_Handelsünger[Handelsdünger],_xlfn.AGGREGATE(15,6,(ROW(Liste_Handelsünger[Handelsdünger])-1)/(--(SEARCH(AN$2,Liste_Handelsünger[Handelsdünger])&gt;0)),ROW()-2),1),"")</f>
        <v>Feuchtkalk</v>
      </c>
      <c r="AN79" t="str">
        <f>IF(($A81=""),"",IF(COUNTIF(Mineral!$AJ$3:$AJ$324,$A81),"",$A81))</f>
        <v/>
      </c>
      <c r="AO79" t="str">
        <f>IFERROR(INDEX(Liste_Handelsünger[Handelsdünger],_xlfn.AGGREGATE(15,6,(ROW(Liste_Handelsünger[Handelsdünger])-1)/(--(SEARCH(AP$2,Liste_Handelsünger[Handelsdünger])&gt;0)),ROW()-2),1),"")</f>
        <v>Feuchtkalk</v>
      </c>
      <c r="AP79" t="str">
        <f>IF(($A82=""),"",IF(COUNTIF(Mineral!$AJ$3:$AJ$324,$A82),"",$A82))</f>
        <v/>
      </c>
      <c r="AQ79" t="str">
        <f>IFERROR(INDEX(Liste_Handelsünger[Handelsdünger],_xlfn.AGGREGATE(15,6,(ROW(Liste_Handelsünger[Handelsdünger])-1)/(--(SEARCH(AR$2,Liste_Handelsünger[Handelsdünger])&gt;0)),ROW()-2),1),"")</f>
        <v>Feuchtkalk</v>
      </c>
      <c r="AR79" t="str">
        <f>IF(($A83=""),"",IF(COUNTIF(Mineral!$AJ$3:$AJ$324,$A83),"",$A83))</f>
        <v/>
      </c>
      <c r="AS79" t="str">
        <f>IFERROR(INDEX(Liste_Handelsünger[Handelsdünger],_xlfn.AGGREGATE(15,6,(ROW(Liste_Handelsünger[Handelsdünger])-1)/(--(SEARCH(AT$2,Liste_Handelsünger[Handelsdünger])&gt;0)),ROW()-2),1),"")</f>
        <v>Feuchtkalk</v>
      </c>
      <c r="AT79" t="str">
        <f>IF(($A84=""),"",IF(COUNTIF(Mineral!$AJ$3:$AJ$324,$A84),"",$A84))</f>
        <v/>
      </c>
      <c r="AU79" t="str">
        <f>IFERROR(INDEX(Liste_Handelsünger[Handelsdünger],_xlfn.AGGREGATE(15,6,(ROW(Liste_Handelsünger[Handelsdünger])-1)/(--(SEARCH(AV$2,Liste_Handelsünger[Handelsdünger])&gt;0)),ROW()-2),1),"")</f>
        <v>Feuchtkalk</v>
      </c>
      <c r="AV79" t="str">
        <f>IF(($A85=""),"",IF(COUNTIF(Mineral!$AJ$3:$AJ$324,$A85),"",$A85))</f>
        <v/>
      </c>
      <c r="AW79" t="str">
        <f>IFERROR(INDEX(Liste_Handelsünger[Handelsdünger],_xlfn.AGGREGATE(15,6,(ROW(Liste_Handelsünger[Handelsdünger])-1)/(--(SEARCH(AX$2,Liste_Handelsünger[Handelsdünger])&gt;0)),ROW()-2),1),"")</f>
        <v>Feuchtkalk</v>
      </c>
      <c r="AX79" t="str">
        <f>IF(($A86=""),"",IF(COUNTIF(Mineral!$AJ$3:$AJ$324,$A86),"",$A86))</f>
        <v/>
      </c>
      <c r="AY79" t="str">
        <f>IFERROR(INDEX(Liste_Handelsünger[Handelsdünger],_xlfn.AGGREGATE(15,6,(ROW(Liste_Handelsünger[Handelsdünger])-1)/(--(SEARCH(AZ$2,Liste_Handelsünger[Handelsdünger])&gt;0)),ROW()-2),1),"")</f>
        <v>Feuchtkalk</v>
      </c>
      <c r="AZ79" t="str">
        <f>IF(($A87=""),"",IF(COUNTIF(Mineral!$AJ$3:$AJ$324,$A87),"",$A87))</f>
        <v/>
      </c>
      <c r="BA79" t="str">
        <f>IFERROR(INDEX(Liste_Handelsünger[Handelsdünger],_xlfn.AGGREGATE(15,6,(ROW(Liste_Handelsünger[Handelsdünger])-1)/(--(SEARCH(BB$2,Liste_Handelsünger[Handelsdünger])&gt;0)),ROW()-2),1),"")</f>
        <v>Feuchtkalk</v>
      </c>
      <c r="BB79" t="str">
        <f>IF(($A88=""),"",IF(COUNTIF(Mineral!$AJ$3:$AJ$324,$A88),"",$A88))</f>
        <v/>
      </c>
      <c r="BC79" t="str">
        <f>IFERROR(INDEX(Liste_Handelsünger[Handelsdünger],_xlfn.AGGREGATE(15,6,(ROW(Liste_Handelsünger[Handelsdünger])-1)/(--(SEARCH(BD$2,Liste_Handelsünger[Handelsdünger])&gt;0)),ROW()-2),1),"")</f>
        <v>Feuchtkalk</v>
      </c>
      <c r="BD79" t="str">
        <f>IF(($A89=""),"",IF(COUNTIF(Mineral!$AJ$3:$AJ$324,$A89),"",$A89))</f>
        <v/>
      </c>
      <c r="BE79" t="str">
        <f>IFERROR(INDEX(Liste_Handelsünger[Handelsdünger],_xlfn.AGGREGATE(15,6,(ROW(Liste_Handelsünger[Handelsdünger])-1)/(--(SEARCH(BF$2,Liste_Handelsünger[Handelsdünger])&gt;0)),ROW()-2),1),"")</f>
        <v>Feuchtkalk</v>
      </c>
      <c r="BF79" t="str">
        <f>IF(($A90=""),"",IF(COUNTIF(Mineral!$AJ$3:$AJ$324,$A90),"",$A90))</f>
        <v/>
      </c>
      <c r="BG79" t="str">
        <f>IFERROR(INDEX(Liste_Handelsünger[Handelsdünger],_xlfn.AGGREGATE(15,6,(ROW(Liste_Handelsünger[Handelsdünger])-1)/(--(SEARCH(BH$2,Liste_Handelsünger[Handelsdünger])&gt;0)),ROW()-2),1),"")</f>
        <v>Feuchtkalk</v>
      </c>
      <c r="BH79" t="str">
        <f>IF(($A91=""),"",IF(COUNTIF(Mineral!$AJ$3:$AJ$324,$A91),"",$A91))</f>
        <v/>
      </c>
      <c r="BI79" t="str">
        <f>IFERROR(INDEX(Liste_Handelsünger[Handelsdünger],_xlfn.AGGREGATE(15,6,(ROW(Liste_Handelsünger[Handelsdünger])-1)/(--(SEARCH(BJ$2,Liste_Handelsünger[Handelsdünger])&gt;0)),ROW()-2),1),"")</f>
        <v>Feuchtkalk</v>
      </c>
      <c r="BJ79" t="str">
        <f>IF(($A92=""),"",IF(COUNTIF(Mineral!$AJ$3:$AJ$324,$A92),"",$A92))</f>
        <v/>
      </c>
      <c r="BK79" t="str">
        <f>IFERROR(INDEX(Liste_Handelsünger[Handelsdünger],_xlfn.AGGREGATE(15,6,(ROW(Liste_Handelsünger[Handelsdünger])-1)/(--(SEARCH(BL$2,Liste_Handelsünger[Handelsdünger])&gt;0)),ROW()-2),1),"")</f>
        <v>Feuchtkalk</v>
      </c>
      <c r="BM79" t="str">
        <f>IFERROR(INDEX(Liste_Handelsünger[Handelsdünger],_xlfn.AGGREGATE(15,6,(ROW(Liste_Handelsünger[Handelsdünger])-1)/(--(SEARCH(BN$2,Liste_Handelsünger[Handelsdünger])&gt;0)),ROW()-2),1),"")</f>
        <v>Feuchtkalk</v>
      </c>
      <c r="BN79" t="str">
        <f>IF(($A94=""),"",IF(COUNTIF(Mineral!$AJ$3:$AJ$324,$A94),"",$A94))</f>
        <v/>
      </c>
      <c r="BV79" t="s">
        <v>2147</v>
      </c>
      <c r="BW79" t="s">
        <v>2155</v>
      </c>
    </row>
    <row r="80" spans="19:75" ht="14.25" thickTop="1" thickBot="1">
      <c r="S80" s="1676">
        <v>79</v>
      </c>
      <c r="T80" s="1606" t="s">
        <v>2335</v>
      </c>
      <c r="U80" s="1606" t="s">
        <v>2148</v>
      </c>
      <c r="V80" s="1606"/>
      <c r="W80" s="1606">
        <v>0</v>
      </c>
      <c r="X80" s="1606">
        <v>0</v>
      </c>
      <c r="Y80" s="1606">
        <v>0</v>
      </c>
      <c r="Z80" s="1606">
        <v>0</v>
      </c>
      <c r="AA80" s="1606">
        <v>0</v>
      </c>
      <c r="AB80" s="1606">
        <v>0</v>
      </c>
      <c r="AC80" s="1606">
        <v>1</v>
      </c>
      <c r="AD80" s="1613">
        <v>1</v>
      </c>
      <c r="AE80" s="1606" t="s">
        <v>1764</v>
      </c>
      <c r="AF80" s="1613" t="str">
        <f t="shared" si="15"/>
        <v/>
      </c>
      <c r="AG80" s="1656">
        <f>IFERROR(IF($AF80&gt;0,VLOOKUP($U80,Tabelle1!$C$188:$L$212,5,0)*$AF80,0),0)</f>
        <v>0</v>
      </c>
      <c r="AH80" s="1656">
        <f t="shared" si="16"/>
        <v>0</v>
      </c>
      <c r="AJ80" t="str">
        <f>IF(Betrieb!$D$9="JA",Mineral!$BW80,Mineral!$BV80)</f>
        <v>Foliarel 21% Bor</v>
      </c>
      <c r="AK80" s="1672" t="str">
        <f>IFERROR(INDEX(Liste_Handelsünger[Handelsdünger],_xlfn.AGGREGATE(15,6,(ROW(Liste_Handelsünger[Handelsdünger])-1)/(--(SEARCH(AL$2,Liste_Handelsünger[Handelsdünger])&gt;0)),ROW()-2),1),"")</f>
        <v>Foliarel 21% Bor</v>
      </c>
      <c r="AL80" s="1672" t="str">
        <f>IF(($A$3=""),"",IF(COUNTIF(Mineral!$AJ$3:$AJ$324,$A$3),"",$A$3))</f>
        <v/>
      </c>
      <c r="AM80" s="1672" t="str">
        <f>IFERROR(INDEX(Liste_Handelsünger[Handelsdünger],_xlfn.AGGREGATE(15,6,(ROW(Liste_Handelsünger[Handelsdünger])-1)/(--(SEARCH(AN$2,Liste_Handelsünger[Handelsdünger])&gt;0)),ROW()-2),1),"")</f>
        <v>Foliarel 21% Bor</v>
      </c>
      <c r="AN80" t="str">
        <f>IF(($A82=""),"",IF(COUNTIF(Mineral!$AJ$3:$AJ$324,$A82),"",$A82))</f>
        <v/>
      </c>
      <c r="AO80" t="str">
        <f>IFERROR(INDEX(Liste_Handelsünger[Handelsdünger],_xlfn.AGGREGATE(15,6,(ROW(Liste_Handelsünger[Handelsdünger])-1)/(--(SEARCH(AP$2,Liste_Handelsünger[Handelsdünger])&gt;0)),ROW()-2),1),"")</f>
        <v>Foliarel 21% Bor</v>
      </c>
      <c r="AP80" t="str">
        <f>IF(($A83=""),"",IF(COUNTIF(Mineral!$AJ$3:$AJ$324,$A83),"",$A83))</f>
        <v/>
      </c>
      <c r="AQ80" t="str">
        <f>IFERROR(INDEX(Liste_Handelsünger[Handelsdünger],_xlfn.AGGREGATE(15,6,(ROW(Liste_Handelsünger[Handelsdünger])-1)/(--(SEARCH(AR$2,Liste_Handelsünger[Handelsdünger])&gt;0)),ROW()-2),1),"")</f>
        <v>Foliarel 21% Bor</v>
      </c>
      <c r="AR80" t="str">
        <f>IF(($A84=""),"",IF(COUNTIF(Mineral!$AJ$3:$AJ$324,$A84),"",$A84))</f>
        <v/>
      </c>
      <c r="AS80" t="str">
        <f>IFERROR(INDEX(Liste_Handelsünger[Handelsdünger],_xlfn.AGGREGATE(15,6,(ROW(Liste_Handelsünger[Handelsdünger])-1)/(--(SEARCH(AT$2,Liste_Handelsünger[Handelsdünger])&gt;0)),ROW()-2),1),"")</f>
        <v>Foliarel 21% Bor</v>
      </c>
      <c r="AT80" t="str">
        <f>IF(($A85=""),"",IF(COUNTIF(Mineral!$AJ$3:$AJ$324,$A85),"",$A85))</f>
        <v/>
      </c>
      <c r="AU80" t="str">
        <f>IFERROR(INDEX(Liste_Handelsünger[Handelsdünger],_xlfn.AGGREGATE(15,6,(ROW(Liste_Handelsünger[Handelsdünger])-1)/(--(SEARCH(AV$2,Liste_Handelsünger[Handelsdünger])&gt;0)),ROW()-2),1),"")</f>
        <v>Foliarel 21% Bor</v>
      </c>
      <c r="AV80" t="str">
        <f>IF(($A86=""),"",IF(COUNTIF(Mineral!$AJ$3:$AJ$324,$A86),"",$A86))</f>
        <v/>
      </c>
      <c r="AW80" t="str">
        <f>IFERROR(INDEX(Liste_Handelsünger[Handelsdünger],_xlfn.AGGREGATE(15,6,(ROW(Liste_Handelsünger[Handelsdünger])-1)/(--(SEARCH(AX$2,Liste_Handelsünger[Handelsdünger])&gt;0)),ROW()-2),1),"")</f>
        <v>Foliarel 21% Bor</v>
      </c>
      <c r="AX80" t="str">
        <f>IF(($A87=""),"",IF(COUNTIF(Mineral!$AJ$3:$AJ$324,$A87),"",$A87))</f>
        <v/>
      </c>
      <c r="AY80" t="str">
        <f>IFERROR(INDEX(Liste_Handelsünger[Handelsdünger],_xlfn.AGGREGATE(15,6,(ROW(Liste_Handelsünger[Handelsdünger])-1)/(--(SEARCH(AZ$2,Liste_Handelsünger[Handelsdünger])&gt;0)),ROW()-2),1),"")</f>
        <v>Foliarel 21% Bor</v>
      </c>
      <c r="AZ80" t="str">
        <f>IF(($A88=""),"",IF(COUNTIF(Mineral!$AJ$3:$AJ$324,$A88),"",$A88))</f>
        <v/>
      </c>
      <c r="BA80" t="str">
        <f>IFERROR(INDEX(Liste_Handelsünger[Handelsdünger],_xlfn.AGGREGATE(15,6,(ROW(Liste_Handelsünger[Handelsdünger])-1)/(--(SEARCH(BB$2,Liste_Handelsünger[Handelsdünger])&gt;0)),ROW()-2),1),"")</f>
        <v>Foliarel 21% Bor</v>
      </c>
      <c r="BB80" t="str">
        <f>IF(($A89=""),"",IF(COUNTIF(Mineral!$AJ$3:$AJ$324,$A89),"",$A89))</f>
        <v/>
      </c>
      <c r="BC80" t="str">
        <f>IFERROR(INDEX(Liste_Handelsünger[Handelsdünger],_xlfn.AGGREGATE(15,6,(ROW(Liste_Handelsünger[Handelsdünger])-1)/(--(SEARCH(BD$2,Liste_Handelsünger[Handelsdünger])&gt;0)),ROW()-2),1),"")</f>
        <v>Foliarel 21% Bor</v>
      </c>
      <c r="BD80" t="str">
        <f>IF(($A90=""),"",IF(COUNTIF(Mineral!$AJ$3:$AJ$324,$A90),"",$A90))</f>
        <v/>
      </c>
      <c r="BE80" t="str">
        <f>IFERROR(INDEX(Liste_Handelsünger[Handelsdünger],_xlfn.AGGREGATE(15,6,(ROW(Liste_Handelsünger[Handelsdünger])-1)/(--(SEARCH(BF$2,Liste_Handelsünger[Handelsdünger])&gt;0)),ROW()-2),1),"")</f>
        <v>Foliarel 21% Bor</v>
      </c>
      <c r="BF80" t="str">
        <f>IF(($A91=""),"",IF(COUNTIF(Mineral!$AJ$3:$AJ$324,$A91),"",$A91))</f>
        <v/>
      </c>
      <c r="BG80" t="str">
        <f>IFERROR(INDEX(Liste_Handelsünger[Handelsdünger],_xlfn.AGGREGATE(15,6,(ROW(Liste_Handelsünger[Handelsdünger])-1)/(--(SEARCH(BH$2,Liste_Handelsünger[Handelsdünger])&gt;0)),ROW()-2),1),"")</f>
        <v>Foliarel 21% Bor</v>
      </c>
      <c r="BH80" t="str">
        <f>IF(($A92=""),"",IF(COUNTIF(Mineral!$AJ$3:$AJ$324,$A92),"",$A92))</f>
        <v/>
      </c>
      <c r="BI80" t="str">
        <f>IFERROR(INDEX(Liste_Handelsünger[Handelsdünger],_xlfn.AGGREGATE(15,6,(ROW(Liste_Handelsünger[Handelsdünger])-1)/(--(SEARCH(BJ$2,Liste_Handelsünger[Handelsdünger])&gt;0)),ROW()-2),1),"")</f>
        <v>Foliarel 21% Bor</v>
      </c>
      <c r="BJ80" t="str">
        <f>IF(($A93=""),"",IF(COUNTIF(Mineral!$AJ$3:$AJ$324,$A93),"",$A93))</f>
        <v/>
      </c>
      <c r="BK80" t="str">
        <f>IFERROR(INDEX(Liste_Handelsünger[Handelsdünger],_xlfn.AGGREGATE(15,6,(ROW(Liste_Handelsünger[Handelsdünger])-1)/(--(SEARCH(BL$2,Liste_Handelsünger[Handelsdünger])&gt;0)),ROW()-2),1),"")</f>
        <v>Foliarel 21% Bor</v>
      </c>
      <c r="BM80" t="str">
        <f>IFERROR(INDEX(Liste_Handelsünger[Handelsdünger],_xlfn.AGGREGATE(15,6,(ROW(Liste_Handelsünger[Handelsdünger])-1)/(--(SEARCH(BN$2,Liste_Handelsünger[Handelsdünger])&gt;0)),ROW()-2),1),"")</f>
        <v>Foliarel 21% Bor</v>
      </c>
      <c r="BN80" t="str">
        <f>IF(($A95=""),"",IF(COUNTIF(Mineral!$AJ$3:$AJ$324,$A95),"",$A95))</f>
        <v/>
      </c>
      <c r="BV80" t="s">
        <v>2148</v>
      </c>
      <c r="BW80" t="s">
        <v>2156</v>
      </c>
    </row>
    <row r="81" spans="18:75" ht="14.25" thickTop="1" thickBot="1">
      <c r="S81" s="1616">
        <v>80</v>
      </c>
      <c r="T81" s="1617" t="s">
        <v>2335</v>
      </c>
      <c r="U81" s="1617" t="s">
        <v>2149</v>
      </c>
      <c r="V81" s="1617"/>
      <c r="W81" s="1617">
        <v>5.5</v>
      </c>
      <c r="X81" s="1617">
        <v>0</v>
      </c>
      <c r="Y81" s="1617">
        <v>0</v>
      </c>
      <c r="Z81" s="1617">
        <v>0</v>
      </c>
      <c r="AA81" s="1617">
        <v>0</v>
      </c>
      <c r="AB81" s="1617">
        <v>0</v>
      </c>
      <c r="AC81" s="1617">
        <v>1</v>
      </c>
      <c r="AD81" s="1613">
        <v>1</v>
      </c>
      <c r="AE81" s="1617" t="s">
        <v>2016</v>
      </c>
      <c r="AF81" s="1613" t="str">
        <f t="shared" si="15"/>
        <v/>
      </c>
      <c r="AG81" s="1656">
        <f>IFERROR(IF($AF81&gt;0,VLOOKUP($U81,Tabelle1!$C$188:$L$212,5,0)*$AF81,0),0)</f>
        <v>0</v>
      </c>
      <c r="AH81" s="1656">
        <f t="shared" si="16"/>
        <v>0</v>
      </c>
      <c r="AJ81" t="str">
        <f>IF(Betrieb!$D$9="JA",Mineral!$BW81,Mineral!$BV81)</f>
        <v>Foliarel Flüssigbor 14% Bor</v>
      </c>
      <c r="AK81" s="1672" t="str">
        <f>IFERROR(INDEX(Liste_Handelsünger[Handelsdünger],_xlfn.AGGREGATE(15,6,(ROW(Liste_Handelsünger[Handelsdünger])-1)/(--(SEARCH(AL$2,Liste_Handelsünger[Handelsdünger])&gt;0)),ROW()-2),1),"")</f>
        <v>Foliarel Flüssigbor 14% Bor</v>
      </c>
      <c r="AL81" s="1672" t="str">
        <f>IF(($A$3=""),"",IF(COUNTIF(Mineral!$AJ$3:$AJ$324,$A$3),"",$A$3))</f>
        <v/>
      </c>
      <c r="AM81" s="1672" t="str">
        <f>IFERROR(INDEX(Liste_Handelsünger[Handelsdünger],_xlfn.AGGREGATE(15,6,(ROW(Liste_Handelsünger[Handelsdünger])-1)/(--(SEARCH(AN$2,Liste_Handelsünger[Handelsdünger])&gt;0)),ROW()-2),1),"")</f>
        <v>Foliarel Flüssigbor 14% Bor</v>
      </c>
      <c r="AN81" t="str">
        <f>IF(($A83=""),"",IF(COUNTIF(Mineral!$AJ$3:$AJ$324,$A83),"",$A83))</f>
        <v/>
      </c>
      <c r="AO81" t="str">
        <f>IFERROR(INDEX(Liste_Handelsünger[Handelsdünger],_xlfn.AGGREGATE(15,6,(ROW(Liste_Handelsünger[Handelsdünger])-1)/(--(SEARCH(AP$2,Liste_Handelsünger[Handelsdünger])&gt;0)),ROW()-2),1),"")</f>
        <v>Foliarel Flüssigbor 14% Bor</v>
      </c>
      <c r="AP81" t="str">
        <f>IF(($A84=""),"",IF(COUNTIF(Mineral!$AJ$3:$AJ$324,$A84),"",$A84))</f>
        <v/>
      </c>
      <c r="AQ81" t="str">
        <f>IFERROR(INDEX(Liste_Handelsünger[Handelsdünger],_xlfn.AGGREGATE(15,6,(ROW(Liste_Handelsünger[Handelsdünger])-1)/(--(SEARCH(AR$2,Liste_Handelsünger[Handelsdünger])&gt;0)),ROW()-2),1),"")</f>
        <v>Foliarel Flüssigbor 14% Bor</v>
      </c>
      <c r="AR81" t="str">
        <f>IF(($A85=""),"",IF(COUNTIF(Mineral!$AJ$3:$AJ$324,$A85),"",$A85))</f>
        <v/>
      </c>
      <c r="AS81" t="str">
        <f>IFERROR(INDEX(Liste_Handelsünger[Handelsdünger],_xlfn.AGGREGATE(15,6,(ROW(Liste_Handelsünger[Handelsdünger])-1)/(--(SEARCH(AT$2,Liste_Handelsünger[Handelsdünger])&gt;0)),ROW()-2),1),"")</f>
        <v>Foliarel Flüssigbor 14% Bor</v>
      </c>
      <c r="AT81" t="str">
        <f>IF(($A86=""),"",IF(COUNTIF(Mineral!$AJ$3:$AJ$324,$A86),"",$A86))</f>
        <v/>
      </c>
      <c r="AU81" t="str">
        <f>IFERROR(INDEX(Liste_Handelsünger[Handelsdünger],_xlfn.AGGREGATE(15,6,(ROW(Liste_Handelsünger[Handelsdünger])-1)/(--(SEARCH(AV$2,Liste_Handelsünger[Handelsdünger])&gt;0)),ROW()-2),1),"")</f>
        <v>Foliarel Flüssigbor 14% Bor</v>
      </c>
      <c r="AV81" t="str">
        <f>IF(($A87=""),"",IF(COUNTIF(Mineral!$AJ$3:$AJ$324,$A87),"",$A87))</f>
        <v/>
      </c>
      <c r="AW81" t="str">
        <f>IFERROR(INDEX(Liste_Handelsünger[Handelsdünger],_xlfn.AGGREGATE(15,6,(ROW(Liste_Handelsünger[Handelsdünger])-1)/(--(SEARCH(AX$2,Liste_Handelsünger[Handelsdünger])&gt;0)),ROW()-2),1),"")</f>
        <v>Foliarel Flüssigbor 14% Bor</v>
      </c>
      <c r="AX81" t="str">
        <f>IF(($A88=""),"",IF(COUNTIF(Mineral!$AJ$3:$AJ$324,$A88),"",$A88))</f>
        <v/>
      </c>
      <c r="AY81" t="str">
        <f>IFERROR(INDEX(Liste_Handelsünger[Handelsdünger],_xlfn.AGGREGATE(15,6,(ROW(Liste_Handelsünger[Handelsdünger])-1)/(--(SEARCH(AZ$2,Liste_Handelsünger[Handelsdünger])&gt;0)),ROW()-2),1),"")</f>
        <v>Foliarel Flüssigbor 14% Bor</v>
      </c>
      <c r="AZ81" t="str">
        <f>IF(($A89=""),"",IF(COUNTIF(Mineral!$AJ$3:$AJ$324,$A89),"",$A89))</f>
        <v/>
      </c>
      <c r="BA81" t="str">
        <f>IFERROR(INDEX(Liste_Handelsünger[Handelsdünger],_xlfn.AGGREGATE(15,6,(ROW(Liste_Handelsünger[Handelsdünger])-1)/(--(SEARCH(BB$2,Liste_Handelsünger[Handelsdünger])&gt;0)),ROW()-2),1),"")</f>
        <v>Foliarel Flüssigbor 14% Bor</v>
      </c>
      <c r="BB81" t="str">
        <f>IF(($A90=""),"",IF(COUNTIF(Mineral!$AJ$3:$AJ$324,$A90),"",$A90))</f>
        <v/>
      </c>
      <c r="BC81" t="str">
        <f>IFERROR(INDEX(Liste_Handelsünger[Handelsdünger],_xlfn.AGGREGATE(15,6,(ROW(Liste_Handelsünger[Handelsdünger])-1)/(--(SEARCH(BD$2,Liste_Handelsünger[Handelsdünger])&gt;0)),ROW()-2),1),"")</f>
        <v>Foliarel Flüssigbor 14% Bor</v>
      </c>
      <c r="BD81" t="str">
        <f>IF(($A91=""),"",IF(COUNTIF(Mineral!$AJ$3:$AJ$324,$A91),"",$A91))</f>
        <v/>
      </c>
      <c r="BE81" t="str">
        <f>IFERROR(INDEX(Liste_Handelsünger[Handelsdünger],_xlfn.AGGREGATE(15,6,(ROW(Liste_Handelsünger[Handelsdünger])-1)/(--(SEARCH(BF$2,Liste_Handelsünger[Handelsdünger])&gt;0)),ROW()-2),1),"")</f>
        <v>Foliarel Flüssigbor 14% Bor</v>
      </c>
      <c r="BF81" t="str">
        <f>IF(($A92=""),"",IF(COUNTIF(Mineral!$AJ$3:$AJ$324,$A92),"",$A92))</f>
        <v/>
      </c>
      <c r="BG81" t="str">
        <f>IFERROR(INDEX(Liste_Handelsünger[Handelsdünger],_xlfn.AGGREGATE(15,6,(ROW(Liste_Handelsünger[Handelsdünger])-1)/(--(SEARCH(BH$2,Liste_Handelsünger[Handelsdünger])&gt;0)),ROW()-2),1),"")</f>
        <v>Foliarel Flüssigbor 14% Bor</v>
      </c>
      <c r="BH81" t="str">
        <f>IF(($A93=""),"",IF(COUNTIF(Mineral!$AJ$3:$AJ$324,$A93),"",$A93))</f>
        <v/>
      </c>
      <c r="BI81" t="str">
        <f>IFERROR(INDEX(Liste_Handelsünger[Handelsdünger],_xlfn.AGGREGATE(15,6,(ROW(Liste_Handelsünger[Handelsdünger])-1)/(--(SEARCH(BJ$2,Liste_Handelsünger[Handelsdünger])&gt;0)),ROW()-2),1),"")</f>
        <v>Foliarel Flüssigbor 14% Bor</v>
      </c>
      <c r="BJ81" t="str">
        <f>IF(($A94=""),"",IF(COUNTIF(Mineral!$AJ$3:$AJ$324,$A94),"",$A94))</f>
        <v/>
      </c>
      <c r="BK81" t="str">
        <f>IFERROR(INDEX(Liste_Handelsünger[Handelsdünger],_xlfn.AGGREGATE(15,6,(ROW(Liste_Handelsünger[Handelsdünger])-1)/(--(SEARCH(BL$2,Liste_Handelsünger[Handelsdünger])&gt;0)),ROW()-2),1),"")</f>
        <v>Foliarel Flüssigbor 14% Bor</v>
      </c>
      <c r="BM81" t="str">
        <f>IFERROR(INDEX(Liste_Handelsünger[Handelsdünger],_xlfn.AGGREGATE(15,6,(ROW(Liste_Handelsünger[Handelsdünger])-1)/(--(SEARCH(BN$2,Liste_Handelsünger[Handelsdünger])&gt;0)),ROW()-2),1),"")</f>
        <v>Foliarel Flüssigbor 14% Bor</v>
      </c>
      <c r="BN81" t="str">
        <f>IF(($A96=""),"",IF(COUNTIF(Mineral!$AJ$3:$AJ$324,$A96),"",$A96))</f>
        <v/>
      </c>
      <c r="BV81" t="s">
        <v>2149</v>
      </c>
      <c r="BW81" t="s">
        <v>2163</v>
      </c>
    </row>
    <row r="82" spans="18:75" ht="14.25" thickTop="1" thickBot="1">
      <c r="S82" s="1676">
        <v>81</v>
      </c>
      <c r="T82" s="1606" t="s">
        <v>2335</v>
      </c>
      <c r="U82" s="1606" t="s">
        <v>2150</v>
      </c>
      <c r="V82" s="1606"/>
      <c r="W82" s="1606">
        <v>16</v>
      </c>
      <c r="X82" s="1606">
        <v>5</v>
      </c>
      <c r="Y82" s="1606">
        <v>5</v>
      </c>
      <c r="Z82" s="1606">
        <v>6</v>
      </c>
      <c r="AA82" s="1606">
        <v>0</v>
      </c>
      <c r="AB82" s="1606">
        <v>7.0000000000000009</v>
      </c>
      <c r="AC82" s="1606">
        <v>1</v>
      </c>
      <c r="AD82" s="1613">
        <v>1</v>
      </c>
      <c r="AE82" s="1606" t="s">
        <v>2016</v>
      </c>
      <c r="AF82" s="1613" t="str">
        <f t="shared" si="15"/>
        <v/>
      </c>
      <c r="AG82" s="1656">
        <f>IFERROR(IF($AF82&gt;0,VLOOKUP($U82,Tabelle1!$C$188:$L$212,5,0)*$AF82,0),0)</f>
        <v>0</v>
      </c>
      <c r="AH82" s="1656">
        <f t="shared" si="16"/>
        <v>0</v>
      </c>
      <c r="AJ82" t="str">
        <f>IF(Betrieb!$D$9="JA",Mineral!$BW82,Mineral!$BV82)</f>
        <v>Folifert super</v>
      </c>
      <c r="AK82" s="1672" t="str">
        <f>IFERROR(INDEX(Liste_Handelsünger[Handelsdünger],_xlfn.AGGREGATE(15,6,(ROW(Liste_Handelsünger[Handelsdünger])-1)/(--(SEARCH(AL$2,Liste_Handelsünger[Handelsdünger])&gt;0)),ROW()-2),1),"")</f>
        <v>Folifert super</v>
      </c>
      <c r="AL82" s="1672" t="str">
        <f>IF(($A$3=""),"",IF(COUNTIF(Mineral!$AJ$3:$AJ$324,$A$3),"",$A$3))</f>
        <v/>
      </c>
      <c r="AM82" s="1672" t="str">
        <f>IFERROR(INDEX(Liste_Handelsünger[Handelsdünger],_xlfn.AGGREGATE(15,6,(ROW(Liste_Handelsünger[Handelsdünger])-1)/(--(SEARCH(AN$2,Liste_Handelsünger[Handelsdünger])&gt;0)),ROW()-2),1),"")</f>
        <v>Folifert super</v>
      </c>
      <c r="AN82" t="str">
        <f>IF(($A84=""),"",IF(COUNTIF(Mineral!$AJ$3:$AJ$324,$A84),"",$A84))</f>
        <v/>
      </c>
      <c r="AO82" t="str">
        <f>IFERROR(INDEX(Liste_Handelsünger[Handelsdünger],_xlfn.AGGREGATE(15,6,(ROW(Liste_Handelsünger[Handelsdünger])-1)/(--(SEARCH(AP$2,Liste_Handelsünger[Handelsdünger])&gt;0)),ROW()-2),1),"")</f>
        <v>Folifert super</v>
      </c>
      <c r="AP82" t="str">
        <f>IF(($A85=""),"",IF(COUNTIF(Mineral!$AJ$3:$AJ$324,$A85),"",$A85))</f>
        <v/>
      </c>
      <c r="AQ82" t="str">
        <f>IFERROR(INDEX(Liste_Handelsünger[Handelsdünger],_xlfn.AGGREGATE(15,6,(ROW(Liste_Handelsünger[Handelsdünger])-1)/(--(SEARCH(AR$2,Liste_Handelsünger[Handelsdünger])&gt;0)),ROW()-2),1),"")</f>
        <v>Folifert super</v>
      </c>
      <c r="AR82" t="str">
        <f>IF(($A86=""),"",IF(COUNTIF(Mineral!$AJ$3:$AJ$324,$A86),"",$A86))</f>
        <v/>
      </c>
      <c r="AS82" t="str">
        <f>IFERROR(INDEX(Liste_Handelsünger[Handelsdünger],_xlfn.AGGREGATE(15,6,(ROW(Liste_Handelsünger[Handelsdünger])-1)/(--(SEARCH(AT$2,Liste_Handelsünger[Handelsdünger])&gt;0)),ROW()-2),1),"")</f>
        <v>Folifert super</v>
      </c>
      <c r="AT82" t="str">
        <f>IF(($A87=""),"",IF(COUNTIF(Mineral!$AJ$3:$AJ$324,$A87),"",$A87))</f>
        <v/>
      </c>
      <c r="AU82" t="str">
        <f>IFERROR(INDEX(Liste_Handelsünger[Handelsdünger],_xlfn.AGGREGATE(15,6,(ROW(Liste_Handelsünger[Handelsdünger])-1)/(--(SEARCH(AV$2,Liste_Handelsünger[Handelsdünger])&gt;0)),ROW()-2),1),"")</f>
        <v>Folifert super</v>
      </c>
      <c r="AV82" t="str">
        <f>IF(($A88=""),"",IF(COUNTIF(Mineral!$AJ$3:$AJ$324,$A88),"",$A88))</f>
        <v/>
      </c>
      <c r="AW82" t="str">
        <f>IFERROR(INDEX(Liste_Handelsünger[Handelsdünger],_xlfn.AGGREGATE(15,6,(ROW(Liste_Handelsünger[Handelsdünger])-1)/(--(SEARCH(AX$2,Liste_Handelsünger[Handelsdünger])&gt;0)),ROW()-2),1),"")</f>
        <v>Folifert super</v>
      </c>
      <c r="AX82" t="str">
        <f>IF(($A89=""),"",IF(COUNTIF(Mineral!$AJ$3:$AJ$324,$A89),"",$A89))</f>
        <v/>
      </c>
      <c r="AY82" t="str">
        <f>IFERROR(INDEX(Liste_Handelsünger[Handelsdünger],_xlfn.AGGREGATE(15,6,(ROW(Liste_Handelsünger[Handelsdünger])-1)/(--(SEARCH(AZ$2,Liste_Handelsünger[Handelsdünger])&gt;0)),ROW()-2),1),"")</f>
        <v>Folifert super</v>
      </c>
      <c r="AZ82" t="str">
        <f>IF(($A90=""),"",IF(COUNTIF(Mineral!$AJ$3:$AJ$324,$A90),"",$A90))</f>
        <v/>
      </c>
      <c r="BA82" t="str">
        <f>IFERROR(INDEX(Liste_Handelsünger[Handelsdünger],_xlfn.AGGREGATE(15,6,(ROW(Liste_Handelsünger[Handelsdünger])-1)/(--(SEARCH(BB$2,Liste_Handelsünger[Handelsdünger])&gt;0)),ROW()-2),1),"")</f>
        <v>Folifert super</v>
      </c>
      <c r="BB82" t="str">
        <f>IF(($A91=""),"",IF(COUNTIF(Mineral!$AJ$3:$AJ$324,$A91),"",$A91))</f>
        <v/>
      </c>
      <c r="BC82" t="str">
        <f>IFERROR(INDEX(Liste_Handelsünger[Handelsdünger],_xlfn.AGGREGATE(15,6,(ROW(Liste_Handelsünger[Handelsdünger])-1)/(--(SEARCH(BD$2,Liste_Handelsünger[Handelsdünger])&gt;0)),ROW()-2),1),"")</f>
        <v>Folifert super</v>
      </c>
      <c r="BD82" t="str">
        <f>IF(($A92=""),"",IF(COUNTIF(Mineral!$AJ$3:$AJ$324,$A92),"",$A92))</f>
        <v/>
      </c>
      <c r="BE82" t="str">
        <f>IFERROR(INDEX(Liste_Handelsünger[Handelsdünger],_xlfn.AGGREGATE(15,6,(ROW(Liste_Handelsünger[Handelsdünger])-1)/(--(SEARCH(BF$2,Liste_Handelsünger[Handelsdünger])&gt;0)),ROW()-2),1),"")</f>
        <v>Folifert super</v>
      </c>
      <c r="BF82" t="str">
        <f>IF(($A93=""),"",IF(COUNTIF(Mineral!$AJ$3:$AJ$324,$A93),"",$A93))</f>
        <v/>
      </c>
      <c r="BG82" t="str">
        <f>IFERROR(INDEX(Liste_Handelsünger[Handelsdünger],_xlfn.AGGREGATE(15,6,(ROW(Liste_Handelsünger[Handelsdünger])-1)/(--(SEARCH(BH$2,Liste_Handelsünger[Handelsdünger])&gt;0)),ROW()-2),1),"")</f>
        <v>Folifert super</v>
      </c>
      <c r="BH82" t="str">
        <f>IF(($A94=""),"",IF(COUNTIF(Mineral!$AJ$3:$AJ$324,$A94),"",$A94))</f>
        <v/>
      </c>
      <c r="BI82" t="str">
        <f>IFERROR(INDEX(Liste_Handelsünger[Handelsdünger],_xlfn.AGGREGATE(15,6,(ROW(Liste_Handelsünger[Handelsdünger])-1)/(--(SEARCH(BJ$2,Liste_Handelsünger[Handelsdünger])&gt;0)),ROW()-2),1),"")</f>
        <v>Folifert super</v>
      </c>
      <c r="BJ82" t="str">
        <f>IF(($A95=""),"",IF(COUNTIF(Mineral!$AJ$3:$AJ$324,$A95),"",$A95))</f>
        <v/>
      </c>
      <c r="BK82" t="str">
        <f>IFERROR(INDEX(Liste_Handelsünger[Handelsdünger],_xlfn.AGGREGATE(15,6,(ROW(Liste_Handelsünger[Handelsdünger])-1)/(--(SEARCH(BL$2,Liste_Handelsünger[Handelsdünger])&gt;0)),ROW()-2),1),"")</f>
        <v>Folifert super</v>
      </c>
      <c r="BM82" t="str">
        <f>IFERROR(INDEX(Liste_Handelsünger[Handelsdünger],_xlfn.AGGREGATE(15,6,(ROW(Liste_Handelsünger[Handelsdünger])-1)/(--(SEARCH(BN$2,Liste_Handelsünger[Handelsdünger])&gt;0)),ROW()-2),1),"")</f>
        <v>Folifert super</v>
      </c>
      <c r="BN82" t="str">
        <f>IF(($A97=""),"",IF(COUNTIF(Mineral!$AJ$3:$AJ$324,$A97),"",$A97))</f>
        <v/>
      </c>
      <c r="BV82" t="s">
        <v>2150</v>
      </c>
      <c r="BW82" t="s">
        <v>2164</v>
      </c>
    </row>
    <row r="83" spans="18:75" ht="14.25" thickTop="1" thickBot="1">
      <c r="S83" s="1616">
        <v>82</v>
      </c>
      <c r="T83" s="1617" t="s">
        <v>2335</v>
      </c>
      <c r="U83" s="1617" t="s">
        <v>2151</v>
      </c>
      <c r="V83" s="1617"/>
      <c r="W83" s="1617">
        <v>0</v>
      </c>
      <c r="X83" s="1617">
        <v>0</v>
      </c>
      <c r="Y83" s="1617">
        <v>0</v>
      </c>
      <c r="Z83" s="1617">
        <v>0</v>
      </c>
      <c r="AA83" s="1617">
        <v>53</v>
      </c>
      <c r="AB83" s="1617">
        <v>7.0000000000000009</v>
      </c>
      <c r="AC83" s="1617">
        <v>1</v>
      </c>
      <c r="AD83" s="1613">
        <v>1</v>
      </c>
      <c r="AE83" s="1617" t="s">
        <v>1764</v>
      </c>
      <c r="AF83" s="1613" t="str">
        <f t="shared" si="15"/>
        <v/>
      </c>
      <c r="AG83" s="1656">
        <f>IFERROR(IF($AF83&gt;0,VLOOKUP($U83,Tabelle1!$C$188:$L$212,5,0)*$AF83,0),0)</f>
        <v>0</v>
      </c>
      <c r="AH83" s="1656">
        <f t="shared" si="16"/>
        <v>0</v>
      </c>
      <c r="AJ83" t="str">
        <f>IF(Betrieb!$D$9="JA",Mineral!$BW83,Mineral!$BV83)</f>
        <v>Graukalk</v>
      </c>
      <c r="AK83" s="1672" t="str">
        <f>IFERROR(INDEX(Liste_Handelsünger[Handelsdünger],_xlfn.AGGREGATE(15,6,(ROW(Liste_Handelsünger[Handelsdünger])-1)/(--(SEARCH(AL$2,Liste_Handelsünger[Handelsdünger])&gt;0)),ROW()-2),1),"")</f>
        <v>Graukalk</v>
      </c>
      <c r="AL83" s="1672" t="str">
        <f>IF(($A$3=""),"",IF(COUNTIF(Mineral!$AJ$3:$AJ$324,$A$3),"",$A$3))</f>
        <v/>
      </c>
      <c r="AM83" s="1672" t="str">
        <f>IFERROR(INDEX(Liste_Handelsünger[Handelsdünger],_xlfn.AGGREGATE(15,6,(ROW(Liste_Handelsünger[Handelsdünger])-1)/(--(SEARCH(AN$2,Liste_Handelsünger[Handelsdünger])&gt;0)),ROW()-2),1),"")</f>
        <v>Graukalk</v>
      </c>
      <c r="AN83" t="str">
        <f>IF(($A85=""),"",IF(COUNTIF(Mineral!$AJ$3:$AJ$324,$A85),"",$A85))</f>
        <v/>
      </c>
      <c r="AO83" t="str">
        <f>IFERROR(INDEX(Liste_Handelsünger[Handelsdünger],_xlfn.AGGREGATE(15,6,(ROW(Liste_Handelsünger[Handelsdünger])-1)/(--(SEARCH(AP$2,Liste_Handelsünger[Handelsdünger])&gt;0)),ROW()-2),1),"")</f>
        <v>Graukalk</v>
      </c>
      <c r="AP83" t="str">
        <f>IF(($A86=""),"",IF(COUNTIF(Mineral!$AJ$3:$AJ$324,$A86),"",$A86))</f>
        <v/>
      </c>
      <c r="AQ83" t="str">
        <f>IFERROR(INDEX(Liste_Handelsünger[Handelsdünger],_xlfn.AGGREGATE(15,6,(ROW(Liste_Handelsünger[Handelsdünger])-1)/(--(SEARCH(AR$2,Liste_Handelsünger[Handelsdünger])&gt;0)),ROW()-2),1),"")</f>
        <v>Graukalk</v>
      </c>
      <c r="AR83" t="str">
        <f>IF(($A87=""),"",IF(COUNTIF(Mineral!$AJ$3:$AJ$324,$A87),"",$A87))</f>
        <v/>
      </c>
      <c r="AS83" t="str">
        <f>IFERROR(INDEX(Liste_Handelsünger[Handelsdünger],_xlfn.AGGREGATE(15,6,(ROW(Liste_Handelsünger[Handelsdünger])-1)/(--(SEARCH(AT$2,Liste_Handelsünger[Handelsdünger])&gt;0)),ROW()-2),1),"")</f>
        <v>Graukalk</v>
      </c>
      <c r="AT83" t="str">
        <f>IF(($A88=""),"",IF(COUNTIF(Mineral!$AJ$3:$AJ$324,$A88),"",$A88))</f>
        <v/>
      </c>
      <c r="AU83" t="str">
        <f>IFERROR(INDEX(Liste_Handelsünger[Handelsdünger],_xlfn.AGGREGATE(15,6,(ROW(Liste_Handelsünger[Handelsdünger])-1)/(--(SEARCH(AV$2,Liste_Handelsünger[Handelsdünger])&gt;0)),ROW()-2),1),"")</f>
        <v>Graukalk</v>
      </c>
      <c r="AV83" t="str">
        <f>IF(($A89=""),"",IF(COUNTIF(Mineral!$AJ$3:$AJ$324,$A89),"",$A89))</f>
        <v/>
      </c>
      <c r="AW83" t="str">
        <f>IFERROR(INDEX(Liste_Handelsünger[Handelsdünger],_xlfn.AGGREGATE(15,6,(ROW(Liste_Handelsünger[Handelsdünger])-1)/(--(SEARCH(AX$2,Liste_Handelsünger[Handelsdünger])&gt;0)),ROW()-2),1),"")</f>
        <v>Graukalk</v>
      </c>
      <c r="AX83" t="str">
        <f>IF(($A90=""),"",IF(COUNTIF(Mineral!$AJ$3:$AJ$324,$A90),"",$A90))</f>
        <v/>
      </c>
      <c r="AY83" t="str">
        <f>IFERROR(INDEX(Liste_Handelsünger[Handelsdünger],_xlfn.AGGREGATE(15,6,(ROW(Liste_Handelsünger[Handelsdünger])-1)/(--(SEARCH(AZ$2,Liste_Handelsünger[Handelsdünger])&gt;0)),ROW()-2),1),"")</f>
        <v>Graukalk</v>
      </c>
      <c r="AZ83" t="str">
        <f>IF(($A91=""),"",IF(COUNTIF(Mineral!$AJ$3:$AJ$324,$A91),"",$A91))</f>
        <v/>
      </c>
      <c r="BA83" t="str">
        <f>IFERROR(INDEX(Liste_Handelsünger[Handelsdünger],_xlfn.AGGREGATE(15,6,(ROW(Liste_Handelsünger[Handelsdünger])-1)/(--(SEARCH(BB$2,Liste_Handelsünger[Handelsdünger])&gt;0)),ROW()-2),1),"")</f>
        <v>Graukalk</v>
      </c>
      <c r="BB83" t="str">
        <f>IF(($A92=""),"",IF(COUNTIF(Mineral!$AJ$3:$AJ$324,$A92),"",$A92))</f>
        <v/>
      </c>
      <c r="BC83" t="str">
        <f>IFERROR(INDEX(Liste_Handelsünger[Handelsdünger],_xlfn.AGGREGATE(15,6,(ROW(Liste_Handelsünger[Handelsdünger])-1)/(--(SEARCH(BD$2,Liste_Handelsünger[Handelsdünger])&gt;0)),ROW()-2),1),"")</f>
        <v>Graukalk</v>
      </c>
      <c r="BD83" t="str">
        <f>IF(($A93=""),"",IF(COUNTIF(Mineral!$AJ$3:$AJ$324,$A93),"",$A93))</f>
        <v/>
      </c>
      <c r="BE83" t="str">
        <f>IFERROR(INDEX(Liste_Handelsünger[Handelsdünger],_xlfn.AGGREGATE(15,6,(ROW(Liste_Handelsünger[Handelsdünger])-1)/(--(SEARCH(BF$2,Liste_Handelsünger[Handelsdünger])&gt;0)),ROW()-2),1),"")</f>
        <v>Graukalk</v>
      </c>
      <c r="BF83" t="str">
        <f>IF(($A94=""),"",IF(COUNTIF(Mineral!$AJ$3:$AJ$324,$A94),"",$A94))</f>
        <v/>
      </c>
      <c r="BG83" t="str">
        <f>IFERROR(INDEX(Liste_Handelsünger[Handelsdünger],_xlfn.AGGREGATE(15,6,(ROW(Liste_Handelsünger[Handelsdünger])-1)/(--(SEARCH(BH$2,Liste_Handelsünger[Handelsdünger])&gt;0)),ROW()-2),1),"")</f>
        <v>Graukalk</v>
      </c>
      <c r="BH83" t="str">
        <f>IF(($A95=""),"",IF(COUNTIF(Mineral!$AJ$3:$AJ$324,$A95),"",$A95))</f>
        <v/>
      </c>
      <c r="BI83" t="str">
        <f>IFERROR(INDEX(Liste_Handelsünger[Handelsdünger],_xlfn.AGGREGATE(15,6,(ROW(Liste_Handelsünger[Handelsdünger])-1)/(--(SEARCH(BJ$2,Liste_Handelsünger[Handelsdünger])&gt;0)),ROW()-2),1),"")</f>
        <v>Graukalk</v>
      </c>
      <c r="BJ83" t="str">
        <f>IF(($A96=""),"",IF(COUNTIF(Mineral!$AJ$3:$AJ$324,$A96),"",$A96))</f>
        <v/>
      </c>
      <c r="BK83" t="str">
        <f>IFERROR(INDEX(Liste_Handelsünger[Handelsdünger],_xlfn.AGGREGATE(15,6,(ROW(Liste_Handelsünger[Handelsdünger])-1)/(--(SEARCH(BL$2,Liste_Handelsünger[Handelsdünger])&gt;0)),ROW()-2),1),"")</f>
        <v>Graukalk</v>
      </c>
      <c r="BM83" t="str">
        <f>IFERROR(INDEX(Liste_Handelsünger[Handelsdünger],_xlfn.AGGREGATE(15,6,(ROW(Liste_Handelsünger[Handelsdünger])-1)/(--(SEARCH(BN$2,Liste_Handelsünger[Handelsdünger])&gt;0)),ROW()-2),1),"")</f>
        <v>Graukalk</v>
      </c>
      <c r="BN83" t="str">
        <f>IF(($A98=""),"",IF(COUNTIF(Mineral!$AJ$3:$AJ$324,$A98),"",$A98))</f>
        <v/>
      </c>
      <c r="BV83" t="s">
        <v>2151</v>
      </c>
      <c r="BW83" t="s">
        <v>2165</v>
      </c>
    </row>
    <row r="84" spans="18:75" ht="14.25" thickTop="1" thickBot="1">
      <c r="S84" s="1676">
        <v>83</v>
      </c>
      <c r="T84" s="1606" t="s">
        <v>2335</v>
      </c>
      <c r="U84" s="1606" t="s">
        <v>2152</v>
      </c>
      <c r="V84" s="1606"/>
      <c r="W84" s="1606">
        <v>0</v>
      </c>
      <c r="X84" s="1606">
        <v>0</v>
      </c>
      <c r="Y84" s="1606">
        <v>0</v>
      </c>
      <c r="Z84" s="1606">
        <v>0</v>
      </c>
      <c r="AA84" s="1606">
        <v>54</v>
      </c>
      <c r="AB84" s="1606">
        <v>8</v>
      </c>
      <c r="AC84" s="1606">
        <v>1</v>
      </c>
      <c r="AD84" s="1613">
        <v>1</v>
      </c>
      <c r="AE84" s="1606" t="s">
        <v>1764</v>
      </c>
      <c r="AF84" s="1613" t="str">
        <f t="shared" si="15"/>
        <v/>
      </c>
      <c r="AG84" s="1656">
        <f>IFERROR(IF($AF84&gt;0,VLOOKUP($U84,Tabelle1!$C$188:$L$212,5,0)*$AF84,0),0)</f>
        <v>0</v>
      </c>
      <c r="AH84" s="1656">
        <f t="shared" si="16"/>
        <v>0</v>
      </c>
      <c r="AJ84" t="str">
        <f>IF(Betrieb!$D$9="JA",Mineral!$BW84,Mineral!$BV84)</f>
        <v>Graukorn</v>
      </c>
      <c r="AK84" s="1672" t="str">
        <f>IFERROR(INDEX(Liste_Handelsünger[Handelsdünger],_xlfn.AGGREGATE(15,6,(ROW(Liste_Handelsünger[Handelsdünger])-1)/(--(SEARCH(AL$2,Liste_Handelsünger[Handelsdünger])&gt;0)),ROW()-2),1),"")</f>
        <v>Graukorn</v>
      </c>
      <c r="AL84" s="1672" t="str">
        <f>IF(($A$3=""),"",IF(COUNTIF(Mineral!$AJ$3:$AJ$324,$A$3),"",$A$3))</f>
        <v/>
      </c>
      <c r="AM84" s="1672" t="str">
        <f>IFERROR(INDEX(Liste_Handelsünger[Handelsdünger],_xlfn.AGGREGATE(15,6,(ROW(Liste_Handelsünger[Handelsdünger])-1)/(--(SEARCH(AN$2,Liste_Handelsünger[Handelsdünger])&gt;0)),ROW()-2),1),"")</f>
        <v>Graukorn</v>
      </c>
      <c r="AN84" t="str">
        <f>IF(($A86=""),"",IF(COUNTIF(Mineral!$AJ$3:$AJ$324,$A86),"",$A86))</f>
        <v/>
      </c>
      <c r="AO84" t="str">
        <f>IFERROR(INDEX(Liste_Handelsünger[Handelsdünger],_xlfn.AGGREGATE(15,6,(ROW(Liste_Handelsünger[Handelsdünger])-1)/(--(SEARCH(AP$2,Liste_Handelsünger[Handelsdünger])&gt;0)),ROW()-2),1),"")</f>
        <v>Graukorn</v>
      </c>
      <c r="AP84" t="str">
        <f>IF(($A87=""),"",IF(COUNTIF(Mineral!$AJ$3:$AJ$324,$A87),"",$A87))</f>
        <v/>
      </c>
      <c r="AQ84" t="str">
        <f>IFERROR(INDEX(Liste_Handelsünger[Handelsdünger],_xlfn.AGGREGATE(15,6,(ROW(Liste_Handelsünger[Handelsdünger])-1)/(--(SEARCH(AR$2,Liste_Handelsünger[Handelsdünger])&gt;0)),ROW()-2),1),"")</f>
        <v>Graukorn</v>
      </c>
      <c r="AR84" t="str">
        <f>IF(($A88=""),"",IF(COUNTIF(Mineral!$AJ$3:$AJ$324,$A88),"",$A88))</f>
        <v/>
      </c>
      <c r="AS84" t="str">
        <f>IFERROR(INDEX(Liste_Handelsünger[Handelsdünger],_xlfn.AGGREGATE(15,6,(ROW(Liste_Handelsünger[Handelsdünger])-1)/(--(SEARCH(AT$2,Liste_Handelsünger[Handelsdünger])&gt;0)),ROW()-2),1),"")</f>
        <v>Graukorn</v>
      </c>
      <c r="AT84" t="str">
        <f>IF(($A89=""),"",IF(COUNTIF(Mineral!$AJ$3:$AJ$324,$A89),"",$A89))</f>
        <v/>
      </c>
      <c r="AU84" t="str">
        <f>IFERROR(INDEX(Liste_Handelsünger[Handelsdünger],_xlfn.AGGREGATE(15,6,(ROW(Liste_Handelsünger[Handelsdünger])-1)/(--(SEARCH(AV$2,Liste_Handelsünger[Handelsdünger])&gt;0)),ROW()-2),1),"")</f>
        <v>Graukorn</v>
      </c>
      <c r="AV84" t="str">
        <f>IF(($A90=""),"",IF(COUNTIF(Mineral!$AJ$3:$AJ$324,$A90),"",$A90))</f>
        <v/>
      </c>
      <c r="AW84" t="str">
        <f>IFERROR(INDEX(Liste_Handelsünger[Handelsdünger],_xlfn.AGGREGATE(15,6,(ROW(Liste_Handelsünger[Handelsdünger])-1)/(--(SEARCH(AX$2,Liste_Handelsünger[Handelsdünger])&gt;0)),ROW()-2),1),"")</f>
        <v>Graukorn</v>
      </c>
      <c r="AX84" t="str">
        <f>IF(($A91=""),"",IF(COUNTIF(Mineral!$AJ$3:$AJ$324,$A91),"",$A91))</f>
        <v/>
      </c>
      <c r="AY84" t="str">
        <f>IFERROR(INDEX(Liste_Handelsünger[Handelsdünger],_xlfn.AGGREGATE(15,6,(ROW(Liste_Handelsünger[Handelsdünger])-1)/(--(SEARCH(AZ$2,Liste_Handelsünger[Handelsdünger])&gt;0)),ROW()-2),1),"")</f>
        <v>Graukorn</v>
      </c>
      <c r="AZ84" t="str">
        <f>IF(($A92=""),"",IF(COUNTIF(Mineral!$AJ$3:$AJ$324,$A92),"",$A92))</f>
        <v/>
      </c>
      <c r="BA84" t="str">
        <f>IFERROR(INDEX(Liste_Handelsünger[Handelsdünger],_xlfn.AGGREGATE(15,6,(ROW(Liste_Handelsünger[Handelsdünger])-1)/(--(SEARCH(BB$2,Liste_Handelsünger[Handelsdünger])&gt;0)),ROW()-2),1),"")</f>
        <v>Graukorn</v>
      </c>
      <c r="BB84" t="str">
        <f>IF(($A93=""),"",IF(COUNTIF(Mineral!$AJ$3:$AJ$324,$A93),"",$A93))</f>
        <v/>
      </c>
      <c r="BC84" t="str">
        <f>IFERROR(INDEX(Liste_Handelsünger[Handelsdünger],_xlfn.AGGREGATE(15,6,(ROW(Liste_Handelsünger[Handelsdünger])-1)/(--(SEARCH(BD$2,Liste_Handelsünger[Handelsdünger])&gt;0)),ROW()-2),1),"")</f>
        <v>Graukorn</v>
      </c>
      <c r="BD84" t="str">
        <f>IF(($A94=""),"",IF(COUNTIF(Mineral!$AJ$3:$AJ$324,$A94),"",$A94))</f>
        <v/>
      </c>
      <c r="BE84" t="str">
        <f>IFERROR(INDEX(Liste_Handelsünger[Handelsdünger],_xlfn.AGGREGATE(15,6,(ROW(Liste_Handelsünger[Handelsdünger])-1)/(--(SEARCH(BF$2,Liste_Handelsünger[Handelsdünger])&gt;0)),ROW()-2),1),"")</f>
        <v>Graukorn</v>
      </c>
      <c r="BF84" t="str">
        <f>IF(($A95=""),"",IF(COUNTIF(Mineral!$AJ$3:$AJ$324,$A95),"",$A95))</f>
        <v/>
      </c>
      <c r="BG84" t="str">
        <f>IFERROR(INDEX(Liste_Handelsünger[Handelsdünger],_xlfn.AGGREGATE(15,6,(ROW(Liste_Handelsünger[Handelsdünger])-1)/(--(SEARCH(BH$2,Liste_Handelsünger[Handelsdünger])&gt;0)),ROW()-2),1),"")</f>
        <v>Graukorn</v>
      </c>
      <c r="BH84" t="str">
        <f>IF(($A96=""),"",IF(COUNTIF(Mineral!$AJ$3:$AJ$324,$A96),"",$A96))</f>
        <v/>
      </c>
      <c r="BI84" t="str">
        <f>IFERROR(INDEX(Liste_Handelsünger[Handelsdünger],_xlfn.AGGREGATE(15,6,(ROW(Liste_Handelsünger[Handelsdünger])-1)/(--(SEARCH(BJ$2,Liste_Handelsünger[Handelsdünger])&gt;0)),ROW()-2),1),"")</f>
        <v>Graukorn</v>
      </c>
      <c r="BJ84" t="str">
        <f>IF(($A97=""),"",IF(COUNTIF(Mineral!$AJ$3:$AJ$324,$A97),"",$A97))</f>
        <v/>
      </c>
      <c r="BK84" t="str">
        <f>IFERROR(INDEX(Liste_Handelsünger[Handelsdünger],_xlfn.AGGREGATE(15,6,(ROW(Liste_Handelsünger[Handelsdünger])-1)/(--(SEARCH(BL$2,Liste_Handelsünger[Handelsdünger])&gt;0)),ROW()-2),1),"")</f>
        <v>Graukorn</v>
      </c>
      <c r="BM84" t="str">
        <f>IFERROR(INDEX(Liste_Handelsünger[Handelsdünger],_xlfn.AGGREGATE(15,6,(ROW(Liste_Handelsünger[Handelsdünger])-1)/(--(SEARCH(BN$2,Liste_Handelsünger[Handelsdünger])&gt;0)),ROW()-2),1),"")</f>
        <v>Graukorn</v>
      </c>
      <c r="BN84" t="str">
        <f>IF(($A99=""),"",IF(COUNTIF(Mineral!$AJ$3:$AJ$324,$A99),"",$A99))</f>
        <v/>
      </c>
      <c r="BV84" t="s">
        <v>2152</v>
      </c>
      <c r="BW84" t="s">
        <v>2166</v>
      </c>
    </row>
    <row r="85" spans="18:75" ht="14.25" thickTop="1" thickBot="1">
      <c r="S85" s="1616">
        <v>84</v>
      </c>
      <c r="T85" s="1617" t="s">
        <v>2335</v>
      </c>
      <c r="U85" s="1617" t="s">
        <v>2154</v>
      </c>
      <c r="V85" s="1617"/>
      <c r="W85" s="1617">
        <v>10</v>
      </c>
      <c r="X85" s="1617">
        <v>15</v>
      </c>
      <c r="Y85" s="1617">
        <v>20</v>
      </c>
      <c r="Z85" s="1617">
        <v>3</v>
      </c>
      <c r="AA85" s="1617">
        <v>0</v>
      </c>
      <c r="AB85" s="1617">
        <v>0</v>
      </c>
      <c r="AC85" s="1617">
        <v>1</v>
      </c>
      <c r="AD85" s="1613">
        <v>1</v>
      </c>
      <c r="AE85" s="1617" t="s">
        <v>2016</v>
      </c>
      <c r="AF85" s="1613" t="str">
        <f t="shared" si="15"/>
        <v/>
      </c>
      <c r="AG85" s="1656">
        <f>IFERROR(IF($AF85&gt;0,VLOOKUP($U85,Tabelle1!$C$188:$L$212,5,0)*$AF85,0),0)</f>
        <v>0</v>
      </c>
      <c r="AH85" s="1656">
        <f t="shared" si="16"/>
        <v>0</v>
      </c>
      <c r="AJ85" t="str">
        <f>IF(Betrieb!$D$9="JA",Mineral!$BW85,Mineral!$BV85)</f>
        <v>Grundkorn 10:15:20+3</v>
      </c>
      <c r="AK85" s="1672" t="str">
        <f>IFERROR(INDEX(Liste_Handelsünger[Handelsdünger],_xlfn.AGGREGATE(15,6,(ROW(Liste_Handelsünger[Handelsdünger])-1)/(--(SEARCH(AL$2,Liste_Handelsünger[Handelsdünger])&gt;0)),ROW()-2),1),"")</f>
        <v>Grundkorn 10:15:20+3</v>
      </c>
      <c r="AL85" s="1672" t="str">
        <f>IF(($A$3=""),"",IF(COUNTIF(Mineral!$AJ$3:$AJ$324,$A$3),"",$A$3))</f>
        <v/>
      </c>
      <c r="AM85" s="1672" t="str">
        <f>IFERROR(INDEX(Liste_Handelsünger[Handelsdünger],_xlfn.AGGREGATE(15,6,(ROW(Liste_Handelsünger[Handelsdünger])-1)/(--(SEARCH(AN$2,Liste_Handelsünger[Handelsdünger])&gt;0)),ROW()-2),1),"")</f>
        <v>Grundkorn 10:15:20+3</v>
      </c>
      <c r="AN85" t="str">
        <f>IF(($A87=""),"",IF(COUNTIF(Mineral!$AJ$3:$AJ$324,$A87),"",$A87))</f>
        <v/>
      </c>
      <c r="AO85" t="str">
        <f>IFERROR(INDEX(Liste_Handelsünger[Handelsdünger],_xlfn.AGGREGATE(15,6,(ROW(Liste_Handelsünger[Handelsdünger])-1)/(--(SEARCH(AP$2,Liste_Handelsünger[Handelsdünger])&gt;0)),ROW()-2),1),"")</f>
        <v>Grundkorn 10:15:20+3</v>
      </c>
      <c r="AP85" t="str">
        <f>IF(($A88=""),"",IF(COUNTIF(Mineral!$AJ$3:$AJ$324,$A88),"",$A88))</f>
        <v/>
      </c>
      <c r="AQ85" t="str">
        <f>IFERROR(INDEX(Liste_Handelsünger[Handelsdünger],_xlfn.AGGREGATE(15,6,(ROW(Liste_Handelsünger[Handelsdünger])-1)/(--(SEARCH(AR$2,Liste_Handelsünger[Handelsdünger])&gt;0)),ROW()-2),1),"")</f>
        <v>Grundkorn 10:15:20+3</v>
      </c>
      <c r="AR85" t="str">
        <f>IF(($A89=""),"",IF(COUNTIF(Mineral!$AJ$3:$AJ$324,$A89),"",$A89))</f>
        <v/>
      </c>
      <c r="AS85" t="str">
        <f>IFERROR(INDEX(Liste_Handelsünger[Handelsdünger],_xlfn.AGGREGATE(15,6,(ROW(Liste_Handelsünger[Handelsdünger])-1)/(--(SEARCH(AT$2,Liste_Handelsünger[Handelsdünger])&gt;0)),ROW()-2),1),"")</f>
        <v>Grundkorn 10:15:20+3</v>
      </c>
      <c r="AT85" t="str">
        <f>IF(($A90=""),"",IF(COUNTIF(Mineral!$AJ$3:$AJ$324,$A90),"",$A90))</f>
        <v/>
      </c>
      <c r="AU85" t="str">
        <f>IFERROR(INDEX(Liste_Handelsünger[Handelsdünger],_xlfn.AGGREGATE(15,6,(ROW(Liste_Handelsünger[Handelsdünger])-1)/(--(SEARCH(AV$2,Liste_Handelsünger[Handelsdünger])&gt;0)),ROW()-2),1),"")</f>
        <v>Grundkorn 10:15:20+3</v>
      </c>
      <c r="AV85" t="str">
        <f>IF(($A91=""),"",IF(COUNTIF(Mineral!$AJ$3:$AJ$324,$A91),"",$A91))</f>
        <v/>
      </c>
      <c r="AW85" t="str">
        <f>IFERROR(INDEX(Liste_Handelsünger[Handelsdünger],_xlfn.AGGREGATE(15,6,(ROW(Liste_Handelsünger[Handelsdünger])-1)/(--(SEARCH(AX$2,Liste_Handelsünger[Handelsdünger])&gt;0)),ROW()-2),1),"")</f>
        <v>Grundkorn 10:15:20+3</v>
      </c>
      <c r="AX85" t="str">
        <f>IF(($A92=""),"",IF(COUNTIF(Mineral!$AJ$3:$AJ$324,$A92),"",$A92))</f>
        <v/>
      </c>
      <c r="AY85" t="str">
        <f>IFERROR(INDEX(Liste_Handelsünger[Handelsdünger],_xlfn.AGGREGATE(15,6,(ROW(Liste_Handelsünger[Handelsdünger])-1)/(--(SEARCH(AZ$2,Liste_Handelsünger[Handelsdünger])&gt;0)),ROW()-2),1),"")</f>
        <v>Grundkorn 10:15:20+3</v>
      </c>
      <c r="AZ85" t="str">
        <f>IF(($A93=""),"",IF(COUNTIF(Mineral!$AJ$3:$AJ$324,$A93),"",$A93))</f>
        <v/>
      </c>
      <c r="BA85" t="str">
        <f>IFERROR(INDEX(Liste_Handelsünger[Handelsdünger],_xlfn.AGGREGATE(15,6,(ROW(Liste_Handelsünger[Handelsdünger])-1)/(--(SEARCH(BB$2,Liste_Handelsünger[Handelsdünger])&gt;0)),ROW()-2),1),"")</f>
        <v>Grundkorn 10:15:20+3</v>
      </c>
      <c r="BB85" t="str">
        <f>IF(($A94=""),"",IF(COUNTIF(Mineral!$AJ$3:$AJ$324,$A94),"",$A94))</f>
        <v/>
      </c>
      <c r="BC85" t="str">
        <f>IFERROR(INDEX(Liste_Handelsünger[Handelsdünger],_xlfn.AGGREGATE(15,6,(ROW(Liste_Handelsünger[Handelsdünger])-1)/(--(SEARCH(BD$2,Liste_Handelsünger[Handelsdünger])&gt;0)),ROW()-2),1),"")</f>
        <v>Grundkorn 10:15:20+3</v>
      </c>
      <c r="BD85" t="str">
        <f>IF(($A95=""),"",IF(COUNTIF(Mineral!$AJ$3:$AJ$324,$A95),"",$A95))</f>
        <v/>
      </c>
      <c r="BE85" t="str">
        <f>IFERROR(INDEX(Liste_Handelsünger[Handelsdünger],_xlfn.AGGREGATE(15,6,(ROW(Liste_Handelsünger[Handelsdünger])-1)/(--(SEARCH(BF$2,Liste_Handelsünger[Handelsdünger])&gt;0)),ROW()-2),1),"")</f>
        <v>Grundkorn 10:15:20+3</v>
      </c>
      <c r="BF85" t="str">
        <f>IF(($A96=""),"",IF(COUNTIF(Mineral!$AJ$3:$AJ$324,$A96),"",$A96))</f>
        <v/>
      </c>
      <c r="BG85" t="str">
        <f>IFERROR(INDEX(Liste_Handelsünger[Handelsdünger],_xlfn.AGGREGATE(15,6,(ROW(Liste_Handelsünger[Handelsdünger])-1)/(--(SEARCH(BH$2,Liste_Handelsünger[Handelsdünger])&gt;0)),ROW()-2),1),"")</f>
        <v>Grundkorn 10:15:20+3</v>
      </c>
      <c r="BH85" t="str">
        <f>IF(($A97=""),"",IF(COUNTIF(Mineral!$AJ$3:$AJ$324,$A97),"",$A97))</f>
        <v/>
      </c>
      <c r="BI85" t="str">
        <f>IFERROR(INDEX(Liste_Handelsünger[Handelsdünger],_xlfn.AGGREGATE(15,6,(ROW(Liste_Handelsünger[Handelsdünger])-1)/(--(SEARCH(BJ$2,Liste_Handelsünger[Handelsdünger])&gt;0)),ROW()-2),1),"")</f>
        <v>Grundkorn 10:15:20+3</v>
      </c>
      <c r="BJ85" t="str">
        <f>IF(($A98=""),"",IF(COUNTIF(Mineral!$AJ$3:$AJ$324,$A98),"",$A98))</f>
        <v/>
      </c>
      <c r="BK85" t="str">
        <f>IFERROR(INDEX(Liste_Handelsünger[Handelsdünger],_xlfn.AGGREGATE(15,6,(ROW(Liste_Handelsünger[Handelsdünger])-1)/(--(SEARCH(BL$2,Liste_Handelsünger[Handelsdünger])&gt;0)),ROW()-2),1),"")</f>
        <v>Grundkorn 10:15:20+3</v>
      </c>
      <c r="BM85" t="str">
        <f>IFERROR(INDEX(Liste_Handelsünger[Handelsdünger],_xlfn.AGGREGATE(15,6,(ROW(Liste_Handelsünger[Handelsdünger])-1)/(--(SEARCH(BN$2,Liste_Handelsünger[Handelsdünger])&gt;0)),ROW()-2),1),"")</f>
        <v>Grundkorn 10:15:20+3</v>
      </c>
      <c r="BN85" t="str">
        <f>IF(($A100=""),"",IF(COUNTIF(Mineral!$AJ$3:$AJ$324,$A100),"",$A100))</f>
        <v/>
      </c>
      <c r="BV85" t="s">
        <v>2154</v>
      </c>
      <c r="BW85" t="s">
        <v>2167</v>
      </c>
    </row>
    <row r="86" spans="18:75" ht="14.25" thickTop="1" thickBot="1">
      <c r="S86" s="1676">
        <v>85</v>
      </c>
      <c r="T86" s="1606" t="s">
        <v>2335</v>
      </c>
      <c r="U86" s="1606" t="s">
        <v>2158</v>
      </c>
      <c r="V86" s="1606"/>
      <c r="W86" s="1606">
        <v>46</v>
      </c>
      <c r="X86" s="1606">
        <v>0</v>
      </c>
      <c r="Y86" s="1606">
        <v>0</v>
      </c>
      <c r="Z86" s="1606">
        <v>0</v>
      </c>
      <c r="AA86" s="1606">
        <v>0</v>
      </c>
      <c r="AB86" s="1606">
        <v>0</v>
      </c>
      <c r="AC86" s="1606">
        <v>1</v>
      </c>
      <c r="AD86" s="1613">
        <v>1</v>
      </c>
      <c r="AE86" s="1606" t="s">
        <v>2016</v>
      </c>
      <c r="AF86" s="1613" t="str">
        <f t="shared" si="15"/>
        <v/>
      </c>
      <c r="AG86" s="1656">
        <f>IFERROR(IF($AF86&gt;0,VLOOKUP($U86,Tabelle1!$C$188:$L$212,5,0)*$AF86,0),0)</f>
        <v>0</v>
      </c>
      <c r="AH86" s="1656">
        <f t="shared" si="16"/>
        <v>0</v>
      </c>
      <c r="AJ86" t="str">
        <f>IF(Betrieb!$D$9="JA",Mineral!$BW86,Mineral!$BV86)</f>
        <v>Harnstoff flü.</v>
      </c>
      <c r="AK86" s="1672" t="str">
        <f>IFERROR(INDEX(Liste_Handelsünger[Handelsdünger],_xlfn.AGGREGATE(15,6,(ROW(Liste_Handelsünger[Handelsdünger])-1)/(--(SEARCH(AL$2,Liste_Handelsünger[Handelsdünger])&gt;0)),ROW()-2),1),"")</f>
        <v>Harnstoff flü.</v>
      </c>
      <c r="AL86" s="1672" t="str">
        <f>IF(($A$3=""),"",IF(COUNTIF(Mineral!$AJ$3:$AJ$324,$A$3),"",$A$3))</f>
        <v/>
      </c>
      <c r="AM86" s="1672" t="str">
        <f>IFERROR(INDEX(Liste_Handelsünger[Handelsdünger],_xlfn.AGGREGATE(15,6,(ROW(Liste_Handelsünger[Handelsdünger])-1)/(--(SEARCH(AN$2,Liste_Handelsünger[Handelsdünger])&gt;0)),ROW()-2),1),"")</f>
        <v>Harnstoff flü.</v>
      </c>
      <c r="AN86" t="str">
        <f>IF(($A88=""),"",IF(COUNTIF(Mineral!$AJ$3:$AJ$324,$A88),"",$A88))</f>
        <v/>
      </c>
      <c r="AO86" t="str">
        <f>IFERROR(INDEX(Liste_Handelsünger[Handelsdünger],_xlfn.AGGREGATE(15,6,(ROW(Liste_Handelsünger[Handelsdünger])-1)/(--(SEARCH(AP$2,Liste_Handelsünger[Handelsdünger])&gt;0)),ROW()-2),1),"")</f>
        <v>Harnstoff flü.</v>
      </c>
      <c r="AP86" t="str">
        <f>IF(($A89=""),"",IF(COUNTIF(Mineral!$AJ$3:$AJ$324,$A89),"",$A89))</f>
        <v/>
      </c>
      <c r="AQ86" t="str">
        <f>IFERROR(INDEX(Liste_Handelsünger[Handelsdünger],_xlfn.AGGREGATE(15,6,(ROW(Liste_Handelsünger[Handelsdünger])-1)/(--(SEARCH(AR$2,Liste_Handelsünger[Handelsdünger])&gt;0)),ROW()-2),1),"")</f>
        <v>Harnstoff flü.</v>
      </c>
      <c r="AR86" t="str">
        <f>IF(($A90=""),"",IF(COUNTIF(Mineral!$AJ$3:$AJ$324,$A90),"",$A90))</f>
        <v/>
      </c>
      <c r="AS86" t="str">
        <f>IFERROR(INDEX(Liste_Handelsünger[Handelsdünger],_xlfn.AGGREGATE(15,6,(ROW(Liste_Handelsünger[Handelsdünger])-1)/(--(SEARCH(AT$2,Liste_Handelsünger[Handelsdünger])&gt;0)),ROW()-2),1),"")</f>
        <v>Harnstoff flü.</v>
      </c>
      <c r="AT86" t="str">
        <f>IF(($A91=""),"",IF(COUNTIF(Mineral!$AJ$3:$AJ$324,$A91),"",$A91))</f>
        <v/>
      </c>
      <c r="AU86" t="str">
        <f>IFERROR(INDEX(Liste_Handelsünger[Handelsdünger],_xlfn.AGGREGATE(15,6,(ROW(Liste_Handelsünger[Handelsdünger])-1)/(--(SEARCH(AV$2,Liste_Handelsünger[Handelsdünger])&gt;0)),ROW()-2),1),"")</f>
        <v>Harnstoff flü.</v>
      </c>
      <c r="AV86" t="str">
        <f>IF(($A92=""),"",IF(COUNTIF(Mineral!$AJ$3:$AJ$324,$A92),"",$A92))</f>
        <v/>
      </c>
      <c r="AW86" t="str">
        <f>IFERROR(INDEX(Liste_Handelsünger[Handelsdünger],_xlfn.AGGREGATE(15,6,(ROW(Liste_Handelsünger[Handelsdünger])-1)/(--(SEARCH(AX$2,Liste_Handelsünger[Handelsdünger])&gt;0)),ROW()-2),1),"")</f>
        <v>Harnstoff flü.</v>
      </c>
      <c r="AX86" t="str">
        <f>IF(($A93=""),"",IF(COUNTIF(Mineral!$AJ$3:$AJ$324,$A93),"",$A93))</f>
        <v/>
      </c>
      <c r="AY86" t="str">
        <f>IFERROR(INDEX(Liste_Handelsünger[Handelsdünger],_xlfn.AGGREGATE(15,6,(ROW(Liste_Handelsünger[Handelsdünger])-1)/(--(SEARCH(AZ$2,Liste_Handelsünger[Handelsdünger])&gt;0)),ROW()-2),1),"")</f>
        <v>Harnstoff flü.</v>
      </c>
      <c r="AZ86" t="str">
        <f>IF(($A94=""),"",IF(COUNTIF(Mineral!$AJ$3:$AJ$324,$A94),"",$A94))</f>
        <v/>
      </c>
      <c r="BA86" t="str">
        <f>IFERROR(INDEX(Liste_Handelsünger[Handelsdünger],_xlfn.AGGREGATE(15,6,(ROW(Liste_Handelsünger[Handelsdünger])-1)/(--(SEARCH(BB$2,Liste_Handelsünger[Handelsdünger])&gt;0)),ROW()-2),1),"")</f>
        <v>Harnstoff flü.</v>
      </c>
      <c r="BB86" t="str">
        <f>IF(($A95=""),"",IF(COUNTIF(Mineral!$AJ$3:$AJ$324,$A95),"",$A95))</f>
        <v/>
      </c>
      <c r="BC86" t="str">
        <f>IFERROR(INDEX(Liste_Handelsünger[Handelsdünger],_xlfn.AGGREGATE(15,6,(ROW(Liste_Handelsünger[Handelsdünger])-1)/(--(SEARCH(BD$2,Liste_Handelsünger[Handelsdünger])&gt;0)),ROW()-2),1),"")</f>
        <v>Harnstoff flü.</v>
      </c>
      <c r="BD86" t="str">
        <f>IF(($A96=""),"",IF(COUNTIF(Mineral!$AJ$3:$AJ$324,$A96),"",$A96))</f>
        <v/>
      </c>
      <c r="BE86" t="str">
        <f>IFERROR(INDEX(Liste_Handelsünger[Handelsdünger],_xlfn.AGGREGATE(15,6,(ROW(Liste_Handelsünger[Handelsdünger])-1)/(--(SEARCH(BF$2,Liste_Handelsünger[Handelsdünger])&gt;0)),ROW()-2),1),"")</f>
        <v>Harnstoff flü.</v>
      </c>
      <c r="BF86" t="str">
        <f>IF(($A97=""),"",IF(COUNTIF(Mineral!$AJ$3:$AJ$324,$A97),"",$A97))</f>
        <v/>
      </c>
      <c r="BG86" t="str">
        <f>IFERROR(INDEX(Liste_Handelsünger[Handelsdünger],_xlfn.AGGREGATE(15,6,(ROW(Liste_Handelsünger[Handelsdünger])-1)/(--(SEARCH(BH$2,Liste_Handelsünger[Handelsdünger])&gt;0)),ROW()-2),1),"")</f>
        <v>Harnstoff flü.</v>
      </c>
      <c r="BH86" t="str">
        <f>IF(($A98=""),"",IF(COUNTIF(Mineral!$AJ$3:$AJ$324,$A98),"",$A98))</f>
        <v/>
      </c>
      <c r="BI86" t="str">
        <f>IFERROR(INDEX(Liste_Handelsünger[Handelsdünger],_xlfn.AGGREGATE(15,6,(ROW(Liste_Handelsünger[Handelsdünger])-1)/(--(SEARCH(BJ$2,Liste_Handelsünger[Handelsdünger])&gt;0)),ROW()-2),1),"")</f>
        <v>Harnstoff flü.</v>
      </c>
      <c r="BJ86" t="str">
        <f>IF(($A99=""),"",IF(COUNTIF(Mineral!$AJ$3:$AJ$324,$A99),"",$A99))</f>
        <v/>
      </c>
      <c r="BK86" t="str">
        <f>IFERROR(INDEX(Liste_Handelsünger[Handelsdünger],_xlfn.AGGREGATE(15,6,(ROW(Liste_Handelsünger[Handelsdünger])-1)/(--(SEARCH(BL$2,Liste_Handelsünger[Handelsdünger])&gt;0)),ROW()-2),1),"")</f>
        <v>Harnstoff flü.</v>
      </c>
      <c r="BM86" t="str">
        <f>IFERROR(INDEX(Liste_Handelsünger[Handelsdünger],_xlfn.AGGREGATE(15,6,(ROW(Liste_Handelsünger[Handelsdünger])-1)/(--(SEARCH(BN$2,Liste_Handelsünger[Handelsdünger])&gt;0)),ROW()-2),1),"")</f>
        <v>Harnstoff flü.</v>
      </c>
      <c r="BN86" t="str">
        <f>IF(($A101=""),"",IF(COUNTIF(Mineral!$AJ$3:$AJ$324,$A101),"",$A101))</f>
        <v/>
      </c>
      <c r="BV86" t="s">
        <v>2158</v>
      </c>
      <c r="BW86" t="s">
        <v>2173</v>
      </c>
    </row>
    <row r="87" spans="18:75" ht="14.25" thickTop="1" thickBot="1">
      <c r="S87" s="1616">
        <v>86</v>
      </c>
      <c r="T87" s="1617" t="s">
        <v>2335</v>
      </c>
      <c r="U87" s="1617" t="s">
        <v>2161</v>
      </c>
      <c r="V87" s="1617"/>
      <c r="W87" s="1617">
        <v>0</v>
      </c>
      <c r="X87" s="1617">
        <v>28.999999999999996</v>
      </c>
      <c r="Y87" s="1617">
        <v>0</v>
      </c>
      <c r="Z87" s="1617">
        <v>0</v>
      </c>
      <c r="AA87" s="1617">
        <v>40</v>
      </c>
      <c r="AB87" s="1617">
        <v>0</v>
      </c>
      <c r="AC87" s="1617">
        <v>1</v>
      </c>
      <c r="AD87" s="1613">
        <v>1</v>
      </c>
      <c r="AE87" s="1617" t="s">
        <v>1764</v>
      </c>
      <c r="AF87" s="1613" t="str">
        <f t="shared" si="15"/>
        <v/>
      </c>
      <c r="AG87" s="1656">
        <f>IFERROR(IF($AF87&gt;0,VLOOKUP($U87,Tabelle1!$C$188:$L$212,5,0)*$AF87,0),0)</f>
        <v>0</v>
      </c>
      <c r="AH87" s="1656">
        <f t="shared" si="16"/>
        <v>0</v>
      </c>
      <c r="AJ87" t="str">
        <f>IF(Betrieb!$D$9="JA",Mineral!$BW87,Mineral!$BV87)</f>
        <v>Hyperkorn mehlfein</v>
      </c>
      <c r="AK87" s="1672" t="str">
        <f>IFERROR(INDEX(Liste_Handelsünger[Handelsdünger],_xlfn.AGGREGATE(15,6,(ROW(Liste_Handelsünger[Handelsdünger])-1)/(--(SEARCH(AL$2,Liste_Handelsünger[Handelsdünger])&gt;0)),ROW()-2),1),"")</f>
        <v>Hyperkorn mehlfein</v>
      </c>
      <c r="AL87" s="1672" t="str">
        <f>IF(($A$3=""),"",IF(COUNTIF(Mineral!$AJ$3:$AJ$324,$A$3),"",$A$3))</f>
        <v/>
      </c>
      <c r="AM87" s="1672" t="str">
        <f>IFERROR(INDEX(Liste_Handelsünger[Handelsdünger],_xlfn.AGGREGATE(15,6,(ROW(Liste_Handelsünger[Handelsdünger])-1)/(--(SEARCH(AN$2,Liste_Handelsünger[Handelsdünger])&gt;0)),ROW()-2),1),"")</f>
        <v>Hyperkorn mehlfein</v>
      </c>
      <c r="AN87" t="str">
        <f>IF(($A89=""),"",IF(COUNTIF(Mineral!$AJ$3:$AJ$324,$A89),"",$A89))</f>
        <v/>
      </c>
      <c r="AO87" t="str">
        <f>IFERROR(INDEX(Liste_Handelsünger[Handelsdünger],_xlfn.AGGREGATE(15,6,(ROW(Liste_Handelsünger[Handelsdünger])-1)/(--(SEARCH(AP$2,Liste_Handelsünger[Handelsdünger])&gt;0)),ROW()-2),1),"")</f>
        <v>Hyperkorn mehlfein</v>
      </c>
      <c r="AP87" t="str">
        <f>IF(($A90=""),"",IF(COUNTIF(Mineral!$AJ$3:$AJ$324,$A90),"",$A90))</f>
        <v/>
      </c>
      <c r="AQ87" t="str">
        <f>IFERROR(INDEX(Liste_Handelsünger[Handelsdünger],_xlfn.AGGREGATE(15,6,(ROW(Liste_Handelsünger[Handelsdünger])-1)/(--(SEARCH(AR$2,Liste_Handelsünger[Handelsdünger])&gt;0)),ROW()-2),1),"")</f>
        <v>Hyperkorn mehlfein</v>
      </c>
      <c r="AR87" t="str">
        <f>IF(($A91=""),"",IF(COUNTIF(Mineral!$AJ$3:$AJ$324,$A91),"",$A91))</f>
        <v/>
      </c>
      <c r="AS87" t="str">
        <f>IFERROR(INDEX(Liste_Handelsünger[Handelsdünger],_xlfn.AGGREGATE(15,6,(ROW(Liste_Handelsünger[Handelsdünger])-1)/(--(SEARCH(AT$2,Liste_Handelsünger[Handelsdünger])&gt;0)),ROW()-2),1),"")</f>
        <v>Hyperkorn mehlfein</v>
      </c>
      <c r="AT87" t="str">
        <f>IF(($A92=""),"",IF(COUNTIF(Mineral!$AJ$3:$AJ$324,$A92),"",$A92))</f>
        <v/>
      </c>
      <c r="AU87" t="str">
        <f>IFERROR(INDEX(Liste_Handelsünger[Handelsdünger],_xlfn.AGGREGATE(15,6,(ROW(Liste_Handelsünger[Handelsdünger])-1)/(--(SEARCH(AV$2,Liste_Handelsünger[Handelsdünger])&gt;0)),ROW()-2),1),"")</f>
        <v>Hyperkorn mehlfein</v>
      </c>
      <c r="AV87" t="str">
        <f>IF(($A93=""),"",IF(COUNTIF(Mineral!$AJ$3:$AJ$324,$A93),"",$A93))</f>
        <v/>
      </c>
      <c r="AW87" t="str">
        <f>IFERROR(INDEX(Liste_Handelsünger[Handelsdünger],_xlfn.AGGREGATE(15,6,(ROW(Liste_Handelsünger[Handelsdünger])-1)/(--(SEARCH(AX$2,Liste_Handelsünger[Handelsdünger])&gt;0)),ROW()-2),1),"")</f>
        <v>Hyperkorn mehlfein</v>
      </c>
      <c r="AX87" t="str">
        <f>IF(($A94=""),"",IF(COUNTIF(Mineral!$AJ$3:$AJ$324,$A94),"",$A94))</f>
        <v/>
      </c>
      <c r="AY87" t="str">
        <f>IFERROR(INDEX(Liste_Handelsünger[Handelsdünger],_xlfn.AGGREGATE(15,6,(ROW(Liste_Handelsünger[Handelsdünger])-1)/(--(SEARCH(AZ$2,Liste_Handelsünger[Handelsdünger])&gt;0)),ROW()-2),1),"")</f>
        <v>Hyperkorn mehlfein</v>
      </c>
      <c r="AZ87" t="str">
        <f>IF(($A95=""),"",IF(COUNTIF(Mineral!$AJ$3:$AJ$324,$A95),"",$A95))</f>
        <v/>
      </c>
      <c r="BA87" t="str">
        <f>IFERROR(INDEX(Liste_Handelsünger[Handelsdünger],_xlfn.AGGREGATE(15,6,(ROW(Liste_Handelsünger[Handelsdünger])-1)/(--(SEARCH(BB$2,Liste_Handelsünger[Handelsdünger])&gt;0)),ROW()-2),1),"")</f>
        <v>Hyperkorn mehlfein</v>
      </c>
      <c r="BB87" t="str">
        <f>IF(($A96=""),"",IF(COUNTIF(Mineral!$AJ$3:$AJ$324,$A96),"",$A96))</f>
        <v/>
      </c>
      <c r="BC87" t="str">
        <f>IFERROR(INDEX(Liste_Handelsünger[Handelsdünger],_xlfn.AGGREGATE(15,6,(ROW(Liste_Handelsünger[Handelsdünger])-1)/(--(SEARCH(BD$2,Liste_Handelsünger[Handelsdünger])&gt;0)),ROW()-2),1),"")</f>
        <v>Hyperkorn mehlfein</v>
      </c>
      <c r="BD87" t="str">
        <f>IF(($A97=""),"",IF(COUNTIF(Mineral!$AJ$3:$AJ$324,$A97),"",$A97))</f>
        <v/>
      </c>
      <c r="BE87" t="str">
        <f>IFERROR(INDEX(Liste_Handelsünger[Handelsdünger],_xlfn.AGGREGATE(15,6,(ROW(Liste_Handelsünger[Handelsdünger])-1)/(--(SEARCH(BF$2,Liste_Handelsünger[Handelsdünger])&gt;0)),ROW()-2),1),"")</f>
        <v>Hyperkorn mehlfein</v>
      </c>
      <c r="BF87" t="str">
        <f>IF(($A98=""),"",IF(COUNTIF(Mineral!$AJ$3:$AJ$324,$A98),"",$A98))</f>
        <v/>
      </c>
      <c r="BG87" t="str">
        <f>IFERROR(INDEX(Liste_Handelsünger[Handelsdünger],_xlfn.AGGREGATE(15,6,(ROW(Liste_Handelsünger[Handelsdünger])-1)/(--(SEARCH(BH$2,Liste_Handelsünger[Handelsdünger])&gt;0)),ROW()-2),1),"")</f>
        <v>Hyperkorn mehlfein</v>
      </c>
      <c r="BH87" t="str">
        <f>IF(($A99=""),"",IF(COUNTIF(Mineral!$AJ$3:$AJ$324,$A99),"",$A99))</f>
        <v/>
      </c>
      <c r="BI87" t="str">
        <f>IFERROR(INDEX(Liste_Handelsünger[Handelsdünger],_xlfn.AGGREGATE(15,6,(ROW(Liste_Handelsünger[Handelsdünger])-1)/(--(SEARCH(BJ$2,Liste_Handelsünger[Handelsdünger])&gt;0)),ROW()-2),1),"")</f>
        <v>Hyperkorn mehlfein</v>
      </c>
      <c r="BJ87" t="str">
        <f>IF(($A100=""),"",IF(COUNTIF(Mineral!$AJ$3:$AJ$324,$A100),"",$A100))</f>
        <v/>
      </c>
      <c r="BK87" t="str">
        <f>IFERROR(INDEX(Liste_Handelsünger[Handelsdünger],_xlfn.AGGREGATE(15,6,(ROW(Liste_Handelsünger[Handelsdünger])-1)/(--(SEARCH(BL$2,Liste_Handelsünger[Handelsdünger])&gt;0)),ROW()-2),1),"")</f>
        <v>Hyperkorn mehlfein</v>
      </c>
      <c r="BM87" t="str">
        <f>IFERROR(INDEX(Liste_Handelsünger[Handelsdünger],_xlfn.AGGREGATE(15,6,(ROW(Liste_Handelsünger[Handelsdünger])-1)/(--(SEARCH(BN$2,Liste_Handelsünger[Handelsdünger])&gt;0)),ROW()-2),1),"")</f>
        <v>Hyperkorn mehlfein</v>
      </c>
      <c r="BN87" t="str">
        <f>IF(($A102=""),"",IF(COUNTIF(Mineral!$AJ$3:$AJ$324,$A102),"",$A102))</f>
        <v/>
      </c>
      <c r="BV87" t="s">
        <v>2161</v>
      </c>
      <c r="BW87" t="s">
        <v>2177</v>
      </c>
    </row>
    <row r="88" spans="18:75" ht="14.25" thickTop="1" thickBot="1">
      <c r="R88" t="str">
        <f t="array" ref="R88">IF(ROW(A59)&gt;COUNTA(A:A),"",INDEX(A:A,SMALL(IF(A$3:A$27&lt;&gt;"",ROW($3:$27)),ROW(A59))))</f>
        <v/>
      </c>
      <c r="S88" s="1676">
        <v>87</v>
      </c>
      <c r="T88" s="1606" t="s">
        <v>2335</v>
      </c>
      <c r="U88" s="1606" t="s">
        <v>2171</v>
      </c>
      <c r="V88" s="1606"/>
      <c r="W88" s="1606">
        <v>0</v>
      </c>
      <c r="X88" s="1606">
        <v>5</v>
      </c>
      <c r="Y88" s="1606">
        <v>55.000000000000007</v>
      </c>
      <c r="Z88" s="1606">
        <v>0</v>
      </c>
      <c r="AA88" s="1606">
        <v>0</v>
      </c>
      <c r="AB88" s="1606">
        <v>0</v>
      </c>
      <c r="AC88" s="1606">
        <v>1</v>
      </c>
      <c r="AD88" s="1613">
        <v>1</v>
      </c>
      <c r="AE88" s="1606" t="s">
        <v>1764</v>
      </c>
      <c r="AF88" s="1613" t="str">
        <f t="shared" si="15"/>
        <v/>
      </c>
      <c r="AG88" s="1656">
        <f>IFERROR(IF($AF88&gt;0,VLOOKUP($U88,Tabelle1!$C$188:$L$212,5,0)*$AF88,0),0)</f>
        <v>0</v>
      </c>
      <c r="AH88" s="1656">
        <f t="shared" si="16"/>
        <v>0</v>
      </c>
      <c r="AJ88" t="str">
        <f>IF(Betrieb!$D$9="JA",Mineral!$BW88,Mineral!$BV88)</f>
        <v>Kali PK 5:55</v>
      </c>
      <c r="AK88" s="1672" t="str">
        <f>IFERROR(INDEX(Liste_Handelsünger[Handelsdünger],_xlfn.AGGREGATE(15,6,(ROW(Liste_Handelsünger[Handelsdünger])-1)/(--(SEARCH(AL$2,Liste_Handelsünger[Handelsdünger])&gt;0)),ROW()-2),1),"")</f>
        <v>Kali PK 5:55</v>
      </c>
      <c r="AL88" s="1672" t="str">
        <f>IF(($A$3=""),"",IF(COUNTIF(Mineral!$AJ$3:$AJ$324,$A$3),"",$A$3))</f>
        <v/>
      </c>
      <c r="AM88" s="1672" t="str">
        <f>IFERROR(INDEX(Liste_Handelsünger[Handelsdünger],_xlfn.AGGREGATE(15,6,(ROW(Liste_Handelsünger[Handelsdünger])-1)/(--(SEARCH(AN$2,Liste_Handelsünger[Handelsdünger])&gt;0)),ROW()-2),1),"")</f>
        <v>Kali PK 5:55</v>
      </c>
      <c r="AN88" t="str">
        <f>IF(($A90=""),"",IF(COUNTIF(Mineral!$AJ$3:$AJ$324,$A90),"",$A90))</f>
        <v/>
      </c>
      <c r="AO88" t="str">
        <f>IFERROR(INDEX(Liste_Handelsünger[Handelsdünger],_xlfn.AGGREGATE(15,6,(ROW(Liste_Handelsünger[Handelsdünger])-1)/(--(SEARCH(AP$2,Liste_Handelsünger[Handelsdünger])&gt;0)),ROW()-2),1),"")</f>
        <v>Kali PK 5:55</v>
      </c>
      <c r="AP88" t="str">
        <f>IF(($A91=""),"",IF(COUNTIF(Mineral!$AJ$3:$AJ$324,$A91),"",$A91))</f>
        <v/>
      </c>
      <c r="AQ88" t="str">
        <f>IFERROR(INDEX(Liste_Handelsünger[Handelsdünger],_xlfn.AGGREGATE(15,6,(ROW(Liste_Handelsünger[Handelsdünger])-1)/(--(SEARCH(AR$2,Liste_Handelsünger[Handelsdünger])&gt;0)),ROW()-2),1),"")</f>
        <v>Kali PK 5:55</v>
      </c>
      <c r="AR88" t="str">
        <f>IF(($A92=""),"",IF(COUNTIF(Mineral!$AJ$3:$AJ$324,$A92),"",$A92))</f>
        <v/>
      </c>
      <c r="AS88" t="str">
        <f>IFERROR(INDEX(Liste_Handelsünger[Handelsdünger],_xlfn.AGGREGATE(15,6,(ROW(Liste_Handelsünger[Handelsdünger])-1)/(--(SEARCH(AT$2,Liste_Handelsünger[Handelsdünger])&gt;0)),ROW()-2),1),"")</f>
        <v>Kali PK 5:55</v>
      </c>
      <c r="AT88" t="str">
        <f>IF(($A93=""),"",IF(COUNTIF(Mineral!$AJ$3:$AJ$324,$A93),"",$A93))</f>
        <v/>
      </c>
      <c r="AU88" t="str">
        <f>IFERROR(INDEX(Liste_Handelsünger[Handelsdünger],_xlfn.AGGREGATE(15,6,(ROW(Liste_Handelsünger[Handelsdünger])-1)/(--(SEARCH(AV$2,Liste_Handelsünger[Handelsdünger])&gt;0)),ROW()-2),1),"")</f>
        <v>Kali PK 5:55</v>
      </c>
      <c r="AV88" t="str">
        <f>IF(($A94=""),"",IF(COUNTIF(Mineral!$AJ$3:$AJ$324,$A94),"",$A94))</f>
        <v/>
      </c>
      <c r="AW88" t="str">
        <f>IFERROR(INDEX(Liste_Handelsünger[Handelsdünger],_xlfn.AGGREGATE(15,6,(ROW(Liste_Handelsünger[Handelsdünger])-1)/(--(SEARCH(AX$2,Liste_Handelsünger[Handelsdünger])&gt;0)),ROW()-2),1),"")</f>
        <v>Kali PK 5:55</v>
      </c>
      <c r="AX88" t="str">
        <f>IF(($A95=""),"",IF(COUNTIF(Mineral!$AJ$3:$AJ$324,$A95),"",$A95))</f>
        <v/>
      </c>
      <c r="AY88" t="str">
        <f>IFERROR(INDEX(Liste_Handelsünger[Handelsdünger],_xlfn.AGGREGATE(15,6,(ROW(Liste_Handelsünger[Handelsdünger])-1)/(--(SEARCH(AZ$2,Liste_Handelsünger[Handelsdünger])&gt;0)),ROW()-2),1),"")</f>
        <v>Kali PK 5:55</v>
      </c>
      <c r="AZ88" t="str">
        <f>IF(($A96=""),"",IF(COUNTIF(Mineral!$AJ$3:$AJ$324,$A96),"",$A96))</f>
        <v/>
      </c>
      <c r="BA88" t="str">
        <f>IFERROR(INDEX(Liste_Handelsünger[Handelsdünger],_xlfn.AGGREGATE(15,6,(ROW(Liste_Handelsünger[Handelsdünger])-1)/(--(SEARCH(BB$2,Liste_Handelsünger[Handelsdünger])&gt;0)),ROW()-2),1),"")</f>
        <v>Kali PK 5:55</v>
      </c>
      <c r="BB88" t="str">
        <f>IF(($A97=""),"",IF(COUNTIF(Mineral!$AJ$3:$AJ$324,$A97),"",$A97))</f>
        <v/>
      </c>
      <c r="BC88" t="str">
        <f>IFERROR(INDEX(Liste_Handelsünger[Handelsdünger],_xlfn.AGGREGATE(15,6,(ROW(Liste_Handelsünger[Handelsdünger])-1)/(--(SEARCH(BD$2,Liste_Handelsünger[Handelsdünger])&gt;0)),ROW()-2),1),"")</f>
        <v>Kali PK 5:55</v>
      </c>
      <c r="BD88" t="str">
        <f>IF(($A98=""),"",IF(COUNTIF(Mineral!$AJ$3:$AJ$324,$A98),"",$A98))</f>
        <v/>
      </c>
      <c r="BE88" t="str">
        <f>IFERROR(INDEX(Liste_Handelsünger[Handelsdünger],_xlfn.AGGREGATE(15,6,(ROW(Liste_Handelsünger[Handelsdünger])-1)/(--(SEARCH(BF$2,Liste_Handelsünger[Handelsdünger])&gt;0)),ROW()-2),1),"")</f>
        <v>Kali PK 5:55</v>
      </c>
      <c r="BF88" t="str">
        <f>IF(($A99=""),"",IF(COUNTIF(Mineral!$AJ$3:$AJ$324,$A99),"",$A99))</f>
        <v/>
      </c>
      <c r="BG88" t="str">
        <f>IFERROR(INDEX(Liste_Handelsünger[Handelsdünger],_xlfn.AGGREGATE(15,6,(ROW(Liste_Handelsünger[Handelsdünger])-1)/(--(SEARCH(BH$2,Liste_Handelsünger[Handelsdünger])&gt;0)),ROW()-2),1),"")</f>
        <v>Kali PK 5:55</v>
      </c>
      <c r="BH88" t="str">
        <f>IF(($A100=""),"",IF(COUNTIF(Mineral!$AJ$3:$AJ$324,$A100),"",$A100))</f>
        <v/>
      </c>
      <c r="BI88" t="str">
        <f>IFERROR(INDEX(Liste_Handelsünger[Handelsdünger],_xlfn.AGGREGATE(15,6,(ROW(Liste_Handelsünger[Handelsdünger])-1)/(--(SEARCH(BJ$2,Liste_Handelsünger[Handelsdünger])&gt;0)),ROW()-2),1),"")</f>
        <v>Kali PK 5:55</v>
      </c>
      <c r="BJ88" t="str">
        <f>IF(($A101=""),"",IF(COUNTIF(Mineral!$AJ$3:$AJ$324,$A101),"",$A101))</f>
        <v/>
      </c>
      <c r="BK88" t="str">
        <f>IFERROR(INDEX(Liste_Handelsünger[Handelsdünger],_xlfn.AGGREGATE(15,6,(ROW(Liste_Handelsünger[Handelsdünger])-1)/(--(SEARCH(BL$2,Liste_Handelsünger[Handelsdünger])&gt;0)),ROW()-2),1),"")</f>
        <v>Kali PK 5:55</v>
      </c>
      <c r="BM88" t="str">
        <f>IFERROR(INDEX(Liste_Handelsünger[Handelsdünger],_xlfn.AGGREGATE(15,6,(ROW(Liste_Handelsünger[Handelsdünger])-1)/(--(SEARCH(BN$2,Liste_Handelsünger[Handelsdünger])&gt;0)),ROW()-2),1),"")</f>
        <v>Kali PK 5:55</v>
      </c>
      <c r="BN88" t="str">
        <f>IF(($A103=""),"",IF(COUNTIF(Mineral!$AJ$3:$AJ$324,$A103),"",$A103))</f>
        <v/>
      </c>
      <c r="BV88" t="s">
        <v>2171</v>
      </c>
      <c r="BW88" t="s">
        <v>2178</v>
      </c>
    </row>
    <row r="89" spans="18:75" ht="14.25" thickTop="1" thickBot="1">
      <c r="R89" t="str">
        <f t="array" ref="R89">IF(ROW(A60)&gt;COUNTA(A:A),"",INDEX(A:A,SMALL(IF(A$3:A$27&lt;&gt;"",ROW($3:$27)),ROW(A60))))</f>
        <v/>
      </c>
      <c r="S89" s="1616">
        <v>88</v>
      </c>
      <c r="T89" s="1617" t="s">
        <v>2335</v>
      </c>
      <c r="U89" s="1617" t="s">
        <v>2172</v>
      </c>
      <c r="V89" s="1617"/>
      <c r="W89" s="1617">
        <v>13</v>
      </c>
      <c r="X89" s="1617">
        <v>0</v>
      </c>
      <c r="Y89" s="1617">
        <v>46</v>
      </c>
      <c r="Z89" s="1617">
        <v>0</v>
      </c>
      <c r="AA89" s="1617">
        <v>0</v>
      </c>
      <c r="AB89" s="1617">
        <v>0</v>
      </c>
      <c r="AC89" s="1617">
        <v>1</v>
      </c>
      <c r="AD89" s="1613">
        <v>1</v>
      </c>
      <c r="AE89" s="1617" t="s">
        <v>2016</v>
      </c>
      <c r="AF89" s="1613" t="str">
        <f t="shared" si="15"/>
        <v/>
      </c>
      <c r="AG89" s="1656">
        <f>IFERROR(IF($AF89&gt;0,VLOOKUP($U89,Tabelle1!$C$188:$L$212,5,0)*$AF89,0),0)</f>
        <v>0</v>
      </c>
      <c r="AH89" s="1656">
        <f t="shared" si="16"/>
        <v>0</v>
      </c>
      <c r="AJ89" t="str">
        <f>IF(Betrieb!$D$9="JA",Mineral!$BW89,Mineral!$BV89)</f>
        <v>Kalinitrat</v>
      </c>
      <c r="AK89" s="1672" t="str">
        <f>IFERROR(INDEX(Liste_Handelsünger[Handelsdünger],_xlfn.AGGREGATE(15,6,(ROW(Liste_Handelsünger[Handelsdünger])-1)/(--(SEARCH(AL$2,Liste_Handelsünger[Handelsdünger])&gt;0)),ROW()-2),1),"")</f>
        <v>Kalinitrat</v>
      </c>
      <c r="AL89" s="1672" t="str">
        <f>IF(($A$3=""),"",IF(COUNTIF(Mineral!$AJ$3:$AJ$324,$A$3),"",$A$3))</f>
        <v/>
      </c>
      <c r="AM89" s="1672" t="str">
        <f>IFERROR(INDEX(Liste_Handelsünger[Handelsdünger],_xlfn.AGGREGATE(15,6,(ROW(Liste_Handelsünger[Handelsdünger])-1)/(--(SEARCH(AN$2,Liste_Handelsünger[Handelsdünger])&gt;0)),ROW()-2),1),"")</f>
        <v>Kalinitrat</v>
      </c>
      <c r="AN89" t="str">
        <f>IF(($A91=""),"",IF(COUNTIF(Mineral!$AJ$3:$AJ$324,$A91),"",$A91))</f>
        <v/>
      </c>
      <c r="AO89" t="str">
        <f>IFERROR(INDEX(Liste_Handelsünger[Handelsdünger],_xlfn.AGGREGATE(15,6,(ROW(Liste_Handelsünger[Handelsdünger])-1)/(--(SEARCH(AP$2,Liste_Handelsünger[Handelsdünger])&gt;0)),ROW()-2),1),"")</f>
        <v>Kalinitrat</v>
      </c>
      <c r="AP89" t="str">
        <f>IF(($A92=""),"",IF(COUNTIF(Mineral!$AJ$3:$AJ$324,$A92),"",$A92))</f>
        <v/>
      </c>
      <c r="AQ89" t="str">
        <f>IFERROR(INDEX(Liste_Handelsünger[Handelsdünger],_xlfn.AGGREGATE(15,6,(ROW(Liste_Handelsünger[Handelsdünger])-1)/(--(SEARCH(AR$2,Liste_Handelsünger[Handelsdünger])&gt;0)),ROW()-2),1),"")</f>
        <v>Kalinitrat</v>
      </c>
      <c r="AR89" t="str">
        <f>IF(($A93=""),"",IF(COUNTIF(Mineral!$AJ$3:$AJ$324,$A93),"",$A93))</f>
        <v/>
      </c>
      <c r="AS89" t="str">
        <f>IFERROR(INDEX(Liste_Handelsünger[Handelsdünger],_xlfn.AGGREGATE(15,6,(ROW(Liste_Handelsünger[Handelsdünger])-1)/(--(SEARCH(AT$2,Liste_Handelsünger[Handelsdünger])&gt;0)),ROW()-2),1),"")</f>
        <v>Kalinitrat</v>
      </c>
      <c r="AT89" t="str">
        <f>IF(($A94=""),"",IF(COUNTIF(Mineral!$AJ$3:$AJ$324,$A94),"",$A94))</f>
        <v/>
      </c>
      <c r="AU89" t="str">
        <f>IFERROR(INDEX(Liste_Handelsünger[Handelsdünger],_xlfn.AGGREGATE(15,6,(ROW(Liste_Handelsünger[Handelsdünger])-1)/(--(SEARCH(AV$2,Liste_Handelsünger[Handelsdünger])&gt;0)),ROW()-2),1),"")</f>
        <v>Kalinitrat</v>
      </c>
      <c r="AV89" t="str">
        <f>IF(($A95=""),"",IF(COUNTIF(Mineral!$AJ$3:$AJ$324,$A95),"",$A95))</f>
        <v/>
      </c>
      <c r="AW89" t="str">
        <f>IFERROR(INDEX(Liste_Handelsünger[Handelsdünger],_xlfn.AGGREGATE(15,6,(ROW(Liste_Handelsünger[Handelsdünger])-1)/(--(SEARCH(AX$2,Liste_Handelsünger[Handelsdünger])&gt;0)),ROW()-2),1),"")</f>
        <v>Kalinitrat</v>
      </c>
      <c r="AX89" t="str">
        <f>IF(($A96=""),"",IF(COUNTIF(Mineral!$AJ$3:$AJ$324,$A96),"",$A96))</f>
        <v/>
      </c>
      <c r="AY89" t="str">
        <f>IFERROR(INDEX(Liste_Handelsünger[Handelsdünger],_xlfn.AGGREGATE(15,6,(ROW(Liste_Handelsünger[Handelsdünger])-1)/(--(SEARCH(AZ$2,Liste_Handelsünger[Handelsdünger])&gt;0)),ROW()-2),1),"")</f>
        <v>Kalinitrat</v>
      </c>
      <c r="AZ89" t="str">
        <f>IF(($A97=""),"",IF(COUNTIF(Mineral!$AJ$3:$AJ$324,$A97),"",$A97))</f>
        <v/>
      </c>
      <c r="BA89" t="str">
        <f>IFERROR(INDEX(Liste_Handelsünger[Handelsdünger],_xlfn.AGGREGATE(15,6,(ROW(Liste_Handelsünger[Handelsdünger])-1)/(--(SEARCH(BB$2,Liste_Handelsünger[Handelsdünger])&gt;0)),ROW()-2),1),"")</f>
        <v>Kalinitrat</v>
      </c>
      <c r="BB89" t="str">
        <f>IF(($A98=""),"",IF(COUNTIF(Mineral!$AJ$3:$AJ$324,$A98),"",$A98))</f>
        <v/>
      </c>
      <c r="BC89" t="str">
        <f>IFERROR(INDEX(Liste_Handelsünger[Handelsdünger],_xlfn.AGGREGATE(15,6,(ROW(Liste_Handelsünger[Handelsdünger])-1)/(--(SEARCH(BD$2,Liste_Handelsünger[Handelsdünger])&gt;0)),ROW()-2),1),"")</f>
        <v>Kalinitrat</v>
      </c>
      <c r="BD89" t="str">
        <f>IF(($A99=""),"",IF(COUNTIF(Mineral!$AJ$3:$AJ$324,$A99),"",$A99))</f>
        <v/>
      </c>
      <c r="BE89" t="str">
        <f>IFERROR(INDEX(Liste_Handelsünger[Handelsdünger],_xlfn.AGGREGATE(15,6,(ROW(Liste_Handelsünger[Handelsdünger])-1)/(--(SEARCH(BF$2,Liste_Handelsünger[Handelsdünger])&gt;0)),ROW()-2),1),"")</f>
        <v>Kalinitrat</v>
      </c>
      <c r="BF89" t="str">
        <f>IF(($A100=""),"",IF(COUNTIF(Mineral!$AJ$3:$AJ$324,$A100),"",$A100))</f>
        <v/>
      </c>
      <c r="BG89" t="str">
        <f>IFERROR(INDEX(Liste_Handelsünger[Handelsdünger],_xlfn.AGGREGATE(15,6,(ROW(Liste_Handelsünger[Handelsdünger])-1)/(--(SEARCH(BH$2,Liste_Handelsünger[Handelsdünger])&gt;0)),ROW()-2),1),"")</f>
        <v>Kalinitrat</v>
      </c>
      <c r="BH89" t="str">
        <f>IF(($A101=""),"",IF(COUNTIF(Mineral!$AJ$3:$AJ$324,$A101),"",$A101))</f>
        <v/>
      </c>
      <c r="BI89" t="str">
        <f>IFERROR(INDEX(Liste_Handelsünger[Handelsdünger],_xlfn.AGGREGATE(15,6,(ROW(Liste_Handelsünger[Handelsdünger])-1)/(--(SEARCH(BJ$2,Liste_Handelsünger[Handelsdünger])&gt;0)),ROW()-2),1),"")</f>
        <v>Kalinitrat</v>
      </c>
      <c r="BJ89" t="str">
        <f>IF(($A102=""),"",IF(COUNTIF(Mineral!$AJ$3:$AJ$324,$A102),"",$A102))</f>
        <v/>
      </c>
      <c r="BK89" t="str">
        <f>IFERROR(INDEX(Liste_Handelsünger[Handelsdünger],_xlfn.AGGREGATE(15,6,(ROW(Liste_Handelsünger[Handelsdünger])-1)/(--(SEARCH(BL$2,Liste_Handelsünger[Handelsdünger])&gt;0)),ROW()-2),1),"")</f>
        <v>Kalinitrat</v>
      </c>
      <c r="BM89" t="str">
        <f>IFERROR(INDEX(Liste_Handelsünger[Handelsdünger],_xlfn.AGGREGATE(15,6,(ROW(Liste_Handelsünger[Handelsdünger])-1)/(--(SEARCH(BN$2,Liste_Handelsünger[Handelsdünger])&gt;0)),ROW()-2),1),"")</f>
        <v>Kalinitrat</v>
      </c>
      <c r="BN89" t="str">
        <f>IF(($A104=""),"",IF(COUNTIF(Mineral!$AJ$3:$AJ$324,$A104),"",$A104))</f>
        <v/>
      </c>
      <c r="BV89" t="s">
        <v>2172</v>
      </c>
      <c r="BW89" t="s">
        <v>2179</v>
      </c>
    </row>
    <row r="90" spans="18:75" ht="14.25" thickTop="1" thickBot="1">
      <c r="R90" t="str">
        <f t="array" ref="R90">IF(ROW(A61)&gt;COUNTA(A:A),"",INDEX(A:A,SMALL(IF(A$3:A$27&lt;&gt;"",ROW($3:$27)),ROW(A61))))</f>
        <v/>
      </c>
      <c r="S90" s="1676">
        <v>89</v>
      </c>
      <c r="T90" s="1606" t="s">
        <v>2335</v>
      </c>
      <c r="U90" s="1606" t="s">
        <v>2174</v>
      </c>
      <c r="V90" s="1606"/>
      <c r="W90" s="1606">
        <v>15.5</v>
      </c>
      <c r="X90" s="1606">
        <v>0</v>
      </c>
      <c r="Y90" s="1606">
        <v>0</v>
      </c>
      <c r="Z90" s="1606">
        <v>0</v>
      </c>
      <c r="AA90" s="1606">
        <v>26.6</v>
      </c>
      <c r="AB90" s="1606">
        <v>0</v>
      </c>
      <c r="AC90" s="1606">
        <v>1</v>
      </c>
      <c r="AD90" s="1613">
        <v>1</v>
      </c>
      <c r="AE90" s="1606" t="s">
        <v>2016</v>
      </c>
      <c r="AF90" s="1613" t="str">
        <f t="shared" si="15"/>
        <v/>
      </c>
      <c r="AG90" s="1656">
        <f>IFERROR(IF($AF90&gt;0,VLOOKUP($U90,Tabelle1!$C$188:$L$212,5,0)*$AF90,0),0)</f>
        <v>0</v>
      </c>
      <c r="AH90" s="1656">
        <f t="shared" si="16"/>
        <v>0</v>
      </c>
      <c r="AJ90" t="str">
        <f>IF(Betrieb!$D$9="JA",Mineral!$BW90,Mineral!$BV90)</f>
        <v>Kalksalpeter (CalciNit)</v>
      </c>
      <c r="AK90" s="1672" t="str">
        <f>IFERROR(INDEX(Liste_Handelsünger[Handelsdünger],_xlfn.AGGREGATE(15,6,(ROW(Liste_Handelsünger[Handelsdünger])-1)/(--(SEARCH(AL$2,Liste_Handelsünger[Handelsdünger])&gt;0)),ROW()-2),1),"")</f>
        <v>Kalksalpeter (CalciNit)</v>
      </c>
      <c r="AL90" s="1672" t="str">
        <f>IF(($A$3=""),"",IF(COUNTIF(Mineral!$AJ$3:$AJ$324,$A$3),"",$A$3))</f>
        <v/>
      </c>
      <c r="AM90" s="1672" t="str">
        <f>IFERROR(INDEX(Liste_Handelsünger[Handelsdünger],_xlfn.AGGREGATE(15,6,(ROW(Liste_Handelsünger[Handelsdünger])-1)/(--(SEARCH(AN$2,Liste_Handelsünger[Handelsdünger])&gt;0)),ROW()-2),1),"")</f>
        <v>Kalksalpeter (CalciNit)</v>
      </c>
      <c r="AN90" t="str">
        <f>IF(($A92=""),"",IF(COUNTIF(Mineral!$AJ$3:$AJ$324,$A92),"",$A92))</f>
        <v/>
      </c>
      <c r="AO90" t="str">
        <f>IFERROR(INDEX(Liste_Handelsünger[Handelsdünger],_xlfn.AGGREGATE(15,6,(ROW(Liste_Handelsünger[Handelsdünger])-1)/(--(SEARCH(AP$2,Liste_Handelsünger[Handelsdünger])&gt;0)),ROW()-2),1),"")</f>
        <v>Kalksalpeter (CalciNit)</v>
      </c>
      <c r="AP90" t="str">
        <f>IF(($A93=""),"",IF(COUNTIF(Mineral!$AJ$3:$AJ$324,$A93),"",$A93))</f>
        <v/>
      </c>
      <c r="AQ90" t="str">
        <f>IFERROR(INDEX(Liste_Handelsünger[Handelsdünger],_xlfn.AGGREGATE(15,6,(ROW(Liste_Handelsünger[Handelsdünger])-1)/(--(SEARCH(AR$2,Liste_Handelsünger[Handelsdünger])&gt;0)),ROW()-2),1),"")</f>
        <v>Kalksalpeter (CalciNit)</v>
      </c>
      <c r="AR90" t="str">
        <f>IF(($A94=""),"",IF(COUNTIF(Mineral!$AJ$3:$AJ$324,$A94),"",$A94))</f>
        <v/>
      </c>
      <c r="AS90" t="str">
        <f>IFERROR(INDEX(Liste_Handelsünger[Handelsdünger],_xlfn.AGGREGATE(15,6,(ROW(Liste_Handelsünger[Handelsdünger])-1)/(--(SEARCH(AT$2,Liste_Handelsünger[Handelsdünger])&gt;0)),ROW()-2),1),"")</f>
        <v>Kalksalpeter (CalciNit)</v>
      </c>
      <c r="AT90" t="str">
        <f>IF(($A95=""),"",IF(COUNTIF(Mineral!$AJ$3:$AJ$324,$A95),"",$A95))</f>
        <v/>
      </c>
      <c r="AU90" t="str">
        <f>IFERROR(INDEX(Liste_Handelsünger[Handelsdünger],_xlfn.AGGREGATE(15,6,(ROW(Liste_Handelsünger[Handelsdünger])-1)/(--(SEARCH(AV$2,Liste_Handelsünger[Handelsdünger])&gt;0)),ROW()-2),1),"")</f>
        <v>Kalksalpeter (CalciNit)</v>
      </c>
      <c r="AV90" t="str">
        <f>IF(($A96=""),"",IF(COUNTIF(Mineral!$AJ$3:$AJ$324,$A96),"",$A96))</f>
        <v/>
      </c>
      <c r="AW90" t="str">
        <f>IFERROR(INDEX(Liste_Handelsünger[Handelsdünger],_xlfn.AGGREGATE(15,6,(ROW(Liste_Handelsünger[Handelsdünger])-1)/(--(SEARCH(AX$2,Liste_Handelsünger[Handelsdünger])&gt;0)),ROW()-2),1),"")</f>
        <v>Kalksalpeter (CalciNit)</v>
      </c>
      <c r="AX90" t="str">
        <f>IF(($A97=""),"",IF(COUNTIF(Mineral!$AJ$3:$AJ$324,$A97),"",$A97))</f>
        <v/>
      </c>
      <c r="AY90" t="str">
        <f>IFERROR(INDEX(Liste_Handelsünger[Handelsdünger],_xlfn.AGGREGATE(15,6,(ROW(Liste_Handelsünger[Handelsdünger])-1)/(--(SEARCH(AZ$2,Liste_Handelsünger[Handelsdünger])&gt;0)),ROW()-2),1),"")</f>
        <v>Kalksalpeter (CalciNit)</v>
      </c>
      <c r="AZ90" t="str">
        <f>IF(($A98=""),"",IF(COUNTIF(Mineral!$AJ$3:$AJ$324,$A98),"",$A98))</f>
        <v/>
      </c>
      <c r="BA90" t="str">
        <f>IFERROR(INDEX(Liste_Handelsünger[Handelsdünger],_xlfn.AGGREGATE(15,6,(ROW(Liste_Handelsünger[Handelsdünger])-1)/(--(SEARCH(BB$2,Liste_Handelsünger[Handelsdünger])&gt;0)),ROW()-2),1),"")</f>
        <v>Kalksalpeter (CalciNit)</v>
      </c>
      <c r="BB90" t="str">
        <f>IF(($A99=""),"",IF(COUNTIF(Mineral!$AJ$3:$AJ$324,$A99),"",$A99))</f>
        <v/>
      </c>
      <c r="BC90" t="str">
        <f>IFERROR(INDEX(Liste_Handelsünger[Handelsdünger],_xlfn.AGGREGATE(15,6,(ROW(Liste_Handelsünger[Handelsdünger])-1)/(--(SEARCH(BD$2,Liste_Handelsünger[Handelsdünger])&gt;0)),ROW()-2),1),"")</f>
        <v>Kalksalpeter (CalciNit)</v>
      </c>
      <c r="BD90" t="str">
        <f>IF(($A100=""),"",IF(COUNTIF(Mineral!$AJ$3:$AJ$324,$A100),"",$A100))</f>
        <v/>
      </c>
      <c r="BE90" t="str">
        <f>IFERROR(INDEX(Liste_Handelsünger[Handelsdünger],_xlfn.AGGREGATE(15,6,(ROW(Liste_Handelsünger[Handelsdünger])-1)/(--(SEARCH(BF$2,Liste_Handelsünger[Handelsdünger])&gt;0)),ROW()-2),1),"")</f>
        <v>Kalksalpeter (CalciNit)</v>
      </c>
      <c r="BF90" t="str">
        <f>IF(($A101=""),"",IF(COUNTIF(Mineral!$AJ$3:$AJ$324,$A101),"",$A101))</f>
        <v/>
      </c>
      <c r="BG90" t="str">
        <f>IFERROR(INDEX(Liste_Handelsünger[Handelsdünger],_xlfn.AGGREGATE(15,6,(ROW(Liste_Handelsünger[Handelsdünger])-1)/(--(SEARCH(BH$2,Liste_Handelsünger[Handelsdünger])&gt;0)),ROW()-2),1),"")</f>
        <v>Kalksalpeter (CalciNit)</v>
      </c>
      <c r="BH90" t="str">
        <f>IF(($A102=""),"",IF(COUNTIF(Mineral!$AJ$3:$AJ$324,$A102),"",$A102))</f>
        <v/>
      </c>
      <c r="BI90" t="str">
        <f>IFERROR(INDEX(Liste_Handelsünger[Handelsdünger],_xlfn.AGGREGATE(15,6,(ROW(Liste_Handelsünger[Handelsdünger])-1)/(--(SEARCH(BJ$2,Liste_Handelsünger[Handelsdünger])&gt;0)),ROW()-2),1),"")</f>
        <v>Kalksalpeter (CalciNit)</v>
      </c>
      <c r="BJ90" t="str">
        <f>IF(($A103=""),"",IF(COUNTIF(Mineral!$AJ$3:$AJ$324,$A103),"",$A103))</f>
        <v/>
      </c>
      <c r="BK90" t="str">
        <f>IFERROR(INDEX(Liste_Handelsünger[Handelsdünger],_xlfn.AGGREGATE(15,6,(ROW(Liste_Handelsünger[Handelsdünger])-1)/(--(SEARCH(BL$2,Liste_Handelsünger[Handelsdünger])&gt;0)),ROW()-2),1),"")</f>
        <v>Kalksalpeter (CalciNit)</v>
      </c>
      <c r="BM90" t="str">
        <f>IFERROR(INDEX(Liste_Handelsünger[Handelsdünger],_xlfn.AGGREGATE(15,6,(ROW(Liste_Handelsünger[Handelsdünger])-1)/(--(SEARCH(BN$2,Liste_Handelsünger[Handelsdünger])&gt;0)),ROW()-2),1),"")</f>
        <v>Kalksalpeter (CalciNit)</v>
      </c>
      <c r="BN90" t="str">
        <f>IF(($A105=""),"",IF(COUNTIF(Mineral!$AJ$3:$AJ$324,$A105),"",$A105))</f>
        <v/>
      </c>
      <c r="BV90" t="s">
        <v>2174</v>
      </c>
      <c r="BW90" t="s">
        <v>2180</v>
      </c>
    </row>
    <row r="91" spans="18:75" ht="14.25" thickTop="1" thickBot="1">
      <c r="R91" t="str">
        <f t="array" ref="R91">IF(ROW(A62)&gt;COUNTA(A:A),"",INDEX(A:A,SMALL(IF(A$3:A$27&lt;&gt;"",ROW($3:$27)),ROW(A62))))</f>
        <v/>
      </c>
      <c r="S91" s="1616">
        <v>90</v>
      </c>
      <c r="T91" s="1617" t="s">
        <v>2335</v>
      </c>
      <c r="U91" s="1617" t="s">
        <v>2176</v>
      </c>
      <c r="V91" s="1617"/>
      <c r="W91" s="1617">
        <v>0</v>
      </c>
      <c r="X91" s="1617">
        <v>0</v>
      </c>
      <c r="Y91" s="1617">
        <v>0</v>
      </c>
      <c r="Z91" s="1617">
        <v>18</v>
      </c>
      <c r="AA91" s="1617">
        <v>40</v>
      </c>
      <c r="AB91" s="1617">
        <v>0</v>
      </c>
      <c r="AC91" s="1617">
        <v>1</v>
      </c>
      <c r="AD91" s="1613">
        <v>1</v>
      </c>
      <c r="AE91" s="1617" t="s">
        <v>1764</v>
      </c>
      <c r="AF91" s="1613" t="str">
        <f t="shared" si="15"/>
        <v/>
      </c>
      <c r="AG91" s="1656">
        <f>IFERROR(IF($AF91&gt;0,VLOOKUP($U91,Tabelle1!$C$188:$L$212,5,0)*$AF91,0),0)</f>
        <v>0</v>
      </c>
      <c r="AH91" s="1656">
        <f t="shared" si="16"/>
        <v>0</v>
      </c>
      <c r="AJ91" t="str">
        <f>IF(Betrieb!$D$9="JA",Mineral!$BW91,Mineral!$BV91)</f>
        <v>Kalzium-Schwefeldünger</v>
      </c>
      <c r="AK91" s="1672" t="str">
        <f>IFERROR(INDEX(Liste_Handelsünger[Handelsdünger],_xlfn.AGGREGATE(15,6,(ROW(Liste_Handelsünger[Handelsdünger])-1)/(--(SEARCH(AL$2,Liste_Handelsünger[Handelsdünger])&gt;0)),ROW()-2),1),"")</f>
        <v>Kalzium-Schwefeldünger</v>
      </c>
      <c r="AL91" s="1672" t="str">
        <f>IF(($A$3=""),"",IF(COUNTIF(Mineral!$AJ$3:$AJ$324,$A$3),"",$A$3))</f>
        <v/>
      </c>
      <c r="AM91" s="1672" t="str">
        <f>IFERROR(INDEX(Liste_Handelsünger[Handelsdünger],_xlfn.AGGREGATE(15,6,(ROW(Liste_Handelsünger[Handelsdünger])-1)/(--(SEARCH(AN$2,Liste_Handelsünger[Handelsdünger])&gt;0)),ROW()-2),1),"")</f>
        <v>Kalzium-Schwefeldünger</v>
      </c>
      <c r="AN91" t="str">
        <f>IF(($A93=""),"",IF(COUNTIF(Mineral!$AJ$3:$AJ$324,$A93),"",$A93))</f>
        <v/>
      </c>
      <c r="AO91" t="str">
        <f>IFERROR(INDEX(Liste_Handelsünger[Handelsdünger],_xlfn.AGGREGATE(15,6,(ROW(Liste_Handelsünger[Handelsdünger])-1)/(--(SEARCH(AP$2,Liste_Handelsünger[Handelsdünger])&gt;0)),ROW()-2),1),"")</f>
        <v>Kalzium-Schwefeldünger</v>
      </c>
      <c r="AP91" t="str">
        <f>IF(($A94=""),"",IF(COUNTIF(Mineral!$AJ$3:$AJ$324,$A94),"",$A94))</f>
        <v/>
      </c>
      <c r="AQ91" t="str">
        <f>IFERROR(INDEX(Liste_Handelsünger[Handelsdünger],_xlfn.AGGREGATE(15,6,(ROW(Liste_Handelsünger[Handelsdünger])-1)/(--(SEARCH(AR$2,Liste_Handelsünger[Handelsdünger])&gt;0)),ROW()-2),1),"")</f>
        <v>Kalzium-Schwefeldünger</v>
      </c>
      <c r="AR91" t="str">
        <f>IF(($A95=""),"",IF(COUNTIF(Mineral!$AJ$3:$AJ$324,$A95),"",$A95))</f>
        <v/>
      </c>
      <c r="AS91" t="str">
        <f>IFERROR(INDEX(Liste_Handelsünger[Handelsdünger],_xlfn.AGGREGATE(15,6,(ROW(Liste_Handelsünger[Handelsdünger])-1)/(--(SEARCH(AT$2,Liste_Handelsünger[Handelsdünger])&gt;0)),ROW()-2),1),"")</f>
        <v>Kalzium-Schwefeldünger</v>
      </c>
      <c r="AT91" t="str">
        <f>IF(($A96=""),"",IF(COUNTIF(Mineral!$AJ$3:$AJ$324,$A96),"",$A96))</f>
        <v/>
      </c>
      <c r="AU91" t="str">
        <f>IFERROR(INDEX(Liste_Handelsünger[Handelsdünger],_xlfn.AGGREGATE(15,6,(ROW(Liste_Handelsünger[Handelsdünger])-1)/(--(SEARCH(AV$2,Liste_Handelsünger[Handelsdünger])&gt;0)),ROW()-2),1),"")</f>
        <v>Kalzium-Schwefeldünger</v>
      </c>
      <c r="AV91" t="str">
        <f>IF(($A97=""),"",IF(COUNTIF(Mineral!$AJ$3:$AJ$324,$A97),"",$A97))</f>
        <v/>
      </c>
      <c r="AW91" t="str">
        <f>IFERROR(INDEX(Liste_Handelsünger[Handelsdünger],_xlfn.AGGREGATE(15,6,(ROW(Liste_Handelsünger[Handelsdünger])-1)/(--(SEARCH(AX$2,Liste_Handelsünger[Handelsdünger])&gt;0)),ROW()-2),1),"")</f>
        <v>Kalzium-Schwefeldünger</v>
      </c>
      <c r="AX91" t="str">
        <f>IF(($A98=""),"",IF(COUNTIF(Mineral!$AJ$3:$AJ$324,$A98),"",$A98))</f>
        <v/>
      </c>
      <c r="AY91" t="str">
        <f>IFERROR(INDEX(Liste_Handelsünger[Handelsdünger],_xlfn.AGGREGATE(15,6,(ROW(Liste_Handelsünger[Handelsdünger])-1)/(--(SEARCH(AZ$2,Liste_Handelsünger[Handelsdünger])&gt;0)),ROW()-2),1),"")</f>
        <v>Kalzium-Schwefeldünger</v>
      </c>
      <c r="AZ91" t="str">
        <f>IF(($A99=""),"",IF(COUNTIF(Mineral!$AJ$3:$AJ$324,$A99),"",$A99))</f>
        <v/>
      </c>
      <c r="BA91" t="str">
        <f>IFERROR(INDEX(Liste_Handelsünger[Handelsdünger],_xlfn.AGGREGATE(15,6,(ROW(Liste_Handelsünger[Handelsdünger])-1)/(--(SEARCH(BB$2,Liste_Handelsünger[Handelsdünger])&gt;0)),ROW()-2),1),"")</f>
        <v>Kalzium-Schwefeldünger</v>
      </c>
      <c r="BB91" t="str">
        <f>IF(($A100=""),"",IF(COUNTIF(Mineral!$AJ$3:$AJ$324,$A100),"",$A100))</f>
        <v/>
      </c>
      <c r="BC91" t="str">
        <f>IFERROR(INDEX(Liste_Handelsünger[Handelsdünger],_xlfn.AGGREGATE(15,6,(ROW(Liste_Handelsünger[Handelsdünger])-1)/(--(SEARCH(BD$2,Liste_Handelsünger[Handelsdünger])&gt;0)),ROW()-2),1),"")</f>
        <v>Kalzium-Schwefeldünger</v>
      </c>
      <c r="BD91" t="str">
        <f>IF(($A101=""),"",IF(COUNTIF(Mineral!$AJ$3:$AJ$324,$A101),"",$A101))</f>
        <v/>
      </c>
      <c r="BE91" t="str">
        <f>IFERROR(INDEX(Liste_Handelsünger[Handelsdünger],_xlfn.AGGREGATE(15,6,(ROW(Liste_Handelsünger[Handelsdünger])-1)/(--(SEARCH(BF$2,Liste_Handelsünger[Handelsdünger])&gt;0)),ROW()-2),1),"")</f>
        <v>Kalzium-Schwefeldünger</v>
      </c>
      <c r="BF91" t="str">
        <f>IF(($A102=""),"",IF(COUNTIF(Mineral!$AJ$3:$AJ$324,$A102),"",$A102))</f>
        <v/>
      </c>
      <c r="BG91" t="str">
        <f>IFERROR(INDEX(Liste_Handelsünger[Handelsdünger],_xlfn.AGGREGATE(15,6,(ROW(Liste_Handelsünger[Handelsdünger])-1)/(--(SEARCH(BH$2,Liste_Handelsünger[Handelsdünger])&gt;0)),ROW()-2),1),"")</f>
        <v>Kalzium-Schwefeldünger</v>
      </c>
      <c r="BH91" t="str">
        <f>IF(($A103=""),"",IF(COUNTIF(Mineral!$AJ$3:$AJ$324,$A103),"",$A103))</f>
        <v/>
      </c>
      <c r="BI91" t="str">
        <f>IFERROR(INDEX(Liste_Handelsünger[Handelsdünger],_xlfn.AGGREGATE(15,6,(ROW(Liste_Handelsünger[Handelsdünger])-1)/(--(SEARCH(BJ$2,Liste_Handelsünger[Handelsdünger])&gt;0)),ROW()-2),1),"")</f>
        <v>Kalzium-Schwefeldünger</v>
      </c>
      <c r="BJ91" t="str">
        <f>IF(($A104=""),"",IF(COUNTIF(Mineral!$AJ$3:$AJ$324,$A104),"",$A104))</f>
        <v/>
      </c>
      <c r="BK91" t="str">
        <f>IFERROR(INDEX(Liste_Handelsünger[Handelsdünger],_xlfn.AGGREGATE(15,6,(ROW(Liste_Handelsünger[Handelsdünger])-1)/(--(SEARCH(BL$2,Liste_Handelsünger[Handelsdünger])&gt;0)),ROW()-2),1),"")</f>
        <v>Kalzium-Schwefeldünger</v>
      </c>
      <c r="BM91" t="str">
        <f>IFERROR(INDEX(Liste_Handelsünger[Handelsdünger],_xlfn.AGGREGATE(15,6,(ROW(Liste_Handelsünger[Handelsdünger])-1)/(--(SEARCH(BN$2,Liste_Handelsünger[Handelsdünger])&gt;0)),ROW()-2),1),"")</f>
        <v>Kalzium-Schwefeldünger</v>
      </c>
      <c r="BN91" t="str">
        <f>IF(($A106=""),"",IF(COUNTIF(Mineral!$AJ$3:$AJ$324,$A106),"",$A106))</f>
        <v/>
      </c>
      <c r="BV91" t="s">
        <v>2176</v>
      </c>
      <c r="BW91" t="s">
        <v>2181</v>
      </c>
    </row>
    <row r="92" spans="18:75" ht="14.25" thickTop="1" thickBot="1">
      <c r="R92" t="str">
        <f t="array" ref="R92">IF(ROW(A63)&gt;COUNTA(A:A),"",INDEX(A:A,SMALL(IF(A$3:A$27&lt;&gt;"",ROW($3:$27)),ROW(A63))))</f>
        <v/>
      </c>
      <c r="S92" s="1676">
        <v>91</v>
      </c>
      <c r="T92" s="1606" t="s">
        <v>2335</v>
      </c>
      <c r="U92" s="1606" t="s">
        <v>2187</v>
      </c>
      <c r="V92" s="1606"/>
      <c r="W92" s="1606">
        <v>0</v>
      </c>
      <c r="X92" s="1606">
        <v>2</v>
      </c>
      <c r="Y92" s="1606">
        <v>0</v>
      </c>
      <c r="Z92" s="1606">
        <v>0</v>
      </c>
      <c r="AA92" s="1606">
        <v>45</v>
      </c>
      <c r="AB92" s="1606">
        <v>0</v>
      </c>
      <c r="AC92" s="1606">
        <v>1</v>
      </c>
      <c r="AD92" s="1613">
        <v>1</v>
      </c>
      <c r="AE92" s="1606" t="s">
        <v>1764</v>
      </c>
      <c r="AF92" s="1613" t="str">
        <f t="shared" si="15"/>
        <v/>
      </c>
      <c r="AG92" s="1656">
        <f>IFERROR(IF($AF92&gt;0,VLOOKUP($U92,Tabelle1!$C$188:$L$212,5,0)*$AF92,0),0)</f>
        <v>0</v>
      </c>
      <c r="AH92" s="1656">
        <f t="shared" si="16"/>
        <v>0</v>
      </c>
      <c r="AJ92" t="str">
        <f>IF(Betrieb!$D$9="JA",Mineral!$BW92,Mineral!$BV92)</f>
        <v>Konverterkalk</v>
      </c>
      <c r="AK92" s="1672" t="str">
        <f>IFERROR(INDEX(Liste_Handelsünger[Handelsdünger],_xlfn.AGGREGATE(15,6,(ROW(Liste_Handelsünger[Handelsdünger])-1)/(--(SEARCH(AL$2,Liste_Handelsünger[Handelsdünger])&gt;0)),ROW()-2),1),"")</f>
        <v>Konverterkalk</v>
      </c>
      <c r="AL92" s="1672" t="str">
        <f>IF(($A$3=""),"",IF(COUNTIF(Mineral!$AJ$3:$AJ$324,$A$3),"",$A$3))</f>
        <v/>
      </c>
      <c r="AM92" s="1672" t="str">
        <f>IFERROR(INDEX(Liste_Handelsünger[Handelsdünger],_xlfn.AGGREGATE(15,6,(ROW(Liste_Handelsünger[Handelsdünger])-1)/(--(SEARCH(AN$2,Liste_Handelsünger[Handelsdünger])&gt;0)),ROW()-2),1),"")</f>
        <v>Konverterkalk</v>
      </c>
      <c r="AN92" t="str">
        <f>IF(($A94=""),"",IF(COUNTIF(Mineral!$AJ$3:$AJ$324,$A94),"",$A94))</f>
        <v/>
      </c>
      <c r="AO92" t="str">
        <f>IFERROR(INDEX(Liste_Handelsünger[Handelsdünger],_xlfn.AGGREGATE(15,6,(ROW(Liste_Handelsünger[Handelsdünger])-1)/(--(SEARCH(AP$2,Liste_Handelsünger[Handelsdünger])&gt;0)),ROW()-2),1),"")</f>
        <v>Konverterkalk</v>
      </c>
      <c r="AP92" t="str">
        <f>IF(($A95=""),"",IF(COUNTIF(Mineral!$AJ$3:$AJ$324,$A95),"",$A95))</f>
        <v/>
      </c>
      <c r="AQ92" t="str">
        <f>IFERROR(INDEX(Liste_Handelsünger[Handelsdünger],_xlfn.AGGREGATE(15,6,(ROW(Liste_Handelsünger[Handelsdünger])-1)/(--(SEARCH(AR$2,Liste_Handelsünger[Handelsdünger])&gt;0)),ROW()-2),1),"")</f>
        <v>Konverterkalk</v>
      </c>
      <c r="AR92" t="str">
        <f>IF(($A96=""),"",IF(COUNTIF(Mineral!$AJ$3:$AJ$324,$A96),"",$A96))</f>
        <v/>
      </c>
      <c r="AS92" t="str">
        <f>IFERROR(INDEX(Liste_Handelsünger[Handelsdünger],_xlfn.AGGREGATE(15,6,(ROW(Liste_Handelsünger[Handelsdünger])-1)/(--(SEARCH(AT$2,Liste_Handelsünger[Handelsdünger])&gt;0)),ROW()-2),1),"")</f>
        <v>Konverterkalk</v>
      </c>
      <c r="AT92" t="str">
        <f>IF(($A97=""),"",IF(COUNTIF(Mineral!$AJ$3:$AJ$324,$A97),"",$A97))</f>
        <v/>
      </c>
      <c r="AU92" t="str">
        <f>IFERROR(INDEX(Liste_Handelsünger[Handelsdünger],_xlfn.AGGREGATE(15,6,(ROW(Liste_Handelsünger[Handelsdünger])-1)/(--(SEARCH(AV$2,Liste_Handelsünger[Handelsdünger])&gt;0)),ROW()-2),1),"")</f>
        <v>Konverterkalk</v>
      </c>
      <c r="AV92" t="str">
        <f>IF(($A98=""),"",IF(COUNTIF(Mineral!$AJ$3:$AJ$324,$A98),"",$A98))</f>
        <v/>
      </c>
      <c r="AW92" t="str">
        <f>IFERROR(INDEX(Liste_Handelsünger[Handelsdünger],_xlfn.AGGREGATE(15,6,(ROW(Liste_Handelsünger[Handelsdünger])-1)/(--(SEARCH(AX$2,Liste_Handelsünger[Handelsdünger])&gt;0)),ROW()-2),1),"")</f>
        <v>Konverterkalk</v>
      </c>
      <c r="AX92" t="str">
        <f>IF(($A99=""),"",IF(COUNTIF(Mineral!$AJ$3:$AJ$324,$A99),"",$A99))</f>
        <v/>
      </c>
      <c r="AY92" t="str">
        <f>IFERROR(INDEX(Liste_Handelsünger[Handelsdünger],_xlfn.AGGREGATE(15,6,(ROW(Liste_Handelsünger[Handelsdünger])-1)/(--(SEARCH(AZ$2,Liste_Handelsünger[Handelsdünger])&gt;0)),ROW()-2),1),"")</f>
        <v>Konverterkalk</v>
      </c>
      <c r="AZ92" t="str">
        <f>IF(($A100=""),"",IF(COUNTIF(Mineral!$AJ$3:$AJ$324,$A100),"",$A100))</f>
        <v/>
      </c>
      <c r="BA92" t="str">
        <f>IFERROR(INDEX(Liste_Handelsünger[Handelsdünger],_xlfn.AGGREGATE(15,6,(ROW(Liste_Handelsünger[Handelsdünger])-1)/(--(SEARCH(BB$2,Liste_Handelsünger[Handelsdünger])&gt;0)),ROW()-2),1),"")</f>
        <v>Konverterkalk</v>
      </c>
      <c r="BB92" t="str">
        <f>IF(($A101=""),"",IF(COUNTIF(Mineral!$AJ$3:$AJ$324,$A101),"",$A101))</f>
        <v/>
      </c>
      <c r="BC92" t="str">
        <f>IFERROR(INDEX(Liste_Handelsünger[Handelsdünger],_xlfn.AGGREGATE(15,6,(ROW(Liste_Handelsünger[Handelsdünger])-1)/(--(SEARCH(BD$2,Liste_Handelsünger[Handelsdünger])&gt;0)),ROW()-2),1),"")</f>
        <v>Konverterkalk</v>
      </c>
      <c r="BD92" t="str">
        <f>IF(($A102=""),"",IF(COUNTIF(Mineral!$AJ$3:$AJ$324,$A102),"",$A102))</f>
        <v/>
      </c>
      <c r="BE92" t="str">
        <f>IFERROR(INDEX(Liste_Handelsünger[Handelsdünger],_xlfn.AGGREGATE(15,6,(ROW(Liste_Handelsünger[Handelsdünger])-1)/(--(SEARCH(BF$2,Liste_Handelsünger[Handelsdünger])&gt;0)),ROW()-2),1),"")</f>
        <v>Konverterkalk</v>
      </c>
      <c r="BF92" t="str">
        <f>IF(($A103=""),"",IF(COUNTIF(Mineral!$AJ$3:$AJ$324,$A103),"",$A103))</f>
        <v/>
      </c>
      <c r="BG92" t="str">
        <f>IFERROR(INDEX(Liste_Handelsünger[Handelsdünger],_xlfn.AGGREGATE(15,6,(ROW(Liste_Handelsünger[Handelsdünger])-1)/(--(SEARCH(BH$2,Liste_Handelsünger[Handelsdünger])&gt;0)),ROW()-2),1),"")</f>
        <v>Konverterkalk</v>
      </c>
      <c r="BH92" t="str">
        <f>IF(($A104=""),"",IF(COUNTIF(Mineral!$AJ$3:$AJ$324,$A104),"",$A104))</f>
        <v/>
      </c>
      <c r="BI92" t="str">
        <f>IFERROR(INDEX(Liste_Handelsünger[Handelsdünger],_xlfn.AGGREGATE(15,6,(ROW(Liste_Handelsünger[Handelsdünger])-1)/(--(SEARCH(BJ$2,Liste_Handelsünger[Handelsdünger])&gt;0)),ROW()-2),1),"")</f>
        <v>Konverterkalk</v>
      </c>
      <c r="BJ92" t="str">
        <f>IF(($A105=""),"",IF(COUNTIF(Mineral!$AJ$3:$AJ$324,$A105),"",$A105))</f>
        <v/>
      </c>
      <c r="BK92" t="str">
        <f>IFERROR(INDEX(Liste_Handelsünger[Handelsdünger],_xlfn.AGGREGATE(15,6,(ROW(Liste_Handelsünger[Handelsdünger])-1)/(--(SEARCH(BL$2,Liste_Handelsünger[Handelsdünger])&gt;0)),ROW()-2),1),"")</f>
        <v>Konverterkalk</v>
      </c>
      <c r="BM92" t="str">
        <f>IFERROR(INDEX(Liste_Handelsünger[Handelsdünger],_xlfn.AGGREGATE(15,6,(ROW(Liste_Handelsünger[Handelsdünger])-1)/(--(SEARCH(BN$2,Liste_Handelsünger[Handelsdünger])&gt;0)),ROW()-2),1),"")</f>
        <v>Konverterkalk</v>
      </c>
      <c r="BN92" t="str">
        <f>IF(($A107=""),"",IF(COUNTIF(Mineral!$AJ$3:$AJ$324,$A107),"",$A107))</f>
        <v/>
      </c>
      <c r="BV92" t="s">
        <v>2187</v>
      </c>
      <c r="BW92" t="s">
        <v>2182</v>
      </c>
    </row>
    <row r="93" spans="18:75" ht="14.25" thickTop="1" thickBot="1">
      <c r="R93" t="str">
        <f t="array" ref="R93">IF(ROW(A64)&gt;COUNTA(A:A),"",INDEX(A:A,SMALL(IF(A$3:A$27&lt;&gt;"",ROW($3:$27)),ROW(A64))))</f>
        <v/>
      </c>
      <c r="S93" s="1616">
        <v>92</v>
      </c>
      <c r="T93" s="1617" t="s">
        <v>2335</v>
      </c>
      <c r="U93" s="1617" t="s">
        <v>2188</v>
      </c>
      <c r="V93" s="1617"/>
      <c r="W93" s="1617">
        <v>0</v>
      </c>
      <c r="X93" s="1617">
        <v>0</v>
      </c>
      <c r="Y93" s="1617">
        <v>0</v>
      </c>
      <c r="Z93" s="1617">
        <v>0</v>
      </c>
      <c r="AA93" s="1617">
        <v>0</v>
      </c>
      <c r="AB93" s="1617">
        <v>0</v>
      </c>
      <c r="AC93" s="1617">
        <v>1</v>
      </c>
      <c r="AD93" s="1613">
        <v>1</v>
      </c>
      <c r="AE93" s="1617" t="s">
        <v>1764</v>
      </c>
      <c r="AF93" s="1613" t="str">
        <f t="shared" si="15"/>
        <v/>
      </c>
      <c r="AG93" s="1656">
        <f>IFERROR(IF($AF93&gt;0,VLOOKUP($U93,Tabelle1!$C$188:$L$212,5,0)*$AF93,0),0)</f>
        <v>0</v>
      </c>
      <c r="AH93" s="1656">
        <f t="shared" si="16"/>
        <v>0</v>
      </c>
      <c r="AJ93" t="str">
        <f>IF(Betrieb!$D$9="JA",Mineral!$BW93,Mineral!$BV93)</f>
        <v>Kupfer-Chelat flüssig</v>
      </c>
      <c r="AK93" s="1672" t="str">
        <f>IFERROR(INDEX(Liste_Handelsünger[Handelsdünger],_xlfn.AGGREGATE(15,6,(ROW(Liste_Handelsünger[Handelsdünger])-1)/(--(SEARCH(AL$2,Liste_Handelsünger[Handelsdünger])&gt;0)),ROW()-2),1),"")</f>
        <v>Kupfer-Chelat flüssig</v>
      </c>
      <c r="AL93" s="1672" t="str">
        <f>IF(($A$3=""),"",IF(COUNTIF(Mineral!$AJ$3:$AJ$324,$A$3),"",$A$3))</f>
        <v/>
      </c>
      <c r="AM93" s="1672" t="str">
        <f>IFERROR(INDEX(Liste_Handelsünger[Handelsdünger],_xlfn.AGGREGATE(15,6,(ROW(Liste_Handelsünger[Handelsdünger])-1)/(--(SEARCH(AN$2,Liste_Handelsünger[Handelsdünger])&gt;0)),ROW()-2),1),"")</f>
        <v>Kupfer-Chelat flüssig</v>
      </c>
      <c r="AN93" t="str">
        <f>IF(($A95=""),"",IF(COUNTIF(Mineral!$AJ$3:$AJ$324,$A95),"",$A95))</f>
        <v/>
      </c>
      <c r="AO93" t="str">
        <f>IFERROR(INDEX(Liste_Handelsünger[Handelsdünger],_xlfn.AGGREGATE(15,6,(ROW(Liste_Handelsünger[Handelsdünger])-1)/(--(SEARCH(AP$2,Liste_Handelsünger[Handelsdünger])&gt;0)),ROW()-2),1),"")</f>
        <v>Kupfer-Chelat flüssig</v>
      </c>
      <c r="AP93" t="str">
        <f>IF(($A96=""),"",IF(COUNTIF(Mineral!$AJ$3:$AJ$324,$A96),"",$A96))</f>
        <v/>
      </c>
      <c r="AQ93" t="str">
        <f>IFERROR(INDEX(Liste_Handelsünger[Handelsdünger],_xlfn.AGGREGATE(15,6,(ROW(Liste_Handelsünger[Handelsdünger])-1)/(--(SEARCH(AR$2,Liste_Handelsünger[Handelsdünger])&gt;0)),ROW()-2),1),"")</f>
        <v>Kupfer-Chelat flüssig</v>
      </c>
      <c r="AR93" t="str">
        <f>IF(($A97=""),"",IF(COUNTIF(Mineral!$AJ$3:$AJ$324,$A97),"",$A97))</f>
        <v/>
      </c>
      <c r="AS93" t="str">
        <f>IFERROR(INDEX(Liste_Handelsünger[Handelsdünger],_xlfn.AGGREGATE(15,6,(ROW(Liste_Handelsünger[Handelsdünger])-1)/(--(SEARCH(AT$2,Liste_Handelsünger[Handelsdünger])&gt;0)),ROW()-2),1),"")</f>
        <v>Kupfer-Chelat flüssig</v>
      </c>
      <c r="AT93" t="str">
        <f>IF(($A98=""),"",IF(COUNTIF(Mineral!$AJ$3:$AJ$324,$A98),"",$A98))</f>
        <v/>
      </c>
      <c r="AU93" t="str">
        <f>IFERROR(INDEX(Liste_Handelsünger[Handelsdünger],_xlfn.AGGREGATE(15,6,(ROW(Liste_Handelsünger[Handelsdünger])-1)/(--(SEARCH(AV$2,Liste_Handelsünger[Handelsdünger])&gt;0)),ROW()-2),1),"")</f>
        <v>Kupfer-Chelat flüssig</v>
      </c>
      <c r="AV93" t="str">
        <f>IF(($A99=""),"",IF(COUNTIF(Mineral!$AJ$3:$AJ$324,$A99),"",$A99))</f>
        <v/>
      </c>
      <c r="AW93" t="str">
        <f>IFERROR(INDEX(Liste_Handelsünger[Handelsdünger],_xlfn.AGGREGATE(15,6,(ROW(Liste_Handelsünger[Handelsdünger])-1)/(--(SEARCH(AX$2,Liste_Handelsünger[Handelsdünger])&gt;0)),ROW()-2),1),"")</f>
        <v>Kupfer-Chelat flüssig</v>
      </c>
      <c r="AX93" t="str">
        <f>IF(($A100=""),"",IF(COUNTIF(Mineral!$AJ$3:$AJ$324,$A100),"",$A100))</f>
        <v/>
      </c>
      <c r="AY93" t="str">
        <f>IFERROR(INDEX(Liste_Handelsünger[Handelsdünger],_xlfn.AGGREGATE(15,6,(ROW(Liste_Handelsünger[Handelsdünger])-1)/(--(SEARCH(AZ$2,Liste_Handelsünger[Handelsdünger])&gt;0)),ROW()-2),1),"")</f>
        <v>Kupfer-Chelat flüssig</v>
      </c>
      <c r="AZ93" t="str">
        <f>IF(($A101=""),"",IF(COUNTIF(Mineral!$AJ$3:$AJ$324,$A101),"",$A101))</f>
        <v/>
      </c>
      <c r="BA93" t="str">
        <f>IFERROR(INDEX(Liste_Handelsünger[Handelsdünger],_xlfn.AGGREGATE(15,6,(ROW(Liste_Handelsünger[Handelsdünger])-1)/(--(SEARCH(BB$2,Liste_Handelsünger[Handelsdünger])&gt;0)),ROW()-2),1),"")</f>
        <v>Kupfer-Chelat flüssig</v>
      </c>
      <c r="BB93" t="str">
        <f>IF(($A102=""),"",IF(COUNTIF(Mineral!$AJ$3:$AJ$324,$A102),"",$A102))</f>
        <v/>
      </c>
      <c r="BC93" t="str">
        <f>IFERROR(INDEX(Liste_Handelsünger[Handelsdünger],_xlfn.AGGREGATE(15,6,(ROW(Liste_Handelsünger[Handelsdünger])-1)/(--(SEARCH(BD$2,Liste_Handelsünger[Handelsdünger])&gt;0)),ROW()-2),1),"")</f>
        <v>Kupfer-Chelat flüssig</v>
      </c>
      <c r="BD93" t="str">
        <f>IF(($A103=""),"",IF(COUNTIF(Mineral!$AJ$3:$AJ$324,$A103),"",$A103))</f>
        <v/>
      </c>
      <c r="BE93" t="str">
        <f>IFERROR(INDEX(Liste_Handelsünger[Handelsdünger],_xlfn.AGGREGATE(15,6,(ROW(Liste_Handelsünger[Handelsdünger])-1)/(--(SEARCH(BF$2,Liste_Handelsünger[Handelsdünger])&gt;0)),ROW()-2),1),"")</f>
        <v>Kupfer-Chelat flüssig</v>
      </c>
      <c r="BF93" t="str">
        <f>IF(($A104=""),"",IF(COUNTIF(Mineral!$AJ$3:$AJ$324,$A104),"",$A104))</f>
        <v/>
      </c>
      <c r="BG93" t="str">
        <f>IFERROR(INDEX(Liste_Handelsünger[Handelsdünger],_xlfn.AGGREGATE(15,6,(ROW(Liste_Handelsünger[Handelsdünger])-1)/(--(SEARCH(BH$2,Liste_Handelsünger[Handelsdünger])&gt;0)),ROW()-2),1),"")</f>
        <v>Kupfer-Chelat flüssig</v>
      </c>
      <c r="BH93" t="str">
        <f>IF(($A105=""),"",IF(COUNTIF(Mineral!$AJ$3:$AJ$324,$A105),"",$A105))</f>
        <v/>
      </c>
      <c r="BI93" t="str">
        <f>IFERROR(INDEX(Liste_Handelsünger[Handelsdünger],_xlfn.AGGREGATE(15,6,(ROW(Liste_Handelsünger[Handelsdünger])-1)/(--(SEARCH(BJ$2,Liste_Handelsünger[Handelsdünger])&gt;0)),ROW()-2),1),"")</f>
        <v>Kupfer-Chelat flüssig</v>
      </c>
      <c r="BJ93" t="str">
        <f>IF(($A106=""),"",IF(COUNTIF(Mineral!$AJ$3:$AJ$324,$A106),"",$A106))</f>
        <v/>
      </c>
      <c r="BK93" t="str">
        <f>IFERROR(INDEX(Liste_Handelsünger[Handelsdünger],_xlfn.AGGREGATE(15,6,(ROW(Liste_Handelsünger[Handelsdünger])-1)/(--(SEARCH(BL$2,Liste_Handelsünger[Handelsdünger])&gt;0)),ROW()-2),1),"")</f>
        <v>Kupfer-Chelat flüssig</v>
      </c>
      <c r="BM93" t="str">
        <f>IFERROR(INDEX(Liste_Handelsünger[Handelsdünger],_xlfn.AGGREGATE(15,6,(ROW(Liste_Handelsünger[Handelsdünger])-1)/(--(SEARCH(BN$2,Liste_Handelsünger[Handelsdünger])&gt;0)),ROW()-2),1),"")</f>
        <v>Kupfer-Chelat flüssig</v>
      </c>
      <c r="BN93" t="str">
        <f>IF(($A108=""),"",IF(COUNTIF(Mineral!$AJ$3:$AJ$324,$A108),"",$A108))</f>
        <v/>
      </c>
      <c r="BV93" t="s">
        <v>2188</v>
      </c>
      <c r="BW93" t="s">
        <v>2183</v>
      </c>
    </row>
    <row r="94" spans="18:75" ht="14.25" thickTop="1" thickBot="1">
      <c r="R94" t="str">
        <f t="array" ref="R94">IF(ROW(A65)&gt;COUNTA(A:A),"",INDEX(A:A,SMALL(IF(A$3:A$27&lt;&gt;"",ROW($3:$27)),ROW(A65))))</f>
        <v/>
      </c>
      <c r="S94" s="1676">
        <v>93</v>
      </c>
      <c r="T94" s="1606" t="s">
        <v>2335</v>
      </c>
      <c r="U94" s="1606" t="s">
        <v>2196</v>
      </c>
      <c r="V94" s="1606"/>
      <c r="W94" s="1606">
        <v>0</v>
      </c>
      <c r="X94" s="1606">
        <v>0</v>
      </c>
      <c r="Y94" s="1606">
        <v>0</v>
      </c>
      <c r="Z94" s="1606">
        <v>0</v>
      </c>
      <c r="AA94" s="1606">
        <v>60</v>
      </c>
      <c r="AB94" s="1606">
        <v>10</v>
      </c>
      <c r="AC94" s="1606">
        <v>1</v>
      </c>
      <c r="AD94" s="1613">
        <v>1</v>
      </c>
      <c r="AE94" s="1606" t="s">
        <v>1764</v>
      </c>
      <c r="AF94" s="1613" t="str">
        <f t="shared" si="15"/>
        <v/>
      </c>
      <c r="AG94" s="1656">
        <f>IFERROR(IF($AF94&gt;0,VLOOKUP($U94,Tabelle1!$C$188:$L$212,5,0)*$AF94,0),0)</f>
        <v>0</v>
      </c>
      <c r="AH94" s="1656">
        <f t="shared" si="16"/>
        <v>0</v>
      </c>
      <c r="AJ94" t="str">
        <f>IF(Betrieb!$D$9="JA",Mineral!$BW94,Mineral!$BV94)</f>
        <v>Magnesium Mischkalk 60</v>
      </c>
      <c r="AK94" s="1672" t="str">
        <f>IFERROR(INDEX(Liste_Handelsünger[Handelsdünger],_xlfn.AGGREGATE(15,6,(ROW(Liste_Handelsünger[Handelsdünger])-1)/(--(SEARCH(AL$2,Liste_Handelsünger[Handelsdünger])&gt;0)),ROW()-2),1),"")</f>
        <v>Magnesium Mischkalk 60</v>
      </c>
      <c r="AL94" s="1672" t="str">
        <f>IF(($A$3=""),"",IF(COUNTIF(Mineral!$AJ$3:$AJ$324,$A$3),"",$A$3))</f>
        <v/>
      </c>
      <c r="AM94" s="1672" t="str">
        <f>IFERROR(INDEX(Liste_Handelsünger[Handelsdünger],_xlfn.AGGREGATE(15,6,(ROW(Liste_Handelsünger[Handelsdünger])-1)/(--(SEARCH(AN$2,Liste_Handelsünger[Handelsdünger])&gt;0)),ROW()-2),1),"")</f>
        <v>Magnesium Mischkalk 60</v>
      </c>
      <c r="AN94" t="str">
        <f>IF(($A96=""),"",IF(COUNTIF(Mineral!$AJ$3:$AJ$324,$A96),"",$A96))</f>
        <v/>
      </c>
      <c r="AO94" t="str">
        <f>IFERROR(INDEX(Liste_Handelsünger[Handelsdünger],_xlfn.AGGREGATE(15,6,(ROW(Liste_Handelsünger[Handelsdünger])-1)/(--(SEARCH(AP$2,Liste_Handelsünger[Handelsdünger])&gt;0)),ROW()-2),1),"")</f>
        <v>Magnesium Mischkalk 60</v>
      </c>
      <c r="AP94" t="str">
        <f>IF(($A97=""),"",IF(COUNTIF(Mineral!$AJ$3:$AJ$324,$A97),"",$A97))</f>
        <v/>
      </c>
      <c r="AQ94" t="str">
        <f>IFERROR(INDEX(Liste_Handelsünger[Handelsdünger],_xlfn.AGGREGATE(15,6,(ROW(Liste_Handelsünger[Handelsdünger])-1)/(--(SEARCH(AR$2,Liste_Handelsünger[Handelsdünger])&gt;0)),ROW()-2),1),"")</f>
        <v>Magnesium Mischkalk 60</v>
      </c>
      <c r="AR94" t="str">
        <f>IF(($A98=""),"",IF(COUNTIF(Mineral!$AJ$3:$AJ$324,$A98),"",$A98))</f>
        <v/>
      </c>
      <c r="AS94" t="str">
        <f>IFERROR(INDEX(Liste_Handelsünger[Handelsdünger],_xlfn.AGGREGATE(15,6,(ROW(Liste_Handelsünger[Handelsdünger])-1)/(--(SEARCH(AT$2,Liste_Handelsünger[Handelsdünger])&gt;0)),ROW()-2),1),"")</f>
        <v>Magnesium Mischkalk 60</v>
      </c>
      <c r="AT94" t="str">
        <f>IF(($A99=""),"",IF(COUNTIF(Mineral!$AJ$3:$AJ$324,$A99),"",$A99))</f>
        <v/>
      </c>
      <c r="AU94" t="str">
        <f>IFERROR(INDEX(Liste_Handelsünger[Handelsdünger],_xlfn.AGGREGATE(15,6,(ROW(Liste_Handelsünger[Handelsdünger])-1)/(--(SEARCH(AV$2,Liste_Handelsünger[Handelsdünger])&gt;0)),ROW()-2),1),"")</f>
        <v>Magnesium Mischkalk 60</v>
      </c>
      <c r="AV94" t="str">
        <f>IF(($A100=""),"",IF(COUNTIF(Mineral!$AJ$3:$AJ$324,$A100),"",$A100))</f>
        <v/>
      </c>
      <c r="AW94" t="str">
        <f>IFERROR(INDEX(Liste_Handelsünger[Handelsdünger],_xlfn.AGGREGATE(15,6,(ROW(Liste_Handelsünger[Handelsdünger])-1)/(--(SEARCH(AX$2,Liste_Handelsünger[Handelsdünger])&gt;0)),ROW()-2),1),"")</f>
        <v>Magnesium Mischkalk 60</v>
      </c>
      <c r="AX94" t="str">
        <f>IF(($A101=""),"",IF(COUNTIF(Mineral!$AJ$3:$AJ$324,$A101),"",$A101))</f>
        <v/>
      </c>
      <c r="AY94" t="str">
        <f>IFERROR(INDEX(Liste_Handelsünger[Handelsdünger],_xlfn.AGGREGATE(15,6,(ROW(Liste_Handelsünger[Handelsdünger])-1)/(--(SEARCH(AZ$2,Liste_Handelsünger[Handelsdünger])&gt;0)),ROW()-2),1),"")</f>
        <v>Magnesium Mischkalk 60</v>
      </c>
      <c r="AZ94" t="str">
        <f>IF(($A102=""),"",IF(COUNTIF(Mineral!$AJ$3:$AJ$324,$A102),"",$A102))</f>
        <v/>
      </c>
      <c r="BA94" t="str">
        <f>IFERROR(INDEX(Liste_Handelsünger[Handelsdünger],_xlfn.AGGREGATE(15,6,(ROW(Liste_Handelsünger[Handelsdünger])-1)/(--(SEARCH(BB$2,Liste_Handelsünger[Handelsdünger])&gt;0)),ROW()-2),1),"")</f>
        <v>Magnesium Mischkalk 60</v>
      </c>
      <c r="BB94" t="str">
        <f>IF(($A103=""),"",IF(COUNTIF(Mineral!$AJ$3:$AJ$324,$A103),"",$A103))</f>
        <v/>
      </c>
      <c r="BC94" t="str">
        <f>IFERROR(INDEX(Liste_Handelsünger[Handelsdünger],_xlfn.AGGREGATE(15,6,(ROW(Liste_Handelsünger[Handelsdünger])-1)/(--(SEARCH(BD$2,Liste_Handelsünger[Handelsdünger])&gt;0)),ROW()-2),1),"")</f>
        <v>Magnesium Mischkalk 60</v>
      </c>
      <c r="BD94" t="str">
        <f>IF(($A104=""),"",IF(COUNTIF(Mineral!$AJ$3:$AJ$324,$A104),"",$A104))</f>
        <v/>
      </c>
      <c r="BE94" t="str">
        <f>IFERROR(INDEX(Liste_Handelsünger[Handelsdünger],_xlfn.AGGREGATE(15,6,(ROW(Liste_Handelsünger[Handelsdünger])-1)/(--(SEARCH(BF$2,Liste_Handelsünger[Handelsdünger])&gt;0)),ROW()-2),1),"")</f>
        <v>Magnesium Mischkalk 60</v>
      </c>
      <c r="BF94" t="str">
        <f>IF(($A105=""),"",IF(COUNTIF(Mineral!$AJ$3:$AJ$324,$A105),"",$A105))</f>
        <v/>
      </c>
      <c r="BG94" t="str">
        <f>IFERROR(INDEX(Liste_Handelsünger[Handelsdünger],_xlfn.AGGREGATE(15,6,(ROW(Liste_Handelsünger[Handelsdünger])-1)/(--(SEARCH(BH$2,Liste_Handelsünger[Handelsdünger])&gt;0)),ROW()-2),1),"")</f>
        <v>Magnesium Mischkalk 60</v>
      </c>
      <c r="BH94" t="str">
        <f>IF(($A106=""),"",IF(COUNTIF(Mineral!$AJ$3:$AJ$324,$A106),"",$A106))</f>
        <v/>
      </c>
      <c r="BI94" t="str">
        <f>IFERROR(INDEX(Liste_Handelsünger[Handelsdünger],_xlfn.AGGREGATE(15,6,(ROW(Liste_Handelsünger[Handelsdünger])-1)/(--(SEARCH(BJ$2,Liste_Handelsünger[Handelsdünger])&gt;0)),ROW()-2),1),"")</f>
        <v>Magnesium Mischkalk 60</v>
      </c>
      <c r="BJ94" t="str">
        <f>IF(($A107=""),"",IF(COUNTIF(Mineral!$AJ$3:$AJ$324,$A107),"",$A107))</f>
        <v/>
      </c>
      <c r="BK94" t="str">
        <f>IFERROR(INDEX(Liste_Handelsünger[Handelsdünger],_xlfn.AGGREGATE(15,6,(ROW(Liste_Handelsünger[Handelsdünger])-1)/(--(SEARCH(BL$2,Liste_Handelsünger[Handelsdünger])&gt;0)),ROW()-2),1),"")</f>
        <v>Magnesium Mischkalk 60</v>
      </c>
      <c r="BM94" t="str">
        <f>IFERROR(INDEX(Liste_Handelsünger[Handelsdünger],_xlfn.AGGREGATE(15,6,(ROW(Liste_Handelsünger[Handelsdünger])-1)/(--(SEARCH(BN$2,Liste_Handelsünger[Handelsdünger])&gt;0)),ROW()-2),1),"")</f>
        <v>Magnesium Mischkalk 60</v>
      </c>
      <c r="BN94" t="str">
        <f>IF(($A109=""),"",IF(COUNTIF(Mineral!$AJ$3:$AJ$324,$A109),"",$A109))</f>
        <v/>
      </c>
      <c r="BV94" t="s">
        <v>2196</v>
      </c>
      <c r="BW94" t="s">
        <v>2184</v>
      </c>
    </row>
    <row r="95" spans="18:75" ht="14.25" thickTop="1" thickBot="1">
      <c r="R95" t="str">
        <f t="array" ref="R95">IF(ROW(A66)&gt;COUNTA(A:A),"",INDEX(A:A,SMALL(IF(A$3:A$27&lt;&gt;"",ROW($3:$27)),ROW(A66))))</f>
        <v/>
      </c>
      <c r="S95" s="1616">
        <v>94</v>
      </c>
      <c r="T95" s="1617" t="s">
        <v>2335</v>
      </c>
      <c r="U95" s="1617" t="s">
        <v>2197</v>
      </c>
      <c r="V95" s="1617"/>
      <c r="W95" s="1617">
        <v>0</v>
      </c>
      <c r="X95" s="1617">
        <v>0</v>
      </c>
      <c r="Y95" s="1617">
        <v>0</v>
      </c>
      <c r="Z95" s="1617">
        <v>0</v>
      </c>
      <c r="AA95" s="1617">
        <v>65</v>
      </c>
      <c r="AB95" s="1617">
        <v>15</v>
      </c>
      <c r="AC95" s="1617">
        <v>1</v>
      </c>
      <c r="AD95" s="1613">
        <v>1</v>
      </c>
      <c r="AE95" s="1617" t="s">
        <v>1764</v>
      </c>
      <c r="AF95" s="1613" t="str">
        <f t="shared" si="15"/>
        <v/>
      </c>
      <c r="AG95" s="1656">
        <f>IFERROR(IF($AF95&gt;0,VLOOKUP($U95,Tabelle1!$C$188:$L$212,5,0)*$AF95,0),0)</f>
        <v>0</v>
      </c>
      <c r="AH95" s="1656">
        <f t="shared" si="16"/>
        <v>0</v>
      </c>
      <c r="AJ95" t="str">
        <f>IF(Betrieb!$D$9="JA",Mineral!$BW95,Mineral!$BV95)</f>
        <v>Magnesium Mischkalk 65</v>
      </c>
      <c r="AK95" s="1672" t="str">
        <f>IFERROR(INDEX(Liste_Handelsünger[Handelsdünger],_xlfn.AGGREGATE(15,6,(ROW(Liste_Handelsünger[Handelsdünger])-1)/(--(SEARCH(AL$2,Liste_Handelsünger[Handelsdünger])&gt;0)),ROW()-2),1),"")</f>
        <v>Magnesium Mischkalk 65</v>
      </c>
      <c r="AL95" s="1672" t="str">
        <f>IF(($A$3=""),"",IF(COUNTIF(Mineral!$AJ$3:$AJ$324,$A$3),"",$A$3))</f>
        <v/>
      </c>
      <c r="AM95" s="1672" t="str">
        <f>IFERROR(INDEX(Liste_Handelsünger[Handelsdünger],_xlfn.AGGREGATE(15,6,(ROW(Liste_Handelsünger[Handelsdünger])-1)/(--(SEARCH(AN$2,Liste_Handelsünger[Handelsdünger])&gt;0)),ROW()-2),1),"")</f>
        <v>Magnesium Mischkalk 65</v>
      </c>
      <c r="AN95" t="str">
        <f>IF(($A97=""),"",IF(COUNTIF(Mineral!$AJ$3:$AJ$324,$A97),"",$A97))</f>
        <v/>
      </c>
      <c r="AO95" t="str">
        <f>IFERROR(INDEX(Liste_Handelsünger[Handelsdünger],_xlfn.AGGREGATE(15,6,(ROW(Liste_Handelsünger[Handelsdünger])-1)/(--(SEARCH(AP$2,Liste_Handelsünger[Handelsdünger])&gt;0)),ROW()-2),1),"")</f>
        <v>Magnesium Mischkalk 65</v>
      </c>
      <c r="AP95" t="str">
        <f>IF(($A98=""),"",IF(COUNTIF(Mineral!$AJ$3:$AJ$324,$A98),"",$A98))</f>
        <v/>
      </c>
      <c r="AQ95" t="str">
        <f>IFERROR(INDEX(Liste_Handelsünger[Handelsdünger],_xlfn.AGGREGATE(15,6,(ROW(Liste_Handelsünger[Handelsdünger])-1)/(--(SEARCH(AR$2,Liste_Handelsünger[Handelsdünger])&gt;0)),ROW()-2),1),"")</f>
        <v>Magnesium Mischkalk 65</v>
      </c>
      <c r="AR95" t="str">
        <f>IF(($A99=""),"",IF(COUNTIF(Mineral!$AJ$3:$AJ$324,$A99),"",$A99))</f>
        <v/>
      </c>
      <c r="AS95" t="str">
        <f>IFERROR(INDEX(Liste_Handelsünger[Handelsdünger],_xlfn.AGGREGATE(15,6,(ROW(Liste_Handelsünger[Handelsdünger])-1)/(--(SEARCH(AT$2,Liste_Handelsünger[Handelsdünger])&gt;0)),ROW()-2),1),"")</f>
        <v>Magnesium Mischkalk 65</v>
      </c>
      <c r="AT95" t="str">
        <f>IF(($A100=""),"",IF(COUNTIF(Mineral!$AJ$3:$AJ$324,$A100),"",$A100))</f>
        <v/>
      </c>
      <c r="AU95" t="str">
        <f>IFERROR(INDEX(Liste_Handelsünger[Handelsdünger],_xlfn.AGGREGATE(15,6,(ROW(Liste_Handelsünger[Handelsdünger])-1)/(--(SEARCH(AV$2,Liste_Handelsünger[Handelsdünger])&gt;0)),ROW()-2),1),"")</f>
        <v>Magnesium Mischkalk 65</v>
      </c>
      <c r="AV95" t="str">
        <f>IF(($A101=""),"",IF(COUNTIF(Mineral!$AJ$3:$AJ$324,$A101),"",$A101))</f>
        <v/>
      </c>
      <c r="AW95" t="str">
        <f>IFERROR(INDEX(Liste_Handelsünger[Handelsdünger],_xlfn.AGGREGATE(15,6,(ROW(Liste_Handelsünger[Handelsdünger])-1)/(--(SEARCH(AX$2,Liste_Handelsünger[Handelsdünger])&gt;0)),ROW()-2),1),"")</f>
        <v>Magnesium Mischkalk 65</v>
      </c>
      <c r="AX95" t="str">
        <f>IF(($A102=""),"",IF(COUNTIF(Mineral!$AJ$3:$AJ$324,$A102),"",$A102))</f>
        <v/>
      </c>
      <c r="AY95" t="str">
        <f>IFERROR(INDEX(Liste_Handelsünger[Handelsdünger],_xlfn.AGGREGATE(15,6,(ROW(Liste_Handelsünger[Handelsdünger])-1)/(--(SEARCH(AZ$2,Liste_Handelsünger[Handelsdünger])&gt;0)),ROW()-2),1),"")</f>
        <v>Magnesium Mischkalk 65</v>
      </c>
      <c r="AZ95" t="str">
        <f>IF(($A103=""),"",IF(COUNTIF(Mineral!$AJ$3:$AJ$324,$A103),"",$A103))</f>
        <v/>
      </c>
      <c r="BA95" t="str">
        <f>IFERROR(INDEX(Liste_Handelsünger[Handelsdünger],_xlfn.AGGREGATE(15,6,(ROW(Liste_Handelsünger[Handelsdünger])-1)/(--(SEARCH(BB$2,Liste_Handelsünger[Handelsdünger])&gt;0)),ROW()-2),1),"")</f>
        <v>Magnesium Mischkalk 65</v>
      </c>
      <c r="BB95" t="str">
        <f>IF(($A104=""),"",IF(COUNTIF(Mineral!$AJ$3:$AJ$324,$A104),"",$A104))</f>
        <v/>
      </c>
      <c r="BC95" t="str">
        <f>IFERROR(INDEX(Liste_Handelsünger[Handelsdünger],_xlfn.AGGREGATE(15,6,(ROW(Liste_Handelsünger[Handelsdünger])-1)/(--(SEARCH(BD$2,Liste_Handelsünger[Handelsdünger])&gt;0)),ROW()-2),1),"")</f>
        <v>Magnesium Mischkalk 65</v>
      </c>
      <c r="BD95" t="str">
        <f>IF(($A105=""),"",IF(COUNTIF(Mineral!$AJ$3:$AJ$324,$A105),"",$A105))</f>
        <v/>
      </c>
      <c r="BE95" t="str">
        <f>IFERROR(INDEX(Liste_Handelsünger[Handelsdünger],_xlfn.AGGREGATE(15,6,(ROW(Liste_Handelsünger[Handelsdünger])-1)/(--(SEARCH(BF$2,Liste_Handelsünger[Handelsdünger])&gt;0)),ROW()-2),1),"")</f>
        <v>Magnesium Mischkalk 65</v>
      </c>
      <c r="BF95" t="str">
        <f>IF(($A106=""),"",IF(COUNTIF(Mineral!$AJ$3:$AJ$324,$A106),"",$A106))</f>
        <v/>
      </c>
      <c r="BG95" t="str">
        <f>IFERROR(INDEX(Liste_Handelsünger[Handelsdünger],_xlfn.AGGREGATE(15,6,(ROW(Liste_Handelsünger[Handelsdünger])-1)/(--(SEARCH(BH$2,Liste_Handelsünger[Handelsdünger])&gt;0)),ROW()-2),1),"")</f>
        <v>Magnesium Mischkalk 65</v>
      </c>
      <c r="BH95" t="str">
        <f>IF(($A107=""),"",IF(COUNTIF(Mineral!$AJ$3:$AJ$324,$A107),"",$A107))</f>
        <v/>
      </c>
      <c r="BI95" t="str">
        <f>IFERROR(INDEX(Liste_Handelsünger[Handelsdünger],_xlfn.AGGREGATE(15,6,(ROW(Liste_Handelsünger[Handelsdünger])-1)/(--(SEARCH(BJ$2,Liste_Handelsünger[Handelsdünger])&gt;0)),ROW()-2),1),"")</f>
        <v>Magnesium Mischkalk 65</v>
      </c>
      <c r="BJ95" t="str">
        <f>IF(($A108=""),"",IF(COUNTIF(Mineral!$AJ$3:$AJ$324,$A108),"",$A108))</f>
        <v/>
      </c>
      <c r="BK95" t="str">
        <f>IFERROR(INDEX(Liste_Handelsünger[Handelsdünger],_xlfn.AGGREGATE(15,6,(ROW(Liste_Handelsünger[Handelsdünger])-1)/(--(SEARCH(BL$2,Liste_Handelsünger[Handelsdünger])&gt;0)),ROW()-2),1),"")</f>
        <v>Magnesium Mischkalk 65</v>
      </c>
      <c r="BM95" t="str">
        <f>IFERROR(INDEX(Liste_Handelsünger[Handelsdünger],_xlfn.AGGREGATE(15,6,(ROW(Liste_Handelsünger[Handelsdünger])-1)/(--(SEARCH(BN$2,Liste_Handelsünger[Handelsdünger])&gt;0)),ROW()-2),1),"")</f>
        <v>Magnesium Mischkalk 65</v>
      </c>
      <c r="BN95" t="str">
        <f>IF(($A110=""),"",IF(COUNTIF(Mineral!$AJ$3:$AJ$324,$A110),"",$A110))</f>
        <v/>
      </c>
      <c r="BV95" t="s">
        <v>2197</v>
      </c>
      <c r="BW95" t="s">
        <v>2185</v>
      </c>
    </row>
    <row r="96" spans="18:75" ht="14.25" thickTop="1" thickBot="1">
      <c r="R96" t="str">
        <f t="array" ref="R96">IF(ROW(A67)&gt;COUNTA(A:A),"",INDEX(A:A,SMALL(IF(A$3:A$27&lt;&gt;"",ROW($3:$27)),ROW(A67))))</f>
        <v/>
      </c>
      <c r="S96" s="1676">
        <v>95</v>
      </c>
      <c r="T96" s="1606" t="s">
        <v>2335</v>
      </c>
      <c r="U96" s="1606" t="s">
        <v>2198</v>
      </c>
      <c r="V96" s="1606"/>
      <c r="W96" s="1606">
        <v>0</v>
      </c>
      <c r="X96" s="1606">
        <v>0</v>
      </c>
      <c r="Y96" s="1606">
        <v>0</v>
      </c>
      <c r="Z96" s="1606">
        <v>0</v>
      </c>
      <c r="AA96" s="1606">
        <v>0</v>
      </c>
      <c r="AB96" s="1606">
        <v>0</v>
      </c>
      <c r="AC96" s="1606">
        <v>1</v>
      </c>
      <c r="AD96" s="1613">
        <v>1</v>
      </c>
      <c r="AE96" s="1606" t="s">
        <v>1764</v>
      </c>
      <c r="AF96" s="1613" t="str">
        <f t="shared" si="15"/>
        <v/>
      </c>
      <c r="AG96" s="1656">
        <f>IFERROR(IF($AF96&gt;0,VLOOKUP($U96,Tabelle1!$C$188:$L$212,5,0)*$AF96,0),0)</f>
        <v>0</v>
      </c>
      <c r="AH96" s="1656">
        <f t="shared" si="16"/>
        <v>0</v>
      </c>
      <c r="AJ96" t="str">
        <f>IF(Betrieb!$D$9="JA",Mineral!$BW96,Mineral!$BV96)</f>
        <v>Magnesiumnitrat</v>
      </c>
      <c r="AK96" s="1672" t="str">
        <f>IFERROR(INDEX(Liste_Handelsünger[Handelsdünger],_xlfn.AGGREGATE(15,6,(ROW(Liste_Handelsünger[Handelsdünger])-1)/(--(SEARCH(AL$2,Liste_Handelsünger[Handelsdünger])&gt;0)),ROW()-2),1),"")</f>
        <v>Magnesiumnitrat</v>
      </c>
      <c r="AL96" s="1672" t="str">
        <f>IF(($A$3=""),"",IF(COUNTIF(Mineral!$AJ$3:$AJ$324,$A$3),"",$A$3))</f>
        <v/>
      </c>
      <c r="AM96" s="1672" t="str">
        <f>IFERROR(INDEX(Liste_Handelsünger[Handelsdünger],_xlfn.AGGREGATE(15,6,(ROW(Liste_Handelsünger[Handelsdünger])-1)/(--(SEARCH(AN$2,Liste_Handelsünger[Handelsdünger])&gt;0)),ROW()-2),1),"")</f>
        <v>Magnesiumnitrat</v>
      </c>
      <c r="AN96" t="str">
        <f>IF(($A98=""),"",IF(COUNTIF(Mineral!$AJ$3:$AJ$324,$A98),"",$A98))</f>
        <v/>
      </c>
      <c r="AO96" t="str">
        <f>IFERROR(INDEX(Liste_Handelsünger[Handelsdünger],_xlfn.AGGREGATE(15,6,(ROW(Liste_Handelsünger[Handelsdünger])-1)/(--(SEARCH(AP$2,Liste_Handelsünger[Handelsdünger])&gt;0)),ROW()-2),1),"")</f>
        <v>Magnesiumnitrat</v>
      </c>
      <c r="AP96" t="str">
        <f>IF(($A99=""),"",IF(COUNTIF(Mineral!$AJ$3:$AJ$324,$A99),"",$A99))</f>
        <v/>
      </c>
      <c r="AQ96" t="str">
        <f>IFERROR(INDEX(Liste_Handelsünger[Handelsdünger],_xlfn.AGGREGATE(15,6,(ROW(Liste_Handelsünger[Handelsdünger])-1)/(--(SEARCH(AR$2,Liste_Handelsünger[Handelsdünger])&gt;0)),ROW()-2),1),"")</f>
        <v>Magnesiumnitrat</v>
      </c>
      <c r="AR96" t="str">
        <f>IF(($A100=""),"",IF(COUNTIF(Mineral!$AJ$3:$AJ$324,$A100),"",$A100))</f>
        <v/>
      </c>
      <c r="AS96" t="str">
        <f>IFERROR(INDEX(Liste_Handelsünger[Handelsdünger],_xlfn.AGGREGATE(15,6,(ROW(Liste_Handelsünger[Handelsdünger])-1)/(--(SEARCH(AT$2,Liste_Handelsünger[Handelsdünger])&gt;0)),ROW()-2),1),"")</f>
        <v>Magnesiumnitrat</v>
      </c>
      <c r="AT96" t="str">
        <f>IF(($A101=""),"",IF(COUNTIF(Mineral!$AJ$3:$AJ$324,$A101),"",$A101))</f>
        <v/>
      </c>
      <c r="AU96" t="str">
        <f>IFERROR(INDEX(Liste_Handelsünger[Handelsdünger],_xlfn.AGGREGATE(15,6,(ROW(Liste_Handelsünger[Handelsdünger])-1)/(--(SEARCH(AV$2,Liste_Handelsünger[Handelsdünger])&gt;0)),ROW()-2),1),"")</f>
        <v>Magnesiumnitrat</v>
      </c>
      <c r="AV96" t="str">
        <f>IF(($A102=""),"",IF(COUNTIF(Mineral!$AJ$3:$AJ$324,$A102),"",$A102))</f>
        <v/>
      </c>
      <c r="AW96" t="str">
        <f>IFERROR(INDEX(Liste_Handelsünger[Handelsdünger],_xlfn.AGGREGATE(15,6,(ROW(Liste_Handelsünger[Handelsdünger])-1)/(--(SEARCH(AX$2,Liste_Handelsünger[Handelsdünger])&gt;0)),ROW()-2),1),"")</f>
        <v>Magnesiumnitrat</v>
      </c>
      <c r="AX96" t="str">
        <f>IF(($A103=""),"",IF(COUNTIF(Mineral!$AJ$3:$AJ$324,$A103),"",$A103))</f>
        <v/>
      </c>
      <c r="AY96" t="str">
        <f>IFERROR(INDEX(Liste_Handelsünger[Handelsdünger],_xlfn.AGGREGATE(15,6,(ROW(Liste_Handelsünger[Handelsdünger])-1)/(--(SEARCH(AZ$2,Liste_Handelsünger[Handelsdünger])&gt;0)),ROW()-2),1),"")</f>
        <v>Magnesiumnitrat</v>
      </c>
      <c r="AZ96" t="str">
        <f>IF(($A104=""),"",IF(COUNTIF(Mineral!$AJ$3:$AJ$324,$A104),"",$A104))</f>
        <v/>
      </c>
      <c r="BA96" t="str">
        <f>IFERROR(INDEX(Liste_Handelsünger[Handelsdünger],_xlfn.AGGREGATE(15,6,(ROW(Liste_Handelsünger[Handelsdünger])-1)/(--(SEARCH(BB$2,Liste_Handelsünger[Handelsdünger])&gt;0)),ROW()-2),1),"")</f>
        <v>Magnesiumnitrat</v>
      </c>
      <c r="BB96" t="str">
        <f>IF(($A105=""),"",IF(COUNTIF(Mineral!$AJ$3:$AJ$324,$A105),"",$A105))</f>
        <v/>
      </c>
      <c r="BC96" t="str">
        <f>IFERROR(INDEX(Liste_Handelsünger[Handelsdünger],_xlfn.AGGREGATE(15,6,(ROW(Liste_Handelsünger[Handelsdünger])-1)/(--(SEARCH(BD$2,Liste_Handelsünger[Handelsdünger])&gt;0)),ROW()-2),1),"")</f>
        <v>Magnesiumnitrat</v>
      </c>
      <c r="BD96" t="str">
        <f>IF(($A106=""),"",IF(COUNTIF(Mineral!$AJ$3:$AJ$324,$A106),"",$A106))</f>
        <v/>
      </c>
      <c r="BE96" t="str">
        <f>IFERROR(INDEX(Liste_Handelsünger[Handelsdünger],_xlfn.AGGREGATE(15,6,(ROW(Liste_Handelsünger[Handelsdünger])-1)/(--(SEARCH(BF$2,Liste_Handelsünger[Handelsdünger])&gt;0)),ROW()-2),1),"")</f>
        <v>Magnesiumnitrat</v>
      </c>
      <c r="BF96" t="str">
        <f>IF(($A107=""),"",IF(COUNTIF(Mineral!$AJ$3:$AJ$324,$A107),"",$A107))</f>
        <v/>
      </c>
      <c r="BG96" t="str">
        <f>IFERROR(INDEX(Liste_Handelsünger[Handelsdünger],_xlfn.AGGREGATE(15,6,(ROW(Liste_Handelsünger[Handelsdünger])-1)/(--(SEARCH(BH$2,Liste_Handelsünger[Handelsdünger])&gt;0)),ROW()-2),1),"")</f>
        <v>Magnesiumnitrat</v>
      </c>
      <c r="BH96" t="str">
        <f>IF(($A108=""),"",IF(COUNTIF(Mineral!$AJ$3:$AJ$324,$A108),"",$A108))</f>
        <v/>
      </c>
      <c r="BI96" t="str">
        <f>IFERROR(INDEX(Liste_Handelsünger[Handelsdünger],_xlfn.AGGREGATE(15,6,(ROW(Liste_Handelsünger[Handelsdünger])-1)/(--(SEARCH(BJ$2,Liste_Handelsünger[Handelsdünger])&gt;0)),ROW()-2),1),"")</f>
        <v>Magnesiumnitrat</v>
      </c>
      <c r="BJ96" t="str">
        <f>IF(($A109=""),"",IF(COUNTIF(Mineral!$AJ$3:$AJ$324,$A109),"",$A109))</f>
        <v/>
      </c>
      <c r="BK96" t="str">
        <f>IFERROR(INDEX(Liste_Handelsünger[Handelsdünger],_xlfn.AGGREGATE(15,6,(ROW(Liste_Handelsünger[Handelsdünger])-1)/(--(SEARCH(BL$2,Liste_Handelsünger[Handelsdünger])&gt;0)),ROW()-2),1),"")</f>
        <v>Magnesiumnitrat</v>
      </c>
      <c r="BM96" t="str">
        <f>IFERROR(INDEX(Liste_Handelsünger[Handelsdünger],_xlfn.AGGREGATE(15,6,(ROW(Liste_Handelsünger[Handelsdünger])-1)/(--(SEARCH(BN$2,Liste_Handelsünger[Handelsdünger])&gt;0)),ROW()-2),1),"")</f>
        <v>Magnesiumnitrat</v>
      </c>
      <c r="BN96" t="str">
        <f>IF(($A111=""),"",IF(COUNTIF(Mineral!$AJ$3:$AJ$324,$A111),"",$A111))</f>
        <v/>
      </c>
      <c r="BV96" t="s">
        <v>2198</v>
      </c>
      <c r="BW96" t="s">
        <v>2186</v>
      </c>
    </row>
    <row r="97" spans="18:75" ht="14.25" thickTop="1" thickBot="1">
      <c r="R97" t="str">
        <f t="array" ref="R97">IF(ROW(A68)&gt;COUNTA(A:A),"",INDEX(A:A,SMALL(IF(A$3:A$27&lt;&gt;"",ROW($3:$27)),ROW(A68))))</f>
        <v/>
      </c>
      <c r="S97" s="1616">
        <v>96</v>
      </c>
      <c r="T97" s="1617" t="s">
        <v>2335</v>
      </c>
      <c r="U97" s="1617" t="s">
        <v>2202</v>
      </c>
      <c r="V97" s="1617"/>
      <c r="W97" s="1617">
        <v>0</v>
      </c>
      <c r="X97" s="1617">
        <v>0</v>
      </c>
      <c r="Y97" s="1617">
        <v>0</v>
      </c>
      <c r="Z97" s="1617">
        <v>0</v>
      </c>
      <c r="AA97" s="1617">
        <v>0</v>
      </c>
      <c r="AB97" s="1617">
        <v>0</v>
      </c>
      <c r="AC97" s="1617">
        <v>1</v>
      </c>
      <c r="AD97" s="1613">
        <v>1</v>
      </c>
      <c r="AE97" s="1617" t="s">
        <v>1764</v>
      </c>
      <c r="AF97" s="1613" t="str">
        <f t="shared" si="15"/>
        <v/>
      </c>
      <c r="AG97" s="1656">
        <f>IFERROR(IF($AF97&gt;0,VLOOKUP($U97,Tabelle1!$C$188:$L$212,5,0)*$AF97,0),0)</f>
        <v>0</v>
      </c>
      <c r="AH97" s="1656">
        <f t="shared" si="16"/>
        <v>0</v>
      </c>
      <c r="AJ97" t="str">
        <f>IF(Betrieb!$D$9="JA",Mineral!$BW97,Mineral!$BV97)</f>
        <v>Mangan-Chelat flüssig</v>
      </c>
      <c r="AK97" s="1672" t="str">
        <f>IFERROR(INDEX(Liste_Handelsünger[Handelsdünger],_xlfn.AGGREGATE(15,6,(ROW(Liste_Handelsünger[Handelsdünger])-1)/(--(SEARCH(AL$2,Liste_Handelsünger[Handelsdünger])&gt;0)),ROW()-2),1),"")</f>
        <v>Mangan-Chelat flüssig</v>
      </c>
      <c r="AL97" s="1672" t="str">
        <f>IF(($A$3=""),"",IF(COUNTIF(Mineral!$AJ$3:$AJ$324,$A$3),"",$A$3))</f>
        <v/>
      </c>
      <c r="AM97" s="1672" t="str">
        <f>IFERROR(INDEX(Liste_Handelsünger[Handelsdünger],_xlfn.AGGREGATE(15,6,(ROW(Liste_Handelsünger[Handelsdünger])-1)/(--(SEARCH(AN$2,Liste_Handelsünger[Handelsdünger])&gt;0)),ROW()-2),1),"")</f>
        <v>Mangan-Chelat flüssig</v>
      </c>
      <c r="AN97" t="str">
        <f>IF(($A99=""),"",IF(COUNTIF(Mineral!$AJ$3:$AJ$324,$A99),"",$A99))</f>
        <v/>
      </c>
      <c r="AO97" t="str">
        <f>IFERROR(INDEX(Liste_Handelsünger[Handelsdünger],_xlfn.AGGREGATE(15,6,(ROW(Liste_Handelsünger[Handelsdünger])-1)/(--(SEARCH(AP$2,Liste_Handelsünger[Handelsdünger])&gt;0)),ROW()-2),1),"")</f>
        <v>Mangan-Chelat flüssig</v>
      </c>
      <c r="AP97" t="str">
        <f>IF(($A100=""),"",IF(COUNTIF(Mineral!$AJ$3:$AJ$324,$A100),"",$A100))</f>
        <v/>
      </c>
      <c r="AQ97" t="str">
        <f>IFERROR(INDEX(Liste_Handelsünger[Handelsdünger],_xlfn.AGGREGATE(15,6,(ROW(Liste_Handelsünger[Handelsdünger])-1)/(--(SEARCH(AR$2,Liste_Handelsünger[Handelsdünger])&gt;0)),ROW()-2),1),"")</f>
        <v>Mangan-Chelat flüssig</v>
      </c>
      <c r="AR97" t="str">
        <f>IF(($A101=""),"",IF(COUNTIF(Mineral!$AJ$3:$AJ$324,$A101),"",$A101))</f>
        <v/>
      </c>
      <c r="AS97" t="str">
        <f>IFERROR(INDEX(Liste_Handelsünger[Handelsdünger],_xlfn.AGGREGATE(15,6,(ROW(Liste_Handelsünger[Handelsdünger])-1)/(--(SEARCH(AT$2,Liste_Handelsünger[Handelsdünger])&gt;0)),ROW()-2),1),"")</f>
        <v>Mangan-Chelat flüssig</v>
      </c>
      <c r="AT97" t="str">
        <f>IF(($A102=""),"",IF(COUNTIF(Mineral!$AJ$3:$AJ$324,$A102),"",$A102))</f>
        <v/>
      </c>
      <c r="AU97" t="str">
        <f>IFERROR(INDEX(Liste_Handelsünger[Handelsdünger],_xlfn.AGGREGATE(15,6,(ROW(Liste_Handelsünger[Handelsdünger])-1)/(--(SEARCH(AV$2,Liste_Handelsünger[Handelsdünger])&gt;0)),ROW()-2),1),"")</f>
        <v>Mangan-Chelat flüssig</v>
      </c>
      <c r="AV97" t="str">
        <f>IF(($A103=""),"",IF(COUNTIF(Mineral!$AJ$3:$AJ$324,$A103),"",$A103))</f>
        <v/>
      </c>
      <c r="AW97" t="str">
        <f>IFERROR(INDEX(Liste_Handelsünger[Handelsdünger],_xlfn.AGGREGATE(15,6,(ROW(Liste_Handelsünger[Handelsdünger])-1)/(--(SEARCH(AX$2,Liste_Handelsünger[Handelsdünger])&gt;0)),ROW()-2),1),"")</f>
        <v>Mangan-Chelat flüssig</v>
      </c>
      <c r="AX97" t="str">
        <f>IF(($A104=""),"",IF(COUNTIF(Mineral!$AJ$3:$AJ$324,$A104),"",$A104))</f>
        <v/>
      </c>
      <c r="AY97" t="str">
        <f>IFERROR(INDEX(Liste_Handelsünger[Handelsdünger],_xlfn.AGGREGATE(15,6,(ROW(Liste_Handelsünger[Handelsdünger])-1)/(--(SEARCH(AZ$2,Liste_Handelsünger[Handelsdünger])&gt;0)),ROW()-2),1),"")</f>
        <v>Mangan-Chelat flüssig</v>
      </c>
      <c r="AZ97" t="str">
        <f>IF(($A105=""),"",IF(COUNTIF(Mineral!$AJ$3:$AJ$324,$A105),"",$A105))</f>
        <v/>
      </c>
      <c r="BA97" t="str">
        <f>IFERROR(INDEX(Liste_Handelsünger[Handelsdünger],_xlfn.AGGREGATE(15,6,(ROW(Liste_Handelsünger[Handelsdünger])-1)/(--(SEARCH(BB$2,Liste_Handelsünger[Handelsdünger])&gt;0)),ROW()-2),1),"")</f>
        <v>Mangan-Chelat flüssig</v>
      </c>
      <c r="BB97" t="str">
        <f>IF(($A106=""),"",IF(COUNTIF(Mineral!$AJ$3:$AJ$324,$A106),"",$A106))</f>
        <v/>
      </c>
      <c r="BC97" t="str">
        <f>IFERROR(INDEX(Liste_Handelsünger[Handelsdünger],_xlfn.AGGREGATE(15,6,(ROW(Liste_Handelsünger[Handelsdünger])-1)/(--(SEARCH(BD$2,Liste_Handelsünger[Handelsdünger])&gt;0)),ROW()-2),1),"")</f>
        <v>Mangan-Chelat flüssig</v>
      </c>
      <c r="BD97" t="str">
        <f>IF(($A107=""),"",IF(COUNTIF(Mineral!$AJ$3:$AJ$324,$A107),"",$A107))</f>
        <v/>
      </c>
      <c r="BE97" t="str">
        <f>IFERROR(INDEX(Liste_Handelsünger[Handelsdünger],_xlfn.AGGREGATE(15,6,(ROW(Liste_Handelsünger[Handelsdünger])-1)/(--(SEARCH(BF$2,Liste_Handelsünger[Handelsdünger])&gt;0)),ROW()-2),1),"")</f>
        <v>Mangan-Chelat flüssig</v>
      </c>
      <c r="BF97" t="str">
        <f>IF(($A108=""),"",IF(COUNTIF(Mineral!$AJ$3:$AJ$324,$A108),"",$A108))</f>
        <v/>
      </c>
      <c r="BG97" t="str">
        <f>IFERROR(INDEX(Liste_Handelsünger[Handelsdünger],_xlfn.AGGREGATE(15,6,(ROW(Liste_Handelsünger[Handelsdünger])-1)/(--(SEARCH(BH$2,Liste_Handelsünger[Handelsdünger])&gt;0)),ROW()-2),1),"")</f>
        <v>Mangan-Chelat flüssig</v>
      </c>
      <c r="BH97" t="str">
        <f>IF(($A109=""),"",IF(COUNTIF(Mineral!$AJ$3:$AJ$324,$A109),"",$A109))</f>
        <v/>
      </c>
      <c r="BI97" t="str">
        <f>IFERROR(INDEX(Liste_Handelsünger[Handelsdünger],_xlfn.AGGREGATE(15,6,(ROW(Liste_Handelsünger[Handelsdünger])-1)/(--(SEARCH(BJ$2,Liste_Handelsünger[Handelsdünger])&gt;0)),ROW()-2),1),"")</f>
        <v>Mangan-Chelat flüssig</v>
      </c>
      <c r="BJ97" t="str">
        <f>IF(($A110=""),"",IF(COUNTIF(Mineral!$AJ$3:$AJ$324,$A110),"",$A110))</f>
        <v/>
      </c>
      <c r="BK97" t="str">
        <f>IFERROR(INDEX(Liste_Handelsünger[Handelsdünger],_xlfn.AGGREGATE(15,6,(ROW(Liste_Handelsünger[Handelsdünger])-1)/(--(SEARCH(BL$2,Liste_Handelsünger[Handelsdünger])&gt;0)),ROW()-2),1),"")</f>
        <v>Mangan-Chelat flüssig</v>
      </c>
      <c r="BM97" t="str">
        <f>IFERROR(INDEX(Liste_Handelsünger[Handelsdünger],_xlfn.AGGREGATE(15,6,(ROW(Liste_Handelsünger[Handelsdünger])-1)/(--(SEARCH(BN$2,Liste_Handelsünger[Handelsdünger])&gt;0)),ROW()-2),1),"")</f>
        <v>Mangan-Chelat flüssig</v>
      </c>
      <c r="BN97" t="str">
        <f>IF(($A112=""),"",IF(COUNTIF(Mineral!$AJ$3:$AJ$324,$A112),"",$A112))</f>
        <v/>
      </c>
      <c r="BV97" t="s">
        <v>2202</v>
      </c>
      <c r="BW97" t="s">
        <v>2189</v>
      </c>
    </row>
    <row r="98" spans="18:75" ht="14.25" thickTop="1" thickBot="1">
      <c r="R98" t="str">
        <f t="array" ref="R98">IF(ROW(A69)&gt;COUNTA(A:A),"",INDEX(A:A,SMALL(IF(A$3:A$27&lt;&gt;"",ROW($3:$27)),ROW(A69))))</f>
        <v/>
      </c>
      <c r="S98" s="1676">
        <v>97</v>
      </c>
      <c r="T98" s="1606" t="s">
        <v>2335</v>
      </c>
      <c r="U98" s="1606" t="s">
        <v>2205</v>
      </c>
      <c r="V98" s="1606"/>
      <c r="W98" s="1606">
        <v>0</v>
      </c>
      <c r="X98" s="1606">
        <v>0</v>
      </c>
      <c r="Y98" s="1606">
        <v>0</v>
      </c>
      <c r="Z98" s="1606">
        <v>0</v>
      </c>
      <c r="AA98" s="1606">
        <v>60</v>
      </c>
      <c r="AB98" s="1606">
        <v>3</v>
      </c>
      <c r="AC98" s="1606">
        <v>1</v>
      </c>
      <c r="AD98" s="1613">
        <v>1</v>
      </c>
      <c r="AE98" s="1606" t="s">
        <v>1764</v>
      </c>
      <c r="AF98" s="1613" t="str">
        <f t="shared" si="15"/>
        <v/>
      </c>
      <c r="AG98" s="1656">
        <f>IFERROR(IF($AF98&gt;0,VLOOKUP($U98,Tabelle1!$C$188:$L$212,5,0)*$AF98,0),0)</f>
        <v>0</v>
      </c>
      <c r="AH98" s="1656">
        <f t="shared" si="16"/>
        <v>0</v>
      </c>
      <c r="AJ98" t="str">
        <f>IF(Betrieb!$D$9="JA",Mineral!$BW98,Mineral!$BV98)</f>
        <v>Mischkalk</v>
      </c>
      <c r="AK98" s="1672" t="str">
        <f>IFERROR(INDEX(Liste_Handelsünger[Handelsdünger],_xlfn.AGGREGATE(15,6,(ROW(Liste_Handelsünger[Handelsdünger])-1)/(--(SEARCH(AL$2,Liste_Handelsünger[Handelsdünger])&gt;0)),ROW()-2),1),"")</f>
        <v>Mischkalk</v>
      </c>
      <c r="AL98" s="1672" t="str">
        <f>IF(($A$3=""),"",IF(COUNTIF(Mineral!$AJ$3:$AJ$324,$A$3),"",$A$3))</f>
        <v/>
      </c>
      <c r="AM98" s="1672" t="str">
        <f>IFERROR(INDEX(Liste_Handelsünger[Handelsdünger],_xlfn.AGGREGATE(15,6,(ROW(Liste_Handelsünger[Handelsdünger])-1)/(--(SEARCH(AN$2,Liste_Handelsünger[Handelsdünger])&gt;0)),ROW()-2),1),"")</f>
        <v>Mischkalk</v>
      </c>
      <c r="AN98" t="str">
        <f>IF(($A100=""),"",IF(COUNTIF(Mineral!$AJ$3:$AJ$324,$A100),"",$A100))</f>
        <v/>
      </c>
      <c r="AO98" t="str">
        <f>IFERROR(INDEX(Liste_Handelsünger[Handelsdünger],_xlfn.AGGREGATE(15,6,(ROW(Liste_Handelsünger[Handelsdünger])-1)/(--(SEARCH(AP$2,Liste_Handelsünger[Handelsdünger])&gt;0)),ROW()-2),1),"")</f>
        <v>Mischkalk</v>
      </c>
      <c r="AP98" t="str">
        <f>IF(($A101=""),"",IF(COUNTIF(Mineral!$AJ$3:$AJ$324,$A101),"",$A101))</f>
        <v/>
      </c>
      <c r="AQ98" t="str">
        <f>IFERROR(INDEX(Liste_Handelsünger[Handelsdünger],_xlfn.AGGREGATE(15,6,(ROW(Liste_Handelsünger[Handelsdünger])-1)/(--(SEARCH(AR$2,Liste_Handelsünger[Handelsdünger])&gt;0)),ROW()-2),1),"")</f>
        <v>Mischkalk</v>
      </c>
      <c r="AR98" t="str">
        <f>IF(($A102=""),"",IF(COUNTIF(Mineral!$AJ$3:$AJ$324,$A102),"",$A102))</f>
        <v/>
      </c>
      <c r="AS98" t="str">
        <f>IFERROR(INDEX(Liste_Handelsünger[Handelsdünger],_xlfn.AGGREGATE(15,6,(ROW(Liste_Handelsünger[Handelsdünger])-1)/(--(SEARCH(AT$2,Liste_Handelsünger[Handelsdünger])&gt;0)),ROW()-2),1),"")</f>
        <v>Mischkalk</v>
      </c>
      <c r="AT98" t="str">
        <f>IF(($A103=""),"",IF(COUNTIF(Mineral!$AJ$3:$AJ$324,$A103),"",$A103))</f>
        <v/>
      </c>
      <c r="AU98" t="str">
        <f>IFERROR(INDEX(Liste_Handelsünger[Handelsdünger],_xlfn.AGGREGATE(15,6,(ROW(Liste_Handelsünger[Handelsdünger])-1)/(--(SEARCH(AV$2,Liste_Handelsünger[Handelsdünger])&gt;0)),ROW()-2),1),"")</f>
        <v>Mischkalk</v>
      </c>
      <c r="AV98" t="str">
        <f>IF(($A104=""),"",IF(COUNTIF(Mineral!$AJ$3:$AJ$324,$A104),"",$A104))</f>
        <v/>
      </c>
      <c r="AW98" t="str">
        <f>IFERROR(INDEX(Liste_Handelsünger[Handelsdünger],_xlfn.AGGREGATE(15,6,(ROW(Liste_Handelsünger[Handelsdünger])-1)/(--(SEARCH(AX$2,Liste_Handelsünger[Handelsdünger])&gt;0)),ROW()-2),1),"")</f>
        <v>Mischkalk</v>
      </c>
      <c r="AX98" t="str">
        <f>IF(($A105=""),"",IF(COUNTIF(Mineral!$AJ$3:$AJ$324,$A105),"",$A105))</f>
        <v/>
      </c>
      <c r="AY98" t="str">
        <f>IFERROR(INDEX(Liste_Handelsünger[Handelsdünger],_xlfn.AGGREGATE(15,6,(ROW(Liste_Handelsünger[Handelsdünger])-1)/(--(SEARCH(AZ$2,Liste_Handelsünger[Handelsdünger])&gt;0)),ROW()-2),1),"")</f>
        <v>Mischkalk</v>
      </c>
      <c r="AZ98" t="str">
        <f>IF(($A106=""),"",IF(COUNTIF(Mineral!$AJ$3:$AJ$324,$A106),"",$A106))</f>
        <v/>
      </c>
      <c r="BA98" t="str">
        <f>IFERROR(INDEX(Liste_Handelsünger[Handelsdünger],_xlfn.AGGREGATE(15,6,(ROW(Liste_Handelsünger[Handelsdünger])-1)/(--(SEARCH(BB$2,Liste_Handelsünger[Handelsdünger])&gt;0)),ROW()-2),1),"")</f>
        <v>Mischkalk</v>
      </c>
      <c r="BB98" t="str">
        <f>IF(($A107=""),"",IF(COUNTIF(Mineral!$AJ$3:$AJ$324,$A107),"",$A107))</f>
        <v/>
      </c>
      <c r="BC98" t="str">
        <f>IFERROR(INDEX(Liste_Handelsünger[Handelsdünger],_xlfn.AGGREGATE(15,6,(ROW(Liste_Handelsünger[Handelsdünger])-1)/(--(SEARCH(BD$2,Liste_Handelsünger[Handelsdünger])&gt;0)),ROW()-2),1),"")</f>
        <v>Mischkalk</v>
      </c>
      <c r="BD98" t="str">
        <f>IF(($A108=""),"",IF(COUNTIF(Mineral!$AJ$3:$AJ$324,$A108),"",$A108))</f>
        <v/>
      </c>
      <c r="BE98" t="str">
        <f>IFERROR(INDEX(Liste_Handelsünger[Handelsdünger],_xlfn.AGGREGATE(15,6,(ROW(Liste_Handelsünger[Handelsdünger])-1)/(--(SEARCH(BF$2,Liste_Handelsünger[Handelsdünger])&gt;0)),ROW()-2),1),"")</f>
        <v>Mischkalk</v>
      </c>
      <c r="BF98" t="str">
        <f>IF(($A109=""),"",IF(COUNTIF(Mineral!$AJ$3:$AJ$324,$A109),"",$A109))</f>
        <v/>
      </c>
      <c r="BG98" t="str">
        <f>IFERROR(INDEX(Liste_Handelsünger[Handelsdünger],_xlfn.AGGREGATE(15,6,(ROW(Liste_Handelsünger[Handelsdünger])-1)/(--(SEARCH(BH$2,Liste_Handelsünger[Handelsdünger])&gt;0)),ROW()-2),1),"")</f>
        <v>Mischkalk</v>
      </c>
      <c r="BH98" t="str">
        <f>IF(($A110=""),"",IF(COUNTIF(Mineral!$AJ$3:$AJ$324,$A110),"",$A110))</f>
        <v/>
      </c>
      <c r="BI98" t="str">
        <f>IFERROR(INDEX(Liste_Handelsünger[Handelsdünger],_xlfn.AGGREGATE(15,6,(ROW(Liste_Handelsünger[Handelsdünger])-1)/(--(SEARCH(BJ$2,Liste_Handelsünger[Handelsdünger])&gt;0)),ROW()-2),1),"")</f>
        <v>Mischkalk</v>
      </c>
      <c r="BJ98" t="str">
        <f>IF(($A111=""),"",IF(COUNTIF(Mineral!$AJ$3:$AJ$324,$A111),"",$A111))</f>
        <v/>
      </c>
      <c r="BK98" t="str">
        <f>IFERROR(INDEX(Liste_Handelsünger[Handelsdünger],_xlfn.AGGREGATE(15,6,(ROW(Liste_Handelsünger[Handelsdünger])-1)/(--(SEARCH(BL$2,Liste_Handelsünger[Handelsdünger])&gt;0)),ROW()-2),1),"")</f>
        <v>Mischkalk</v>
      </c>
      <c r="BM98" t="str">
        <f>IFERROR(INDEX(Liste_Handelsünger[Handelsdünger],_xlfn.AGGREGATE(15,6,(ROW(Liste_Handelsünger[Handelsdünger])-1)/(--(SEARCH(BN$2,Liste_Handelsünger[Handelsdünger])&gt;0)),ROW()-2),1),"")</f>
        <v>Mischkalk</v>
      </c>
      <c r="BN98" t="str">
        <f>IF(($A113=""),"",IF(COUNTIF(Mineral!$AJ$3:$AJ$324,$A113),"",$A113))</f>
        <v/>
      </c>
      <c r="BV98" t="s">
        <v>2205</v>
      </c>
      <c r="BW98" t="s">
        <v>2190</v>
      </c>
    </row>
    <row r="99" spans="18:75" ht="14.25" thickTop="1" thickBot="1">
      <c r="R99" t="str">
        <f t="array" ref="R99">IF(ROW(A70)&gt;COUNTA(A:A),"",INDEX(A:A,SMALL(IF(A$3:A$27&lt;&gt;"",ROW($3:$27)),ROW(A70))))</f>
        <v/>
      </c>
      <c r="S99" s="1616">
        <v>98</v>
      </c>
      <c r="T99" s="1617" t="s">
        <v>2335</v>
      </c>
      <c r="U99" s="1617" t="s">
        <v>2208</v>
      </c>
      <c r="V99" s="1617"/>
      <c r="W99" s="1617">
        <v>12</v>
      </c>
      <c r="X99" s="1617">
        <v>52</v>
      </c>
      <c r="Y99" s="1617">
        <v>0</v>
      </c>
      <c r="Z99" s="1617">
        <v>0</v>
      </c>
      <c r="AA99" s="1617">
        <v>0</v>
      </c>
      <c r="AB99" s="1617">
        <v>0</v>
      </c>
      <c r="AC99" s="1617">
        <v>1</v>
      </c>
      <c r="AD99" s="1613">
        <v>1</v>
      </c>
      <c r="AE99" s="1617" t="s">
        <v>2016</v>
      </c>
      <c r="AF99" s="1613" t="str">
        <f t="shared" si="15"/>
        <v/>
      </c>
      <c r="AG99" s="1656">
        <f>IFERROR(IF($AF99&gt;0,VLOOKUP($U99,Tabelle1!$C$188:$L$212,5,0)*$AF99,0),0)</f>
        <v>0</v>
      </c>
      <c r="AH99" s="1656">
        <f t="shared" si="16"/>
        <v>0</v>
      </c>
      <c r="AJ99" t="str">
        <f>IF(Betrieb!$D$9="JA",Mineral!$BW99,Mineral!$BV99)</f>
        <v>Monoammoniumph. 12:52:0</v>
      </c>
      <c r="AK99" s="1672" t="str">
        <f>IFERROR(INDEX(Liste_Handelsünger[Handelsdünger],_xlfn.AGGREGATE(15,6,(ROW(Liste_Handelsünger[Handelsdünger])-1)/(--(SEARCH(AL$2,Liste_Handelsünger[Handelsdünger])&gt;0)),ROW()-2),1),"")</f>
        <v>Monoammoniumph. 12:52:0</v>
      </c>
      <c r="AL99" s="1672" t="str">
        <f>IF(($A$3=""),"",IF(COUNTIF(Mineral!$AJ$3:$AJ$324,$A$3),"",$A$3))</f>
        <v/>
      </c>
      <c r="AM99" s="1672" t="str">
        <f>IFERROR(INDEX(Liste_Handelsünger[Handelsdünger],_xlfn.AGGREGATE(15,6,(ROW(Liste_Handelsünger[Handelsdünger])-1)/(--(SEARCH(AN$2,Liste_Handelsünger[Handelsdünger])&gt;0)),ROW()-2),1),"")</f>
        <v>Monoammoniumph. 12:52:0</v>
      </c>
      <c r="AN99" t="str">
        <f>IF(($A101=""),"",IF(COUNTIF(Mineral!$AJ$3:$AJ$324,$A101),"",$A101))</f>
        <v/>
      </c>
      <c r="AO99" t="str">
        <f>IFERROR(INDEX(Liste_Handelsünger[Handelsdünger],_xlfn.AGGREGATE(15,6,(ROW(Liste_Handelsünger[Handelsdünger])-1)/(--(SEARCH(AP$2,Liste_Handelsünger[Handelsdünger])&gt;0)),ROW()-2),1),"")</f>
        <v>Monoammoniumph. 12:52:0</v>
      </c>
      <c r="AP99" t="str">
        <f>IF(($A102=""),"",IF(COUNTIF(Mineral!$AJ$3:$AJ$324,$A102),"",$A102))</f>
        <v/>
      </c>
      <c r="AQ99" t="str">
        <f>IFERROR(INDEX(Liste_Handelsünger[Handelsdünger],_xlfn.AGGREGATE(15,6,(ROW(Liste_Handelsünger[Handelsdünger])-1)/(--(SEARCH(AR$2,Liste_Handelsünger[Handelsdünger])&gt;0)),ROW()-2),1),"")</f>
        <v>Monoammoniumph. 12:52:0</v>
      </c>
      <c r="AR99" t="str">
        <f>IF(($A103=""),"",IF(COUNTIF(Mineral!$AJ$3:$AJ$324,$A103),"",$A103))</f>
        <v/>
      </c>
      <c r="AS99" t="str">
        <f>IFERROR(INDEX(Liste_Handelsünger[Handelsdünger],_xlfn.AGGREGATE(15,6,(ROW(Liste_Handelsünger[Handelsdünger])-1)/(--(SEARCH(AT$2,Liste_Handelsünger[Handelsdünger])&gt;0)),ROW()-2),1),"")</f>
        <v>Monoammoniumph. 12:52:0</v>
      </c>
      <c r="AT99" t="str">
        <f>IF(($A104=""),"",IF(COUNTIF(Mineral!$AJ$3:$AJ$324,$A104),"",$A104))</f>
        <v/>
      </c>
      <c r="AU99" t="str">
        <f>IFERROR(INDEX(Liste_Handelsünger[Handelsdünger],_xlfn.AGGREGATE(15,6,(ROW(Liste_Handelsünger[Handelsdünger])-1)/(--(SEARCH(AV$2,Liste_Handelsünger[Handelsdünger])&gt;0)),ROW()-2),1),"")</f>
        <v>Monoammoniumph. 12:52:0</v>
      </c>
      <c r="AV99" t="str">
        <f>IF(($A105=""),"",IF(COUNTIF(Mineral!$AJ$3:$AJ$324,$A105),"",$A105))</f>
        <v/>
      </c>
      <c r="AW99" t="str">
        <f>IFERROR(INDEX(Liste_Handelsünger[Handelsdünger],_xlfn.AGGREGATE(15,6,(ROW(Liste_Handelsünger[Handelsdünger])-1)/(--(SEARCH(AX$2,Liste_Handelsünger[Handelsdünger])&gt;0)),ROW()-2),1),"")</f>
        <v>Monoammoniumph. 12:52:0</v>
      </c>
      <c r="AX99" t="str">
        <f>IF(($A106=""),"",IF(COUNTIF(Mineral!$AJ$3:$AJ$324,$A106),"",$A106))</f>
        <v/>
      </c>
      <c r="AY99" t="str">
        <f>IFERROR(INDEX(Liste_Handelsünger[Handelsdünger],_xlfn.AGGREGATE(15,6,(ROW(Liste_Handelsünger[Handelsdünger])-1)/(--(SEARCH(AZ$2,Liste_Handelsünger[Handelsdünger])&gt;0)),ROW()-2),1),"")</f>
        <v>Monoammoniumph. 12:52:0</v>
      </c>
      <c r="AZ99" t="str">
        <f>IF(($A107=""),"",IF(COUNTIF(Mineral!$AJ$3:$AJ$324,$A107),"",$A107))</f>
        <v/>
      </c>
      <c r="BA99" t="str">
        <f>IFERROR(INDEX(Liste_Handelsünger[Handelsdünger],_xlfn.AGGREGATE(15,6,(ROW(Liste_Handelsünger[Handelsdünger])-1)/(--(SEARCH(BB$2,Liste_Handelsünger[Handelsdünger])&gt;0)),ROW()-2),1),"")</f>
        <v>Monoammoniumph. 12:52:0</v>
      </c>
      <c r="BB99" t="str">
        <f>IF(($A108=""),"",IF(COUNTIF(Mineral!$AJ$3:$AJ$324,$A108),"",$A108))</f>
        <v/>
      </c>
      <c r="BC99" t="str">
        <f>IFERROR(INDEX(Liste_Handelsünger[Handelsdünger],_xlfn.AGGREGATE(15,6,(ROW(Liste_Handelsünger[Handelsdünger])-1)/(--(SEARCH(BD$2,Liste_Handelsünger[Handelsdünger])&gt;0)),ROW()-2),1),"")</f>
        <v>Monoammoniumph. 12:52:0</v>
      </c>
      <c r="BD99" t="str">
        <f>IF(($A109=""),"",IF(COUNTIF(Mineral!$AJ$3:$AJ$324,$A109),"",$A109))</f>
        <v/>
      </c>
      <c r="BE99" t="str">
        <f>IFERROR(INDEX(Liste_Handelsünger[Handelsdünger],_xlfn.AGGREGATE(15,6,(ROW(Liste_Handelsünger[Handelsdünger])-1)/(--(SEARCH(BF$2,Liste_Handelsünger[Handelsdünger])&gt;0)),ROW()-2),1),"")</f>
        <v>Monoammoniumph. 12:52:0</v>
      </c>
      <c r="BF99" t="str">
        <f>IF(($A110=""),"",IF(COUNTIF(Mineral!$AJ$3:$AJ$324,$A110),"",$A110))</f>
        <v/>
      </c>
      <c r="BG99" t="str">
        <f>IFERROR(INDEX(Liste_Handelsünger[Handelsdünger],_xlfn.AGGREGATE(15,6,(ROW(Liste_Handelsünger[Handelsdünger])-1)/(--(SEARCH(BH$2,Liste_Handelsünger[Handelsdünger])&gt;0)),ROW()-2),1),"")</f>
        <v>Monoammoniumph. 12:52:0</v>
      </c>
      <c r="BH99" t="str">
        <f>IF(($A111=""),"",IF(COUNTIF(Mineral!$AJ$3:$AJ$324,$A111),"",$A111))</f>
        <v/>
      </c>
      <c r="BI99" t="str">
        <f>IFERROR(INDEX(Liste_Handelsünger[Handelsdünger],_xlfn.AGGREGATE(15,6,(ROW(Liste_Handelsünger[Handelsdünger])-1)/(--(SEARCH(BJ$2,Liste_Handelsünger[Handelsdünger])&gt;0)),ROW()-2),1),"")</f>
        <v>Monoammoniumph. 12:52:0</v>
      </c>
      <c r="BJ99" t="str">
        <f>IF(($A112=""),"",IF(COUNTIF(Mineral!$AJ$3:$AJ$324,$A112),"",$A112))</f>
        <v/>
      </c>
      <c r="BK99" t="str">
        <f>IFERROR(INDEX(Liste_Handelsünger[Handelsdünger],_xlfn.AGGREGATE(15,6,(ROW(Liste_Handelsünger[Handelsdünger])-1)/(--(SEARCH(BL$2,Liste_Handelsünger[Handelsdünger])&gt;0)),ROW()-2),1),"")</f>
        <v>Monoammoniumph. 12:52:0</v>
      </c>
      <c r="BM99" t="str">
        <f>IFERROR(INDEX(Liste_Handelsünger[Handelsdünger],_xlfn.AGGREGATE(15,6,(ROW(Liste_Handelsünger[Handelsdünger])-1)/(--(SEARCH(BN$2,Liste_Handelsünger[Handelsdünger])&gt;0)),ROW()-2),1),"")</f>
        <v>Monoammoniumph. 12:52:0</v>
      </c>
      <c r="BN99" t="str">
        <f>IF(($A114=""),"",IF(COUNTIF(Mineral!$AJ$3:$AJ$324,$A114),"",$A114))</f>
        <v/>
      </c>
      <c r="BV99" t="s">
        <v>2208</v>
      </c>
      <c r="BW99" t="s">
        <v>2191</v>
      </c>
    </row>
    <row r="100" spans="18:75" ht="14.25" thickTop="1" thickBot="1">
      <c r="R100" t="str">
        <f t="array" ref="R100">IF(ROW(A71)&gt;COUNTA(A:A),"",INDEX(A:A,SMALL(IF(A$3:A$27&lt;&gt;"",ROW($3:$27)),ROW(A71))))</f>
        <v/>
      </c>
      <c r="S100" s="1676">
        <v>99</v>
      </c>
      <c r="T100" s="1606" t="s">
        <v>2335</v>
      </c>
      <c r="U100" s="1606" t="s">
        <v>2211</v>
      </c>
      <c r="V100" s="1606"/>
      <c r="W100" s="1606">
        <v>24</v>
      </c>
      <c r="X100" s="1606">
        <v>0</v>
      </c>
      <c r="Y100" s="1606">
        <v>0</v>
      </c>
      <c r="Z100" s="1606">
        <v>6</v>
      </c>
      <c r="AA100" s="1606">
        <v>0</v>
      </c>
      <c r="AB100" s="1606">
        <v>0</v>
      </c>
      <c r="AC100" s="1606">
        <v>1</v>
      </c>
      <c r="AD100" s="1613">
        <v>1</v>
      </c>
      <c r="AE100" s="1606" t="s">
        <v>2016</v>
      </c>
      <c r="AF100" s="1613" t="str">
        <f t="shared" si="15"/>
        <v/>
      </c>
      <c r="AG100" s="1656">
        <f>IFERROR(IF($AF100&gt;0,VLOOKUP($U100,Tabelle1!$C$188:$L$212,5,0)*$AF100,0),0)</f>
        <v>0</v>
      </c>
      <c r="AH100" s="1656">
        <f t="shared" si="16"/>
        <v>0</v>
      </c>
      <c r="AJ100" t="str">
        <f>IF(Betrieb!$D$9="JA",Mineral!$BW100,Mineral!$BV100)</f>
        <v>NAC 24% 24:0:0+6 S</v>
      </c>
      <c r="AK100" s="1672" t="str">
        <f>IFERROR(INDEX(Liste_Handelsünger[Handelsdünger],_xlfn.AGGREGATE(15,6,(ROW(Liste_Handelsünger[Handelsdünger])-1)/(--(SEARCH(AL$2,Liste_Handelsünger[Handelsdünger])&gt;0)),ROW()-2),1),"")</f>
        <v>NAC 24% 24:0:0+6 S</v>
      </c>
      <c r="AL100" s="1672" t="str">
        <f>IF(($A$3=""),"",IF(COUNTIF(Mineral!$AJ$3:$AJ$324,$A$3),"",$A$3))</f>
        <v/>
      </c>
      <c r="AM100" s="1672" t="str">
        <f>IFERROR(INDEX(Liste_Handelsünger[Handelsdünger],_xlfn.AGGREGATE(15,6,(ROW(Liste_Handelsünger[Handelsdünger])-1)/(--(SEARCH(AN$2,Liste_Handelsünger[Handelsdünger])&gt;0)),ROW()-2),1),"")</f>
        <v>NAC 24% 24:0:0+6 S</v>
      </c>
      <c r="AN100" t="str">
        <f>IF(($A102=""),"",IF(COUNTIF(Mineral!$AJ$3:$AJ$324,$A102),"",$A102))</f>
        <v/>
      </c>
      <c r="AO100" t="str">
        <f>IFERROR(INDEX(Liste_Handelsünger[Handelsdünger],_xlfn.AGGREGATE(15,6,(ROW(Liste_Handelsünger[Handelsdünger])-1)/(--(SEARCH(AP$2,Liste_Handelsünger[Handelsdünger])&gt;0)),ROW()-2),1),"")</f>
        <v>NAC 24% 24:0:0+6 S</v>
      </c>
      <c r="AP100" t="str">
        <f>IF(($A103=""),"",IF(COUNTIF(Mineral!$AJ$3:$AJ$324,$A103),"",$A103))</f>
        <v/>
      </c>
      <c r="AQ100" t="str">
        <f>IFERROR(INDEX(Liste_Handelsünger[Handelsdünger],_xlfn.AGGREGATE(15,6,(ROW(Liste_Handelsünger[Handelsdünger])-1)/(--(SEARCH(AR$2,Liste_Handelsünger[Handelsdünger])&gt;0)),ROW()-2),1),"")</f>
        <v>NAC 24% 24:0:0+6 S</v>
      </c>
      <c r="AR100" t="str">
        <f>IF(($A104=""),"",IF(COUNTIF(Mineral!$AJ$3:$AJ$324,$A104),"",$A104))</f>
        <v/>
      </c>
      <c r="AS100" t="str">
        <f>IFERROR(INDEX(Liste_Handelsünger[Handelsdünger],_xlfn.AGGREGATE(15,6,(ROW(Liste_Handelsünger[Handelsdünger])-1)/(--(SEARCH(AT$2,Liste_Handelsünger[Handelsdünger])&gt;0)),ROW()-2),1),"")</f>
        <v>NAC 24% 24:0:0+6 S</v>
      </c>
      <c r="AT100" t="str">
        <f>IF(($A105=""),"",IF(COUNTIF(Mineral!$AJ$3:$AJ$324,$A105),"",$A105))</f>
        <v/>
      </c>
      <c r="AU100" t="str">
        <f>IFERROR(INDEX(Liste_Handelsünger[Handelsdünger],_xlfn.AGGREGATE(15,6,(ROW(Liste_Handelsünger[Handelsdünger])-1)/(--(SEARCH(AV$2,Liste_Handelsünger[Handelsdünger])&gt;0)),ROW()-2),1),"")</f>
        <v>NAC 24% 24:0:0+6 S</v>
      </c>
      <c r="AV100" t="str">
        <f>IF(($A106=""),"",IF(COUNTIF(Mineral!$AJ$3:$AJ$324,$A106),"",$A106))</f>
        <v/>
      </c>
      <c r="AW100" t="str">
        <f>IFERROR(INDEX(Liste_Handelsünger[Handelsdünger],_xlfn.AGGREGATE(15,6,(ROW(Liste_Handelsünger[Handelsdünger])-1)/(--(SEARCH(AX$2,Liste_Handelsünger[Handelsdünger])&gt;0)),ROW()-2),1),"")</f>
        <v>NAC 24% 24:0:0+6 S</v>
      </c>
      <c r="AX100" t="str">
        <f>IF(($A107=""),"",IF(COUNTIF(Mineral!$AJ$3:$AJ$324,$A107),"",$A107))</f>
        <v/>
      </c>
      <c r="AY100" t="str">
        <f>IFERROR(INDEX(Liste_Handelsünger[Handelsdünger],_xlfn.AGGREGATE(15,6,(ROW(Liste_Handelsünger[Handelsdünger])-1)/(--(SEARCH(AZ$2,Liste_Handelsünger[Handelsdünger])&gt;0)),ROW()-2),1),"")</f>
        <v>NAC 24% 24:0:0+6 S</v>
      </c>
      <c r="AZ100" t="str">
        <f>IF(($A108=""),"",IF(COUNTIF(Mineral!$AJ$3:$AJ$324,$A108),"",$A108))</f>
        <v/>
      </c>
      <c r="BA100" t="str">
        <f>IFERROR(INDEX(Liste_Handelsünger[Handelsdünger],_xlfn.AGGREGATE(15,6,(ROW(Liste_Handelsünger[Handelsdünger])-1)/(--(SEARCH(BB$2,Liste_Handelsünger[Handelsdünger])&gt;0)),ROW()-2),1),"")</f>
        <v>NAC 24% 24:0:0+6 S</v>
      </c>
      <c r="BB100" t="str">
        <f>IF(($A109=""),"",IF(COUNTIF(Mineral!$AJ$3:$AJ$324,$A109),"",$A109))</f>
        <v/>
      </c>
      <c r="BC100" t="str">
        <f>IFERROR(INDEX(Liste_Handelsünger[Handelsdünger],_xlfn.AGGREGATE(15,6,(ROW(Liste_Handelsünger[Handelsdünger])-1)/(--(SEARCH(BD$2,Liste_Handelsünger[Handelsdünger])&gt;0)),ROW()-2),1),"")</f>
        <v>NAC 24% 24:0:0+6 S</v>
      </c>
      <c r="BD100" t="str">
        <f>IF(($A110=""),"",IF(COUNTIF(Mineral!$AJ$3:$AJ$324,$A110),"",$A110))</f>
        <v/>
      </c>
      <c r="BE100" t="str">
        <f>IFERROR(INDEX(Liste_Handelsünger[Handelsdünger],_xlfn.AGGREGATE(15,6,(ROW(Liste_Handelsünger[Handelsdünger])-1)/(--(SEARCH(BF$2,Liste_Handelsünger[Handelsdünger])&gt;0)),ROW()-2),1),"")</f>
        <v>NAC 24% 24:0:0+6 S</v>
      </c>
      <c r="BF100" t="str">
        <f>IF(($A111=""),"",IF(COUNTIF(Mineral!$AJ$3:$AJ$324,$A111),"",$A111))</f>
        <v/>
      </c>
      <c r="BG100" t="str">
        <f>IFERROR(INDEX(Liste_Handelsünger[Handelsdünger],_xlfn.AGGREGATE(15,6,(ROW(Liste_Handelsünger[Handelsdünger])-1)/(--(SEARCH(BH$2,Liste_Handelsünger[Handelsdünger])&gt;0)),ROW()-2),1),"")</f>
        <v>NAC 24% 24:0:0+6 S</v>
      </c>
      <c r="BH100" t="str">
        <f>IF(($A112=""),"",IF(COUNTIF(Mineral!$AJ$3:$AJ$324,$A112),"",$A112))</f>
        <v/>
      </c>
      <c r="BI100" t="str">
        <f>IFERROR(INDEX(Liste_Handelsünger[Handelsdünger],_xlfn.AGGREGATE(15,6,(ROW(Liste_Handelsünger[Handelsdünger])-1)/(--(SEARCH(BJ$2,Liste_Handelsünger[Handelsdünger])&gt;0)),ROW()-2),1),"")</f>
        <v>NAC 24% 24:0:0+6 S</v>
      </c>
      <c r="BJ100" t="str">
        <f>IF(($A113=""),"",IF(COUNTIF(Mineral!$AJ$3:$AJ$324,$A113),"",$A113))</f>
        <v/>
      </c>
      <c r="BK100" t="str">
        <f>IFERROR(INDEX(Liste_Handelsünger[Handelsdünger],_xlfn.AGGREGATE(15,6,(ROW(Liste_Handelsünger[Handelsdünger])-1)/(--(SEARCH(BL$2,Liste_Handelsünger[Handelsdünger])&gt;0)),ROW()-2),1),"")</f>
        <v>NAC 24% 24:0:0+6 S</v>
      </c>
      <c r="BM100" t="str">
        <f>IFERROR(INDEX(Liste_Handelsünger[Handelsdünger],_xlfn.AGGREGATE(15,6,(ROW(Liste_Handelsünger[Handelsdünger])-1)/(--(SEARCH(BN$2,Liste_Handelsünger[Handelsdünger])&gt;0)),ROW()-2),1),"")</f>
        <v>NAC 24% 24:0:0+6 S</v>
      </c>
      <c r="BN100" t="str">
        <f>IF(($A115=""),"",IF(COUNTIF(Mineral!$AJ$3:$AJ$324,$A115),"",$A115))</f>
        <v/>
      </c>
      <c r="BV100" t="s">
        <v>2211</v>
      </c>
      <c r="BW100" t="s">
        <v>2192</v>
      </c>
    </row>
    <row r="101" spans="18:75" ht="14.25" thickTop="1" thickBot="1">
      <c r="R101" t="str">
        <f t="array" ref="R101">IF(ROW(A72)&gt;COUNTA(A:A),"",INDEX(A:A,SMALL(IF(A$3:A$27&lt;&gt;"",ROW($3:$27)),ROW(A72))))</f>
        <v/>
      </c>
      <c r="S101" s="1616">
        <v>100</v>
      </c>
      <c r="T101" s="1617" t="s">
        <v>2335</v>
      </c>
      <c r="U101" s="1617" t="s">
        <v>2212</v>
      </c>
      <c r="V101" s="1617"/>
      <c r="W101" s="1617">
        <v>25</v>
      </c>
      <c r="X101" s="1617">
        <v>0</v>
      </c>
      <c r="Y101" s="1617">
        <v>0</v>
      </c>
      <c r="Z101" s="1617">
        <v>0</v>
      </c>
      <c r="AA101" s="1617">
        <v>0</v>
      </c>
      <c r="AB101" s="1617">
        <v>5</v>
      </c>
      <c r="AC101" s="1617">
        <v>1</v>
      </c>
      <c r="AD101" s="1613">
        <v>1</v>
      </c>
      <c r="AE101" s="1617" t="s">
        <v>2016</v>
      </c>
      <c r="AF101" s="1613" t="str">
        <f t="shared" si="15"/>
        <v/>
      </c>
      <c r="AG101" s="1656">
        <f>IFERROR(IF($AF101&gt;0,VLOOKUP($U101,Tabelle1!$C$188:$L$212,5,0)*$AF101,0),0)</f>
        <v>0</v>
      </c>
      <c r="AH101" s="1656">
        <f t="shared" si="16"/>
        <v>0</v>
      </c>
      <c r="AJ101" t="str">
        <f>IF(Betrieb!$D$9="JA",Mineral!$BW101,Mineral!$BV101)</f>
        <v>NAC 25% 25:0:0+5 MgO</v>
      </c>
      <c r="AK101" s="1672" t="str">
        <f>IFERROR(INDEX(Liste_Handelsünger[Handelsdünger],_xlfn.AGGREGATE(15,6,(ROW(Liste_Handelsünger[Handelsdünger])-1)/(--(SEARCH(AL$2,Liste_Handelsünger[Handelsdünger])&gt;0)),ROW()-2),1),"")</f>
        <v>NAC 25% 25:0:0+5 MgO</v>
      </c>
      <c r="AL101" s="1672" t="str">
        <f>IF(($A$3=""),"",IF(COUNTIF(Mineral!$AJ$3:$AJ$324,$A$3),"",$A$3))</f>
        <v/>
      </c>
      <c r="AM101" s="1672" t="str">
        <f>IFERROR(INDEX(Liste_Handelsünger[Handelsdünger],_xlfn.AGGREGATE(15,6,(ROW(Liste_Handelsünger[Handelsdünger])-1)/(--(SEARCH(AN$2,Liste_Handelsünger[Handelsdünger])&gt;0)),ROW()-2),1),"")</f>
        <v>NAC 25% 25:0:0+5 MgO</v>
      </c>
      <c r="AN101" t="str">
        <f>IF(($A103=""),"",IF(COUNTIF(Mineral!$AJ$3:$AJ$324,$A103),"",$A103))</f>
        <v/>
      </c>
      <c r="AO101" t="str">
        <f>IFERROR(INDEX(Liste_Handelsünger[Handelsdünger],_xlfn.AGGREGATE(15,6,(ROW(Liste_Handelsünger[Handelsdünger])-1)/(--(SEARCH(AP$2,Liste_Handelsünger[Handelsdünger])&gt;0)),ROW()-2),1),"")</f>
        <v>NAC 25% 25:0:0+5 MgO</v>
      </c>
      <c r="AP101" t="str">
        <f>IF(($A104=""),"",IF(COUNTIF(Mineral!$AJ$3:$AJ$324,$A104),"",$A104))</f>
        <v/>
      </c>
      <c r="AQ101" t="str">
        <f>IFERROR(INDEX(Liste_Handelsünger[Handelsdünger],_xlfn.AGGREGATE(15,6,(ROW(Liste_Handelsünger[Handelsdünger])-1)/(--(SEARCH(AR$2,Liste_Handelsünger[Handelsdünger])&gt;0)),ROW()-2),1),"")</f>
        <v>NAC 25% 25:0:0+5 MgO</v>
      </c>
      <c r="AR101" t="str">
        <f>IF(($A105=""),"",IF(COUNTIF(Mineral!$AJ$3:$AJ$324,$A105),"",$A105))</f>
        <v/>
      </c>
      <c r="AS101" t="str">
        <f>IFERROR(INDEX(Liste_Handelsünger[Handelsdünger],_xlfn.AGGREGATE(15,6,(ROW(Liste_Handelsünger[Handelsdünger])-1)/(--(SEARCH(AT$2,Liste_Handelsünger[Handelsdünger])&gt;0)),ROW()-2),1),"")</f>
        <v>NAC 25% 25:0:0+5 MgO</v>
      </c>
      <c r="AT101" t="str">
        <f>IF(($A106=""),"",IF(COUNTIF(Mineral!$AJ$3:$AJ$324,$A106),"",$A106))</f>
        <v/>
      </c>
      <c r="AU101" t="str">
        <f>IFERROR(INDEX(Liste_Handelsünger[Handelsdünger],_xlfn.AGGREGATE(15,6,(ROW(Liste_Handelsünger[Handelsdünger])-1)/(--(SEARCH(AV$2,Liste_Handelsünger[Handelsdünger])&gt;0)),ROW()-2),1),"")</f>
        <v>NAC 25% 25:0:0+5 MgO</v>
      </c>
      <c r="AV101" t="str">
        <f>IF(($A107=""),"",IF(COUNTIF(Mineral!$AJ$3:$AJ$324,$A107),"",$A107))</f>
        <v/>
      </c>
      <c r="AW101" t="str">
        <f>IFERROR(INDEX(Liste_Handelsünger[Handelsdünger],_xlfn.AGGREGATE(15,6,(ROW(Liste_Handelsünger[Handelsdünger])-1)/(--(SEARCH(AX$2,Liste_Handelsünger[Handelsdünger])&gt;0)),ROW()-2),1),"")</f>
        <v>NAC 25% 25:0:0+5 MgO</v>
      </c>
      <c r="AX101" t="str">
        <f>IF(($A108=""),"",IF(COUNTIF(Mineral!$AJ$3:$AJ$324,$A108),"",$A108))</f>
        <v/>
      </c>
      <c r="AY101" t="str">
        <f>IFERROR(INDEX(Liste_Handelsünger[Handelsdünger],_xlfn.AGGREGATE(15,6,(ROW(Liste_Handelsünger[Handelsdünger])-1)/(--(SEARCH(AZ$2,Liste_Handelsünger[Handelsdünger])&gt;0)),ROW()-2),1),"")</f>
        <v>NAC 25% 25:0:0+5 MgO</v>
      </c>
      <c r="AZ101" t="str">
        <f>IF(($A109=""),"",IF(COUNTIF(Mineral!$AJ$3:$AJ$324,$A109),"",$A109))</f>
        <v/>
      </c>
      <c r="BA101" t="str">
        <f>IFERROR(INDEX(Liste_Handelsünger[Handelsdünger],_xlfn.AGGREGATE(15,6,(ROW(Liste_Handelsünger[Handelsdünger])-1)/(--(SEARCH(BB$2,Liste_Handelsünger[Handelsdünger])&gt;0)),ROW()-2),1),"")</f>
        <v>NAC 25% 25:0:0+5 MgO</v>
      </c>
      <c r="BB101" t="str">
        <f>IF(($A110=""),"",IF(COUNTIF(Mineral!$AJ$3:$AJ$324,$A110),"",$A110))</f>
        <v/>
      </c>
      <c r="BC101" t="str">
        <f>IFERROR(INDEX(Liste_Handelsünger[Handelsdünger],_xlfn.AGGREGATE(15,6,(ROW(Liste_Handelsünger[Handelsdünger])-1)/(--(SEARCH(BD$2,Liste_Handelsünger[Handelsdünger])&gt;0)),ROW()-2),1),"")</f>
        <v>NAC 25% 25:0:0+5 MgO</v>
      </c>
      <c r="BD101" t="str">
        <f>IF(($A111=""),"",IF(COUNTIF(Mineral!$AJ$3:$AJ$324,$A111),"",$A111))</f>
        <v/>
      </c>
      <c r="BE101" t="str">
        <f>IFERROR(INDEX(Liste_Handelsünger[Handelsdünger],_xlfn.AGGREGATE(15,6,(ROW(Liste_Handelsünger[Handelsdünger])-1)/(--(SEARCH(BF$2,Liste_Handelsünger[Handelsdünger])&gt;0)),ROW()-2),1),"")</f>
        <v>NAC 25% 25:0:0+5 MgO</v>
      </c>
      <c r="BF101" t="str">
        <f>IF(($A112=""),"",IF(COUNTIF(Mineral!$AJ$3:$AJ$324,$A112),"",$A112))</f>
        <v/>
      </c>
      <c r="BG101" t="str">
        <f>IFERROR(INDEX(Liste_Handelsünger[Handelsdünger],_xlfn.AGGREGATE(15,6,(ROW(Liste_Handelsünger[Handelsdünger])-1)/(--(SEARCH(BH$2,Liste_Handelsünger[Handelsdünger])&gt;0)),ROW()-2),1),"")</f>
        <v>NAC 25% 25:0:0+5 MgO</v>
      </c>
      <c r="BH101" t="str">
        <f>IF(($A113=""),"",IF(COUNTIF(Mineral!$AJ$3:$AJ$324,$A113),"",$A113))</f>
        <v/>
      </c>
      <c r="BI101" t="str">
        <f>IFERROR(INDEX(Liste_Handelsünger[Handelsdünger],_xlfn.AGGREGATE(15,6,(ROW(Liste_Handelsünger[Handelsdünger])-1)/(--(SEARCH(BJ$2,Liste_Handelsünger[Handelsdünger])&gt;0)),ROW()-2),1),"")</f>
        <v>NAC 25% 25:0:0+5 MgO</v>
      </c>
      <c r="BJ101" t="str">
        <f>IF(($A114=""),"",IF(COUNTIF(Mineral!$AJ$3:$AJ$324,$A114),"",$A114))</f>
        <v/>
      </c>
      <c r="BK101" t="str">
        <f>IFERROR(INDEX(Liste_Handelsünger[Handelsdünger],_xlfn.AGGREGATE(15,6,(ROW(Liste_Handelsünger[Handelsdünger])-1)/(--(SEARCH(BL$2,Liste_Handelsünger[Handelsdünger])&gt;0)),ROW()-2),1),"")</f>
        <v>NAC 25% 25:0:0+5 MgO</v>
      </c>
      <c r="BM101" t="str">
        <f>IFERROR(INDEX(Liste_Handelsünger[Handelsdünger],_xlfn.AGGREGATE(15,6,(ROW(Liste_Handelsünger[Handelsdünger])-1)/(--(SEARCH(BN$2,Liste_Handelsünger[Handelsdünger])&gt;0)),ROW()-2),1),"")</f>
        <v>NAC 25% 25:0:0+5 MgO</v>
      </c>
      <c r="BN101" t="str">
        <f>IF(($A116=""),"",IF(COUNTIF(Mineral!$AJ$3:$AJ$324,$A116),"",$A116))</f>
        <v/>
      </c>
      <c r="BV101" t="s">
        <v>2212</v>
      </c>
      <c r="BW101" t="s">
        <v>2193</v>
      </c>
    </row>
    <row r="102" spans="18:75" ht="14.25" thickTop="1" thickBot="1">
      <c r="R102" t="str">
        <f t="array" ref="R102">IF(ROW(A73)&gt;COUNTA(A:A),"",INDEX(A:A,SMALL(IF(A$3:A$27&lt;&gt;"",ROW($3:$27)),ROW(A73))))</f>
        <v/>
      </c>
      <c r="S102" s="1676">
        <v>101</v>
      </c>
      <c r="T102" s="1606" t="s">
        <v>2335</v>
      </c>
      <c r="U102" s="1606" t="s">
        <v>2214</v>
      </c>
      <c r="V102" s="1606"/>
      <c r="W102" s="1606">
        <v>26</v>
      </c>
      <c r="X102" s="1606">
        <v>0</v>
      </c>
      <c r="Y102" s="1606">
        <v>0</v>
      </c>
      <c r="Z102" s="1606">
        <v>13</v>
      </c>
      <c r="AA102" s="1606">
        <v>0</v>
      </c>
      <c r="AB102" s="1606">
        <v>0</v>
      </c>
      <c r="AC102" s="1606">
        <v>1</v>
      </c>
      <c r="AD102" s="1613">
        <v>1</v>
      </c>
      <c r="AE102" s="1606" t="s">
        <v>2016</v>
      </c>
      <c r="AF102" s="1613" t="str">
        <f t="shared" si="15"/>
        <v/>
      </c>
      <c r="AG102" s="1656">
        <f>IFERROR(IF($AF102&gt;0,VLOOKUP($U102,Tabelle1!$C$188:$L$212,5,0)*$AF102,0),0)</f>
        <v>0</v>
      </c>
      <c r="AH102" s="1656">
        <f t="shared" si="16"/>
        <v>0</v>
      </c>
      <c r="AJ102" t="str">
        <f>IF(Betrieb!$D$9="JA",Mineral!$BW102,Mineral!$BV102)</f>
        <v>NAC+S 26 N +13 SO3</v>
      </c>
      <c r="AK102" s="1672" t="str">
        <f>IFERROR(INDEX(Liste_Handelsünger[Handelsdünger],_xlfn.AGGREGATE(15,6,(ROW(Liste_Handelsünger[Handelsdünger])-1)/(--(SEARCH(AL$2,Liste_Handelsünger[Handelsdünger])&gt;0)),ROW()-2),1),"")</f>
        <v>NAC+S 26 N +13 SO3</v>
      </c>
      <c r="AL102" s="1672" t="str">
        <f>IF(($A$3=""),"",IF(COUNTIF(Mineral!$AJ$3:$AJ$324,$A$3),"",$A$3))</f>
        <v/>
      </c>
      <c r="AM102" s="1672" t="str">
        <f>IFERROR(INDEX(Liste_Handelsünger[Handelsdünger],_xlfn.AGGREGATE(15,6,(ROW(Liste_Handelsünger[Handelsdünger])-1)/(--(SEARCH(AN$2,Liste_Handelsünger[Handelsdünger])&gt;0)),ROW()-2),1),"")</f>
        <v>NAC+S 26 N +13 SO3</v>
      </c>
      <c r="AN102" t="str">
        <f>IF(($A104=""),"",IF(COUNTIF(Mineral!$AJ$3:$AJ$324,$A104),"",$A104))</f>
        <v/>
      </c>
      <c r="AO102" t="str">
        <f>IFERROR(INDEX(Liste_Handelsünger[Handelsdünger],_xlfn.AGGREGATE(15,6,(ROW(Liste_Handelsünger[Handelsdünger])-1)/(--(SEARCH(AP$2,Liste_Handelsünger[Handelsdünger])&gt;0)),ROW()-2),1),"")</f>
        <v>NAC+S 26 N +13 SO3</v>
      </c>
      <c r="AP102" t="str">
        <f>IF(($A105=""),"",IF(COUNTIF(Mineral!$AJ$3:$AJ$324,$A105),"",$A105))</f>
        <v/>
      </c>
      <c r="AQ102" t="str">
        <f>IFERROR(INDEX(Liste_Handelsünger[Handelsdünger],_xlfn.AGGREGATE(15,6,(ROW(Liste_Handelsünger[Handelsdünger])-1)/(--(SEARCH(AR$2,Liste_Handelsünger[Handelsdünger])&gt;0)),ROW()-2),1),"")</f>
        <v>NAC+S 26 N +13 SO3</v>
      </c>
      <c r="AR102" t="str">
        <f>IF(($A106=""),"",IF(COUNTIF(Mineral!$AJ$3:$AJ$324,$A106),"",$A106))</f>
        <v/>
      </c>
      <c r="AS102" t="str">
        <f>IFERROR(INDEX(Liste_Handelsünger[Handelsdünger],_xlfn.AGGREGATE(15,6,(ROW(Liste_Handelsünger[Handelsdünger])-1)/(--(SEARCH(AT$2,Liste_Handelsünger[Handelsdünger])&gt;0)),ROW()-2),1),"")</f>
        <v>NAC+S 26 N +13 SO3</v>
      </c>
      <c r="AT102" t="str">
        <f>IF(($A107=""),"",IF(COUNTIF(Mineral!$AJ$3:$AJ$324,$A107),"",$A107))</f>
        <v/>
      </c>
      <c r="AU102" t="str">
        <f>IFERROR(INDEX(Liste_Handelsünger[Handelsdünger],_xlfn.AGGREGATE(15,6,(ROW(Liste_Handelsünger[Handelsdünger])-1)/(--(SEARCH(AV$2,Liste_Handelsünger[Handelsdünger])&gt;0)),ROW()-2),1),"")</f>
        <v>NAC+S 26 N +13 SO3</v>
      </c>
      <c r="AV102" t="str">
        <f>IF(($A108=""),"",IF(COUNTIF(Mineral!$AJ$3:$AJ$324,$A108),"",$A108))</f>
        <v/>
      </c>
      <c r="AW102" t="str">
        <f>IFERROR(INDEX(Liste_Handelsünger[Handelsdünger],_xlfn.AGGREGATE(15,6,(ROW(Liste_Handelsünger[Handelsdünger])-1)/(--(SEARCH(AX$2,Liste_Handelsünger[Handelsdünger])&gt;0)),ROW()-2),1),"")</f>
        <v>NAC+S 26 N +13 SO3</v>
      </c>
      <c r="AX102" t="str">
        <f>IF(($A109=""),"",IF(COUNTIF(Mineral!$AJ$3:$AJ$324,$A109),"",$A109))</f>
        <v/>
      </c>
      <c r="AY102" t="str">
        <f>IFERROR(INDEX(Liste_Handelsünger[Handelsdünger],_xlfn.AGGREGATE(15,6,(ROW(Liste_Handelsünger[Handelsdünger])-1)/(--(SEARCH(AZ$2,Liste_Handelsünger[Handelsdünger])&gt;0)),ROW()-2),1),"")</f>
        <v>NAC+S 26 N +13 SO3</v>
      </c>
      <c r="AZ102" t="str">
        <f>IF(($A110=""),"",IF(COUNTIF(Mineral!$AJ$3:$AJ$324,$A110),"",$A110))</f>
        <v/>
      </c>
      <c r="BA102" t="str">
        <f>IFERROR(INDEX(Liste_Handelsünger[Handelsdünger],_xlfn.AGGREGATE(15,6,(ROW(Liste_Handelsünger[Handelsdünger])-1)/(--(SEARCH(BB$2,Liste_Handelsünger[Handelsdünger])&gt;0)),ROW()-2),1),"")</f>
        <v>NAC+S 26 N +13 SO3</v>
      </c>
      <c r="BB102" t="str">
        <f>IF(($A111=""),"",IF(COUNTIF(Mineral!$AJ$3:$AJ$324,$A111),"",$A111))</f>
        <v/>
      </c>
      <c r="BC102" t="str">
        <f>IFERROR(INDEX(Liste_Handelsünger[Handelsdünger],_xlfn.AGGREGATE(15,6,(ROW(Liste_Handelsünger[Handelsdünger])-1)/(--(SEARCH(BD$2,Liste_Handelsünger[Handelsdünger])&gt;0)),ROW()-2),1),"")</f>
        <v>NAC+S 26 N +13 SO3</v>
      </c>
      <c r="BD102" t="str">
        <f>IF(($A112=""),"",IF(COUNTIF(Mineral!$AJ$3:$AJ$324,$A112),"",$A112))</f>
        <v/>
      </c>
      <c r="BE102" t="str">
        <f>IFERROR(INDEX(Liste_Handelsünger[Handelsdünger],_xlfn.AGGREGATE(15,6,(ROW(Liste_Handelsünger[Handelsdünger])-1)/(--(SEARCH(BF$2,Liste_Handelsünger[Handelsdünger])&gt;0)),ROW()-2),1),"")</f>
        <v>NAC+S 26 N +13 SO3</v>
      </c>
      <c r="BF102" t="str">
        <f>IF(($A113=""),"",IF(COUNTIF(Mineral!$AJ$3:$AJ$324,$A113),"",$A113))</f>
        <v/>
      </c>
      <c r="BG102" t="str">
        <f>IFERROR(INDEX(Liste_Handelsünger[Handelsdünger],_xlfn.AGGREGATE(15,6,(ROW(Liste_Handelsünger[Handelsdünger])-1)/(--(SEARCH(BH$2,Liste_Handelsünger[Handelsdünger])&gt;0)),ROW()-2),1),"")</f>
        <v>NAC+S 26 N +13 SO3</v>
      </c>
      <c r="BH102" t="str">
        <f>IF(($A114=""),"",IF(COUNTIF(Mineral!$AJ$3:$AJ$324,$A114),"",$A114))</f>
        <v/>
      </c>
      <c r="BI102" t="str">
        <f>IFERROR(INDEX(Liste_Handelsünger[Handelsdünger],_xlfn.AGGREGATE(15,6,(ROW(Liste_Handelsünger[Handelsdünger])-1)/(--(SEARCH(BJ$2,Liste_Handelsünger[Handelsdünger])&gt;0)),ROW()-2),1),"")</f>
        <v>NAC+S 26 N +13 SO3</v>
      </c>
      <c r="BJ102" t="str">
        <f>IF(($A115=""),"",IF(COUNTIF(Mineral!$AJ$3:$AJ$324,$A115),"",$A115))</f>
        <v/>
      </c>
      <c r="BK102" t="str">
        <f>IFERROR(INDEX(Liste_Handelsünger[Handelsdünger],_xlfn.AGGREGATE(15,6,(ROW(Liste_Handelsünger[Handelsdünger])-1)/(--(SEARCH(BL$2,Liste_Handelsünger[Handelsdünger])&gt;0)),ROW()-2),1),"")</f>
        <v>NAC+S 26 N +13 SO3</v>
      </c>
      <c r="BM102" t="str">
        <f>IFERROR(INDEX(Liste_Handelsünger[Handelsdünger],_xlfn.AGGREGATE(15,6,(ROW(Liste_Handelsünger[Handelsdünger])-1)/(--(SEARCH(BN$2,Liste_Handelsünger[Handelsdünger])&gt;0)),ROW()-2),1),"")</f>
        <v>NAC+S 26 N +13 SO3</v>
      </c>
      <c r="BN102" t="str">
        <f>IF(($A117=""),"",IF(COUNTIF(Mineral!$AJ$3:$AJ$324,$A117),"",$A117))</f>
        <v/>
      </c>
      <c r="BV102" t="s">
        <v>2214</v>
      </c>
      <c r="BW102" t="s">
        <v>2194</v>
      </c>
    </row>
    <row r="103" spans="18:75" ht="14.25" thickTop="1" thickBot="1">
      <c r="R103" t="str">
        <f t="array" ref="R103">IF(ROW(A74)&gt;COUNTA(A:A),"",INDEX(A:A,SMALL(IF(A$3:A$27&lt;&gt;"",ROW($3:$27)),ROW(A74))))</f>
        <v/>
      </c>
      <c r="S103" s="1616">
        <v>102</v>
      </c>
      <c r="T103" s="1617" t="s">
        <v>2335</v>
      </c>
      <c r="U103" s="1617" t="s">
        <v>2217</v>
      </c>
      <c r="V103" s="1617"/>
      <c r="W103" s="1617">
        <v>0</v>
      </c>
      <c r="X103" s="1617">
        <v>26</v>
      </c>
      <c r="Y103" s="1617">
        <v>0</v>
      </c>
      <c r="Z103" s="1617">
        <v>0</v>
      </c>
      <c r="AA103" s="1617">
        <v>40</v>
      </c>
      <c r="AB103" s="1617">
        <v>0</v>
      </c>
      <c r="AC103" s="1617">
        <v>1</v>
      </c>
      <c r="AD103" s="1613">
        <v>1</v>
      </c>
      <c r="AE103" s="1617" t="s">
        <v>1764</v>
      </c>
      <c r="AF103" s="1613" t="str">
        <f t="shared" si="15"/>
        <v/>
      </c>
      <c r="AG103" s="1656">
        <f>IFERROR(IF($AF103&gt;0,VLOOKUP($U103,Tabelle1!$C$188:$L$212,5,0)*$AF103,0),0)</f>
        <v>0</v>
      </c>
      <c r="AH103" s="1656">
        <f t="shared" si="16"/>
        <v>0</v>
      </c>
      <c r="AJ103" t="str">
        <f>IF(Betrieb!$D$9="JA",Mineral!$BW103,Mineral!$BV103)</f>
        <v>Naturphosphat 26%</v>
      </c>
      <c r="AK103" s="1672" t="str">
        <f>IFERROR(INDEX(Liste_Handelsünger[Handelsdünger],_xlfn.AGGREGATE(15,6,(ROW(Liste_Handelsünger[Handelsdünger])-1)/(--(SEARCH(AL$2,Liste_Handelsünger[Handelsdünger])&gt;0)),ROW()-2),1),"")</f>
        <v>Naturphosphat 26%</v>
      </c>
      <c r="AL103" s="1672" t="str">
        <f>IF(($A$3=""),"",IF(COUNTIF(Mineral!$AJ$3:$AJ$324,$A$3),"",$A$3))</f>
        <v/>
      </c>
      <c r="AM103" s="1672" t="str">
        <f>IFERROR(INDEX(Liste_Handelsünger[Handelsdünger],_xlfn.AGGREGATE(15,6,(ROW(Liste_Handelsünger[Handelsdünger])-1)/(--(SEARCH(AN$2,Liste_Handelsünger[Handelsdünger])&gt;0)),ROW()-2),1),"")</f>
        <v>Naturphosphat 26%</v>
      </c>
      <c r="AN103" t="str">
        <f>IF(($A105=""),"",IF(COUNTIF(Mineral!$AJ$3:$AJ$324,$A105),"",$A105))</f>
        <v/>
      </c>
      <c r="AO103" t="str">
        <f>IFERROR(INDEX(Liste_Handelsünger[Handelsdünger],_xlfn.AGGREGATE(15,6,(ROW(Liste_Handelsünger[Handelsdünger])-1)/(--(SEARCH(AP$2,Liste_Handelsünger[Handelsdünger])&gt;0)),ROW()-2),1),"")</f>
        <v>Naturphosphat 26%</v>
      </c>
      <c r="AP103" t="str">
        <f>IF(($A106=""),"",IF(COUNTIF(Mineral!$AJ$3:$AJ$324,$A106),"",$A106))</f>
        <v/>
      </c>
      <c r="AQ103" t="str">
        <f>IFERROR(INDEX(Liste_Handelsünger[Handelsdünger],_xlfn.AGGREGATE(15,6,(ROW(Liste_Handelsünger[Handelsdünger])-1)/(--(SEARCH(AR$2,Liste_Handelsünger[Handelsdünger])&gt;0)),ROW()-2),1),"")</f>
        <v>Naturphosphat 26%</v>
      </c>
      <c r="AR103" t="str">
        <f>IF(($A107=""),"",IF(COUNTIF(Mineral!$AJ$3:$AJ$324,$A107),"",$A107))</f>
        <v/>
      </c>
      <c r="AS103" t="str">
        <f>IFERROR(INDEX(Liste_Handelsünger[Handelsdünger],_xlfn.AGGREGATE(15,6,(ROW(Liste_Handelsünger[Handelsdünger])-1)/(--(SEARCH(AT$2,Liste_Handelsünger[Handelsdünger])&gt;0)),ROW()-2),1),"")</f>
        <v>Naturphosphat 26%</v>
      </c>
      <c r="AT103" t="str">
        <f>IF(($A108=""),"",IF(COUNTIF(Mineral!$AJ$3:$AJ$324,$A108),"",$A108))</f>
        <v/>
      </c>
      <c r="AU103" t="str">
        <f>IFERROR(INDEX(Liste_Handelsünger[Handelsdünger],_xlfn.AGGREGATE(15,6,(ROW(Liste_Handelsünger[Handelsdünger])-1)/(--(SEARCH(AV$2,Liste_Handelsünger[Handelsdünger])&gt;0)),ROW()-2),1),"")</f>
        <v>Naturphosphat 26%</v>
      </c>
      <c r="AV103" t="str">
        <f>IF(($A109=""),"",IF(COUNTIF(Mineral!$AJ$3:$AJ$324,$A109),"",$A109))</f>
        <v/>
      </c>
      <c r="AW103" t="str">
        <f>IFERROR(INDEX(Liste_Handelsünger[Handelsdünger],_xlfn.AGGREGATE(15,6,(ROW(Liste_Handelsünger[Handelsdünger])-1)/(--(SEARCH(AX$2,Liste_Handelsünger[Handelsdünger])&gt;0)),ROW()-2),1),"")</f>
        <v>Naturphosphat 26%</v>
      </c>
      <c r="AX103" t="str">
        <f>IF(($A110=""),"",IF(COUNTIF(Mineral!$AJ$3:$AJ$324,$A110),"",$A110))</f>
        <v/>
      </c>
      <c r="AY103" t="str">
        <f>IFERROR(INDEX(Liste_Handelsünger[Handelsdünger],_xlfn.AGGREGATE(15,6,(ROW(Liste_Handelsünger[Handelsdünger])-1)/(--(SEARCH(AZ$2,Liste_Handelsünger[Handelsdünger])&gt;0)),ROW()-2),1),"")</f>
        <v>Naturphosphat 26%</v>
      </c>
      <c r="AZ103" t="str">
        <f>IF(($A111=""),"",IF(COUNTIF(Mineral!$AJ$3:$AJ$324,$A111),"",$A111))</f>
        <v/>
      </c>
      <c r="BA103" t="str">
        <f>IFERROR(INDEX(Liste_Handelsünger[Handelsdünger],_xlfn.AGGREGATE(15,6,(ROW(Liste_Handelsünger[Handelsdünger])-1)/(--(SEARCH(BB$2,Liste_Handelsünger[Handelsdünger])&gt;0)),ROW()-2),1),"")</f>
        <v>Naturphosphat 26%</v>
      </c>
      <c r="BB103" t="str">
        <f>IF(($A112=""),"",IF(COUNTIF(Mineral!$AJ$3:$AJ$324,$A112),"",$A112))</f>
        <v/>
      </c>
      <c r="BC103" t="str">
        <f>IFERROR(INDEX(Liste_Handelsünger[Handelsdünger],_xlfn.AGGREGATE(15,6,(ROW(Liste_Handelsünger[Handelsdünger])-1)/(--(SEARCH(BD$2,Liste_Handelsünger[Handelsdünger])&gt;0)),ROW()-2),1),"")</f>
        <v>Naturphosphat 26%</v>
      </c>
      <c r="BD103" t="str">
        <f>IF(($A113=""),"",IF(COUNTIF(Mineral!$AJ$3:$AJ$324,$A113),"",$A113))</f>
        <v/>
      </c>
      <c r="BE103" t="str">
        <f>IFERROR(INDEX(Liste_Handelsünger[Handelsdünger],_xlfn.AGGREGATE(15,6,(ROW(Liste_Handelsünger[Handelsdünger])-1)/(--(SEARCH(BF$2,Liste_Handelsünger[Handelsdünger])&gt;0)),ROW()-2),1),"")</f>
        <v>Naturphosphat 26%</v>
      </c>
      <c r="BF103" t="str">
        <f>IF(($A114=""),"",IF(COUNTIF(Mineral!$AJ$3:$AJ$324,$A114),"",$A114))</f>
        <v/>
      </c>
      <c r="BG103" t="str">
        <f>IFERROR(INDEX(Liste_Handelsünger[Handelsdünger],_xlfn.AGGREGATE(15,6,(ROW(Liste_Handelsünger[Handelsdünger])-1)/(--(SEARCH(BH$2,Liste_Handelsünger[Handelsdünger])&gt;0)),ROW()-2),1),"")</f>
        <v>Naturphosphat 26%</v>
      </c>
      <c r="BH103" t="str">
        <f>IF(($A115=""),"",IF(COUNTIF(Mineral!$AJ$3:$AJ$324,$A115),"",$A115))</f>
        <v/>
      </c>
      <c r="BI103" t="str">
        <f>IFERROR(INDEX(Liste_Handelsünger[Handelsdünger],_xlfn.AGGREGATE(15,6,(ROW(Liste_Handelsünger[Handelsdünger])-1)/(--(SEARCH(BJ$2,Liste_Handelsünger[Handelsdünger])&gt;0)),ROW()-2),1),"")</f>
        <v>Naturphosphat 26%</v>
      </c>
      <c r="BJ103" t="str">
        <f>IF(($A116=""),"",IF(COUNTIF(Mineral!$AJ$3:$AJ$324,$A116),"",$A116))</f>
        <v/>
      </c>
      <c r="BK103" t="str">
        <f>IFERROR(INDEX(Liste_Handelsünger[Handelsdünger],_xlfn.AGGREGATE(15,6,(ROW(Liste_Handelsünger[Handelsdünger])-1)/(--(SEARCH(BL$2,Liste_Handelsünger[Handelsdünger])&gt;0)),ROW()-2),1),"")</f>
        <v>Naturphosphat 26%</v>
      </c>
      <c r="BM103" t="str">
        <f>IFERROR(INDEX(Liste_Handelsünger[Handelsdünger],_xlfn.AGGREGATE(15,6,(ROW(Liste_Handelsünger[Handelsdünger])-1)/(--(SEARCH(BN$2,Liste_Handelsünger[Handelsdünger])&gt;0)),ROW()-2),1),"")</f>
        <v>Naturphosphat 26%</v>
      </c>
      <c r="BN103" t="str">
        <f>IF(($A118=""),"",IF(COUNTIF(Mineral!$AJ$3:$AJ$324,$A118),"",$A118))</f>
        <v/>
      </c>
      <c r="BV103" t="s">
        <v>2217</v>
      </c>
      <c r="BW103" t="s">
        <v>2199</v>
      </c>
    </row>
    <row r="104" spans="18:75" ht="14.25" thickTop="1" thickBot="1">
      <c r="R104" t="str">
        <f t="array" ref="R104">IF(ROW(A75)&gt;COUNTA(A:A),"",INDEX(A:A,SMALL(IF(A$3:A$27&lt;&gt;"",ROW($3:$27)),ROW(A75))))</f>
        <v/>
      </c>
      <c r="S104" s="1676">
        <v>103</v>
      </c>
      <c r="T104" s="1606" t="s">
        <v>2335</v>
      </c>
      <c r="U104" s="1606" t="s">
        <v>2218</v>
      </c>
      <c r="V104" s="1606"/>
      <c r="W104" s="1606">
        <v>12</v>
      </c>
      <c r="X104" s="1606">
        <v>5</v>
      </c>
      <c r="Y104" s="1606">
        <v>17</v>
      </c>
      <c r="Z104" s="1606">
        <v>11</v>
      </c>
      <c r="AA104" s="1606">
        <v>0</v>
      </c>
      <c r="AB104" s="1606">
        <v>5</v>
      </c>
      <c r="AC104" s="1606">
        <v>1</v>
      </c>
      <c r="AD104" s="1613">
        <v>1</v>
      </c>
      <c r="AE104" s="1606" t="s">
        <v>2016</v>
      </c>
      <c r="AF104" s="1613" t="str">
        <f t="shared" si="15"/>
        <v/>
      </c>
      <c r="AG104" s="1656">
        <f>IFERROR(IF($AF104&gt;0,VLOOKUP($U104,Tabelle1!$C$188:$L$212,5,0)*$AF104,0),0)</f>
        <v>0</v>
      </c>
      <c r="AH104" s="1656">
        <f t="shared" si="16"/>
        <v>0</v>
      </c>
      <c r="AJ104" t="str">
        <f>IF(Betrieb!$D$9="JA",Mineral!$BW104,Mineral!$BV104)</f>
        <v>Nitrophoska Mg plus 12:5:17+5</v>
      </c>
      <c r="AK104" s="1672" t="str">
        <f>IFERROR(INDEX(Liste_Handelsünger[Handelsdünger],_xlfn.AGGREGATE(15,6,(ROW(Liste_Handelsünger[Handelsdünger])-1)/(--(SEARCH(AL$2,Liste_Handelsünger[Handelsdünger])&gt;0)),ROW()-2),1),"")</f>
        <v>Nitrophoska Mg plus 12:5:17+5</v>
      </c>
      <c r="AL104" s="1672" t="str">
        <f>IF(($A$3=""),"",IF(COUNTIF(Mineral!$AJ$3:$AJ$324,$A$3),"",$A$3))</f>
        <v/>
      </c>
      <c r="AM104" s="1672" t="str">
        <f>IFERROR(INDEX(Liste_Handelsünger[Handelsdünger],_xlfn.AGGREGATE(15,6,(ROW(Liste_Handelsünger[Handelsdünger])-1)/(--(SEARCH(AN$2,Liste_Handelsünger[Handelsdünger])&gt;0)),ROW()-2),1),"")</f>
        <v>Nitrophoska Mg plus 12:5:17+5</v>
      </c>
      <c r="AN104" t="str">
        <f>IF(($A106=""),"",IF(COUNTIF(Mineral!$AJ$3:$AJ$324,$A106),"",$A106))</f>
        <v/>
      </c>
      <c r="AO104" t="str">
        <f>IFERROR(INDEX(Liste_Handelsünger[Handelsdünger],_xlfn.AGGREGATE(15,6,(ROW(Liste_Handelsünger[Handelsdünger])-1)/(--(SEARCH(AP$2,Liste_Handelsünger[Handelsdünger])&gt;0)),ROW()-2),1),"")</f>
        <v>Nitrophoska Mg plus 12:5:17+5</v>
      </c>
      <c r="AP104" t="str">
        <f>IF(($A107=""),"",IF(COUNTIF(Mineral!$AJ$3:$AJ$324,$A107),"",$A107))</f>
        <v/>
      </c>
      <c r="AQ104" t="str">
        <f>IFERROR(INDEX(Liste_Handelsünger[Handelsdünger],_xlfn.AGGREGATE(15,6,(ROW(Liste_Handelsünger[Handelsdünger])-1)/(--(SEARCH(AR$2,Liste_Handelsünger[Handelsdünger])&gt;0)),ROW()-2),1),"")</f>
        <v>Nitrophoska Mg plus 12:5:17+5</v>
      </c>
      <c r="AR104" t="str">
        <f>IF(($A108=""),"",IF(COUNTIF(Mineral!$AJ$3:$AJ$324,$A108),"",$A108))</f>
        <v/>
      </c>
      <c r="AS104" t="str">
        <f>IFERROR(INDEX(Liste_Handelsünger[Handelsdünger],_xlfn.AGGREGATE(15,6,(ROW(Liste_Handelsünger[Handelsdünger])-1)/(--(SEARCH(AT$2,Liste_Handelsünger[Handelsdünger])&gt;0)),ROW()-2),1),"")</f>
        <v>Nitrophoska Mg plus 12:5:17+5</v>
      </c>
      <c r="AT104" t="str">
        <f>IF(($A109=""),"",IF(COUNTIF(Mineral!$AJ$3:$AJ$324,$A109),"",$A109))</f>
        <v/>
      </c>
      <c r="AU104" t="str">
        <f>IFERROR(INDEX(Liste_Handelsünger[Handelsdünger],_xlfn.AGGREGATE(15,6,(ROW(Liste_Handelsünger[Handelsdünger])-1)/(--(SEARCH(AV$2,Liste_Handelsünger[Handelsdünger])&gt;0)),ROW()-2),1),"")</f>
        <v>Nitrophoska Mg plus 12:5:17+5</v>
      </c>
      <c r="AV104" t="str">
        <f>IF(($A110=""),"",IF(COUNTIF(Mineral!$AJ$3:$AJ$324,$A110),"",$A110))</f>
        <v/>
      </c>
      <c r="AW104" t="str">
        <f>IFERROR(INDEX(Liste_Handelsünger[Handelsdünger],_xlfn.AGGREGATE(15,6,(ROW(Liste_Handelsünger[Handelsdünger])-1)/(--(SEARCH(AX$2,Liste_Handelsünger[Handelsdünger])&gt;0)),ROW()-2),1),"")</f>
        <v>Nitrophoska Mg plus 12:5:17+5</v>
      </c>
      <c r="AX104" t="str">
        <f>IF(($A111=""),"",IF(COUNTIF(Mineral!$AJ$3:$AJ$324,$A111),"",$A111))</f>
        <v/>
      </c>
      <c r="AY104" t="str">
        <f>IFERROR(INDEX(Liste_Handelsünger[Handelsdünger],_xlfn.AGGREGATE(15,6,(ROW(Liste_Handelsünger[Handelsdünger])-1)/(--(SEARCH(AZ$2,Liste_Handelsünger[Handelsdünger])&gt;0)),ROW()-2),1),"")</f>
        <v>Nitrophoska Mg plus 12:5:17+5</v>
      </c>
      <c r="AZ104" t="str">
        <f>IF(($A112=""),"",IF(COUNTIF(Mineral!$AJ$3:$AJ$324,$A112),"",$A112))</f>
        <v/>
      </c>
      <c r="BA104" t="str">
        <f>IFERROR(INDEX(Liste_Handelsünger[Handelsdünger],_xlfn.AGGREGATE(15,6,(ROW(Liste_Handelsünger[Handelsdünger])-1)/(--(SEARCH(BB$2,Liste_Handelsünger[Handelsdünger])&gt;0)),ROW()-2),1),"")</f>
        <v>Nitrophoska Mg plus 12:5:17+5</v>
      </c>
      <c r="BB104" t="str">
        <f>IF(($A113=""),"",IF(COUNTIF(Mineral!$AJ$3:$AJ$324,$A113),"",$A113))</f>
        <v/>
      </c>
      <c r="BC104" t="str">
        <f>IFERROR(INDEX(Liste_Handelsünger[Handelsdünger],_xlfn.AGGREGATE(15,6,(ROW(Liste_Handelsünger[Handelsdünger])-1)/(--(SEARCH(BD$2,Liste_Handelsünger[Handelsdünger])&gt;0)),ROW()-2),1),"")</f>
        <v>Nitrophoska Mg plus 12:5:17+5</v>
      </c>
      <c r="BD104" t="str">
        <f>IF(($A114=""),"",IF(COUNTIF(Mineral!$AJ$3:$AJ$324,$A114),"",$A114))</f>
        <v/>
      </c>
      <c r="BE104" t="str">
        <f>IFERROR(INDEX(Liste_Handelsünger[Handelsdünger],_xlfn.AGGREGATE(15,6,(ROW(Liste_Handelsünger[Handelsdünger])-1)/(--(SEARCH(BF$2,Liste_Handelsünger[Handelsdünger])&gt;0)),ROW()-2),1),"")</f>
        <v>Nitrophoska Mg plus 12:5:17+5</v>
      </c>
      <c r="BF104" t="str">
        <f>IF(($A115=""),"",IF(COUNTIF(Mineral!$AJ$3:$AJ$324,$A115),"",$A115))</f>
        <v/>
      </c>
      <c r="BG104" t="str">
        <f>IFERROR(INDEX(Liste_Handelsünger[Handelsdünger],_xlfn.AGGREGATE(15,6,(ROW(Liste_Handelsünger[Handelsdünger])-1)/(--(SEARCH(BH$2,Liste_Handelsünger[Handelsdünger])&gt;0)),ROW()-2),1),"")</f>
        <v>Nitrophoska Mg plus 12:5:17+5</v>
      </c>
      <c r="BH104" t="str">
        <f>IF(($A116=""),"",IF(COUNTIF(Mineral!$AJ$3:$AJ$324,$A116),"",$A116))</f>
        <v/>
      </c>
      <c r="BI104" t="str">
        <f>IFERROR(INDEX(Liste_Handelsünger[Handelsdünger],_xlfn.AGGREGATE(15,6,(ROW(Liste_Handelsünger[Handelsdünger])-1)/(--(SEARCH(BJ$2,Liste_Handelsünger[Handelsdünger])&gt;0)),ROW()-2),1),"")</f>
        <v>Nitrophoska Mg plus 12:5:17+5</v>
      </c>
      <c r="BJ104" t="str">
        <f>IF(($A117=""),"",IF(COUNTIF(Mineral!$AJ$3:$AJ$324,$A117),"",$A117))</f>
        <v/>
      </c>
      <c r="BK104" t="str">
        <f>IFERROR(INDEX(Liste_Handelsünger[Handelsdünger],_xlfn.AGGREGATE(15,6,(ROW(Liste_Handelsünger[Handelsdünger])-1)/(--(SEARCH(BL$2,Liste_Handelsünger[Handelsdünger])&gt;0)),ROW()-2),1),"")</f>
        <v>Nitrophoska Mg plus 12:5:17+5</v>
      </c>
      <c r="BM104" t="str">
        <f>IFERROR(INDEX(Liste_Handelsünger[Handelsdünger],_xlfn.AGGREGATE(15,6,(ROW(Liste_Handelsünger[Handelsdünger])-1)/(--(SEARCH(BN$2,Liste_Handelsünger[Handelsdünger])&gt;0)),ROW()-2),1),"")</f>
        <v>Nitrophoska Mg plus 12:5:17+5</v>
      </c>
      <c r="BN104" t="str">
        <f>IF(($A119=""),"",IF(COUNTIF(Mineral!$AJ$3:$AJ$324,$A119),"",$A119))</f>
        <v/>
      </c>
      <c r="BV104" t="s">
        <v>2218</v>
      </c>
      <c r="BW104" t="s">
        <v>2200</v>
      </c>
    </row>
    <row r="105" spans="18:75" ht="14.25" thickTop="1" thickBot="1">
      <c r="R105" t="str">
        <f t="array" ref="R105">IF(ROW(A76)&gt;COUNTA(A:A),"",INDEX(A:A,SMALL(IF(A$3:A$27&lt;&gt;"",ROW($3:$27)),ROW(A76))))</f>
        <v/>
      </c>
      <c r="S105" s="1616">
        <v>104</v>
      </c>
      <c r="T105" s="1617" t="s">
        <v>2335</v>
      </c>
      <c r="U105" s="1617" t="s">
        <v>2219</v>
      </c>
      <c r="V105" s="1617"/>
      <c r="W105" s="1617">
        <v>15</v>
      </c>
      <c r="X105" s="1617">
        <v>5</v>
      </c>
      <c r="Y105" s="1617">
        <v>20</v>
      </c>
      <c r="Z105" s="1617">
        <v>8</v>
      </c>
      <c r="AA105" s="1617">
        <v>0</v>
      </c>
      <c r="AB105" s="1617">
        <v>2</v>
      </c>
      <c r="AC105" s="1617">
        <v>1</v>
      </c>
      <c r="AD105" s="1613">
        <v>1</v>
      </c>
      <c r="AE105" s="1617" t="s">
        <v>2016</v>
      </c>
      <c r="AF105" s="1613" t="str">
        <f t="shared" si="15"/>
        <v/>
      </c>
      <c r="AG105" s="1656">
        <f>IFERROR(IF($AF105&gt;0,VLOOKUP($U105,Tabelle1!$C$188:$L$212,5,0)*$AF105,0),0)</f>
        <v>0</v>
      </c>
      <c r="AH105" s="1656">
        <f t="shared" si="16"/>
        <v>0</v>
      </c>
      <c r="AJ105" t="str">
        <f>IF(Betrieb!$D$9="JA",Mineral!$BW105,Mineral!$BV105)</f>
        <v>Nitrophoska perfekt 15:5:20+2</v>
      </c>
      <c r="AK105" s="1672" t="str">
        <f>IFERROR(INDEX(Liste_Handelsünger[Handelsdünger],_xlfn.AGGREGATE(15,6,(ROW(Liste_Handelsünger[Handelsdünger])-1)/(--(SEARCH(AL$2,Liste_Handelsünger[Handelsdünger])&gt;0)),ROW()-2),1),"")</f>
        <v>Nitrophoska perfekt 15:5:20+2</v>
      </c>
      <c r="AL105" s="1672" t="str">
        <f>IF(($A$3=""),"",IF(COUNTIF(Mineral!$AJ$3:$AJ$324,$A$3),"",$A$3))</f>
        <v/>
      </c>
      <c r="AM105" s="1672" t="str">
        <f>IFERROR(INDEX(Liste_Handelsünger[Handelsdünger],_xlfn.AGGREGATE(15,6,(ROW(Liste_Handelsünger[Handelsdünger])-1)/(--(SEARCH(AN$2,Liste_Handelsünger[Handelsdünger])&gt;0)),ROW()-2),1),"")</f>
        <v>Nitrophoska perfekt 15:5:20+2</v>
      </c>
      <c r="AN105" t="str">
        <f>IF(($A107=""),"",IF(COUNTIF(Mineral!$AJ$3:$AJ$324,$A107),"",$A107))</f>
        <v/>
      </c>
      <c r="AO105" t="str">
        <f>IFERROR(INDEX(Liste_Handelsünger[Handelsdünger],_xlfn.AGGREGATE(15,6,(ROW(Liste_Handelsünger[Handelsdünger])-1)/(--(SEARCH(AP$2,Liste_Handelsünger[Handelsdünger])&gt;0)),ROW()-2),1),"")</f>
        <v>Nitrophoska perfekt 15:5:20+2</v>
      </c>
      <c r="AP105" t="str">
        <f>IF(($A108=""),"",IF(COUNTIF(Mineral!$AJ$3:$AJ$324,$A108),"",$A108))</f>
        <v/>
      </c>
      <c r="AQ105" t="str">
        <f>IFERROR(INDEX(Liste_Handelsünger[Handelsdünger],_xlfn.AGGREGATE(15,6,(ROW(Liste_Handelsünger[Handelsdünger])-1)/(--(SEARCH(AR$2,Liste_Handelsünger[Handelsdünger])&gt;0)),ROW()-2),1),"")</f>
        <v>Nitrophoska perfekt 15:5:20+2</v>
      </c>
      <c r="AR105" t="str">
        <f>IF(($A109=""),"",IF(COUNTIF(Mineral!$AJ$3:$AJ$324,$A109),"",$A109))</f>
        <v/>
      </c>
      <c r="AS105" t="str">
        <f>IFERROR(INDEX(Liste_Handelsünger[Handelsdünger],_xlfn.AGGREGATE(15,6,(ROW(Liste_Handelsünger[Handelsdünger])-1)/(--(SEARCH(AT$2,Liste_Handelsünger[Handelsdünger])&gt;0)),ROW()-2),1),"")</f>
        <v>Nitrophoska perfekt 15:5:20+2</v>
      </c>
      <c r="AT105" t="str">
        <f>IF(($A110=""),"",IF(COUNTIF(Mineral!$AJ$3:$AJ$324,$A110),"",$A110))</f>
        <v/>
      </c>
      <c r="AU105" t="str">
        <f>IFERROR(INDEX(Liste_Handelsünger[Handelsdünger],_xlfn.AGGREGATE(15,6,(ROW(Liste_Handelsünger[Handelsdünger])-1)/(--(SEARCH(AV$2,Liste_Handelsünger[Handelsdünger])&gt;0)),ROW()-2),1),"")</f>
        <v>Nitrophoska perfekt 15:5:20+2</v>
      </c>
      <c r="AV105" t="str">
        <f>IF(($A111=""),"",IF(COUNTIF(Mineral!$AJ$3:$AJ$324,$A111),"",$A111))</f>
        <v/>
      </c>
      <c r="AW105" t="str">
        <f>IFERROR(INDEX(Liste_Handelsünger[Handelsdünger],_xlfn.AGGREGATE(15,6,(ROW(Liste_Handelsünger[Handelsdünger])-1)/(--(SEARCH(AX$2,Liste_Handelsünger[Handelsdünger])&gt;0)),ROW()-2),1),"")</f>
        <v>Nitrophoska perfekt 15:5:20+2</v>
      </c>
      <c r="AX105" t="str">
        <f>IF(($A112=""),"",IF(COUNTIF(Mineral!$AJ$3:$AJ$324,$A112),"",$A112))</f>
        <v/>
      </c>
      <c r="AY105" t="str">
        <f>IFERROR(INDEX(Liste_Handelsünger[Handelsdünger],_xlfn.AGGREGATE(15,6,(ROW(Liste_Handelsünger[Handelsdünger])-1)/(--(SEARCH(AZ$2,Liste_Handelsünger[Handelsdünger])&gt;0)),ROW()-2),1),"")</f>
        <v>Nitrophoska perfekt 15:5:20+2</v>
      </c>
      <c r="AZ105" t="str">
        <f>IF(($A113=""),"",IF(COUNTIF(Mineral!$AJ$3:$AJ$324,$A113),"",$A113))</f>
        <v/>
      </c>
      <c r="BA105" t="str">
        <f>IFERROR(INDEX(Liste_Handelsünger[Handelsdünger],_xlfn.AGGREGATE(15,6,(ROW(Liste_Handelsünger[Handelsdünger])-1)/(--(SEARCH(BB$2,Liste_Handelsünger[Handelsdünger])&gt;0)),ROW()-2),1),"")</f>
        <v>Nitrophoska perfekt 15:5:20+2</v>
      </c>
      <c r="BB105" t="str">
        <f>IF(($A114=""),"",IF(COUNTIF(Mineral!$AJ$3:$AJ$324,$A114),"",$A114))</f>
        <v/>
      </c>
      <c r="BC105" t="str">
        <f>IFERROR(INDEX(Liste_Handelsünger[Handelsdünger],_xlfn.AGGREGATE(15,6,(ROW(Liste_Handelsünger[Handelsdünger])-1)/(--(SEARCH(BD$2,Liste_Handelsünger[Handelsdünger])&gt;0)),ROW()-2),1),"")</f>
        <v>Nitrophoska perfekt 15:5:20+2</v>
      </c>
      <c r="BD105" t="str">
        <f>IF(($A115=""),"",IF(COUNTIF(Mineral!$AJ$3:$AJ$324,$A115),"",$A115))</f>
        <v/>
      </c>
      <c r="BE105" t="str">
        <f>IFERROR(INDEX(Liste_Handelsünger[Handelsdünger],_xlfn.AGGREGATE(15,6,(ROW(Liste_Handelsünger[Handelsdünger])-1)/(--(SEARCH(BF$2,Liste_Handelsünger[Handelsdünger])&gt;0)),ROW()-2),1),"")</f>
        <v>Nitrophoska perfekt 15:5:20+2</v>
      </c>
      <c r="BF105" t="str">
        <f>IF(($A116=""),"",IF(COUNTIF(Mineral!$AJ$3:$AJ$324,$A116),"",$A116))</f>
        <v/>
      </c>
      <c r="BG105" t="str">
        <f>IFERROR(INDEX(Liste_Handelsünger[Handelsdünger],_xlfn.AGGREGATE(15,6,(ROW(Liste_Handelsünger[Handelsdünger])-1)/(--(SEARCH(BH$2,Liste_Handelsünger[Handelsdünger])&gt;0)),ROW()-2),1),"")</f>
        <v>Nitrophoska perfekt 15:5:20+2</v>
      </c>
      <c r="BH105" t="str">
        <f>IF(($A117=""),"",IF(COUNTIF(Mineral!$AJ$3:$AJ$324,$A117),"",$A117))</f>
        <v/>
      </c>
      <c r="BI105" t="str">
        <f>IFERROR(INDEX(Liste_Handelsünger[Handelsdünger],_xlfn.AGGREGATE(15,6,(ROW(Liste_Handelsünger[Handelsdünger])-1)/(--(SEARCH(BJ$2,Liste_Handelsünger[Handelsdünger])&gt;0)),ROW()-2),1),"")</f>
        <v>Nitrophoska perfekt 15:5:20+2</v>
      </c>
      <c r="BJ105" t="str">
        <f>IF(($A118=""),"",IF(COUNTIF(Mineral!$AJ$3:$AJ$324,$A118),"",$A118))</f>
        <v/>
      </c>
      <c r="BK105" t="str">
        <f>IFERROR(INDEX(Liste_Handelsünger[Handelsdünger],_xlfn.AGGREGATE(15,6,(ROW(Liste_Handelsünger[Handelsdünger])-1)/(--(SEARCH(BL$2,Liste_Handelsünger[Handelsdünger])&gt;0)),ROW()-2),1),"")</f>
        <v>Nitrophoska perfekt 15:5:20+2</v>
      </c>
      <c r="BM105" t="str">
        <f>IFERROR(INDEX(Liste_Handelsünger[Handelsdünger],_xlfn.AGGREGATE(15,6,(ROW(Liste_Handelsünger[Handelsdünger])-1)/(--(SEARCH(BN$2,Liste_Handelsünger[Handelsdünger])&gt;0)),ROW()-2),1),"")</f>
        <v>Nitrophoska perfekt 15:5:20+2</v>
      </c>
      <c r="BN105" t="str">
        <f>IF(($A120=""),"",IF(COUNTIF(Mineral!$AJ$3:$AJ$324,$A120),"",$A120))</f>
        <v/>
      </c>
      <c r="BV105" t="s">
        <v>2219</v>
      </c>
      <c r="BW105" t="s">
        <v>2201</v>
      </c>
    </row>
    <row r="106" spans="18:75" ht="14.25" thickTop="1" thickBot="1">
      <c r="R106" t="str">
        <f t="array" ref="R106">IF(ROW(A77)&gt;COUNTA(A:A),"",INDEX(A:A,SMALL(IF(A$3:A$27&lt;&gt;"",ROW($3:$27)),ROW(A77))))</f>
        <v/>
      </c>
      <c r="S106" s="1676">
        <v>105</v>
      </c>
      <c r="T106" s="1606" t="s">
        <v>2335</v>
      </c>
      <c r="U106" s="1606" t="s">
        <v>2220</v>
      </c>
      <c r="V106" s="1606"/>
      <c r="W106" s="1606">
        <v>12</v>
      </c>
      <c r="X106" s="1606">
        <v>5</v>
      </c>
      <c r="Y106" s="1606">
        <v>17</v>
      </c>
      <c r="Z106" s="1606">
        <v>11</v>
      </c>
      <c r="AA106" s="1606">
        <v>5</v>
      </c>
      <c r="AB106" s="1606">
        <v>0</v>
      </c>
      <c r="AC106" s="1606">
        <v>1</v>
      </c>
      <c r="AD106" s="1613">
        <v>1</v>
      </c>
      <c r="AE106" s="1606" t="s">
        <v>2016</v>
      </c>
      <c r="AF106" s="1613" t="str">
        <f t="shared" si="15"/>
        <v/>
      </c>
      <c r="AG106" s="1656">
        <f>IFERROR(IF($AF106&gt;0,VLOOKUP($U106,Tabelle1!$C$188:$L$212,5,0)*$AF106,0),0)</f>
        <v>0</v>
      </c>
      <c r="AH106" s="1656">
        <f t="shared" si="16"/>
        <v>0</v>
      </c>
      <c r="AJ106" t="str">
        <f>IF(Betrieb!$D$9="JA",Mineral!$BW106,Mineral!$BV106)</f>
        <v>Nitrophoska spezial 12:5:17+2</v>
      </c>
      <c r="AK106" s="1672" t="str">
        <f>IFERROR(INDEX(Liste_Handelsünger[Handelsdünger],_xlfn.AGGREGATE(15,6,(ROW(Liste_Handelsünger[Handelsdünger])-1)/(--(SEARCH(AL$2,Liste_Handelsünger[Handelsdünger])&gt;0)),ROW()-2),1),"")</f>
        <v>Nitrophoska spezial 12:5:17+2</v>
      </c>
      <c r="AL106" s="1672" t="str">
        <f>IF(($A$3=""),"",IF(COUNTIF(Mineral!$AJ$3:$AJ$324,$A$3),"",$A$3))</f>
        <v/>
      </c>
      <c r="AM106" s="1672" t="str">
        <f>IFERROR(INDEX(Liste_Handelsünger[Handelsdünger],_xlfn.AGGREGATE(15,6,(ROW(Liste_Handelsünger[Handelsdünger])-1)/(--(SEARCH(AN$2,Liste_Handelsünger[Handelsdünger])&gt;0)),ROW()-2),1),"")</f>
        <v>Nitrophoska spezial 12:5:17+2</v>
      </c>
      <c r="AN106" t="str">
        <f>IF(($A108=""),"",IF(COUNTIF(Mineral!$AJ$3:$AJ$324,$A108),"",$A108))</f>
        <v/>
      </c>
      <c r="AO106" t="str">
        <f>IFERROR(INDEX(Liste_Handelsünger[Handelsdünger],_xlfn.AGGREGATE(15,6,(ROW(Liste_Handelsünger[Handelsdünger])-1)/(--(SEARCH(AP$2,Liste_Handelsünger[Handelsdünger])&gt;0)),ROW()-2),1),"")</f>
        <v>Nitrophoska spezial 12:5:17+2</v>
      </c>
      <c r="AP106" t="str">
        <f>IF(($A109=""),"",IF(COUNTIF(Mineral!$AJ$3:$AJ$324,$A109),"",$A109))</f>
        <v/>
      </c>
      <c r="AQ106" t="str">
        <f>IFERROR(INDEX(Liste_Handelsünger[Handelsdünger],_xlfn.AGGREGATE(15,6,(ROW(Liste_Handelsünger[Handelsdünger])-1)/(--(SEARCH(AR$2,Liste_Handelsünger[Handelsdünger])&gt;0)),ROW()-2),1),"")</f>
        <v>Nitrophoska spezial 12:5:17+2</v>
      </c>
      <c r="AR106" t="str">
        <f>IF(($A110=""),"",IF(COUNTIF(Mineral!$AJ$3:$AJ$324,$A110),"",$A110))</f>
        <v/>
      </c>
      <c r="AS106" t="str">
        <f>IFERROR(INDEX(Liste_Handelsünger[Handelsdünger],_xlfn.AGGREGATE(15,6,(ROW(Liste_Handelsünger[Handelsdünger])-1)/(--(SEARCH(AT$2,Liste_Handelsünger[Handelsdünger])&gt;0)),ROW()-2),1),"")</f>
        <v>Nitrophoska spezial 12:5:17+2</v>
      </c>
      <c r="AT106" t="str">
        <f>IF(($A111=""),"",IF(COUNTIF(Mineral!$AJ$3:$AJ$324,$A111),"",$A111))</f>
        <v/>
      </c>
      <c r="AU106" t="str">
        <f>IFERROR(INDEX(Liste_Handelsünger[Handelsdünger],_xlfn.AGGREGATE(15,6,(ROW(Liste_Handelsünger[Handelsdünger])-1)/(--(SEARCH(AV$2,Liste_Handelsünger[Handelsdünger])&gt;0)),ROW()-2),1),"")</f>
        <v>Nitrophoska spezial 12:5:17+2</v>
      </c>
      <c r="AV106" t="str">
        <f>IF(($A112=""),"",IF(COUNTIF(Mineral!$AJ$3:$AJ$324,$A112),"",$A112))</f>
        <v/>
      </c>
      <c r="AW106" t="str">
        <f>IFERROR(INDEX(Liste_Handelsünger[Handelsdünger],_xlfn.AGGREGATE(15,6,(ROW(Liste_Handelsünger[Handelsdünger])-1)/(--(SEARCH(AX$2,Liste_Handelsünger[Handelsdünger])&gt;0)),ROW()-2),1),"")</f>
        <v>Nitrophoska spezial 12:5:17+2</v>
      </c>
      <c r="AX106" t="str">
        <f>IF(($A113=""),"",IF(COUNTIF(Mineral!$AJ$3:$AJ$324,$A113),"",$A113))</f>
        <v/>
      </c>
      <c r="AY106" t="str">
        <f>IFERROR(INDEX(Liste_Handelsünger[Handelsdünger],_xlfn.AGGREGATE(15,6,(ROW(Liste_Handelsünger[Handelsdünger])-1)/(--(SEARCH(AZ$2,Liste_Handelsünger[Handelsdünger])&gt;0)),ROW()-2),1),"")</f>
        <v>Nitrophoska spezial 12:5:17+2</v>
      </c>
      <c r="AZ106" t="str">
        <f>IF(($A114=""),"",IF(COUNTIF(Mineral!$AJ$3:$AJ$324,$A114),"",$A114))</f>
        <v/>
      </c>
      <c r="BA106" t="str">
        <f>IFERROR(INDEX(Liste_Handelsünger[Handelsdünger],_xlfn.AGGREGATE(15,6,(ROW(Liste_Handelsünger[Handelsdünger])-1)/(--(SEARCH(BB$2,Liste_Handelsünger[Handelsdünger])&gt;0)),ROW()-2),1),"")</f>
        <v>Nitrophoska spezial 12:5:17+2</v>
      </c>
      <c r="BB106" t="str">
        <f>IF(($A115=""),"",IF(COUNTIF(Mineral!$AJ$3:$AJ$324,$A115),"",$A115))</f>
        <v/>
      </c>
      <c r="BC106" t="str">
        <f>IFERROR(INDEX(Liste_Handelsünger[Handelsdünger],_xlfn.AGGREGATE(15,6,(ROW(Liste_Handelsünger[Handelsdünger])-1)/(--(SEARCH(BD$2,Liste_Handelsünger[Handelsdünger])&gt;0)),ROW()-2),1),"")</f>
        <v>Nitrophoska spezial 12:5:17+2</v>
      </c>
      <c r="BD106" t="str">
        <f>IF(($A116=""),"",IF(COUNTIF(Mineral!$AJ$3:$AJ$324,$A116),"",$A116))</f>
        <v/>
      </c>
      <c r="BE106" t="str">
        <f>IFERROR(INDEX(Liste_Handelsünger[Handelsdünger],_xlfn.AGGREGATE(15,6,(ROW(Liste_Handelsünger[Handelsdünger])-1)/(--(SEARCH(BF$2,Liste_Handelsünger[Handelsdünger])&gt;0)),ROW()-2),1),"")</f>
        <v>Nitrophoska spezial 12:5:17+2</v>
      </c>
      <c r="BF106" t="str">
        <f>IF(($A117=""),"",IF(COUNTIF(Mineral!$AJ$3:$AJ$324,$A117),"",$A117))</f>
        <v/>
      </c>
      <c r="BG106" t="str">
        <f>IFERROR(INDEX(Liste_Handelsünger[Handelsdünger],_xlfn.AGGREGATE(15,6,(ROW(Liste_Handelsünger[Handelsdünger])-1)/(--(SEARCH(BH$2,Liste_Handelsünger[Handelsdünger])&gt;0)),ROW()-2),1),"")</f>
        <v>Nitrophoska spezial 12:5:17+2</v>
      </c>
      <c r="BH106" t="str">
        <f>IF(($A118=""),"",IF(COUNTIF(Mineral!$AJ$3:$AJ$324,$A118),"",$A118))</f>
        <v/>
      </c>
      <c r="BI106" t="str">
        <f>IFERROR(INDEX(Liste_Handelsünger[Handelsdünger],_xlfn.AGGREGATE(15,6,(ROW(Liste_Handelsünger[Handelsdünger])-1)/(--(SEARCH(BJ$2,Liste_Handelsünger[Handelsdünger])&gt;0)),ROW()-2),1),"")</f>
        <v>Nitrophoska spezial 12:5:17+2</v>
      </c>
      <c r="BJ106" t="str">
        <f>IF(($A119=""),"",IF(COUNTIF(Mineral!$AJ$3:$AJ$324,$A119),"",$A119))</f>
        <v/>
      </c>
      <c r="BK106" t="str">
        <f>IFERROR(INDEX(Liste_Handelsünger[Handelsdünger],_xlfn.AGGREGATE(15,6,(ROW(Liste_Handelsünger[Handelsdünger])-1)/(--(SEARCH(BL$2,Liste_Handelsünger[Handelsdünger])&gt;0)),ROW()-2),1),"")</f>
        <v>Nitrophoska spezial 12:5:17+2</v>
      </c>
      <c r="BM106" t="str">
        <f>IFERROR(INDEX(Liste_Handelsünger[Handelsdünger],_xlfn.AGGREGATE(15,6,(ROW(Liste_Handelsünger[Handelsdünger])-1)/(--(SEARCH(BN$2,Liste_Handelsünger[Handelsdünger])&gt;0)),ROW()-2),1),"")</f>
        <v>Nitrophoska spezial 12:5:17+2</v>
      </c>
      <c r="BN106" t="str">
        <f>IF(($A121=""),"",IF(COUNTIF(Mineral!$AJ$3:$AJ$324,$A121),"",$A121))</f>
        <v/>
      </c>
      <c r="BV106" t="s">
        <v>2220</v>
      </c>
      <c r="BW106" t="s">
        <v>2203</v>
      </c>
    </row>
    <row r="107" spans="18:75" ht="14.25" thickTop="1" thickBot="1">
      <c r="R107" t="str">
        <f t="array" ref="R107">IF(ROW(A78)&gt;COUNTA(A:A),"",INDEX(A:A,SMALL(IF(A$3:A$27&lt;&gt;"",ROW($3:$27)),ROW(A78))))</f>
        <v/>
      </c>
      <c r="S107" s="1616">
        <v>106</v>
      </c>
      <c r="T107" s="1617" t="s">
        <v>2335</v>
      </c>
      <c r="U107" s="1617" t="s">
        <v>2221</v>
      </c>
      <c r="V107" s="1617"/>
      <c r="W107" s="1617">
        <v>20</v>
      </c>
      <c r="X107" s="1617">
        <v>5</v>
      </c>
      <c r="Y107" s="1617">
        <v>10</v>
      </c>
      <c r="Z107" s="1617">
        <v>3</v>
      </c>
      <c r="AA107" s="1617">
        <v>0</v>
      </c>
      <c r="AB107" s="1617">
        <v>3</v>
      </c>
      <c r="AC107" s="1617">
        <v>1</v>
      </c>
      <c r="AD107" s="1613">
        <v>1</v>
      </c>
      <c r="AE107" s="1617" t="s">
        <v>2016</v>
      </c>
      <c r="AF107" s="1613" t="str">
        <f t="shared" si="15"/>
        <v/>
      </c>
      <c r="AG107" s="1656">
        <f>IFERROR(IF($AF107&gt;0,VLOOKUP($U107,Tabelle1!$C$188:$L$212,5,0)*$AF107,0),0)</f>
        <v>0</v>
      </c>
      <c r="AH107" s="1656">
        <f t="shared" si="16"/>
        <v>0</v>
      </c>
      <c r="AJ107" t="str">
        <f>IF(Betrieb!$D$9="JA",Mineral!$BW107,Mineral!$BV107)</f>
        <v>Nitrophoska suprem 20:5:10+3</v>
      </c>
      <c r="AK107" s="1672" t="str">
        <f>IFERROR(INDEX(Liste_Handelsünger[Handelsdünger],_xlfn.AGGREGATE(15,6,(ROW(Liste_Handelsünger[Handelsdünger])-1)/(--(SEARCH(AL$2,Liste_Handelsünger[Handelsdünger])&gt;0)),ROW()-2),1),"")</f>
        <v>Nitrophoska suprem 20:5:10+3</v>
      </c>
      <c r="AL107" s="1672" t="str">
        <f>IF(($A$3=""),"",IF(COUNTIF(Mineral!$AJ$3:$AJ$324,$A$3),"",$A$3))</f>
        <v/>
      </c>
      <c r="AM107" s="1672" t="str">
        <f>IFERROR(INDEX(Liste_Handelsünger[Handelsdünger],_xlfn.AGGREGATE(15,6,(ROW(Liste_Handelsünger[Handelsdünger])-1)/(--(SEARCH(AN$2,Liste_Handelsünger[Handelsdünger])&gt;0)),ROW()-2),1),"")</f>
        <v>Nitrophoska suprem 20:5:10+3</v>
      </c>
      <c r="AN107" t="str">
        <f>IF(($A109=""),"",IF(COUNTIF(Mineral!$AJ$3:$AJ$324,$A109),"",$A109))</f>
        <v/>
      </c>
      <c r="AO107" t="str">
        <f>IFERROR(INDEX(Liste_Handelsünger[Handelsdünger],_xlfn.AGGREGATE(15,6,(ROW(Liste_Handelsünger[Handelsdünger])-1)/(--(SEARCH(AP$2,Liste_Handelsünger[Handelsdünger])&gt;0)),ROW()-2),1),"")</f>
        <v>Nitrophoska suprem 20:5:10+3</v>
      </c>
      <c r="AP107" t="str">
        <f>IF(($A110=""),"",IF(COUNTIF(Mineral!$AJ$3:$AJ$324,$A110),"",$A110))</f>
        <v/>
      </c>
      <c r="AQ107" t="str">
        <f>IFERROR(INDEX(Liste_Handelsünger[Handelsdünger],_xlfn.AGGREGATE(15,6,(ROW(Liste_Handelsünger[Handelsdünger])-1)/(--(SEARCH(AR$2,Liste_Handelsünger[Handelsdünger])&gt;0)),ROW()-2),1),"")</f>
        <v>Nitrophoska suprem 20:5:10+3</v>
      </c>
      <c r="AR107" t="str">
        <f>IF(($A111=""),"",IF(COUNTIF(Mineral!$AJ$3:$AJ$324,$A111),"",$A111))</f>
        <v/>
      </c>
      <c r="AS107" t="str">
        <f>IFERROR(INDEX(Liste_Handelsünger[Handelsdünger],_xlfn.AGGREGATE(15,6,(ROW(Liste_Handelsünger[Handelsdünger])-1)/(--(SEARCH(AT$2,Liste_Handelsünger[Handelsdünger])&gt;0)),ROW()-2),1),"")</f>
        <v>Nitrophoska suprem 20:5:10+3</v>
      </c>
      <c r="AT107" t="str">
        <f>IF(($A112=""),"",IF(COUNTIF(Mineral!$AJ$3:$AJ$324,$A112),"",$A112))</f>
        <v/>
      </c>
      <c r="AU107" t="str">
        <f>IFERROR(INDEX(Liste_Handelsünger[Handelsdünger],_xlfn.AGGREGATE(15,6,(ROW(Liste_Handelsünger[Handelsdünger])-1)/(--(SEARCH(AV$2,Liste_Handelsünger[Handelsdünger])&gt;0)),ROW()-2),1),"")</f>
        <v>Nitrophoska suprem 20:5:10+3</v>
      </c>
      <c r="AV107" t="str">
        <f>IF(($A113=""),"",IF(COUNTIF(Mineral!$AJ$3:$AJ$324,$A113),"",$A113))</f>
        <v/>
      </c>
      <c r="AW107" t="str">
        <f>IFERROR(INDEX(Liste_Handelsünger[Handelsdünger],_xlfn.AGGREGATE(15,6,(ROW(Liste_Handelsünger[Handelsdünger])-1)/(--(SEARCH(AX$2,Liste_Handelsünger[Handelsdünger])&gt;0)),ROW()-2),1),"")</f>
        <v>Nitrophoska suprem 20:5:10+3</v>
      </c>
      <c r="AX107" t="str">
        <f>IF(($A114=""),"",IF(COUNTIF(Mineral!$AJ$3:$AJ$324,$A114),"",$A114))</f>
        <v/>
      </c>
      <c r="AY107" t="str">
        <f>IFERROR(INDEX(Liste_Handelsünger[Handelsdünger],_xlfn.AGGREGATE(15,6,(ROW(Liste_Handelsünger[Handelsdünger])-1)/(--(SEARCH(AZ$2,Liste_Handelsünger[Handelsdünger])&gt;0)),ROW()-2),1),"")</f>
        <v>Nitrophoska suprem 20:5:10+3</v>
      </c>
      <c r="AZ107" t="str">
        <f>IF(($A115=""),"",IF(COUNTIF(Mineral!$AJ$3:$AJ$324,$A115),"",$A115))</f>
        <v/>
      </c>
      <c r="BA107" t="str">
        <f>IFERROR(INDEX(Liste_Handelsünger[Handelsdünger],_xlfn.AGGREGATE(15,6,(ROW(Liste_Handelsünger[Handelsdünger])-1)/(--(SEARCH(BB$2,Liste_Handelsünger[Handelsdünger])&gt;0)),ROW()-2),1),"")</f>
        <v>Nitrophoska suprem 20:5:10+3</v>
      </c>
      <c r="BB107" t="str">
        <f>IF(($A116=""),"",IF(COUNTIF(Mineral!$AJ$3:$AJ$324,$A116),"",$A116))</f>
        <v/>
      </c>
      <c r="BC107" t="str">
        <f>IFERROR(INDEX(Liste_Handelsünger[Handelsdünger],_xlfn.AGGREGATE(15,6,(ROW(Liste_Handelsünger[Handelsdünger])-1)/(--(SEARCH(BD$2,Liste_Handelsünger[Handelsdünger])&gt;0)),ROW()-2),1),"")</f>
        <v>Nitrophoska suprem 20:5:10+3</v>
      </c>
      <c r="BD107" t="str">
        <f>IF(($A117=""),"",IF(COUNTIF(Mineral!$AJ$3:$AJ$324,$A117),"",$A117))</f>
        <v/>
      </c>
      <c r="BE107" t="str">
        <f>IFERROR(INDEX(Liste_Handelsünger[Handelsdünger],_xlfn.AGGREGATE(15,6,(ROW(Liste_Handelsünger[Handelsdünger])-1)/(--(SEARCH(BF$2,Liste_Handelsünger[Handelsdünger])&gt;0)),ROW()-2),1),"")</f>
        <v>Nitrophoska suprem 20:5:10+3</v>
      </c>
      <c r="BF107" t="str">
        <f>IF(($A118=""),"",IF(COUNTIF(Mineral!$AJ$3:$AJ$324,$A118),"",$A118))</f>
        <v/>
      </c>
      <c r="BG107" t="str">
        <f>IFERROR(INDEX(Liste_Handelsünger[Handelsdünger],_xlfn.AGGREGATE(15,6,(ROW(Liste_Handelsünger[Handelsdünger])-1)/(--(SEARCH(BH$2,Liste_Handelsünger[Handelsdünger])&gt;0)),ROW()-2),1),"")</f>
        <v>Nitrophoska suprem 20:5:10+3</v>
      </c>
      <c r="BH107" t="str">
        <f>IF(($A119=""),"",IF(COUNTIF(Mineral!$AJ$3:$AJ$324,$A119),"",$A119))</f>
        <v/>
      </c>
      <c r="BI107" t="str">
        <f>IFERROR(INDEX(Liste_Handelsünger[Handelsdünger],_xlfn.AGGREGATE(15,6,(ROW(Liste_Handelsünger[Handelsdünger])-1)/(--(SEARCH(BJ$2,Liste_Handelsünger[Handelsdünger])&gt;0)),ROW()-2),1),"")</f>
        <v>Nitrophoska suprem 20:5:10+3</v>
      </c>
      <c r="BJ107" t="str">
        <f>IF(($A120=""),"",IF(COUNTIF(Mineral!$AJ$3:$AJ$324,$A120),"",$A120))</f>
        <v/>
      </c>
      <c r="BK107" t="str">
        <f>IFERROR(INDEX(Liste_Handelsünger[Handelsdünger],_xlfn.AGGREGATE(15,6,(ROW(Liste_Handelsünger[Handelsdünger])-1)/(--(SEARCH(BL$2,Liste_Handelsünger[Handelsdünger])&gt;0)),ROW()-2),1),"")</f>
        <v>Nitrophoska suprem 20:5:10+3</v>
      </c>
      <c r="BM107" t="str">
        <f>IFERROR(INDEX(Liste_Handelsünger[Handelsdünger],_xlfn.AGGREGATE(15,6,(ROW(Liste_Handelsünger[Handelsdünger])-1)/(--(SEARCH(BN$2,Liste_Handelsünger[Handelsdünger])&gt;0)),ROW()-2),1),"")</f>
        <v>Nitrophoska suprem 20:5:10+3</v>
      </c>
      <c r="BN107" t="str">
        <f>IF(($A122=""),"",IF(COUNTIF(Mineral!$AJ$3:$AJ$324,$A122),"",$A122))</f>
        <v/>
      </c>
      <c r="BV107" t="s">
        <v>2221</v>
      </c>
      <c r="BW107" t="s">
        <v>2204</v>
      </c>
    </row>
    <row r="108" spans="18:75" ht="14.25" thickTop="1" thickBot="1">
      <c r="R108" t="str">
        <f t="array" ref="R108">IF(ROW(A79)&gt;COUNTA(A:A),"",INDEX(A:A,SMALL(IF(A$3:A$27&lt;&gt;"",ROW($3:$27)),ROW(A79))))</f>
        <v/>
      </c>
      <c r="S108" s="1676">
        <v>107</v>
      </c>
      <c r="T108" s="1606" t="s">
        <v>2335</v>
      </c>
      <c r="U108" s="1606" t="s">
        <v>2222</v>
      </c>
      <c r="V108" s="1606"/>
      <c r="W108" s="1606">
        <v>12</v>
      </c>
      <c r="X108" s="1606">
        <v>12</v>
      </c>
      <c r="Y108" s="1606">
        <v>17</v>
      </c>
      <c r="Z108" s="1606">
        <v>9</v>
      </c>
      <c r="AA108" s="1606">
        <v>0</v>
      </c>
      <c r="AB108" s="1606">
        <v>0</v>
      </c>
      <c r="AC108" s="1606">
        <v>1</v>
      </c>
      <c r="AD108" s="1613">
        <v>1</v>
      </c>
      <c r="AE108" s="1606" t="s">
        <v>2016</v>
      </c>
      <c r="AF108" s="1613" t="str">
        <f t="shared" si="15"/>
        <v/>
      </c>
      <c r="AG108" s="1656">
        <f>IFERROR(IF($AF108&gt;0,VLOOKUP($U108,Tabelle1!$C$188:$L$212,5,0)*$AF108,0),0)</f>
        <v>0</v>
      </c>
      <c r="AH108" s="1656">
        <f t="shared" si="16"/>
        <v>0</v>
      </c>
      <c r="AJ108" t="str">
        <f>IF(Betrieb!$D$9="JA",Mineral!$BW108,Mineral!$BV108)</f>
        <v>NPK 12/12/17+9S</v>
      </c>
      <c r="AK108" s="1672" t="str">
        <f>IFERROR(INDEX(Liste_Handelsünger[Handelsdünger],_xlfn.AGGREGATE(15,6,(ROW(Liste_Handelsünger[Handelsdünger])-1)/(--(SEARCH(AL$2,Liste_Handelsünger[Handelsdünger])&gt;0)),ROW()-2),1),"")</f>
        <v>NPK 12/12/17+9S</v>
      </c>
      <c r="AL108" s="1672" t="str">
        <f>IF(($A$3=""),"",IF(COUNTIF(Mineral!$AJ$3:$AJ$324,$A$3),"",$A$3))</f>
        <v/>
      </c>
      <c r="AM108" s="1672" t="str">
        <f>IFERROR(INDEX(Liste_Handelsünger[Handelsdünger],_xlfn.AGGREGATE(15,6,(ROW(Liste_Handelsünger[Handelsdünger])-1)/(--(SEARCH(AN$2,Liste_Handelsünger[Handelsdünger])&gt;0)),ROW()-2),1),"")</f>
        <v>NPK 12/12/17+9S</v>
      </c>
      <c r="AN108" t="str">
        <f>IF(($A110=""),"",IF(COUNTIF(Mineral!$AJ$3:$AJ$324,$A110),"",$A110))</f>
        <v/>
      </c>
      <c r="AO108" t="str">
        <f>IFERROR(INDEX(Liste_Handelsünger[Handelsdünger],_xlfn.AGGREGATE(15,6,(ROW(Liste_Handelsünger[Handelsdünger])-1)/(--(SEARCH(AP$2,Liste_Handelsünger[Handelsdünger])&gt;0)),ROW()-2),1),"")</f>
        <v>NPK 12/12/17+9S</v>
      </c>
      <c r="AP108" t="str">
        <f>IF(($A111=""),"",IF(COUNTIF(Mineral!$AJ$3:$AJ$324,$A111),"",$A111))</f>
        <v/>
      </c>
      <c r="AQ108" t="str">
        <f>IFERROR(INDEX(Liste_Handelsünger[Handelsdünger],_xlfn.AGGREGATE(15,6,(ROW(Liste_Handelsünger[Handelsdünger])-1)/(--(SEARCH(AR$2,Liste_Handelsünger[Handelsdünger])&gt;0)),ROW()-2),1),"")</f>
        <v>NPK 12/12/17+9S</v>
      </c>
      <c r="AR108" t="str">
        <f>IF(($A112=""),"",IF(COUNTIF(Mineral!$AJ$3:$AJ$324,$A112),"",$A112))</f>
        <v/>
      </c>
      <c r="AS108" t="str">
        <f>IFERROR(INDEX(Liste_Handelsünger[Handelsdünger],_xlfn.AGGREGATE(15,6,(ROW(Liste_Handelsünger[Handelsdünger])-1)/(--(SEARCH(AT$2,Liste_Handelsünger[Handelsdünger])&gt;0)),ROW()-2),1),"")</f>
        <v>NPK 12/12/17+9S</v>
      </c>
      <c r="AT108" t="str">
        <f>IF(($A113=""),"",IF(COUNTIF(Mineral!$AJ$3:$AJ$324,$A113),"",$A113))</f>
        <v/>
      </c>
      <c r="AU108" t="str">
        <f>IFERROR(INDEX(Liste_Handelsünger[Handelsdünger],_xlfn.AGGREGATE(15,6,(ROW(Liste_Handelsünger[Handelsdünger])-1)/(--(SEARCH(AV$2,Liste_Handelsünger[Handelsdünger])&gt;0)),ROW()-2),1),"")</f>
        <v>NPK 12/12/17+9S</v>
      </c>
      <c r="AV108" t="str">
        <f>IF(($A114=""),"",IF(COUNTIF(Mineral!$AJ$3:$AJ$324,$A114),"",$A114))</f>
        <v/>
      </c>
      <c r="AW108" t="str">
        <f>IFERROR(INDEX(Liste_Handelsünger[Handelsdünger],_xlfn.AGGREGATE(15,6,(ROW(Liste_Handelsünger[Handelsdünger])-1)/(--(SEARCH(AX$2,Liste_Handelsünger[Handelsdünger])&gt;0)),ROW()-2),1),"")</f>
        <v>NPK 12/12/17+9S</v>
      </c>
      <c r="AX108" t="str">
        <f>IF(($A115=""),"",IF(COUNTIF(Mineral!$AJ$3:$AJ$324,$A115),"",$A115))</f>
        <v/>
      </c>
      <c r="AY108" t="str">
        <f>IFERROR(INDEX(Liste_Handelsünger[Handelsdünger],_xlfn.AGGREGATE(15,6,(ROW(Liste_Handelsünger[Handelsdünger])-1)/(--(SEARCH(AZ$2,Liste_Handelsünger[Handelsdünger])&gt;0)),ROW()-2),1),"")</f>
        <v>NPK 12/12/17+9S</v>
      </c>
      <c r="AZ108" t="str">
        <f>IF(($A116=""),"",IF(COUNTIF(Mineral!$AJ$3:$AJ$324,$A116),"",$A116))</f>
        <v/>
      </c>
      <c r="BA108" t="str">
        <f>IFERROR(INDEX(Liste_Handelsünger[Handelsdünger],_xlfn.AGGREGATE(15,6,(ROW(Liste_Handelsünger[Handelsdünger])-1)/(--(SEARCH(BB$2,Liste_Handelsünger[Handelsdünger])&gt;0)),ROW()-2),1),"")</f>
        <v>NPK 12/12/17+9S</v>
      </c>
      <c r="BB108" t="str">
        <f>IF(($A117=""),"",IF(COUNTIF(Mineral!$AJ$3:$AJ$324,$A117),"",$A117))</f>
        <v/>
      </c>
      <c r="BC108" t="str">
        <f>IFERROR(INDEX(Liste_Handelsünger[Handelsdünger],_xlfn.AGGREGATE(15,6,(ROW(Liste_Handelsünger[Handelsdünger])-1)/(--(SEARCH(BD$2,Liste_Handelsünger[Handelsdünger])&gt;0)),ROW()-2),1),"")</f>
        <v>NPK 12/12/17+9S</v>
      </c>
      <c r="BD108" t="str">
        <f>IF(($A118=""),"",IF(COUNTIF(Mineral!$AJ$3:$AJ$324,$A118),"",$A118))</f>
        <v/>
      </c>
      <c r="BE108" t="str">
        <f>IFERROR(INDEX(Liste_Handelsünger[Handelsdünger],_xlfn.AGGREGATE(15,6,(ROW(Liste_Handelsünger[Handelsdünger])-1)/(--(SEARCH(BF$2,Liste_Handelsünger[Handelsdünger])&gt;0)),ROW()-2),1),"")</f>
        <v>NPK 12/12/17+9S</v>
      </c>
      <c r="BF108" t="str">
        <f>IF(($A119=""),"",IF(COUNTIF(Mineral!$AJ$3:$AJ$324,$A119),"",$A119))</f>
        <v/>
      </c>
      <c r="BG108" t="str">
        <f>IFERROR(INDEX(Liste_Handelsünger[Handelsdünger],_xlfn.AGGREGATE(15,6,(ROW(Liste_Handelsünger[Handelsdünger])-1)/(--(SEARCH(BH$2,Liste_Handelsünger[Handelsdünger])&gt;0)),ROW()-2),1),"")</f>
        <v>NPK 12/12/17+9S</v>
      </c>
      <c r="BH108" t="str">
        <f>IF(($A120=""),"",IF(COUNTIF(Mineral!$AJ$3:$AJ$324,$A120),"",$A120))</f>
        <v/>
      </c>
      <c r="BI108" t="str">
        <f>IFERROR(INDEX(Liste_Handelsünger[Handelsdünger],_xlfn.AGGREGATE(15,6,(ROW(Liste_Handelsünger[Handelsdünger])-1)/(--(SEARCH(BJ$2,Liste_Handelsünger[Handelsdünger])&gt;0)),ROW()-2),1),"")</f>
        <v>NPK 12/12/17+9S</v>
      </c>
      <c r="BJ108" t="str">
        <f>IF(($A121=""),"",IF(COUNTIF(Mineral!$AJ$3:$AJ$324,$A121),"",$A121))</f>
        <v/>
      </c>
      <c r="BK108" t="str">
        <f>IFERROR(INDEX(Liste_Handelsünger[Handelsdünger],_xlfn.AGGREGATE(15,6,(ROW(Liste_Handelsünger[Handelsdünger])-1)/(--(SEARCH(BL$2,Liste_Handelsünger[Handelsdünger])&gt;0)),ROW()-2),1),"")</f>
        <v>NPK 12/12/17+9S</v>
      </c>
      <c r="BM108" t="str">
        <f>IFERROR(INDEX(Liste_Handelsünger[Handelsdünger],_xlfn.AGGREGATE(15,6,(ROW(Liste_Handelsünger[Handelsdünger])-1)/(--(SEARCH(BN$2,Liste_Handelsünger[Handelsdünger])&gt;0)),ROW()-2),1),"")</f>
        <v>NPK 12/12/17+9S</v>
      </c>
      <c r="BN108" t="str">
        <f>IF(($A123=""),"",IF(COUNTIF(Mineral!$AJ$3:$AJ$324,$A123),"",$A123))</f>
        <v/>
      </c>
      <c r="BV108" t="s">
        <v>2222</v>
      </c>
      <c r="BW108" t="s">
        <v>2206</v>
      </c>
    </row>
    <row r="109" spans="18:75" ht="14.25" thickTop="1" thickBot="1">
      <c r="R109" t="str">
        <f t="array" ref="R109">IF(ROW(A80)&gt;COUNTA(A:A),"",INDEX(A:A,SMALL(IF(A$3:A$27&lt;&gt;"",ROW($3:$27)),ROW(A80))))</f>
        <v/>
      </c>
      <c r="S109" s="1616">
        <v>108</v>
      </c>
      <c r="T109" s="1617" t="s">
        <v>2335</v>
      </c>
      <c r="U109" s="1617" t="s">
        <v>2223</v>
      </c>
      <c r="V109" s="1617"/>
      <c r="W109" s="1617">
        <v>13</v>
      </c>
      <c r="X109" s="1617">
        <v>6</v>
      </c>
      <c r="Y109" s="1617">
        <v>16</v>
      </c>
      <c r="Z109" s="1617">
        <v>9</v>
      </c>
      <c r="AA109" s="1617">
        <v>0</v>
      </c>
      <c r="AB109" s="1617">
        <v>0</v>
      </c>
      <c r="AC109" s="1617">
        <v>1</v>
      </c>
      <c r="AD109" s="1613">
        <v>1</v>
      </c>
      <c r="AE109" s="1617" t="s">
        <v>2016</v>
      </c>
      <c r="AF109" s="1613" t="str">
        <f t="shared" si="15"/>
        <v/>
      </c>
      <c r="AG109" s="1656">
        <f>IFERROR(IF($AF109&gt;0,VLOOKUP($U109,Tabelle1!$C$188:$L$212,5,0)*$AF109,0),0)</f>
        <v>0</v>
      </c>
      <c r="AH109" s="1656">
        <f t="shared" si="16"/>
        <v>0</v>
      </c>
      <c r="AJ109" t="str">
        <f>IF(Betrieb!$D$9="JA",Mineral!$BW109,Mineral!$BV109)</f>
        <v>NPK 13/6/16+9S</v>
      </c>
      <c r="AK109" s="1672" t="str">
        <f>IFERROR(INDEX(Liste_Handelsünger[Handelsdünger],_xlfn.AGGREGATE(15,6,(ROW(Liste_Handelsünger[Handelsdünger])-1)/(--(SEARCH(AL$2,Liste_Handelsünger[Handelsdünger])&gt;0)),ROW()-2),1),"")</f>
        <v>NPK 13/6/16+9S</v>
      </c>
      <c r="AL109" s="1672" t="str">
        <f>IF(($A$3=""),"",IF(COUNTIF(Mineral!$AJ$3:$AJ$324,$A$3),"",$A$3))</f>
        <v/>
      </c>
      <c r="AM109" s="1672" t="str">
        <f>IFERROR(INDEX(Liste_Handelsünger[Handelsdünger],_xlfn.AGGREGATE(15,6,(ROW(Liste_Handelsünger[Handelsdünger])-1)/(--(SEARCH(AN$2,Liste_Handelsünger[Handelsdünger])&gt;0)),ROW()-2),1),"")</f>
        <v>NPK 13/6/16+9S</v>
      </c>
      <c r="AN109" t="str">
        <f>IF(($A111=""),"",IF(COUNTIF(Mineral!$AJ$3:$AJ$324,$A111),"",$A111))</f>
        <v/>
      </c>
      <c r="AO109" t="str">
        <f>IFERROR(INDEX(Liste_Handelsünger[Handelsdünger],_xlfn.AGGREGATE(15,6,(ROW(Liste_Handelsünger[Handelsdünger])-1)/(--(SEARCH(AP$2,Liste_Handelsünger[Handelsdünger])&gt;0)),ROW()-2),1),"")</f>
        <v>NPK 13/6/16+9S</v>
      </c>
      <c r="AP109" t="str">
        <f>IF(($A112=""),"",IF(COUNTIF(Mineral!$AJ$3:$AJ$324,$A112),"",$A112))</f>
        <v/>
      </c>
      <c r="AQ109" t="str">
        <f>IFERROR(INDEX(Liste_Handelsünger[Handelsdünger],_xlfn.AGGREGATE(15,6,(ROW(Liste_Handelsünger[Handelsdünger])-1)/(--(SEARCH(AR$2,Liste_Handelsünger[Handelsdünger])&gt;0)),ROW()-2),1),"")</f>
        <v>NPK 13/6/16+9S</v>
      </c>
      <c r="AR109" t="str">
        <f>IF(($A113=""),"",IF(COUNTIF(Mineral!$AJ$3:$AJ$324,$A113),"",$A113))</f>
        <v/>
      </c>
      <c r="AS109" t="str">
        <f>IFERROR(INDEX(Liste_Handelsünger[Handelsdünger],_xlfn.AGGREGATE(15,6,(ROW(Liste_Handelsünger[Handelsdünger])-1)/(--(SEARCH(AT$2,Liste_Handelsünger[Handelsdünger])&gt;0)),ROW()-2),1),"")</f>
        <v>NPK 13/6/16+9S</v>
      </c>
      <c r="AT109" t="str">
        <f>IF(($A114=""),"",IF(COUNTIF(Mineral!$AJ$3:$AJ$324,$A114),"",$A114))</f>
        <v/>
      </c>
      <c r="AU109" t="str">
        <f>IFERROR(INDEX(Liste_Handelsünger[Handelsdünger],_xlfn.AGGREGATE(15,6,(ROW(Liste_Handelsünger[Handelsdünger])-1)/(--(SEARCH(AV$2,Liste_Handelsünger[Handelsdünger])&gt;0)),ROW()-2),1),"")</f>
        <v>NPK 13/6/16+9S</v>
      </c>
      <c r="AV109" t="str">
        <f>IF(($A115=""),"",IF(COUNTIF(Mineral!$AJ$3:$AJ$324,$A115),"",$A115))</f>
        <v/>
      </c>
      <c r="AW109" t="str">
        <f>IFERROR(INDEX(Liste_Handelsünger[Handelsdünger],_xlfn.AGGREGATE(15,6,(ROW(Liste_Handelsünger[Handelsdünger])-1)/(--(SEARCH(AX$2,Liste_Handelsünger[Handelsdünger])&gt;0)),ROW()-2),1),"")</f>
        <v>NPK 13/6/16+9S</v>
      </c>
      <c r="AX109" t="str">
        <f>IF(($A116=""),"",IF(COUNTIF(Mineral!$AJ$3:$AJ$324,$A116),"",$A116))</f>
        <v/>
      </c>
      <c r="AY109" t="str">
        <f>IFERROR(INDEX(Liste_Handelsünger[Handelsdünger],_xlfn.AGGREGATE(15,6,(ROW(Liste_Handelsünger[Handelsdünger])-1)/(--(SEARCH(AZ$2,Liste_Handelsünger[Handelsdünger])&gt;0)),ROW()-2),1),"")</f>
        <v>NPK 13/6/16+9S</v>
      </c>
      <c r="AZ109" t="str">
        <f>IF(($A117=""),"",IF(COUNTIF(Mineral!$AJ$3:$AJ$324,$A117),"",$A117))</f>
        <v/>
      </c>
      <c r="BA109" t="str">
        <f>IFERROR(INDEX(Liste_Handelsünger[Handelsdünger],_xlfn.AGGREGATE(15,6,(ROW(Liste_Handelsünger[Handelsdünger])-1)/(--(SEARCH(BB$2,Liste_Handelsünger[Handelsdünger])&gt;0)),ROW()-2),1),"")</f>
        <v>NPK 13/6/16+9S</v>
      </c>
      <c r="BB109" t="str">
        <f>IF(($A118=""),"",IF(COUNTIF(Mineral!$AJ$3:$AJ$324,$A118),"",$A118))</f>
        <v/>
      </c>
      <c r="BC109" t="str">
        <f>IFERROR(INDEX(Liste_Handelsünger[Handelsdünger],_xlfn.AGGREGATE(15,6,(ROW(Liste_Handelsünger[Handelsdünger])-1)/(--(SEARCH(BD$2,Liste_Handelsünger[Handelsdünger])&gt;0)),ROW()-2),1),"")</f>
        <v>NPK 13/6/16+9S</v>
      </c>
      <c r="BD109" t="str">
        <f>IF(($A119=""),"",IF(COUNTIF(Mineral!$AJ$3:$AJ$324,$A119),"",$A119))</f>
        <v/>
      </c>
      <c r="BE109" t="str">
        <f>IFERROR(INDEX(Liste_Handelsünger[Handelsdünger],_xlfn.AGGREGATE(15,6,(ROW(Liste_Handelsünger[Handelsdünger])-1)/(--(SEARCH(BF$2,Liste_Handelsünger[Handelsdünger])&gt;0)),ROW()-2),1),"")</f>
        <v>NPK 13/6/16+9S</v>
      </c>
      <c r="BF109" t="str">
        <f>IF(($A120=""),"",IF(COUNTIF(Mineral!$AJ$3:$AJ$324,$A120),"",$A120))</f>
        <v/>
      </c>
      <c r="BG109" t="str">
        <f>IFERROR(INDEX(Liste_Handelsünger[Handelsdünger],_xlfn.AGGREGATE(15,6,(ROW(Liste_Handelsünger[Handelsdünger])-1)/(--(SEARCH(BH$2,Liste_Handelsünger[Handelsdünger])&gt;0)),ROW()-2),1),"")</f>
        <v>NPK 13/6/16+9S</v>
      </c>
      <c r="BH109" t="str">
        <f>IF(($A121=""),"",IF(COUNTIF(Mineral!$AJ$3:$AJ$324,$A121),"",$A121))</f>
        <v/>
      </c>
      <c r="BI109" t="str">
        <f>IFERROR(INDEX(Liste_Handelsünger[Handelsdünger],_xlfn.AGGREGATE(15,6,(ROW(Liste_Handelsünger[Handelsdünger])-1)/(--(SEARCH(BJ$2,Liste_Handelsünger[Handelsdünger])&gt;0)),ROW()-2),1),"")</f>
        <v>NPK 13/6/16+9S</v>
      </c>
      <c r="BJ109" t="str">
        <f>IF(($A122=""),"",IF(COUNTIF(Mineral!$AJ$3:$AJ$324,$A122),"",$A122))</f>
        <v/>
      </c>
      <c r="BK109" t="str">
        <f>IFERROR(INDEX(Liste_Handelsünger[Handelsdünger],_xlfn.AGGREGATE(15,6,(ROW(Liste_Handelsünger[Handelsdünger])-1)/(--(SEARCH(BL$2,Liste_Handelsünger[Handelsdünger])&gt;0)),ROW()-2),1),"")</f>
        <v>NPK 13/6/16+9S</v>
      </c>
      <c r="BM109" t="str">
        <f>IFERROR(INDEX(Liste_Handelsünger[Handelsdünger],_xlfn.AGGREGATE(15,6,(ROW(Liste_Handelsünger[Handelsdünger])-1)/(--(SEARCH(BN$2,Liste_Handelsünger[Handelsdünger])&gt;0)),ROW()-2),1),"")</f>
        <v>NPK 13/6/16+9S</v>
      </c>
      <c r="BN109" t="str">
        <f>IF(($A124=""),"",IF(COUNTIF(Mineral!$AJ$3:$AJ$324,$A124),"",$A124))</f>
        <v/>
      </c>
      <c r="BV109" t="s">
        <v>2223</v>
      </c>
      <c r="BW109" t="s">
        <v>2207</v>
      </c>
    </row>
    <row r="110" spans="18:75" ht="14.25" thickTop="1" thickBot="1">
      <c r="R110" t="str">
        <f t="array" ref="R110">IF(ROW(A81)&gt;COUNTA(A:A),"",INDEX(A:A,SMALL(IF(A$3:A$27&lt;&gt;"",ROW($3:$27)),ROW(A81))))</f>
        <v/>
      </c>
      <c r="S110" s="1676">
        <v>109</v>
      </c>
      <c r="T110" s="1606" t="s">
        <v>2335</v>
      </c>
      <c r="U110" s="1606" t="s">
        <v>2224</v>
      </c>
      <c r="V110" s="1606"/>
      <c r="W110" s="1606">
        <v>14.000000000000002</v>
      </c>
      <c r="X110" s="1606">
        <v>10</v>
      </c>
      <c r="Y110" s="1606">
        <v>20</v>
      </c>
      <c r="Z110" s="1606">
        <v>0</v>
      </c>
      <c r="AA110" s="1606">
        <v>0</v>
      </c>
      <c r="AB110" s="1606">
        <v>0</v>
      </c>
      <c r="AC110" s="1606">
        <v>1</v>
      </c>
      <c r="AD110" s="1613">
        <v>1</v>
      </c>
      <c r="AE110" s="1606" t="s">
        <v>2016</v>
      </c>
      <c r="AF110" s="1613" t="str">
        <f t="shared" si="15"/>
        <v/>
      </c>
      <c r="AG110" s="1656">
        <f>IFERROR(IF($AF110&gt;0,VLOOKUP($U110,Tabelle1!$C$188:$L$212,5,0)*$AF110,0),0)</f>
        <v>0</v>
      </c>
      <c r="AH110" s="1656">
        <f t="shared" si="16"/>
        <v>0</v>
      </c>
      <c r="AJ110" t="str">
        <f>IF(Betrieb!$D$9="JA",Mineral!$BW110,Mineral!$BV110)</f>
        <v>NPK 14/10/20</v>
      </c>
      <c r="AK110" s="1672" t="str">
        <f>IFERROR(INDEX(Liste_Handelsünger[Handelsdünger],_xlfn.AGGREGATE(15,6,(ROW(Liste_Handelsünger[Handelsdünger])-1)/(--(SEARCH(AL$2,Liste_Handelsünger[Handelsdünger])&gt;0)),ROW()-2),1),"")</f>
        <v>NPK 14/10/20</v>
      </c>
      <c r="AL110" s="1672" t="str">
        <f>IF(($A$3=""),"",IF(COUNTIF(Mineral!$AJ$3:$AJ$324,$A$3),"",$A$3))</f>
        <v/>
      </c>
      <c r="AM110" s="1672" t="str">
        <f>IFERROR(INDEX(Liste_Handelsünger[Handelsdünger],_xlfn.AGGREGATE(15,6,(ROW(Liste_Handelsünger[Handelsdünger])-1)/(--(SEARCH(AN$2,Liste_Handelsünger[Handelsdünger])&gt;0)),ROW()-2),1),"")</f>
        <v>NPK 14/10/20</v>
      </c>
      <c r="AN110" t="str">
        <f>IF(($A112=""),"",IF(COUNTIF(Mineral!$AJ$3:$AJ$324,$A112),"",$A112))</f>
        <v/>
      </c>
      <c r="AO110" t="str">
        <f>IFERROR(INDEX(Liste_Handelsünger[Handelsdünger],_xlfn.AGGREGATE(15,6,(ROW(Liste_Handelsünger[Handelsdünger])-1)/(--(SEARCH(AP$2,Liste_Handelsünger[Handelsdünger])&gt;0)),ROW()-2),1),"")</f>
        <v>NPK 14/10/20</v>
      </c>
      <c r="AP110" t="str">
        <f>IF(($A113=""),"",IF(COUNTIF(Mineral!$AJ$3:$AJ$324,$A113),"",$A113))</f>
        <v/>
      </c>
      <c r="AQ110" t="str">
        <f>IFERROR(INDEX(Liste_Handelsünger[Handelsdünger],_xlfn.AGGREGATE(15,6,(ROW(Liste_Handelsünger[Handelsdünger])-1)/(--(SEARCH(AR$2,Liste_Handelsünger[Handelsdünger])&gt;0)),ROW()-2),1),"")</f>
        <v>NPK 14/10/20</v>
      </c>
      <c r="AR110" t="str">
        <f>IF(($A114=""),"",IF(COUNTIF(Mineral!$AJ$3:$AJ$324,$A114),"",$A114))</f>
        <v/>
      </c>
      <c r="AS110" t="str">
        <f>IFERROR(INDEX(Liste_Handelsünger[Handelsdünger],_xlfn.AGGREGATE(15,6,(ROW(Liste_Handelsünger[Handelsdünger])-1)/(--(SEARCH(AT$2,Liste_Handelsünger[Handelsdünger])&gt;0)),ROW()-2),1),"")</f>
        <v>NPK 14/10/20</v>
      </c>
      <c r="AT110" t="str">
        <f>IF(($A115=""),"",IF(COUNTIF(Mineral!$AJ$3:$AJ$324,$A115),"",$A115))</f>
        <v/>
      </c>
      <c r="AU110" t="str">
        <f>IFERROR(INDEX(Liste_Handelsünger[Handelsdünger],_xlfn.AGGREGATE(15,6,(ROW(Liste_Handelsünger[Handelsdünger])-1)/(--(SEARCH(AV$2,Liste_Handelsünger[Handelsdünger])&gt;0)),ROW()-2),1),"")</f>
        <v>NPK 14/10/20</v>
      </c>
      <c r="AV110" t="str">
        <f>IF(($A116=""),"",IF(COUNTIF(Mineral!$AJ$3:$AJ$324,$A116),"",$A116))</f>
        <v/>
      </c>
      <c r="AW110" t="str">
        <f>IFERROR(INDEX(Liste_Handelsünger[Handelsdünger],_xlfn.AGGREGATE(15,6,(ROW(Liste_Handelsünger[Handelsdünger])-1)/(--(SEARCH(AX$2,Liste_Handelsünger[Handelsdünger])&gt;0)),ROW()-2),1),"")</f>
        <v>NPK 14/10/20</v>
      </c>
      <c r="AX110" t="str">
        <f>IF(($A117=""),"",IF(COUNTIF(Mineral!$AJ$3:$AJ$324,$A117),"",$A117))</f>
        <v/>
      </c>
      <c r="AY110" t="str">
        <f>IFERROR(INDEX(Liste_Handelsünger[Handelsdünger],_xlfn.AGGREGATE(15,6,(ROW(Liste_Handelsünger[Handelsdünger])-1)/(--(SEARCH(AZ$2,Liste_Handelsünger[Handelsdünger])&gt;0)),ROW()-2),1),"")</f>
        <v>NPK 14/10/20</v>
      </c>
      <c r="AZ110" t="str">
        <f>IF(($A118=""),"",IF(COUNTIF(Mineral!$AJ$3:$AJ$324,$A118),"",$A118))</f>
        <v/>
      </c>
      <c r="BA110" t="str">
        <f>IFERROR(INDEX(Liste_Handelsünger[Handelsdünger],_xlfn.AGGREGATE(15,6,(ROW(Liste_Handelsünger[Handelsdünger])-1)/(--(SEARCH(BB$2,Liste_Handelsünger[Handelsdünger])&gt;0)),ROW()-2),1),"")</f>
        <v>NPK 14/10/20</v>
      </c>
      <c r="BB110" t="str">
        <f>IF(($A119=""),"",IF(COUNTIF(Mineral!$AJ$3:$AJ$324,$A119),"",$A119))</f>
        <v/>
      </c>
      <c r="BC110" t="str">
        <f>IFERROR(INDEX(Liste_Handelsünger[Handelsdünger],_xlfn.AGGREGATE(15,6,(ROW(Liste_Handelsünger[Handelsdünger])-1)/(--(SEARCH(BD$2,Liste_Handelsünger[Handelsdünger])&gt;0)),ROW()-2),1),"")</f>
        <v>NPK 14/10/20</v>
      </c>
      <c r="BD110" t="str">
        <f>IF(($A120=""),"",IF(COUNTIF(Mineral!$AJ$3:$AJ$324,$A120),"",$A120))</f>
        <v/>
      </c>
      <c r="BE110" t="str">
        <f>IFERROR(INDEX(Liste_Handelsünger[Handelsdünger],_xlfn.AGGREGATE(15,6,(ROW(Liste_Handelsünger[Handelsdünger])-1)/(--(SEARCH(BF$2,Liste_Handelsünger[Handelsdünger])&gt;0)),ROW()-2),1),"")</f>
        <v>NPK 14/10/20</v>
      </c>
      <c r="BF110" t="str">
        <f>IF(($A121=""),"",IF(COUNTIF(Mineral!$AJ$3:$AJ$324,$A121),"",$A121))</f>
        <v/>
      </c>
      <c r="BG110" t="str">
        <f>IFERROR(INDEX(Liste_Handelsünger[Handelsdünger],_xlfn.AGGREGATE(15,6,(ROW(Liste_Handelsünger[Handelsdünger])-1)/(--(SEARCH(BH$2,Liste_Handelsünger[Handelsdünger])&gt;0)),ROW()-2),1),"")</f>
        <v>NPK 14/10/20</v>
      </c>
      <c r="BH110" t="str">
        <f>IF(($A122=""),"",IF(COUNTIF(Mineral!$AJ$3:$AJ$324,$A122),"",$A122))</f>
        <v/>
      </c>
      <c r="BI110" t="str">
        <f>IFERROR(INDEX(Liste_Handelsünger[Handelsdünger],_xlfn.AGGREGATE(15,6,(ROW(Liste_Handelsünger[Handelsdünger])-1)/(--(SEARCH(BJ$2,Liste_Handelsünger[Handelsdünger])&gt;0)),ROW()-2),1),"")</f>
        <v>NPK 14/10/20</v>
      </c>
      <c r="BJ110" t="str">
        <f>IF(($A123=""),"",IF(COUNTIF(Mineral!$AJ$3:$AJ$324,$A123),"",$A123))</f>
        <v/>
      </c>
      <c r="BK110" t="str">
        <f>IFERROR(INDEX(Liste_Handelsünger[Handelsdünger],_xlfn.AGGREGATE(15,6,(ROW(Liste_Handelsünger[Handelsdünger])-1)/(--(SEARCH(BL$2,Liste_Handelsünger[Handelsdünger])&gt;0)),ROW()-2),1),"")</f>
        <v>NPK 14/10/20</v>
      </c>
      <c r="BM110" t="str">
        <f>IFERROR(INDEX(Liste_Handelsünger[Handelsdünger],_xlfn.AGGREGATE(15,6,(ROW(Liste_Handelsünger[Handelsdünger])-1)/(--(SEARCH(BN$2,Liste_Handelsünger[Handelsdünger])&gt;0)),ROW()-2),1),"")</f>
        <v>NPK 14/10/20</v>
      </c>
      <c r="BN110" t="str">
        <f>IF(($A125=""),"",IF(COUNTIF(Mineral!$AJ$3:$AJ$324,$A125),"",$A125))</f>
        <v/>
      </c>
      <c r="BV110" t="s">
        <v>2224</v>
      </c>
      <c r="BW110" t="s">
        <v>2209</v>
      </c>
    </row>
    <row r="111" spans="18:75" ht="14.25" thickTop="1" thickBot="1">
      <c r="R111" t="str">
        <f t="array" ref="R111">IF(ROW(A82)&gt;COUNTA(A:A),"",INDEX(A:A,SMALL(IF(A$3:A$27&lt;&gt;"",ROW($3:$27)),ROW(A82))))</f>
        <v/>
      </c>
      <c r="S111" s="1616">
        <v>110</v>
      </c>
      <c r="T111" s="1617" t="s">
        <v>2335</v>
      </c>
      <c r="U111" s="1617" t="s">
        <v>2225</v>
      </c>
      <c r="V111" s="1617"/>
      <c r="W111" s="1617">
        <v>15</v>
      </c>
      <c r="X111" s="1617">
        <v>15</v>
      </c>
      <c r="Y111" s="1617">
        <v>15</v>
      </c>
      <c r="Z111" s="1617">
        <v>0</v>
      </c>
      <c r="AA111" s="1617">
        <v>0</v>
      </c>
      <c r="AB111" s="1617">
        <v>0</v>
      </c>
      <c r="AC111" s="1617">
        <v>1</v>
      </c>
      <c r="AD111" s="1613">
        <v>1</v>
      </c>
      <c r="AE111" s="1617" t="s">
        <v>2016</v>
      </c>
      <c r="AF111" s="1613" t="str">
        <f t="shared" si="15"/>
        <v/>
      </c>
      <c r="AG111" s="1656">
        <f>IFERROR(IF($AF111&gt;0,VLOOKUP($U111,Tabelle1!$C$188:$L$212,5,0)*$AF111,0),0)</f>
        <v>0</v>
      </c>
      <c r="AH111" s="1656">
        <f t="shared" si="16"/>
        <v>0</v>
      </c>
      <c r="AJ111" t="str">
        <f>IF(Betrieb!$D$9="JA",Mineral!$BW111,Mineral!$BV111)</f>
        <v>NPK 15/15/15</v>
      </c>
      <c r="AK111" s="1672" t="str">
        <f>IFERROR(INDEX(Liste_Handelsünger[Handelsdünger],_xlfn.AGGREGATE(15,6,(ROW(Liste_Handelsünger[Handelsdünger])-1)/(--(SEARCH(AL$2,Liste_Handelsünger[Handelsdünger])&gt;0)),ROW()-2),1),"")</f>
        <v>NPK 15/15/15</v>
      </c>
      <c r="AL111" s="1672" t="str">
        <f>IF(($A$3=""),"",IF(COUNTIF(Mineral!$AJ$3:$AJ$324,$A$3),"",$A$3))</f>
        <v/>
      </c>
      <c r="AM111" s="1672" t="str">
        <f>IFERROR(INDEX(Liste_Handelsünger[Handelsdünger],_xlfn.AGGREGATE(15,6,(ROW(Liste_Handelsünger[Handelsdünger])-1)/(--(SEARCH(AN$2,Liste_Handelsünger[Handelsdünger])&gt;0)),ROW()-2),1),"")</f>
        <v>NPK 15/15/15</v>
      </c>
      <c r="AN111" t="str">
        <f>IF(($A113=""),"",IF(COUNTIF(Mineral!$AJ$3:$AJ$324,$A113),"",$A113))</f>
        <v/>
      </c>
      <c r="AO111" t="str">
        <f>IFERROR(INDEX(Liste_Handelsünger[Handelsdünger],_xlfn.AGGREGATE(15,6,(ROW(Liste_Handelsünger[Handelsdünger])-1)/(--(SEARCH(AP$2,Liste_Handelsünger[Handelsdünger])&gt;0)),ROW()-2),1),"")</f>
        <v>NPK 15/15/15</v>
      </c>
      <c r="AP111" t="str">
        <f>IF(($A114=""),"",IF(COUNTIF(Mineral!$AJ$3:$AJ$324,$A114),"",$A114))</f>
        <v/>
      </c>
      <c r="AQ111" t="str">
        <f>IFERROR(INDEX(Liste_Handelsünger[Handelsdünger],_xlfn.AGGREGATE(15,6,(ROW(Liste_Handelsünger[Handelsdünger])-1)/(--(SEARCH(AR$2,Liste_Handelsünger[Handelsdünger])&gt;0)),ROW()-2),1),"")</f>
        <v>NPK 15/15/15</v>
      </c>
      <c r="AR111" t="str">
        <f>IF(($A115=""),"",IF(COUNTIF(Mineral!$AJ$3:$AJ$324,$A115),"",$A115))</f>
        <v/>
      </c>
      <c r="AS111" t="str">
        <f>IFERROR(INDEX(Liste_Handelsünger[Handelsdünger],_xlfn.AGGREGATE(15,6,(ROW(Liste_Handelsünger[Handelsdünger])-1)/(--(SEARCH(AT$2,Liste_Handelsünger[Handelsdünger])&gt;0)),ROW()-2),1),"")</f>
        <v>NPK 15/15/15</v>
      </c>
      <c r="AT111" t="str">
        <f>IF(($A116=""),"",IF(COUNTIF(Mineral!$AJ$3:$AJ$324,$A116),"",$A116))</f>
        <v/>
      </c>
      <c r="AU111" t="str">
        <f>IFERROR(INDEX(Liste_Handelsünger[Handelsdünger],_xlfn.AGGREGATE(15,6,(ROW(Liste_Handelsünger[Handelsdünger])-1)/(--(SEARCH(AV$2,Liste_Handelsünger[Handelsdünger])&gt;0)),ROW()-2),1),"")</f>
        <v>NPK 15/15/15</v>
      </c>
      <c r="AV111" t="str">
        <f>IF(($A117=""),"",IF(COUNTIF(Mineral!$AJ$3:$AJ$324,$A117),"",$A117))</f>
        <v/>
      </c>
      <c r="AW111" t="str">
        <f>IFERROR(INDEX(Liste_Handelsünger[Handelsdünger],_xlfn.AGGREGATE(15,6,(ROW(Liste_Handelsünger[Handelsdünger])-1)/(--(SEARCH(AX$2,Liste_Handelsünger[Handelsdünger])&gt;0)),ROW()-2),1),"")</f>
        <v>NPK 15/15/15</v>
      </c>
      <c r="AX111" t="str">
        <f>IF(($A118=""),"",IF(COUNTIF(Mineral!$AJ$3:$AJ$324,$A118),"",$A118))</f>
        <v/>
      </c>
      <c r="AY111" t="str">
        <f>IFERROR(INDEX(Liste_Handelsünger[Handelsdünger],_xlfn.AGGREGATE(15,6,(ROW(Liste_Handelsünger[Handelsdünger])-1)/(--(SEARCH(AZ$2,Liste_Handelsünger[Handelsdünger])&gt;0)),ROW()-2),1),"")</f>
        <v>NPK 15/15/15</v>
      </c>
      <c r="AZ111" t="str">
        <f>IF(($A119=""),"",IF(COUNTIF(Mineral!$AJ$3:$AJ$324,$A119),"",$A119))</f>
        <v/>
      </c>
      <c r="BA111" t="str">
        <f>IFERROR(INDEX(Liste_Handelsünger[Handelsdünger],_xlfn.AGGREGATE(15,6,(ROW(Liste_Handelsünger[Handelsdünger])-1)/(--(SEARCH(BB$2,Liste_Handelsünger[Handelsdünger])&gt;0)),ROW()-2),1),"")</f>
        <v>NPK 15/15/15</v>
      </c>
      <c r="BB111" t="str">
        <f>IF(($A120=""),"",IF(COUNTIF(Mineral!$AJ$3:$AJ$324,$A120),"",$A120))</f>
        <v/>
      </c>
      <c r="BC111" t="str">
        <f>IFERROR(INDEX(Liste_Handelsünger[Handelsdünger],_xlfn.AGGREGATE(15,6,(ROW(Liste_Handelsünger[Handelsdünger])-1)/(--(SEARCH(BD$2,Liste_Handelsünger[Handelsdünger])&gt;0)),ROW()-2),1),"")</f>
        <v>NPK 15/15/15</v>
      </c>
      <c r="BD111" t="str">
        <f>IF(($A121=""),"",IF(COUNTIF(Mineral!$AJ$3:$AJ$324,$A121),"",$A121))</f>
        <v/>
      </c>
      <c r="BE111" t="str">
        <f>IFERROR(INDEX(Liste_Handelsünger[Handelsdünger],_xlfn.AGGREGATE(15,6,(ROW(Liste_Handelsünger[Handelsdünger])-1)/(--(SEARCH(BF$2,Liste_Handelsünger[Handelsdünger])&gt;0)),ROW()-2),1),"")</f>
        <v>NPK 15/15/15</v>
      </c>
      <c r="BF111" t="str">
        <f>IF(($A122=""),"",IF(COUNTIF(Mineral!$AJ$3:$AJ$324,$A122),"",$A122))</f>
        <v/>
      </c>
      <c r="BG111" t="str">
        <f>IFERROR(INDEX(Liste_Handelsünger[Handelsdünger],_xlfn.AGGREGATE(15,6,(ROW(Liste_Handelsünger[Handelsdünger])-1)/(--(SEARCH(BH$2,Liste_Handelsünger[Handelsdünger])&gt;0)),ROW()-2),1),"")</f>
        <v>NPK 15/15/15</v>
      </c>
      <c r="BH111" t="str">
        <f>IF(($A123=""),"",IF(COUNTIF(Mineral!$AJ$3:$AJ$324,$A123),"",$A123))</f>
        <v/>
      </c>
      <c r="BI111" t="str">
        <f>IFERROR(INDEX(Liste_Handelsünger[Handelsdünger],_xlfn.AGGREGATE(15,6,(ROW(Liste_Handelsünger[Handelsdünger])-1)/(--(SEARCH(BJ$2,Liste_Handelsünger[Handelsdünger])&gt;0)),ROW()-2),1),"")</f>
        <v>NPK 15/15/15</v>
      </c>
      <c r="BJ111" t="str">
        <f>IF(($A124=""),"",IF(COUNTIF(Mineral!$AJ$3:$AJ$324,$A124),"",$A124))</f>
        <v/>
      </c>
      <c r="BK111" t="str">
        <f>IFERROR(INDEX(Liste_Handelsünger[Handelsdünger],_xlfn.AGGREGATE(15,6,(ROW(Liste_Handelsünger[Handelsdünger])-1)/(--(SEARCH(BL$2,Liste_Handelsünger[Handelsdünger])&gt;0)),ROW()-2),1),"")</f>
        <v>NPK 15/15/15</v>
      </c>
      <c r="BM111" t="str">
        <f>IFERROR(INDEX(Liste_Handelsünger[Handelsdünger],_xlfn.AGGREGATE(15,6,(ROW(Liste_Handelsünger[Handelsdünger])-1)/(--(SEARCH(BN$2,Liste_Handelsünger[Handelsdünger])&gt;0)),ROW()-2),1),"")</f>
        <v>NPK 15/15/15</v>
      </c>
      <c r="BN111" t="str">
        <f>IF(($A126=""),"",IF(COUNTIF(Mineral!$AJ$3:$AJ$324,$A126),"",$A126))</f>
        <v/>
      </c>
      <c r="BV111" t="s">
        <v>2225</v>
      </c>
      <c r="BW111" t="s">
        <v>2210</v>
      </c>
    </row>
    <row r="112" spans="18:75" ht="14.25" thickTop="1" thickBot="1">
      <c r="R112" t="str">
        <f t="array" ref="R112">IF(ROW(A83)&gt;COUNTA(A:A),"",INDEX(A:A,SMALL(IF(A$3:A$27&lt;&gt;"",ROW($3:$27)),ROW(A83))))</f>
        <v/>
      </c>
      <c r="S112" s="1676">
        <v>111</v>
      </c>
      <c r="T112" s="1606" t="s">
        <v>2335</v>
      </c>
      <c r="U112" s="1606" t="s">
        <v>2226</v>
      </c>
      <c r="V112" s="1606"/>
      <c r="W112" s="1606">
        <v>18</v>
      </c>
      <c r="X112" s="1606">
        <v>8</v>
      </c>
      <c r="Y112" s="1606">
        <v>8</v>
      </c>
      <c r="Z112" s="1606">
        <v>0</v>
      </c>
      <c r="AA112" s="1606">
        <v>0</v>
      </c>
      <c r="AB112" s="1606">
        <v>0</v>
      </c>
      <c r="AC112" s="1606">
        <v>1</v>
      </c>
      <c r="AD112" s="1613">
        <v>1</v>
      </c>
      <c r="AE112" s="1606" t="s">
        <v>2016</v>
      </c>
      <c r="AF112" s="1613" t="str">
        <f t="shared" si="15"/>
        <v/>
      </c>
      <c r="AG112" s="1656">
        <f>IFERROR(IF($AF112&gt;0,VLOOKUP($U112,Tabelle1!$C$188:$L$212,5,0)*$AF112,0),0)</f>
        <v>0</v>
      </c>
      <c r="AH112" s="1656">
        <f t="shared" si="16"/>
        <v>0</v>
      </c>
      <c r="AJ112" t="str">
        <f>IF(Betrieb!$D$9="JA",Mineral!$BW112,Mineral!$BV112)</f>
        <v>NPK 18/8/8</v>
      </c>
      <c r="AK112" s="1672" t="str">
        <f>IFERROR(INDEX(Liste_Handelsünger[Handelsdünger],_xlfn.AGGREGATE(15,6,(ROW(Liste_Handelsünger[Handelsdünger])-1)/(--(SEARCH(AL$2,Liste_Handelsünger[Handelsdünger])&gt;0)),ROW()-2),1),"")</f>
        <v>NPK 18/8/8</v>
      </c>
      <c r="AL112" s="1672" t="str">
        <f>IF(($A$3=""),"",IF(COUNTIF(Mineral!$AJ$3:$AJ$324,$A$3),"",$A$3))</f>
        <v/>
      </c>
      <c r="AM112" s="1672" t="str">
        <f>IFERROR(INDEX(Liste_Handelsünger[Handelsdünger],_xlfn.AGGREGATE(15,6,(ROW(Liste_Handelsünger[Handelsdünger])-1)/(--(SEARCH(AN$2,Liste_Handelsünger[Handelsdünger])&gt;0)),ROW()-2),1),"")</f>
        <v>NPK 18/8/8</v>
      </c>
      <c r="AN112" t="str">
        <f>IF(($A114=""),"",IF(COUNTIF(Mineral!$AJ$3:$AJ$324,$A114),"",$A114))</f>
        <v/>
      </c>
      <c r="AO112" t="str">
        <f>IFERROR(INDEX(Liste_Handelsünger[Handelsdünger],_xlfn.AGGREGATE(15,6,(ROW(Liste_Handelsünger[Handelsdünger])-1)/(--(SEARCH(AP$2,Liste_Handelsünger[Handelsdünger])&gt;0)),ROW()-2),1),"")</f>
        <v>NPK 18/8/8</v>
      </c>
      <c r="AP112" t="str">
        <f>IF(($A115=""),"",IF(COUNTIF(Mineral!$AJ$3:$AJ$324,$A115),"",$A115))</f>
        <v/>
      </c>
      <c r="AQ112" t="str">
        <f>IFERROR(INDEX(Liste_Handelsünger[Handelsdünger],_xlfn.AGGREGATE(15,6,(ROW(Liste_Handelsünger[Handelsdünger])-1)/(--(SEARCH(AR$2,Liste_Handelsünger[Handelsdünger])&gt;0)),ROW()-2),1),"")</f>
        <v>NPK 18/8/8</v>
      </c>
      <c r="AR112" t="str">
        <f>IF(($A116=""),"",IF(COUNTIF(Mineral!$AJ$3:$AJ$324,$A116),"",$A116))</f>
        <v/>
      </c>
      <c r="AS112" t="str">
        <f>IFERROR(INDEX(Liste_Handelsünger[Handelsdünger],_xlfn.AGGREGATE(15,6,(ROW(Liste_Handelsünger[Handelsdünger])-1)/(--(SEARCH(AT$2,Liste_Handelsünger[Handelsdünger])&gt;0)),ROW()-2),1),"")</f>
        <v>NPK 18/8/8</v>
      </c>
      <c r="AT112" t="str">
        <f>IF(($A117=""),"",IF(COUNTIF(Mineral!$AJ$3:$AJ$324,$A117),"",$A117))</f>
        <v/>
      </c>
      <c r="AU112" t="str">
        <f>IFERROR(INDEX(Liste_Handelsünger[Handelsdünger],_xlfn.AGGREGATE(15,6,(ROW(Liste_Handelsünger[Handelsdünger])-1)/(--(SEARCH(AV$2,Liste_Handelsünger[Handelsdünger])&gt;0)),ROW()-2),1),"")</f>
        <v>NPK 18/8/8</v>
      </c>
      <c r="AV112" t="str">
        <f>IF(($A118=""),"",IF(COUNTIF(Mineral!$AJ$3:$AJ$324,$A118),"",$A118))</f>
        <v/>
      </c>
      <c r="AW112" t="str">
        <f>IFERROR(INDEX(Liste_Handelsünger[Handelsdünger],_xlfn.AGGREGATE(15,6,(ROW(Liste_Handelsünger[Handelsdünger])-1)/(--(SEARCH(AX$2,Liste_Handelsünger[Handelsdünger])&gt;0)),ROW()-2),1),"")</f>
        <v>NPK 18/8/8</v>
      </c>
      <c r="AX112" t="str">
        <f>IF(($A119=""),"",IF(COUNTIF(Mineral!$AJ$3:$AJ$324,$A119),"",$A119))</f>
        <v/>
      </c>
      <c r="AY112" t="str">
        <f>IFERROR(INDEX(Liste_Handelsünger[Handelsdünger],_xlfn.AGGREGATE(15,6,(ROW(Liste_Handelsünger[Handelsdünger])-1)/(--(SEARCH(AZ$2,Liste_Handelsünger[Handelsdünger])&gt;0)),ROW()-2),1),"")</f>
        <v>NPK 18/8/8</v>
      </c>
      <c r="AZ112" t="str">
        <f>IF(($A120=""),"",IF(COUNTIF(Mineral!$AJ$3:$AJ$324,$A120),"",$A120))</f>
        <v/>
      </c>
      <c r="BA112" t="str">
        <f>IFERROR(INDEX(Liste_Handelsünger[Handelsdünger],_xlfn.AGGREGATE(15,6,(ROW(Liste_Handelsünger[Handelsdünger])-1)/(--(SEARCH(BB$2,Liste_Handelsünger[Handelsdünger])&gt;0)),ROW()-2),1),"")</f>
        <v>NPK 18/8/8</v>
      </c>
      <c r="BB112" t="str">
        <f>IF(($A121=""),"",IF(COUNTIF(Mineral!$AJ$3:$AJ$324,$A121),"",$A121))</f>
        <v/>
      </c>
      <c r="BC112" t="str">
        <f>IFERROR(INDEX(Liste_Handelsünger[Handelsdünger],_xlfn.AGGREGATE(15,6,(ROW(Liste_Handelsünger[Handelsdünger])-1)/(--(SEARCH(BD$2,Liste_Handelsünger[Handelsdünger])&gt;0)),ROW()-2),1),"")</f>
        <v>NPK 18/8/8</v>
      </c>
      <c r="BD112" t="str">
        <f>IF(($A122=""),"",IF(COUNTIF(Mineral!$AJ$3:$AJ$324,$A122),"",$A122))</f>
        <v/>
      </c>
      <c r="BE112" t="str">
        <f>IFERROR(INDEX(Liste_Handelsünger[Handelsdünger],_xlfn.AGGREGATE(15,6,(ROW(Liste_Handelsünger[Handelsdünger])-1)/(--(SEARCH(BF$2,Liste_Handelsünger[Handelsdünger])&gt;0)),ROW()-2),1),"")</f>
        <v>NPK 18/8/8</v>
      </c>
      <c r="BF112" t="str">
        <f>IF(($A123=""),"",IF(COUNTIF(Mineral!$AJ$3:$AJ$324,$A123),"",$A123))</f>
        <v/>
      </c>
      <c r="BG112" t="str">
        <f>IFERROR(INDEX(Liste_Handelsünger[Handelsdünger],_xlfn.AGGREGATE(15,6,(ROW(Liste_Handelsünger[Handelsdünger])-1)/(--(SEARCH(BH$2,Liste_Handelsünger[Handelsdünger])&gt;0)),ROW()-2),1),"")</f>
        <v>NPK 18/8/8</v>
      </c>
      <c r="BH112" t="str">
        <f>IF(($A124=""),"",IF(COUNTIF(Mineral!$AJ$3:$AJ$324,$A124),"",$A124))</f>
        <v/>
      </c>
      <c r="BI112" t="str">
        <f>IFERROR(INDEX(Liste_Handelsünger[Handelsdünger],_xlfn.AGGREGATE(15,6,(ROW(Liste_Handelsünger[Handelsdünger])-1)/(--(SEARCH(BJ$2,Liste_Handelsünger[Handelsdünger])&gt;0)),ROW()-2),1),"")</f>
        <v>NPK 18/8/8</v>
      </c>
      <c r="BJ112" t="str">
        <f>IF(($A125=""),"",IF(COUNTIF(Mineral!$AJ$3:$AJ$324,$A125),"",$A125))</f>
        <v/>
      </c>
      <c r="BK112" t="str">
        <f>IFERROR(INDEX(Liste_Handelsünger[Handelsdünger],_xlfn.AGGREGATE(15,6,(ROW(Liste_Handelsünger[Handelsdünger])-1)/(--(SEARCH(BL$2,Liste_Handelsünger[Handelsdünger])&gt;0)),ROW()-2),1),"")</f>
        <v>NPK 18/8/8</v>
      </c>
      <c r="BM112" t="str">
        <f>IFERROR(INDEX(Liste_Handelsünger[Handelsdünger],_xlfn.AGGREGATE(15,6,(ROW(Liste_Handelsünger[Handelsdünger])-1)/(--(SEARCH(BN$2,Liste_Handelsünger[Handelsdünger])&gt;0)),ROW()-2),1),"")</f>
        <v>NPK 18/8/8</v>
      </c>
      <c r="BN112" t="str">
        <f>IF(($A127=""),"",IF(COUNTIF(Mineral!$AJ$3:$AJ$324,$A127),"",$A127))</f>
        <v/>
      </c>
      <c r="BV112" t="s">
        <v>2226</v>
      </c>
      <c r="BW112" t="s">
        <v>2215</v>
      </c>
    </row>
    <row r="113" spans="18:75" ht="14.25" thickTop="1" thickBot="1">
      <c r="R113" t="str">
        <f t="array" ref="R113">IF(ROW(A84)&gt;COUNTA(A:A),"",INDEX(A:A,SMALL(IF(A$3:A$27&lt;&gt;"",ROW($3:$27)),ROW(A84))))</f>
        <v/>
      </c>
      <c r="S113" s="1616">
        <v>112</v>
      </c>
      <c r="T113" s="1617" t="s">
        <v>2335</v>
      </c>
      <c r="U113" s="1617" t="s">
        <v>2227</v>
      </c>
      <c r="V113" s="1617"/>
      <c r="W113" s="1617">
        <v>20</v>
      </c>
      <c r="X113" s="1617">
        <v>10</v>
      </c>
      <c r="Y113" s="1617">
        <v>10</v>
      </c>
      <c r="Z113" s="1617">
        <v>0</v>
      </c>
      <c r="AA113" s="1617">
        <v>0</v>
      </c>
      <c r="AB113" s="1617">
        <v>0</v>
      </c>
      <c r="AC113" s="1617">
        <v>1</v>
      </c>
      <c r="AD113" s="1613">
        <v>1</v>
      </c>
      <c r="AE113" s="1617" t="s">
        <v>2016</v>
      </c>
      <c r="AF113" s="1613" t="str">
        <f t="shared" si="15"/>
        <v/>
      </c>
      <c r="AG113" s="1656">
        <f>IFERROR(IF($AF113&gt;0,VLOOKUP($U113,Tabelle1!$C$188:$L$212,5,0)*$AF113,0),0)</f>
        <v>0</v>
      </c>
      <c r="AH113" s="1656">
        <f t="shared" si="16"/>
        <v>0</v>
      </c>
      <c r="AJ113" t="str">
        <f>IF(Betrieb!$D$9="JA",Mineral!$BW113,Mineral!$BV113)</f>
        <v>NPK 20/10/10</v>
      </c>
      <c r="AK113" s="1672" t="str">
        <f>IFERROR(INDEX(Liste_Handelsünger[Handelsdünger],_xlfn.AGGREGATE(15,6,(ROW(Liste_Handelsünger[Handelsdünger])-1)/(--(SEARCH(AL$2,Liste_Handelsünger[Handelsdünger])&gt;0)),ROW()-2),1),"")</f>
        <v>NPK 20/10/10</v>
      </c>
      <c r="AL113" s="1672" t="str">
        <f>IF(($A$3=""),"",IF(COUNTIF(Mineral!$AJ$3:$AJ$324,$A$3),"",$A$3))</f>
        <v/>
      </c>
      <c r="AM113" s="1672" t="str">
        <f>IFERROR(INDEX(Liste_Handelsünger[Handelsdünger],_xlfn.AGGREGATE(15,6,(ROW(Liste_Handelsünger[Handelsdünger])-1)/(--(SEARCH(AN$2,Liste_Handelsünger[Handelsdünger])&gt;0)),ROW()-2),1),"")</f>
        <v>NPK 20/10/10</v>
      </c>
      <c r="AN113" t="str">
        <f>IF(($A115=""),"",IF(COUNTIF(Mineral!$AJ$3:$AJ$324,$A115),"",$A115))</f>
        <v/>
      </c>
      <c r="AO113" t="str">
        <f>IFERROR(INDEX(Liste_Handelsünger[Handelsdünger],_xlfn.AGGREGATE(15,6,(ROW(Liste_Handelsünger[Handelsdünger])-1)/(--(SEARCH(AP$2,Liste_Handelsünger[Handelsdünger])&gt;0)),ROW()-2),1),"")</f>
        <v>NPK 20/10/10</v>
      </c>
      <c r="AP113" t="str">
        <f>IF(($A116=""),"",IF(COUNTIF(Mineral!$AJ$3:$AJ$324,$A116),"",$A116))</f>
        <v/>
      </c>
      <c r="AQ113" t="str">
        <f>IFERROR(INDEX(Liste_Handelsünger[Handelsdünger],_xlfn.AGGREGATE(15,6,(ROW(Liste_Handelsünger[Handelsdünger])-1)/(--(SEARCH(AR$2,Liste_Handelsünger[Handelsdünger])&gt;0)),ROW()-2),1),"")</f>
        <v>NPK 20/10/10</v>
      </c>
      <c r="AR113" t="str">
        <f>IF(($A117=""),"",IF(COUNTIF(Mineral!$AJ$3:$AJ$324,$A117),"",$A117))</f>
        <v/>
      </c>
      <c r="AS113" t="str">
        <f>IFERROR(INDEX(Liste_Handelsünger[Handelsdünger],_xlfn.AGGREGATE(15,6,(ROW(Liste_Handelsünger[Handelsdünger])-1)/(--(SEARCH(AT$2,Liste_Handelsünger[Handelsdünger])&gt;0)),ROW()-2),1),"")</f>
        <v>NPK 20/10/10</v>
      </c>
      <c r="AT113" t="str">
        <f>IF(($A118=""),"",IF(COUNTIF(Mineral!$AJ$3:$AJ$324,$A118),"",$A118))</f>
        <v/>
      </c>
      <c r="AU113" t="str">
        <f>IFERROR(INDEX(Liste_Handelsünger[Handelsdünger],_xlfn.AGGREGATE(15,6,(ROW(Liste_Handelsünger[Handelsdünger])-1)/(--(SEARCH(AV$2,Liste_Handelsünger[Handelsdünger])&gt;0)),ROW()-2),1),"")</f>
        <v>NPK 20/10/10</v>
      </c>
      <c r="AV113" t="str">
        <f>IF(($A119=""),"",IF(COUNTIF(Mineral!$AJ$3:$AJ$324,$A119),"",$A119))</f>
        <v/>
      </c>
      <c r="AW113" t="str">
        <f>IFERROR(INDEX(Liste_Handelsünger[Handelsdünger],_xlfn.AGGREGATE(15,6,(ROW(Liste_Handelsünger[Handelsdünger])-1)/(--(SEARCH(AX$2,Liste_Handelsünger[Handelsdünger])&gt;0)),ROW()-2),1),"")</f>
        <v>NPK 20/10/10</v>
      </c>
      <c r="AX113" t="str">
        <f>IF(($A120=""),"",IF(COUNTIF(Mineral!$AJ$3:$AJ$324,$A120),"",$A120))</f>
        <v/>
      </c>
      <c r="AY113" t="str">
        <f>IFERROR(INDEX(Liste_Handelsünger[Handelsdünger],_xlfn.AGGREGATE(15,6,(ROW(Liste_Handelsünger[Handelsdünger])-1)/(--(SEARCH(AZ$2,Liste_Handelsünger[Handelsdünger])&gt;0)),ROW()-2),1),"")</f>
        <v>NPK 20/10/10</v>
      </c>
      <c r="AZ113" t="str">
        <f>IF(($A121=""),"",IF(COUNTIF(Mineral!$AJ$3:$AJ$324,$A121),"",$A121))</f>
        <v/>
      </c>
      <c r="BA113" t="str">
        <f>IFERROR(INDEX(Liste_Handelsünger[Handelsdünger],_xlfn.AGGREGATE(15,6,(ROW(Liste_Handelsünger[Handelsdünger])-1)/(--(SEARCH(BB$2,Liste_Handelsünger[Handelsdünger])&gt;0)),ROW()-2),1),"")</f>
        <v>NPK 20/10/10</v>
      </c>
      <c r="BB113" t="str">
        <f>IF(($A122=""),"",IF(COUNTIF(Mineral!$AJ$3:$AJ$324,$A122),"",$A122))</f>
        <v/>
      </c>
      <c r="BC113" t="str">
        <f>IFERROR(INDEX(Liste_Handelsünger[Handelsdünger],_xlfn.AGGREGATE(15,6,(ROW(Liste_Handelsünger[Handelsdünger])-1)/(--(SEARCH(BD$2,Liste_Handelsünger[Handelsdünger])&gt;0)),ROW()-2),1),"")</f>
        <v>NPK 20/10/10</v>
      </c>
      <c r="BD113" t="str">
        <f>IF(($A123=""),"",IF(COUNTIF(Mineral!$AJ$3:$AJ$324,$A123),"",$A123))</f>
        <v/>
      </c>
      <c r="BE113" t="str">
        <f>IFERROR(INDEX(Liste_Handelsünger[Handelsdünger],_xlfn.AGGREGATE(15,6,(ROW(Liste_Handelsünger[Handelsdünger])-1)/(--(SEARCH(BF$2,Liste_Handelsünger[Handelsdünger])&gt;0)),ROW()-2),1),"")</f>
        <v>NPK 20/10/10</v>
      </c>
      <c r="BF113" t="str">
        <f>IF(($A124=""),"",IF(COUNTIF(Mineral!$AJ$3:$AJ$324,$A124),"",$A124))</f>
        <v/>
      </c>
      <c r="BG113" t="str">
        <f>IFERROR(INDEX(Liste_Handelsünger[Handelsdünger],_xlfn.AGGREGATE(15,6,(ROW(Liste_Handelsünger[Handelsdünger])-1)/(--(SEARCH(BH$2,Liste_Handelsünger[Handelsdünger])&gt;0)),ROW()-2),1),"")</f>
        <v>NPK 20/10/10</v>
      </c>
      <c r="BH113" t="str">
        <f>IF(($A125=""),"",IF(COUNTIF(Mineral!$AJ$3:$AJ$324,$A125),"",$A125))</f>
        <v/>
      </c>
      <c r="BI113" t="str">
        <f>IFERROR(INDEX(Liste_Handelsünger[Handelsdünger],_xlfn.AGGREGATE(15,6,(ROW(Liste_Handelsünger[Handelsdünger])-1)/(--(SEARCH(BJ$2,Liste_Handelsünger[Handelsdünger])&gt;0)),ROW()-2),1),"")</f>
        <v>NPK 20/10/10</v>
      </c>
      <c r="BJ113" t="str">
        <f>IF(($A126=""),"",IF(COUNTIF(Mineral!$AJ$3:$AJ$324,$A126),"",$A126))</f>
        <v/>
      </c>
      <c r="BK113" t="str">
        <f>IFERROR(INDEX(Liste_Handelsünger[Handelsdünger],_xlfn.AGGREGATE(15,6,(ROW(Liste_Handelsünger[Handelsdünger])-1)/(--(SEARCH(BL$2,Liste_Handelsünger[Handelsdünger])&gt;0)),ROW()-2),1),"")</f>
        <v>NPK 20/10/10</v>
      </c>
      <c r="BM113" t="str">
        <f>IFERROR(INDEX(Liste_Handelsünger[Handelsdünger],_xlfn.AGGREGATE(15,6,(ROW(Liste_Handelsünger[Handelsdünger])-1)/(--(SEARCH(BN$2,Liste_Handelsünger[Handelsdünger])&gt;0)),ROW()-2),1),"")</f>
        <v>NPK 20/10/10</v>
      </c>
      <c r="BN113" t="str">
        <f>IF(($A128=""),"",IF(COUNTIF(Mineral!$AJ$3:$AJ$324,$A128),"",$A128))</f>
        <v/>
      </c>
      <c r="BV113" t="s">
        <v>2227</v>
      </c>
      <c r="BW113" t="s">
        <v>2216</v>
      </c>
    </row>
    <row r="114" spans="18:75" ht="14.25" thickTop="1" thickBot="1">
      <c r="R114" t="str">
        <f t="array" ref="R114">IF(ROW(A85)&gt;COUNTA(A:A),"",INDEX(A:A,SMALL(IF(A$3:A$27&lt;&gt;"",ROW($3:$27)),ROW(A85))))</f>
        <v/>
      </c>
      <c r="S114" s="1676">
        <v>113</v>
      </c>
      <c r="T114" s="1606" t="s">
        <v>2335</v>
      </c>
      <c r="U114" s="1606" t="s">
        <v>2228</v>
      </c>
      <c r="V114" s="1606"/>
      <c r="W114" s="1606">
        <v>6</v>
      </c>
      <c r="X114" s="1606">
        <v>0</v>
      </c>
      <c r="Y114" s="1606">
        <v>0</v>
      </c>
      <c r="Z114" s="1606">
        <v>9</v>
      </c>
      <c r="AA114" s="1606">
        <v>0</v>
      </c>
      <c r="AB114" s="1606">
        <v>3</v>
      </c>
      <c r="AC114" s="1606">
        <v>1</v>
      </c>
      <c r="AD114" s="1613">
        <v>1</v>
      </c>
      <c r="AE114" s="1606" t="s">
        <v>2016</v>
      </c>
      <c r="AF114" s="1613" t="str">
        <f t="shared" si="15"/>
        <v/>
      </c>
      <c r="AG114" s="1656">
        <f>IFERROR(IF($AF114&gt;0,VLOOKUP($U114,Tabelle1!$C$188:$L$212,5,0)*$AF114,0),0)</f>
        <v>0</v>
      </c>
      <c r="AH114" s="1656">
        <f t="shared" si="16"/>
        <v>0</v>
      </c>
      <c r="AJ114" t="str">
        <f>IF(Betrieb!$D$9="JA",Mineral!$BW114,Mineral!$BV114)</f>
        <v>Nutribor</v>
      </c>
      <c r="AK114" s="1672" t="str">
        <f>IFERROR(INDEX(Liste_Handelsünger[Handelsdünger],_xlfn.AGGREGATE(15,6,(ROW(Liste_Handelsünger[Handelsdünger])-1)/(--(SEARCH(AL$2,Liste_Handelsünger[Handelsdünger])&gt;0)),ROW()-2),1),"")</f>
        <v>Nutribor</v>
      </c>
      <c r="AL114" s="1672" t="str">
        <f>IF(($A$3=""),"",IF(COUNTIF(Mineral!$AJ$3:$AJ$324,$A$3),"",$A$3))</f>
        <v/>
      </c>
      <c r="AM114" s="1672" t="str">
        <f>IFERROR(INDEX(Liste_Handelsünger[Handelsdünger],_xlfn.AGGREGATE(15,6,(ROW(Liste_Handelsünger[Handelsdünger])-1)/(--(SEARCH(AN$2,Liste_Handelsünger[Handelsdünger])&gt;0)),ROW()-2),1),"")</f>
        <v>Nutribor</v>
      </c>
      <c r="AN114" t="str">
        <f>IF(($A116=""),"",IF(COUNTIF(Mineral!$AJ$3:$AJ$324,$A116),"",$A116))</f>
        <v/>
      </c>
      <c r="AO114" t="str">
        <f>IFERROR(INDEX(Liste_Handelsünger[Handelsdünger],_xlfn.AGGREGATE(15,6,(ROW(Liste_Handelsünger[Handelsdünger])-1)/(--(SEARCH(AP$2,Liste_Handelsünger[Handelsdünger])&gt;0)),ROW()-2),1),"")</f>
        <v>Nutribor</v>
      </c>
      <c r="AP114" t="str">
        <f>IF(($A117=""),"",IF(COUNTIF(Mineral!$AJ$3:$AJ$324,$A117),"",$A117))</f>
        <v/>
      </c>
      <c r="AQ114" t="str">
        <f>IFERROR(INDEX(Liste_Handelsünger[Handelsdünger],_xlfn.AGGREGATE(15,6,(ROW(Liste_Handelsünger[Handelsdünger])-1)/(--(SEARCH(AR$2,Liste_Handelsünger[Handelsdünger])&gt;0)),ROW()-2),1),"")</f>
        <v>Nutribor</v>
      </c>
      <c r="AR114" t="str">
        <f>IF(($A118=""),"",IF(COUNTIF(Mineral!$AJ$3:$AJ$324,$A118),"",$A118))</f>
        <v/>
      </c>
      <c r="AS114" t="str">
        <f>IFERROR(INDEX(Liste_Handelsünger[Handelsdünger],_xlfn.AGGREGATE(15,6,(ROW(Liste_Handelsünger[Handelsdünger])-1)/(--(SEARCH(AT$2,Liste_Handelsünger[Handelsdünger])&gt;0)),ROW()-2),1),"")</f>
        <v>Nutribor</v>
      </c>
      <c r="AT114" t="str">
        <f>IF(($A119=""),"",IF(COUNTIF(Mineral!$AJ$3:$AJ$324,$A119),"",$A119))</f>
        <v/>
      </c>
      <c r="AU114" t="str">
        <f>IFERROR(INDEX(Liste_Handelsünger[Handelsdünger],_xlfn.AGGREGATE(15,6,(ROW(Liste_Handelsünger[Handelsdünger])-1)/(--(SEARCH(AV$2,Liste_Handelsünger[Handelsdünger])&gt;0)),ROW()-2),1),"")</f>
        <v>Nutribor</v>
      </c>
      <c r="AV114" t="str">
        <f>IF(($A120=""),"",IF(COUNTIF(Mineral!$AJ$3:$AJ$324,$A120),"",$A120))</f>
        <v/>
      </c>
      <c r="AW114" t="str">
        <f>IFERROR(INDEX(Liste_Handelsünger[Handelsdünger],_xlfn.AGGREGATE(15,6,(ROW(Liste_Handelsünger[Handelsdünger])-1)/(--(SEARCH(AX$2,Liste_Handelsünger[Handelsdünger])&gt;0)),ROW()-2),1),"")</f>
        <v>Nutribor</v>
      </c>
      <c r="AX114" t="str">
        <f>IF(($A121=""),"",IF(COUNTIF(Mineral!$AJ$3:$AJ$324,$A121),"",$A121))</f>
        <v/>
      </c>
      <c r="AY114" t="str">
        <f>IFERROR(INDEX(Liste_Handelsünger[Handelsdünger],_xlfn.AGGREGATE(15,6,(ROW(Liste_Handelsünger[Handelsdünger])-1)/(--(SEARCH(AZ$2,Liste_Handelsünger[Handelsdünger])&gt;0)),ROW()-2),1),"")</f>
        <v>Nutribor</v>
      </c>
      <c r="AZ114" t="str">
        <f>IF(($A122=""),"",IF(COUNTIF(Mineral!$AJ$3:$AJ$324,$A122),"",$A122))</f>
        <v/>
      </c>
      <c r="BA114" t="str">
        <f>IFERROR(INDEX(Liste_Handelsünger[Handelsdünger],_xlfn.AGGREGATE(15,6,(ROW(Liste_Handelsünger[Handelsdünger])-1)/(--(SEARCH(BB$2,Liste_Handelsünger[Handelsdünger])&gt;0)),ROW()-2),1),"")</f>
        <v>Nutribor</v>
      </c>
      <c r="BB114" t="str">
        <f>IF(($A123=""),"",IF(COUNTIF(Mineral!$AJ$3:$AJ$324,$A123),"",$A123))</f>
        <v/>
      </c>
      <c r="BC114" t="str">
        <f>IFERROR(INDEX(Liste_Handelsünger[Handelsdünger],_xlfn.AGGREGATE(15,6,(ROW(Liste_Handelsünger[Handelsdünger])-1)/(--(SEARCH(BD$2,Liste_Handelsünger[Handelsdünger])&gt;0)),ROW()-2),1),"")</f>
        <v>Nutribor</v>
      </c>
      <c r="BD114" t="str">
        <f>IF(($A124=""),"",IF(COUNTIF(Mineral!$AJ$3:$AJ$324,$A124),"",$A124))</f>
        <v/>
      </c>
      <c r="BE114" t="str">
        <f>IFERROR(INDEX(Liste_Handelsünger[Handelsdünger],_xlfn.AGGREGATE(15,6,(ROW(Liste_Handelsünger[Handelsdünger])-1)/(--(SEARCH(BF$2,Liste_Handelsünger[Handelsdünger])&gt;0)),ROW()-2),1),"")</f>
        <v>Nutribor</v>
      </c>
      <c r="BF114" t="str">
        <f>IF(($A125=""),"",IF(COUNTIF(Mineral!$AJ$3:$AJ$324,$A125),"",$A125))</f>
        <v/>
      </c>
      <c r="BG114" t="str">
        <f>IFERROR(INDEX(Liste_Handelsünger[Handelsdünger],_xlfn.AGGREGATE(15,6,(ROW(Liste_Handelsünger[Handelsdünger])-1)/(--(SEARCH(BH$2,Liste_Handelsünger[Handelsdünger])&gt;0)),ROW()-2),1),"")</f>
        <v>Nutribor</v>
      </c>
      <c r="BH114" t="str">
        <f>IF(($A126=""),"",IF(COUNTIF(Mineral!$AJ$3:$AJ$324,$A126),"",$A126))</f>
        <v/>
      </c>
      <c r="BI114" t="str">
        <f>IFERROR(INDEX(Liste_Handelsünger[Handelsdünger],_xlfn.AGGREGATE(15,6,(ROW(Liste_Handelsünger[Handelsdünger])-1)/(--(SEARCH(BJ$2,Liste_Handelsünger[Handelsdünger])&gt;0)),ROW()-2),1),"")</f>
        <v>Nutribor</v>
      </c>
      <c r="BJ114" t="str">
        <f>IF(($A127=""),"",IF(COUNTIF(Mineral!$AJ$3:$AJ$324,$A127),"",$A127))</f>
        <v/>
      </c>
      <c r="BK114" t="str">
        <f>IFERROR(INDEX(Liste_Handelsünger[Handelsdünger],_xlfn.AGGREGATE(15,6,(ROW(Liste_Handelsünger[Handelsdünger])-1)/(--(SEARCH(BL$2,Liste_Handelsünger[Handelsdünger])&gt;0)),ROW()-2),1),"")</f>
        <v>Nutribor</v>
      </c>
      <c r="BM114" t="str">
        <f>IFERROR(INDEX(Liste_Handelsünger[Handelsdünger],_xlfn.AGGREGATE(15,6,(ROW(Liste_Handelsünger[Handelsdünger])-1)/(--(SEARCH(BN$2,Liste_Handelsünger[Handelsdünger])&gt;0)),ROW()-2),1),"")</f>
        <v>Nutribor</v>
      </c>
      <c r="BN114" t="str">
        <f>IF(($A129=""),"",IF(COUNTIF(Mineral!$AJ$3:$AJ$324,$A129),"",$A129))</f>
        <v/>
      </c>
      <c r="BV114" t="s">
        <v>2228</v>
      </c>
      <c r="BW114" t="s">
        <v>2230</v>
      </c>
    </row>
    <row r="115" spans="18:75" ht="14.25" thickTop="1" thickBot="1">
      <c r="R115" t="str">
        <f t="array" ref="R115">IF(ROW(A86)&gt;COUNTA(A:A),"",INDEX(A:A,SMALL(IF(A$3:A$27&lt;&gt;"",ROW($3:$27)),ROW(A86))))</f>
        <v/>
      </c>
      <c r="S115" s="1616">
        <v>114</v>
      </c>
      <c r="T115" s="1617" t="s">
        <v>2335</v>
      </c>
      <c r="U115" s="1617" t="s">
        <v>2229</v>
      </c>
      <c r="V115" s="1617"/>
      <c r="W115" s="1617">
        <v>3</v>
      </c>
      <c r="X115" s="1617">
        <v>0</v>
      </c>
      <c r="Y115" s="1617">
        <v>0</v>
      </c>
      <c r="Z115" s="1617">
        <v>0</v>
      </c>
      <c r="AA115" s="1617">
        <v>0</v>
      </c>
      <c r="AB115" s="1617">
        <v>0</v>
      </c>
      <c r="AC115" s="1617">
        <v>1</v>
      </c>
      <c r="AD115" s="1613">
        <v>1</v>
      </c>
      <c r="AE115" s="1617" t="s">
        <v>2016</v>
      </c>
      <c r="AF115" s="1613" t="str">
        <f t="shared" si="15"/>
        <v/>
      </c>
      <c r="AG115" s="1656">
        <f>IFERROR(IF($AF115&gt;0,VLOOKUP($U115,Tabelle1!$C$188:$L$212,5,0)*$AF115,0),0)</f>
        <v>0</v>
      </c>
      <c r="AH115" s="1656">
        <f t="shared" si="16"/>
        <v>0</v>
      </c>
      <c r="AJ115" t="str">
        <f>IF(Betrieb!$D$9="JA",Mineral!$BW115,Mineral!$BV115)</f>
        <v>Nutrimix fluid</v>
      </c>
      <c r="AK115" s="1672" t="str">
        <f>IFERROR(INDEX(Liste_Handelsünger[Handelsdünger],_xlfn.AGGREGATE(15,6,(ROW(Liste_Handelsünger[Handelsdünger])-1)/(--(SEARCH(AL$2,Liste_Handelsünger[Handelsdünger])&gt;0)),ROW()-2),1),"")</f>
        <v>Nutrimix fluid</v>
      </c>
      <c r="AL115" s="1672" t="str">
        <f>IF(($A$3=""),"",IF(COUNTIF(Mineral!$AJ$3:$AJ$324,$A$3),"",$A$3))</f>
        <v/>
      </c>
      <c r="AM115" s="1672" t="str">
        <f>IFERROR(INDEX(Liste_Handelsünger[Handelsdünger],_xlfn.AGGREGATE(15,6,(ROW(Liste_Handelsünger[Handelsdünger])-1)/(--(SEARCH(AN$2,Liste_Handelsünger[Handelsdünger])&gt;0)),ROW()-2),1),"")</f>
        <v>Nutrimix fluid</v>
      </c>
      <c r="AN115" t="str">
        <f>IF(($A117=""),"",IF(COUNTIF(Mineral!$AJ$3:$AJ$324,$A117),"",$A117))</f>
        <v/>
      </c>
      <c r="AO115" t="str">
        <f>IFERROR(INDEX(Liste_Handelsünger[Handelsdünger],_xlfn.AGGREGATE(15,6,(ROW(Liste_Handelsünger[Handelsdünger])-1)/(--(SEARCH(AP$2,Liste_Handelsünger[Handelsdünger])&gt;0)),ROW()-2),1),"")</f>
        <v>Nutrimix fluid</v>
      </c>
      <c r="AP115" t="str">
        <f>IF(($A118=""),"",IF(COUNTIF(Mineral!$AJ$3:$AJ$324,$A118),"",$A118))</f>
        <v/>
      </c>
      <c r="AQ115" t="str">
        <f>IFERROR(INDEX(Liste_Handelsünger[Handelsdünger],_xlfn.AGGREGATE(15,6,(ROW(Liste_Handelsünger[Handelsdünger])-1)/(--(SEARCH(AR$2,Liste_Handelsünger[Handelsdünger])&gt;0)),ROW()-2),1),"")</f>
        <v>Nutrimix fluid</v>
      </c>
      <c r="AR115" t="str">
        <f>IF(($A119=""),"",IF(COUNTIF(Mineral!$AJ$3:$AJ$324,$A119),"",$A119))</f>
        <v/>
      </c>
      <c r="AS115" t="str">
        <f>IFERROR(INDEX(Liste_Handelsünger[Handelsdünger],_xlfn.AGGREGATE(15,6,(ROW(Liste_Handelsünger[Handelsdünger])-1)/(--(SEARCH(AT$2,Liste_Handelsünger[Handelsdünger])&gt;0)),ROW()-2),1),"")</f>
        <v>Nutrimix fluid</v>
      </c>
      <c r="AT115" t="str">
        <f>IF(($A120=""),"",IF(COUNTIF(Mineral!$AJ$3:$AJ$324,$A120),"",$A120))</f>
        <v/>
      </c>
      <c r="AU115" t="str">
        <f>IFERROR(INDEX(Liste_Handelsünger[Handelsdünger],_xlfn.AGGREGATE(15,6,(ROW(Liste_Handelsünger[Handelsdünger])-1)/(--(SEARCH(AV$2,Liste_Handelsünger[Handelsdünger])&gt;0)),ROW()-2),1),"")</f>
        <v>Nutrimix fluid</v>
      </c>
      <c r="AV115" t="str">
        <f>IF(($A121=""),"",IF(COUNTIF(Mineral!$AJ$3:$AJ$324,$A121),"",$A121))</f>
        <v/>
      </c>
      <c r="AW115" t="str">
        <f>IFERROR(INDEX(Liste_Handelsünger[Handelsdünger],_xlfn.AGGREGATE(15,6,(ROW(Liste_Handelsünger[Handelsdünger])-1)/(--(SEARCH(AX$2,Liste_Handelsünger[Handelsdünger])&gt;0)),ROW()-2),1),"")</f>
        <v>Nutrimix fluid</v>
      </c>
      <c r="AX115" t="str">
        <f>IF(($A122=""),"",IF(COUNTIF(Mineral!$AJ$3:$AJ$324,$A122),"",$A122))</f>
        <v/>
      </c>
      <c r="AY115" t="str">
        <f>IFERROR(INDEX(Liste_Handelsünger[Handelsdünger],_xlfn.AGGREGATE(15,6,(ROW(Liste_Handelsünger[Handelsdünger])-1)/(--(SEARCH(AZ$2,Liste_Handelsünger[Handelsdünger])&gt;0)),ROW()-2),1),"")</f>
        <v>Nutrimix fluid</v>
      </c>
      <c r="AZ115" t="str">
        <f>IF(($A123=""),"",IF(COUNTIF(Mineral!$AJ$3:$AJ$324,$A123),"",$A123))</f>
        <v/>
      </c>
      <c r="BA115" t="str">
        <f>IFERROR(INDEX(Liste_Handelsünger[Handelsdünger],_xlfn.AGGREGATE(15,6,(ROW(Liste_Handelsünger[Handelsdünger])-1)/(--(SEARCH(BB$2,Liste_Handelsünger[Handelsdünger])&gt;0)),ROW()-2),1),"")</f>
        <v>Nutrimix fluid</v>
      </c>
      <c r="BB115" t="str">
        <f>IF(($A124=""),"",IF(COUNTIF(Mineral!$AJ$3:$AJ$324,$A124),"",$A124))</f>
        <v/>
      </c>
      <c r="BC115" t="str">
        <f>IFERROR(INDEX(Liste_Handelsünger[Handelsdünger],_xlfn.AGGREGATE(15,6,(ROW(Liste_Handelsünger[Handelsdünger])-1)/(--(SEARCH(BD$2,Liste_Handelsünger[Handelsdünger])&gt;0)),ROW()-2),1),"")</f>
        <v>Nutrimix fluid</v>
      </c>
      <c r="BD115" t="str">
        <f>IF(($A125=""),"",IF(COUNTIF(Mineral!$AJ$3:$AJ$324,$A125),"",$A125))</f>
        <v/>
      </c>
      <c r="BE115" t="str">
        <f>IFERROR(INDEX(Liste_Handelsünger[Handelsdünger],_xlfn.AGGREGATE(15,6,(ROW(Liste_Handelsünger[Handelsdünger])-1)/(--(SEARCH(BF$2,Liste_Handelsünger[Handelsdünger])&gt;0)),ROW()-2),1),"")</f>
        <v>Nutrimix fluid</v>
      </c>
      <c r="BF115" t="str">
        <f>IF(($A126=""),"",IF(COUNTIF(Mineral!$AJ$3:$AJ$324,$A126),"",$A126))</f>
        <v/>
      </c>
      <c r="BG115" t="str">
        <f>IFERROR(INDEX(Liste_Handelsünger[Handelsdünger],_xlfn.AGGREGATE(15,6,(ROW(Liste_Handelsünger[Handelsdünger])-1)/(--(SEARCH(BH$2,Liste_Handelsünger[Handelsdünger])&gt;0)),ROW()-2),1),"")</f>
        <v>Nutrimix fluid</v>
      </c>
      <c r="BH115" t="str">
        <f>IF(($A127=""),"",IF(COUNTIF(Mineral!$AJ$3:$AJ$324,$A127),"",$A127))</f>
        <v/>
      </c>
      <c r="BI115" t="str">
        <f>IFERROR(INDEX(Liste_Handelsünger[Handelsdünger],_xlfn.AGGREGATE(15,6,(ROW(Liste_Handelsünger[Handelsdünger])-1)/(--(SEARCH(BJ$2,Liste_Handelsünger[Handelsdünger])&gt;0)),ROW()-2),1),"")</f>
        <v>Nutrimix fluid</v>
      </c>
      <c r="BJ115" t="str">
        <f>IF(($A128=""),"",IF(COUNTIF(Mineral!$AJ$3:$AJ$324,$A128),"",$A128))</f>
        <v/>
      </c>
      <c r="BK115" t="str">
        <f>IFERROR(INDEX(Liste_Handelsünger[Handelsdünger],_xlfn.AGGREGATE(15,6,(ROW(Liste_Handelsünger[Handelsdünger])-1)/(--(SEARCH(BL$2,Liste_Handelsünger[Handelsdünger])&gt;0)),ROW()-2),1),"")</f>
        <v>Nutrimix fluid</v>
      </c>
      <c r="BM115" t="str">
        <f>IFERROR(INDEX(Liste_Handelsünger[Handelsdünger],_xlfn.AGGREGATE(15,6,(ROW(Liste_Handelsünger[Handelsdünger])-1)/(--(SEARCH(BN$2,Liste_Handelsünger[Handelsdünger])&gt;0)),ROW()-2),1),"")</f>
        <v>Nutrimix fluid</v>
      </c>
      <c r="BN115" t="str">
        <f>IF(($A130=""),"",IF(COUNTIF(Mineral!$AJ$3:$AJ$324,$A130),"",$A130))</f>
        <v/>
      </c>
      <c r="BV115" t="s">
        <v>2229</v>
      </c>
      <c r="BW115" t="s">
        <v>2231</v>
      </c>
    </row>
    <row r="116" spans="18:75" ht="14.25" thickTop="1" thickBot="1">
      <c r="R116" t="str">
        <f t="array" ref="R116">IF(ROW(A87)&gt;COUNTA(A:A),"",INDEX(A:A,SMALL(IF(A$3:A$27&lt;&gt;"",ROW($3:$27)),ROW(A87))))</f>
        <v/>
      </c>
      <c r="S116" s="1676">
        <v>115</v>
      </c>
      <c r="T116" s="1606" t="s">
        <v>2335</v>
      </c>
      <c r="U116" s="1606" t="s">
        <v>2235</v>
      </c>
      <c r="V116" s="1606"/>
      <c r="W116" s="1606">
        <v>4.2</v>
      </c>
      <c r="X116" s="1606">
        <v>37.799999999999997</v>
      </c>
      <c r="Y116" s="1606">
        <v>25.2</v>
      </c>
      <c r="Z116" s="1606">
        <v>0</v>
      </c>
      <c r="AA116" s="1606">
        <v>0</v>
      </c>
      <c r="AB116" s="1606">
        <v>0</v>
      </c>
      <c r="AC116" s="1606">
        <v>1</v>
      </c>
      <c r="AD116" s="1613">
        <v>1</v>
      </c>
      <c r="AE116" s="1606" t="s">
        <v>2016</v>
      </c>
      <c r="AF116" s="1613" t="str">
        <f t="shared" si="15"/>
        <v/>
      </c>
      <c r="AG116" s="1656">
        <f>IFERROR(IF($AF116&gt;0,VLOOKUP($U116,Tabelle1!$C$188:$L$212,5,0)*$AF116,0),0)</f>
        <v>0</v>
      </c>
      <c r="AH116" s="1656">
        <f t="shared" si="16"/>
        <v>0</v>
      </c>
      <c r="AJ116" t="str">
        <f>IF(Betrieb!$D$9="JA",Mineral!$BW116,Mineral!$BV116)</f>
        <v>Phosfik</v>
      </c>
      <c r="AK116" s="1672" t="str">
        <f>IFERROR(INDEX(Liste_Handelsünger[Handelsdünger],_xlfn.AGGREGATE(15,6,(ROW(Liste_Handelsünger[Handelsdünger])-1)/(--(SEARCH(AL$2,Liste_Handelsünger[Handelsdünger])&gt;0)),ROW()-2),1),"")</f>
        <v>Phosfik</v>
      </c>
      <c r="AL116" s="1672" t="str">
        <f>IF(($A$3=""),"",IF(COUNTIF(Mineral!$AJ$3:$AJ$324,$A$3),"",$A$3))</f>
        <v/>
      </c>
      <c r="AM116" s="1672" t="str">
        <f>IFERROR(INDEX(Liste_Handelsünger[Handelsdünger],_xlfn.AGGREGATE(15,6,(ROW(Liste_Handelsünger[Handelsdünger])-1)/(--(SEARCH(AN$2,Liste_Handelsünger[Handelsdünger])&gt;0)),ROW()-2),1),"")</f>
        <v>Phosfik</v>
      </c>
      <c r="AN116" t="str">
        <f>IF(($A118=""),"",IF(COUNTIF(Mineral!$AJ$3:$AJ$324,$A118),"",$A118))</f>
        <v/>
      </c>
      <c r="AO116" t="str">
        <f>IFERROR(INDEX(Liste_Handelsünger[Handelsdünger],_xlfn.AGGREGATE(15,6,(ROW(Liste_Handelsünger[Handelsdünger])-1)/(--(SEARCH(AP$2,Liste_Handelsünger[Handelsdünger])&gt;0)),ROW()-2),1),"")</f>
        <v>Phosfik</v>
      </c>
      <c r="AP116" t="str">
        <f>IF(($A119=""),"",IF(COUNTIF(Mineral!$AJ$3:$AJ$324,$A119),"",$A119))</f>
        <v/>
      </c>
      <c r="AQ116" t="str">
        <f>IFERROR(INDEX(Liste_Handelsünger[Handelsdünger],_xlfn.AGGREGATE(15,6,(ROW(Liste_Handelsünger[Handelsdünger])-1)/(--(SEARCH(AR$2,Liste_Handelsünger[Handelsdünger])&gt;0)),ROW()-2),1),"")</f>
        <v>Phosfik</v>
      </c>
      <c r="AR116" t="str">
        <f>IF(($A120=""),"",IF(COUNTIF(Mineral!$AJ$3:$AJ$324,$A120),"",$A120))</f>
        <v/>
      </c>
      <c r="AS116" t="str">
        <f>IFERROR(INDEX(Liste_Handelsünger[Handelsdünger],_xlfn.AGGREGATE(15,6,(ROW(Liste_Handelsünger[Handelsdünger])-1)/(--(SEARCH(AT$2,Liste_Handelsünger[Handelsdünger])&gt;0)),ROW()-2),1),"")</f>
        <v>Phosfik</v>
      </c>
      <c r="AT116" t="str">
        <f>IF(($A121=""),"",IF(COUNTIF(Mineral!$AJ$3:$AJ$324,$A121),"",$A121))</f>
        <v/>
      </c>
      <c r="AU116" t="str">
        <f>IFERROR(INDEX(Liste_Handelsünger[Handelsdünger],_xlfn.AGGREGATE(15,6,(ROW(Liste_Handelsünger[Handelsdünger])-1)/(--(SEARCH(AV$2,Liste_Handelsünger[Handelsdünger])&gt;0)),ROW()-2),1),"")</f>
        <v>Phosfik</v>
      </c>
      <c r="AV116" t="str">
        <f>IF(($A122=""),"",IF(COUNTIF(Mineral!$AJ$3:$AJ$324,$A122),"",$A122))</f>
        <v/>
      </c>
      <c r="AW116" t="str">
        <f>IFERROR(INDEX(Liste_Handelsünger[Handelsdünger],_xlfn.AGGREGATE(15,6,(ROW(Liste_Handelsünger[Handelsdünger])-1)/(--(SEARCH(AX$2,Liste_Handelsünger[Handelsdünger])&gt;0)),ROW()-2),1),"")</f>
        <v>Phosfik</v>
      </c>
      <c r="AX116" t="str">
        <f>IF(($A123=""),"",IF(COUNTIF(Mineral!$AJ$3:$AJ$324,$A123),"",$A123))</f>
        <v/>
      </c>
      <c r="AY116" t="str">
        <f>IFERROR(INDEX(Liste_Handelsünger[Handelsdünger],_xlfn.AGGREGATE(15,6,(ROW(Liste_Handelsünger[Handelsdünger])-1)/(--(SEARCH(AZ$2,Liste_Handelsünger[Handelsdünger])&gt;0)),ROW()-2),1),"")</f>
        <v>Phosfik</v>
      </c>
      <c r="AZ116" t="str">
        <f>IF(($A124=""),"",IF(COUNTIF(Mineral!$AJ$3:$AJ$324,$A124),"",$A124))</f>
        <v/>
      </c>
      <c r="BA116" t="str">
        <f>IFERROR(INDEX(Liste_Handelsünger[Handelsdünger],_xlfn.AGGREGATE(15,6,(ROW(Liste_Handelsünger[Handelsdünger])-1)/(--(SEARCH(BB$2,Liste_Handelsünger[Handelsdünger])&gt;0)),ROW()-2),1),"")</f>
        <v>Phosfik</v>
      </c>
      <c r="BB116" t="str">
        <f>IF(($A125=""),"",IF(COUNTIF(Mineral!$AJ$3:$AJ$324,$A125),"",$A125))</f>
        <v/>
      </c>
      <c r="BC116" t="str">
        <f>IFERROR(INDEX(Liste_Handelsünger[Handelsdünger],_xlfn.AGGREGATE(15,6,(ROW(Liste_Handelsünger[Handelsdünger])-1)/(--(SEARCH(BD$2,Liste_Handelsünger[Handelsdünger])&gt;0)),ROW()-2),1),"")</f>
        <v>Phosfik</v>
      </c>
      <c r="BD116" t="str">
        <f>IF(($A126=""),"",IF(COUNTIF(Mineral!$AJ$3:$AJ$324,$A126),"",$A126))</f>
        <v/>
      </c>
      <c r="BE116" t="str">
        <f>IFERROR(INDEX(Liste_Handelsünger[Handelsdünger],_xlfn.AGGREGATE(15,6,(ROW(Liste_Handelsünger[Handelsdünger])-1)/(--(SEARCH(BF$2,Liste_Handelsünger[Handelsdünger])&gt;0)),ROW()-2),1),"")</f>
        <v>Phosfik</v>
      </c>
      <c r="BF116" t="str">
        <f>IF(($A127=""),"",IF(COUNTIF(Mineral!$AJ$3:$AJ$324,$A127),"",$A127))</f>
        <v/>
      </c>
      <c r="BG116" t="str">
        <f>IFERROR(INDEX(Liste_Handelsünger[Handelsdünger],_xlfn.AGGREGATE(15,6,(ROW(Liste_Handelsünger[Handelsdünger])-1)/(--(SEARCH(BH$2,Liste_Handelsünger[Handelsdünger])&gt;0)),ROW()-2),1),"")</f>
        <v>Phosfik</v>
      </c>
      <c r="BH116" t="str">
        <f>IF(($A128=""),"",IF(COUNTIF(Mineral!$AJ$3:$AJ$324,$A128),"",$A128))</f>
        <v/>
      </c>
      <c r="BI116" t="str">
        <f>IFERROR(INDEX(Liste_Handelsünger[Handelsdünger],_xlfn.AGGREGATE(15,6,(ROW(Liste_Handelsünger[Handelsdünger])-1)/(--(SEARCH(BJ$2,Liste_Handelsünger[Handelsdünger])&gt;0)),ROW()-2),1),"")</f>
        <v>Phosfik</v>
      </c>
      <c r="BJ116" t="str">
        <f>IF(($A129=""),"",IF(COUNTIF(Mineral!$AJ$3:$AJ$324,$A129),"",$A129))</f>
        <v/>
      </c>
      <c r="BK116" t="str">
        <f>IFERROR(INDEX(Liste_Handelsünger[Handelsdünger],_xlfn.AGGREGATE(15,6,(ROW(Liste_Handelsünger[Handelsdünger])-1)/(--(SEARCH(BL$2,Liste_Handelsünger[Handelsdünger])&gt;0)),ROW()-2),1),"")</f>
        <v>Phosfik</v>
      </c>
      <c r="BM116" t="str">
        <f>IFERROR(INDEX(Liste_Handelsünger[Handelsdünger],_xlfn.AGGREGATE(15,6,(ROW(Liste_Handelsünger[Handelsdünger])-1)/(--(SEARCH(BN$2,Liste_Handelsünger[Handelsdünger])&gt;0)),ROW()-2),1),"")</f>
        <v>Phosfik</v>
      </c>
      <c r="BN116" t="str">
        <f>IF(($A131=""),"",IF(COUNTIF(Mineral!$AJ$3:$AJ$324,$A131),"",$A131))</f>
        <v/>
      </c>
      <c r="BV116" t="s">
        <v>2235</v>
      </c>
      <c r="BW116" t="s">
        <v>2232</v>
      </c>
    </row>
    <row r="117" spans="18:75" ht="14.25" thickTop="1" thickBot="1">
      <c r="R117" t="str">
        <f t="array" ref="R117">IF(ROW(A88)&gt;COUNTA(A:A),"",INDEX(A:A,SMALL(IF(A$3:A$27&lt;&gt;"",ROW($3:$27)),ROW(A88))))</f>
        <v/>
      </c>
      <c r="S117" s="1616">
        <v>116</v>
      </c>
      <c r="T117" s="1617" t="s">
        <v>2335</v>
      </c>
      <c r="U117" s="1617" t="s">
        <v>2236</v>
      </c>
      <c r="V117" s="1617"/>
      <c r="W117" s="1617">
        <v>0</v>
      </c>
      <c r="X117" s="1617">
        <v>0</v>
      </c>
      <c r="Y117" s="1617">
        <v>0</v>
      </c>
      <c r="Z117" s="1617">
        <v>0</v>
      </c>
      <c r="AA117" s="1617">
        <v>50</v>
      </c>
      <c r="AB117" s="1617">
        <v>0</v>
      </c>
      <c r="AC117" s="1617">
        <v>1</v>
      </c>
      <c r="AD117" s="1613">
        <v>1</v>
      </c>
      <c r="AE117" s="1617" t="s">
        <v>1764</v>
      </c>
      <c r="AF117" s="1613" t="str">
        <f t="shared" si="15"/>
        <v/>
      </c>
      <c r="AG117" s="1656">
        <f>IFERROR(IF($AF117&gt;0,VLOOKUP($U117,Tabelle1!$C$188:$L$212,5,0)*$AF117,0),0)</f>
        <v>0</v>
      </c>
      <c r="AH117" s="1656">
        <f t="shared" si="16"/>
        <v>0</v>
      </c>
      <c r="AJ117" t="str">
        <f>IF(Betrieb!$D$9="JA",Mineral!$BW117,Mineral!$BV117)</f>
        <v>Physiomax</v>
      </c>
      <c r="AK117" s="1672" t="str">
        <f>IFERROR(INDEX(Liste_Handelsünger[Handelsdünger],_xlfn.AGGREGATE(15,6,(ROW(Liste_Handelsünger[Handelsdünger])-1)/(--(SEARCH(AL$2,Liste_Handelsünger[Handelsdünger])&gt;0)),ROW()-2),1),"")</f>
        <v>Physiomax</v>
      </c>
      <c r="AL117" s="1672" t="str">
        <f>IF(($A$3=""),"",IF(COUNTIF(Mineral!$AJ$3:$AJ$324,$A$3),"",$A$3))</f>
        <v/>
      </c>
      <c r="AM117" s="1672" t="str">
        <f>IFERROR(INDEX(Liste_Handelsünger[Handelsdünger],_xlfn.AGGREGATE(15,6,(ROW(Liste_Handelsünger[Handelsdünger])-1)/(--(SEARCH(AN$2,Liste_Handelsünger[Handelsdünger])&gt;0)),ROW()-2),1),"")</f>
        <v>Physiomax</v>
      </c>
      <c r="AN117" t="str">
        <f>IF(($A119=""),"",IF(COUNTIF(Mineral!$AJ$3:$AJ$324,$A119),"",$A119))</f>
        <v/>
      </c>
      <c r="AO117" t="str">
        <f>IFERROR(INDEX(Liste_Handelsünger[Handelsdünger],_xlfn.AGGREGATE(15,6,(ROW(Liste_Handelsünger[Handelsdünger])-1)/(--(SEARCH(AP$2,Liste_Handelsünger[Handelsdünger])&gt;0)),ROW()-2),1),"")</f>
        <v>Physiomax</v>
      </c>
      <c r="AP117" t="str">
        <f>IF(($A120=""),"",IF(COUNTIF(Mineral!$AJ$3:$AJ$324,$A120),"",$A120))</f>
        <v/>
      </c>
      <c r="AQ117" t="str">
        <f>IFERROR(INDEX(Liste_Handelsünger[Handelsdünger],_xlfn.AGGREGATE(15,6,(ROW(Liste_Handelsünger[Handelsdünger])-1)/(--(SEARCH(AR$2,Liste_Handelsünger[Handelsdünger])&gt;0)),ROW()-2),1),"")</f>
        <v>Physiomax</v>
      </c>
      <c r="AR117" t="str">
        <f>IF(($A121=""),"",IF(COUNTIF(Mineral!$AJ$3:$AJ$324,$A121),"",$A121))</f>
        <v/>
      </c>
      <c r="AS117" t="str">
        <f>IFERROR(INDEX(Liste_Handelsünger[Handelsdünger],_xlfn.AGGREGATE(15,6,(ROW(Liste_Handelsünger[Handelsdünger])-1)/(--(SEARCH(AT$2,Liste_Handelsünger[Handelsdünger])&gt;0)),ROW()-2),1),"")</f>
        <v>Physiomax</v>
      </c>
      <c r="AT117" t="str">
        <f>IF(($A122=""),"",IF(COUNTIF(Mineral!$AJ$3:$AJ$324,$A122),"",$A122))</f>
        <v/>
      </c>
      <c r="AU117" t="str">
        <f>IFERROR(INDEX(Liste_Handelsünger[Handelsdünger],_xlfn.AGGREGATE(15,6,(ROW(Liste_Handelsünger[Handelsdünger])-1)/(--(SEARCH(AV$2,Liste_Handelsünger[Handelsdünger])&gt;0)),ROW()-2),1),"")</f>
        <v>Physiomax</v>
      </c>
      <c r="AV117" t="str">
        <f>IF(($A123=""),"",IF(COUNTIF(Mineral!$AJ$3:$AJ$324,$A123),"",$A123))</f>
        <v/>
      </c>
      <c r="AW117" t="str">
        <f>IFERROR(INDEX(Liste_Handelsünger[Handelsdünger],_xlfn.AGGREGATE(15,6,(ROW(Liste_Handelsünger[Handelsdünger])-1)/(--(SEARCH(AX$2,Liste_Handelsünger[Handelsdünger])&gt;0)),ROW()-2),1),"")</f>
        <v>Physiomax</v>
      </c>
      <c r="AX117" t="str">
        <f>IF(($A124=""),"",IF(COUNTIF(Mineral!$AJ$3:$AJ$324,$A124),"",$A124))</f>
        <v/>
      </c>
      <c r="AY117" t="str">
        <f>IFERROR(INDEX(Liste_Handelsünger[Handelsdünger],_xlfn.AGGREGATE(15,6,(ROW(Liste_Handelsünger[Handelsdünger])-1)/(--(SEARCH(AZ$2,Liste_Handelsünger[Handelsdünger])&gt;0)),ROW()-2),1),"")</f>
        <v>Physiomax</v>
      </c>
      <c r="AZ117" t="str">
        <f>IF(($A125=""),"",IF(COUNTIF(Mineral!$AJ$3:$AJ$324,$A125),"",$A125))</f>
        <v/>
      </c>
      <c r="BA117" t="str">
        <f>IFERROR(INDEX(Liste_Handelsünger[Handelsdünger],_xlfn.AGGREGATE(15,6,(ROW(Liste_Handelsünger[Handelsdünger])-1)/(--(SEARCH(BB$2,Liste_Handelsünger[Handelsdünger])&gt;0)),ROW()-2),1),"")</f>
        <v>Physiomax</v>
      </c>
      <c r="BB117" t="str">
        <f>IF(($A126=""),"",IF(COUNTIF(Mineral!$AJ$3:$AJ$324,$A126),"",$A126))</f>
        <v/>
      </c>
      <c r="BC117" t="str">
        <f>IFERROR(INDEX(Liste_Handelsünger[Handelsdünger],_xlfn.AGGREGATE(15,6,(ROW(Liste_Handelsünger[Handelsdünger])-1)/(--(SEARCH(BD$2,Liste_Handelsünger[Handelsdünger])&gt;0)),ROW()-2),1),"")</f>
        <v>Physiomax</v>
      </c>
      <c r="BD117" t="str">
        <f>IF(($A127=""),"",IF(COUNTIF(Mineral!$AJ$3:$AJ$324,$A127),"",$A127))</f>
        <v/>
      </c>
      <c r="BE117" t="str">
        <f>IFERROR(INDEX(Liste_Handelsünger[Handelsdünger],_xlfn.AGGREGATE(15,6,(ROW(Liste_Handelsünger[Handelsdünger])-1)/(--(SEARCH(BF$2,Liste_Handelsünger[Handelsdünger])&gt;0)),ROW()-2),1),"")</f>
        <v>Physiomax</v>
      </c>
      <c r="BF117" t="str">
        <f>IF(($A128=""),"",IF(COUNTIF(Mineral!$AJ$3:$AJ$324,$A128),"",$A128))</f>
        <v/>
      </c>
      <c r="BG117" t="str">
        <f>IFERROR(INDEX(Liste_Handelsünger[Handelsdünger],_xlfn.AGGREGATE(15,6,(ROW(Liste_Handelsünger[Handelsdünger])-1)/(--(SEARCH(BH$2,Liste_Handelsünger[Handelsdünger])&gt;0)),ROW()-2),1),"")</f>
        <v>Physiomax</v>
      </c>
      <c r="BH117" t="str">
        <f>IF(($A129=""),"",IF(COUNTIF(Mineral!$AJ$3:$AJ$324,$A129),"",$A129))</f>
        <v/>
      </c>
      <c r="BI117" t="str">
        <f>IFERROR(INDEX(Liste_Handelsünger[Handelsdünger],_xlfn.AGGREGATE(15,6,(ROW(Liste_Handelsünger[Handelsdünger])-1)/(--(SEARCH(BJ$2,Liste_Handelsünger[Handelsdünger])&gt;0)),ROW()-2),1),"")</f>
        <v>Physiomax</v>
      </c>
      <c r="BJ117" t="str">
        <f>IF(($A130=""),"",IF(COUNTIF(Mineral!$AJ$3:$AJ$324,$A130),"",$A130))</f>
        <v/>
      </c>
      <c r="BK117" t="str">
        <f>IFERROR(INDEX(Liste_Handelsünger[Handelsdünger],_xlfn.AGGREGATE(15,6,(ROW(Liste_Handelsünger[Handelsdünger])-1)/(--(SEARCH(BL$2,Liste_Handelsünger[Handelsdünger])&gt;0)),ROW()-2),1),"")</f>
        <v>Physiomax</v>
      </c>
      <c r="BM117" t="str">
        <f>IFERROR(INDEX(Liste_Handelsünger[Handelsdünger],_xlfn.AGGREGATE(15,6,(ROW(Liste_Handelsünger[Handelsdünger])-1)/(--(SEARCH(BN$2,Liste_Handelsünger[Handelsdünger])&gt;0)),ROW()-2),1),"")</f>
        <v>Physiomax</v>
      </c>
      <c r="BN117" t="str">
        <f>IF(($A132=""),"",IF(COUNTIF(Mineral!$AJ$3:$AJ$324,$A132),"",$A132))</f>
        <v/>
      </c>
      <c r="BV117" t="s">
        <v>2236</v>
      </c>
      <c r="BW117" t="s">
        <v>2233</v>
      </c>
    </row>
    <row r="118" spans="18:75" ht="14.25" thickTop="1" thickBot="1">
      <c r="R118" t="str">
        <f t="array" ref="R118">IF(ROW(A89)&gt;COUNTA(A:A),"",INDEX(A:A,SMALL(IF(A$3:A$27&lt;&gt;"",ROW($3:$27)),ROW(A89))))</f>
        <v/>
      </c>
      <c r="S118" s="1676">
        <v>117</v>
      </c>
      <c r="T118" s="1606" t="s">
        <v>2335</v>
      </c>
      <c r="U118" s="1606" t="s">
        <v>2237</v>
      </c>
      <c r="V118" s="1606"/>
      <c r="W118" s="1606">
        <v>0</v>
      </c>
      <c r="X118" s="1606">
        <v>0</v>
      </c>
      <c r="Y118" s="1606">
        <v>0</v>
      </c>
      <c r="Z118" s="1606">
        <v>0</v>
      </c>
      <c r="AA118" s="1606">
        <v>43</v>
      </c>
      <c r="AB118" s="1606">
        <v>3</v>
      </c>
      <c r="AC118" s="1606">
        <v>1</v>
      </c>
      <c r="AD118" s="1613">
        <v>1</v>
      </c>
      <c r="AE118" s="1606" t="s">
        <v>1764</v>
      </c>
      <c r="AF118" s="1613" t="str">
        <f t="shared" si="15"/>
        <v/>
      </c>
      <c r="AG118" s="1656">
        <f>IFERROR(IF($AF118&gt;0,VLOOKUP($U118,Tabelle1!$C$188:$L$212,5,0)*$AF118,0),0)</f>
        <v>0</v>
      </c>
      <c r="AH118" s="1656">
        <f t="shared" si="16"/>
        <v>0</v>
      </c>
      <c r="AJ118" t="str">
        <f>IF(Betrieb!$D$9="JA",Mineral!$BW118,Mineral!$BV118)</f>
        <v>Physiomax 975</v>
      </c>
      <c r="AK118" s="1672" t="str">
        <f>IFERROR(INDEX(Liste_Handelsünger[Handelsdünger],_xlfn.AGGREGATE(15,6,(ROW(Liste_Handelsünger[Handelsdünger])-1)/(--(SEARCH(AL$2,Liste_Handelsünger[Handelsdünger])&gt;0)),ROW()-2),1),"")</f>
        <v>Physiomax 975</v>
      </c>
      <c r="AL118" s="1672" t="str">
        <f>IF(($A$3=""),"",IF(COUNTIF(Mineral!$AJ$3:$AJ$324,$A$3),"",$A$3))</f>
        <v/>
      </c>
      <c r="AM118" s="1672" t="str">
        <f>IFERROR(INDEX(Liste_Handelsünger[Handelsdünger],_xlfn.AGGREGATE(15,6,(ROW(Liste_Handelsünger[Handelsdünger])-1)/(--(SEARCH(AN$2,Liste_Handelsünger[Handelsdünger])&gt;0)),ROW()-2),1),"")</f>
        <v>Physiomax 975</v>
      </c>
      <c r="AN118" t="str">
        <f>IF(($A120=""),"",IF(COUNTIF(Mineral!$AJ$3:$AJ$324,$A120),"",$A120))</f>
        <v/>
      </c>
      <c r="AO118" t="str">
        <f>IFERROR(INDEX(Liste_Handelsünger[Handelsdünger],_xlfn.AGGREGATE(15,6,(ROW(Liste_Handelsünger[Handelsdünger])-1)/(--(SEARCH(AP$2,Liste_Handelsünger[Handelsdünger])&gt;0)),ROW()-2),1),"")</f>
        <v>Physiomax 975</v>
      </c>
      <c r="AP118" t="str">
        <f>IF(($A121=""),"",IF(COUNTIF(Mineral!$AJ$3:$AJ$324,$A121),"",$A121))</f>
        <v/>
      </c>
      <c r="AQ118" t="str">
        <f>IFERROR(INDEX(Liste_Handelsünger[Handelsdünger],_xlfn.AGGREGATE(15,6,(ROW(Liste_Handelsünger[Handelsdünger])-1)/(--(SEARCH(AR$2,Liste_Handelsünger[Handelsdünger])&gt;0)),ROW()-2),1),"")</f>
        <v>Physiomax 975</v>
      </c>
      <c r="AR118" t="str">
        <f>IF(($A122=""),"",IF(COUNTIF(Mineral!$AJ$3:$AJ$324,$A122),"",$A122))</f>
        <v/>
      </c>
      <c r="AS118" t="str">
        <f>IFERROR(INDEX(Liste_Handelsünger[Handelsdünger],_xlfn.AGGREGATE(15,6,(ROW(Liste_Handelsünger[Handelsdünger])-1)/(--(SEARCH(AT$2,Liste_Handelsünger[Handelsdünger])&gt;0)),ROW()-2),1),"")</f>
        <v>Physiomax 975</v>
      </c>
      <c r="AT118" t="str">
        <f>IF(($A123=""),"",IF(COUNTIF(Mineral!$AJ$3:$AJ$324,$A123),"",$A123))</f>
        <v/>
      </c>
      <c r="AU118" t="str">
        <f>IFERROR(INDEX(Liste_Handelsünger[Handelsdünger],_xlfn.AGGREGATE(15,6,(ROW(Liste_Handelsünger[Handelsdünger])-1)/(--(SEARCH(AV$2,Liste_Handelsünger[Handelsdünger])&gt;0)),ROW()-2),1),"")</f>
        <v>Physiomax 975</v>
      </c>
      <c r="AV118" t="str">
        <f>IF(($A124=""),"",IF(COUNTIF(Mineral!$AJ$3:$AJ$324,$A124),"",$A124))</f>
        <v/>
      </c>
      <c r="AW118" t="str">
        <f>IFERROR(INDEX(Liste_Handelsünger[Handelsdünger],_xlfn.AGGREGATE(15,6,(ROW(Liste_Handelsünger[Handelsdünger])-1)/(--(SEARCH(AX$2,Liste_Handelsünger[Handelsdünger])&gt;0)),ROW()-2),1),"")</f>
        <v>Physiomax 975</v>
      </c>
      <c r="AX118" t="str">
        <f>IF(($A125=""),"",IF(COUNTIF(Mineral!$AJ$3:$AJ$324,$A125),"",$A125))</f>
        <v/>
      </c>
      <c r="AY118" t="str">
        <f>IFERROR(INDEX(Liste_Handelsünger[Handelsdünger],_xlfn.AGGREGATE(15,6,(ROW(Liste_Handelsünger[Handelsdünger])-1)/(--(SEARCH(AZ$2,Liste_Handelsünger[Handelsdünger])&gt;0)),ROW()-2),1),"")</f>
        <v>Physiomax 975</v>
      </c>
      <c r="AZ118" t="str">
        <f>IF(($A126=""),"",IF(COUNTIF(Mineral!$AJ$3:$AJ$324,$A126),"",$A126))</f>
        <v/>
      </c>
      <c r="BA118" t="str">
        <f>IFERROR(INDEX(Liste_Handelsünger[Handelsdünger],_xlfn.AGGREGATE(15,6,(ROW(Liste_Handelsünger[Handelsdünger])-1)/(--(SEARCH(BB$2,Liste_Handelsünger[Handelsdünger])&gt;0)),ROW()-2),1),"")</f>
        <v>Physiomax 975</v>
      </c>
      <c r="BB118" t="str">
        <f>IF(($A127=""),"",IF(COUNTIF(Mineral!$AJ$3:$AJ$324,$A127),"",$A127))</f>
        <v/>
      </c>
      <c r="BC118" t="str">
        <f>IFERROR(INDEX(Liste_Handelsünger[Handelsdünger],_xlfn.AGGREGATE(15,6,(ROW(Liste_Handelsünger[Handelsdünger])-1)/(--(SEARCH(BD$2,Liste_Handelsünger[Handelsdünger])&gt;0)),ROW()-2),1),"")</f>
        <v>Physiomax 975</v>
      </c>
      <c r="BD118" t="str">
        <f>IF(($A128=""),"",IF(COUNTIF(Mineral!$AJ$3:$AJ$324,$A128),"",$A128))</f>
        <v/>
      </c>
      <c r="BE118" t="str">
        <f>IFERROR(INDEX(Liste_Handelsünger[Handelsdünger],_xlfn.AGGREGATE(15,6,(ROW(Liste_Handelsünger[Handelsdünger])-1)/(--(SEARCH(BF$2,Liste_Handelsünger[Handelsdünger])&gt;0)),ROW()-2),1),"")</f>
        <v>Physiomax 975</v>
      </c>
      <c r="BF118" t="str">
        <f>IF(($A129=""),"",IF(COUNTIF(Mineral!$AJ$3:$AJ$324,$A129),"",$A129))</f>
        <v/>
      </c>
      <c r="BG118" t="str">
        <f>IFERROR(INDEX(Liste_Handelsünger[Handelsdünger],_xlfn.AGGREGATE(15,6,(ROW(Liste_Handelsünger[Handelsdünger])-1)/(--(SEARCH(BH$2,Liste_Handelsünger[Handelsdünger])&gt;0)),ROW()-2),1),"")</f>
        <v>Physiomax 975</v>
      </c>
      <c r="BH118" t="str">
        <f>IF(($A130=""),"",IF(COUNTIF(Mineral!$AJ$3:$AJ$324,$A130),"",$A130))</f>
        <v/>
      </c>
      <c r="BI118" t="str">
        <f>IFERROR(INDEX(Liste_Handelsünger[Handelsdünger],_xlfn.AGGREGATE(15,6,(ROW(Liste_Handelsünger[Handelsdünger])-1)/(--(SEARCH(BJ$2,Liste_Handelsünger[Handelsdünger])&gt;0)),ROW()-2),1),"")</f>
        <v>Physiomax 975</v>
      </c>
      <c r="BJ118" t="str">
        <f>IF(($A131=""),"",IF(COUNTIF(Mineral!$AJ$3:$AJ$324,$A131),"",$A131))</f>
        <v/>
      </c>
      <c r="BK118" t="str">
        <f>IFERROR(INDEX(Liste_Handelsünger[Handelsdünger],_xlfn.AGGREGATE(15,6,(ROW(Liste_Handelsünger[Handelsdünger])-1)/(--(SEARCH(BL$2,Liste_Handelsünger[Handelsdünger])&gt;0)),ROW()-2),1),"")</f>
        <v>Physiomax 975</v>
      </c>
      <c r="BM118" t="str">
        <f>IFERROR(INDEX(Liste_Handelsünger[Handelsdünger],_xlfn.AGGREGATE(15,6,(ROW(Liste_Handelsünger[Handelsdünger])-1)/(--(SEARCH(BN$2,Liste_Handelsünger[Handelsdünger])&gt;0)),ROW()-2),1),"")</f>
        <v>Physiomax 975</v>
      </c>
      <c r="BN118" t="str">
        <f>IF(($A133=""),"",IF(COUNTIF(Mineral!$AJ$3:$AJ$324,$A133),"",$A133))</f>
        <v/>
      </c>
      <c r="BV118" t="s">
        <v>2237</v>
      </c>
      <c r="BW118" t="s">
        <v>2238</v>
      </c>
    </row>
    <row r="119" spans="18:75" ht="14.25" thickTop="1" thickBot="1">
      <c r="R119" t="str">
        <f t="array" ref="R119">IF(ROW(A90)&gt;COUNTA(A:A),"",INDEX(A:A,SMALL(IF(A$3:A$27&lt;&gt;"",ROW($3:$27)),ROW(A90))))</f>
        <v/>
      </c>
      <c r="S119" s="1616">
        <v>118</v>
      </c>
      <c r="T119" s="1617" t="s">
        <v>2335</v>
      </c>
      <c r="U119" s="1617" t="s">
        <v>2240</v>
      </c>
      <c r="V119" s="1617"/>
      <c r="W119" s="1617">
        <v>28.000000000000004</v>
      </c>
      <c r="X119" s="1617">
        <v>0</v>
      </c>
      <c r="Y119" s="1617">
        <v>0</v>
      </c>
      <c r="Z119" s="1617">
        <v>0</v>
      </c>
      <c r="AA119" s="1617">
        <v>0</v>
      </c>
      <c r="AB119" s="1617">
        <v>0</v>
      </c>
      <c r="AC119" s="1617">
        <v>1</v>
      </c>
      <c r="AD119" s="1613">
        <v>1</v>
      </c>
      <c r="AE119" s="1617" t="s">
        <v>2016</v>
      </c>
      <c r="AF119" s="1613" t="str">
        <f t="shared" si="15"/>
        <v/>
      </c>
      <c r="AG119" s="1656">
        <f>IFERROR(IF($AF119&gt;0,VLOOKUP($U119,Tabelle1!$C$188:$L$212,5,0)*$AF119,0),0)</f>
        <v>0</v>
      </c>
      <c r="AH119" s="1656">
        <f t="shared" si="16"/>
        <v>0</v>
      </c>
      <c r="AJ119" t="str">
        <f>IF(Betrieb!$D$9="JA",Mineral!$BW119,Mineral!$BV119)</f>
        <v>Piasan 28</v>
      </c>
      <c r="AK119" s="1672" t="str">
        <f>IFERROR(INDEX(Liste_Handelsünger[Handelsdünger],_xlfn.AGGREGATE(15,6,(ROW(Liste_Handelsünger[Handelsdünger])-1)/(--(SEARCH(AL$2,Liste_Handelsünger[Handelsdünger])&gt;0)),ROW()-2),1),"")</f>
        <v>Piasan 28</v>
      </c>
      <c r="AL119" s="1672" t="str">
        <f>IF(($A$3=""),"",IF(COUNTIF(Mineral!$AJ$3:$AJ$324,$A$3),"",$A$3))</f>
        <v/>
      </c>
      <c r="AM119" s="1672" t="str">
        <f>IFERROR(INDEX(Liste_Handelsünger[Handelsdünger],_xlfn.AGGREGATE(15,6,(ROW(Liste_Handelsünger[Handelsdünger])-1)/(--(SEARCH(AN$2,Liste_Handelsünger[Handelsdünger])&gt;0)),ROW()-2),1),"")</f>
        <v>Piasan 28</v>
      </c>
      <c r="AN119" t="str">
        <f>IF(($A121=""),"",IF(COUNTIF(Mineral!$AJ$3:$AJ$324,$A121),"",$A121))</f>
        <v/>
      </c>
      <c r="AO119" t="str">
        <f>IFERROR(INDEX(Liste_Handelsünger[Handelsdünger],_xlfn.AGGREGATE(15,6,(ROW(Liste_Handelsünger[Handelsdünger])-1)/(--(SEARCH(AP$2,Liste_Handelsünger[Handelsdünger])&gt;0)),ROW()-2),1),"")</f>
        <v>Piasan 28</v>
      </c>
      <c r="AP119" t="str">
        <f>IF(($A122=""),"",IF(COUNTIF(Mineral!$AJ$3:$AJ$324,$A122),"",$A122))</f>
        <v/>
      </c>
      <c r="AQ119" t="str">
        <f>IFERROR(INDEX(Liste_Handelsünger[Handelsdünger],_xlfn.AGGREGATE(15,6,(ROW(Liste_Handelsünger[Handelsdünger])-1)/(--(SEARCH(AR$2,Liste_Handelsünger[Handelsdünger])&gt;0)),ROW()-2),1),"")</f>
        <v>Piasan 28</v>
      </c>
      <c r="AR119" t="str">
        <f>IF(($A123=""),"",IF(COUNTIF(Mineral!$AJ$3:$AJ$324,$A123),"",$A123))</f>
        <v/>
      </c>
      <c r="AS119" t="str">
        <f>IFERROR(INDEX(Liste_Handelsünger[Handelsdünger],_xlfn.AGGREGATE(15,6,(ROW(Liste_Handelsünger[Handelsdünger])-1)/(--(SEARCH(AT$2,Liste_Handelsünger[Handelsdünger])&gt;0)),ROW()-2),1),"")</f>
        <v>Piasan 28</v>
      </c>
      <c r="AT119" t="str">
        <f>IF(($A124=""),"",IF(COUNTIF(Mineral!$AJ$3:$AJ$324,$A124),"",$A124))</f>
        <v/>
      </c>
      <c r="AU119" t="str">
        <f>IFERROR(INDEX(Liste_Handelsünger[Handelsdünger],_xlfn.AGGREGATE(15,6,(ROW(Liste_Handelsünger[Handelsdünger])-1)/(--(SEARCH(AV$2,Liste_Handelsünger[Handelsdünger])&gt;0)),ROW()-2),1),"")</f>
        <v>Piasan 28</v>
      </c>
      <c r="AV119" t="str">
        <f>IF(($A125=""),"",IF(COUNTIF(Mineral!$AJ$3:$AJ$324,$A125),"",$A125))</f>
        <v/>
      </c>
      <c r="AW119" t="str">
        <f>IFERROR(INDEX(Liste_Handelsünger[Handelsdünger],_xlfn.AGGREGATE(15,6,(ROW(Liste_Handelsünger[Handelsdünger])-1)/(--(SEARCH(AX$2,Liste_Handelsünger[Handelsdünger])&gt;0)),ROW()-2),1),"")</f>
        <v>Piasan 28</v>
      </c>
      <c r="AX119" t="str">
        <f>IF(($A126=""),"",IF(COUNTIF(Mineral!$AJ$3:$AJ$324,$A126),"",$A126))</f>
        <v/>
      </c>
      <c r="AY119" t="str">
        <f>IFERROR(INDEX(Liste_Handelsünger[Handelsdünger],_xlfn.AGGREGATE(15,6,(ROW(Liste_Handelsünger[Handelsdünger])-1)/(--(SEARCH(AZ$2,Liste_Handelsünger[Handelsdünger])&gt;0)),ROW()-2),1),"")</f>
        <v>Piasan 28</v>
      </c>
      <c r="AZ119" t="str">
        <f>IF(($A127=""),"",IF(COUNTIF(Mineral!$AJ$3:$AJ$324,$A127),"",$A127))</f>
        <v/>
      </c>
      <c r="BA119" t="str">
        <f>IFERROR(INDEX(Liste_Handelsünger[Handelsdünger],_xlfn.AGGREGATE(15,6,(ROW(Liste_Handelsünger[Handelsdünger])-1)/(--(SEARCH(BB$2,Liste_Handelsünger[Handelsdünger])&gt;0)),ROW()-2),1),"")</f>
        <v>Piasan 28</v>
      </c>
      <c r="BB119" t="str">
        <f>IF(($A128=""),"",IF(COUNTIF(Mineral!$AJ$3:$AJ$324,$A128),"",$A128))</f>
        <v/>
      </c>
      <c r="BC119" t="str">
        <f>IFERROR(INDEX(Liste_Handelsünger[Handelsdünger],_xlfn.AGGREGATE(15,6,(ROW(Liste_Handelsünger[Handelsdünger])-1)/(--(SEARCH(BD$2,Liste_Handelsünger[Handelsdünger])&gt;0)),ROW()-2),1),"")</f>
        <v>Piasan 28</v>
      </c>
      <c r="BD119" t="str">
        <f>IF(($A129=""),"",IF(COUNTIF(Mineral!$AJ$3:$AJ$324,$A129),"",$A129))</f>
        <v/>
      </c>
      <c r="BE119" t="str">
        <f>IFERROR(INDEX(Liste_Handelsünger[Handelsdünger],_xlfn.AGGREGATE(15,6,(ROW(Liste_Handelsünger[Handelsdünger])-1)/(--(SEARCH(BF$2,Liste_Handelsünger[Handelsdünger])&gt;0)),ROW()-2),1),"")</f>
        <v>Piasan 28</v>
      </c>
      <c r="BF119" t="str">
        <f>IF(($A130=""),"",IF(COUNTIF(Mineral!$AJ$3:$AJ$324,$A130),"",$A130))</f>
        <v/>
      </c>
      <c r="BG119" t="str">
        <f>IFERROR(INDEX(Liste_Handelsünger[Handelsdünger],_xlfn.AGGREGATE(15,6,(ROW(Liste_Handelsünger[Handelsdünger])-1)/(--(SEARCH(BH$2,Liste_Handelsünger[Handelsdünger])&gt;0)),ROW()-2),1),"")</f>
        <v>Piasan 28</v>
      </c>
      <c r="BH119" t="str">
        <f>IF(($A131=""),"",IF(COUNTIF(Mineral!$AJ$3:$AJ$324,$A131),"",$A131))</f>
        <v/>
      </c>
      <c r="BI119" t="str">
        <f>IFERROR(INDEX(Liste_Handelsünger[Handelsdünger],_xlfn.AGGREGATE(15,6,(ROW(Liste_Handelsünger[Handelsdünger])-1)/(--(SEARCH(BJ$2,Liste_Handelsünger[Handelsdünger])&gt;0)),ROW()-2),1),"")</f>
        <v>Piasan 28</v>
      </c>
      <c r="BJ119" t="str">
        <f>IF(($A132=""),"",IF(COUNTIF(Mineral!$AJ$3:$AJ$324,$A132),"",$A132))</f>
        <v/>
      </c>
      <c r="BK119" t="str">
        <f>IFERROR(INDEX(Liste_Handelsünger[Handelsdünger],_xlfn.AGGREGATE(15,6,(ROW(Liste_Handelsünger[Handelsdünger])-1)/(--(SEARCH(BL$2,Liste_Handelsünger[Handelsdünger])&gt;0)),ROW()-2),1),"")</f>
        <v>Piasan 28</v>
      </c>
      <c r="BM119" t="str">
        <f>IFERROR(INDEX(Liste_Handelsünger[Handelsdünger],_xlfn.AGGREGATE(15,6,(ROW(Liste_Handelsünger[Handelsdünger])-1)/(--(SEARCH(BN$2,Liste_Handelsünger[Handelsdünger])&gt;0)),ROW()-2),1),"")</f>
        <v>Piasan 28</v>
      </c>
      <c r="BN119" t="str">
        <f>IF(($A134=""),"",IF(COUNTIF(Mineral!$AJ$3:$AJ$324,$A134),"",$A134))</f>
        <v/>
      </c>
      <c r="BV119" t="s">
        <v>2240</v>
      </c>
      <c r="BW119" t="s">
        <v>2243</v>
      </c>
    </row>
    <row r="120" spans="18:75" ht="14.25" thickTop="1" thickBot="1">
      <c r="S120" s="1676">
        <v>119</v>
      </c>
      <c r="T120" s="1606" t="s">
        <v>2335</v>
      </c>
      <c r="U120" s="1606" t="s">
        <v>2241</v>
      </c>
      <c r="V120" s="1606"/>
      <c r="W120" s="1606">
        <v>20</v>
      </c>
      <c r="X120" s="1606">
        <v>0</v>
      </c>
      <c r="Y120" s="1606">
        <v>0</v>
      </c>
      <c r="Z120" s="1606">
        <v>8</v>
      </c>
      <c r="AA120" s="1606">
        <v>0</v>
      </c>
      <c r="AB120" s="1606">
        <v>0</v>
      </c>
      <c r="AC120" s="1606">
        <v>1</v>
      </c>
      <c r="AD120" s="1613">
        <v>1</v>
      </c>
      <c r="AE120" s="1606" t="s">
        <v>2016</v>
      </c>
      <c r="AF120" s="1613" t="str">
        <f t="shared" si="15"/>
        <v/>
      </c>
      <c r="AG120" s="1656">
        <f>IFERROR(IF($AF120&gt;0,VLOOKUP($U120,Tabelle1!$C$188:$L$212,5,0)*$AF120,0),0)</f>
        <v>0</v>
      </c>
      <c r="AH120" s="1656">
        <f t="shared" si="16"/>
        <v>0</v>
      </c>
      <c r="AJ120" t="str">
        <f>IF(Betrieb!$D$9="JA",Mineral!$BW120,Mineral!$BV120)</f>
        <v>Piasan G 20/8</v>
      </c>
      <c r="AK120" s="1672" t="str">
        <f>IFERROR(INDEX(Liste_Handelsünger[Handelsdünger],_xlfn.AGGREGATE(15,6,(ROW(Liste_Handelsünger[Handelsdünger])-1)/(--(SEARCH(AL$2,Liste_Handelsünger[Handelsdünger])&gt;0)),ROW()-2),1),"")</f>
        <v>Piasan G 20/8</v>
      </c>
      <c r="AL120" s="1672" t="str">
        <f>IF(($A$3=""),"",IF(COUNTIF(Mineral!$AJ$3:$AJ$324,$A$3),"",$A$3))</f>
        <v/>
      </c>
      <c r="AM120" s="1672" t="str">
        <f>IFERROR(INDEX(Liste_Handelsünger[Handelsdünger],_xlfn.AGGREGATE(15,6,(ROW(Liste_Handelsünger[Handelsdünger])-1)/(--(SEARCH(AN$2,Liste_Handelsünger[Handelsdünger])&gt;0)),ROW()-2),1),"")</f>
        <v>Piasan G 20/8</v>
      </c>
      <c r="AN120" t="str">
        <f>IF(($A122=""),"",IF(COUNTIF(Mineral!$AJ$3:$AJ$324,$A122),"",$A122))</f>
        <v/>
      </c>
      <c r="AO120" t="str">
        <f>IFERROR(INDEX(Liste_Handelsünger[Handelsdünger],_xlfn.AGGREGATE(15,6,(ROW(Liste_Handelsünger[Handelsdünger])-1)/(--(SEARCH(AP$2,Liste_Handelsünger[Handelsdünger])&gt;0)),ROW()-2),1),"")</f>
        <v>Piasan G 20/8</v>
      </c>
      <c r="AP120" t="str">
        <f>IF(($A123=""),"",IF(COUNTIF(Mineral!$AJ$3:$AJ$324,$A123),"",$A123))</f>
        <v/>
      </c>
      <c r="AQ120" t="str">
        <f>IFERROR(INDEX(Liste_Handelsünger[Handelsdünger],_xlfn.AGGREGATE(15,6,(ROW(Liste_Handelsünger[Handelsdünger])-1)/(--(SEARCH(AR$2,Liste_Handelsünger[Handelsdünger])&gt;0)),ROW()-2),1),"")</f>
        <v>Piasan G 20/8</v>
      </c>
      <c r="AR120" t="str">
        <f>IF(($A124=""),"",IF(COUNTIF(Mineral!$AJ$3:$AJ$324,$A124),"",$A124))</f>
        <v/>
      </c>
      <c r="AS120" t="str">
        <f>IFERROR(INDEX(Liste_Handelsünger[Handelsdünger],_xlfn.AGGREGATE(15,6,(ROW(Liste_Handelsünger[Handelsdünger])-1)/(--(SEARCH(AT$2,Liste_Handelsünger[Handelsdünger])&gt;0)),ROW()-2),1),"")</f>
        <v>Piasan G 20/8</v>
      </c>
      <c r="AT120" t="str">
        <f>IF(($A125=""),"",IF(COUNTIF(Mineral!$AJ$3:$AJ$324,$A125),"",$A125))</f>
        <v/>
      </c>
      <c r="AU120" t="str">
        <f>IFERROR(INDEX(Liste_Handelsünger[Handelsdünger],_xlfn.AGGREGATE(15,6,(ROW(Liste_Handelsünger[Handelsdünger])-1)/(--(SEARCH(AV$2,Liste_Handelsünger[Handelsdünger])&gt;0)),ROW()-2),1),"")</f>
        <v>Piasan G 20/8</v>
      </c>
      <c r="AV120" t="str">
        <f>IF(($A126=""),"",IF(COUNTIF(Mineral!$AJ$3:$AJ$324,$A126),"",$A126))</f>
        <v/>
      </c>
      <c r="AW120" t="str">
        <f>IFERROR(INDEX(Liste_Handelsünger[Handelsdünger],_xlfn.AGGREGATE(15,6,(ROW(Liste_Handelsünger[Handelsdünger])-1)/(--(SEARCH(AX$2,Liste_Handelsünger[Handelsdünger])&gt;0)),ROW()-2),1),"")</f>
        <v>Piasan G 20/8</v>
      </c>
      <c r="AX120" t="str">
        <f>IF(($A127=""),"",IF(COUNTIF(Mineral!$AJ$3:$AJ$324,$A127),"",$A127))</f>
        <v/>
      </c>
      <c r="AY120" t="str">
        <f>IFERROR(INDEX(Liste_Handelsünger[Handelsdünger],_xlfn.AGGREGATE(15,6,(ROW(Liste_Handelsünger[Handelsdünger])-1)/(--(SEARCH(AZ$2,Liste_Handelsünger[Handelsdünger])&gt;0)),ROW()-2),1),"")</f>
        <v>Piasan G 20/8</v>
      </c>
      <c r="AZ120" t="str">
        <f>IF(($A128=""),"",IF(COUNTIF(Mineral!$AJ$3:$AJ$324,$A128),"",$A128))</f>
        <v/>
      </c>
      <c r="BA120" t="str">
        <f>IFERROR(INDEX(Liste_Handelsünger[Handelsdünger],_xlfn.AGGREGATE(15,6,(ROW(Liste_Handelsünger[Handelsdünger])-1)/(--(SEARCH(BB$2,Liste_Handelsünger[Handelsdünger])&gt;0)),ROW()-2),1),"")</f>
        <v>Piasan G 20/8</v>
      </c>
      <c r="BB120" t="str">
        <f>IF(($A129=""),"",IF(COUNTIF(Mineral!$AJ$3:$AJ$324,$A129),"",$A129))</f>
        <v/>
      </c>
      <c r="BC120" t="str">
        <f>IFERROR(INDEX(Liste_Handelsünger[Handelsdünger],_xlfn.AGGREGATE(15,6,(ROW(Liste_Handelsünger[Handelsdünger])-1)/(--(SEARCH(BD$2,Liste_Handelsünger[Handelsdünger])&gt;0)),ROW()-2),1),"")</f>
        <v>Piasan G 20/8</v>
      </c>
      <c r="BD120" t="str">
        <f>IF(($A130=""),"",IF(COUNTIF(Mineral!$AJ$3:$AJ$324,$A130),"",$A130))</f>
        <v/>
      </c>
      <c r="BE120" t="str">
        <f>IFERROR(INDEX(Liste_Handelsünger[Handelsdünger],_xlfn.AGGREGATE(15,6,(ROW(Liste_Handelsünger[Handelsdünger])-1)/(--(SEARCH(BF$2,Liste_Handelsünger[Handelsdünger])&gt;0)),ROW()-2),1),"")</f>
        <v>Piasan G 20/8</v>
      </c>
      <c r="BF120" t="str">
        <f>IF(($A131=""),"",IF(COUNTIF(Mineral!$AJ$3:$AJ$324,$A131),"",$A131))</f>
        <v/>
      </c>
      <c r="BG120" t="str">
        <f>IFERROR(INDEX(Liste_Handelsünger[Handelsdünger],_xlfn.AGGREGATE(15,6,(ROW(Liste_Handelsünger[Handelsdünger])-1)/(--(SEARCH(BH$2,Liste_Handelsünger[Handelsdünger])&gt;0)),ROW()-2),1),"")</f>
        <v>Piasan G 20/8</v>
      </c>
      <c r="BH120" t="str">
        <f>IF(($A132=""),"",IF(COUNTIF(Mineral!$AJ$3:$AJ$324,$A132),"",$A132))</f>
        <v/>
      </c>
      <c r="BI120" t="str">
        <f>IFERROR(INDEX(Liste_Handelsünger[Handelsdünger],_xlfn.AGGREGATE(15,6,(ROW(Liste_Handelsünger[Handelsdünger])-1)/(--(SEARCH(BJ$2,Liste_Handelsünger[Handelsdünger])&gt;0)),ROW()-2),1),"")</f>
        <v>Piasan G 20/8</v>
      </c>
      <c r="BJ120" t="str">
        <f>IF(($A133=""),"",IF(COUNTIF(Mineral!$AJ$3:$AJ$324,$A133),"",$A133))</f>
        <v/>
      </c>
      <c r="BK120" t="str">
        <f>IFERROR(INDEX(Liste_Handelsünger[Handelsdünger],_xlfn.AGGREGATE(15,6,(ROW(Liste_Handelsünger[Handelsdünger])-1)/(--(SEARCH(BL$2,Liste_Handelsünger[Handelsdünger])&gt;0)),ROW()-2),1),"")</f>
        <v>Piasan G 20/8</v>
      </c>
      <c r="BM120" t="str">
        <f>IFERROR(INDEX(Liste_Handelsünger[Handelsdünger],_xlfn.AGGREGATE(15,6,(ROW(Liste_Handelsünger[Handelsdünger])-1)/(--(SEARCH(BN$2,Liste_Handelsünger[Handelsdünger])&gt;0)),ROW()-2),1),"")</f>
        <v>Piasan G 20/8</v>
      </c>
      <c r="BN120" t="str">
        <f>IF(($A135=""),"",IF(COUNTIF(Mineral!$AJ$3:$AJ$324,$A135),"",$A135))</f>
        <v/>
      </c>
      <c r="BV120" t="s">
        <v>2241</v>
      </c>
      <c r="BW120" t="s">
        <v>2244</v>
      </c>
    </row>
    <row r="121" spans="18:75" ht="14.25" thickTop="1" thickBot="1">
      <c r="S121" s="1616">
        <v>120</v>
      </c>
      <c r="T121" s="1617" t="s">
        <v>2335</v>
      </c>
      <c r="U121" s="1617" t="s">
        <v>2242</v>
      </c>
      <c r="V121" s="1617"/>
      <c r="W121" s="1617">
        <v>25</v>
      </c>
      <c r="X121" s="1617">
        <v>0</v>
      </c>
      <c r="Y121" s="1617">
        <v>0</v>
      </c>
      <c r="Z121" s="1617">
        <v>6</v>
      </c>
      <c r="AA121" s="1617">
        <v>0</v>
      </c>
      <c r="AB121" s="1617">
        <v>0</v>
      </c>
      <c r="AC121" s="1617">
        <v>1</v>
      </c>
      <c r="AD121" s="1613">
        <v>1</v>
      </c>
      <c r="AE121" s="1617" t="s">
        <v>2016</v>
      </c>
      <c r="AF121" s="1613" t="str">
        <f t="shared" si="15"/>
        <v/>
      </c>
      <c r="AG121" s="1656">
        <f>IFERROR(IF($AF121&gt;0,VLOOKUP($U121,Tabelle1!$C$188:$L$212,5,0)*$AF121,0),0)</f>
        <v>0</v>
      </c>
      <c r="AH121" s="1656">
        <f t="shared" si="16"/>
        <v>0</v>
      </c>
      <c r="AJ121" t="str">
        <f>IF(Betrieb!$D$9="JA",Mineral!$BW121,Mineral!$BV121)</f>
        <v>Piasan S 25/6</v>
      </c>
      <c r="AK121" s="1672" t="str">
        <f>IFERROR(INDEX(Liste_Handelsünger[Handelsdünger],_xlfn.AGGREGATE(15,6,(ROW(Liste_Handelsünger[Handelsdünger])-1)/(--(SEARCH(AL$2,Liste_Handelsünger[Handelsdünger])&gt;0)),ROW()-2),1),"")</f>
        <v>Piasan S 25/6</v>
      </c>
      <c r="AL121" s="1672" t="str">
        <f>IF(($A$3=""),"",IF(COUNTIF(Mineral!$AJ$3:$AJ$324,$A$3),"",$A$3))</f>
        <v/>
      </c>
      <c r="AM121" s="1672" t="str">
        <f>IFERROR(INDEX(Liste_Handelsünger[Handelsdünger],_xlfn.AGGREGATE(15,6,(ROW(Liste_Handelsünger[Handelsdünger])-1)/(--(SEARCH(AN$2,Liste_Handelsünger[Handelsdünger])&gt;0)),ROW()-2),1),"")</f>
        <v>Piasan S 25/6</v>
      </c>
      <c r="AN121" t="str">
        <f>IF(($A123=""),"",IF(COUNTIF(Mineral!$AJ$3:$AJ$324,$A123),"",$A123))</f>
        <v/>
      </c>
      <c r="AO121" t="str">
        <f>IFERROR(INDEX(Liste_Handelsünger[Handelsdünger],_xlfn.AGGREGATE(15,6,(ROW(Liste_Handelsünger[Handelsdünger])-1)/(--(SEARCH(AP$2,Liste_Handelsünger[Handelsdünger])&gt;0)),ROW()-2),1),"")</f>
        <v>Piasan S 25/6</v>
      </c>
      <c r="AP121" t="str">
        <f>IF(($A124=""),"",IF(COUNTIF(Mineral!$AJ$3:$AJ$324,$A124),"",$A124))</f>
        <v/>
      </c>
      <c r="AQ121" t="str">
        <f>IFERROR(INDEX(Liste_Handelsünger[Handelsdünger],_xlfn.AGGREGATE(15,6,(ROW(Liste_Handelsünger[Handelsdünger])-1)/(--(SEARCH(AR$2,Liste_Handelsünger[Handelsdünger])&gt;0)),ROW()-2),1),"")</f>
        <v>Piasan S 25/6</v>
      </c>
      <c r="AR121" t="str">
        <f>IF(($A125=""),"",IF(COUNTIF(Mineral!$AJ$3:$AJ$324,$A125),"",$A125))</f>
        <v/>
      </c>
      <c r="AS121" t="str">
        <f>IFERROR(INDEX(Liste_Handelsünger[Handelsdünger],_xlfn.AGGREGATE(15,6,(ROW(Liste_Handelsünger[Handelsdünger])-1)/(--(SEARCH(AT$2,Liste_Handelsünger[Handelsdünger])&gt;0)),ROW()-2),1),"")</f>
        <v>Piasan S 25/6</v>
      </c>
      <c r="AT121" t="str">
        <f>IF(($A126=""),"",IF(COUNTIF(Mineral!$AJ$3:$AJ$324,$A126),"",$A126))</f>
        <v/>
      </c>
      <c r="AU121" t="str">
        <f>IFERROR(INDEX(Liste_Handelsünger[Handelsdünger],_xlfn.AGGREGATE(15,6,(ROW(Liste_Handelsünger[Handelsdünger])-1)/(--(SEARCH(AV$2,Liste_Handelsünger[Handelsdünger])&gt;0)),ROW()-2),1),"")</f>
        <v>Piasan S 25/6</v>
      </c>
      <c r="AV121" t="str">
        <f>IF(($A127=""),"",IF(COUNTIF(Mineral!$AJ$3:$AJ$324,$A127),"",$A127))</f>
        <v/>
      </c>
      <c r="AW121" t="str">
        <f>IFERROR(INDEX(Liste_Handelsünger[Handelsdünger],_xlfn.AGGREGATE(15,6,(ROW(Liste_Handelsünger[Handelsdünger])-1)/(--(SEARCH(AX$2,Liste_Handelsünger[Handelsdünger])&gt;0)),ROW()-2),1),"")</f>
        <v>Piasan S 25/6</v>
      </c>
      <c r="AX121" t="str">
        <f>IF(($A128=""),"",IF(COUNTIF(Mineral!$AJ$3:$AJ$324,$A128),"",$A128))</f>
        <v/>
      </c>
      <c r="AY121" t="str">
        <f>IFERROR(INDEX(Liste_Handelsünger[Handelsdünger],_xlfn.AGGREGATE(15,6,(ROW(Liste_Handelsünger[Handelsdünger])-1)/(--(SEARCH(AZ$2,Liste_Handelsünger[Handelsdünger])&gt;0)),ROW()-2),1),"")</f>
        <v>Piasan S 25/6</v>
      </c>
      <c r="AZ121" t="str">
        <f>IF(($A129=""),"",IF(COUNTIF(Mineral!$AJ$3:$AJ$324,$A129),"",$A129))</f>
        <v/>
      </c>
      <c r="BA121" t="str">
        <f>IFERROR(INDEX(Liste_Handelsünger[Handelsdünger],_xlfn.AGGREGATE(15,6,(ROW(Liste_Handelsünger[Handelsdünger])-1)/(--(SEARCH(BB$2,Liste_Handelsünger[Handelsdünger])&gt;0)),ROW()-2),1),"")</f>
        <v>Piasan S 25/6</v>
      </c>
      <c r="BB121" t="str">
        <f>IF(($A130=""),"",IF(COUNTIF(Mineral!$AJ$3:$AJ$324,$A130),"",$A130))</f>
        <v/>
      </c>
      <c r="BC121" t="str">
        <f>IFERROR(INDEX(Liste_Handelsünger[Handelsdünger],_xlfn.AGGREGATE(15,6,(ROW(Liste_Handelsünger[Handelsdünger])-1)/(--(SEARCH(BD$2,Liste_Handelsünger[Handelsdünger])&gt;0)),ROW()-2),1),"")</f>
        <v>Piasan S 25/6</v>
      </c>
      <c r="BD121" t="str">
        <f>IF(($A131=""),"",IF(COUNTIF(Mineral!$AJ$3:$AJ$324,$A131),"",$A131))</f>
        <v/>
      </c>
      <c r="BE121" t="str">
        <f>IFERROR(INDEX(Liste_Handelsünger[Handelsdünger],_xlfn.AGGREGATE(15,6,(ROW(Liste_Handelsünger[Handelsdünger])-1)/(--(SEARCH(BF$2,Liste_Handelsünger[Handelsdünger])&gt;0)),ROW()-2),1),"")</f>
        <v>Piasan S 25/6</v>
      </c>
      <c r="BF121" t="str">
        <f>IF(($A132=""),"",IF(COUNTIF(Mineral!$AJ$3:$AJ$324,$A132),"",$A132))</f>
        <v/>
      </c>
      <c r="BG121" t="str">
        <f>IFERROR(INDEX(Liste_Handelsünger[Handelsdünger],_xlfn.AGGREGATE(15,6,(ROW(Liste_Handelsünger[Handelsdünger])-1)/(--(SEARCH(BH$2,Liste_Handelsünger[Handelsdünger])&gt;0)),ROW()-2),1),"")</f>
        <v>Piasan S 25/6</v>
      </c>
      <c r="BH121" t="str">
        <f>IF(($A133=""),"",IF(COUNTIF(Mineral!$AJ$3:$AJ$324,$A133),"",$A133))</f>
        <v/>
      </c>
      <c r="BI121" t="str">
        <f>IFERROR(INDEX(Liste_Handelsünger[Handelsdünger],_xlfn.AGGREGATE(15,6,(ROW(Liste_Handelsünger[Handelsdünger])-1)/(--(SEARCH(BJ$2,Liste_Handelsünger[Handelsdünger])&gt;0)),ROW()-2),1),"")</f>
        <v>Piasan S 25/6</v>
      </c>
      <c r="BJ121" t="str">
        <f>IF(($A134=""),"",IF(COUNTIF(Mineral!$AJ$3:$AJ$324,$A134),"",$A134))</f>
        <v/>
      </c>
      <c r="BK121" t="str">
        <f>IFERROR(INDEX(Liste_Handelsünger[Handelsdünger],_xlfn.AGGREGATE(15,6,(ROW(Liste_Handelsünger[Handelsdünger])-1)/(--(SEARCH(BL$2,Liste_Handelsünger[Handelsdünger])&gt;0)),ROW()-2),1),"")</f>
        <v>Piasan S 25/6</v>
      </c>
      <c r="BM121" t="str">
        <f>IFERROR(INDEX(Liste_Handelsünger[Handelsdünger],_xlfn.AGGREGATE(15,6,(ROW(Liste_Handelsünger[Handelsdünger])-1)/(--(SEARCH(BN$2,Liste_Handelsünger[Handelsdünger])&gt;0)),ROW()-2),1),"")</f>
        <v>Piasan S 25/6</v>
      </c>
      <c r="BN121" t="str">
        <f>IF(($A136=""),"",IF(COUNTIF(Mineral!$AJ$3:$AJ$324,$A136),"",$A136))</f>
        <v/>
      </c>
      <c r="BV121" t="s">
        <v>2242</v>
      </c>
      <c r="BW121" t="s">
        <v>2248</v>
      </c>
    </row>
    <row r="122" spans="18:75" ht="14.25" thickTop="1" thickBot="1">
      <c r="S122" s="1676">
        <v>121</v>
      </c>
      <c r="T122" s="1606" t="s">
        <v>2335</v>
      </c>
      <c r="U122" s="1606" t="s">
        <v>2245</v>
      </c>
      <c r="V122" s="1606"/>
      <c r="W122" s="1606">
        <v>11</v>
      </c>
      <c r="X122" s="1606">
        <v>12</v>
      </c>
      <c r="Y122" s="1606">
        <v>38</v>
      </c>
      <c r="Z122" s="1606">
        <v>16</v>
      </c>
      <c r="AA122" s="1606">
        <v>0</v>
      </c>
      <c r="AB122" s="1606">
        <v>0.15</v>
      </c>
      <c r="AC122" s="1606">
        <v>1</v>
      </c>
      <c r="AD122" s="1613">
        <v>1</v>
      </c>
      <c r="AE122" s="1606" t="s">
        <v>2016</v>
      </c>
      <c r="AF122" s="1613" t="str">
        <f t="shared" si="15"/>
        <v/>
      </c>
      <c r="AG122" s="1656">
        <f>IFERROR(IF($AF122&gt;0,VLOOKUP($U122,Tabelle1!$C$188:$L$212,5,0)*$AF122,0),0)</f>
        <v>0</v>
      </c>
      <c r="AH122" s="1656">
        <f t="shared" si="16"/>
        <v>0</v>
      </c>
      <c r="AJ122" t="str">
        <f>IF(Betrieb!$D$9="JA",Mineral!$BW122,Mineral!$BV122)</f>
        <v>Plonvit Kali</v>
      </c>
      <c r="AK122" s="1672" t="str">
        <f>IFERROR(INDEX(Liste_Handelsünger[Handelsdünger],_xlfn.AGGREGATE(15,6,(ROW(Liste_Handelsünger[Handelsdünger])-1)/(--(SEARCH(AL$2,Liste_Handelsünger[Handelsdünger])&gt;0)),ROW()-2),1),"")</f>
        <v>Plonvit Kali</v>
      </c>
      <c r="AL122" s="1672" t="str">
        <f>IF(($A$3=""),"",IF(COUNTIF(Mineral!$AJ$3:$AJ$324,$A$3),"",$A$3))</f>
        <v/>
      </c>
      <c r="AM122" s="1672" t="str">
        <f>IFERROR(INDEX(Liste_Handelsünger[Handelsdünger],_xlfn.AGGREGATE(15,6,(ROW(Liste_Handelsünger[Handelsdünger])-1)/(--(SEARCH(AN$2,Liste_Handelsünger[Handelsdünger])&gt;0)),ROW()-2),1),"")</f>
        <v>Plonvit Kali</v>
      </c>
      <c r="AN122" t="str">
        <f>IF(($A124=""),"",IF(COUNTIF(Mineral!$AJ$3:$AJ$324,$A124),"",$A124))</f>
        <v/>
      </c>
      <c r="AO122" t="str">
        <f>IFERROR(INDEX(Liste_Handelsünger[Handelsdünger],_xlfn.AGGREGATE(15,6,(ROW(Liste_Handelsünger[Handelsdünger])-1)/(--(SEARCH(AP$2,Liste_Handelsünger[Handelsdünger])&gt;0)),ROW()-2),1),"")</f>
        <v>Plonvit Kali</v>
      </c>
      <c r="AP122" t="str">
        <f>IF(($A125=""),"",IF(COUNTIF(Mineral!$AJ$3:$AJ$324,$A125),"",$A125))</f>
        <v/>
      </c>
      <c r="AQ122" t="str">
        <f>IFERROR(INDEX(Liste_Handelsünger[Handelsdünger],_xlfn.AGGREGATE(15,6,(ROW(Liste_Handelsünger[Handelsdünger])-1)/(--(SEARCH(AR$2,Liste_Handelsünger[Handelsdünger])&gt;0)),ROW()-2),1),"")</f>
        <v>Plonvit Kali</v>
      </c>
      <c r="AR122" t="str">
        <f>IF(($A126=""),"",IF(COUNTIF(Mineral!$AJ$3:$AJ$324,$A126),"",$A126))</f>
        <v/>
      </c>
      <c r="AS122" t="str">
        <f>IFERROR(INDEX(Liste_Handelsünger[Handelsdünger],_xlfn.AGGREGATE(15,6,(ROW(Liste_Handelsünger[Handelsdünger])-1)/(--(SEARCH(AT$2,Liste_Handelsünger[Handelsdünger])&gt;0)),ROW()-2),1),"")</f>
        <v>Plonvit Kali</v>
      </c>
      <c r="AT122" t="str">
        <f>IF(($A127=""),"",IF(COUNTIF(Mineral!$AJ$3:$AJ$324,$A127),"",$A127))</f>
        <v/>
      </c>
      <c r="AU122" t="str">
        <f>IFERROR(INDEX(Liste_Handelsünger[Handelsdünger],_xlfn.AGGREGATE(15,6,(ROW(Liste_Handelsünger[Handelsdünger])-1)/(--(SEARCH(AV$2,Liste_Handelsünger[Handelsdünger])&gt;0)),ROW()-2),1),"")</f>
        <v>Plonvit Kali</v>
      </c>
      <c r="AV122" t="str">
        <f>IF(($A128=""),"",IF(COUNTIF(Mineral!$AJ$3:$AJ$324,$A128),"",$A128))</f>
        <v/>
      </c>
      <c r="AW122" t="str">
        <f>IFERROR(INDEX(Liste_Handelsünger[Handelsdünger],_xlfn.AGGREGATE(15,6,(ROW(Liste_Handelsünger[Handelsdünger])-1)/(--(SEARCH(AX$2,Liste_Handelsünger[Handelsdünger])&gt;0)),ROW()-2),1),"")</f>
        <v>Plonvit Kali</v>
      </c>
      <c r="AX122" t="str">
        <f>IF(($A129=""),"",IF(COUNTIF(Mineral!$AJ$3:$AJ$324,$A129),"",$A129))</f>
        <v/>
      </c>
      <c r="AY122" t="str">
        <f>IFERROR(INDEX(Liste_Handelsünger[Handelsdünger],_xlfn.AGGREGATE(15,6,(ROW(Liste_Handelsünger[Handelsdünger])-1)/(--(SEARCH(AZ$2,Liste_Handelsünger[Handelsdünger])&gt;0)),ROW()-2),1),"")</f>
        <v>Plonvit Kali</v>
      </c>
      <c r="AZ122" t="str">
        <f>IF(($A130=""),"",IF(COUNTIF(Mineral!$AJ$3:$AJ$324,$A130),"",$A130))</f>
        <v/>
      </c>
      <c r="BA122" t="str">
        <f>IFERROR(INDEX(Liste_Handelsünger[Handelsdünger],_xlfn.AGGREGATE(15,6,(ROW(Liste_Handelsünger[Handelsdünger])-1)/(--(SEARCH(BB$2,Liste_Handelsünger[Handelsdünger])&gt;0)),ROW()-2),1),"")</f>
        <v>Plonvit Kali</v>
      </c>
      <c r="BB122" t="str">
        <f>IF(($A131=""),"",IF(COUNTIF(Mineral!$AJ$3:$AJ$324,$A131),"",$A131))</f>
        <v/>
      </c>
      <c r="BC122" t="str">
        <f>IFERROR(INDEX(Liste_Handelsünger[Handelsdünger],_xlfn.AGGREGATE(15,6,(ROW(Liste_Handelsünger[Handelsdünger])-1)/(--(SEARCH(BD$2,Liste_Handelsünger[Handelsdünger])&gt;0)),ROW()-2),1),"")</f>
        <v>Plonvit Kali</v>
      </c>
      <c r="BD122" t="str">
        <f>IF(($A132=""),"",IF(COUNTIF(Mineral!$AJ$3:$AJ$324,$A132),"",$A132))</f>
        <v/>
      </c>
      <c r="BE122" t="str">
        <f>IFERROR(INDEX(Liste_Handelsünger[Handelsdünger],_xlfn.AGGREGATE(15,6,(ROW(Liste_Handelsünger[Handelsdünger])-1)/(--(SEARCH(BF$2,Liste_Handelsünger[Handelsdünger])&gt;0)),ROW()-2),1),"")</f>
        <v>Plonvit Kali</v>
      </c>
      <c r="BF122" t="str">
        <f>IF(($A133=""),"",IF(COUNTIF(Mineral!$AJ$3:$AJ$324,$A133),"",$A133))</f>
        <v/>
      </c>
      <c r="BG122" t="str">
        <f>IFERROR(INDEX(Liste_Handelsünger[Handelsdünger],_xlfn.AGGREGATE(15,6,(ROW(Liste_Handelsünger[Handelsdünger])-1)/(--(SEARCH(BH$2,Liste_Handelsünger[Handelsdünger])&gt;0)),ROW()-2),1),"")</f>
        <v>Plonvit Kali</v>
      </c>
      <c r="BH122" t="str">
        <f>IF(($A134=""),"",IF(COUNTIF(Mineral!$AJ$3:$AJ$324,$A134),"",$A134))</f>
        <v/>
      </c>
      <c r="BI122" t="str">
        <f>IFERROR(INDEX(Liste_Handelsünger[Handelsdünger],_xlfn.AGGREGATE(15,6,(ROW(Liste_Handelsünger[Handelsdünger])-1)/(--(SEARCH(BJ$2,Liste_Handelsünger[Handelsdünger])&gt;0)),ROW()-2),1),"")</f>
        <v>Plonvit Kali</v>
      </c>
      <c r="BJ122" t="str">
        <f>IF(($A135=""),"",IF(COUNTIF(Mineral!$AJ$3:$AJ$324,$A135),"",$A135))</f>
        <v/>
      </c>
      <c r="BK122" t="str">
        <f>IFERROR(INDEX(Liste_Handelsünger[Handelsdünger],_xlfn.AGGREGATE(15,6,(ROW(Liste_Handelsünger[Handelsdünger])-1)/(--(SEARCH(BL$2,Liste_Handelsünger[Handelsdünger])&gt;0)),ROW()-2),1),"")</f>
        <v>Plonvit Kali</v>
      </c>
      <c r="BM122" t="str">
        <f>IFERROR(INDEX(Liste_Handelsünger[Handelsdünger],_xlfn.AGGREGATE(15,6,(ROW(Liste_Handelsünger[Handelsdünger])-1)/(--(SEARCH(BN$2,Liste_Handelsünger[Handelsdünger])&gt;0)),ROW()-2),1),"")</f>
        <v>Plonvit Kali</v>
      </c>
      <c r="BN122" t="str">
        <f>IF(($A137=""),"",IF(COUNTIF(Mineral!$AJ$3:$AJ$324,$A137),"",$A137))</f>
        <v/>
      </c>
      <c r="BV122" t="s">
        <v>2245</v>
      </c>
      <c r="BW122" t="s">
        <v>2249</v>
      </c>
    </row>
    <row r="123" spans="18:75" ht="14.25" thickTop="1" thickBot="1">
      <c r="S123" s="1616">
        <v>122</v>
      </c>
      <c r="T123" s="1617" t="s">
        <v>2335</v>
      </c>
      <c r="U123" s="1617" t="s">
        <v>2246</v>
      </c>
      <c r="V123" s="1617"/>
      <c r="W123" s="1617">
        <v>31</v>
      </c>
      <c r="X123" s="1617">
        <v>12</v>
      </c>
      <c r="Y123" s="1617">
        <v>10</v>
      </c>
      <c r="Z123" s="1617">
        <v>18</v>
      </c>
      <c r="AA123" s="1617">
        <v>0</v>
      </c>
      <c r="AB123" s="1617">
        <v>0.15</v>
      </c>
      <c r="AC123" s="1617">
        <v>1</v>
      </c>
      <c r="AD123" s="1613">
        <v>1</v>
      </c>
      <c r="AE123" s="1617" t="s">
        <v>2016</v>
      </c>
      <c r="AF123" s="1613" t="str">
        <f t="shared" si="15"/>
        <v/>
      </c>
      <c r="AG123" s="1656">
        <f>IFERROR(IF($AF123&gt;0,VLOOKUP($U123,Tabelle1!$C$188:$L$212,5,0)*$AF123,0),0)</f>
        <v>0</v>
      </c>
      <c r="AH123" s="1656">
        <f t="shared" si="16"/>
        <v>0</v>
      </c>
      <c r="AJ123" t="str">
        <f>IF(Betrieb!$D$9="JA",Mineral!$BW123,Mineral!$BV123)</f>
        <v>Plonvit nitro</v>
      </c>
      <c r="AK123" s="1672" t="str">
        <f>IFERROR(INDEX(Liste_Handelsünger[Handelsdünger],_xlfn.AGGREGATE(15,6,(ROW(Liste_Handelsünger[Handelsdünger])-1)/(--(SEARCH(AL$2,Liste_Handelsünger[Handelsdünger])&gt;0)),ROW()-2),1),"")</f>
        <v>Plonvit nitro</v>
      </c>
      <c r="AL123" s="1672" t="str">
        <f>IF(($A$3=""),"",IF(COUNTIF(Mineral!$AJ$3:$AJ$324,$A$3),"",$A$3))</f>
        <v/>
      </c>
      <c r="AM123" s="1672" t="str">
        <f>IFERROR(INDEX(Liste_Handelsünger[Handelsdünger],_xlfn.AGGREGATE(15,6,(ROW(Liste_Handelsünger[Handelsdünger])-1)/(--(SEARCH(AN$2,Liste_Handelsünger[Handelsdünger])&gt;0)),ROW()-2),1),"")</f>
        <v>Plonvit nitro</v>
      </c>
      <c r="AN123" t="str">
        <f>IF(($A125=""),"",IF(COUNTIF(Mineral!$AJ$3:$AJ$324,$A125),"",$A125))</f>
        <v/>
      </c>
      <c r="AO123" t="str">
        <f>IFERROR(INDEX(Liste_Handelsünger[Handelsdünger],_xlfn.AGGREGATE(15,6,(ROW(Liste_Handelsünger[Handelsdünger])-1)/(--(SEARCH(AP$2,Liste_Handelsünger[Handelsdünger])&gt;0)),ROW()-2),1),"")</f>
        <v>Plonvit nitro</v>
      </c>
      <c r="AP123" t="str">
        <f>IF(($A126=""),"",IF(COUNTIF(Mineral!$AJ$3:$AJ$324,$A126),"",$A126))</f>
        <v/>
      </c>
      <c r="AQ123" t="str">
        <f>IFERROR(INDEX(Liste_Handelsünger[Handelsdünger],_xlfn.AGGREGATE(15,6,(ROW(Liste_Handelsünger[Handelsdünger])-1)/(--(SEARCH(AR$2,Liste_Handelsünger[Handelsdünger])&gt;0)),ROW()-2),1),"")</f>
        <v>Plonvit nitro</v>
      </c>
      <c r="AR123" t="str">
        <f>IF(($A127=""),"",IF(COUNTIF(Mineral!$AJ$3:$AJ$324,$A127),"",$A127))</f>
        <v/>
      </c>
      <c r="AS123" t="str">
        <f>IFERROR(INDEX(Liste_Handelsünger[Handelsdünger],_xlfn.AGGREGATE(15,6,(ROW(Liste_Handelsünger[Handelsdünger])-1)/(--(SEARCH(AT$2,Liste_Handelsünger[Handelsdünger])&gt;0)),ROW()-2),1),"")</f>
        <v>Plonvit nitro</v>
      </c>
      <c r="AT123" t="str">
        <f>IF(($A128=""),"",IF(COUNTIF(Mineral!$AJ$3:$AJ$324,$A128),"",$A128))</f>
        <v/>
      </c>
      <c r="AU123" t="str">
        <f>IFERROR(INDEX(Liste_Handelsünger[Handelsdünger],_xlfn.AGGREGATE(15,6,(ROW(Liste_Handelsünger[Handelsdünger])-1)/(--(SEARCH(AV$2,Liste_Handelsünger[Handelsdünger])&gt;0)),ROW()-2),1),"")</f>
        <v>Plonvit nitro</v>
      </c>
      <c r="AV123" t="str">
        <f>IF(($A129=""),"",IF(COUNTIF(Mineral!$AJ$3:$AJ$324,$A129),"",$A129))</f>
        <v/>
      </c>
      <c r="AW123" t="str">
        <f>IFERROR(INDEX(Liste_Handelsünger[Handelsdünger],_xlfn.AGGREGATE(15,6,(ROW(Liste_Handelsünger[Handelsdünger])-1)/(--(SEARCH(AX$2,Liste_Handelsünger[Handelsdünger])&gt;0)),ROW()-2),1),"")</f>
        <v>Plonvit nitro</v>
      </c>
      <c r="AX123" t="str">
        <f>IF(($A130=""),"",IF(COUNTIF(Mineral!$AJ$3:$AJ$324,$A130),"",$A130))</f>
        <v/>
      </c>
      <c r="AY123" t="str">
        <f>IFERROR(INDEX(Liste_Handelsünger[Handelsdünger],_xlfn.AGGREGATE(15,6,(ROW(Liste_Handelsünger[Handelsdünger])-1)/(--(SEARCH(AZ$2,Liste_Handelsünger[Handelsdünger])&gt;0)),ROW()-2),1),"")</f>
        <v>Plonvit nitro</v>
      </c>
      <c r="AZ123" t="str">
        <f>IF(($A131=""),"",IF(COUNTIF(Mineral!$AJ$3:$AJ$324,$A131),"",$A131))</f>
        <v/>
      </c>
      <c r="BA123" t="str">
        <f>IFERROR(INDEX(Liste_Handelsünger[Handelsdünger],_xlfn.AGGREGATE(15,6,(ROW(Liste_Handelsünger[Handelsdünger])-1)/(--(SEARCH(BB$2,Liste_Handelsünger[Handelsdünger])&gt;0)),ROW()-2),1),"")</f>
        <v>Plonvit nitro</v>
      </c>
      <c r="BB123" t="str">
        <f>IF(($A132=""),"",IF(COUNTIF(Mineral!$AJ$3:$AJ$324,$A132),"",$A132))</f>
        <v/>
      </c>
      <c r="BC123" t="str">
        <f>IFERROR(INDEX(Liste_Handelsünger[Handelsdünger],_xlfn.AGGREGATE(15,6,(ROW(Liste_Handelsünger[Handelsdünger])-1)/(--(SEARCH(BD$2,Liste_Handelsünger[Handelsdünger])&gt;0)),ROW()-2),1),"")</f>
        <v>Plonvit nitro</v>
      </c>
      <c r="BD123" t="str">
        <f>IF(($A133=""),"",IF(COUNTIF(Mineral!$AJ$3:$AJ$324,$A133),"",$A133))</f>
        <v/>
      </c>
      <c r="BE123" t="str">
        <f>IFERROR(INDEX(Liste_Handelsünger[Handelsdünger],_xlfn.AGGREGATE(15,6,(ROW(Liste_Handelsünger[Handelsdünger])-1)/(--(SEARCH(BF$2,Liste_Handelsünger[Handelsdünger])&gt;0)),ROW()-2),1),"")</f>
        <v>Plonvit nitro</v>
      </c>
      <c r="BF123" t="str">
        <f>IF(($A134=""),"",IF(COUNTIF(Mineral!$AJ$3:$AJ$324,$A134),"",$A134))</f>
        <v/>
      </c>
      <c r="BG123" t="str">
        <f>IFERROR(INDEX(Liste_Handelsünger[Handelsdünger],_xlfn.AGGREGATE(15,6,(ROW(Liste_Handelsünger[Handelsdünger])-1)/(--(SEARCH(BH$2,Liste_Handelsünger[Handelsdünger])&gt;0)),ROW()-2),1),"")</f>
        <v>Plonvit nitro</v>
      </c>
      <c r="BH123" t="str">
        <f>IF(($A135=""),"",IF(COUNTIF(Mineral!$AJ$3:$AJ$324,$A135),"",$A135))</f>
        <v/>
      </c>
      <c r="BI123" t="str">
        <f>IFERROR(INDEX(Liste_Handelsünger[Handelsdünger],_xlfn.AGGREGATE(15,6,(ROW(Liste_Handelsünger[Handelsdünger])-1)/(--(SEARCH(BJ$2,Liste_Handelsünger[Handelsdünger])&gt;0)),ROW()-2),1),"")</f>
        <v>Plonvit nitro</v>
      </c>
      <c r="BJ123" t="str">
        <f>IF(($A136=""),"",IF(COUNTIF(Mineral!$AJ$3:$AJ$324,$A136),"",$A136))</f>
        <v/>
      </c>
      <c r="BK123" t="str">
        <f>IFERROR(INDEX(Liste_Handelsünger[Handelsdünger],_xlfn.AGGREGATE(15,6,(ROW(Liste_Handelsünger[Handelsdünger])-1)/(--(SEARCH(BL$2,Liste_Handelsünger[Handelsdünger])&gt;0)),ROW()-2),1),"")</f>
        <v>Plonvit nitro</v>
      </c>
      <c r="BM123" t="str">
        <f>IFERROR(INDEX(Liste_Handelsünger[Handelsdünger],_xlfn.AGGREGATE(15,6,(ROW(Liste_Handelsünger[Handelsdünger])-1)/(--(SEARCH(BN$2,Liste_Handelsünger[Handelsdünger])&gt;0)),ROW()-2),1),"")</f>
        <v>Plonvit nitro</v>
      </c>
      <c r="BN123" t="str">
        <f>IF(($A138=""),"",IF(COUNTIF(Mineral!$AJ$3:$AJ$324,$A138),"",$A138))</f>
        <v/>
      </c>
      <c r="BV123" t="s">
        <v>2246</v>
      </c>
      <c r="BW123" t="s">
        <v>2250</v>
      </c>
    </row>
    <row r="124" spans="18:75" ht="14.25" thickTop="1" thickBot="1">
      <c r="S124" s="1676">
        <v>123</v>
      </c>
      <c r="T124" s="1606" t="s">
        <v>2335</v>
      </c>
      <c r="U124" s="1606" t="s">
        <v>2247</v>
      </c>
      <c r="V124" s="1606"/>
      <c r="W124" s="1606">
        <v>11</v>
      </c>
      <c r="X124" s="1606">
        <v>53</v>
      </c>
      <c r="Y124" s="1606">
        <v>5</v>
      </c>
      <c r="Z124" s="1606">
        <v>10</v>
      </c>
      <c r="AA124" s="1606">
        <v>0</v>
      </c>
      <c r="AB124" s="1606">
        <v>0.15</v>
      </c>
      <c r="AC124" s="1606">
        <v>1</v>
      </c>
      <c r="AD124" s="1613">
        <v>1</v>
      </c>
      <c r="AE124" s="1606" t="s">
        <v>2016</v>
      </c>
      <c r="AF124" s="1613" t="str">
        <f t="shared" si="15"/>
        <v/>
      </c>
      <c r="AG124" s="1656">
        <f>IFERROR(IF($AF124&gt;0,VLOOKUP($U124,Tabelle1!$C$188:$L$212,5,0)*$AF124,0),0)</f>
        <v>0</v>
      </c>
      <c r="AH124" s="1656">
        <f t="shared" si="16"/>
        <v>0</v>
      </c>
      <c r="AJ124" t="str">
        <f>IF(Betrieb!$D$9="JA",Mineral!$BW124,Mineral!$BV124)</f>
        <v>Plonvit Phospho</v>
      </c>
      <c r="AK124" s="1672" t="str">
        <f>IFERROR(INDEX(Liste_Handelsünger[Handelsdünger],_xlfn.AGGREGATE(15,6,(ROW(Liste_Handelsünger[Handelsdünger])-1)/(--(SEARCH(AL$2,Liste_Handelsünger[Handelsdünger])&gt;0)),ROW()-2),1),"")</f>
        <v>Plonvit Phospho</v>
      </c>
      <c r="AL124" s="1672" t="str">
        <f>IF(($A$3=""),"",IF(COUNTIF(Mineral!$AJ$3:$AJ$324,$A$3),"",$A$3))</f>
        <v/>
      </c>
      <c r="AM124" s="1672" t="str">
        <f>IFERROR(INDEX(Liste_Handelsünger[Handelsdünger],_xlfn.AGGREGATE(15,6,(ROW(Liste_Handelsünger[Handelsdünger])-1)/(--(SEARCH(AN$2,Liste_Handelsünger[Handelsdünger])&gt;0)),ROW()-2),1),"")</f>
        <v>Plonvit Phospho</v>
      </c>
      <c r="AN124" t="str">
        <f>IF(($A126=""),"",IF(COUNTIF(Mineral!$AJ$3:$AJ$324,$A126),"",$A126))</f>
        <v/>
      </c>
      <c r="AO124" t="str">
        <f>IFERROR(INDEX(Liste_Handelsünger[Handelsdünger],_xlfn.AGGREGATE(15,6,(ROW(Liste_Handelsünger[Handelsdünger])-1)/(--(SEARCH(AP$2,Liste_Handelsünger[Handelsdünger])&gt;0)),ROW()-2),1),"")</f>
        <v>Plonvit Phospho</v>
      </c>
      <c r="AP124" t="str">
        <f>IF(($A127=""),"",IF(COUNTIF(Mineral!$AJ$3:$AJ$324,$A127),"",$A127))</f>
        <v/>
      </c>
      <c r="AQ124" t="str">
        <f>IFERROR(INDEX(Liste_Handelsünger[Handelsdünger],_xlfn.AGGREGATE(15,6,(ROW(Liste_Handelsünger[Handelsdünger])-1)/(--(SEARCH(AR$2,Liste_Handelsünger[Handelsdünger])&gt;0)),ROW()-2),1),"")</f>
        <v>Plonvit Phospho</v>
      </c>
      <c r="AR124" t="str">
        <f>IF(($A128=""),"",IF(COUNTIF(Mineral!$AJ$3:$AJ$324,$A128),"",$A128))</f>
        <v/>
      </c>
      <c r="AS124" t="str">
        <f>IFERROR(INDEX(Liste_Handelsünger[Handelsdünger],_xlfn.AGGREGATE(15,6,(ROW(Liste_Handelsünger[Handelsdünger])-1)/(--(SEARCH(AT$2,Liste_Handelsünger[Handelsdünger])&gt;0)),ROW()-2),1),"")</f>
        <v>Plonvit Phospho</v>
      </c>
      <c r="AT124" t="str">
        <f>IF(($A129=""),"",IF(COUNTIF(Mineral!$AJ$3:$AJ$324,$A129),"",$A129))</f>
        <v/>
      </c>
      <c r="AU124" t="str">
        <f>IFERROR(INDEX(Liste_Handelsünger[Handelsdünger],_xlfn.AGGREGATE(15,6,(ROW(Liste_Handelsünger[Handelsdünger])-1)/(--(SEARCH(AV$2,Liste_Handelsünger[Handelsdünger])&gt;0)),ROW()-2),1),"")</f>
        <v>Plonvit Phospho</v>
      </c>
      <c r="AV124" t="str">
        <f>IF(($A130=""),"",IF(COUNTIF(Mineral!$AJ$3:$AJ$324,$A130),"",$A130))</f>
        <v/>
      </c>
      <c r="AW124" t="str">
        <f>IFERROR(INDEX(Liste_Handelsünger[Handelsdünger],_xlfn.AGGREGATE(15,6,(ROW(Liste_Handelsünger[Handelsdünger])-1)/(--(SEARCH(AX$2,Liste_Handelsünger[Handelsdünger])&gt;0)),ROW()-2),1),"")</f>
        <v>Plonvit Phospho</v>
      </c>
      <c r="AX124" t="str">
        <f>IF(($A131=""),"",IF(COUNTIF(Mineral!$AJ$3:$AJ$324,$A131),"",$A131))</f>
        <v/>
      </c>
      <c r="AY124" t="str">
        <f>IFERROR(INDEX(Liste_Handelsünger[Handelsdünger],_xlfn.AGGREGATE(15,6,(ROW(Liste_Handelsünger[Handelsdünger])-1)/(--(SEARCH(AZ$2,Liste_Handelsünger[Handelsdünger])&gt;0)),ROW()-2),1),"")</f>
        <v>Plonvit Phospho</v>
      </c>
      <c r="AZ124" t="str">
        <f>IF(($A132=""),"",IF(COUNTIF(Mineral!$AJ$3:$AJ$324,$A132),"",$A132))</f>
        <v/>
      </c>
      <c r="BA124" t="str">
        <f>IFERROR(INDEX(Liste_Handelsünger[Handelsdünger],_xlfn.AGGREGATE(15,6,(ROW(Liste_Handelsünger[Handelsdünger])-1)/(--(SEARCH(BB$2,Liste_Handelsünger[Handelsdünger])&gt;0)),ROW()-2),1),"")</f>
        <v>Plonvit Phospho</v>
      </c>
      <c r="BB124" t="str">
        <f>IF(($A133=""),"",IF(COUNTIF(Mineral!$AJ$3:$AJ$324,$A133),"",$A133))</f>
        <v/>
      </c>
      <c r="BC124" t="str">
        <f>IFERROR(INDEX(Liste_Handelsünger[Handelsdünger],_xlfn.AGGREGATE(15,6,(ROW(Liste_Handelsünger[Handelsdünger])-1)/(--(SEARCH(BD$2,Liste_Handelsünger[Handelsdünger])&gt;0)),ROW()-2),1),"")</f>
        <v>Plonvit Phospho</v>
      </c>
      <c r="BD124" t="str">
        <f>IF(($A134=""),"",IF(COUNTIF(Mineral!$AJ$3:$AJ$324,$A134),"",$A134))</f>
        <v/>
      </c>
      <c r="BE124" t="str">
        <f>IFERROR(INDEX(Liste_Handelsünger[Handelsdünger],_xlfn.AGGREGATE(15,6,(ROW(Liste_Handelsünger[Handelsdünger])-1)/(--(SEARCH(BF$2,Liste_Handelsünger[Handelsdünger])&gt;0)),ROW()-2),1),"")</f>
        <v>Plonvit Phospho</v>
      </c>
      <c r="BF124" t="str">
        <f>IF(($A135=""),"",IF(COUNTIF(Mineral!$AJ$3:$AJ$324,$A135),"",$A135))</f>
        <v/>
      </c>
      <c r="BG124" t="str">
        <f>IFERROR(INDEX(Liste_Handelsünger[Handelsdünger],_xlfn.AGGREGATE(15,6,(ROW(Liste_Handelsünger[Handelsdünger])-1)/(--(SEARCH(BH$2,Liste_Handelsünger[Handelsdünger])&gt;0)),ROW()-2),1),"")</f>
        <v>Plonvit Phospho</v>
      </c>
      <c r="BH124" t="str">
        <f>IF(($A136=""),"",IF(COUNTIF(Mineral!$AJ$3:$AJ$324,$A136),"",$A136))</f>
        <v/>
      </c>
      <c r="BI124" t="str">
        <f>IFERROR(INDEX(Liste_Handelsünger[Handelsdünger],_xlfn.AGGREGATE(15,6,(ROW(Liste_Handelsünger[Handelsdünger])-1)/(--(SEARCH(BJ$2,Liste_Handelsünger[Handelsdünger])&gt;0)),ROW()-2),1),"")</f>
        <v>Plonvit Phospho</v>
      </c>
      <c r="BJ124" t="str">
        <f>IF(($A137=""),"",IF(COUNTIF(Mineral!$AJ$3:$AJ$324,$A137),"",$A137))</f>
        <v/>
      </c>
      <c r="BK124" t="str">
        <f>IFERROR(INDEX(Liste_Handelsünger[Handelsdünger],_xlfn.AGGREGATE(15,6,(ROW(Liste_Handelsünger[Handelsdünger])-1)/(--(SEARCH(BL$2,Liste_Handelsünger[Handelsdünger])&gt;0)),ROW()-2),1),"")</f>
        <v>Plonvit Phospho</v>
      </c>
      <c r="BM124" t="str">
        <f>IFERROR(INDEX(Liste_Handelsünger[Handelsdünger],_xlfn.AGGREGATE(15,6,(ROW(Liste_Handelsünger[Handelsdünger])-1)/(--(SEARCH(BN$2,Liste_Handelsünger[Handelsdünger])&gt;0)),ROW()-2),1),"")</f>
        <v>Plonvit Phospho</v>
      </c>
      <c r="BN124" t="str">
        <f>IF(($A139=""),"",IF(COUNTIF(Mineral!$AJ$3:$AJ$324,$A139),"",$A139))</f>
        <v/>
      </c>
      <c r="BV124" t="s">
        <v>2247</v>
      </c>
      <c r="BW124" t="s">
        <v>2251</v>
      </c>
    </row>
    <row r="125" spans="18:75" ht="14.25" thickTop="1" thickBot="1">
      <c r="S125" s="1616">
        <v>124</v>
      </c>
      <c r="T125" s="1617" t="s">
        <v>2335</v>
      </c>
      <c r="U125" s="1617" t="s">
        <v>2275</v>
      </c>
      <c r="V125" s="1617"/>
      <c r="W125" s="1617">
        <v>0</v>
      </c>
      <c r="X125" s="1617">
        <v>0</v>
      </c>
      <c r="Y125" s="1617">
        <v>0</v>
      </c>
      <c r="Z125" s="1617">
        <v>0</v>
      </c>
      <c r="AA125" s="1617">
        <v>0</v>
      </c>
      <c r="AB125" s="1617">
        <v>0</v>
      </c>
      <c r="AC125" s="1617">
        <v>1</v>
      </c>
      <c r="AD125" s="1613">
        <v>1</v>
      </c>
      <c r="AE125" s="1617" t="s">
        <v>1764</v>
      </c>
      <c r="AF125" s="1613" t="str">
        <f t="shared" si="15"/>
        <v/>
      </c>
      <c r="AG125" s="1656">
        <f>IFERROR(IF($AF125&gt;0,VLOOKUP($U125,Tabelle1!$C$188:$L$212,5,0)*$AF125,0),0)</f>
        <v>0</v>
      </c>
      <c r="AH125" s="1656">
        <f t="shared" si="16"/>
        <v>0</v>
      </c>
      <c r="AJ125" t="str">
        <f>IF(Betrieb!$D$9="JA",Mineral!$BW125,Mineral!$BV125)</f>
        <v>Solubor</v>
      </c>
      <c r="AK125" s="1672" t="str">
        <f>IFERROR(INDEX(Liste_Handelsünger[Handelsdünger],_xlfn.AGGREGATE(15,6,(ROW(Liste_Handelsünger[Handelsdünger])-1)/(--(SEARCH(AL$2,Liste_Handelsünger[Handelsdünger])&gt;0)),ROW()-2),1),"")</f>
        <v>Solubor</v>
      </c>
      <c r="AL125" s="1672" t="str">
        <f>IF(($A$3=""),"",IF(COUNTIF(Mineral!$AJ$3:$AJ$324,$A$3),"",$A$3))</f>
        <v/>
      </c>
      <c r="AM125" s="1672" t="str">
        <f>IFERROR(INDEX(Liste_Handelsünger[Handelsdünger],_xlfn.AGGREGATE(15,6,(ROW(Liste_Handelsünger[Handelsdünger])-1)/(--(SEARCH(AN$2,Liste_Handelsünger[Handelsdünger])&gt;0)),ROW()-2),1),"")</f>
        <v>Solubor</v>
      </c>
      <c r="AN125" t="str">
        <f>IF(($A127=""),"",IF(COUNTIF(Mineral!$AJ$3:$AJ$324,$A127),"",$A127))</f>
        <v/>
      </c>
      <c r="AO125" t="str">
        <f>IFERROR(INDEX(Liste_Handelsünger[Handelsdünger],_xlfn.AGGREGATE(15,6,(ROW(Liste_Handelsünger[Handelsdünger])-1)/(--(SEARCH(AP$2,Liste_Handelsünger[Handelsdünger])&gt;0)),ROW()-2),1),"")</f>
        <v>Solubor</v>
      </c>
      <c r="AP125" t="str">
        <f>IF(($A128=""),"",IF(COUNTIF(Mineral!$AJ$3:$AJ$324,$A128),"",$A128))</f>
        <v/>
      </c>
      <c r="AQ125" t="str">
        <f>IFERROR(INDEX(Liste_Handelsünger[Handelsdünger],_xlfn.AGGREGATE(15,6,(ROW(Liste_Handelsünger[Handelsdünger])-1)/(--(SEARCH(AR$2,Liste_Handelsünger[Handelsdünger])&gt;0)),ROW()-2),1),"")</f>
        <v>Solubor</v>
      </c>
      <c r="AR125" t="str">
        <f>IF(($A129=""),"",IF(COUNTIF(Mineral!$AJ$3:$AJ$324,$A129),"",$A129))</f>
        <v/>
      </c>
      <c r="AS125" t="str">
        <f>IFERROR(INDEX(Liste_Handelsünger[Handelsdünger],_xlfn.AGGREGATE(15,6,(ROW(Liste_Handelsünger[Handelsdünger])-1)/(--(SEARCH(AT$2,Liste_Handelsünger[Handelsdünger])&gt;0)),ROW()-2),1),"")</f>
        <v>Solubor</v>
      </c>
      <c r="AT125" t="str">
        <f>IF(($A130=""),"",IF(COUNTIF(Mineral!$AJ$3:$AJ$324,$A130),"",$A130))</f>
        <v/>
      </c>
      <c r="AU125" t="str">
        <f>IFERROR(INDEX(Liste_Handelsünger[Handelsdünger],_xlfn.AGGREGATE(15,6,(ROW(Liste_Handelsünger[Handelsdünger])-1)/(--(SEARCH(AV$2,Liste_Handelsünger[Handelsdünger])&gt;0)),ROW()-2),1),"")</f>
        <v>Solubor</v>
      </c>
      <c r="AV125" t="str">
        <f>IF(($A131=""),"",IF(COUNTIF(Mineral!$AJ$3:$AJ$324,$A131),"",$A131))</f>
        <v/>
      </c>
      <c r="AW125" t="str">
        <f>IFERROR(INDEX(Liste_Handelsünger[Handelsdünger],_xlfn.AGGREGATE(15,6,(ROW(Liste_Handelsünger[Handelsdünger])-1)/(--(SEARCH(AX$2,Liste_Handelsünger[Handelsdünger])&gt;0)),ROW()-2),1),"")</f>
        <v>Solubor</v>
      </c>
      <c r="AX125" t="str">
        <f>IF(($A132=""),"",IF(COUNTIF(Mineral!$AJ$3:$AJ$324,$A132),"",$A132))</f>
        <v/>
      </c>
      <c r="AY125" t="str">
        <f>IFERROR(INDEX(Liste_Handelsünger[Handelsdünger],_xlfn.AGGREGATE(15,6,(ROW(Liste_Handelsünger[Handelsdünger])-1)/(--(SEARCH(AZ$2,Liste_Handelsünger[Handelsdünger])&gt;0)),ROW()-2),1),"")</f>
        <v>Solubor</v>
      </c>
      <c r="AZ125" t="str">
        <f>IF(($A133=""),"",IF(COUNTIF(Mineral!$AJ$3:$AJ$324,$A133),"",$A133))</f>
        <v/>
      </c>
      <c r="BA125" t="str">
        <f>IFERROR(INDEX(Liste_Handelsünger[Handelsdünger],_xlfn.AGGREGATE(15,6,(ROW(Liste_Handelsünger[Handelsdünger])-1)/(--(SEARCH(BB$2,Liste_Handelsünger[Handelsdünger])&gt;0)),ROW()-2),1),"")</f>
        <v>Solubor</v>
      </c>
      <c r="BB125" t="str">
        <f>IF(($A134=""),"",IF(COUNTIF(Mineral!$AJ$3:$AJ$324,$A134),"",$A134))</f>
        <v/>
      </c>
      <c r="BC125" t="str">
        <f>IFERROR(INDEX(Liste_Handelsünger[Handelsdünger],_xlfn.AGGREGATE(15,6,(ROW(Liste_Handelsünger[Handelsdünger])-1)/(--(SEARCH(BD$2,Liste_Handelsünger[Handelsdünger])&gt;0)),ROW()-2),1),"")</f>
        <v>Solubor</v>
      </c>
      <c r="BD125" t="str">
        <f>IF(($A135=""),"",IF(COUNTIF(Mineral!$AJ$3:$AJ$324,$A135),"",$A135))</f>
        <v/>
      </c>
      <c r="BE125" t="str">
        <f>IFERROR(INDEX(Liste_Handelsünger[Handelsdünger],_xlfn.AGGREGATE(15,6,(ROW(Liste_Handelsünger[Handelsdünger])-1)/(--(SEARCH(BF$2,Liste_Handelsünger[Handelsdünger])&gt;0)),ROW()-2),1),"")</f>
        <v>Solubor</v>
      </c>
      <c r="BF125" t="str">
        <f>IF(($A136=""),"",IF(COUNTIF(Mineral!$AJ$3:$AJ$324,$A136),"",$A136))</f>
        <v/>
      </c>
      <c r="BG125" t="str">
        <f>IFERROR(INDEX(Liste_Handelsünger[Handelsdünger],_xlfn.AGGREGATE(15,6,(ROW(Liste_Handelsünger[Handelsdünger])-1)/(--(SEARCH(BH$2,Liste_Handelsünger[Handelsdünger])&gt;0)),ROW()-2),1),"")</f>
        <v>Solubor</v>
      </c>
      <c r="BH125" t="str">
        <f>IF(($A137=""),"",IF(COUNTIF(Mineral!$AJ$3:$AJ$324,$A137),"",$A137))</f>
        <v/>
      </c>
      <c r="BI125" t="str">
        <f>IFERROR(INDEX(Liste_Handelsünger[Handelsdünger],_xlfn.AGGREGATE(15,6,(ROW(Liste_Handelsünger[Handelsdünger])-1)/(--(SEARCH(BJ$2,Liste_Handelsünger[Handelsdünger])&gt;0)),ROW()-2),1),"")</f>
        <v>Solubor</v>
      </c>
      <c r="BJ125" t="str">
        <f>IF(($A138=""),"",IF(COUNTIF(Mineral!$AJ$3:$AJ$324,$A138),"",$A138))</f>
        <v/>
      </c>
      <c r="BK125" t="str">
        <f>IFERROR(INDEX(Liste_Handelsünger[Handelsdünger],_xlfn.AGGREGATE(15,6,(ROW(Liste_Handelsünger[Handelsdünger])-1)/(--(SEARCH(BL$2,Liste_Handelsünger[Handelsdünger])&gt;0)),ROW()-2),1),"")</f>
        <v>Solubor</v>
      </c>
      <c r="BM125" t="str">
        <f>IFERROR(INDEX(Liste_Handelsünger[Handelsdünger],_xlfn.AGGREGATE(15,6,(ROW(Liste_Handelsünger[Handelsdünger])-1)/(--(SEARCH(BN$2,Liste_Handelsünger[Handelsdünger])&gt;0)),ROW()-2),1),"")</f>
        <v>Solubor</v>
      </c>
      <c r="BN125" t="str">
        <f>IF(($A140=""),"",IF(COUNTIF(Mineral!$AJ$3:$AJ$324,$A140),"",$A140))</f>
        <v/>
      </c>
      <c r="BV125" t="s">
        <v>2275</v>
      </c>
      <c r="BW125" t="s">
        <v>2252</v>
      </c>
    </row>
    <row r="126" spans="18:75" ht="14.25" thickTop="1" thickBot="1">
      <c r="S126" s="1676">
        <v>125</v>
      </c>
      <c r="T126" s="1606" t="s">
        <v>2335</v>
      </c>
      <c r="U126" s="1606" t="s">
        <v>2289</v>
      </c>
      <c r="V126" s="1606"/>
      <c r="W126" s="1606">
        <v>23</v>
      </c>
      <c r="X126" s="1606">
        <v>0</v>
      </c>
      <c r="Y126" s="1606">
        <v>0</v>
      </c>
      <c r="Z126" s="1606">
        <v>12</v>
      </c>
      <c r="AA126" s="1606">
        <v>3</v>
      </c>
      <c r="AB126" s="1606">
        <v>5</v>
      </c>
      <c r="AC126" s="1606">
        <v>1</v>
      </c>
      <c r="AD126" s="1613">
        <v>1</v>
      </c>
      <c r="AE126" s="1606" t="s">
        <v>2016</v>
      </c>
      <c r="AF126" s="1613" t="str">
        <f t="shared" si="15"/>
        <v/>
      </c>
      <c r="AG126" s="1656">
        <f>IFERROR(IF($AF126&gt;0,VLOOKUP($U126,Tabelle1!$C$188:$L$212,5,0)*$AF126,0),0)</f>
        <v>0</v>
      </c>
      <c r="AH126" s="1656">
        <f t="shared" si="16"/>
        <v>0</v>
      </c>
      <c r="AJ126" t="str">
        <f>IF(Betrieb!$D$9="JA",Mineral!$BW126,Mineral!$BV126)</f>
        <v>Sulfammo 23 N</v>
      </c>
      <c r="AK126" s="1672" t="str">
        <f>IFERROR(INDEX(Liste_Handelsünger[Handelsdünger],_xlfn.AGGREGATE(15,6,(ROW(Liste_Handelsünger[Handelsdünger])-1)/(--(SEARCH(AL$2,Liste_Handelsünger[Handelsdünger])&gt;0)),ROW()-2),1),"")</f>
        <v>Sulfammo 23 N</v>
      </c>
      <c r="AL126" s="1672" t="str">
        <f>IF(($A$3=""),"",IF(COUNTIF(Mineral!$AJ$3:$AJ$324,$A$3),"",$A$3))</f>
        <v/>
      </c>
      <c r="AM126" s="1672" t="str">
        <f>IFERROR(INDEX(Liste_Handelsünger[Handelsdünger],_xlfn.AGGREGATE(15,6,(ROW(Liste_Handelsünger[Handelsdünger])-1)/(--(SEARCH(AN$2,Liste_Handelsünger[Handelsdünger])&gt;0)),ROW()-2),1),"")</f>
        <v>Sulfammo 23 N</v>
      </c>
      <c r="AN126" t="str">
        <f>IF(($A128=""),"",IF(COUNTIF(Mineral!$AJ$3:$AJ$324,$A128),"",$A128))</f>
        <v/>
      </c>
      <c r="AO126" t="str">
        <f>IFERROR(INDEX(Liste_Handelsünger[Handelsdünger],_xlfn.AGGREGATE(15,6,(ROW(Liste_Handelsünger[Handelsdünger])-1)/(--(SEARCH(AP$2,Liste_Handelsünger[Handelsdünger])&gt;0)),ROW()-2),1),"")</f>
        <v>Sulfammo 23 N</v>
      </c>
      <c r="AP126" t="str">
        <f>IF(($A129=""),"",IF(COUNTIF(Mineral!$AJ$3:$AJ$324,$A129),"",$A129))</f>
        <v/>
      </c>
      <c r="AQ126" t="str">
        <f>IFERROR(INDEX(Liste_Handelsünger[Handelsdünger],_xlfn.AGGREGATE(15,6,(ROW(Liste_Handelsünger[Handelsdünger])-1)/(--(SEARCH(AR$2,Liste_Handelsünger[Handelsdünger])&gt;0)),ROW()-2),1),"")</f>
        <v>Sulfammo 23 N</v>
      </c>
      <c r="AR126" t="str">
        <f>IF(($A130=""),"",IF(COUNTIF(Mineral!$AJ$3:$AJ$324,$A130),"",$A130))</f>
        <v/>
      </c>
      <c r="AS126" t="str">
        <f>IFERROR(INDEX(Liste_Handelsünger[Handelsdünger],_xlfn.AGGREGATE(15,6,(ROW(Liste_Handelsünger[Handelsdünger])-1)/(--(SEARCH(AT$2,Liste_Handelsünger[Handelsdünger])&gt;0)),ROW()-2),1),"")</f>
        <v>Sulfammo 23 N</v>
      </c>
      <c r="AT126" t="str">
        <f>IF(($A131=""),"",IF(COUNTIF(Mineral!$AJ$3:$AJ$324,$A131),"",$A131))</f>
        <v/>
      </c>
      <c r="AU126" t="str">
        <f>IFERROR(INDEX(Liste_Handelsünger[Handelsdünger],_xlfn.AGGREGATE(15,6,(ROW(Liste_Handelsünger[Handelsdünger])-1)/(--(SEARCH(AV$2,Liste_Handelsünger[Handelsdünger])&gt;0)),ROW()-2),1),"")</f>
        <v>Sulfammo 23 N</v>
      </c>
      <c r="AV126" t="str">
        <f>IF(($A132=""),"",IF(COUNTIF(Mineral!$AJ$3:$AJ$324,$A132),"",$A132))</f>
        <v/>
      </c>
      <c r="AW126" t="str">
        <f>IFERROR(INDEX(Liste_Handelsünger[Handelsdünger],_xlfn.AGGREGATE(15,6,(ROW(Liste_Handelsünger[Handelsdünger])-1)/(--(SEARCH(AX$2,Liste_Handelsünger[Handelsdünger])&gt;0)),ROW()-2),1),"")</f>
        <v>Sulfammo 23 N</v>
      </c>
      <c r="AX126" t="str">
        <f>IF(($A133=""),"",IF(COUNTIF(Mineral!$AJ$3:$AJ$324,$A133),"",$A133))</f>
        <v/>
      </c>
      <c r="AY126" t="str">
        <f>IFERROR(INDEX(Liste_Handelsünger[Handelsdünger],_xlfn.AGGREGATE(15,6,(ROW(Liste_Handelsünger[Handelsdünger])-1)/(--(SEARCH(AZ$2,Liste_Handelsünger[Handelsdünger])&gt;0)),ROW()-2),1),"")</f>
        <v>Sulfammo 23 N</v>
      </c>
      <c r="AZ126" t="str">
        <f>IF(($A134=""),"",IF(COUNTIF(Mineral!$AJ$3:$AJ$324,$A134),"",$A134))</f>
        <v/>
      </c>
      <c r="BA126" t="str">
        <f>IFERROR(INDEX(Liste_Handelsünger[Handelsdünger],_xlfn.AGGREGATE(15,6,(ROW(Liste_Handelsünger[Handelsdünger])-1)/(--(SEARCH(BB$2,Liste_Handelsünger[Handelsdünger])&gt;0)),ROW()-2),1),"")</f>
        <v>Sulfammo 23 N</v>
      </c>
      <c r="BB126" t="str">
        <f>IF(($A135=""),"",IF(COUNTIF(Mineral!$AJ$3:$AJ$324,$A135),"",$A135))</f>
        <v/>
      </c>
      <c r="BC126" t="str">
        <f>IFERROR(INDEX(Liste_Handelsünger[Handelsdünger],_xlfn.AGGREGATE(15,6,(ROW(Liste_Handelsünger[Handelsdünger])-1)/(--(SEARCH(BD$2,Liste_Handelsünger[Handelsdünger])&gt;0)),ROW()-2),1),"")</f>
        <v>Sulfammo 23 N</v>
      </c>
      <c r="BD126" t="str">
        <f>IF(($A136=""),"",IF(COUNTIF(Mineral!$AJ$3:$AJ$324,$A136),"",$A136))</f>
        <v/>
      </c>
      <c r="BE126" t="str">
        <f>IFERROR(INDEX(Liste_Handelsünger[Handelsdünger],_xlfn.AGGREGATE(15,6,(ROW(Liste_Handelsünger[Handelsdünger])-1)/(--(SEARCH(BF$2,Liste_Handelsünger[Handelsdünger])&gt;0)),ROW()-2),1),"")</f>
        <v>Sulfammo 23 N</v>
      </c>
      <c r="BF126" t="str">
        <f>IF(($A137=""),"",IF(COUNTIF(Mineral!$AJ$3:$AJ$324,$A137),"",$A137))</f>
        <v/>
      </c>
      <c r="BG126" t="str">
        <f>IFERROR(INDEX(Liste_Handelsünger[Handelsdünger],_xlfn.AGGREGATE(15,6,(ROW(Liste_Handelsünger[Handelsdünger])-1)/(--(SEARCH(BH$2,Liste_Handelsünger[Handelsdünger])&gt;0)),ROW()-2),1),"")</f>
        <v>Sulfammo 23 N</v>
      </c>
      <c r="BH126" t="str">
        <f>IF(($A138=""),"",IF(COUNTIF(Mineral!$AJ$3:$AJ$324,$A138),"",$A138))</f>
        <v/>
      </c>
      <c r="BI126" t="str">
        <f>IFERROR(INDEX(Liste_Handelsünger[Handelsdünger],_xlfn.AGGREGATE(15,6,(ROW(Liste_Handelsünger[Handelsdünger])-1)/(--(SEARCH(BJ$2,Liste_Handelsünger[Handelsdünger])&gt;0)),ROW()-2),1),"")</f>
        <v>Sulfammo 23 N</v>
      </c>
      <c r="BJ126" t="str">
        <f>IF(($A139=""),"",IF(COUNTIF(Mineral!$AJ$3:$AJ$324,$A139),"",$A139))</f>
        <v/>
      </c>
      <c r="BK126" t="str">
        <f>IFERROR(INDEX(Liste_Handelsünger[Handelsdünger],_xlfn.AGGREGATE(15,6,(ROW(Liste_Handelsünger[Handelsdünger])-1)/(--(SEARCH(BL$2,Liste_Handelsünger[Handelsdünger])&gt;0)),ROW()-2),1),"")</f>
        <v>Sulfammo 23 N</v>
      </c>
      <c r="BM126" t="str">
        <f>IFERROR(INDEX(Liste_Handelsünger[Handelsdünger],_xlfn.AGGREGATE(15,6,(ROW(Liste_Handelsünger[Handelsdünger])-1)/(--(SEARCH(BN$2,Liste_Handelsünger[Handelsdünger])&gt;0)),ROW()-2),1),"")</f>
        <v>Sulfammo 23 N</v>
      </c>
      <c r="BN126" t="str">
        <f>IF(($A141=""),"",IF(COUNTIF(Mineral!$AJ$3:$AJ$324,$A141),"",$A141))</f>
        <v/>
      </c>
      <c r="BV126" t="s">
        <v>2289</v>
      </c>
      <c r="BW126" t="s">
        <v>2253</v>
      </c>
    </row>
    <row r="127" spans="18:75" ht="14.25" thickTop="1" thickBot="1">
      <c r="S127" s="1616">
        <v>126</v>
      </c>
      <c r="T127" s="1617" t="s">
        <v>2335</v>
      </c>
      <c r="U127" s="1617" t="s">
        <v>2290</v>
      </c>
      <c r="V127" s="1617"/>
      <c r="W127" s="1617">
        <v>26</v>
      </c>
      <c r="X127" s="1617">
        <v>0</v>
      </c>
      <c r="Y127" s="1617">
        <v>0</v>
      </c>
      <c r="Z127" s="1617">
        <v>11</v>
      </c>
      <c r="AA127" s="1617">
        <v>8</v>
      </c>
      <c r="AB127" s="1617">
        <v>3</v>
      </c>
      <c r="AC127" s="1617">
        <v>1</v>
      </c>
      <c r="AD127" s="1613">
        <v>1</v>
      </c>
      <c r="AE127" s="1617" t="s">
        <v>2016</v>
      </c>
      <c r="AF127" s="1613" t="str">
        <f t="shared" si="15"/>
        <v/>
      </c>
      <c r="AG127" s="1656">
        <f>IFERROR(IF($AF127&gt;0,VLOOKUP($U127,Tabelle1!$C$188:$L$212,5,0)*$AF127,0),0)</f>
        <v>0</v>
      </c>
      <c r="AH127" s="1656">
        <f t="shared" si="16"/>
        <v>0</v>
      </c>
      <c r="AJ127" t="str">
        <f>IF(Betrieb!$D$9="JA",Mineral!$BW127,Mineral!$BV127)</f>
        <v>Sulfammo 26 NContent PRO</v>
      </c>
      <c r="AK127" s="1672" t="str">
        <f>IFERROR(INDEX(Liste_Handelsünger[Handelsdünger],_xlfn.AGGREGATE(15,6,(ROW(Liste_Handelsünger[Handelsdünger])-1)/(--(SEARCH(AL$2,Liste_Handelsünger[Handelsdünger])&gt;0)),ROW()-2),1),"")</f>
        <v>Sulfammo 26 NContent PRO</v>
      </c>
      <c r="AL127" s="1672" t="str">
        <f>IF(($A$3=""),"",IF(COUNTIF(Mineral!$AJ$3:$AJ$324,$A$3),"",$A$3))</f>
        <v/>
      </c>
      <c r="AM127" s="1672" t="str">
        <f>IFERROR(INDEX(Liste_Handelsünger[Handelsdünger],_xlfn.AGGREGATE(15,6,(ROW(Liste_Handelsünger[Handelsdünger])-1)/(--(SEARCH(AN$2,Liste_Handelsünger[Handelsdünger])&gt;0)),ROW()-2),1),"")</f>
        <v>Sulfammo 26 NContent PRO</v>
      </c>
      <c r="AN127" t="str">
        <f>IF(($A129=""),"",IF(COUNTIF(Mineral!$AJ$3:$AJ$324,$A129),"",$A129))</f>
        <v/>
      </c>
      <c r="AO127" t="str">
        <f>IFERROR(INDEX(Liste_Handelsünger[Handelsdünger],_xlfn.AGGREGATE(15,6,(ROW(Liste_Handelsünger[Handelsdünger])-1)/(--(SEARCH(AP$2,Liste_Handelsünger[Handelsdünger])&gt;0)),ROW()-2),1),"")</f>
        <v>Sulfammo 26 NContent PRO</v>
      </c>
      <c r="AP127" t="str">
        <f>IF(($A130=""),"",IF(COUNTIF(Mineral!$AJ$3:$AJ$324,$A130),"",$A130))</f>
        <v/>
      </c>
      <c r="AQ127" t="str">
        <f>IFERROR(INDEX(Liste_Handelsünger[Handelsdünger],_xlfn.AGGREGATE(15,6,(ROW(Liste_Handelsünger[Handelsdünger])-1)/(--(SEARCH(AR$2,Liste_Handelsünger[Handelsdünger])&gt;0)),ROW()-2),1),"")</f>
        <v>Sulfammo 26 NContent PRO</v>
      </c>
      <c r="AR127" t="str">
        <f>IF(($A131=""),"",IF(COUNTIF(Mineral!$AJ$3:$AJ$324,$A131),"",$A131))</f>
        <v/>
      </c>
      <c r="AS127" t="str">
        <f>IFERROR(INDEX(Liste_Handelsünger[Handelsdünger],_xlfn.AGGREGATE(15,6,(ROW(Liste_Handelsünger[Handelsdünger])-1)/(--(SEARCH(AT$2,Liste_Handelsünger[Handelsdünger])&gt;0)),ROW()-2),1),"")</f>
        <v>Sulfammo 26 NContent PRO</v>
      </c>
      <c r="AT127" t="str">
        <f>IF(($A132=""),"",IF(COUNTIF(Mineral!$AJ$3:$AJ$324,$A132),"",$A132))</f>
        <v/>
      </c>
      <c r="AU127" t="str">
        <f>IFERROR(INDEX(Liste_Handelsünger[Handelsdünger],_xlfn.AGGREGATE(15,6,(ROW(Liste_Handelsünger[Handelsdünger])-1)/(--(SEARCH(AV$2,Liste_Handelsünger[Handelsdünger])&gt;0)),ROW()-2),1),"")</f>
        <v>Sulfammo 26 NContent PRO</v>
      </c>
      <c r="AV127" t="str">
        <f>IF(($A133=""),"",IF(COUNTIF(Mineral!$AJ$3:$AJ$324,$A133),"",$A133))</f>
        <v/>
      </c>
      <c r="AW127" t="str">
        <f>IFERROR(INDEX(Liste_Handelsünger[Handelsdünger],_xlfn.AGGREGATE(15,6,(ROW(Liste_Handelsünger[Handelsdünger])-1)/(--(SEARCH(AX$2,Liste_Handelsünger[Handelsdünger])&gt;0)),ROW()-2),1),"")</f>
        <v>Sulfammo 26 NContent PRO</v>
      </c>
      <c r="AX127" t="str">
        <f>IF(($A134=""),"",IF(COUNTIF(Mineral!$AJ$3:$AJ$324,$A134),"",$A134))</f>
        <v/>
      </c>
      <c r="AY127" t="str">
        <f>IFERROR(INDEX(Liste_Handelsünger[Handelsdünger],_xlfn.AGGREGATE(15,6,(ROW(Liste_Handelsünger[Handelsdünger])-1)/(--(SEARCH(AZ$2,Liste_Handelsünger[Handelsdünger])&gt;0)),ROW()-2),1),"")</f>
        <v>Sulfammo 26 NContent PRO</v>
      </c>
      <c r="AZ127" t="str">
        <f>IF(($A135=""),"",IF(COUNTIF(Mineral!$AJ$3:$AJ$324,$A135),"",$A135))</f>
        <v/>
      </c>
      <c r="BA127" t="str">
        <f>IFERROR(INDEX(Liste_Handelsünger[Handelsdünger],_xlfn.AGGREGATE(15,6,(ROW(Liste_Handelsünger[Handelsdünger])-1)/(--(SEARCH(BB$2,Liste_Handelsünger[Handelsdünger])&gt;0)),ROW()-2),1),"")</f>
        <v>Sulfammo 26 NContent PRO</v>
      </c>
      <c r="BB127" t="str">
        <f>IF(($A136=""),"",IF(COUNTIF(Mineral!$AJ$3:$AJ$324,$A136),"",$A136))</f>
        <v/>
      </c>
      <c r="BC127" t="str">
        <f>IFERROR(INDEX(Liste_Handelsünger[Handelsdünger],_xlfn.AGGREGATE(15,6,(ROW(Liste_Handelsünger[Handelsdünger])-1)/(--(SEARCH(BD$2,Liste_Handelsünger[Handelsdünger])&gt;0)),ROW()-2),1),"")</f>
        <v>Sulfammo 26 NContent PRO</v>
      </c>
      <c r="BD127" t="str">
        <f>IF(($A137=""),"",IF(COUNTIF(Mineral!$AJ$3:$AJ$324,$A137),"",$A137))</f>
        <v/>
      </c>
      <c r="BE127" t="str">
        <f>IFERROR(INDEX(Liste_Handelsünger[Handelsdünger],_xlfn.AGGREGATE(15,6,(ROW(Liste_Handelsünger[Handelsdünger])-1)/(--(SEARCH(BF$2,Liste_Handelsünger[Handelsdünger])&gt;0)),ROW()-2),1),"")</f>
        <v>Sulfammo 26 NContent PRO</v>
      </c>
      <c r="BF127" t="str">
        <f>IF(($A138=""),"",IF(COUNTIF(Mineral!$AJ$3:$AJ$324,$A138),"",$A138))</f>
        <v/>
      </c>
      <c r="BG127" t="str">
        <f>IFERROR(INDEX(Liste_Handelsünger[Handelsdünger],_xlfn.AGGREGATE(15,6,(ROW(Liste_Handelsünger[Handelsdünger])-1)/(--(SEARCH(BH$2,Liste_Handelsünger[Handelsdünger])&gt;0)),ROW()-2),1),"")</f>
        <v>Sulfammo 26 NContent PRO</v>
      </c>
      <c r="BH127" t="str">
        <f>IF(($A139=""),"",IF(COUNTIF(Mineral!$AJ$3:$AJ$324,$A139),"",$A139))</f>
        <v/>
      </c>
      <c r="BI127" t="str">
        <f>IFERROR(INDEX(Liste_Handelsünger[Handelsdünger],_xlfn.AGGREGATE(15,6,(ROW(Liste_Handelsünger[Handelsdünger])-1)/(--(SEARCH(BJ$2,Liste_Handelsünger[Handelsdünger])&gt;0)),ROW()-2),1),"")</f>
        <v>Sulfammo 26 NContent PRO</v>
      </c>
      <c r="BJ127" t="str">
        <f>IF(($A140=""),"",IF(COUNTIF(Mineral!$AJ$3:$AJ$324,$A140),"",$A140))</f>
        <v/>
      </c>
      <c r="BK127" t="str">
        <f>IFERROR(INDEX(Liste_Handelsünger[Handelsdünger],_xlfn.AGGREGATE(15,6,(ROW(Liste_Handelsünger[Handelsdünger])-1)/(--(SEARCH(BL$2,Liste_Handelsünger[Handelsdünger])&gt;0)),ROW()-2),1),"")</f>
        <v>Sulfammo 26 NContent PRO</v>
      </c>
      <c r="BM127" t="str">
        <f>IFERROR(INDEX(Liste_Handelsünger[Handelsdünger],_xlfn.AGGREGATE(15,6,(ROW(Liste_Handelsünger[Handelsdünger])-1)/(--(SEARCH(BN$2,Liste_Handelsünger[Handelsdünger])&gt;0)),ROW()-2),1),"")</f>
        <v>Sulfammo 26 NContent PRO</v>
      </c>
      <c r="BN127" t="str">
        <f>IF(($A142=""),"",IF(COUNTIF(Mineral!$AJ$3:$AJ$324,$A142),"",$A142))</f>
        <v/>
      </c>
      <c r="BV127" t="s">
        <v>2290</v>
      </c>
      <c r="BW127" t="s">
        <v>2254</v>
      </c>
    </row>
    <row r="128" spans="18:75" ht="14.25" thickTop="1" thickBot="1">
      <c r="S128" s="1676">
        <v>127</v>
      </c>
      <c r="T128" s="1606" t="s">
        <v>2335</v>
      </c>
      <c r="U128" s="1606" t="s">
        <v>2291</v>
      </c>
      <c r="V128" s="1606"/>
      <c r="W128" s="1606">
        <v>30</v>
      </c>
      <c r="X128" s="1606">
        <v>0</v>
      </c>
      <c r="Y128" s="1606">
        <v>0</v>
      </c>
      <c r="Z128" s="1606">
        <v>6</v>
      </c>
      <c r="AA128" s="1606">
        <v>3</v>
      </c>
      <c r="AB128" s="1606">
        <v>7.0000000000000009</v>
      </c>
      <c r="AC128" s="1606">
        <v>1</v>
      </c>
      <c r="AD128" s="1613">
        <v>1</v>
      </c>
      <c r="AE128" s="1606" t="s">
        <v>2016</v>
      </c>
      <c r="AF128" s="1613" t="str">
        <f t="shared" si="15"/>
        <v/>
      </c>
      <c r="AG128" s="1656">
        <f>IFERROR(IF($AF128&gt;0,VLOOKUP($U128,Tabelle1!$C$188:$L$212,5,0)*$AF128,0),0)</f>
        <v>0</v>
      </c>
      <c r="AH128" s="1656">
        <f t="shared" si="16"/>
        <v>0</v>
      </c>
      <c r="AJ128" t="str">
        <f>IF(Betrieb!$D$9="JA",Mineral!$BW128,Mineral!$BV128)</f>
        <v>Sulfammo 30 N</v>
      </c>
      <c r="AK128" s="1672" t="str">
        <f>IFERROR(INDEX(Liste_Handelsünger[Handelsdünger],_xlfn.AGGREGATE(15,6,(ROW(Liste_Handelsünger[Handelsdünger])-1)/(--(SEARCH(AL$2,Liste_Handelsünger[Handelsdünger])&gt;0)),ROW()-2),1),"")</f>
        <v>Sulfammo 30 N</v>
      </c>
      <c r="AL128" s="1672" t="str">
        <f>IF(($A$3=""),"",IF(COUNTIF(Mineral!$AJ$3:$AJ$324,$A$3),"",$A$3))</f>
        <v/>
      </c>
      <c r="AM128" s="1672" t="str">
        <f>IFERROR(INDEX(Liste_Handelsünger[Handelsdünger],_xlfn.AGGREGATE(15,6,(ROW(Liste_Handelsünger[Handelsdünger])-1)/(--(SEARCH(AN$2,Liste_Handelsünger[Handelsdünger])&gt;0)),ROW()-2),1),"")</f>
        <v>Sulfammo 30 N</v>
      </c>
      <c r="AN128" t="str">
        <f>IF(($A130=""),"",IF(COUNTIF(Mineral!$AJ$3:$AJ$324,$A130),"",$A130))</f>
        <v/>
      </c>
      <c r="AO128" t="str">
        <f>IFERROR(INDEX(Liste_Handelsünger[Handelsdünger],_xlfn.AGGREGATE(15,6,(ROW(Liste_Handelsünger[Handelsdünger])-1)/(--(SEARCH(AP$2,Liste_Handelsünger[Handelsdünger])&gt;0)),ROW()-2),1),"")</f>
        <v>Sulfammo 30 N</v>
      </c>
      <c r="AP128" t="str">
        <f>IF(($A131=""),"",IF(COUNTIF(Mineral!$AJ$3:$AJ$324,$A131),"",$A131))</f>
        <v/>
      </c>
      <c r="AQ128" t="str">
        <f>IFERROR(INDEX(Liste_Handelsünger[Handelsdünger],_xlfn.AGGREGATE(15,6,(ROW(Liste_Handelsünger[Handelsdünger])-1)/(--(SEARCH(AR$2,Liste_Handelsünger[Handelsdünger])&gt;0)),ROW()-2),1),"")</f>
        <v>Sulfammo 30 N</v>
      </c>
      <c r="AR128" t="str">
        <f>IF(($A132=""),"",IF(COUNTIF(Mineral!$AJ$3:$AJ$324,$A132),"",$A132))</f>
        <v/>
      </c>
      <c r="AS128" t="str">
        <f>IFERROR(INDEX(Liste_Handelsünger[Handelsdünger],_xlfn.AGGREGATE(15,6,(ROW(Liste_Handelsünger[Handelsdünger])-1)/(--(SEARCH(AT$2,Liste_Handelsünger[Handelsdünger])&gt;0)),ROW()-2),1),"")</f>
        <v>Sulfammo 30 N</v>
      </c>
      <c r="AT128" t="str">
        <f>IF(($A133=""),"",IF(COUNTIF(Mineral!$AJ$3:$AJ$324,$A133),"",$A133))</f>
        <v/>
      </c>
      <c r="AU128" t="str">
        <f>IFERROR(INDEX(Liste_Handelsünger[Handelsdünger],_xlfn.AGGREGATE(15,6,(ROW(Liste_Handelsünger[Handelsdünger])-1)/(--(SEARCH(AV$2,Liste_Handelsünger[Handelsdünger])&gt;0)),ROW()-2),1),"")</f>
        <v>Sulfammo 30 N</v>
      </c>
      <c r="AV128" t="str">
        <f>IF(($A134=""),"",IF(COUNTIF(Mineral!$AJ$3:$AJ$324,$A134),"",$A134))</f>
        <v/>
      </c>
      <c r="AW128" t="str">
        <f>IFERROR(INDEX(Liste_Handelsünger[Handelsdünger],_xlfn.AGGREGATE(15,6,(ROW(Liste_Handelsünger[Handelsdünger])-1)/(--(SEARCH(AX$2,Liste_Handelsünger[Handelsdünger])&gt;0)),ROW()-2),1),"")</f>
        <v>Sulfammo 30 N</v>
      </c>
      <c r="AX128" t="str">
        <f>IF(($A135=""),"",IF(COUNTIF(Mineral!$AJ$3:$AJ$324,$A135),"",$A135))</f>
        <v/>
      </c>
      <c r="AY128" t="str">
        <f>IFERROR(INDEX(Liste_Handelsünger[Handelsdünger],_xlfn.AGGREGATE(15,6,(ROW(Liste_Handelsünger[Handelsdünger])-1)/(--(SEARCH(AZ$2,Liste_Handelsünger[Handelsdünger])&gt;0)),ROW()-2),1),"")</f>
        <v>Sulfammo 30 N</v>
      </c>
      <c r="AZ128" t="str">
        <f>IF(($A136=""),"",IF(COUNTIF(Mineral!$AJ$3:$AJ$324,$A136),"",$A136))</f>
        <v/>
      </c>
      <c r="BA128" t="str">
        <f>IFERROR(INDEX(Liste_Handelsünger[Handelsdünger],_xlfn.AGGREGATE(15,6,(ROW(Liste_Handelsünger[Handelsdünger])-1)/(--(SEARCH(BB$2,Liste_Handelsünger[Handelsdünger])&gt;0)),ROW()-2),1),"")</f>
        <v>Sulfammo 30 N</v>
      </c>
      <c r="BB128" t="str">
        <f>IF(($A137=""),"",IF(COUNTIF(Mineral!$AJ$3:$AJ$324,$A137),"",$A137))</f>
        <v/>
      </c>
      <c r="BC128" t="str">
        <f>IFERROR(INDEX(Liste_Handelsünger[Handelsdünger],_xlfn.AGGREGATE(15,6,(ROW(Liste_Handelsünger[Handelsdünger])-1)/(--(SEARCH(BD$2,Liste_Handelsünger[Handelsdünger])&gt;0)),ROW()-2),1),"")</f>
        <v>Sulfammo 30 N</v>
      </c>
      <c r="BD128" t="str">
        <f>IF(($A138=""),"",IF(COUNTIF(Mineral!$AJ$3:$AJ$324,$A138),"",$A138))</f>
        <v/>
      </c>
      <c r="BE128" t="str">
        <f>IFERROR(INDEX(Liste_Handelsünger[Handelsdünger],_xlfn.AGGREGATE(15,6,(ROW(Liste_Handelsünger[Handelsdünger])-1)/(--(SEARCH(BF$2,Liste_Handelsünger[Handelsdünger])&gt;0)),ROW()-2),1),"")</f>
        <v>Sulfammo 30 N</v>
      </c>
      <c r="BF128" t="str">
        <f>IF(($A139=""),"",IF(COUNTIF(Mineral!$AJ$3:$AJ$324,$A139),"",$A139))</f>
        <v/>
      </c>
      <c r="BG128" t="str">
        <f>IFERROR(INDEX(Liste_Handelsünger[Handelsdünger],_xlfn.AGGREGATE(15,6,(ROW(Liste_Handelsünger[Handelsdünger])-1)/(--(SEARCH(BH$2,Liste_Handelsünger[Handelsdünger])&gt;0)),ROW()-2),1),"")</f>
        <v>Sulfammo 30 N</v>
      </c>
      <c r="BH128" t="str">
        <f>IF(($A140=""),"",IF(COUNTIF(Mineral!$AJ$3:$AJ$324,$A140),"",$A140))</f>
        <v/>
      </c>
      <c r="BI128" t="str">
        <f>IFERROR(INDEX(Liste_Handelsünger[Handelsdünger],_xlfn.AGGREGATE(15,6,(ROW(Liste_Handelsünger[Handelsdünger])-1)/(--(SEARCH(BJ$2,Liste_Handelsünger[Handelsdünger])&gt;0)),ROW()-2),1),"")</f>
        <v>Sulfammo 30 N</v>
      </c>
      <c r="BJ128" t="str">
        <f>IF(($A141=""),"",IF(COUNTIF(Mineral!$AJ$3:$AJ$324,$A141),"",$A141))</f>
        <v/>
      </c>
      <c r="BK128" t="str">
        <f>IFERROR(INDEX(Liste_Handelsünger[Handelsdünger],_xlfn.AGGREGATE(15,6,(ROW(Liste_Handelsünger[Handelsdünger])-1)/(--(SEARCH(BL$2,Liste_Handelsünger[Handelsdünger])&gt;0)),ROW()-2),1),"")</f>
        <v>Sulfammo 30 N</v>
      </c>
      <c r="BM128" t="str">
        <f>IFERROR(INDEX(Liste_Handelsünger[Handelsdünger],_xlfn.AGGREGATE(15,6,(ROW(Liste_Handelsünger[Handelsdünger])-1)/(--(SEARCH(BN$2,Liste_Handelsünger[Handelsdünger])&gt;0)),ROW()-2),1),"")</f>
        <v>Sulfammo 30 N</v>
      </c>
      <c r="BN128" t="str">
        <f>IF(($A143=""),"",IF(COUNTIF(Mineral!$AJ$3:$AJ$324,$A143),"",$A143))</f>
        <v/>
      </c>
      <c r="BV128" t="s">
        <v>2291</v>
      </c>
      <c r="BW128" t="s">
        <v>2255</v>
      </c>
    </row>
    <row r="129" spans="19:75" ht="14.25" thickTop="1" thickBot="1">
      <c r="S129" s="1616">
        <v>128</v>
      </c>
      <c r="T129" s="1617" t="s">
        <v>2335</v>
      </c>
      <c r="U129" s="1617" t="s">
        <v>2296</v>
      </c>
      <c r="V129" s="1617"/>
      <c r="W129" s="1617">
        <v>0</v>
      </c>
      <c r="X129" s="1617">
        <v>18</v>
      </c>
      <c r="Y129" s="1617">
        <v>18</v>
      </c>
      <c r="Z129" s="1617">
        <v>0</v>
      </c>
      <c r="AA129" s="1617">
        <v>0</v>
      </c>
      <c r="AB129" s="1617">
        <v>0</v>
      </c>
      <c r="AC129" s="1617">
        <v>1</v>
      </c>
      <c r="AD129" s="1613">
        <v>1</v>
      </c>
      <c r="AE129" s="1617" t="s">
        <v>1764</v>
      </c>
      <c r="AF129" s="1613" t="str">
        <f t="shared" si="15"/>
        <v/>
      </c>
      <c r="AG129" s="1656">
        <f>IFERROR(IF($AF129&gt;0,VLOOKUP($U129,Tabelle1!$C$188:$L$212,5,0)*$AF129,0),0)</f>
        <v>0</v>
      </c>
      <c r="AH129" s="1656">
        <f t="shared" si="16"/>
        <v>0</v>
      </c>
      <c r="AJ129" t="str">
        <f>IF(Betrieb!$D$9="JA",Mineral!$BW129,Mineral!$BV129)</f>
        <v>Superk. DC 36 0:18:18</v>
      </c>
      <c r="AK129" s="1672" t="str">
        <f>IFERROR(INDEX(Liste_Handelsünger[Handelsdünger],_xlfn.AGGREGATE(15,6,(ROW(Liste_Handelsünger[Handelsdünger])-1)/(--(SEARCH(AL$2,Liste_Handelsünger[Handelsdünger])&gt;0)),ROW()-2),1),"")</f>
        <v>Superk. DC 36 0:18:18</v>
      </c>
      <c r="AL129" s="1672" t="str">
        <f>IF(($A$3=""),"",IF(COUNTIF(Mineral!$AJ$3:$AJ$324,$A$3),"",$A$3))</f>
        <v/>
      </c>
      <c r="AM129" s="1672" t="str">
        <f>IFERROR(INDEX(Liste_Handelsünger[Handelsdünger],_xlfn.AGGREGATE(15,6,(ROW(Liste_Handelsünger[Handelsdünger])-1)/(--(SEARCH(AN$2,Liste_Handelsünger[Handelsdünger])&gt;0)),ROW()-2),1),"")</f>
        <v>Superk. DC 36 0:18:18</v>
      </c>
      <c r="AN129" t="str">
        <f>IF(($A131=""),"",IF(COUNTIF(Mineral!$AJ$3:$AJ$324,$A131),"",$A131))</f>
        <v/>
      </c>
      <c r="AO129" t="str">
        <f>IFERROR(INDEX(Liste_Handelsünger[Handelsdünger],_xlfn.AGGREGATE(15,6,(ROW(Liste_Handelsünger[Handelsdünger])-1)/(--(SEARCH(AP$2,Liste_Handelsünger[Handelsdünger])&gt;0)),ROW()-2),1),"")</f>
        <v>Superk. DC 36 0:18:18</v>
      </c>
      <c r="AP129" t="str">
        <f>IF(($A132=""),"",IF(COUNTIF(Mineral!$AJ$3:$AJ$324,$A132),"",$A132))</f>
        <v/>
      </c>
      <c r="AQ129" t="str">
        <f>IFERROR(INDEX(Liste_Handelsünger[Handelsdünger],_xlfn.AGGREGATE(15,6,(ROW(Liste_Handelsünger[Handelsdünger])-1)/(--(SEARCH(AR$2,Liste_Handelsünger[Handelsdünger])&gt;0)),ROW()-2),1),"")</f>
        <v>Superk. DC 36 0:18:18</v>
      </c>
      <c r="AR129" t="str">
        <f>IF(($A133=""),"",IF(COUNTIF(Mineral!$AJ$3:$AJ$324,$A133),"",$A133))</f>
        <v/>
      </c>
      <c r="AS129" t="str">
        <f>IFERROR(INDEX(Liste_Handelsünger[Handelsdünger],_xlfn.AGGREGATE(15,6,(ROW(Liste_Handelsünger[Handelsdünger])-1)/(--(SEARCH(AT$2,Liste_Handelsünger[Handelsdünger])&gt;0)),ROW()-2),1),"")</f>
        <v>Superk. DC 36 0:18:18</v>
      </c>
      <c r="AT129" t="str">
        <f>IF(($A134=""),"",IF(COUNTIF(Mineral!$AJ$3:$AJ$324,$A134),"",$A134))</f>
        <v/>
      </c>
      <c r="AU129" t="str">
        <f>IFERROR(INDEX(Liste_Handelsünger[Handelsdünger],_xlfn.AGGREGATE(15,6,(ROW(Liste_Handelsünger[Handelsdünger])-1)/(--(SEARCH(AV$2,Liste_Handelsünger[Handelsdünger])&gt;0)),ROW()-2),1),"")</f>
        <v>Superk. DC 36 0:18:18</v>
      </c>
      <c r="AV129" t="str">
        <f>IF(($A135=""),"",IF(COUNTIF(Mineral!$AJ$3:$AJ$324,$A135),"",$A135))</f>
        <v/>
      </c>
      <c r="AW129" t="str">
        <f>IFERROR(INDEX(Liste_Handelsünger[Handelsdünger],_xlfn.AGGREGATE(15,6,(ROW(Liste_Handelsünger[Handelsdünger])-1)/(--(SEARCH(AX$2,Liste_Handelsünger[Handelsdünger])&gt;0)),ROW()-2),1),"")</f>
        <v>Superk. DC 36 0:18:18</v>
      </c>
      <c r="AX129" t="str">
        <f>IF(($A136=""),"",IF(COUNTIF(Mineral!$AJ$3:$AJ$324,$A136),"",$A136))</f>
        <v/>
      </c>
      <c r="AY129" t="str">
        <f>IFERROR(INDEX(Liste_Handelsünger[Handelsdünger],_xlfn.AGGREGATE(15,6,(ROW(Liste_Handelsünger[Handelsdünger])-1)/(--(SEARCH(AZ$2,Liste_Handelsünger[Handelsdünger])&gt;0)),ROW()-2),1),"")</f>
        <v>Superk. DC 36 0:18:18</v>
      </c>
      <c r="AZ129" t="str">
        <f>IF(($A137=""),"",IF(COUNTIF(Mineral!$AJ$3:$AJ$324,$A137),"",$A137))</f>
        <v/>
      </c>
      <c r="BA129" t="str">
        <f>IFERROR(INDEX(Liste_Handelsünger[Handelsdünger],_xlfn.AGGREGATE(15,6,(ROW(Liste_Handelsünger[Handelsdünger])-1)/(--(SEARCH(BB$2,Liste_Handelsünger[Handelsdünger])&gt;0)),ROW()-2),1),"")</f>
        <v>Superk. DC 36 0:18:18</v>
      </c>
      <c r="BB129" t="str">
        <f>IF(($A138=""),"",IF(COUNTIF(Mineral!$AJ$3:$AJ$324,$A138),"",$A138))</f>
        <v/>
      </c>
      <c r="BC129" t="str">
        <f>IFERROR(INDEX(Liste_Handelsünger[Handelsdünger],_xlfn.AGGREGATE(15,6,(ROW(Liste_Handelsünger[Handelsdünger])-1)/(--(SEARCH(BD$2,Liste_Handelsünger[Handelsdünger])&gt;0)),ROW()-2),1),"")</f>
        <v>Superk. DC 36 0:18:18</v>
      </c>
      <c r="BD129" t="str">
        <f>IF(($A139=""),"",IF(COUNTIF(Mineral!$AJ$3:$AJ$324,$A139),"",$A139))</f>
        <v/>
      </c>
      <c r="BE129" t="str">
        <f>IFERROR(INDEX(Liste_Handelsünger[Handelsdünger],_xlfn.AGGREGATE(15,6,(ROW(Liste_Handelsünger[Handelsdünger])-1)/(--(SEARCH(BF$2,Liste_Handelsünger[Handelsdünger])&gt;0)),ROW()-2),1),"")</f>
        <v>Superk. DC 36 0:18:18</v>
      </c>
      <c r="BF129" t="str">
        <f>IF(($A140=""),"",IF(COUNTIF(Mineral!$AJ$3:$AJ$324,$A140),"",$A140))</f>
        <v/>
      </c>
      <c r="BG129" t="str">
        <f>IFERROR(INDEX(Liste_Handelsünger[Handelsdünger],_xlfn.AGGREGATE(15,6,(ROW(Liste_Handelsünger[Handelsdünger])-1)/(--(SEARCH(BH$2,Liste_Handelsünger[Handelsdünger])&gt;0)),ROW()-2),1),"")</f>
        <v>Superk. DC 36 0:18:18</v>
      </c>
      <c r="BH129" t="str">
        <f>IF(($A141=""),"",IF(COUNTIF(Mineral!$AJ$3:$AJ$324,$A141),"",$A141))</f>
        <v/>
      </c>
      <c r="BI129" t="str">
        <f>IFERROR(INDEX(Liste_Handelsünger[Handelsdünger],_xlfn.AGGREGATE(15,6,(ROW(Liste_Handelsünger[Handelsdünger])-1)/(--(SEARCH(BJ$2,Liste_Handelsünger[Handelsdünger])&gt;0)),ROW()-2),1),"")</f>
        <v>Superk. DC 36 0:18:18</v>
      </c>
      <c r="BJ129" t="str">
        <f>IF(($A142=""),"",IF(COUNTIF(Mineral!$AJ$3:$AJ$324,$A142),"",$A142))</f>
        <v/>
      </c>
      <c r="BK129" t="str">
        <f>IFERROR(INDEX(Liste_Handelsünger[Handelsdünger],_xlfn.AGGREGATE(15,6,(ROW(Liste_Handelsünger[Handelsdünger])-1)/(--(SEARCH(BL$2,Liste_Handelsünger[Handelsdünger])&gt;0)),ROW()-2),1),"")</f>
        <v>Superk. DC 36 0:18:18</v>
      </c>
      <c r="BM129" t="str">
        <f>IFERROR(INDEX(Liste_Handelsünger[Handelsdünger],_xlfn.AGGREGATE(15,6,(ROW(Liste_Handelsünger[Handelsdünger])-1)/(--(SEARCH(BN$2,Liste_Handelsünger[Handelsdünger])&gt;0)),ROW()-2),1),"")</f>
        <v>Superk. DC 36 0:18:18</v>
      </c>
      <c r="BN129" t="str">
        <f>IF(($A144=""),"",IF(COUNTIF(Mineral!$AJ$3:$AJ$324,$A144),"",$A144))</f>
        <v/>
      </c>
      <c r="BV129" t="s">
        <v>2296</v>
      </c>
      <c r="BW129" t="s">
        <v>2256</v>
      </c>
    </row>
    <row r="130" spans="19:75" ht="14.25" thickTop="1" thickBot="1">
      <c r="S130" s="1676">
        <v>129</v>
      </c>
      <c r="T130" s="1606" t="s">
        <v>2335</v>
      </c>
      <c r="U130" s="1606" t="s">
        <v>2299</v>
      </c>
      <c r="V130" s="1606"/>
      <c r="W130" s="1606">
        <v>0</v>
      </c>
      <c r="X130" s="1606">
        <v>10</v>
      </c>
      <c r="Y130" s="1606">
        <v>20</v>
      </c>
      <c r="Z130" s="1606">
        <v>3</v>
      </c>
      <c r="AA130" s="1606">
        <v>20</v>
      </c>
      <c r="AB130" s="1606">
        <v>3</v>
      </c>
      <c r="AC130" s="1606">
        <v>1</v>
      </c>
      <c r="AD130" s="1613">
        <v>1</v>
      </c>
      <c r="AE130" s="1606" t="s">
        <v>1764</v>
      </c>
      <c r="AF130" s="1613" t="str">
        <f t="shared" si="15"/>
        <v/>
      </c>
      <c r="AG130" s="1656">
        <f>IFERROR(IF($AF130&gt;0,VLOOKUP($U130,Tabelle1!$C$188:$L$212,5,0)*$AF130,0),0)</f>
        <v>0</v>
      </c>
      <c r="AH130" s="1656">
        <f t="shared" si="16"/>
        <v>0</v>
      </c>
      <c r="AJ130" t="str">
        <f>IF(Betrieb!$D$9="JA",Mineral!$BW130,Mineral!$BV130)</f>
        <v>Thomaskali 10:20 + 3MgO</v>
      </c>
      <c r="AK130" s="1672" t="str">
        <f>IFERROR(INDEX(Liste_Handelsünger[Handelsdünger],_xlfn.AGGREGATE(15,6,(ROW(Liste_Handelsünger[Handelsdünger])-1)/(--(SEARCH(AL$2,Liste_Handelsünger[Handelsdünger])&gt;0)),ROW()-2),1),"")</f>
        <v>Thomaskali 10:20 + 3MgO</v>
      </c>
      <c r="AL130" s="1672" t="str">
        <f>IF(($A$3=""),"",IF(COUNTIF(Mineral!$AJ$3:$AJ$324,$A$3),"",$A$3))</f>
        <v/>
      </c>
      <c r="AM130" s="1672" t="str">
        <f>IFERROR(INDEX(Liste_Handelsünger[Handelsdünger],_xlfn.AGGREGATE(15,6,(ROW(Liste_Handelsünger[Handelsdünger])-1)/(--(SEARCH(AN$2,Liste_Handelsünger[Handelsdünger])&gt;0)),ROW()-2),1),"")</f>
        <v>Thomaskali 10:20 + 3MgO</v>
      </c>
      <c r="AN130" t="str">
        <f>IF(($A132=""),"",IF(COUNTIF(Mineral!$AJ$3:$AJ$324,$A132),"",$A132))</f>
        <v/>
      </c>
      <c r="AO130" t="str">
        <f>IFERROR(INDEX(Liste_Handelsünger[Handelsdünger],_xlfn.AGGREGATE(15,6,(ROW(Liste_Handelsünger[Handelsdünger])-1)/(--(SEARCH(AP$2,Liste_Handelsünger[Handelsdünger])&gt;0)),ROW()-2),1),"")</f>
        <v>Thomaskali 10:20 + 3MgO</v>
      </c>
      <c r="AP130" t="str">
        <f>IF(($A133=""),"",IF(COUNTIF(Mineral!$AJ$3:$AJ$324,$A133),"",$A133))</f>
        <v/>
      </c>
      <c r="AQ130" t="str">
        <f>IFERROR(INDEX(Liste_Handelsünger[Handelsdünger],_xlfn.AGGREGATE(15,6,(ROW(Liste_Handelsünger[Handelsdünger])-1)/(--(SEARCH(AR$2,Liste_Handelsünger[Handelsdünger])&gt;0)),ROW()-2),1),"")</f>
        <v>Thomaskali 10:20 + 3MgO</v>
      </c>
      <c r="AR130" t="str">
        <f>IF(($A134=""),"",IF(COUNTIF(Mineral!$AJ$3:$AJ$324,$A134),"",$A134))</f>
        <v/>
      </c>
      <c r="AS130" t="str">
        <f>IFERROR(INDEX(Liste_Handelsünger[Handelsdünger],_xlfn.AGGREGATE(15,6,(ROW(Liste_Handelsünger[Handelsdünger])-1)/(--(SEARCH(AT$2,Liste_Handelsünger[Handelsdünger])&gt;0)),ROW()-2),1),"")</f>
        <v>Thomaskali 10:20 + 3MgO</v>
      </c>
      <c r="AT130" t="str">
        <f>IF(($A135=""),"",IF(COUNTIF(Mineral!$AJ$3:$AJ$324,$A135),"",$A135))</f>
        <v/>
      </c>
      <c r="AU130" t="str">
        <f>IFERROR(INDEX(Liste_Handelsünger[Handelsdünger],_xlfn.AGGREGATE(15,6,(ROW(Liste_Handelsünger[Handelsdünger])-1)/(--(SEARCH(AV$2,Liste_Handelsünger[Handelsdünger])&gt;0)),ROW()-2),1),"")</f>
        <v>Thomaskali 10:20 + 3MgO</v>
      </c>
      <c r="AV130" t="str">
        <f>IF(($A136=""),"",IF(COUNTIF(Mineral!$AJ$3:$AJ$324,$A136),"",$A136))</f>
        <v/>
      </c>
      <c r="AW130" t="str">
        <f>IFERROR(INDEX(Liste_Handelsünger[Handelsdünger],_xlfn.AGGREGATE(15,6,(ROW(Liste_Handelsünger[Handelsdünger])-1)/(--(SEARCH(AX$2,Liste_Handelsünger[Handelsdünger])&gt;0)),ROW()-2),1),"")</f>
        <v>Thomaskali 10:20 + 3MgO</v>
      </c>
      <c r="AX130" t="str">
        <f>IF(($A137=""),"",IF(COUNTIF(Mineral!$AJ$3:$AJ$324,$A137),"",$A137))</f>
        <v/>
      </c>
      <c r="AY130" t="str">
        <f>IFERROR(INDEX(Liste_Handelsünger[Handelsdünger],_xlfn.AGGREGATE(15,6,(ROW(Liste_Handelsünger[Handelsdünger])-1)/(--(SEARCH(AZ$2,Liste_Handelsünger[Handelsdünger])&gt;0)),ROW()-2),1),"")</f>
        <v>Thomaskali 10:20 + 3MgO</v>
      </c>
      <c r="AZ130" t="str">
        <f>IF(($A138=""),"",IF(COUNTIF(Mineral!$AJ$3:$AJ$324,$A138),"",$A138))</f>
        <v/>
      </c>
      <c r="BA130" t="str">
        <f>IFERROR(INDEX(Liste_Handelsünger[Handelsdünger],_xlfn.AGGREGATE(15,6,(ROW(Liste_Handelsünger[Handelsdünger])-1)/(--(SEARCH(BB$2,Liste_Handelsünger[Handelsdünger])&gt;0)),ROW()-2),1),"")</f>
        <v>Thomaskali 10:20 + 3MgO</v>
      </c>
      <c r="BB130" t="str">
        <f>IF(($A139=""),"",IF(COUNTIF(Mineral!$AJ$3:$AJ$324,$A139),"",$A139))</f>
        <v/>
      </c>
      <c r="BC130" t="str">
        <f>IFERROR(INDEX(Liste_Handelsünger[Handelsdünger],_xlfn.AGGREGATE(15,6,(ROW(Liste_Handelsünger[Handelsdünger])-1)/(--(SEARCH(BD$2,Liste_Handelsünger[Handelsdünger])&gt;0)),ROW()-2),1),"")</f>
        <v>Thomaskali 10:20 + 3MgO</v>
      </c>
      <c r="BD130" t="str">
        <f>IF(($A140=""),"",IF(COUNTIF(Mineral!$AJ$3:$AJ$324,$A140),"",$A140))</f>
        <v/>
      </c>
      <c r="BE130" t="str">
        <f>IFERROR(INDEX(Liste_Handelsünger[Handelsdünger],_xlfn.AGGREGATE(15,6,(ROW(Liste_Handelsünger[Handelsdünger])-1)/(--(SEARCH(BF$2,Liste_Handelsünger[Handelsdünger])&gt;0)),ROW()-2),1),"")</f>
        <v>Thomaskali 10:20 + 3MgO</v>
      </c>
      <c r="BF130" t="str">
        <f>IF(($A141=""),"",IF(COUNTIF(Mineral!$AJ$3:$AJ$324,$A141),"",$A141))</f>
        <v/>
      </c>
      <c r="BG130" t="str">
        <f>IFERROR(INDEX(Liste_Handelsünger[Handelsdünger],_xlfn.AGGREGATE(15,6,(ROW(Liste_Handelsünger[Handelsdünger])-1)/(--(SEARCH(BH$2,Liste_Handelsünger[Handelsdünger])&gt;0)),ROW()-2),1),"")</f>
        <v>Thomaskali 10:20 + 3MgO</v>
      </c>
      <c r="BH130" t="str">
        <f>IF(($A142=""),"",IF(COUNTIF(Mineral!$AJ$3:$AJ$324,$A142),"",$A142))</f>
        <v/>
      </c>
      <c r="BI130" t="str">
        <f>IFERROR(INDEX(Liste_Handelsünger[Handelsdünger],_xlfn.AGGREGATE(15,6,(ROW(Liste_Handelsünger[Handelsdünger])-1)/(--(SEARCH(BJ$2,Liste_Handelsünger[Handelsdünger])&gt;0)),ROW()-2),1),"")</f>
        <v>Thomaskali 10:20 + 3MgO</v>
      </c>
      <c r="BJ130" t="str">
        <f>IF(($A143=""),"",IF(COUNTIF(Mineral!$AJ$3:$AJ$324,$A143),"",$A143))</f>
        <v/>
      </c>
      <c r="BK130" t="str">
        <f>IFERROR(INDEX(Liste_Handelsünger[Handelsdünger],_xlfn.AGGREGATE(15,6,(ROW(Liste_Handelsünger[Handelsdünger])-1)/(--(SEARCH(BL$2,Liste_Handelsünger[Handelsdünger])&gt;0)),ROW()-2),1),"")</f>
        <v>Thomaskali 10:20 + 3MgO</v>
      </c>
      <c r="BM130" t="str">
        <f>IFERROR(INDEX(Liste_Handelsünger[Handelsdünger],_xlfn.AGGREGATE(15,6,(ROW(Liste_Handelsünger[Handelsdünger])-1)/(--(SEARCH(BN$2,Liste_Handelsünger[Handelsdünger])&gt;0)),ROW()-2),1),"")</f>
        <v>Thomaskali 10:20 + 3MgO</v>
      </c>
      <c r="BN130" t="str">
        <f>IF(($A145=""),"",IF(COUNTIF(Mineral!$AJ$3:$AJ$324,$A145),"",$A145))</f>
        <v/>
      </c>
      <c r="BV130" t="s">
        <v>2299</v>
      </c>
      <c r="BW130" t="s">
        <v>2257</v>
      </c>
    </row>
    <row r="131" spans="19:75" ht="14.25" thickTop="1" thickBot="1">
      <c r="S131" s="1616">
        <v>130</v>
      </c>
      <c r="T131" s="1617" t="s">
        <v>2335</v>
      </c>
      <c r="U131" s="1617" t="s">
        <v>2301</v>
      </c>
      <c r="V131" s="1617"/>
      <c r="W131" s="1617">
        <v>0</v>
      </c>
      <c r="X131" s="1617">
        <v>15</v>
      </c>
      <c r="Y131" s="1617">
        <v>0</v>
      </c>
      <c r="Z131" s="1617">
        <v>0</v>
      </c>
      <c r="AA131" s="1617">
        <v>0</v>
      </c>
      <c r="AB131" s="1617">
        <v>0</v>
      </c>
      <c r="AC131" s="1617">
        <v>1</v>
      </c>
      <c r="AD131" s="1613">
        <v>1</v>
      </c>
      <c r="AE131" s="1617" t="s">
        <v>1764</v>
      </c>
      <c r="AF131" s="1613" t="str">
        <f t="shared" si="15"/>
        <v/>
      </c>
      <c r="AG131" s="1656">
        <f>IFERROR(IF($AF131&gt;0,VLOOKUP($U131,Tabelle1!$C$188:$L$212,5,0)*$AF131,0),0)</f>
        <v>0</v>
      </c>
      <c r="AH131" s="1656">
        <f t="shared" si="16"/>
        <v>0</v>
      </c>
      <c r="AJ131" t="str">
        <f>IF(Betrieb!$D$9="JA",Mineral!$BW131,Mineral!$BV131)</f>
        <v>Thomasmehl 0:15:0</v>
      </c>
      <c r="AK131" s="1672" t="str">
        <f>IFERROR(INDEX(Liste_Handelsünger[Handelsdünger],_xlfn.AGGREGATE(15,6,(ROW(Liste_Handelsünger[Handelsdünger])-1)/(--(SEARCH(AL$2,Liste_Handelsünger[Handelsdünger])&gt;0)),ROW()-2),1),"")</f>
        <v>Thomasmehl 0:15:0</v>
      </c>
      <c r="AL131" s="1672" t="str">
        <f>IF(($A$3=""),"",IF(COUNTIF(Mineral!$AJ$3:$AJ$324,$A$3),"",$A$3))</f>
        <v/>
      </c>
      <c r="AM131" s="1672" t="str">
        <f>IFERROR(INDEX(Liste_Handelsünger[Handelsdünger],_xlfn.AGGREGATE(15,6,(ROW(Liste_Handelsünger[Handelsdünger])-1)/(--(SEARCH(AN$2,Liste_Handelsünger[Handelsdünger])&gt;0)),ROW()-2),1),"")</f>
        <v>Thomasmehl 0:15:0</v>
      </c>
      <c r="AN131" t="str">
        <f>IF(($A133=""),"",IF(COUNTIF(Mineral!$AJ$3:$AJ$324,$A133),"",$A133))</f>
        <v/>
      </c>
      <c r="AO131" t="str">
        <f>IFERROR(INDEX(Liste_Handelsünger[Handelsdünger],_xlfn.AGGREGATE(15,6,(ROW(Liste_Handelsünger[Handelsdünger])-1)/(--(SEARCH(AP$2,Liste_Handelsünger[Handelsdünger])&gt;0)),ROW()-2),1),"")</f>
        <v>Thomasmehl 0:15:0</v>
      </c>
      <c r="AP131" t="str">
        <f>IF(($A134=""),"",IF(COUNTIF(Mineral!$AJ$3:$AJ$324,$A134),"",$A134))</f>
        <v/>
      </c>
      <c r="AQ131" t="str">
        <f>IFERROR(INDEX(Liste_Handelsünger[Handelsdünger],_xlfn.AGGREGATE(15,6,(ROW(Liste_Handelsünger[Handelsdünger])-1)/(--(SEARCH(AR$2,Liste_Handelsünger[Handelsdünger])&gt;0)),ROW()-2),1),"")</f>
        <v>Thomasmehl 0:15:0</v>
      </c>
      <c r="AR131" t="str">
        <f>IF(($A135=""),"",IF(COUNTIF(Mineral!$AJ$3:$AJ$324,$A135),"",$A135))</f>
        <v/>
      </c>
      <c r="AS131" t="str">
        <f>IFERROR(INDEX(Liste_Handelsünger[Handelsdünger],_xlfn.AGGREGATE(15,6,(ROW(Liste_Handelsünger[Handelsdünger])-1)/(--(SEARCH(AT$2,Liste_Handelsünger[Handelsdünger])&gt;0)),ROW()-2),1),"")</f>
        <v>Thomasmehl 0:15:0</v>
      </c>
      <c r="AT131" t="str">
        <f>IF(($A136=""),"",IF(COUNTIF(Mineral!$AJ$3:$AJ$324,$A136),"",$A136))</f>
        <v/>
      </c>
      <c r="AU131" t="str">
        <f>IFERROR(INDEX(Liste_Handelsünger[Handelsdünger],_xlfn.AGGREGATE(15,6,(ROW(Liste_Handelsünger[Handelsdünger])-1)/(--(SEARCH(AV$2,Liste_Handelsünger[Handelsdünger])&gt;0)),ROW()-2),1),"")</f>
        <v>Thomasmehl 0:15:0</v>
      </c>
      <c r="AV131" t="str">
        <f>IF(($A137=""),"",IF(COUNTIF(Mineral!$AJ$3:$AJ$324,$A137),"",$A137))</f>
        <v/>
      </c>
      <c r="AW131" t="str">
        <f>IFERROR(INDEX(Liste_Handelsünger[Handelsdünger],_xlfn.AGGREGATE(15,6,(ROW(Liste_Handelsünger[Handelsdünger])-1)/(--(SEARCH(AX$2,Liste_Handelsünger[Handelsdünger])&gt;0)),ROW()-2),1),"")</f>
        <v>Thomasmehl 0:15:0</v>
      </c>
      <c r="AX131" t="str">
        <f>IF(($A138=""),"",IF(COUNTIF(Mineral!$AJ$3:$AJ$324,$A138),"",$A138))</f>
        <v/>
      </c>
      <c r="AY131" t="str">
        <f>IFERROR(INDEX(Liste_Handelsünger[Handelsdünger],_xlfn.AGGREGATE(15,6,(ROW(Liste_Handelsünger[Handelsdünger])-1)/(--(SEARCH(AZ$2,Liste_Handelsünger[Handelsdünger])&gt;0)),ROW()-2),1),"")</f>
        <v>Thomasmehl 0:15:0</v>
      </c>
      <c r="AZ131" t="str">
        <f>IF(($A139=""),"",IF(COUNTIF(Mineral!$AJ$3:$AJ$324,$A139),"",$A139))</f>
        <v/>
      </c>
      <c r="BA131" t="str">
        <f>IFERROR(INDEX(Liste_Handelsünger[Handelsdünger],_xlfn.AGGREGATE(15,6,(ROW(Liste_Handelsünger[Handelsdünger])-1)/(--(SEARCH(BB$2,Liste_Handelsünger[Handelsdünger])&gt;0)),ROW()-2),1),"")</f>
        <v>Thomasmehl 0:15:0</v>
      </c>
      <c r="BB131" t="str">
        <f>IF(($A140=""),"",IF(COUNTIF(Mineral!$AJ$3:$AJ$324,$A140),"",$A140))</f>
        <v/>
      </c>
      <c r="BC131" t="str">
        <f>IFERROR(INDEX(Liste_Handelsünger[Handelsdünger],_xlfn.AGGREGATE(15,6,(ROW(Liste_Handelsünger[Handelsdünger])-1)/(--(SEARCH(BD$2,Liste_Handelsünger[Handelsdünger])&gt;0)),ROW()-2),1),"")</f>
        <v>Thomasmehl 0:15:0</v>
      </c>
      <c r="BD131" t="str">
        <f>IF(($A141=""),"",IF(COUNTIF(Mineral!$AJ$3:$AJ$324,$A141),"",$A141))</f>
        <v/>
      </c>
      <c r="BE131" t="str">
        <f>IFERROR(INDEX(Liste_Handelsünger[Handelsdünger],_xlfn.AGGREGATE(15,6,(ROW(Liste_Handelsünger[Handelsdünger])-1)/(--(SEARCH(BF$2,Liste_Handelsünger[Handelsdünger])&gt;0)),ROW()-2),1),"")</f>
        <v>Thomasmehl 0:15:0</v>
      </c>
      <c r="BF131" t="str">
        <f>IF(($A142=""),"",IF(COUNTIF(Mineral!$AJ$3:$AJ$324,$A142),"",$A142))</f>
        <v/>
      </c>
      <c r="BG131" t="str">
        <f>IFERROR(INDEX(Liste_Handelsünger[Handelsdünger],_xlfn.AGGREGATE(15,6,(ROW(Liste_Handelsünger[Handelsdünger])-1)/(--(SEARCH(BH$2,Liste_Handelsünger[Handelsdünger])&gt;0)),ROW()-2),1),"")</f>
        <v>Thomasmehl 0:15:0</v>
      </c>
      <c r="BH131" t="str">
        <f>IF(($A143=""),"",IF(COUNTIF(Mineral!$AJ$3:$AJ$324,$A143),"",$A143))</f>
        <v/>
      </c>
      <c r="BI131" t="str">
        <f>IFERROR(INDEX(Liste_Handelsünger[Handelsdünger],_xlfn.AGGREGATE(15,6,(ROW(Liste_Handelsünger[Handelsdünger])-1)/(--(SEARCH(BJ$2,Liste_Handelsünger[Handelsdünger])&gt;0)),ROW()-2),1),"")</f>
        <v>Thomasmehl 0:15:0</v>
      </c>
      <c r="BJ131" t="str">
        <f>IF(($A144=""),"",IF(COUNTIF(Mineral!$AJ$3:$AJ$324,$A144),"",$A144))</f>
        <v/>
      </c>
      <c r="BK131" t="str">
        <f>IFERROR(INDEX(Liste_Handelsünger[Handelsdünger],_xlfn.AGGREGATE(15,6,(ROW(Liste_Handelsünger[Handelsdünger])-1)/(--(SEARCH(BL$2,Liste_Handelsünger[Handelsdünger])&gt;0)),ROW()-2),1),"")</f>
        <v>Thomasmehl 0:15:0</v>
      </c>
      <c r="BM131" t="str">
        <f>IFERROR(INDEX(Liste_Handelsünger[Handelsdünger],_xlfn.AGGREGATE(15,6,(ROW(Liste_Handelsünger[Handelsdünger])-1)/(--(SEARCH(BN$2,Liste_Handelsünger[Handelsdünger])&gt;0)),ROW()-2),1),"")</f>
        <v>Thomasmehl 0:15:0</v>
      </c>
      <c r="BN131" t="str">
        <f>IF(($A146=""),"",IF(COUNTIF(Mineral!$AJ$3:$AJ$324,$A146),"",$A146))</f>
        <v/>
      </c>
      <c r="BV131" t="s">
        <v>2301</v>
      </c>
      <c r="BW131" t="s">
        <v>2258</v>
      </c>
    </row>
    <row r="132" spans="19:75" ht="14.25" thickTop="1" thickBot="1">
      <c r="S132" s="1676">
        <v>131</v>
      </c>
      <c r="T132" s="1606" t="s">
        <v>2335</v>
      </c>
      <c r="U132" s="1606" t="s">
        <v>2302</v>
      </c>
      <c r="V132" s="1606"/>
      <c r="W132" s="1606">
        <v>0</v>
      </c>
      <c r="X132" s="1606">
        <v>12.5</v>
      </c>
      <c r="Y132" s="1606">
        <v>0</v>
      </c>
      <c r="Z132" s="1606">
        <v>0</v>
      </c>
      <c r="AA132" s="1606">
        <v>45</v>
      </c>
      <c r="AB132" s="1606">
        <v>2</v>
      </c>
      <c r="AC132" s="1606">
        <v>1</v>
      </c>
      <c r="AD132" s="1613">
        <v>1</v>
      </c>
      <c r="AE132" s="1606" t="s">
        <v>1764</v>
      </c>
      <c r="AF132" s="1613" t="str">
        <f t="shared" ref="AF132:AF195" si="17">IFERROR(IF(VLOOKUP($U132,$A$3:$L$27,1,0)=$U132,VLOOKUP($U132,$A$3:$L$27,3,0),""),"")</f>
        <v/>
      </c>
      <c r="AG132" s="1656">
        <f>IFERROR(IF($AF132&gt;0,VLOOKUP($U132,Tabelle1!$C$188:$L$212,5,0)*$AF132,0),0)</f>
        <v>0</v>
      </c>
      <c r="AH132" s="1656">
        <f t="shared" ref="AH132:AH195" si="18">IFERROR(IF($AF132&gt;0,$AG132*$AC132,0),0)</f>
        <v>0</v>
      </c>
      <c r="AJ132" t="str">
        <f>IF(Betrieb!$D$9="JA",Mineral!$BW132,Mineral!$BV132)</f>
        <v>Thomasphosphat</v>
      </c>
      <c r="AK132" s="1672" t="str">
        <f>IFERROR(INDEX(Liste_Handelsünger[Handelsdünger],_xlfn.AGGREGATE(15,6,(ROW(Liste_Handelsünger[Handelsdünger])-1)/(--(SEARCH(AL$2,Liste_Handelsünger[Handelsdünger])&gt;0)),ROW()-2),1),"")</f>
        <v>Thomasphosphat</v>
      </c>
      <c r="AL132" s="1672" t="str">
        <f>IF(($A$3=""),"",IF(COUNTIF(Mineral!$AJ$3:$AJ$324,$A$3),"",$A$3))</f>
        <v/>
      </c>
      <c r="AM132" s="1672" t="str">
        <f>IFERROR(INDEX(Liste_Handelsünger[Handelsdünger],_xlfn.AGGREGATE(15,6,(ROW(Liste_Handelsünger[Handelsdünger])-1)/(--(SEARCH(AN$2,Liste_Handelsünger[Handelsdünger])&gt;0)),ROW()-2),1),"")</f>
        <v>Thomasphosphat</v>
      </c>
      <c r="AN132" t="str">
        <f>IF(($A134=""),"",IF(COUNTIF(Mineral!$AJ$3:$AJ$324,$A134),"",$A134))</f>
        <v/>
      </c>
      <c r="AO132" t="str">
        <f>IFERROR(INDEX(Liste_Handelsünger[Handelsdünger],_xlfn.AGGREGATE(15,6,(ROW(Liste_Handelsünger[Handelsdünger])-1)/(--(SEARCH(AP$2,Liste_Handelsünger[Handelsdünger])&gt;0)),ROW()-2),1),"")</f>
        <v>Thomasphosphat</v>
      </c>
      <c r="AP132" t="str">
        <f>IF(($A135=""),"",IF(COUNTIF(Mineral!$AJ$3:$AJ$324,$A135),"",$A135))</f>
        <v/>
      </c>
      <c r="AQ132" t="str">
        <f>IFERROR(INDEX(Liste_Handelsünger[Handelsdünger],_xlfn.AGGREGATE(15,6,(ROW(Liste_Handelsünger[Handelsdünger])-1)/(--(SEARCH(AR$2,Liste_Handelsünger[Handelsdünger])&gt;0)),ROW()-2),1),"")</f>
        <v>Thomasphosphat</v>
      </c>
      <c r="AR132" t="str">
        <f>IF(($A136=""),"",IF(COUNTIF(Mineral!$AJ$3:$AJ$324,$A136),"",$A136))</f>
        <v/>
      </c>
      <c r="AS132" t="str">
        <f>IFERROR(INDEX(Liste_Handelsünger[Handelsdünger],_xlfn.AGGREGATE(15,6,(ROW(Liste_Handelsünger[Handelsdünger])-1)/(--(SEARCH(AT$2,Liste_Handelsünger[Handelsdünger])&gt;0)),ROW()-2),1),"")</f>
        <v>Thomasphosphat</v>
      </c>
      <c r="AT132" t="str">
        <f>IF(($A137=""),"",IF(COUNTIF(Mineral!$AJ$3:$AJ$324,$A137),"",$A137))</f>
        <v/>
      </c>
      <c r="AU132" t="str">
        <f>IFERROR(INDEX(Liste_Handelsünger[Handelsdünger],_xlfn.AGGREGATE(15,6,(ROW(Liste_Handelsünger[Handelsdünger])-1)/(--(SEARCH(AV$2,Liste_Handelsünger[Handelsdünger])&gt;0)),ROW()-2),1),"")</f>
        <v>Thomasphosphat</v>
      </c>
      <c r="AV132" t="str">
        <f>IF(($A138=""),"",IF(COUNTIF(Mineral!$AJ$3:$AJ$324,$A138),"",$A138))</f>
        <v/>
      </c>
      <c r="AW132" t="str">
        <f>IFERROR(INDEX(Liste_Handelsünger[Handelsdünger],_xlfn.AGGREGATE(15,6,(ROW(Liste_Handelsünger[Handelsdünger])-1)/(--(SEARCH(AX$2,Liste_Handelsünger[Handelsdünger])&gt;0)),ROW()-2),1),"")</f>
        <v>Thomasphosphat</v>
      </c>
      <c r="AX132" t="str">
        <f>IF(($A139=""),"",IF(COUNTIF(Mineral!$AJ$3:$AJ$324,$A139),"",$A139))</f>
        <v/>
      </c>
      <c r="AY132" t="str">
        <f>IFERROR(INDEX(Liste_Handelsünger[Handelsdünger],_xlfn.AGGREGATE(15,6,(ROW(Liste_Handelsünger[Handelsdünger])-1)/(--(SEARCH(AZ$2,Liste_Handelsünger[Handelsdünger])&gt;0)),ROW()-2),1),"")</f>
        <v>Thomasphosphat</v>
      </c>
      <c r="AZ132" t="str">
        <f>IF(($A140=""),"",IF(COUNTIF(Mineral!$AJ$3:$AJ$324,$A140),"",$A140))</f>
        <v/>
      </c>
      <c r="BA132" t="str">
        <f>IFERROR(INDEX(Liste_Handelsünger[Handelsdünger],_xlfn.AGGREGATE(15,6,(ROW(Liste_Handelsünger[Handelsdünger])-1)/(--(SEARCH(BB$2,Liste_Handelsünger[Handelsdünger])&gt;0)),ROW()-2),1),"")</f>
        <v>Thomasphosphat</v>
      </c>
      <c r="BB132" t="str">
        <f>IF(($A141=""),"",IF(COUNTIF(Mineral!$AJ$3:$AJ$324,$A141),"",$A141))</f>
        <v/>
      </c>
      <c r="BC132" t="str">
        <f>IFERROR(INDEX(Liste_Handelsünger[Handelsdünger],_xlfn.AGGREGATE(15,6,(ROW(Liste_Handelsünger[Handelsdünger])-1)/(--(SEARCH(BD$2,Liste_Handelsünger[Handelsdünger])&gt;0)),ROW()-2),1),"")</f>
        <v>Thomasphosphat</v>
      </c>
      <c r="BD132" t="str">
        <f>IF(($A142=""),"",IF(COUNTIF(Mineral!$AJ$3:$AJ$324,$A142),"",$A142))</f>
        <v/>
      </c>
      <c r="BE132" t="str">
        <f>IFERROR(INDEX(Liste_Handelsünger[Handelsdünger],_xlfn.AGGREGATE(15,6,(ROW(Liste_Handelsünger[Handelsdünger])-1)/(--(SEARCH(BF$2,Liste_Handelsünger[Handelsdünger])&gt;0)),ROW()-2),1),"")</f>
        <v>Thomasphosphat</v>
      </c>
      <c r="BF132" t="str">
        <f>IF(($A143=""),"",IF(COUNTIF(Mineral!$AJ$3:$AJ$324,$A143),"",$A143))</f>
        <v/>
      </c>
      <c r="BG132" t="str">
        <f>IFERROR(INDEX(Liste_Handelsünger[Handelsdünger],_xlfn.AGGREGATE(15,6,(ROW(Liste_Handelsünger[Handelsdünger])-1)/(--(SEARCH(BH$2,Liste_Handelsünger[Handelsdünger])&gt;0)),ROW()-2),1),"")</f>
        <v>Thomasphosphat</v>
      </c>
      <c r="BH132" t="str">
        <f>IF(($A144=""),"",IF(COUNTIF(Mineral!$AJ$3:$AJ$324,$A144),"",$A144))</f>
        <v/>
      </c>
      <c r="BI132" t="str">
        <f>IFERROR(INDEX(Liste_Handelsünger[Handelsdünger],_xlfn.AGGREGATE(15,6,(ROW(Liste_Handelsünger[Handelsdünger])-1)/(--(SEARCH(BJ$2,Liste_Handelsünger[Handelsdünger])&gt;0)),ROW()-2),1),"")</f>
        <v>Thomasphosphat</v>
      </c>
      <c r="BJ132" t="str">
        <f>IF(($A145=""),"",IF(COUNTIF(Mineral!$AJ$3:$AJ$324,$A145),"",$A145))</f>
        <v/>
      </c>
      <c r="BK132" t="str">
        <f>IFERROR(INDEX(Liste_Handelsünger[Handelsdünger],_xlfn.AGGREGATE(15,6,(ROW(Liste_Handelsünger[Handelsdünger])-1)/(--(SEARCH(BL$2,Liste_Handelsünger[Handelsdünger])&gt;0)),ROW()-2),1),"")</f>
        <v>Thomasphosphat</v>
      </c>
      <c r="BM132" t="str">
        <f>IFERROR(INDEX(Liste_Handelsünger[Handelsdünger],_xlfn.AGGREGATE(15,6,(ROW(Liste_Handelsünger[Handelsdünger])-1)/(--(SEARCH(BN$2,Liste_Handelsünger[Handelsdünger])&gt;0)),ROW()-2),1),"")</f>
        <v>Thomasphosphat</v>
      </c>
      <c r="BN132" t="str">
        <f>IF(($A147=""),"",IF(COUNTIF(Mineral!$AJ$3:$AJ$324,$A147),"",$A147))</f>
        <v/>
      </c>
      <c r="BV132" t="s">
        <v>2302</v>
      </c>
      <c r="BW132" t="s">
        <v>2259</v>
      </c>
    </row>
    <row r="133" spans="19:75" ht="14.25" thickTop="1" thickBot="1">
      <c r="S133" s="1616">
        <v>132</v>
      </c>
      <c r="T133" s="1617" t="s">
        <v>2335</v>
      </c>
      <c r="U133" s="1617" t="s">
        <v>2307</v>
      </c>
      <c r="V133" s="1617"/>
      <c r="W133" s="1617">
        <v>30</v>
      </c>
      <c r="X133" s="1617">
        <v>0</v>
      </c>
      <c r="Y133" s="1617">
        <v>0</v>
      </c>
      <c r="Z133" s="1617">
        <v>0</v>
      </c>
      <c r="AA133" s="1617">
        <v>0</v>
      </c>
      <c r="AB133" s="1617">
        <v>0</v>
      </c>
      <c r="AC133" s="1617">
        <v>1</v>
      </c>
      <c r="AD133" s="1613">
        <v>1</v>
      </c>
      <c r="AE133" s="1617" t="s">
        <v>2016</v>
      </c>
      <c r="AF133" s="1613" t="str">
        <f t="shared" si="17"/>
        <v/>
      </c>
      <c r="AG133" s="1656">
        <f>IFERROR(IF($AF133&gt;0,VLOOKUP($U133,Tabelle1!$C$188:$L$212,5,0)*$AF133,0),0)</f>
        <v>0</v>
      </c>
      <c r="AH133" s="1656">
        <f t="shared" si="18"/>
        <v>0</v>
      </c>
      <c r="AJ133" t="str">
        <f>IF(Betrieb!$D$9="JA",Mineral!$BW133,Mineral!$BV133)</f>
        <v>UAN 30 NContent 30:0:0</v>
      </c>
      <c r="AK133" s="1672" t="str">
        <f>IFERROR(INDEX(Liste_Handelsünger[Handelsdünger],_xlfn.AGGREGATE(15,6,(ROW(Liste_Handelsünger[Handelsdünger])-1)/(--(SEARCH(AL$2,Liste_Handelsünger[Handelsdünger])&gt;0)),ROW()-2),1),"")</f>
        <v>UAN 30 NContent 30:0:0</v>
      </c>
      <c r="AL133" s="1672" t="str">
        <f>IF(($A$3=""),"",IF(COUNTIF(Mineral!$AJ$3:$AJ$324,$A$3),"",$A$3))</f>
        <v/>
      </c>
      <c r="AM133" s="1672" t="str">
        <f>IFERROR(INDEX(Liste_Handelsünger[Handelsdünger],_xlfn.AGGREGATE(15,6,(ROW(Liste_Handelsünger[Handelsdünger])-1)/(--(SEARCH(AN$2,Liste_Handelsünger[Handelsdünger])&gt;0)),ROW()-2),1),"")</f>
        <v>UAN 30 NContent 30:0:0</v>
      </c>
      <c r="AN133" t="str">
        <f>IF(($A135=""),"",IF(COUNTIF(Mineral!$AJ$3:$AJ$324,$A135),"",$A135))</f>
        <v/>
      </c>
      <c r="AO133" t="str">
        <f>IFERROR(INDEX(Liste_Handelsünger[Handelsdünger],_xlfn.AGGREGATE(15,6,(ROW(Liste_Handelsünger[Handelsdünger])-1)/(--(SEARCH(AP$2,Liste_Handelsünger[Handelsdünger])&gt;0)),ROW()-2),1),"")</f>
        <v>UAN 30 NContent 30:0:0</v>
      </c>
      <c r="AP133" t="str">
        <f>IF(($A136=""),"",IF(COUNTIF(Mineral!$AJ$3:$AJ$324,$A136),"",$A136))</f>
        <v/>
      </c>
      <c r="AQ133" t="str">
        <f>IFERROR(INDEX(Liste_Handelsünger[Handelsdünger],_xlfn.AGGREGATE(15,6,(ROW(Liste_Handelsünger[Handelsdünger])-1)/(--(SEARCH(AR$2,Liste_Handelsünger[Handelsdünger])&gt;0)),ROW()-2),1),"")</f>
        <v>UAN 30 NContent 30:0:0</v>
      </c>
      <c r="AR133" t="str">
        <f>IF(($A137=""),"",IF(COUNTIF(Mineral!$AJ$3:$AJ$324,$A137),"",$A137))</f>
        <v/>
      </c>
      <c r="AS133" t="str">
        <f>IFERROR(INDEX(Liste_Handelsünger[Handelsdünger],_xlfn.AGGREGATE(15,6,(ROW(Liste_Handelsünger[Handelsdünger])-1)/(--(SEARCH(AT$2,Liste_Handelsünger[Handelsdünger])&gt;0)),ROW()-2),1),"")</f>
        <v>UAN 30 NContent 30:0:0</v>
      </c>
      <c r="AT133" t="str">
        <f>IF(($A138=""),"",IF(COUNTIF(Mineral!$AJ$3:$AJ$324,$A138),"",$A138))</f>
        <v/>
      </c>
      <c r="AU133" t="str">
        <f>IFERROR(INDEX(Liste_Handelsünger[Handelsdünger],_xlfn.AGGREGATE(15,6,(ROW(Liste_Handelsünger[Handelsdünger])-1)/(--(SEARCH(AV$2,Liste_Handelsünger[Handelsdünger])&gt;0)),ROW()-2),1),"")</f>
        <v>UAN 30 NContent 30:0:0</v>
      </c>
      <c r="AV133" t="str">
        <f>IF(($A139=""),"",IF(COUNTIF(Mineral!$AJ$3:$AJ$324,$A139),"",$A139))</f>
        <v/>
      </c>
      <c r="AW133" t="str">
        <f>IFERROR(INDEX(Liste_Handelsünger[Handelsdünger],_xlfn.AGGREGATE(15,6,(ROW(Liste_Handelsünger[Handelsdünger])-1)/(--(SEARCH(AX$2,Liste_Handelsünger[Handelsdünger])&gt;0)),ROW()-2),1),"")</f>
        <v>UAN 30 NContent 30:0:0</v>
      </c>
      <c r="AX133" t="str">
        <f>IF(($A140=""),"",IF(COUNTIF(Mineral!$AJ$3:$AJ$324,$A140),"",$A140))</f>
        <v/>
      </c>
      <c r="AY133" t="str">
        <f>IFERROR(INDEX(Liste_Handelsünger[Handelsdünger],_xlfn.AGGREGATE(15,6,(ROW(Liste_Handelsünger[Handelsdünger])-1)/(--(SEARCH(AZ$2,Liste_Handelsünger[Handelsdünger])&gt;0)),ROW()-2),1),"")</f>
        <v>UAN 30 NContent 30:0:0</v>
      </c>
      <c r="AZ133" t="str">
        <f>IF(($A141=""),"",IF(COUNTIF(Mineral!$AJ$3:$AJ$324,$A141),"",$A141))</f>
        <v/>
      </c>
      <c r="BA133" t="str">
        <f>IFERROR(INDEX(Liste_Handelsünger[Handelsdünger],_xlfn.AGGREGATE(15,6,(ROW(Liste_Handelsünger[Handelsdünger])-1)/(--(SEARCH(BB$2,Liste_Handelsünger[Handelsdünger])&gt;0)),ROW()-2),1),"")</f>
        <v>UAN 30 NContent 30:0:0</v>
      </c>
      <c r="BB133" t="str">
        <f>IF(($A142=""),"",IF(COUNTIF(Mineral!$AJ$3:$AJ$324,$A142),"",$A142))</f>
        <v/>
      </c>
      <c r="BC133" t="str">
        <f>IFERROR(INDEX(Liste_Handelsünger[Handelsdünger],_xlfn.AGGREGATE(15,6,(ROW(Liste_Handelsünger[Handelsdünger])-1)/(--(SEARCH(BD$2,Liste_Handelsünger[Handelsdünger])&gt;0)),ROW()-2),1),"")</f>
        <v>UAN 30 NContent 30:0:0</v>
      </c>
      <c r="BD133" t="str">
        <f>IF(($A143=""),"",IF(COUNTIF(Mineral!$AJ$3:$AJ$324,$A143),"",$A143))</f>
        <v/>
      </c>
      <c r="BE133" t="str">
        <f>IFERROR(INDEX(Liste_Handelsünger[Handelsdünger],_xlfn.AGGREGATE(15,6,(ROW(Liste_Handelsünger[Handelsdünger])-1)/(--(SEARCH(BF$2,Liste_Handelsünger[Handelsdünger])&gt;0)),ROW()-2),1),"")</f>
        <v>UAN 30 NContent 30:0:0</v>
      </c>
      <c r="BF133" t="str">
        <f>IF(($A144=""),"",IF(COUNTIF(Mineral!$AJ$3:$AJ$324,$A144),"",$A144))</f>
        <v/>
      </c>
      <c r="BG133" t="str">
        <f>IFERROR(INDEX(Liste_Handelsünger[Handelsdünger],_xlfn.AGGREGATE(15,6,(ROW(Liste_Handelsünger[Handelsdünger])-1)/(--(SEARCH(BH$2,Liste_Handelsünger[Handelsdünger])&gt;0)),ROW()-2),1),"")</f>
        <v>UAN 30 NContent 30:0:0</v>
      </c>
      <c r="BH133" t="str">
        <f>IF(($A145=""),"",IF(COUNTIF(Mineral!$AJ$3:$AJ$324,$A145),"",$A145))</f>
        <v/>
      </c>
      <c r="BI133" t="str">
        <f>IFERROR(INDEX(Liste_Handelsünger[Handelsdünger],_xlfn.AGGREGATE(15,6,(ROW(Liste_Handelsünger[Handelsdünger])-1)/(--(SEARCH(BJ$2,Liste_Handelsünger[Handelsdünger])&gt;0)),ROW()-2),1),"")</f>
        <v>UAN 30 NContent 30:0:0</v>
      </c>
      <c r="BJ133" t="str">
        <f>IF(($A146=""),"",IF(COUNTIF(Mineral!$AJ$3:$AJ$324,$A146),"",$A146))</f>
        <v/>
      </c>
      <c r="BK133" t="str">
        <f>IFERROR(INDEX(Liste_Handelsünger[Handelsdünger],_xlfn.AGGREGATE(15,6,(ROW(Liste_Handelsünger[Handelsdünger])-1)/(--(SEARCH(BL$2,Liste_Handelsünger[Handelsdünger])&gt;0)),ROW()-2),1),"")</f>
        <v>UAN 30 NContent 30:0:0</v>
      </c>
      <c r="BM133" t="str">
        <f>IFERROR(INDEX(Liste_Handelsünger[Handelsdünger],_xlfn.AGGREGATE(15,6,(ROW(Liste_Handelsünger[Handelsdünger])-1)/(--(SEARCH(BN$2,Liste_Handelsünger[Handelsdünger])&gt;0)),ROW()-2),1),"")</f>
        <v>UAN 30 NContent 30:0:0</v>
      </c>
      <c r="BN133" t="str">
        <f>IF(($A148=""),"",IF(COUNTIF(Mineral!$AJ$3:$AJ$324,$A148),"",$A148))</f>
        <v/>
      </c>
      <c r="BV133" t="s">
        <v>2307</v>
      </c>
      <c r="BW133" t="s">
        <v>2260</v>
      </c>
    </row>
    <row r="134" spans="19:75" ht="14.25" thickTop="1" thickBot="1">
      <c r="S134" s="1676">
        <v>133</v>
      </c>
      <c r="T134" s="1606" t="s">
        <v>2335</v>
      </c>
      <c r="U134" s="1606" t="s">
        <v>2309</v>
      </c>
      <c r="V134" s="1606"/>
      <c r="W134" s="1606">
        <v>46</v>
      </c>
      <c r="X134" s="1606">
        <v>0</v>
      </c>
      <c r="Y134" s="1606">
        <v>0</v>
      </c>
      <c r="Z134" s="1606">
        <v>0</v>
      </c>
      <c r="AA134" s="1606">
        <v>0</v>
      </c>
      <c r="AB134" s="1606">
        <v>0</v>
      </c>
      <c r="AC134" s="1606">
        <v>1</v>
      </c>
      <c r="AD134" s="1613">
        <v>1</v>
      </c>
      <c r="AE134" s="1606" t="s">
        <v>2016</v>
      </c>
      <c r="AF134" s="1613" t="str">
        <f t="shared" si="17"/>
        <v/>
      </c>
      <c r="AG134" s="1656">
        <f>IFERROR(IF($AF134&gt;0,VLOOKUP($U134,Tabelle1!$C$188:$L$212,5,0)*$AF134,0),0)</f>
        <v>0</v>
      </c>
      <c r="AH134" s="1656">
        <f t="shared" si="18"/>
        <v>0</v>
      </c>
      <c r="AJ134" t="str">
        <f>IF(Betrieb!$D$9="JA",Mineral!$BW134,Mineral!$BV134)</f>
        <v>UREA 46 NContent 46:0:0</v>
      </c>
      <c r="AK134" s="1672" t="str">
        <f>IFERROR(INDEX(Liste_Handelsünger[Handelsdünger],_xlfn.AGGREGATE(15,6,(ROW(Liste_Handelsünger[Handelsdünger])-1)/(--(SEARCH(AL$2,Liste_Handelsünger[Handelsdünger])&gt;0)),ROW()-2),1),"")</f>
        <v>UREA 46 NContent 46:0:0</v>
      </c>
      <c r="AL134" s="1672" t="str">
        <f>IF(($A$3=""),"",IF(COUNTIF(Mineral!$AJ$3:$AJ$324,$A$3),"",$A$3))</f>
        <v/>
      </c>
      <c r="AM134" s="1672" t="str">
        <f>IFERROR(INDEX(Liste_Handelsünger[Handelsdünger],_xlfn.AGGREGATE(15,6,(ROW(Liste_Handelsünger[Handelsdünger])-1)/(--(SEARCH(AN$2,Liste_Handelsünger[Handelsdünger])&gt;0)),ROW()-2),1),"")</f>
        <v>UREA 46 NContent 46:0:0</v>
      </c>
      <c r="AN134" t="str">
        <f>IF(($A136=""),"",IF(COUNTIF(Mineral!$AJ$3:$AJ$324,$A136),"",$A136))</f>
        <v/>
      </c>
      <c r="AO134" t="str">
        <f>IFERROR(INDEX(Liste_Handelsünger[Handelsdünger],_xlfn.AGGREGATE(15,6,(ROW(Liste_Handelsünger[Handelsdünger])-1)/(--(SEARCH(AP$2,Liste_Handelsünger[Handelsdünger])&gt;0)),ROW()-2),1),"")</f>
        <v>UREA 46 NContent 46:0:0</v>
      </c>
      <c r="AP134" t="str">
        <f>IF(($A137=""),"",IF(COUNTIF(Mineral!$AJ$3:$AJ$324,$A137),"",$A137))</f>
        <v/>
      </c>
      <c r="AQ134" t="str">
        <f>IFERROR(INDEX(Liste_Handelsünger[Handelsdünger],_xlfn.AGGREGATE(15,6,(ROW(Liste_Handelsünger[Handelsdünger])-1)/(--(SEARCH(AR$2,Liste_Handelsünger[Handelsdünger])&gt;0)),ROW()-2),1),"")</f>
        <v>UREA 46 NContent 46:0:0</v>
      </c>
      <c r="AR134" t="str">
        <f>IF(($A138=""),"",IF(COUNTIF(Mineral!$AJ$3:$AJ$324,$A138),"",$A138))</f>
        <v/>
      </c>
      <c r="AS134" t="str">
        <f>IFERROR(INDEX(Liste_Handelsünger[Handelsdünger],_xlfn.AGGREGATE(15,6,(ROW(Liste_Handelsünger[Handelsdünger])-1)/(--(SEARCH(AT$2,Liste_Handelsünger[Handelsdünger])&gt;0)),ROW()-2),1),"")</f>
        <v>UREA 46 NContent 46:0:0</v>
      </c>
      <c r="AT134" t="str">
        <f>IF(($A139=""),"",IF(COUNTIF(Mineral!$AJ$3:$AJ$324,$A139),"",$A139))</f>
        <v/>
      </c>
      <c r="AU134" t="str">
        <f>IFERROR(INDEX(Liste_Handelsünger[Handelsdünger],_xlfn.AGGREGATE(15,6,(ROW(Liste_Handelsünger[Handelsdünger])-1)/(--(SEARCH(AV$2,Liste_Handelsünger[Handelsdünger])&gt;0)),ROW()-2),1),"")</f>
        <v>UREA 46 NContent 46:0:0</v>
      </c>
      <c r="AV134" t="str">
        <f>IF(($A140=""),"",IF(COUNTIF(Mineral!$AJ$3:$AJ$324,$A140),"",$A140))</f>
        <v/>
      </c>
      <c r="AW134" t="str">
        <f>IFERROR(INDEX(Liste_Handelsünger[Handelsdünger],_xlfn.AGGREGATE(15,6,(ROW(Liste_Handelsünger[Handelsdünger])-1)/(--(SEARCH(AX$2,Liste_Handelsünger[Handelsdünger])&gt;0)),ROW()-2),1),"")</f>
        <v>UREA 46 NContent 46:0:0</v>
      </c>
      <c r="AX134" t="str">
        <f>IF(($A141=""),"",IF(COUNTIF(Mineral!$AJ$3:$AJ$324,$A141),"",$A141))</f>
        <v/>
      </c>
      <c r="AY134" t="str">
        <f>IFERROR(INDEX(Liste_Handelsünger[Handelsdünger],_xlfn.AGGREGATE(15,6,(ROW(Liste_Handelsünger[Handelsdünger])-1)/(--(SEARCH(AZ$2,Liste_Handelsünger[Handelsdünger])&gt;0)),ROW()-2),1),"")</f>
        <v>UREA 46 NContent 46:0:0</v>
      </c>
      <c r="AZ134" t="str">
        <f>IF(($A142=""),"",IF(COUNTIF(Mineral!$AJ$3:$AJ$324,$A142),"",$A142))</f>
        <v/>
      </c>
      <c r="BA134" t="str">
        <f>IFERROR(INDEX(Liste_Handelsünger[Handelsdünger],_xlfn.AGGREGATE(15,6,(ROW(Liste_Handelsünger[Handelsdünger])-1)/(--(SEARCH(BB$2,Liste_Handelsünger[Handelsdünger])&gt;0)),ROW()-2),1),"")</f>
        <v>UREA 46 NContent 46:0:0</v>
      </c>
      <c r="BB134" t="str">
        <f>IF(($A143=""),"",IF(COUNTIF(Mineral!$AJ$3:$AJ$324,$A143),"",$A143))</f>
        <v/>
      </c>
      <c r="BC134" t="str">
        <f>IFERROR(INDEX(Liste_Handelsünger[Handelsdünger],_xlfn.AGGREGATE(15,6,(ROW(Liste_Handelsünger[Handelsdünger])-1)/(--(SEARCH(BD$2,Liste_Handelsünger[Handelsdünger])&gt;0)),ROW()-2),1),"")</f>
        <v>UREA 46 NContent 46:0:0</v>
      </c>
      <c r="BD134" t="str">
        <f>IF(($A144=""),"",IF(COUNTIF(Mineral!$AJ$3:$AJ$324,$A144),"",$A144))</f>
        <v/>
      </c>
      <c r="BE134" t="str">
        <f>IFERROR(INDEX(Liste_Handelsünger[Handelsdünger],_xlfn.AGGREGATE(15,6,(ROW(Liste_Handelsünger[Handelsdünger])-1)/(--(SEARCH(BF$2,Liste_Handelsünger[Handelsdünger])&gt;0)),ROW()-2),1),"")</f>
        <v>UREA 46 NContent 46:0:0</v>
      </c>
      <c r="BF134" t="str">
        <f>IF(($A145=""),"",IF(COUNTIF(Mineral!$AJ$3:$AJ$324,$A145),"",$A145))</f>
        <v/>
      </c>
      <c r="BG134" t="str">
        <f>IFERROR(INDEX(Liste_Handelsünger[Handelsdünger],_xlfn.AGGREGATE(15,6,(ROW(Liste_Handelsünger[Handelsdünger])-1)/(--(SEARCH(BH$2,Liste_Handelsünger[Handelsdünger])&gt;0)),ROW()-2),1),"")</f>
        <v>UREA 46 NContent 46:0:0</v>
      </c>
      <c r="BH134" t="str">
        <f>IF(($A146=""),"",IF(COUNTIF(Mineral!$AJ$3:$AJ$324,$A146),"",$A146))</f>
        <v/>
      </c>
      <c r="BI134" t="str">
        <f>IFERROR(INDEX(Liste_Handelsünger[Handelsdünger],_xlfn.AGGREGATE(15,6,(ROW(Liste_Handelsünger[Handelsdünger])-1)/(--(SEARCH(BJ$2,Liste_Handelsünger[Handelsdünger])&gt;0)),ROW()-2),1),"")</f>
        <v>UREA 46 NContent 46:0:0</v>
      </c>
      <c r="BJ134" t="str">
        <f>IF(($A147=""),"",IF(COUNTIF(Mineral!$AJ$3:$AJ$324,$A147),"",$A147))</f>
        <v/>
      </c>
      <c r="BK134" t="str">
        <f>IFERROR(INDEX(Liste_Handelsünger[Handelsdünger],_xlfn.AGGREGATE(15,6,(ROW(Liste_Handelsünger[Handelsdünger])-1)/(--(SEARCH(BL$2,Liste_Handelsünger[Handelsdünger])&gt;0)),ROW()-2),1),"")</f>
        <v>UREA 46 NContent 46:0:0</v>
      </c>
      <c r="BM134" t="str">
        <f>IFERROR(INDEX(Liste_Handelsünger[Handelsdünger],_xlfn.AGGREGATE(15,6,(ROW(Liste_Handelsünger[Handelsdünger])-1)/(--(SEARCH(BN$2,Liste_Handelsünger[Handelsdünger])&gt;0)),ROW()-2),1),"")</f>
        <v>UREA 46 NContent 46:0:0</v>
      </c>
      <c r="BN134" t="str">
        <f>IF(($A149=""),"",IF(COUNTIF(Mineral!$AJ$3:$AJ$324,$A149),"",$A149))</f>
        <v/>
      </c>
      <c r="BV134" t="s">
        <v>2309</v>
      </c>
      <c r="BW134" t="s">
        <v>2261</v>
      </c>
    </row>
    <row r="135" spans="19:75" ht="14.25" thickTop="1" thickBot="1">
      <c r="S135" s="1616">
        <v>134</v>
      </c>
      <c r="T135" s="1617" t="s">
        <v>2335</v>
      </c>
      <c r="U135" s="1617" t="s">
        <v>2310</v>
      </c>
      <c r="V135" s="1617"/>
      <c r="W135" s="1617">
        <v>38</v>
      </c>
      <c r="X135" s="1617">
        <v>0</v>
      </c>
      <c r="Y135" s="1617">
        <v>0</v>
      </c>
      <c r="Z135" s="1617">
        <v>7.5</v>
      </c>
      <c r="AA135" s="1617">
        <v>0</v>
      </c>
      <c r="AB135" s="1617">
        <v>0</v>
      </c>
      <c r="AC135" s="1617">
        <v>1</v>
      </c>
      <c r="AD135" s="1613">
        <v>1</v>
      </c>
      <c r="AE135" s="1617" t="s">
        <v>2016</v>
      </c>
      <c r="AF135" s="1613" t="str">
        <f t="shared" si="17"/>
        <v/>
      </c>
      <c r="AG135" s="1656">
        <f>IFERROR(IF($AF135&gt;0,VLOOKUP($U135,Tabelle1!$C$188:$L$212,5,0)*$AF135,0),0)</f>
        <v>0</v>
      </c>
      <c r="AH135" s="1656">
        <f t="shared" si="18"/>
        <v>0</v>
      </c>
      <c r="AJ135" t="str">
        <f>IF(Betrieb!$D$9="JA",Mineral!$BW135,Mineral!$BV135)</f>
        <v>Urea S</v>
      </c>
      <c r="AK135" s="1672" t="str">
        <f>IFERROR(INDEX(Liste_Handelsünger[Handelsdünger],_xlfn.AGGREGATE(15,6,(ROW(Liste_Handelsünger[Handelsdünger])-1)/(--(SEARCH(AL$2,Liste_Handelsünger[Handelsdünger])&gt;0)),ROW()-2),1),"")</f>
        <v>Urea S</v>
      </c>
      <c r="AL135" s="1672" t="str">
        <f>IF(($A$3=""),"",IF(COUNTIF(Mineral!$AJ$3:$AJ$324,$A$3),"",$A$3))</f>
        <v/>
      </c>
      <c r="AM135" s="1672" t="str">
        <f>IFERROR(INDEX(Liste_Handelsünger[Handelsdünger],_xlfn.AGGREGATE(15,6,(ROW(Liste_Handelsünger[Handelsdünger])-1)/(--(SEARCH(AN$2,Liste_Handelsünger[Handelsdünger])&gt;0)),ROW()-2),1),"")</f>
        <v>Urea S</v>
      </c>
      <c r="AN135" t="str">
        <f>IF(($A137=""),"",IF(COUNTIF(Mineral!$AJ$3:$AJ$324,$A137),"",$A137))</f>
        <v/>
      </c>
      <c r="AO135" t="str">
        <f>IFERROR(INDEX(Liste_Handelsünger[Handelsdünger],_xlfn.AGGREGATE(15,6,(ROW(Liste_Handelsünger[Handelsdünger])-1)/(--(SEARCH(AP$2,Liste_Handelsünger[Handelsdünger])&gt;0)),ROW()-2),1),"")</f>
        <v>Urea S</v>
      </c>
      <c r="AP135" t="str">
        <f>IF(($A138=""),"",IF(COUNTIF(Mineral!$AJ$3:$AJ$324,$A138),"",$A138))</f>
        <v/>
      </c>
      <c r="AQ135" t="str">
        <f>IFERROR(INDEX(Liste_Handelsünger[Handelsdünger],_xlfn.AGGREGATE(15,6,(ROW(Liste_Handelsünger[Handelsdünger])-1)/(--(SEARCH(AR$2,Liste_Handelsünger[Handelsdünger])&gt;0)),ROW()-2),1),"")</f>
        <v>Urea S</v>
      </c>
      <c r="AR135" t="str">
        <f>IF(($A139=""),"",IF(COUNTIF(Mineral!$AJ$3:$AJ$324,$A139),"",$A139))</f>
        <v/>
      </c>
      <c r="AS135" t="str">
        <f>IFERROR(INDEX(Liste_Handelsünger[Handelsdünger],_xlfn.AGGREGATE(15,6,(ROW(Liste_Handelsünger[Handelsdünger])-1)/(--(SEARCH(AT$2,Liste_Handelsünger[Handelsdünger])&gt;0)),ROW()-2),1),"")</f>
        <v>Urea S</v>
      </c>
      <c r="AT135" t="str">
        <f>IF(($A140=""),"",IF(COUNTIF(Mineral!$AJ$3:$AJ$324,$A140),"",$A140))</f>
        <v/>
      </c>
      <c r="AU135" t="str">
        <f>IFERROR(INDEX(Liste_Handelsünger[Handelsdünger],_xlfn.AGGREGATE(15,6,(ROW(Liste_Handelsünger[Handelsdünger])-1)/(--(SEARCH(AV$2,Liste_Handelsünger[Handelsdünger])&gt;0)),ROW()-2),1),"")</f>
        <v>Urea S</v>
      </c>
      <c r="AV135" t="str">
        <f>IF(($A141=""),"",IF(COUNTIF(Mineral!$AJ$3:$AJ$324,$A141),"",$A141))</f>
        <v/>
      </c>
      <c r="AW135" t="str">
        <f>IFERROR(INDEX(Liste_Handelsünger[Handelsdünger],_xlfn.AGGREGATE(15,6,(ROW(Liste_Handelsünger[Handelsdünger])-1)/(--(SEARCH(AX$2,Liste_Handelsünger[Handelsdünger])&gt;0)),ROW()-2),1),"")</f>
        <v>Urea S</v>
      </c>
      <c r="AX135" t="str">
        <f>IF(($A142=""),"",IF(COUNTIF(Mineral!$AJ$3:$AJ$324,$A142),"",$A142))</f>
        <v/>
      </c>
      <c r="AY135" t="str">
        <f>IFERROR(INDEX(Liste_Handelsünger[Handelsdünger],_xlfn.AGGREGATE(15,6,(ROW(Liste_Handelsünger[Handelsdünger])-1)/(--(SEARCH(AZ$2,Liste_Handelsünger[Handelsdünger])&gt;0)),ROW()-2),1),"")</f>
        <v>Urea S</v>
      </c>
      <c r="AZ135" t="str">
        <f>IF(($A143=""),"",IF(COUNTIF(Mineral!$AJ$3:$AJ$324,$A143),"",$A143))</f>
        <v/>
      </c>
      <c r="BA135" t="str">
        <f>IFERROR(INDEX(Liste_Handelsünger[Handelsdünger],_xlfn.AGGREGATE(15,6,(ROW(Liste_Handelsünger[Handelsdünger])-1)/(--(SEARCH(BB$2,Liste_Handelsünger[Handelsdünger])&gt;0)),ROW()-2),1),"")</f>
        <v>Urea S</v>
      </c>
      <c r="BB135" t="str">
        <f>IF(($A144=""),"",IF(COUNTIF(Mineral!$AJ$3:$AJ$324,$A144),"",$A144))</f>
        <v/>
      </c>
      <c r="BC135" t="str">
        <f>IFERROR(INDEX(Liste_Handelsünger[Handelsdünger],_xlfn.AGGREGATE(15,6,(ROW(Liste_Handelsünger[Handelsdünger])-1)/(--(SEARCH(BD$2,Liste_Handelsünger[Handelsdünger])&gt;0)),ROW()-2),1),"")</f>
        <v>Urea S</v>
      </c>
      <c r="BD135" t="str">
        <f>IF(($A145=""),"",IF(COUNTIF(Mineral!$AJ$3:$AJ$324,$A145),"",$A145))</f>
        <v/>
      </c>
      <c r="BE135" t="str">
        <f>IFERROR(INDEX(Liste_Handelsünger[Handelsdünger],_xlfn.AGGREGATE(15,6,(ROW(Liste_Handelsünger[Handelsdünger])-1)/(--(SEARCH(BF$2,Liste_Handelsünger[Handelsdünger])&gt;0)),ROW()-2),1),"")</f>
        <v>Urea S</v>
      </c>
      <c r="BF135" t="str">
        <f>IF(($A146=""),"",IF(COUNTIF(Mineral!$AJ$3:$AJ$324,$A146),"",$A146))</f>
        <v/>
      </c>
      <c r="BG135" t="str">
        <f>IFERROR(INDEX(Liste_Handelsünger[Handelsdünger],_xlfn.AGGREGATE(15,6,(ROW(Liste_Handelsünger[Handelsdünger])-1)/(--(SEARCH(BH$2,Liste_Handelsünger[Handelsdünger])&gt;0)),ROW()-2),1),"")</f>
        <v>Urea S</v>
      </c>
      <c r="BH135" t="str">
        <f>IF(($A147=""),"",IF(COUNTIF(Mineral!$AJ$3:$AJ$324,$A147),"",$A147))</f>
        <v/>
      </c>
      <c r="BI135" t="str">
        <f>IFERROR(INDEX(Liste_Handelsünger[Handelsdünger],_xlfn.AGGREGATE(15,6,(ROW(Liste_Handelsünger[Handelsdünger])-1)/(--(SEARCH(BJ$2,Liste_Handelsünger[Handelsdünger])&gt;0)),ROW()-2),1),"")</f>
        <v>Urea S</v>
      </c>
      <c r="BJ135" t="str">
        <f>IF(($A148=""),"",IF(COUNTIF(Mineral!$AJ$3:$AJ$324,$A148),"",$A148))</f>
        <v/>
      </c>
      <c r="BK135" t="str">
        <f>IFERROR(INDEX(Liste_Handelsünger[Handelsdünger],_xlfn.AGGREGATE(15,6,(ROW(Liste_Handelsünger[Handelsdünger])-1)/(--(SEARCH(BL$2,Liste_Handelsünger[Handelsdünger])&gt;0)),ROW()-2),1),"")</f>
        <v>Urea S</v>
      </c>
      <c r="BM135" t="str">
        <f>IFERROR(INDEX(Liste_Handelsünger[Handelsdünger],_xlfn.AGGREGATE(15,6,(ROW(Liste_Handelsünger[Handelsdünger])-1)/(--(SEARCH(BN$2,Liste_Handelsünger[Handelsdünger])&gt;0)),ROW()-2),1),"")</f>
        <v>Urea S</v>
      </c>
      <c r="BN135" t="str">
        <f>IF(($A150=""),"",IF(COUNTIF(Mineral!$AJ$3:$AJ$324,$A150),"",$A150))</f>
        <v/>
      </c>
      <c r="BV135" t="s">
        <v>2310</v>
      </c>
      <c r="BW135" t="s">
        <v>2262</v>
      </c>
    </row>
    <row r="136" spans="19:75" ht="14.25" thickTop="1" thickBot="1">
      <c r="S136" s="1676">
        <v>135</v>
      </c>
      <c r="T136" s="1606" t="s">
        <v>2335</v>
      </c>
      <c r="U136" s="1606" t="s">
        <v>2314</v>
      </c>
      <c r="V136" s="1606"/>
      <c r="W136" s="1606">
        <v>23.5</v>
      </c>
      <c r="X136" s="1606">
        <v>0</v>
      </c>
      <c r="Y136" s="1606">
        <v>0</v>
      </c>
      <c r="Z136" s="1606">
        <v>25</v>
      </c>
      <c r="AA136" s="1606">
        <v>6.3</v>
      </c>
      <c r="AB136" s="1606">
        <v>0</v>
      </c>
      <c r="AC136" s="1606">
        <v>1</v>
      </c>
      <c r="AD136" s="1613">
        <v>1</v>
      </c>
      <c r="AE136" s="1606" t="s">
        <v>2016</v>
      </c>
      <c r="AF136" s="1613" t="str">
        <f t="shared" si="17"/>
        <v/>
      </c>
      <c r="AG136" s="1656">
        <f>IFERROR(IF($AF136&gt;0,VLOOKUP($U136,Tabelle1!$C$188:$L$212,5,0)*$AF136,0),0)</f>
        <v>0</v>
      </c>
      <c r="AH136" s="1656">
        <f t="shared" si="18"/>
        <v>0</v>
      </c>
      <c r="AJ136" t="str">
        <f>IF(Betrieb!$D$9="JA",Mineral!$BW136,Mineral!$BV136)</f>
        <v>VARIO 23 N + 25 S</v>
      </c>
      <c r="AK136" s="1672" t="str">
        <f>IFERROR(INDEX(Liste_Handelsünger[Handelsdünger],_xlfn.AGGREGATE(15,6,(ROW(Liste_Handelsünger[Handelsdünger])-1)/(--(SEARCH(AL$2,Liste_Handelsünger[Handelsdünger])&gt;0)),ROW()-2),1),"")</f>
        <v>VARIO 23 N + 25 S</v>
      </c>
      <c r="AL136" s="1672" t="str">
        <f>IF(($A$3=""),"",IF(COUNTIF(Mineral!$AJ$3:$AJ$324,$A$3),"",$A$3))</f>
        <v/>
      </c>
      <c r="AM136" s="1672" t="str">
        <f>IFERROR(INDEX(Liste_Handelsünger[Handelsdünger],_xlfn.AGGREGATE(15,6,(ROW(Liste_Handelsünger[Handelsdünger])-1)/(--(SEARCH(AN$2,Liste_Handelsünger[Handelsdünger])&gt;0)),ROW()-2),1),"")</f>
        <v>VARIO 23 N + 25 S</v>
      </c>
      <c r="AN136" t="str">
        <f>IF(($A138=""),"",IF(COUNTIF(Mineral!$AJ$3:$AJ$324,$A138),"",$A138))</f>
        <v/>
      </c>
      <c r="AO136" t="str">
        <f>IFERROR(INDEX(Liste_Handelsünger[Handelsdünger],_xlfn.AGGREGATE(15,6,(ROW(Liste_Handelsünger[Handelsdünger])-1)/(--(SEARCH(AP$2,Liste_Handelsünger[Handelsdünger])&gt;0)),ROW()-2),1),"")</f>
        <v>VARIO 23 N + 25 S</v>
      </c>
      <c r="AP136" t="str">
        <f>IF(($A139=""),"",IF(COUNTIF(Mineral!$AJ$3:$AJ$324,$A139),"",$A139))</f>
        <v/>
      </c>
      <c r="AQ136" t="str">
        <f>IFERROR(INDEX(Liste_Handelsünger[Handelsdünger],_xlfn.AGGREGATE(15,6,(ROW(Liste_Handelsünger[Handelsdünger])-1)/(--(SEARCH(AR$2,Liste_Handelsünger[Handelsdünger])&gt;0)),ROW()-2),1),"")</f>
        <v>VARIO 23 N + 25 S</v>
      </c>
      <c r="AR136" t="str">
        <f>IF(($A140=""),"",IF(COUNTIF(Mineral!$AJ$3:$AJ$324,$A140),"",$A140))</f>
        <v/>
      </c>
      <c r="AS136" t="str">
        <f>IFERROR(INDEX(Liste_Handelsünger[Handelsdünger],_xlfn.AGGREGATE(15,6,(ROW(Liste_Handelsünger[Handelsdünger])-1)/(--(SEARCH(AT$2,Liste_Handelsünger[Handelsdünger])&gt;0)),ROW()-2),1),"")</f>
        <v>VARIO 23 N + 25 S</v>
      </c>
      <c r="AT136" t="str">
        <f>IF(($A141=""),"",IF(COUNTIF(Mineral!$AJ$3:$AJ$324,$A141),"",$A141))</f>
        <v/>
      </c>
      <c r="AU136" t="str">
        <f>IFERROR(INDEX(Liste_Handelsünger[Handelsdünger],_xlfn.AGGREGATE(15,6,(ROW(Liste_Handelsünger[Handelsdünger])-1)/(--(SEARCH(AV$2,Liste_Handelsünger[Handelsdünger])&gt;0)),ROW()-2),1),"")</f>
        <v>VARIO 23 N + 25 S</v>
      </c>
      <c r="AV136" t="str">
        <f>IF(($A142=""),"",IF(COUNTIF(Mineral!$AJ$3:$AJ$324,$A142),"",$A142))</f>
        <v/>
      </c>
      <c r="AW136" t="str">
        <f>IFERROR(INDEX(Liste_Handelsünger[Handelsdünger],_xlfn.AGGREGATE(15,6,(ROW(Liste_Handelsünger[Handelsdünger])-1)/(--(SEARCH(AX$2,Liste_Handelsünger[Handelsdünger])&gt;0)),ROW()-2),1),"")</f>
        <v>VARIO 23 N + 25 S</v>
      </c>
      <c r="AX136" t="str">
        <f>IF(($A143=""),"",IF(COUNTIF(Mineral!$AJ$3:$AJ$324,$A143),"",$A143))</f>
        <v/>
      </c>
      <c r="AY136" t="str">
        <f>IFERROR(INDEX(Liste_Handelsünger[Handelsdünger],_xlfn.AGGREGATE(15,6,(ROW(Liste_Handelsünger[Handelsdünger])-1)/(--(SEARCH(AZ$2,Liste_Handelsünger[Handelsdünger])&gt;0)),ROW()-2),1),"")</f>
        <v>VARIO 23 N + 25 S</v>
      </c>
      <c r="AZ136" t="str">
        <f>IF(($A144=""),"",IF(COUNTIF(Mineral!$AJ$3:$AJ$324,$A144),"",$A144))</f>
        <v/>
      </c>
      <c r="BA136" t="str">
        <f>IFERROR(INDEX(Liste_Handelsünger[Handelsdünger],_xlfn.AGGREGATE(15,6,(ROW(Liste_Handelsünger[Handelsdünger])-1)/(--(SEARCH(BB$2,Liste_Handelsünger[Handelsdünger])&gt;0)),ROW()-2),1),"")</f>
        <v>VARIO 23 N + 25 S</v>
      </c>
      <c r="BB136" t="str">
        <f>IF(($A145=""),"",IF(COUNTIF(Mineral!$AJ$3:$AJ$324,$A145),"",$A145))</f>
        <v/>
      </c>
      <c r="BC136" t="str">
        <f>IFERROR(INDEX(Liste_Handelsünger[Handelsdünger],_xlfn.AGGREGATE(15,6,(ROW(Liste_Handelsünger[Handelsdünger])-1)/(--(SEARCH(BD$2,Liste_Handelsünger[Handelsdünger])&gt;0)),ROW()-2),1),"")</f>
        <v>VARIO 23 N + 25 S</v>
      </c>
      <c r="BD136" t="str">
        <f>IF(($A146=""),"",IF(COUNTIF(Mineral!$AJ$3:$AJ$324,$A146),"",$A146))</f>
        <v/>
      </c>
      <c r="BE136" t="str">
        <f>IFERROR(INDEX(Liste_Handelsünger[Handelsdünger],_xlfn.AGGREGATE(15,6,(ROW(Liste_Handelsünger[Handelsdünger])-1)/(--(SEARCH(BF$2,Liste_Handelsünger[Handelsdünger])&gt;0)),ROW()-2),1),"")</f>
        <v>VARIO 23 N + 25 S</v>
      </c>
      <c r="BF136" t="str">
        <f>IF(($A147=""),"",IF(COUNTIF(Mineral!$AJ$3:$AJ$324,$A147),"",$A147))</f>
        <v/>
      </c>
      <c r="BG136" t="str">
        <f>IFERROR(INDEX(Liste_Handelsünger[Handelsdünger],_xlfn.AGGREGATE(15,6,(ROW(Liste_Handelsünger[Handelsdünger])-1)/(--(SEARCH(BH$2,Liste_Handelsünger[Handelsdünger])&gt;0)),ROW()-2),1),"")</f>
        <v>VARIO 23 N + 25 S</v>
      </c>
      <c r="BH136" t="str">
        <f>IF(($A148=""),"",IF(COUNTIF(Mineral!$AJ$3:$AJ$324,$A148),"",$A148))</f>
        <v/>
      </c>
      <c r="BI136" t="str">
        <f>IFERROR(INDEX(Liste_Handelsünger[Handelsdünger],_xlfn.AGGREGATE(15,6,(ROW(Liste_Handelsünger[Handelsdünger])-1)/(--(SEARCH(BJ$2,Liste_Handelsünger[Handelsdünger])&gt;0)),ROW()-2),1),"")</f>
        <v>VARIO 23 N + 25 S</v>
      </c>
      <c r="BJ136" t="str">
        <f>IF(($A149=""),"",IF(COUNTIF(Mineral!$AJ$3:$AJ$324,$A149),"",$A149))</f>
        <v/>
      </c>
      <c r="BK136" t="str">
        <f>IFERROR(INDEX(Liste_Handelsünger[Handelsdünger],_xlfn.AGGREGATE(15,6,(ROW(Liste_Handelsünger[Handelsdünger])-1)/(--(SEARCH(BL$2,Liste_Handelsünger[Handelsdünger])&gt;0)),ROW()-2),1),"")</f>
        <v>VARIO 23 N + 25 S</v>
      </c>
      <c r="BM136" t="str">
        <f>IFERROR(INDEX(Liste_Handelsünger[Handelsdünger],_xlfn.AGGREGATE(15,6,(ROW(Liste_Handelsünger[Handelsdünger])-1)/(--(SEARCH(BN$2,Liste_Handelsünger[Handelsdünger])&gt;0)),ROW()-2),1),"")</f>
        <v>VARIO 23 N + 25 S</v>
      </c>
      <c r="BN136" t="str">
        <f>IF(($A151=""),"",IF(COUNTIF(Mineral!$AJ$3:$AJ$324,$A151),"",$A151))</f>
        <v/>
      </c>
      <c r="BV136" t="s">
        <v>2314</v>
      </c>
      <c r="BW136" t="s">
        <v>2263</v>
      </c>
    </row>
    <row r="137" spans="19:75" ht="14.25" thickTop="1" thickBot="1">
      <c r="S137" s="1616">
        <v>136</v>
      </c>
      <c r="T137" s="1617" t="s">
        <v>2335</v>
      </c>
      <c r="U137" s="1617" t="s">
        <v>2322</v>
      </c>
      <c r="V137" s="1617"/>
      <c r="W137" s="1617">
        <v>5</v>
      </c>
      <c r="X137" s="1617">
        <v>13</v>
      </c>
      <c r="Y137" s="1617">
        <v>0</v>
      </c>
      <c r="Z137" s="1617">
        <v>0</v>
      </c>
      <c r="AA137" s="1617">
        <v>0</v>
      </c>
      <c r="AB137" s="1617">
        <v>0</v>
      </c>
      <c r="AC137" s="1617">
        <v>1</v>
      </c>
      <c r="AD137" s="1613">
        <v>1</v>
      </c>
      <c r="AE137" s="1617" t="s">
        <v>2016</v>
      </c>
      <c r="AF137" s="1613" t="str">
        <f t="shared" si="17"/>
        <v/>
      </c>
      <c r="AG137" s="1656">
        <f>IFERROR(IF($AF137&gt;0,VLOOKUP($U137,Tabelle1!$C$188:$L$212,5,0)*$AF137,0),0)</f>
        <v>0</v>
      </c>
      <c r="AH137" s="1656">
        <f t="shared" si="18"/>
        <v>0</v>
      </c>
      <c r="AJ137" t="str">
        <f>IF(Betrieb!$D$9="JA",Mineral!$BW137,Mineral!$BV137)</f>
        <v>Wuxal Boron Plus</v>
      </c>
      <c r="AK137" s="1672" t="str">
        <f>IFERROR(INDEX(Liste_Handelsünger[Handelsdünger],_xlfn.AGGREGATE(15,6,(ROW(Liste_Handelsünger[Handelsdünger])-1)/(--(SEARCH(AL$2,Liste_Handelsünger[Handelsdünger])&gt;0)),ROW()-2),1),"")</f>
        <v>Wuxal Boron Plus</v>
      </c>
      <c r="AL137" s="1672" t="str">
        <f>IF(($A$3=""),"",IF(COUNTIF(Mineral!$AJ$3:$AJ$324,$A$3),"",$A$3))</f>
        <v/>
      </c>
      <c r="AM137" s="1672" t="str">
        <f>IFERROR(INDEX(Liste_Handelsünger[Handelsdünger],_xlfn.AGGREGATE(15,6,(ROW(Liste_Handelsünger[Handelsdünger])-1)/(--(SEARCH(AN$2,Liste_Handelsünger[Handelsdünger])&gt;0)),ROW()-2),1),"")</f>
        <v>Wuxal Boron Plus</v>
      </c>
      <c r="AN137" t="str">
        <f>IF(($A139=""),"",IF(COUNTIF(Mineral!$AJ$3:$AJ$324,$A139),"",$A139))</f>
        <v/>
      </c>
      <c r="AO137" t="str">
        <f>IFERROR(INDEX(Liste_Handelsünger[Handelsdünger],_xlfn.AGGREGATE(15,6,(ROW(Liste_Handelsünger[Handelsdünger])-1)/(--(SEARCH(AP$2,Liste_Handelsünger[Handelsdünger])&gt;0)),ROW()-2),1),"")</f>
        <v>Wuxal Boron Plus</v>
      </c>
      <c r="AP137" t="str">
        <f>IF(($A140=""),"",IF(COUNTIF(Mineral!$AJ$3:$AJ$324,$A140),"",$A140))</f>
        <v/>
      </c>
      <c r="AQ137" t="str">
        <f>IFERROR(INDEX(Liste_Handelsünger[Handelsdünger],_xlfn.AGGREGATE(15,6,(ROW(Liste_Handelsünger[Handelsdünger])-1)/(--(SEARCH(AR$2,Liste_Handelsünger[Handelsdünger])&gt;0)),ROW()-2),1),"")</f>
        <v>Wuxal Boron Plus</v>
      </c>
      <c r="AR137" t="str">
        <f>IF(($A141=""),"",IF(COUNTIF(Mineral!$AJ$3:$AJ$324,$A141),"",$A141))</f>
        <v/>
      </c>
      <c r="AS137" t="str">
        <f>IFERROR(INDEX(Liste_Handelsünger[Handelsdünger],_xlfn.AGGREGATE(15,6,(ROW(Liste_Handelsünger[Handelsdünger])-1)/(--(SEARCH(AT$2,Liste_Handelsünger[Handelsdünger])&gt;0)),ROW()-2),1),"")</f>
        <v>Wuxal Boron Plus</v>
      </c>
      <c r="AT137" t="str">
        <f>IF(($A142=""),"",IF(COUNTIF(Mineral!$AJ$3:$AJ$324,$A142),"",$A142))</f>
        <v/>
      </c>
      <c r="AU137" t="str">
        <f>IFERROR(INDEX(Liste_Handelsünger[Handelsdünger],_xlfn.AGGREGATE(15,6,(ROW(Liste_Handelsünger[Handelsdünger])-1)/(--(SEARCH(AV$2,Liste_Handelsünger[Handelsdünger])&gt;0)),ROW()-2),1),"")</f>
        <v>Wuxal Boron Plus</v>
      </c>
      <c r="AV137" t="str">
        <f>IF(($A143=""),"",IF(COUNTIF(Mineral!$AJ$3:$AJ$324,$A143),"",$A143))</f>
        <v/>
      </c>
      <c r="AW137" t="str">
        <f>IFERROR(INDEX(Liste_Handelsünger[Handelsdünger],_xlfn.AGGREGATE(15,6,(ROW(Liste_Handelsünger[Handelsdünger])-1)/(--(SEARCH(AX$2,Liste_Handelsünger[Handelsdünger])&gt;0)),ROW()-2),1),"")</f>
        <v>Wuxal Boron Plus</v>
      </c>
      <c r="AX137" t="str">
        <f>IF(($A144=""),"",IF(COUNTIF(Mineral!$AJ$3:$AJ$324,$A144),"",$A144))</f>
        <v/>
      </c>
      <c r="AY137" t="str">
        <f>IFERROR(INDEX(Liste_Handelsünger[Handelsdünger],_xlfn.AGGREGATE(15,6,(ROW(Liste_Handelsünger[Handelsdünger])-1)/(--(SEARCH(AZ$2,Liste_Handelsünger[Handelsdünger])&gt;0)),ROW()-2),1),"")</f>
        <v>Wuxal Boron Plus</v>
      </c>
      <c r="AZ137" t="str">
        <f>IF(($A145=""),"",IF(COUNTIF(Mineral!$AJ$3:$AJ$324,$A145),"",$A145))</f>
        <v/>
      </c>
      <c r="BA137" t="str">
        <f>IFERROR(INDEX(Liste_Handelsünger[Handelsdünger],_xlfn.AGGREGATE(15,6,(ROW(Liste_Handelsünger[Handelsdünger])-1)/(--(SEARCH(BB$2,Liste_Handelsünger[Handelsdünger])&gt;0)),ROW()-2),1),"")</f>
        <v>Wuxal Boron Plus</v>
      </c>
      <c r="BB137" t="str">
        <f>IF(($A146=""),"",IF(COUNTIF(Mineral!$AJ$3:$AJ$324,$A146),"",$A146))</f>
        <v/>
      </c>
      <c r="BC137" t="str">
        <f>IFERROR(INDEX(Liste_Handelsünger[Handelsdünger],_xlfn.AGGREGATE(15,6,(ROW(Liste_Handelsünger[Handelsdünger])-1)/(--(SEARCH(BD$2,Liste_Handelsünger[Handelsdünger])&gt;0)),ROW()-2),1),"")</f>
        <v>Wuxal Boron Plus</v>
      </c>
      <c r="BD137" t="str">
        <f>IF(($A147=""),"",IF(COUNTIF(Mineral!$AJ$3:$AJ$324,$A147),"",$A147))</f>
        <v/>
      </c>
      <c r="BE137" t="str">
        <f>IFERROR(INDEX(Liste_Handelsünger[Handelsdünger],_xlfn.AGGREGATE(15,6,(ROW(Liste_Handelsünger[Handelsdünger])-1)/(--(SEARCH(BF$2,Liste_Handelsünger[Handelsdünger])&gt;0)),ROW()-2),1),"")</f>
        <v>Wuxal Boron Plus</v>
      </c>
      <c r="BF137" t="str">
        <f>IF(($A148=""),"",IF(COUNTIF(Mineral!$AJ$3:$AJ$324,$A148),"",$A148))</f>
        <v/>
      </c>
      <c r="BG137" t="str">
        <f>IFERROR(INDEX(Liste_Handelsünger[Handelsdünger],_xlfn.AGGREGATE(15,6,(ROW(Liste_Handelsünger[Handelsdünger])-1)/(--(SEARCH(BH$2,Liste_Handelsünger[Handelsdünger])&gt;0)),ROW()-2),1),"")</f>
        <v>Wuxal Boron Plus</v>
      </c>
      <c r="BH137" t="str">
        <f>IF(($A149=""),"",IF(COUNTIF(Mineral!$AJ$3:$AJ$324,$A149),"",$A149))</f>
        <v/>
      </c>
      <c r="BI137" t="str">
        <f>IFERROR(INDEX(Liste_Handelsünger[Handelsdünger],_xlfn.AGGREGATE(15,6,(ROW(Liste_Handelsünger[Handelsdünger])-1)/(--(SEARCH(BJ$2,Liste_Handelsünger[Handelsdünger])&gt;0)),ROW()-2),1),"")</f>
        <v>Wuxal Boron Plus</v>
      </c>
      <c r="BJ137" t="str">
        <f>IF(($A150=""),"",IF(COUNTIF(Mineral!$AJ$3:$AJ$324,$A150),"",$A150))</f>
        <v/>
      </c>
      <c r="BK137" t="str">
        <f>IFERROR(INDEX(Liste_Handelsünger[Handelsdünger],_xlfn.AGGREGATE(15,6,(ROW(Liste_Handelsünger[Handelsdünger])-1)/(--(SEARCH(BL$2,Liste_Handelsünger[Handelsdünger])&gt;0)),ROW()-2),1),"")</f>
        <v>Wuxal Boron Plus</v>
      </c>
      <c r="BM137" t="str">
        <f>IFERROR(INDEX(Liste_Handelsünger[Handelsdünger],_xlfn.AGGREGATE(15,6,(ROW(Liste_Handelsünger[Handelsdünger])-1)/(--(SEARCH(BN$2,Liste_Handelsünger[Handelsdünger])&gt;0)),ROW()-2),1),"")</f>
        <v>Wuxal Boron Plus</v>
      </c>
      <c r="BN137" t="str">
        <f>IF(($A152=""),"",IF(COUNTIF(Mineral!$AJ$3:$AJ$324,$A152),"",$A152))</f>
        <v/>
      </c>
      <c r="BV137" t="s">
        <v>2322</v>
      </c>
      <c r="BW137" t="s">
        <v>2264</v>
      </c>
    </row>
    <row r="138" spans="19:75" ht="14.25" thickTop="1" thickBot="1">
      <c r="S138" s="1676">
        <v>137</v>
      </c>
      <c r="T138" s="1606" t="s">
        <v>2335</v>
      </c>
      <c r="U138" s="1606" t="s">
        <v>2323</v>
      </c>
      <c r="V138" s="1606"/>
      <c r="W138" s="1606">
        <v>10</v>
      </c>
      <c r="X138" s="1606">
        <v>0</v>
      </c>
      <c r="Y138" s="1606">
        <v>0</v>
      </c>
      <c r="Z138" s="1606">
        <v>0</v>
      </c>
      <c r="AA138" s="1606">
        <v>15</v>
      </c>
      <c r="AB138" s="1606">
        <v>2</v>
      </c>
      <c r="AC138" s="1606">
        <v>1</v>
      </c>
      <c r="AD138" s="1613">
        <v>1</v>
      </c>
      <c r="AE138" s="1606" t="s">
        <v>2016</v>
      </c>
      <c r="AF138" s="1613" t="str">
        <f t="shared" si="17"/>
        <v/>
      </c>
      <c r="AG138" s="1656">
        <f>IFERROR(IF($AF138&gt;0,VLOOKUP($U138,Tabelle1!$C$188:$L$212,5,0)*$AF138,0),0)</f>
        <v>0</v>
      </c>
      <c r="AH138" s="1656">
        <f t="shared" si="18"/>
        <v>0</v>
      </c>
      <c r="AJ138" t="str">
        <f>IF(Betrieb!$D$9="JA",Mineral!$BW138,Mineral!$BV138)</f>
        <v>Wuxal Calcium</v>
      </c>
      <c r="AK138" s="1672" t="str">
        <f>IFERROR(INDEX(Liste_Handelsünger[Handelsdünger],_xlfn.AGGREGATE(15,6,(ROW(Liste_Handelsünger[Handelsdünger])-1)/(--(SEARCH(AL$2,Liste_Handelsünger[Handelsdünger])&gt;0)),ROW()-2),1),"")</f>
        <v>Wuxal Calcium</v>
      </c>
      <c r="AL138" s="1672" t="str">
        <f>IF(($A$3=""),"",IF(COUNTIF(Mineral!$AJ$3:$AJ$324,$A$3),"",$A$3))</f>
        <v/>
      </c>
      <c r="AM138" s="1672" t="str">
        <f>IFERROR(INDEX(Liste_Handelsünger[Handelsdünger],_xlfn.AGGREGATE(15,6,(ROW(Liste_Handelsünger[Handelsdünger])-1)/(--(SEARCH(AN$2,Liste_Handelsünger[Handelsdünger])&gt;0)),ROW()-2),1),"")</f>
        <v>Wuxal Calcium</v>
      </c>
      <c r="AN138" t="str">
        <f>IF(($A140=""),"",IF(COUNTIF(Mineral!$AJ$3:$AJ$324,$A140),"",$A140))</f>
        <v/>
      </c>
      <c r="AO138" t="str">
        <f>IFERROR(INDEX(Liste_Handelsünger[Handelsdünger],_xlfn.AGGREGATE(15,6,(ROW(Liste_Handelsünger[Handelsdünger])-1)/(--(SEARCH(AP$2,Liste_Handelsünger[Handelsdünger])&gt;0)),ROW()-2),1),"")</f>
        <v>Wuxal Calcium</v>
      </c>
      <c r="AP138" t="str">
        <f>IF(($A141=""),"",IF(COUNTIF(Mineral!$AJ$3:$AJ$324,$A141),"",$A141))</f>
        <v/>
      </c>
      <c r="AQ138" t="str">
        <f>IFERROR(INDEX(Liste_Handelsünger[Handelsdünger],_xlfn.AGGREGATE(15,6,(ROW(Liste_Handelsünger[Handelsdünger])-1)/(--(SEARCH(AR$2,Liste_Handelsünger[Handelsdünger])&gt;0)),ROW()-2),1),"")</f>
        <v>Wuxal Calcium</v>
      </c>
      <c r="AR138" t="str">
        <f>IF(($A142=""),"",IF(COUNTIF(Mineral!$AJ$3:$AJ$324,$A142),"",$A142))</f>
        <v/>
      </c>
      <c r="AS138" t="str">
        <f>IFERROR(INDEX(Liste_Handelsünger[Handelsdünger],_xlfn.AGGREGATE(15,6,(ROW(Liste_Handelsünger[Handelsdünger])-1)/(--(SEARCH(AT$2,Liste_Handelsünger[Handelsdünger])&gt;0)),ROW()-2),1),"")</f>
        <v>Wuxal Calcium</v>
      </c>
      <c r="AT138" t="str">
        <f>IF(($A143=""),"",IF(COUNTIF(Mineral!$AJ$3:$AJ$324,$A143),"",$A143))</f>
        <v/>
      </c>
      <c r="AU138" t="str">
        <f>IFERROR(INDEX(Liste_Handelsünger[Handelsdünger],_xlfn.AGGREGATE(15,6,(ROW(Liste_Handelsünger[Handelsdünger])-1)/(--(SEARCH(AV$2,Liste_Handelsünger[Handelsdünger])&gt;0)),ROW()-2),1),"")</f>
        <v>Wuxal Calcium</v>
      </c>
      <c r="AV138" t="str">
        <f>IF(($A144=""),"",IF(COUNTIF(Mineral!$AJ$3:$AJ$324,$A144),"",$A144))</f>
        <v/>
      </c>
      <c r="AW138" t="str">
        <f>IFERROR(INDEX(Liste_Handelsünger[Handelsdünger],_xlfn.AGGREGATE(15,6,(ROW(Liste_Handelsünger[Handelsdünger])-1)/(--(SEARCH(AX$2,Liste_Handelsünger[Handelsdünger])&gt;0)),ROW()-2),1),"")</f>
        <v>Wuxal Calcium</v>
      </c>
      <c r="AX138" t="str">
        <f>IF(($A145=""),"",IF(COUNTIF(Mineral!$AJ$3:$AJ$324,$A145),"",$A145))</f>
        <v/>
      </c>
      <c r="AY138" t="str">
        <f>IFERROR(INDEX(Liste_Handelsünger[Handelsdünger],_xlfn.AGGREGATE(15,6,(ROW(Liste_Handelsünger[Handelsdünger])-1)/(--(SEARCH(AZ$2,Liste_Handelsünger[Handelsdünger])&gt;0)),ROW()-2),1),"")</f>
        <v>Wuxal Calcium</v>
      </c>
      <c r="AZ138" t="str">
        <f>IF(($A146=""),"",IF(COUNTIF(Mineral!$AJ$3:$AJ$324,$A146),"",$A146))</f>
        <v/>
      </c>
      <c r="BA138" t="str">
        <f>IFERROR(INDEX(Liste_Handelsünger[Handelsdünger],_xlfn.AGGREGATE(15,6,(ROW(Liste_Handelsünger[Handelsdünger])-1)/(--(SEARCH(BB$2,Liste_Handelsünger[Handelsdünger])&gt;0)),ROW()-2),1),"")</f>
        <v>Wuxal Calcium</v>
      </c>
      <c r="BB138" t="str">
        <f>IF(($A147=""),"",IF(COUNTIF(Mineral!$AJ$3:$AJ$324,$A147),"",$A147))</f>
        <v/>
      </c>
      <c r="BC138" t="str">
        <f>IFERROR(INDEX(Liste_Handelsünger[Handelsdünger],_xlfn.AGGREGATE(15,6,(ROW(Liste_Handelsünger[Handelsdünger])-1)/(--(SEARCH(BD$2,Liste_Handelsünger[Handelsdünger])&gt;0)),ROW()-2),1),"")</f>
        <v>Wuxal Calcium</v>
      </c>
      <c r="BD138" t="str">
        <f>IF(($A148=""),"",IF(COUNTIF(Mineral!$AJ$3:$AJ$324,$A148),"",$A148))</f>
        <v/>
      </c>
      <c r="BE138" t="str">
        <f>IFERROR(INDEX(Liste_Handelsünger[Handelsdünger],_xlfn.AGGREGATE(15,6,(ROW(Liste_Handelsünger[Handelsdünger])-1)/(--(SEARCH(BF$2,Liste_Handelsünger[Handelsdünger])&gt;0)),ROW()-2),1),"")</f>
        <v>Wuxal Calcium</v>
      </c>
      <c r="BF138" t="str">
        <f>IF(($A149=""),"",IF(COUNTIF(Mineral!$AJ$3:$AJ$324,$A149),"",$A149))</f>
        <v/>
      </c>
      <c r="BG138" t="str">
        <f>IFERROR(INDEX(Liste_Handelsünger[Handelsdünger],_xlfn.AGGREGATE(15,6,(ROW(Liste_Handelsünger[Handelsdünger])-1)/(--(SEARCH(BH$2,Liste_Handelsünger[Handelsdünger])&gt;0)),ROW()-2),1),"")</f>
        <v>Wuxal Calcium</v>
      </c>
      <c r="BH138" t="str">
        <f>IF(($A150=""),"",IF(COUNTIF(Mineral!$AJ$3:$AJ$324,$A150),"",$A150))</f>
        <v/>
      </c>
      <c r="BI138" t="str">
        <f>IFERROR(INDEX(Liste_Handelsünger[Handelsdünger],_xlfn.AGGREGATE(15,6,(ROW(Liste_Handelsünger[Handelsdünger])-1)/(--(SEARCH(BJ$2,Liste_Handelsünger[Handelsdünger])&gt;0)),ROW()-2),1),"")</f>
        <v>Wuxal Calcium</v>
      </c>
      <c r="BJ138" t="str">
        <f>IF(($A151=""),"",IF(COUNTIF(Mineral!$AJ$3:$AJ$324,$A151),"",$A151))</f>
        <v/>
      </c>
      <c r="BK138" t="str">
        <f>IFERROR(INDEX(Liste_Handelsünger[Handelsdünger],_xlfn.AGGREGATE(15,6,(ROW(Liste_Handelsünger[Handelsdünger])-1)/(--(SEARCH(BL$2,Liste_Handelsünger[Handelsdünger])&gt;0)),ROW()-2),1),"")</f>
        <v>Wuxal Calcium</v>
      </c>
      <c r="BM138" t="str">
        <f>IFERROR(INDEX(Liste_Handelsünger[Handelsdünger],_xlfn.AGGREGATE(15,6,(ROW(Liste_Handelsünger[Handelsdünger])-1)/(--(SEARCH(BN$2,Liste_Handelsünger[Handelsdünger])&gt;0)),ROW()-2),1),"")</f>
        <v>Wuxal Calcium</v>
      </c>
      <c r="BN138" t="str">
        <f>IF(($A153=""),"",IF(COUNTIF(Mineral!$AJ$3:$AJ$324,$A153),"",$A153))</f>
        <v/>
      </c>
      <c r="BV138" t="s">
        <v>2323</v>
      </c>
      <c r="BW138" t="s">
        <v>2265</v>
      </c>
    </row>
    <row r="139" spans="19:75" ht="14.25" thickTop="1" thickBot="1">
      <c r="S139" s="1616">
        <v>138</v>
      </c>
      <c r="T139" s="1617" t="s">
        <v>2335</v>
      </c>
      <c r="U139" s="1617" t="s">
        <v>2324</v>
      </c>
      <c r="V139" s="1617"/>
      <c r="W139" s="1617">
        <v>0</v>
      </c>
      <c r="X139" s="1617">
        <v>0</v>
      </c>
      <c r="Y139" s="1617">
        <v>0</v>
      </c>
      <c r="Z139" s="1617">
        <v>3</v>
      </c>
      <c r="AA139" s="1617">
        <v>0</v>
      </c>
      <c r="AB139" s="1617">
        <v>0</v>
      </c>
      <c r="AC139" s="1617">
        <v>1</v>
      </c>
      <c r="AD139" s="1613">
        <v>1</v>
      </c>
      <c r="AE139" s="1617" t="s">
        <v>1764</v>
      </c>
      <c r="AF139" s="1613" t="str">
        <f t="shared" si="17"/>
        <v/>
      </c>
      <c r="AG139" s="1656">
        <f>IFERROR(IF($AF139&gt;0,VLOOKUP($U139,Tabelle1!$C$188:$L$212,5,0)*$AF139,0),0)</f>
        <v>0</v>
      </c>
      <c r="AH139" s="1656">
        <f t="shared" si="18"/>
        <v>0</v>
      </c>
      <c r="AJ139" t="str">
        <f>IF(Betrieb!$D$9="JA",Mineral!$BW139,Mineral!$BV139)</f>
        <v>Wuxal Combi B Plus</v>
      </c>
      <c r="AK139" s="1672" t="str">
        <f>IFERROR(INDEX(Liste_Handelsünger[Handelsdünger],_xlfn.AGGREGATE(15,6,(ROW(Liste_Handelsünger[Handelsdünger])-1)/(--(SEARCH(AL$2,Liste_Handelsünger[Handelsdünger])&gt;0)),ROW()-2),1),"")</f>
        <v>Wuxal Combi B Plus</v>
      </c>
      <c r="AL139" s="1672" t="str">
        <f>IF(($A$3=""),"",IF(COUNTIF(Mineral!$AJ$3:$AJ$324,$A$3),"",$A$3))</f>
        <v/>
      </c>
      <c r="AM139" s="1672" t="str">
        <f>IFERROR(INDEX(Liste_Handelsünger[Handelsdünger],_xlfn.AGGREGATE(15,6,(ROW(Liste_Handelsünger[Handelsdünger])-1)/(--(SEARCH(AN$2,Liste_Handelsünger[Handelsdünger])&gt;0)),ROW()-2),1),"")</f>
        <v>Wuxal Combi B Plus</v>
      </c>
      <c r="AN139" t="str">
        <f>IF(($A141=""),"",IF(COUNTIF(Mineral!$AJ$3:$AJ$324,$A141),"",$A141))</f>
        <v/>
      </c>
      <c r="AO139" t="str">
        <f>IFERROR(INDEX(Liste_Handelsünger[Handelsdünger],_xlfn.AGGREGATE(15,6,(ROW(Liste_Handelsünger[Handelsdünger])-1)/(--(SEARCH(AP$2,Liste_Handelsünger[Handelsdünger])&gt;0)),ROW()-2),1),"")</f>
        <v>Wuxal Combi B Plus</v>
      </c>
      <c r="AP139" t="str">
        <f>IF(($A142=""),"",IF(COUNTIF(Mineral!$AJ$3:$AJ$324,$A142),"",$A142))</f>
        <v/>
      </c>
      <c r="AQ139" t="str">
        <f>IFERROR(INDEX(Liste_Handelsünger[Handelsdünger],_xlfn.AGGREGATE(15,6,(ROW(Liste_Handelsünger[Handelsdünger])-1)/(--(SEARCH(AR$2,Liste_Handelsünger[Handelsdünger])&gt;0)),ROW()-2),1),"")</f>
        <v>Wuxal Combi B Plus</v>
      </c>
      <c r="AR139" t="str">
        <f>IF(($A143=""),"",IF(COUNTIF(Mineral!$AJ$3:$AJ$324,$A143),"",$A143))</f>
        <v/>
      </c>
      <c r="AS139" t="str">
        <f>IFERROR(INDEX(Liste_Handelsünger[Handelsdünger],_xlfn.AGGREGATE(15,6,(ROW(Liste_Handelsünger[Handelsdünger])-1)/(--(SEARCH(AT$2,Liste_Handelsünger[Handelsdünger])&gt;0)),ROW()-2),1),"")</f>
        <v>Wuxal Combi B Plus</v>
      </c>
      <c r="AT139" t="str">
        <f>IF(($A144=""),"",IF(COUNTIF(Mineral!$AJ$3:$AJ$324,$A144),"",$A144))</f>
        <v/>
      </c>
      <c r="AU139" t="str">
        <f>IFERROR(INDEX(Liste_Handelsünger[Handelsdünger],_xlfn.AGGREGATE(15,6,(ROW(Liste_Handelsünger[Handelsdünger])-1)/(--(SEARCH(AV$2,Liste_Handelsünger[Handelsdünger])&gt;0)),ROW()-2),1),"")</f>
        <v>Wuxal Combi B Plus</v>
      </c>
      <c r="AV139" t="str">
        <f>IF(($A145=""),"",IF(COUNTIF(Mineral!$AJ$3:$AJ$324,$A145),"",$A145))</f>
        <v/>
      </c>
      <c r="AW139" t="str">
        <f>IFERROR(INDEX(Liste_Handelsünger[Handelsdünger],_xlfn.AGGREGATE(15,6,(ROW(Liste_Handelsünger[Handelsdünger])-1)/(--(SEARCH(AX$2,Liste_Handelsünger[Handelsdünger])&gt;0)),ROW()-2),1),"")</f>
        <v>Wuxal Combi B Plus</v>
      </c>
      <c r="AX139" t="str">
        <f>IF(($A146=""),"",IF(COUNTIF(Mineral!$AJ$3:$AJ$324,$A146),"",$A146))</f>
        <v/>
      </c>
      <c r="AY139" t="str">
        <f>IFERROR(INDEX(Liste_Handelsünger[Handelsdünger],_xlfn.AGGREGATE(15,6,(ROW(Liste_Handelsünger[Handelsdünger])-1)/(--(SEARCH(AZ$2,Liste_Handelsünger[Handelsdünger])&gt;0)),ROW()-2),1),"")</f>
        <v>Wuxal Combi B Plus</v>
      </c>
      <c r="AZ139" t="str">
        <f>IF(($A147=""),"",IF(COUNTIF(Mineral!$AJ$3:$AJ$324,$A147),"",$A147))</f>
        <v/>
      </c>
      <c r="BA139" t="str">
        <f>IFERROR(INDEX(Liste_Handelsünger[Handelsdünger],_xlfn.AGGREGATE(15,6,(ROW(Liste_Handelsünger[Handelsdünger])-1)/(--(SEARCH(BB$2,Liste_Handelsünger[Handelsdünger])&gt;0)),ROW()-2),1),"")</f>
        <v>Wuxal Combi B Plus</v>
      </c>
      <c r="BB139" t="str">
        <f>IF(($A148=""),"",IF(COUNTIF(Mineral!$AJ$3:$AJ$324,$A148),"",$A148))</f>
        <v/>
      </c>
      <c r="BC139" t="str">
        <f>IFERROR(INDEX(Liste_Handelsünger[Handelsdünger],_xlfn.AGGREGATE(15,6,(ROW(Liste_Handelsünger[Handelsdünger])-1)/(--(SEARCH(BD$2,Liste_Handelsünger[Handelsdünger])&gt;0)),ROW()-2),1),"")</f>
        <v>Wuxal Combi B Plus</v>
      </c>
      <c r="BD139" t="str">
        <f>IF(($A149=""),"",IF(COUNTIF(Mineral!$AJ$3:$AJ$324,$A149),"",$A149))</f>
        <v/>
      </c>
      <c r="BE139" t="str">
        <f>IFERROR(INDEX(Liste_Handelsünger[Handelsdünger],_xlfn.AGGREGATE(15,6,(ROW(Liste_Handelsünger[Handelsdünger])-1)/(--(SEARCH(BF$2,Liste_Handelsünger[Handelsdünger])&gt;0)),ROW()-2),1),"")</f>
        <v>Wuxal Combi B Plus</v>
      </c>
      <c r="BF139" t="str">
        <f>IF(($A150=""),"",IF(COUNTIF(Mineral!$AJ$3:$AJ$324,$A150),"",$A150))</f>
        <v/>
      </c>
      <c r="BG139" t="str">
        <f>IFERROR(INDEX(Liste_Handelsünger[Handelsdünger],_xlfn.AGGREGATE(15,6,(ROW(Liste_Handelsünger[Handelsdünger])-1)/(--(SEARCH(BH$2,Liste_Handelsünger[Handelsdünger])&gt;0)),ROW()-2),1),"")</f>
        <v>Wuxal Combi B Plus</v>
      </c>
      <c r="BH139" t="str">
        <f>IF(($A151=""),"",IF(COUNTIF(Mineral!$AJ$3:$AJ$324,$A151),"",$A151))</f>
        <v/>
      </c>
      <c r="BI139" t="str">
        <f>IFERROR(INDEX(Liste_Handelsünger[Handelsdünger],_xlfn.AGGREGATE(15,6,(ROW(Liste_Handelsünger[Handelsdünger])-1)/(--(SEARCH(BJ$2,Liste_Handelsünger[Handelsdünger])&gt;0)),ROW()-2),1),"")</f>
        <v>Wuxal Combi B Plus</v>
      </c>
      <c r="BJ139" t="str">
        <f>IF(($A152=""),"",IF(COUNTIF(Mineral!$AJ$3:$AJ$324,$A152),"",$A152))</f>
        <v/>
      </c>
      <c r="BK139" t="str">
        <f>IFERROR(INDEX(Liste_Handelsünger[Handelsdünger],_xlfn.AGGREGATE(15,6,(ROW(Liste_Handelsünger[Handelsdünger])-1)/(--(SEARCH(BL$2,Liste_Handelsünger[Handelsdünger])&gt;0)),ROW()-2),1),"")</f>
        <v>Wuxal Combi B Plus</v>
      </c>
      <c r="BM139" t="str">
        <f>IFERROR(INDEX(Liste_Handelsünger[Handelsdünger],_xlfn.AGGREGATE(15,6,(ROW(Liste_Handelsünger[Handelsdünger])-1)/(--(SEARCH(BN$2,Liste_Handelsünger[Handelsdünger])&gt;0)),ROW()-2),1),"")</f>
        <v>Wuxal Combi B Plus</v>
      </c>
      <c r="BN139" t="str">
        <f>IF(($A154=""),"",IF(COUNTIF(Mineral!$AJ$3:$AJ$324,$A154),"",$A154))</f>
        <v/>
      </c>
      <c r="BV139" t="s">
        <v>2324</v>
      </c>
      <c r="BW139" t="s">
        <v>2266</v>
      </c>
    </row>
    <row r="140" spans="19:75" ht="14.25" thickTop="1" thickBot="1">
      <c r="S140" s="1676">
        <v>139</v>
      </c>
      <c r="T140" s="1606" t="s">
        <v>2335</v>
      </c>
      <c r="U140" s="1606" t="s">
        <v>2325</v>
      </c>
      <c r="V140" s="1606"/>
      <c r="W140" s="1606">
        <v>3.6</v>
      </c>
      <c r="X140" s="1606">
        <v>0</v>
      </c>
      <c r="Y140" s="1606">
        <v>0</v>
      </c>
      <c r="Z140" s="1606">
        <v>4.3</v>
      </c>
      <c r="AA140" s="1606">
        <v>0</v>
      </c>
      <c r="AB140" s="1606">
        <v>12</v>
      </c>
      <c r="AC140" s="1606">
        <v>1</v>
      </c>
      <c r="AD140" s="1613">
        <v>1</v>
      </c>
      <c r="AE140" s="1606" t="s">
        <v>2016</v>
      </c>
      <c r="AF140" s="1613" t="str">
        <f t="shared" si="17"/>
        <v/>
      </c>
      <c r="AG140" s="1656">
        <f>IFERROR(IF($AF140&gt;0,VLOOKUP($U140,Tabelle1!$C$188:$L$212,5,0)*$AF140,0),0)</f>
        <v>0</v>
      </c>
      <c r="AH140" s="1656">
        <f t="shared" si="18"/>
        <v>0</v>
      </c>
      <c r="AJ140" t="str">
        <f>IF(Betrieb!$D$9="JA",Mineral!$BW140,Mineral!$BV140)</f>
        <v>Wuxal Magnesium</v>
      </c>
      <c r="AK140" s="1672" t="str">
        <f>IFERROR(INDEX(Liste_Handelsünger[Handelsdünger],_xlfn.AGGREGATE(15,6,(ROW(Liste_Handelsünger[Handelsdünger])-1)/(--(SEARCH(AL$2,Liste_Handelsünger[Handelsdünger])&gt;0)),ROW()-2),1),"")</f>
        <v>Wuxal Magnesium</v>
      </c>
      <c r="AL140" s="1672" t="str">
        <f>IF(($A$3=""),"",IF(COUNTIF(Mineral!$AJ$3:$AJ$324,$A$3),"",$A$3))</f>
        <v/>
      </c>
      <c r="AM140" s="1672" t="str">
        <f>IFERROR(INDEX(Liste_Handelsünger[Handelsdünger],_xlfn.AGGREGATE(15,6,(ROW(Liste_Handelsünger[Handelsdünger])-1)/(--(SEARCH(AN$2,Liste_Handelsünger[Handelsdünger])&gt;0)),ROW()-2),1),"")</f>
        <v>Wuxal Magnesium</v>
      </c>
      <c r="AN140" t="str">
        <f>IF(($A142=""),"",IF(COUNTIF(Mineral!$AJ$3:$AJ$324,$A142),"",$A142))</f>
        <v/>
      </c>
      <c r="AO140" t="str">
        <f>IFERROR(INDEX(Liste_Handelsünger[Handelsdünger],_xlfn.AGGREGATE(15,6,(ROW(Liste_Handelsünger[Handelsdünger])-1)/(--(SEARCH(AP$2,Liste_Handelsünger[Handelsdünger])&gt;0)),ROW()-2),1),"")</f>
        <v>Wuxal Magnesium</v>
      </c>
      <c r="AP140" t="str">
        <f>IF(($A143=""),"",IF(COUNTIF(Mineral!$AJ$3:$AJ$324,$A143),"",$A143))</f>
        <v/>
      </c>
      <c r="AQ140" t="str">
        <f>IFERROR(INDEX(Liste_Handelsünger[Handelsdünger],_xlfn.AGGREGATE(15,6,(ROW(Liste_Handelsünger[Handelsdünger])-1)/(--(SEARCH(AR$2,Liste_Handelsünger[Handelsdünger])&gt;0)),ROW()-2),1),"")</f>
        <v>Wuxal Magnesium</v>
      </c>
      <c r="AR140" t="str">
        <f>IF(($A144=""),"",IF(COUNTIF(Mineral!$AJ$3:$AJ$324,$A144),"",$A144))</f>
        <v/>
      </c>
      <c r="AS140" t="str">
        <f>IFERROR(INDEX(Liste_Handelsünger[Handelsdünger],_xlfn.AGGREGATE(15,6,(ROW(Liste_Handelsünger[Handelsdünger])-1)/(--(SEARCH(AT$2,Liste_Handelsünger[Handelsdünger])&gt;0)),ROW()-2),1),"")</f>
        <v>Wuxal Magnesium</v>
      </c>
      <c r="AT140" t="str">
        <f>IF(($A145=""),"",IF(COUNTIF(Mineral!$AJ$3:$AJ$324,$A145),"",$A145))</f>
        <v/>
      </c>
      <c r="AU140" t="str">
        <f>IFERROR(INDEX(Liste_Handelsünger[Handelsdünger],_xlfn.AGGREGATE(15,6,(ROW(Liste_Handelsünger[Handelsdünger])-1)/(--(SEARCH(AV$2,Liste_Handelsünger[Handelsdünger])&gt;0)),ROW()-2),1),"")</f>
        <v>Wuxal Magnesium</v>
      </c>
      <c r="AV140" t="str">
        <f>IF(($A146=""),"",IF(COUNTIF(Mineral!$AJ$3:$AJ$324,$A146),"",$A146))</f>
        <v/>
      </c>
      <c r="AW140" t="str">
        <f>IFERROR(INDEX(Liste_Handelsünger[Handelsdünger],_xlfn.AGGREGATE(15,6,(ROW(Liste_Handelsünger[Handelsdünger])-1)/(--(SEARCH(AX$2,Liste_Handelsünger[Handelsdünger])&gt;0)),ROW()-2),1),"")</f>
        <v>Wuxal Magnesium</v>
      </c>
      <c r="AX140" t="str">
        <f>IF(($A147=""),"",IF(COUNTIF(Mineral!$AJ$3:$AJ$324,$A147),"",$A147))</f>
        <v/>
      </c>
      <c r="AY140" t="str">
        <f>IFERROR(INDEX(Liste_Handelsünger[Handelsdünger],_xlfn.AGGREGATE(15,6,(ROW(Liste_Handelsünger[Handelsdünger])-1)/(--(SEARCH(AZ$2,Liste_Handelsünger[Handelsdünger])&gt;0)),ROW()-2),1),"")</f>
        <v>Wuxal Magnesium</v>
      </c>
      <c r="AZ140" t="str">
        <f>IF(($A148=""),"",IF(COUNTIF(Mineral!$AJ$3:$AJ$324,$A148),"",$A148))</f>
        <v/>
      </c>
      <c r="BA140" t="str">
        <f>IFERROR(INDEX(Liste_Handelsünger[Handelsdünger],_xlfn.AGGREGATE(15,6,(ROW(Liste_Handelsünger[Handelsdünger])-1)/(--(SEARCH(BB$2,Liste_Handelsünger[Handelsdünger])&gt;0)),ROW()-2),1),"")</f>
        <v>Wuxal Magnesium</v>
      </c>
      <c r="BB140" t="str">
        <f>IF(($A149=""),"",IF(COUNTIF(Mineral!$AJ$3:$AJ$324,$A149),"",$A149))</f>
        <v/>
      </c>
      <c r="BC140" t="str">
        <f>IFERROR(INDEX(Liste_Handelsünger[Handelsdünger],_xlfn.AGGREGATE(15,6,(ROW(Liste_Handelsünger[Handelsdünger])-1)/(--(SEARCH(BD$2,Liste_Handelsünger[Handelsdünger])&gt;0)),ROW()-2),1),"")</f>
        <v>Wuxal Magnesium</v>
      </c>
      <c r="BD140" t="str">
        <f>IF(($A150=""),"",IF(COUNTIF(Mineral!$AJ$3:$AJ$324,$A150),"",$A150))</f>
        <v/>
      </c>
      <c r="BE140" t="str">
        <f>IFERROR(INDEX(Liste_Handelsünger[Handelsdünger],_xlfn.AGGREGATE(15,6,(ROW(Liste_Handelsünger[Handelsdünger])-1)/(--(SEARCH(BF$2,Liste_Handelsünger[Handelsdünger])&gt;0)),ROW()-2),1),"")</f>
        <v>Wuxal Magnesium</v>
      </c>
      <c r="BF140" t="str">
        <f>IF(($A151=""),"",IF(COUNTIF(Mineral!$AJ$3:$AJ$324,$A151),"",$A151))</f>
        <v/>
      </c>
      <c r="BG140" t="str">
        <f>IFERROR(INDEX(Liste_Handelsünger[Handelsdünger],_xlfn.AGGREGATE(15,6,(ROW(Liste_Handelsünger[Handelsdünger])-1)/(--(SEARCH(BH$2,Liste_Handelsünger[Handelsdünger])&gt;0)),ROW()-2),1),"")</f>
        <v>Wuxal Magnesium</v>
      </c>
      <c r="BH140" t="str">
        <f>IF(($A152=""),"",IF(COUNTIF(Mineral!$AJ$3:$AJ$324,$A152),"",$A152))</f>
        <v/>
      </c>
      <c r="BI140" t="str">
        <f>IFERROR(INDEX(Liste_Handelsünger[Handelsdünger],_xlfn.AGGREGATE(15,6,(ROW(Liste_Handelsünger[Handelsdünger])-1)/(--(SEARCH(BJ$2,Liste_Handelsünger[Handelsdünger])&gt;0)),ROW()-2),1),"")</f>
        <v>Wuxal Magnesium</v>
      </c>
      <c r="BJ140" t="str">
        <f>IF(($A153=""),"",IF(COUNTIF(Mineral!$AJ$3:$AJ$324,$A153),"",$A153))</f>
        <v/>
      </c>
      <c r="BK140" t="str">
        <f>IFERROR(INDEX(Liste_Handelsünger[Handelsdünger],_xlfn.AGGREGATE(15,6,(ROW(Liste_Handelsünger[Handelsdünger])-1)/(--(SEARCH(BL$2,Liste_Handelsünger[Handelsdünger])&gt;0)),ROW()-2),1),"")</f>
        <v>Wuxal Magnesium</v>
      </c>
      <c r="BM140" t="str">
        <f>IFERROR(INDEX(Liste_Handelsünger[Handelsdünger],_xlfn.AGGREGATE(15,6,(ROW(Liste_Handelsünger[Handelsdünger])-1)/(--(SEARCH(BN$2,Liste_Handelsünger[Handelsdünger])&gt;0)),ROW()-2),1),"")</f>
        <v>Wuxal Magnesium</v>
      </c>
      <c r="BN140" t="str">
        <f>IF(($A155=""),"",IF(COUNTIF(Mineral!$AJ$3:$AJ$324,$A155),"",$A155))</f>
        <v/>
      </c>
      <c r="BV140" t="s">
        <v>2325</v>
      </c>
      <c r="BW140" t="s">
        <v>2267</v>
      </c>
    </row>
    <row r="141" spans="19:75" ht="14.25" thickTop="1" thickBot="1">
      <c r="S141" s="1616">
        <v>140</v>
      </c>
      <c r="T141" s="1617" t="s">
        <v>2335</v>
      </c>
      <c r="U141" s="1617" t="s">
        <v>2326</v>
      </c>
      <c r="V141" s="1617"/>
      <c r="W141" s="1617">
        <v>5</v>
      </c>
      <c r="X141" s="1617">
        <v>20</v>
      </c>
      <c r="Y141" s="1617">
        <v>5</v>
      </c>
      <c r="Z141" s="1617">
        <v>0</v>
      </c>
      <c r="AA141" s="1617">
        <v>0</v>
      </c>
      <c r="AB141" s="1617">
        <v>0</v>
      </c>
      <c r="AC141" s="1617">
        <v>1</v>
      </c>
      <c r="AD141" s="1613">
        <v>1</v>
      </c>
      <c r="AE141" s="1617" t="s">
        <v>2016</v>
      </c>
      <c r="AF141" s="1613" t="str">
        <f t="shared" si="17"/>
        <v/>
      </c>
      <c r="AG141" s="1656">
        <f>IFERROR(IF($AF141&gt;0,VLOOKUP($U141,Tabelle1!$C$188:$L$212,5,0)*$AF141,0),0)</f>
        <v>0</v>
      </c>
      <c r="AH141" s="1656">
        <f t="shared" si="18"/>
        <v>0</v>
      </c>
      <c r="AJ141" t="str">
        <f>IF(Betrieb!$D$9="JA",Mineral!$BW141,Mineral!$BV141)</f>
        <v>Wuxal P Profi</v>
      </c>
      <c r="AK141" s="1672" t="str">
        <f>IFERROR(INDEX(Liste_Handelsünger[Handelsdünger],_xlfn.AGGREGATE(15,6,(ROW(Liste_Handelsünger[Handelsdünger])-1)/(--(SEARCH(AL$2,Liste_Handelsünger[Handelsdünger])&gt;0)),ROW()-2),1),"")</f>
        <v>Wuxal P Profi</v>
      </c>
      <c r="AL141" s="1672" t="str">
        <f>IF(($A$3=""),"",IF(COUNTIF(Mineral!$AJ$3:$AJ$324,$A$3),"",$A$3))</f>
        <v/>
      </c>
      <c r="AM141" s="1672" t="str">
        <f>IFERROR(INDEX(Liste_Handelsünger[Handelsdünger],_xlfn.AGGREGATE(15,6,(ROW(Liste_Handelsünger[Handelsdünger])-1)/(--(SEARCH(AN$2,Liste_Handelsünger[Handelsdünger])&gt;0)),ROW()-2),1),"")</f>
        <v>Wuxal P Profi</v>
      </c>
      <c r="AN141" t="str">
        <f>IF(($A143=""),"",IF(COUNTIF(Mineral!$AJ$3:$AJ$324,$A143),"",$A143))</f>
        <v/>
      </c>
      <c r="AO141" t="str">
        <f>IFERROR(INDEX(Liste_Handelsünger[Handelsdünger],_xlfn.AGGREGATE(15,6,(ROW(Liste_Handelsünger[Handelsdünger])-1)/(--(SEARCH(AP$2,Liste_Handelsünger[Handelsdünger])&gt;0)),ROW()-2),1),"")</f>
        <v>Wuxal P Profi</v>
      </c>
      <c r="AP141" t="str">
        <f>IF(($A144=""),"",IF(COUNTIF(Mineral!$AJ$3:$AJ$324,$A144),"",$A144))</f>
        <v/>
      </c>
      <c r="AQ141" t="str">
        <f>IFERROR(INDEX(Liste_Handelsünger[Handelsdünger],_xlfn.AGGREGATE(15,6,(ROW(Liste_Handelsünger[Handelsdünger])-1)/(--(SEARCH(AR$2,Liste_Handelsünger[Handelsdünger])&gt;0)),ROW()-2),1),"")</f>
        <v>Wuxal P Profi</v>
      </c>
      <c r="AR141" t="str">
        <f>IF(($A145=""),"",IF(COUNTIF(Mineral!$AJ$3:$AJ$324,$A145),"",$A145))</f>
        <v/>
      </c>
      <c r="AS141" t="str">
        <f>IFERROR(INDEX(Liste_Handelsünger[Handelsdünger],_xlfn.AGGREGATE(15,6,(ROW(Liste_Handelsünger[Handelsdünger])-1)/(--(SEARCH(AT$2,Liste_Handelsünger[Handelsdünger])&gt;0)),ROW()-2),1),"")</f>
        <v>Wuxal P Profi</v>
      </c>
      <c r="AT141" t="str">
        <f>IF(($A146=""),"",IF(COUNTIF(Mineral!$AJ$3:$AJ$324,$A146),"",$A146))</f>
        <v/>
      </c>
      <c r="AU141" t="str">
        <f>IFERROR(INDEX(Liste_Handelsünger[Handelsdünger],_xlfn.AGGREGATE(15,6,(ROW(Liste_Handelsünger[Handelsdünger])-1)/(--(SEARCH(AV$2,Liste_Handelsünger[Handelsdünger])&gt;0)),ROW()-2),1),"")</f>
        <v>Wuxal P Profi</v>
      </c>
      <c r="AV141" t="str">
        <f>IF(($A147=""),"",IF(COUNTIF(Mineral!$AJ$3:$AJ$324,$A147),"",$A147))</f>
        <v/>
      </c>
      <c r="AW141" t="str">
        <f>IFERROR(INDEX(Liste_Handelsünger[Handelsdünger],_xlfn.AGGREGATE(15,6,(ROW(Liste_Handelsünger[Handelsdünger])-1)/(--(SEARCH(AX$2,Liste_Handelsünger[Handelsdünger])&gt;0)),ROW()-2),1),"")</f>
        <v>Wuxal P Profi</v>
      </c>
      <c r="AX141" t="str">
        <f>IF(($A148=""),"",IF(COUNTIF(Mineral!$AJ$3:$AJ$324,$A148),"",$A148))</f>
        <v/>
      </c>
      <c r="AY141" t="str">
        <f>IFERROR(INDEX(Liste_Handelsünger[Handelsdünger],_xlfn.AGGREGATE(15,6,(ROW(Liste_Handelsünger[Handelsdünger])-1)/(--(SEARCH(AZ$2,Liste_Handelsünger[Handelsdünger])&gt;0)),ROW()-2),1),"")</f>
        <v>Wuxal P Profi</v>
      </c>
      <c r="AZ141" t="str">
        <f>IF(($A149=""),"",IF(COUNTIF(Mineral!$AJ$3:$AJ$324,$A149),"",$A149))</f>
        <v/>
      </c>
      <c r="BA141" t="str">
        <f>IFERROR(INDEX(Liste_Handelsünger[Handelsdünger],_xlfn.AGGREGATE(15,6,(ROW(Liste_Handelsünger[Handelsdünger])-1)/(--(SEARCH(BB$2,Liste_Handelsünger[Handelsdünger])&gt;0)),ROW()-2),1),"")</f>
        <v>Wuxal P Profi</v>
      </c>
      <c r="BB141" t="str">
        <f>IF(($A150=""),"",IF(COUNTIF(Mineral!$AJ$3:$AJ$324,$A150),"",$A150))</f>
        <v/>
      </c>
      <c r="BC141" t="str">
        <f>IFERROR(INDEX(Liste_Handelsünger[Handelsdünger],_xlfn.AGGREGATE(15,6,(ROW(Liste_Handelsünger[Handelsdünger])-1)/(--(SEARCH(BD$2,Liste_Handelsünger[Handelsdünger])&gt;0)),ROW()-2),1),"")</f>
        <v>Wuxal P Profi</v>
      </c>
      <c r="BD141" t="str">
        <f>IF(($A151=""),"",IF(COUNTIF(Mineral!$AJ$3:$AJ$324,$A151),"",$A151))</f>
        <v/>
      </c>
      <c r="BE141" t="str">
        <f>IFERROR(INDEX(Liste_Handelsünger[Handelsdünger],_xlfn.AGGREGATE(15,6,(ROW(Liste_Handelsünger[Handelsdünger])-1)/(--(SEARCH(BF$2,Liste_Handelsünger[Handelsdünger])&gt;0)),ROW()-2),1),"")</f>
        <v>Wuxal P Profi</v>
      </c>
      <c r="BF141" t="str">
        <f>IF(($A152=""),"",IF(COUNTIF(Mineral!$AJ$3:$AJ$324,$A152),"",$A152))</f>
        <v/>
      </c>
      <c r="BG141" t="str">
        <f>IFERROR(INDEX(Liste_Handelsünger[Handelsdünger],_xlfn.AGGREGATE(15,6,(ROW(Liste_Handelsünger[Handelsdünger])-1)/(--(SEARCH(BH$2,Liste_Handelsünger[Handelsdünger])&gt;0)),ROW()-2),1),"")</f>
        <v>Wuxal P Profi</v>
      </c>
      <c r="BH141" t="str">
        <f>IF(($A153=""),"",IF(COUNTIF(Mineral!$AJ$3:$AJ$324,$A153),"",$A153))</f>
        <v/>
      </c>
      <c r="BI141" t="str">
        <f>IFERROR(INDEX(Liste_Handelsünger[Handelsdünger],_xlfn.AGGREGATE(15,6,(ROW(Liste_Handelsünger[Handelsdünger])-1)/(--(SEARCH(BJ$2,Liste_Handelsünger[Handelsdünger])&gt;0)),ROW()-2),1),"")</f>
        <v>Wuxal P Profi</v>
      </c>
      <c r="BJ141" t="str">
        <f>IF(($A154=""),"",IF(COUNTIF(Mineral!$AJ$3:$AJ$324,$A154),"",$A154))</f>
        <v/>
      </c>
      <c r="BK141" t="str">
        <f>IFERROR(INDEX(Liste_Handelsünger[Handelsdünger],_xlfn.AGGREGATE(15,6,(ROW(Liste_Handelsünger[Handelsdünger])-1)/(--(SEARCH(BL$2,Liste_Handelsünger[Handelsdünger])&gt;0)),ROW()-2),1),"")</f>
        <v>Wuxal P Profi</v>
      </c>
      <c r="BM141" t="str">
        <f>IFERROR(INDEX(Liste_Handelsünger[Handelsdünger],_xlfn.AGGREGATE(15,6,(ROW(Liste_Handelsünger[Handelsdünger])-1)/(--(SEARCH(BN$2,Liste_Handelsünger[Handelsdünger])&gt;0)),ROW()-2),1),"")</f>
        <v>Wuxal P Profi</v>
      </c>
      <c r="BN141" t="str">
        <f>IF(($A156=""),"",IF(COUNTIF(Mineral!$AJ$3:$AJ$324,$A156),"",$A156))</f>
        <v/>
      </c>
      <c r="BV141" t="s">
        <v>2326</v>
      </c>
      <c r="BW141" t="s">
        <v>2268</v>
      </c>
    </row>
    <row r="142" spans="19:75" ht="14.25" thickTop="1" thickBot="1">
      <c r="S142" s="1676">
        <v>141</v>
      </c>
      <c r="T142" s="1606" t="s">
        <v>2335</v>
      </c>
      <c r="U142" s="1606" t="s">
        <v>2327</v>
      </c>
      <c r="V142" s="1606"/>
      <c r="W142" s="1606">
        <v>15</v>
      </c>
      <c r="X142" s="1606">
        <v>0</v>
      </c>
      <c r="Y142" s="1606">
        <v>0</v>
      </c>
      <c r="Z142" s="1606">
        <v>21</v>
      </c>
      <c r="AA142" s="1606">
        <v>0</v>
      </c>
      <c r="AB142" s="1606">
        <v>0</v>
      </c>
      <c r="AC142" s="1606">
        <v>1</v>
      </c>
      <c r="AD142" s="1613">
        <v>1</v>
      </c>
      <c r="AE142" s="1606" t="s">
        <v>2016</v>
      </c>
      <c r="AF142" s="1613" t="str">
        <f t="shared" si="17"/>
        <v/>
      </c>
      <c r="AG142" s="1656">
        <f>IFERROR(IF($AF142&gt;0,VLOOKUP($U142,Tabelle1!$C$188:$L$212,5,0)*$AF142,0),0)</f>
        <v>0</v>
      </c>
      <c r="AH142" s="1656">
        <f t="shared" si="18"/>
        <v>0</v>
      </c>
      <c r="AJ142" t="str">
        <f>IF(Betrieb!$D$9="JA",Mineral!$BW142,Mineral!$BV142)</f>
        <v>Wuxal Schwefel</v>
      </c>
      <c r="AK142" s="1672" t="str">
        <f>IFERROR(INDEX(Liste_Handelsünger[Handelsdünger],_xlfn.AGGREGATE(15,6,(ROW(Liste_Handelsünger[Handelsdünger])-1)/(--(SEARCH(AL$2,Liste_Handelsünger[Handelsdünger])&gt;0)),ROW()-2),1),"")</f>
        <v>Wuxal Schwefel</v>
      </c>
      <c r="AL142" s="1672" t="str">
        <f>IF(($A$3=""),"",IF(COUNTIF(Mineral!$AJ$3:$AJ$324,$A$3),"",$A$3))</f>
        <v/>
      </c>
      <c r="AM142" s="1672" t="str">
        <f>IFERROR(INDEX(Liste_Handelsünger[Handelsdünger],_xlfn.AGGREGATE(15,6,(ROW(Liste_Handelsünger[Handelsdünger])-1)/(--(SEARCH(AN$2,Liste_Handelsünger[Handelsdünger])&gt;0)),ROW()-2),1),"")</f>
        <v>Wuxal Schwefel</v>
      </c>
      <c r="AN142" t="str">
        <f>IF(($A144=""),"",IF(COUNTIF(Mineral!$AJ$3:$AJ$324,$A144),"",$A144))</f>
        <v/>
      </c>
      <c r="AO142" t="str">
        <f>IFERROR(INDEX(Liste_Handelsünger[Handelsdünger],_xlfn.AGGREGATE(15,6,(ROW(Liste_Handelsünger[Handelsdünger])-1)/(--(SEARCH(AP$2,Liste_Handelsünger[Handelsdünger])&gt;0)),ROW()-2),1),"")</f>
        <v>Wuxal Schwefel</v>
      </c>
      <c r="AP142" t="str">
        <f>IF(($A145=""),"",IF(COUNTIF(Mineral!$AJ$3:$AJ$324,$A145),"",$A145))</f>
        <v/>
      </c>
      <c r="AQ142" t="str">
        <f>IFERROR(INDEX(Liste_Handelsünger[Handelsdünger],_xlfn.AGGREGATE(15,6,(ROW(Liste_Handelsünger[Handelsdünger])-1)/(--(SEARCH(AR$2,Liste_Handelsünger[Handelsdünger])&gt;0)),ROW()-2),1),"")</f>
        <v>Wuxal Schwefel</v>
      </c>
      <c r="AR142" t="str">
        <f>IF(($A146=""),"",IF(COUNTIF(Mineral!$AJ$3:$AJ$324,$A146),"",$A146))</f>
        <v/>
      </c>
      <c r="AS142" t="str">
        <f>IFERROR(INDEX(Liste_Handelsünger[Handelsdünger],_xlfn.AGGREGATE(15,6,(ROW(Liste_Handelsünger[Handelsdünger])-1)/(--(SEARCH(AT$2,Liste_Handelsünger[Handelsdünger])&gt;0)),ROW()-2),1),"")</f>
        <v>Wuxal Schwefel</v>
      </c>
      <c r="AT142" t="str">
        <f>IF(($A147=""),"",IF(COUNTIF(Mineral!$AJ$3:$AJ$324,$A147),"",$A147))</f>
        <v/>
      </c>
      <c r="AU142" t="str">
        <f>IFERROR(INDEX(Liste_Handelsünger[Handelsdünger],_xlfn.AGGREGATE(15,6,(ROW(Liste_Handelsünger[Handelsdünger])-1)/(--(SEARCH(AV$2,Liste_Handelsünger[Handelsdünger])&gt;0)),ROW()-2),1),"")</f>
        <v>Wuxal Schwefel</v>
      </c>
      <c r="AV142" t="str">
        <f>IF(($A148=""),"",IF(COUNTIF(Mineral!$AJ$3:$AJ$324,$A148),"",$A148))</f>
        <v/>
      </c>
      <c r="AW142" t="str">
        <f>IFERROR(INDEX(Liste_Handelsünger[Handelsdünger],_xlfn.AGGREGATE(15,6,(ROW(Liste_Handelsünger[Handelsdünger])-1)/(--(SEARCH(AX$2,Liste_Handelsünger[Handelsdünger])&gt;0)),ROW()-2),1),"")</f>
        <v>Wuxal Schwefel</v>
      </c>
      <c r="AX142" t="str">
        <f>IF(($A149=""),"",IF(COUNTIF(Mineral!$AJ$3:$AJ$324,$A149),"",$A149))</f>
        <v/>
      </c>
      <c r="AY142" t="str">
        <f>IFERROR(INDEX(Liste_Handelsünger[Handelsdünger],_xlfn.AGGREGATE(15,6,(ROW(Liste_Handelsünger[Handelsdünger])-1)/(--(SEARCH(AZ$2,Liste_Handelsünger[Handelsdünger])&gt;0)),ROW()-2),1),"")</f>
        <v>Wuxal Schwefel</v>
      </c>
      <c r="AZ142" t="str">
        <f>IF(($A150=""),"",IF(COUNTIF(Mineral!$AJ$3:$AJ$324,$A150),"",$A150))</f>
        <v/>
      </c>
      <c r="BA142" t="str">
        <f>IFERROR(INDEX(Liste_Handelsünger[Handelsdünger],_xlfn.AGGREGATE(15,6,(ROW(Liste_Handelsünger[Handelsdünger])-1)/(--(SEARCH(BB$2,Liste_Handelsünger[Handelsdünger])&gt;0)),ROW()-2),1),"")</f>
        <v>Wuxal Schwefel</v>
      </c>
      <c r="BB142" t="str">
        <f>IF(($A151=""),"",IF(COUNTIF(Mineral!$AJ$3:$AJ$324,$A151),"",$A151))</f>
        <v/>
      </c>
      <c r="BC142" t="str">
        <f>IFERROR(INDEX(Liste_Handelsünger[Handelsdünger],_xlfn.AGGREGATE(15,6,(ROW(Liste_Handelsünger[Handelsdünger])-1)/(--(SEARCH(BD$2,Liste_Handelsünger[Handelsdünger])&gt;0)),ROW()-2),1),"")</f>
        <v>Wuxal Schwefel</v>
      </c>
      <c r="BD142" t="str">
        <f>IF(($A152=""),"",IF(COUNTIF(Mineral!$AJ$3:$AJ$324,$A152),"",$A152))</f>
        <v/>
      </c>
      <c r="BE142" t="str">
        <f>IFERROR(INDEX(Liste_Handelsünger[Handelsdünger],_xlfn.AGGREGATE(15,6,(ROW(Liste_Handelsünger[Handelsdünger])-1)/(--(SEARCH(BF$2,Liste_Handelsünger[Handelsdünger])&gt;0)),ROW()-2),1),"")</f>
        <v>Wuxal Schwefel</v>
      </c>
      <c r="BF142" t="str">
        <f>IF(($A153=""),"",IF(COUNTIF(Mineral!$AJ$3:$AJ$324,$A153),"",$A153))</f>
        <v/>
      </c>
      <c r="BG142" t="str">
        <f>IFERROR(INDEX(Liste_Handelsünger[Handelsdünger],_xlfn.AGGREGATE(15,6,(ROW(Liste_Handelsünger[Handelsdünger])-1)/(--(SEARCH(BH$2,Liste_Handelsünger[Handelsdünger])&gt;0)),ROW()-2),1),"")</f>
        <v>Wuxal Schwefel</v>
      </c>
      <c r="BH142" t="str">
        <f>IF(($A154=""),"",IF(COUNTIF(Mineral!$AJ$3:$AJ$324,$A154),"",$A154))</f>
        <v/>
      </c>
      <c r="BI142" t="str">
        <f>IFERROR(INDEX(Liste_Handelsünger[Handelsdünger],_xlfn.AGGREGATE(15,6,(ROW(Liste_Handelsünger[Handelsdünger])-1)/(--(SEARCH(BJ$2,Liste_Handelsünger[Handelsdünger])&gt;0)),ROW()-2),1),"")</f>
        <v>Wuxal Schwefel</v>
      </c>
      <c r="BJ142" t="str">
        <f>IF(($A155=""),"",IF(COUNTIF(Mineral!$AJ$3:$AJ$324,$A155),"",$A155))</f>
        <v/>
      </c>
      <c r="BK142" t="str">
        <f>IFERROR(INDEX(Liste_Handelsünger[Handelsdünger],_xlfn.AGGREGATE(15,6,(ROW(Liste_Handelsünger[Handelsdünger])-1)/(--(SEARCH(BL$2,Liste_Handelsünger[Handelsdünger])&gt;0)),ROW()-2),1),"")</f>
        <v>Wuxal Schwefel</v>
      </c>
      <c r="BM142" t="str">
        <f>IFERROR(INDEX(Liste_Handelsünger[Handelsdünger],_xlfn.AGGREGATE(15,6,(ROW(Liste_Handelsünger[Handelsdünger])-1)/(--(SEARCH(BN$2,Liste_Handelsünger[Handelsdünger])&gt;0)),ROW()-2),1),"")</f>
        <v>Wuxal Schwefel</v>
      </c>
      <c r="BN142" t="str">
        <f>IF(($A157=""),"",IF(COUNTIF(Mineral!$AJ$3:$AJ$324,$A157),"",$A157))</f>
        <v/>
      </c>
      <c r="BV142" t="s">
        <v>2327</v>
      </c>
      <c r="BW142" t="s">
        <v>2269</v>
      </c>
    </row>
    <row r="143" spans="19:75" ht="14.25" thickTop="1" thickBot="1">
      <c r="S143" s="1616">
        <v>142</v>
      </c>
      <c r="T143" s="1617" t="s">
        <v>2335</v>
      </c>
      <c r="U143" s="1617" t="s">
        <v>2328</v>
      </c>
      <c r="V143" s="1617"/>
      <c r="W143" s="1617">
        <v>8</v>
      </c>
      <c r="X143" s="1617">
        <v>8</v>
      </c>
      <c r="Y143" s="1617">
        <v>6</v>
      </c>
      <c r="Z143" s="1617">
        <v>0</v>
      </c>
      <c r="AA143" s="1617">
        <v>0</v>
      </c>
      <c r="AB143" s="1617">
        <v>0</v>
      </c>
      <c r="AC143" s="1617">
        <v>1</v>
      </c>
      <c r="AD143" s="1613">
        <v>1</v>
      </c>
      <c r="AE143" s="1617" t="s">
        <v>2016</v>
      </c>
      <c r="AF143" s="1613" t="str">
        <f t="shared" si="17"/>
        <v/>
      </c>
      <c r="AG143" s="1656">
        <f>IFERROR(IF($AF143&gt;0,VLOOKUP($U143,Tabelle1!$C$188:$L$212,5,0)*$AF143,0),0)</f>
        <v>0</v>
      </c>
      <c r="AH143" s="1656">
        <f t="shared" si="18"/>
        <v>0</v>
      </c>
      <c r="AJ143" t="str">
        <f>IF(Betrieb!$D$9="JA",Mineral!$BW143,Mineral!$BV143)</f>
        <v>Wuxal super</v>
      </c>
      <c r="AK143" s="1672" t="str">
        <f>IFERROR(INDEX(Liste_Handelsünger[Handelsdünger],_xlfn.AGGREGATE(15,6,(ROW(Liste_Handelsünger[Handelsdünger])-1)/(--(SEARCH(AL$2,Liste_Handelsünger[Handelsdünger])&gt;0)),ROW()-2),1),"")</f>
        <v>Wuxal super</v>
      </c>
      <c r="AL143" s="1672" t="str">
        <f>IF(($A$3=""),"",IF(COUNTIF(Mineral!$AJ$3:$AJ$324,$A$3),"",$A$3))</f>
        <v/>
      </c>
      <c r="AM143" s="1672" t="str">
        <f>IFERROR(INDEX(Liste_Handelsünger[Handelsdünger],_xlfn.AGGREGATE(15,6,(ROW(Liste_Handelsünger[Handelsdünger])-1)/(--(SEARCH(AN$2,Liste_Handelsünger[Handelsdünger])&gt;0)),ROW()-2),1),"")</f>
        <v>Wuxal super</v>
      </c>
      <c r="AN143" t="str">
        <f>IF(($A145=""),"",IF(COUNTIF(Mineral!$AJ$3:$AJ$324,$A145),"",$A145))</f>
        <v/>
      </c>
      <c r="AO143" t="str">
        <f>IFERROR(INDEX(Liste_Handelsünger[Handelsdünger],_xlfn.AGGREGATE(15,6,(ROW(Liste_Handelsünger[Handelsdünger])-1)/(--(SEARCH(AP$2,Liste_Handelsünger[Handelsdünger])&gt;0)),ROW()-2),1),"")</f>
        <v>Wuxal super</v>
      </c>
      <c r="AP143" t="str">
        <f>IF(($A146=""),"",IF(COUNTIF(Mineral!$AJ$3:$AJ$324,$A146),"",$A146))</f>
        <v/>
      </c>
      <c r="AQ143" t="str">
        <f>IFERROR(INDEX(Liste_Handelsünger[Handelsdünger],_xlfn.AGGREGATE(15,6,(ROW(Liste_Handelsünger[Handelsdünger])-1)/(--(SEARCH(AR$2,Liste_Handelsünger[Handelsdünger])&gt;0)),ROW()-2),1),"")</f>
        <v>Wuxal super</v>
      </c>
      <c r="AR143" t="str">
        <f>IF(($A147=""),"",IF(COUNTIF(Mineral!$AJ$3:$AJ$324,$A147),"",$A147))</f>
        <v/>
      </c>
      <c r="AS143" t="str">
        <f>IFERROR(INDEX(Liste_Handelsünger[Handelsdünger],_xlfn.AGGREGATE(15,6,(ROW(Liste_Handelsünger[Handelsdünger])-1)/(--(SEARCH(AT$2,Liste_Handelsünger[Handelsdünger])&gt;0)),ROW()-2),1),"")</f>
        <v>Wuxal super</v>
      </c>
      <c r="AT143" t="str">
        <f>IF(($A148=""),"",IF(COUNTIF(Mineral!$AJ$3:$AJ$324,$A148),"",$A148))</f>
        <v/>
      </c>
      <c r="AU143" t="str">
        <f>IFERROR(INDEX(Liste_Handelsünger[Handelsdünger],_xlfn.AGGREGATE(15,6,(ROW(Liste_Handelsünger[Handelsdünger])-1)/(--(SEARCH(AV$2,Liste_Handelsünger[Handelsdünger])&gt;0)),ROW()-2),1),"")</f>
        <v>Wuxal super</v>
      </c>
      <c r="AV143" t="str">
        <f>IF(($A149=""),"",IF(COUNTIF(Mineral!$AJ$3:$AJ$324,$A149),"",$A149))</f>
        <v/>
      </c>
      <c r="AW143" t="str">
        <f>IFERROR(INDEX(Liste_Handelsünger[Handelsdünger],_xlfn.AGGREGATE(15,6,(ROW(Liste_Handelsünger[Handelsdünger])-1)/(--(SEARCH(AX$2,Liste_Handelsünger[Handelsdünger])&gt;0)),ROW()-2),1),"")</f>
        <v>Wuxal super</v>
      </c>
      <c r="AX143" t="str">
        <f>IF(($A150=""),"",IF(COUNTIF(Mineral!$AJ$3:$AJ$324,$A150),"",$A150))</f>
        <v/>
      </c>
      <c r="AY143" t="str">
        <f>IFERROR(INDEX(Liste_Handelsünger[Handelsdünger],_xlfn.AGGREGATE(15,6,(ROW(Liste_Handelsünger[Handelsdünger])-1)/(--(SEARCH(AZ$2,Liste_Handelsünger[Handelsdünger])&gt;0)),ROW()-2),1),"")</f>
        <v>Wuxal super</v>
      </c>
      <c r="AZ143" t="str">
        <f>IF(($A151=""),"",IF(COUNTIF(Mineral!$AJ$3:$AJ$324,$A151),"",$A151))</f>
        <v/>
      </c>
      <c r="BA143" t="str">
        <f>IFERROR(INDEX(Liste_Handelsünger[Handelsdünger],_xlfn.AGGREGATE(15,6,(ROW(Liste_Handelsünger[Handelsdünger])-1)/(--(SEARCH(BB$2,Liste_Handelsünger[Handelsdünger])&gt;0)),ROW()-2),1),"")</f>
        <v>Wuxal super</v>
      </c>
      <c r="BB143" t="str">
        <f>IF(($A152=""),"",IF(COUNTIF(Mineral!$AJ$3:$AJ$324,$A152),"",$A152))</f>
        <v/>
      </c>
      <c r="BC143" t="str">
        <f>IFERROR(INDEX(Liste_Handelsünger[Handelsdünger],_xlfn.AGGREGATE(15,6,(ROW(Liste_Handelsünger[Handelsdünger])-1)/(--(SEARCH(BD$2,Liste_Handelsünger[Handelsdünger])&gt;0)),ROW()-2),1),"")</f>
        <v>Wuxal super</v>
      </c>
      <c r="BD143" t="str">
        <f>IF(($A153=""),"",IF(COUNTIF(Mineral!$AJ$3:$AJ$324,$A153),"",$A153))</f>
        <v/>
      </c>
      <c r="BE143" t="str">
        <f>IFERROR(INDEX(Liste_Handelsünger[Handelsdünger],_xlfn.AGGREGATE(15,6,(ROW(Liste_Handelsünger[Handelsdünger])-1)/(--(SEARCH(BF$2,Liste_Handelsünger[Handelsdünger])&gt;0)),ROW()-2),1),"")</f>
        <v>Wuxal super</v>
      </c>
      <c r="BF143" t="str">
        <f>IF(($A154=""),"",IF(COUNTIF(Mineral!$AJ$3:$AJ$324,$A154),"",$A154))</f>
        <v/>
      </c>
      <c r="BG143" t="str">
        <f>IFERROR(INDEX(Liste_Handelsünger[Handelsdünger],_xlfn.AGGREGATE(15,6,(ROW(Liste_Handelsünger[Handelsdünger])-1)/(--(SEARCH(BH$2,Liste_Handelsünger[Handelsdünger])&gt;0)),ROW()-2),1),"")</f>
        <v>Wuxal super</v>
      </c>
      <c r="BH143" t="str">
        <f>IF(($A155=""),"",IF(COUNTIF(Mineral!$AJ$3:$AJ$324,$A155),"",$A155))</f>
        <v/>
      </c>
      <c r="BI143" t="str">
        <f>IFERROR(INDEX(Liste_Handelsünger[Handelsdünger],_xlfn.AGGREGATE(15,6,(ROW(Liste_Handelsünger[Handelsdünger])-1)/(--(SEARCH(BJ$2,Liste_Handelsünger[Handelsdünger])&gt;0)),ROW()-2),1),"")</f>
        <v>Wuxal super</v>
      </c>
      <c r="BJ143" t="str">
        <f>IF(($A156=""),"",IF(COUNTIF(Mineral!$AJ$3:$AJ$324,$A156),"",$A156))</f>
        <v/>
      </c>
      <c r="BK143" t="str">
        <f>IFERROR(INDEX(Liste_Handelsünger[Handelsdünger],_xlfn.AGGREGATE(15,6,(ROW(Liste_Handelsünger[Handelsdünger])-1)/(--(SEARCH(BL$2,Liste_Handelsünger[Handelsdünger])&gt;0)),ROW()-2),1),"")</f>
        <v>Wuxal super</v>
      </c>
      <c r="BM143" t="str">
        <f>IFERROR(INDEX(Liste_Handelsünger[Handelsdünger],_xlfn.AGGREGATE(15,6,(ROW(Liste_Handelsünger[Handelsdünger])-1)/(--(SEARCH(BN$2,Liste_Handelsünger[Handelsdünger])&gt;0)),ROW()-2),1),"")</f>
        <v>Wuxal super</v>
      </c>
      <c r="BN143" t="str">
        <f>IF(($A158=""),"",IF(COUNTIF(Mineral!$AJ$3:$AJ$324,$A158),"",$A158))</f>
        <v/>
      </c>
      <c r="BV143" t="s">
        <v>2328</v>
      </c>
      <c r="BW143" t="s">
        <v>2270</v>
      </c>
    </row>
    <row r="144" spans="19:75" ht="14.25" thickTop="1" thickBot="1">
      <c r="S144" s="1676">
        <v>143</v>
      </c>
      <c r="T144" s="1606" t="s">
        <v>2335</v>
      </c>
      <c r="U144" s="1606" t="s">
        <v>2329</v>
      </c>
      <c r="V144" s="1606"/>
      <c r="W144" s="1606">
        <v>12</v>
      </c>
      <c r="X144" s="1606">
        <v>4</v>
      </c>
      <c r="Y144" s="1606">
        <v>6</v>
      </c>
      <c r="Z144" s="1606">
        <v>0</v>
      </c>
      <c r="AA144" s="1606">
        <v>0</v>
      </c>
      <c r="AB144" s="1606">
        <v>0</v>
      </c>
      <c r="AC144" s="1606">
        <v>1</v>
      </c>
      <c r="AD144" s="1613">
        <v>1</v>
      </c>
      <c r="AE144" s="1606" t="s">
        <v>2016</v>
      </c>
      <c r="AF144" s="1613" t="str">
        <f t="shared" si="17"/>
        <v/>
      </c>
      <c r="AG144" s="1656">
        <f>IFERROR(IF($AF144&gt;0,VLOOKUP($U144,Tabelle1!$C$188:$L$212,5,0)*$AF144,0),0)</f>
        <v>0</v>
      </c>
      <c r="AH144" s="1656">
        <f t="shared" si="18"/>
        <v>0</v>
      </c>
      <c r="AJ144" t="str">
        <f>IF(Betrieb!$D$9="JA",Mineral!$BW144,Mineral!$BV144)</f>
        <v>Wuxal Top N</v>
      </c>
      <c r="AK144" s="1672" t="str">
        <f>IFERROR(INDEX(Liste_Handelsünger[Handelsdünger],_xlfn.AGGREGATE(15,6,(ROW(Liste_Handelsünger[Handelsdünger])-1)/(--(SEARCH(AL$2,Liste_Handelsünger[Handelsdünger])&gt;0)),ROW()-2),1),"")</f>
        <v>Wuxal Top N</v>
      </c>
      <c r="AL144" s="1672" t="str">
        <f>IF(($A$3=""),"",IF(COUNTIF(Mineral!$AJ$3:$AJ$324,$A$3),"",$A$3))</f>
        <v/>
      </c>
      <c r="AM144" s="1672" t="str">
        <f>IFERROR(INDEX(Liste_Handelsünger[Handelsdünger],_xlfn.AGGREGATE(15,6,(ROW(Liste_Handelsünger[Handelsdünger])-1)/(--(SEARCH(AN$2,Liste_Handelsünger[Handelsdünger])&gt;0)),ROW()-2),1),"")</f>
        <v>Wuxal Top N</v>
      </c>
      <c r="AN144" t="str">
        <f>IF(($A146=""),"",IF(COUNTIF(Mineral!$AJ$3:$AJ$324,$A146),"",$A146))</f>
        <v/>
      </c>
      <c r="AO144" t="str">
        <f>IFERROR(INDEX(Liste_Handelsünger[Handelsdünger],_xlfn.AGGREGATE(15,6,(ROW(Liste_Handelsünger[Handelsdünger])-1)/(--(SEARCH(AP$2,Liste_Handelsünger[Handelsdünger])&gt;0)),ROW()-2),1),"")</f>
        <v>Wuxal Top N</v>
      </c>
      <c r="AP144" t="str">
        <f>IF(($A147=""),"",IF(COUNTIF(Mineral!$AJ$3:$AJ$324,$A147),"",$A147))</f>
        <v/>
      </c>
      <c r="AQ144" t="str">
        <f>IFERROR(INDEX(Liste_Handelsünger[Handelsdünger],_xlfn.AGGREGATE(15,6,(ROW(Liste_Handelsünger[Handelsdünger])-1)/(--(SEARCH(AR$2,Liste_Handelsünger[Handelsdünger])&gt;0)),ROW()-2),1),"")</f>
        <v>Wuxal Top N</v>
      </c>
      <c r="AR144" t="str">
        <f>IF(($A148=""),"",IF(COUNTIF(Mineral!$AJ$3:$AJ$324,$A148),"",$A148))</f>
        <v/>
      </c>
      <c r="AS144" t="str">
        <f>IFERROR(INDEX(Liste_Handelsünger[Handelsdünger],_xlfn.AGGREGATE(15,6,(ROW(Liste_Handelsünger[Handelsdünger])-1)/(--(SEARCH(AT$2,Liste_Handelsünger[Handelsdünger])&gt;0)),ROW()-2),1),"")</f>
        <v>Wuxal Top N</v>
      </c>
      <c r="AT144" t="str">
        <f>IF(($A149=""),"",IF(COUNTIF(Mineral!$AJ$3:$AJ$324,$A149),"",$A149))</f>
        <v/>
      </c>
      <c r="AU144" t="str">
        <f>IFERROR(INDEX(Liste_Handelsünger[Handelsdünger],_xlfn.AGGREGATE(15,6,(ROW(Liste_Handelsünger[Handelsdünger])-1)/(--(SEARCH(AV$2,Liste_Handelsünger[Handelsdünger])&gt;0)),ROW()-2),1),"")</f>
        <v>Wuxal Top N</v>
      </c>
      <c r="AV144" t="str">
        <f>IF(($A150=""),"",IF(COUNTIF(Mineral!$AJ$3:$AJ$324,$A150),"",$A150))</f>
        <v/>
      </c>
      <c r="AW144" t="str">
        <f>IFERROR(INDEX(Liste_Handelsünger[Handelsdünger],_xlfn.AGGREGATE(15,6,(ROW(Liste_Handelsünger[Handelsdünger])-1)/(--(SEARCH(AX$2,Liste_Handelsünger[Handelsdünger])&gt;0)),ROW()-2),1),"")</f>
        <v>Wuxal Top N</v>
      </c>
      <c r="AX144" t="str">
        <f>IF(($A151=""),"",IF(COUNTIF(Mineral!$AJ$3:$AJ$324,$A151),"",$A151))</f>
        <v/>
      </c>
      <c r="AY144" t="str">
        <f>IFERROR(INDEX(Liste_Handelsünger[Handelsdünger],_xlfn.AGGREGATE(15,6,(ROW(Liste_Handelsünger[Handelsdünger])-1)/(--(SEARCH(AZ$2,Liste_Handelsünger[Handelsdünger])&gt;0)),ROW()-2),1),"")</f>
        <v>Wuxal Top N</v>
      </c>
      <c r="AZ144" t="str">
        <f>IF(($A152=""),"",IF(COUNTIF(Mineral!$AJ$3:$AJ$324,$A152),"",$A152))</f>
        <v/>
      </c>
      <c r="BA144" t="str">
        <f>IFERROR(INDEX(Liste_Handelsünger[Handelsdünger],_xlfn.AGGREGATE(15,6,(ROW(Liste_Handelsünger[Handelsdünger])-1)/(--(SEARCH(BB$2,Liste_Handelsünger[Handelsdünger])&gt;0)),ROW()-2),1),"")</f>
        <v>Wuxal Top N</v>
      </c>
      <c r="BB144" t="str">
        <f>IF(($A153=""),"",IF(COUNTIF(Mineral!$AJ$3:$AJ$324,$A153),"",$A153))</f>
        <v/>
      </c>
      <c r="BC144" t="str">
        <f>IFERROR(INDEX(Liste_Handelsünger[Handelsdünger],_xlfn.AGGREGATE(15,6,(ROW(Liste_Handelsünger[Handelsdünger])-1)/(--(SEARCH(BD$2,Liste_Handelsünger[Handelsdünger])&gt;0)),ROW()-2),1),"")</f>
        <v>Wuxal Top N</v>
      </c>
      <c r="BD144" t="str">
        <f>IF(($A154=""),"",IF(COUNTIF(Mineral!$AJ$3:$AJ$324,$A154),"",$A154))</f>
        <v/>
      </c>
      <c r="BE144" t="str">
        <f>IFERROR(INDEX(Liste_Handelsünger[Handelsdünger],_xlfn.AGGREGATE(15,6,(ROW(Liste_Handelsünger[Handelsdünger])-1)/(--(SEARCH(BF$2,Liste_Handelsünger[Handelsdünger])&gt;0)),ROW()-2),1),"")</f>
        <v>Wuxal Top N</v>
      </c>
      <c r="BF144" t="str">
        <f>IF(($A155=""),"",IF(COUNTIF(Mineral!$AJ$3:$AJ$324,$A155),"",$A155))</f>
        <v/>
      </c>
      <c r="BG144" t="str">
        <f>IFERROR(INDEX(Liste_Handelsünger[Handelsdünger],_xlfn.AGGREGATE(15,6,(ROW(Liste_Handelsünger[Handelsdünger])-1)/(--(SEARCH(BH$2,Liste_Handelsünger[Handelsdünger])&gt;0)),ROW()-2),1),"")</f>
        <v>Wuxal Top N</v>
      </c>
      <c r="BH144" t="str">
        <f>IF(($A156=""),"",IF(COUNTIF(Mineral!$AJ$3:$AJ$324,$A156),"",$A156))</f>
        <v/>
      </c>
      <c r="BI144" t="str">
        <f>IFERROR(INDEX(Liste_Handelsünger[Handelsdünger],_xlfn.AGGREGATE(15,6,(ROW(Liste_Handelsünger[Handelsdünger])-1)/(--(SEARCH(BJ$2,Liste_Handelsünger[Handelsdünger])&gt;0)),ROW()-2),1),"")</f>
        <v>Wuxal Top N</v>
      </c>
      <c r="BJ144" t="str">
        <f>IF(($A157=""),"",IF(COUNTIF(Mineral!$AJ$3:$AJ$324,$A157),"",$A157))</f>
        <v/>
      </c>
      <c r="BK144" t="str">
        <f>IFERROR(INDEX(Liste_Handelsünger[Handelsdünger],_xlfn.AGGREGATE(15,6,(ROW(Liste_Handelsünger[Handelsdünger])-1)/(--(SEARCH(BL$2,Liste_Handelsünger[Handelsdünger])&gt;0)),ROW()-2),1),"")</f>
        <v>Wuxal Top N</v>
      </c>
      <c r="BM144" t="str">
        <f>IFERROR(INDEX(Liste_Handelsünger[Handelsdünger],_xlfn.AGGREGATE(15,6,(ROW(Liste_Handelsünger[Handelsdünger])-1)/(--(SEARCH(BN$2,Liste_Handelsünger[Handelsdünger])&gt;0)),ROW()-2),1),"")</f>
        <v>Wuxal Top N</v>
      </c>
      <c r="BN144" t="str">
        <f>IF(($A159=""),"",IF(COUNTIF(Mineral!$AJ$3:$AJ$324,$A159),"",$A159))</f>
        <v/>
      </c>
      <c r="BV144" t="s">
        <v>2329</v>
      </c>
      <c r="BW144" t="s">
        <v>2271</v>
      </c>
    </row>
    <row r="145" spans="19:75" ht="14.25" thickTop="1" thickBot="1">
      <c r="S145" s="1616">
        <v>144</v>
      </c>
      <c r="T145" s="1617" t="s">
        <v>2335</v>
      </c>
      <c r="U145" s="1617" t="s">
        <v>2330</v>
      </c>
      <c r="V145" s="1617"/>
      <c r="W145" s="1617">
        <v>26</v>
      </c>
      <c r="X145" s="1617">
        <v>0</v>
      </c>
      <c r="Y145" s="1617">
        <v>0</v>
      </c>
      <c r="Z145" s="1617">
        <v>14.000000000000002</v>
      </c>
      <c r="AA145" s="1617">
        <v>0</v>
      </c>
      <c r="AB145" s="1617">
        <v>0</v>
      </c>
      <c r="AC145" s="1617">
        <v>1</v>
      </c>
      <c r="AD145" s="1613">
        <v>1</v>
      </c>
      <c r="AE145" s="1617" t="s">
        <v>2016</v>
      </c>
      <c r="AF145" s="1613" t="str">
        <f t="shared" si="17"/>
        <v/>
      </c>
      <c r="AG145" s="1656">
        <f>IFERROR(IF($AF145&gt;0,VLOOKUP($U145,Tabelle1!$C$188:$L$212,5,0)*$AF145,0),0)</f>
        <v>0</v>
      </c>
      <c r="AH145" s="1656">
        <f t="shared" si="18"/>
        <v>0</v>
      </c>
      <c r="AJ145" t="str">
        <f>IF(Betrieb!$D$9="JA",Mineral!$BW145,Mineral!$BV145)</f>
        <v>YaraBela ASS 26+14</v>
      </c>
      <c r="AK145" s="1672" t="str">
        <f>IFERROR(INDEX(Liste_Handelsünger[Handelsdünger],_xlfn.AGGREGATE(15,6,(ROW(Liste_Handelsünger[Handelsdünger])-1)/(--(SEARCH(AL$2,Liste_Handelsünger[Handelsdünger])&gt;0)),ROW()-2),1),"")</f>
        <v>YaraBela ASS 26+14</v>
      </c>
      <c r="AL145" s="1672" t="str">
        <f>IF(($A$3=""),"",IF(COUNTIF(Mineral!$AJ$3:$AJ$324,$A$3),"",$A$3))</f>
        <v/>
      </c>
      <c r="AM145" s="1672" t="str">
        <f>IFERROR(INDEX(Liste_Handelsünger[Handelsdünger],_xlfn.AGGREGATE(15,6,(ROW(Liste_Handelsünger[Handelsdünger])-1)/(--(SEARCH(AN$2,Liste_Handelsünger[Handelsdünger])&gt;0)),ROW()-2),1),"")</f>
        <v>YaraBela ASS 26+14</v>
      </c>
      <c r="AN145" t="str">
        <f>IF(($A147=""),"",IF(COUNTIF(Mineral!$AJ$3:$AJ$324,$A147),"",$A147))</f>
        <v/>
      </c>
      <c r="AO145" t="str">
        <f>IFERROR(INDEX(Liste_Handelsünger[Handelsdünger],_xlfn.AGGREGATE(15,6,(ROW(Liste_Handelsünger[Handelsdünger])-1)/(--(SEARCH(AP$2,Liste_Handelsünger[Handelsdünger])&gt;0)),ROW()-2),1),"")</f>
        <v>YaraBela ASS 26+14</v>
      </c>
      <c r="AP145" t="str">
        <f>IF(($A148=""),"",IF(COUNTIF(Mineral!$AJ$3:$AJ$324,$A148),"",$A148))</f>
        <v/>
      </c>
      <c r="AQ145" t="str">
        <f>IFERROR(INDEX(Liste_Handelsünger[Handelsdünger],_xlfn.AGGREGATE(15,6,(ROW(Liste_Handelsünger[Handelsdünger])-1)/(--(SEARCH(AR$2,Liste_Handelsünger[Handelsdünger])&gt;0)),ROW()-2),1),"")</f>
        <v>YaraBela ASS 26+14</v>
      </c>
      <c r="AR145" t="str">
        <f>IF(($A149=""),"",IF(COUNTIF(Mineral!$AJ$3:$AJ$324,$A149),"",$A149))</f>
        <v/>
      </c>
      <c r="AS145" t="str">
        <f>IFERROR(INDEX(Liste_Handelsünger[Handelsdünger],_xlfn.AGGREGATE(15,6,(ROW(Liste_Handelsünger[Handelsdünger])-1)/(--(SEARCH(AT$2,Liste_Handelsünger[Handelsdünger])&gt;0)),ROW()-2),1),"")</f>
        <v>YaraBela ASS 26+14</v>
      </c>
      <c r="AT145" t="str">
        <f>IF(($A150=""),"",IF(COUNTIF(Mineral!$AJ$3:$AJ$324,$A150),"",$A150))</f>
        <v/>
      </c>
      <c r="AU145" t="str">
        <f>IFERROR(INDEX(Liste_Handelsünger[Handelsdünger],_xlfn.AGGREGATE(15,6,(ROW(Liste_Handelsünger[Handelsdünger])-1)/(--(SEARCH(AV$2,Liste_Handelsünger[Handelsdünger])&gt;0)),ROW()-2),1),"")</f>
        <v>YaraBela ASS 26+14</v>
      </c>
      <c r="AV145" t="str">
        <f>IF(($A151=""),"",IF(COUNTIF(Mineral!$AJ$3:$AJ$324,$A151),"",$A151))</f>
        <v/>
      </c>
      <c r="AW145" t="str">
        <f>IFERROR(INDEX(Liste_Handelsünger[Handelsdünger],_xlfn.AGGREGATE(15,6,(ROW(Liste_Handelsünger[Handelsdünger])-1)/(--(SEARCH(AX$2,Liste_Handelsünger[Handelsdünger])&gt;0)),ROW()-2),1),"")</f>
        <v>YaraBela ASS 26+14</v>
      </c>
      <c r="AX145" t="str">
        <f>IF(($A152=""),"",IF(COUNTIF(Mineral!$AJ$3:$AJ$324,$A152),"",$A152))</f>
        <v/>
      </c>
      <c r="AY145" t="str">
        <f>IFERROR(INDEX(Liste_Handelsünger[Handelsdünger],_xlfn.AGGREGATE(15,6,(ROW(Liste_Handelsünger[Handelsdünger])-1)/(--(SEARCH(AZ$2,Liste_Handelsünger[Handelsdünger])&gt;0)),ROW()-2),1),"")</f>
        <v>YaraBela ASS 26+14</v>
      </c>
      <c r="AZ145" t="str">
        <f>IF(($A153=""),"",IF(COUNTIF(Mineral!$AJ$3:$AJ$324,$A153),"",$A153))</f>
        <v/>
      </c>
      <c r="BA145" t="str">
        <f>IFERROR(INDEX(Liste_Handelsünger[Handelsdünger],_xlfn.AGGREGATE(15,6,(ROW(Liste_Handelsünger[Handelsdünger])-1)/(--(SEARCH(BB$2,Liste_Handelsünger[Handelsdünger])&gt;0)),ROW()-2),1),"")</f>
        <v>YaraBela ASS 26+14</v>
      </c>
      <c r="BB145" t="str">
        <f>IF(($A154=""),"",IF(COUNTIF(Mineral!$AJ$3:$AJ$324,$A154),"",$A154))</f>
        <v/>
      </c>
      <c r="BC145" t="str">
        <f>IFERROR(INDEX(Liste_Handelsünger[Handelsdünger],_xlfn.AGGREGATE(15,6,(ROW(Liste_Handelsünger[Handelsdünger])-1)/(--(SEARCH(BD$2,Liste_Handelsünger[Handelsdünger])&gt;0)),ROW()-2),1),"")</f>
        <v>YaraBela ASS 26+14</v>
      </c>
      <c r="BD145" t="str">
        <f>IF(($A155=""),"",IF(COUNTIF(Mineral!$AJ$3:$AJ$324,$A155),"",$A155))</f>
        <v/>
      </c>
      <c r="BE145" t="str">
        <f>IFERROR(INDEX(Liste_Handelsünger[Handelsdünger],_xlfn.AGGREGATE(15,6,(ROW(Liste_Handelsünger[Handelsdünger])-1)/(--(SEARCH(BF$2,Liste_Handelsünger[Handelsdünger])&gt;0)),ROW()-2),1),"")</f>
        <v>YaraBela ASS 26+14</v>
      </c>
      <c r="BF145" t="str">
        <f>IF(($A156=""),"",IF(COUNTIF(Mineral!$AJ$3:$AJ$324,$A156),"",$A156))</f>
        <v/>
      </c>
      <c r="BG145" t="str">
        <f>IFERROR(INDEX(Liste_Handelsünger[Handelsdünger],_xlfn.AGGREGATE(15,6,(ROW(Liste_Handelsünger[Handelsdünger])-1)/(--(SEARCH(BH$2,Liste_Handelsünger[Handelsdünger])&gt;0)),ROW()-2),1),"")</f>
        <v>YaraBela ASS 26+14</v>
      </c>
      <c r="BH145" t="str">
        <f>IF(($A157=""),"",IF(COUNTIF(Mineral!$AJ$3:$AJ$324,$A157),"",$A157))</f>
        <v/>
      </c>
      <c r="BI145" t="str">
        <f>IFERROR(INDEX(Liste_Handelsünger[Handelsdünger],_xlfn.AGGREGATE(15,6,(ROW(Liste_Handelsünger[Handelsdünger])-1)/(--(SEARCH(BJ$2,Liste_Handelsünger[Handelsdünger])&gt;0)),ROW()-2),1),"")</f>
        <v>YaraBela ASS 26+14</v>
      </c>
      <c r="BJ145" t="str">
        <f>IF(($A158=""),"",IF(COUNTIF(Mineral!$AJ$3:$AJ$324,$A158),"",$A158))</f>
        <v/>
      </c>
      <c r="BK145" t="str">
        <f>IFERROR(INDEX(Liste_Handelsünger[Handelsdünger],_xlfn.AGGREGATE(15,6,(ROW(Liste_Handelsünger[Handelsdünger])-1)/(--(SEARCH(BL$2,Liste_Handelsünger[Handelsdünger])&gt;0)),ROW()-2),1),"")</f>
        <v>YaraBela ASS 26+14</v>
      </c>
      <c r="BM145" t="str">
        <f>IFERROR(INDEX(Liste_Handelsünger[Handelsdünger],_xlfn.AGGREGATE(15,6,(ROW(Liste_Handelsünger[Handelsdünger])-1)/(--(SEARCH(BN$2,Liste_Handelsünger[Handelsdünger])&gt;0)),ROW()-2),1),"")</f>
        <v>YaraBela ASS 26+14</v>
      </c>
      <c r="BN145" t="str">
        <f>IF(($A160=""),"",IF(COUNTIF(Mineral!$AJ$3:$AJ$324,$A160),"",$A160))</f>
        <v/>
      </c>
      <c r="BV145" t="s">
        <v>2330</v>
      </c>
      <c r="BW145" t="s">
        <v>2272</v>
      </c>
    </row>
    <row r="146" spans="19:75" ht="14.25" thickTop="1" thickBot="1">
      <c r="S146" s="1676">
        <v>145</v>
      </c>
      <c r="T146" s="1606" t="s">
        <v>2335</v>
      </c>
      <c r="U146" s="1606" t="s">
        <v>2331</v>
      </c>
      <c r="V146" s="1606"/>
      <c r="W146" s="1606">
        <v>40</v>
      </c>
      <c r="X146" s="1606">
        <v>0</v>
      </c>
      <c r="Y146" s="1606">
        <v>0</v>
      </c>
      <c r="Z146" s="1606">
        <v>5.6000000000000005</v>
      </c>
      <c r="AA146" s="1606">
        <v>0</v>
      </c>
      <c r="AB146" s="1606">
        <v>0</v>
      </c>
      <c r="AC146" s="1606">
        <v>1</v>
      </c>
      <c r="AD146" s="1613">
        <v>1</v>
      </c>
      <c r="AE146" s="1606" t="s">
        <v>2016</v>
      </c>
      <c r="AF146" s="1613" t="str">
        <f t="shared" si="17"/>
        <v/>
      </c>
      <c r="AG146" s="1656">
        <f>IFERROR(IF($AF146&gt;0,VLOOKUP($U146,Tabelle1!$C$188:$L$212,5,0)*$AF146,0),0)</f>
        <v>0</v>
      </c>
      <c r="AH146" s="1656">
        <f t="shared" si="18"/>
        <v>0</v>
      </c>
      <c r="AJ146" t="str">
        <f>IF(Betrieb!$D$9="JA",Mineral!$BW146,Mineral!$BV146)</f>
        <v>YaraVera AMIDAS</v>
      </c>
      <c r="AK146" s="1672" t="str">
        <f>IFERROR(INDEX(Liste_Handelsünger[Handelsdünger],_xlfn.AGGREGATE(15,6,(ROW(Liste_Handelsünger[Handelsdünger])-1)/(--(SEARCH(AL$2,Liste_Handelsünger[Handelsdünger])&gt;0)),ROW()-2),1),"")</f>
        <v>YaraVera AMIDAS</v>
      </c>
      <c r="AL146" s="1672" t="str">
        <f>IF(($A$3=""),"",IF(COUNTIF(Mineral!$AJ$3:$AJ$324,$A$3),"",$A$3))</f>
        <v/>
      </c>
      <c r="AM146" s="1672" t="str">
        <f>IFERROR(INDEX(Liste_Handelsünger[Handelsdünger],_xlfn.AGGREGATE(15,6,(ROW(Liste_Handelsünger[Handelsdünger])-1)/(--(SEARCH(AN$2,Liste_Handelsünger[Handelsdünger])&gt;0)),ROW()-2),1),"")</f>
        <v>YaraVera AMIDAS</v>
      </c>
      <c r="AN146" t="str">
        <f>IF(($A148=""),"",IF(COUNTIF(Mineral!$AJ$3:$AJ$324,$A148),"",$A148))</f>
        <v/>
      </c>
      <c r="AO146" t="str">
        <f>IFERROR(INDEX(Liste_Handelsünger[Handelsdünger],_xlfn.AGGREGATE(15,6,(ROW(Liste_Handelsünger[Handelsdünger])-1)/(--(SEARCH(AP$2,Liste_Handelsünger[Handelsdünger])&gt;0)),ROW()-2),1),"")</f>
        <v>YaraVera AMIDAS</v>
      </c>
      <c r="AP146" t="str">
        <f>IF(($A149=""),"",IF(COUNTIF(Mineral!$AJ$3:$AJ$324,$A149),"",$A149))</f>
        <v/>
      </c>
      <c r="AQ146" t="str">
        <f>IFERROR(INDEX(Liste_Handelsünger[Handelsdünger],_xlfn.AGGREGATE(15,6,(ROW(Liste_Handelsünger[Handelsdünger])-1)/(--(SEARCH(AR$2,Liste_Handelsünger[Handelsdünger])&gt;0)),ROW()-2),1),"")</f>
        <v>YaraVera AMIDAS</v>
      </c>
      <c r="AR146" t="str">
        <f>IF(($A150=""),"",IF(COUNTIF(Mineral!$AJ$3:$AJ$324,$A150),"",$A150))</f>
        <v/>
      </c>
      <c r="AS146" t="str">
        <f>IFERROR(INDEX(Liste_Handelsünger[Handelsdünger],_xlfn.AGGREGATE(15,6,(ROW(Liste_Handelsünger[Handelsdünger])-1)/(--(SEARCH(AT$2,Liste_Handelsünger[Handelsdünger])&gt;0)),ROW()-2),1),"")</f>
        <v>YaraVera AMIDAS</v>
      </c>
      <c r="AT146" t="str">
        <f>IF(($A151=""),"",IF(COUNTIF(Mineral!$AJ$3:$AJ$324,$A151),"",$A151))</f>
        <v/>
      </c>
      <c r="AU146" t="str">
        <f>IFERROR(INDEX(Liste_Handelsünger[Handelsdünger],_xlfn.AGGREGATE(15,6,(ROW(Liste_Handelsünger[Handelsdünger])-1)/(--(SEARCH(AV$2,Liste_Handelsünger[Handelsdünger])&gt;0)),ROW()-2),1),"")</f>
        <v>YaraVera AMIDAS</v>
      </c>
      <c r="AV146" t="str">
        <f>IF(($A152=""),"",IF(COUNTIF(Mineral!$AJ$3:$AJ$324,$A152),"",$A152))</f>
        <v/>
      </c>
      <c r="AW146" t="str">
        <f>IFERROR(INDEX(Liste_Handelsünger[Handelsdünger],_xlfn.AGGREGATE(15,6,(ROW(Liste_Handelsünger[Handelsdünger])-1)/(--(SEARCH(AX$2,Liste_Handelsünger[Handelsdünger])&gt;0)),ROW()-2),1),"")</f>
        <v>YaraVera AMIDAS</v>
      </c>
      <c r="AX146" t="str">
        <f>IF(($A153=""),"",IF(COUNTIF(Mineral!$AJ$3:$AJ$324,$A153),"",$A153))</f>
        <v/>
      </c>
      <c r="AY146" t="str">
        <f>IFERROR(INDEX(Liste_Handelsünger[Handelsdünger],_xlfn.AGGREGATE(15,6,(ROW(Liste_Handelsünger[Handelsdünger])-1)/(--(SEARCH(AZ$2,Liste_Handelsünger[Handelsdünger])&gt;0)),ROW()-2),1),"")</f>
        <v>YaraVera AMIDAS</v>
      </c>
      <c r="AZ146" t="str">
        <f>IF(($A154=""),"",IF(COUNTIF(Mineral!$AJ$3:$AJ$324,$A154),"",$A154))</f>
        <v/>
      </c>
      <c r="BA146" t="str">
        <f>IFERROR(INDEX(Liste_Handelsünger[Handelsdünger],_xlfn.AGGREGATE(15,6,(ROW(Liste_Handelsünger[Handelsdünger])-1)/(--(SEARCH(BB$2,Liste_Handelsünger[Handelsdünger])&gt;0)),ROW()-2),1),"")</f>
        <v>YaraVera AMIDAS</v>
      </c>
      <c r="BB146" t="str">
        <f>IF(($A155=""),"",IF(COUNTIF(Mineral!$AJ$3:$AJ$324,$A155),"",$A155))</f>
        <v/>
      </c>
      <c r="BC146" t="str">
        <f>IFERROR(INDEX(Liste_Handelsünger[Handelsdünger],_xlfn.AGGREGATE(15,6,(ROW(Liste_Handelsünger[Handelsdünger])-1)/(--(SEARCH(BD$2,Liste_Handelsünger[Handelsdünger])&gt;0)),ROW()-2),1),"")</f>
        <v>YaraVera AMIDAS</v>
      </c>
      <c r="BD146" t="str">
        <f>IF(($A156=""),"",IF(COUNTIF(Mineral!$AJ$3:$AJ$324,$A156),"",$A156))</f>
        <v/>
      </c>
      <c r="BE146" t="str">
        <f>IFERROR(INDEX(Liste_Handelsünger[Handelsdünger],_xlfn.AGGREGATE(15,6,(ROW(Liste_Handelsünger[Handelsdünger])-1)/(--(SEARCH(BF$2,Liste_Handelsünger[Handelsdünger])&gt;0)),ROW()-2),1),"")</f>
        <v>YaraVera AMIDAS</v>
      </c>
      <c r="BF146" t="str">
        <f>IF(($A157=""),"",IF(COUNTIF(Mineral!$AJ$3:$AJ$324,$A157),"",$A157))</f>
        <v/>
      </c>
      <c r="BG146" t="str">
        <f>IFERROR(INDEX(Liste_Handelsünger[Handelsdünger],_xlfn.AGGREGATE(15,6,(ROW(Liste_Handelsünger[Handelsdünger])-1)/(--(SEARCH(BH$2,Liste_Handelsünger[Handelsdünger])&gt;0)),ROW()-2),1),"")</f>
        <v>YaraVera AMIDAS</v>
      </c>
      <c r="BH146" t="str">
        <f>IF(($A158=""),"",IF(COUNTIF(Mineral!$AJ$3:$AJ$324,$A158),"",$A158))</f>
        <v/>
      </c>
      <c r="BI146" t="str">
        <f>IFERROR(INDEX(Liste_Handelsünger[Handelsdünger],_xlfn.AGGREGATE(15,6,(ROW(Liste_Handelsünger[Handelsdünger])-1)/(--(SEARCH(BJ$2,Liste_Handelsünger[Handelsdünger])&gt;0)),ROW()-2),1),"")</f>
        <v>YaraVera AMIDAS</v>
      </c>
      <c r="BJ146" t="str">
        <f>IF(($A159=""),"",IF(COUNTIF(Mineral!$AJ$3:$AJ$324,$A159),"",$A159))</f>
        <v/>
      </c>
      <c r="BK146" t="str">
        <f>IFERROR(INDEX(Liste_Handelsünger[Handelsdünger],_xlfn.AGGREGATE(15,6,(ROW(Liste_Handelsünger[Handelsdünger])-1)/(--(SEARCH(BL$2,Liste_Handelsünger[Handelsdünger])&gt;0)),ROW()-2),1),"")</f>
        <v>YaraVera AMIDAS</v>
      </c>
      <c r="BM146" t="str">
        <f>IFERROR(INDEX(Liste_Handelsünger[Handelsdünger],_xlfn.AGGREGATE(15,6,(ROW(Liste_Handelsünger[Handelsdünger])-1)/(--(SEARCH(BN$2,Liste_Handelsünger[Handelsdünger])&gt;0)),ROW()-2),1),"")</f>
        <v>YaraVera AMIDAS</v>
      </c>
      <c r="BN146" t="str">
        <f>IF(($A161=""),"",IF(COUNTIF(Mineral!$AJ$3:$AJ$324,$A161),"",$A161))</f>
        <v/>
      </c>
      <c r="BV146" t="s">
        <v>2331</v>
      </c>
      <c r="BW146" t="s">
        <v>2273</v>
      </c>
    </row>
    <row r="147" spans="19:75" ht="14.25" thickTop="1" thickBot="1">
      <c r="S147" s="1616">
        <v>146</v>
      </c>
      <c r="T147" s="1617" t="s">
        <v>2335</v>
      </c>
      <c r="U147" s="1617" t="s">
        <v>2332</v>
      </c>
      <c r="V147" s="1617"/>
      <c r="W147" s="1617">
        <v>5.2</v>
      </c>
      <c r="X147" s="1617">
        <v>0</v>
      </c>
      <c r="Y147" s="1617">
        <v>0</v>
      </c>
      <c r="Z147" s="1617">
        <v>0</v>
      </c>
      <c r="AA147" s="1617">
        <v>0</v>
      </c>
      <c r="AB147" s="1617">
        <v>0</v>
      </c>
      <c r="AC147" s="1617">
        <v>1</v>
      </c>
      <c r="AD147" s="1613">
        <v>1</v>
      </c>
      <c r="AE147" s="1617" t="s">
        <v>2016</v>
      </c>
      <c r="AF147" s="1613" t="str">
        <f t="shared" si="17"/>
        <v/>
      </c>
      <c r="AG147" s="1656">
        <f>IFERROR(IF($AF147&gt;0,VLOOKUP($U147,Tabelle1!$C$188:$L$212,5,0)*$AF147,0),0)</f>
        <v>0</v>
      </c>
      <c r="AH147" s="1656">
        <f t="shared" si="18"/>
        <v>0</v>
      </c>
      <c r="AJ147" t="str">
        <f>IF(Betrieb!$D$9="JA",Mineral!$BW147,Mineral!$BV147)</f>
        <v>Zink-Chelat flüssig</v>
      </c>
      <c r="AK147" s="1672" t="str">
        <f>IFERROR(INDEX(Liste_Handelsünger[Handelsdünger],_xlfn.AGGREGATE(15,6,(ROW(Liste_Handelsünger[Handelsdünger])-1)/(--(SEARCH(AL$2,Liste_Handelsünger[Handelsdünger])&gt;0)),ROW()-2),1),"")</f>
        <v>Zink-Chelat flüssig</v>
      </c>
      <c r="AL147" s="1672" t="str">
        <f>IF(($A$3=""),"",IF(COUNTIF(Mineral!$AJ$3:$AJ$324,$A$3),"",$A$3))</f>
        <v/>
      </c>
      <c r="AM147" s="1672" t="str">
        <f>IFERROR(INDEX(Liste_Handelsünger[Handelsdünger],_xlfn.AGGREGATE(15,6,(ROW(Liste_Handelsünger[Handelsdünger])-1)/(--(SEARCH(AN$2,Liste_Handelsünger[Handelsdünger])&gt;0)),ROW()-2),1),"")</f>
        <v>Zink-Chelat flüssig</v>
      </c>
      <c r="AN147" t="str">
        <f>IF(($A149=""),"",IF(COUNTIF(Mineral!$AJ$3:$AJ$324,$A149),"",$A149))</f>
        <v/>
      </c>
      <c r="AO147" t="str">
        <f>IFERROR(INDEX(Liste_Handelsünger[Handelsdünger],_xlfn.AGGREGATE(15,6,(ROW(Liste_Handelsünger[Handelsdünger])-1)/(--(SEARCH(AP$2,Liste_Handelsünger[Handelsdünger])&gt;0)),ROW()-2),1),"")</f>
        <v>Zink-Chelat flüssig</v>
      </c>
      <c r="AP147" t="str">
        <f>IF(($A150=""),"",IF(COUNTIF(Mineral!$AJ$3:$AJ$324,$A150),"",$A150))</f>
        <v/>
      </c>
      <c r="AQ147" t="str">
        <f>IFERROR(INDEX(Liste_Handelsünger[Handelsdünger],_xlfn.AGGREGATE(15,6,(ROW(Liste_Handelsünger[Handelsdünger])-1)/(--(SEARCH(AR$2,Liste_Handelsünger[Handelsdünger])&gt;0)),ROW()-2),1),"")</f>
        <v>Zink-Chelat flüssig</v>
      </c>
      <c r="AR147" t="str">
        <f>IF(($A151=""),"",IF(COUNTIF(Mineral!$AJ$3:$AJ$324,$A151),"",$A151))</f>
        <v/>
      </c>
      <c r="AS147" t="str">
        <f>IFERROR(INDEX(Liste_Handelsünger[Handelsdünger],_xlfn.AGGREGATE(15,6,(ROW(Liste_Handelsünger[Handelsdünger])-1)/(--(SEARCH(AT$2,Liste_Handelsünger[Handelsdünger])&gt;0)),ROW()-2),1),"")</f>
        <v>Zink-Chelat flüssig</v>
      </c>
      <c r="AT147" t="str">
        <f>IF(($A152=""),"",IF(COUNTIF(Mineral!$AJ$3:$AJ$324,$A152),"",$A152))</f>
        <v/>
      </c>
      <c r="AU147" t="str">
        <f>IFERROR(INDEX(Liste_Handelsünger[Handelsdünger],_xlfn.AGGREGATE(15,6,(ROW(Liste_Handelsünger[Handelsdünger])-1)/(--(SEARCH(AV$2,Liste_Handelsünger[Handelsdünger])&gt;0)),ROW()-2),1),"")</f>
        <v>Zink-Chelat flüssig</v>
      </c>
      <c r="AV147" t="str">
        <f>IF(($A153=""),"",IF(COUNTIF(Mineral!$AJ$3:$AJ$324,$A153),"",$A153))</f>
        <v/>
      </c>
      <c r="AW147" t="str">
        <f>IFERROR(INDEX(Liste_Handelsünger[Handelsdünger],_xlfn.AGGREGATE(15,6,(ROW(Liste_Handelsünger[Handelsdünger])-1)/(--(SEARCH(AX$2,Liste_Handelsünger[Handelsdünger])&gt;0)),ROW()-2),1),"")</f>
        <v>Zink-Chelat flüssig</v>
      </c>
      <c r="AX147" t="str">
        <f>IF(($A154=""),"",IF(COUNTIF(Mineral!$AJ$3:$AJ$324,$A154),"",$A154))</f>
        <v/>
      </c>
      <c r="AY147" t="str">
        <f>IFERROR(INDEX(Liste_Handelsünger[Handelsdünger],_xlfn.AGGREGATE(15,6,(ROW(Liste_Handelsünger[Handelsdünger])-1)/(--(SEARCH(AZ$2,Liste_Handelsünger[Handelsdünger])&gt;0)),ROW()-2),1),"")</f>
        <v>Zink-Chelat flüssig</v>
      </c>
      <c r="AZ147" t="str">
        <f>IF(($A155=""),"",IF(COUNTIF(Mineral!$AJ$3:$AJ$324,$A155),"",$A155))</f>
        <v/>
      </c>
      <c r="BA147" t="str">
        <f>IFERROR(INDEX(Liste_Handelsünger[Handelsdünger],_xlfn.AGGREGATE(15,6,(ROW(Liste_Handelsünger[Handelsdünger])-1)/(--(SEARCH(BB$2,Liste_Handelsünger[Handelsdünger])&gt;0)),ROW()-2),1),"")</f>
        <v>Zink-Chelat flüssig</v>
      </c>
      <c r="BB147" t="str">
        <f>IF(($A156=""),"",IF(COUNTIF(Mineral!$AJ$3:$AJ$324,$A156),"",$A156))</f>
        <v/>
      </c>
      <c r="BC147" t="str">
        <f>IFERROR(INDEX(Liste_Handelsünger[Handelsdünger],_xlfn.AGGREGATE(15,6,(ROW(Liste_Handelsünger[Handelsdünger])-1)/(--(SEARCH(BD$2,Liste_Handelsünger[Handelsdünger])&gt;0)),ROW()-2),1),"")</f>
        <v>Zink-Chelat flüssig</v>
      </c>
      <c r="BD147" t="str">
        <f>IF(($A157=""),"",IF(COUNTIF(Mineral!$AJ$3:$AJ$324,$A157),"",$A157))</f>
        <v/>
      </c>
      <c r="BE147" t="str">
        <f>IFERROR(INDEX(Liste_Handelsünger[Handelsdünger],_xlfn.AGGREGATE(15,6,(ROW(Liste_Handelsünger[Handelsdünger])-1)/(--(SEARCH(BF$2,Liste_Handelsünger[Handelsdünger])&gt;0)),ROW()-2),1),"")</f>
        <v>Zink-Chelat flüssig</v>
      </c>
      <c r="BF147" t="str">
        <f>IF(($A158=""),"",IF(COUNTIF(Mineral!$AJ$3:$AJ$324,$A158),"",$A158))</f>
        <v/>
      </c>
      <c r="BG147" t="str">
        <f>IFERROR(INDEX(Liste_Handelsünger[Handelsdünger],_xlfn.AGGREGATE(15,6,(ROW(Liste_Handelsünger[Handelsdünger])-1)/(--(SEARCH(BH$2,Liste_Handelsünger[Handelsdünger])&gt;0)),ROW()-2),1),"")</f>
        <v>Zink-Chelat flüssig</v>
      </c>
      <c r="BH147" t="str">
        <f>IF(($A159=""),"",IF(COUNTIF(Mineral!$AJ$3:$AJ$324,$A159),"",$A159))</f>
        <v/>
      </c>
      <c r="BI147" t="str">
        <f>IFERROR(INDEX(Liste_Handelsünger[Handelsdünger],_xlfn.AGGREGATE(15,6,(ROW(Liste_Handelsünger[Handelsdünger])-1)/(--(SEARCH(BJ$2,Liste_Handelsünger[Handelsdünger])&gt;0)),ROW()-2),1),"")</f>
        <v>Zink-Chelat flüssig</v>
      </c>
      <c r="BJ147" t="str">
        <f>IF(($A160=""),"",IF(COUNTIF(Mineral!$AJ$3:$AJ$324,$A160),"",$A160))</f>
        <v/>
      </c>
      <c r="BK147" t="str">
        <f>IFERROR(INDEX(Liste_Handelsünger[Handelsdünger],_xlfn.AGGREGATE(15,6,(ROW(Liste_Handelsünger[Handelsdünger])-1)/(--(SEARCH(BL$2,Liste_Handelsünger[Handelsdünger])&gt;0)),ROW()-2),1),"")</f>
        <v>Zink-Chelat flüssig</v>
      </c>
      <c r="BM147" t="str">
        <f>IFERROR(INDEX(Liste_Handelsünger[Handelsdünger],_xlfn.AGGREGATE(15,6,(ROW(Liste_Handelsünger[Handelsdünger])-1)/(--(SEARCH(BN$2,Liste_Handelsünger[Handelsdünger])&gt;0)),ROW()-2),1),"")</f>
        <v>Zink-Chelat flüssig</v>
      </c>
      <c r="BN147" t="str">
        <f>IF(($A162=""),"",IF(COUNTIF(Mineral!$AJ$3:$AJ$324,$A162),"",$A162))</f>
        <v/>
      </c>
      <c r="BV147" t="s">
        <v>2332</v>
      </c>
      <c r="BW147" t="s">
        <v>2274</v>
      </c>
    </row>
    <row r="148" spans="19:75" ht="14.25" thickTop="1" thickBot="1">
      <c r="S148" s="1676">
        <v>147</v>
      </c>
      <c r="T148" s="1606" t="s">
        <v>2335</v>
      </c>
      <c r="U148" s="1606" t="s">
        <v>2334</v>
      </c>
      <c r="V148" s="1606"/>
      <c r="W148" s="1606">
        <v>20</v>
      </c>
      <c r="X148" s="1606"/>
      <c r="Y148" s="1606"/>
      <c r="Z148" s="1606">
        <v>6</v>
      </c>
      <c r="AA148" s="1606"/>
      <c r="AB148" s="1606"/>
      <c r="AC148" s="1606">
        <v>1</v>
      </c>
      <c r="AD148" s="1613">
        <v>1</v>
      </c>
      <c r="AE148" s="1606" t="s">
        <v>2016</v>
      </c>
      <c r="AF148" s="1613" t="str">
        <f t="shared" si="17"/>
        <v/>
      </c>
      <c r="AG148" s="1656">
        <f>IFERROR(IF($AF148&gt;0,VLOOKUP($U148,Tabelle1!$C$188:$L$212,5,0)*$AF148,0),0)</f>
        <v>0</v>
      </c>
      <c r="AH148" s="1656">
        <f t="shared" si="18"/>
        <v>0</v>
      </c>
      <c r="AJ148" t="str">
        <f>IF(Betrieb!$D$9="JA",Mineral!$BW148,Mineral!$BV148)</f>
        <v>Domamon L 26</v>
      </c>
      <c r="AK148" s="1672" t="str">
        <f>IFERROR(INDEX(Liste_Handelsünger[Handelsdünger],_xlfn.AGGREGATE(15,6,(ROW(Liste_Handelsünger[Handelsdünger])-1)/(--(SEARCH(AL$2,Liste_Handelsünger[Handelsdünger])&gt;0)),ROW()-2),1),"")</f>
        <v>Domamon L 26</v>
      </c>
      <c r="AL148" s="1672" t="str">
        <f>IF(($A$3=""),"",IF(COUNTIF(Mineral!$AJ$3:$AJ$324,$A$3),"",$A$3))</f>
        <v/>
      </c>
      <c r="AM148" s="1672" t="str">
        <f>IFERROR(INDEX(Liste_Handelsünger[Handelsdünger],_xlfn.AGGREGATE(15,6,(ROW(Liste_Handelsünger[Handelsdünger])-1)/(--(SEARCH(AN$2,Liste_Handelsünger[Handelsdünger])&gt;0)),ROW()-2),1),"")</f>
        <v>Domamon L 26</v>
      </c>
      <c r="AN148" t="str">
        <f>IF(($A150=""),"",IF(COUNTIF(Mineral!$AJ$3:$AJ$324,$A150),"",$A150))</f>
        <v/>
      </c>
      <c r="AO148" t="str">
        <f>IFERROR(INDEX(Liste_Handelsünger[Handelsdünger],_xlfn.AGGREGATE(15,6,(ROW(Liste_Handelsünger[Handelsdünger])-1)/(--(SEARCH(AP$2,Liste_Handelsünger[Handelsdünger])&gt;0)),ROW()-2),1),"")</f>
        <v>Domamon L 26</v>
      </c>
      <c r="AP148" t="str">
        <f>IF(($A151=""),"",IF(COUNTIF(Mineral!$AJ$3:$AJ$324,$A151),"",$A151))</f>
        <v/>
      </c>
      <c r="AQ148" t="str">
        <f>IFERROR(INDEX(Liste_Handelsünger[Handelsdünger],_xlfn.AGGREGATE(15,6,(ROW(Liste_Handelsünger[Handelsdünger])-1)/(--(SEARCH(AR$2,Liste_Handelsünger[Handelsdünger])&gt;0)),ROW()-2),1),"")</f>
        <v>Domamon L 26</v>
      </c>
      <c r="AR148" t="str">
        <f>IF(($A152=""),"",IF(COUNTIF(Mineral!$AJ$3:$AJ$324,$A152),"",$A152))</f>
        <v/>
      </c>
      <c r="AS148" t="str">
        <f>IFERROR(INDEX(Liste_Handelsünger[Handelsdünger],_xlfn.AGGREGATE(15,6,(ROW(Liste_Handelsünger[Handelsdünger])-1)/(--(SEARCH(AT$2,Liste_Handelsünger[Handelsdünger])&gt;0)),ROW()-2),1),"")</f>
        <v>Domamon L 26</v>
      </c>
      <c r="AT148" t="str">
        <f>IF(($A153=""),"",IF(COUNTIF(Mineral!$AJ$3:$AJ$324,$A153),"",$A153))</f>
        <v/>
      </c>
      <c r="AU148" t="str">
        <f>IFERROR(INDEX(Liste_Handelsünger[Handelsdünger],_xlfn.AGGREGATE(15,6,(ROW(Liste_Handelsünger[Handelsdünger])-1)/(--(SEARCH(AV$2,Liste_Handelsünger[Handelsdünger])&gt;0)),ROW()-2),1),"")</f>
        <v>Domamon L 26</v>
      </c>
      <c r="AV148" t="str">
        <f>IF(($A154=""),"",IF(COUNTIF(Mineral!$AJ$3:$AJ$324,$A154),"",$A154))</f>
        <v/>
      </c>
      <c r="AW148" t="str">
        <f>IFERROR(INDEX(Liste_Handelsünger[Handelsdünger],_xlfn.AGGREGATE(15,6,(ROW(Liste_Handelsünger[Handelsdünger])-1)/(--(SEARCH(AX$2,Liste_Handelsünger[Handelsdünger])&gt;0)),ROW()-2),1),"")</f>
        <v>Domamon L 26</v>
      </c>
      <c r="AX148" t="str">
        <f>IF(($A155=""),"",IF(COUNTIF(Mineral!$AJ$3:$AJ$324,$A155),"",$A155))</f>
        <v/>
      </c>
      <c r="AY148" t="str">
        <f>IFERROR(INDEX(Liste_Handelsünger[Handelsdünger],_xlfn.AGGREGATE(15,6,(ROW(Liste_Handelsünger[Handelsdünger])-1)/(--(SEARCH(AZ$2,Liste_Handelsünger[Handelsdünger])&gt;0)),ROW()-2),1),"")</f>
        <v>Domamon L 26</v>
      </c>
      <c r="AZ148" t="str">
        <f>IF(($A156=""),"",IF(COUNTIF(Mineral!$AJ$3:$AJ$324,$A156),"",$A156))</f>
        <v/>
      </c>
      <c r="BA148" t="str">
        <f>IFERROR(INDEX(Liste_Handelsünger[Handelsdünger],_xlfn.AGGREGATE(15,6,(ROW(Liste_Handelsünger[Handelsdünger])-1)/(--(SEARCH(BB$2,Liste_Handelsünger[Handelsdünger])&gt;0)),ROW()-2),1),"")</f>
        <v>Domamon L 26</v>
      </c>
      <c r="BB148" t="str">
        <f>IF(($A157=""),"",IF(COUNTIF(Mineral!$AJ$3:$AJ$324,$A157),"",$A157))</f>
        <v/>
      </c>
      <c r="BC148" t="str">
        <f>IFERROR(INDEX(Liste_Handelsünger[Handelsdünger],_xlfn.AGGREGATE(15,6,(ROW(Liste_Handelsünger[Handelsdünger])-1)/(--(SEARCH(BD$2,Liste_Handelsünger[Handelsdünger])&gt;0)),ROW()-2),1),"")</f>
        <v>Domamon L 26</v>
      </c>
      <c r="BD148" t="str">
        <f>IF(($A158=""),"",IF(COUNTIF(Mineral!$AJ$3:$AJ$324,$A158),"",$A158))</f>
        <v/>
      </c>
      <c r="BE148" t="str">
        <f>IFERROR(INDEX(Liste_Handelsünger[Handelsdünger],_xlfn.AGGREGATE(15,6,(ROW(Liste_Handelsünger[Handelsdünger])-1)/(--(SEARCH(BF$2,Liste_Handelsünger[Handelsdünger])&gt;0)),ROW()-2),1),"")</f>
        <v>Domamon L 26</v>
      </c>
      <c r="BF148" t="str">
        <f>IF(($A159=""),"",IF(COUNTIF(Mineral!$AJ$3:$AJ$324,$A159),"",$A159))</f>
        <v/>
      </c>
      <c r="BG148" t="str">
        <f>IFERROR(INDEX(Liste_Handelsünger[Handelsdünger],_xlfn.AGGREGATE(15,6,(ROW(Liste_Handelsünger[Handelsdünger])-1)/(--(SEARCH(BH$2,Liste_Handelsünger[Handelsdünger])&gt;0)),ROW()-2),1),"")</f>
        <v>Domamon L 26</v>
      </c>
      <c r="BH148" t="str">
        <f>IF(($A160=""),"",IF(COUNTIF(Mineral!$AJ$3:$AJ$324,$A160),"",$A160))</f>
        <v/>
      </c>
      <c r="BI148" t="str">
        <f>IFERROR(INDEX(Liste_Handelsünger[Handelsdünger],_xlfn.AGGREGATE(15,6,(ROW(Liste_Handelsünger[Handelsdünger])-1)/(--(SEARCH(BJ$2,Liste_Handelsünger[Handelsdünger])&gt;0)),ROW()-2),1),"")</f>
        <v>Domamon L 26</v>
      </c>
      <c r="BJ148" t="str">
        <f>IF(($A161=""),"",IF(COUNTIF(Mineral!$AJ$3:$AJ$324,$A161),"",$A161))</f>
        <v/>
      </c>
      <c r="BK148" t="str">
        <f>IFERROR(INDEX(Liste_Handelsünger[Handelsdünger],_xlfn.AGGREGATE(15,6,(ROW(Liste_Handelsünger[Handelsdünger])-1)/(--(SEARCH(BL$2,Liste_Handelsünger[Handelsdünger])&gt;0)),ROW()-2),1),"")</f>
        <v>Domamon L 26</v>
      </c>
      <c r="BM148" t="str">
        <f>IFERROR(INDEX(Liste_Handelsünger[Handelsdünger],_xlfn.AGGREGATE(15,6,(ROW(Liste_Handelsünger[Handelsdünger])-1)/(--(SEARCH(BN$2,Liste_Handelsünger[Handelsdünger])&gt;0)),ROW()-2),1),"")</f>
        <v>Domamon L 26</v>
      </c>
      <c r="BN148" t="str">
        <f>IF(($A163=""),"",IF(COUNTIF(Mineral!$AJ$3:$AJ$324,$A163),"",$A163))</f>
        <v/>
      </c>
      <c r="BV148" t="s">
        <v>2334</v>
      </c>
      <c r="BW148" t="s">
        <v>2276</v>
      </c>
    </row>
    <row r="149" spans="19:75" ht="14.25" thickTop="1" thickBot="1">
      <c r="S149" s="1616">
        <v>148</v>
      </c>
      <c r="T149" s="1617" t="s">
        <v>2335</v>
      </c>
      <c r="U149" s="1617" t="s">
        <v>2015</v>
      </c>
      <c r="V149" s="1617"/>
      <c r="W149" s="1617">
        <v>14.000000000000002</v>
      </c>
      <c r="X149" s="1617">
        <v>5</v>
      </c>
      <c r="Y149" s="1617">
        <v>7.0000000000000009</v>
      </c>
      <c r="Z149" s="1617">
        <v>0</v>
      </c>
      <c r="AA149" s="1617">
        <v>0</v>
      </c>
      <c r="AB149" s="1617">
        <v>0</v>
      </c>
      <c r="AC149" s="1617">
        <v>1</v>
      </c>
      <c r="AD149" s="1613">
        <v>1</v>
      </c>
      <c r="AE149" s="1617" t="s">
        <v>2016</v>
      </c>
      <c r="AF149" s="1613" t="str">
        <f t="shared" si="17"/>
        <v/>
      </c>
      <c r="AG149" s="1656">
        <f>IFERROR(IF($AF149&gt;0,VLOOKUP($U149,Tabelle1!$C$188:$L$212,5,0)*$AF149,0),0)</f>
        <v>0</v>
      </c>
      <c r="AH149" s="1656">
        <f t="shared" si="18"/>
        <v>0</v>
      </c>
      <c r="AJ149" t="str">
        <f>IF(Betrieb!$D$9="JA",Mineral!$BW149,Mineral!$BV149)</f>
        <v>Agro Hi N</v>
      </c>
      <c r="AK149" s="1672" t="str">
        <f>IFERROR(INDEX(Liste_Handelsünger[Handelsdünger],_xlfn.AGGREGATE(15,6,(ROW(Liste_Handelsünger[Handelsdünger])-1)/(--(SEARCH(AL$2,Liste_Handelsünger[Handelsdünger])&gt;0)),ROW()-2),1),"")</f>
        <v>Agro Hi N</v>
      </c>
      <c r="AL149" s="1672" t="str">
        <f>IF(($A$3=""),"",IF(COUNTIF(Mineral!$AJ$3:$AJ$324,$A$3),"",$A$3))</f>
        <v/>
      </c>
      <c r="AM149" s="1672" t="str">
        <f>IFERROR(INDEX(Liste_Handelsünger[Handelsdünger],_xlfn.AGGREGATE(15,6,(ROW(Liste_Handelsünger[Handelsdünger])-1)/(--(SEARCH(AN$2,Liste_Handelsünger[Handelsdünger])&gt;0)),ROW()-2),1),"")</f>
        <v>Agro Hi N</v>
      </c>
      <c r="AN149" t="str">
        <f>IF(($A151=""),"",IF(COUNTIF(Mineral!$AJ$3:$AJ$324,$A151),"",$A151))</f>
        <v/>
      </c>
      <c r="AO149" t="str">
        <f>IFERROR(INDEX(Liste_Handelsünger[Handelsdünger],_xlfn.AGGREGATE(15,6,(ROW(Liste_Handelsünger[Handelsdünger])-1)/(--(SEARCH(AP$2,Liste_Handelsünger[Handelsdünger])&gt;0)),ROW()-2),1),"")</f>
        <v>Agro Hi N</v>
      </c>
      <c r="AP149" t="str">
        <f>IF(($A152=""),"",IF(COUNTIF(Mineral!$AJ$3:$AJ$324,$A152),"",$A152))</f>
        <v/>
      </c>
      <c r="AQ149" t="str">
        <f>IFERROR(INDEX(Liste_Handelsünger[Handelsdünger],_xlfn.AGGREGATE(15,6,(ROW(Liste_Handelsünger[Handelsdünger])-1)/(--(SEARCH(AR$2,Liste_Handelsünger[Handelsdünger])&gt;0)),ROW()-2),1),"")</f>
        <v>Agro Hi N</v>
      </c>
      <c r="AR149" t="str">
        <f>IF(($A153=""),"",IF(COUNTIF(Mineral!$AJ$3:$AJ$324,$A153),"",$A153))</f>
        <v/>
      </c>
      <c r="AS149" t="str">
        <f>IFERROR(INDEX(Liste_Handelsünger[Handelsdünger],_xlfn.AGGREGATE(15,6,(ROW(Liste_Handelsünger[Handelsdünger])-1)/(--(SEARCH(AT$2,Liste_Handelsünger[Handelsdünger])&gt;0)),ROW()-2),1),"")</f>
        <v>Agro Hi N</v>
      </c>
      <c r="AT149" t="str">
        <f>IF(($A154=""),"",IF(COUNTIF(Mineral!$AJ$3:$AJ$324,$A154),"",$A154))</f>
        <v/>
      </c>
      <c r="AU149" t="str">
        <f>IFERROR(INDEX(Liste_Handelsünger[Handelsdünger],_xlfn.AGGREGATE(15,6,(ROW(Liste_Handelsünger[Handelsdünger])-1)/(--(SEARCH(AV$2,Liste_Handelsünger[Handelsdünger])&gt;0)),ROW()-2),1),"")</f>
        <v>Agro Hi N</v>
      </c>
      <c r="AV149" t="str">
        <f>IF(($A155=""),"",IF(COUNTIF(Mineral!$AJ$3:$AJ$324,$A155),"",$A155))</f>
        <v/>
      </c>
      <c r="AW149" t="str">
        <f>IFERROR(INDEX(Liste_Handelsünger[Handelsdünger],_xlfn.AGGREGATE(15,6,(ROW(Liste_Handelsünger[Handelsdünger])-1)/(--(SEARCH(AX$2,Liste_Handelsünger[Handelsdünger])&gt;0)),ROW()-2),1),"")</f>
        <v>Agro Hi N</v>
      </c>
      <c r="AX149" t="str">
        <f>IF(($A156=""),"",IF(COUNTIF(Mineral!$AJ$3:$AJ$324,$A156),"",$A156))</f>
        <v/>
      </c>
      <c r="AY149" t="str">
        <f>IFERROR(INDEX(Liste_Handelsünger[Handelsdünger],_xlfn.AGGREGATE(15,6,(ROW(Liste_Handelsünger[Handelsdünger])-1)/(--(SEARCH(AZ$2,Liste_Handelsünger[Handelsdünger])&gt;0)),ROW()-2),1),"")</f>
        <v>Agro Hi N</v>
      </c>
      <c r="AZ149" t="str">
        <f>IF(($A157=""),"",IF(COUNTIF(Mineral!$AJ$3:$AJ$324,$A157),"",$A157))</f>
        <v/>
      </c>
      <c r="BA149" t="str">
        <f>IFERROR(INDEX(Liste_Handelsünger[Handelsdünger],_xlfn.AGGREGATE(15,6,(ROW(Liste_Handelsünger[Handelsdünger])-1)/(--(SEARCH(BB$2,Liste_Handelsünger[Handelsdünger])&gt;0)),ROW()-2),1),"")</f>
        <v>Agro Hi N</v>
      </c>
      <c r="BB149" t="str">
        <f>IF(($A158=""),"",IF(COUNTIF(Mineral!$AJ$3:$AJ$324,$A158),"",$A158))</f>
        <v/>
      </c>
      <c r="BC149" t="str">
        <f>IFERROR(INDEX(Liste_Handelsünger[Handelsdünger],_xlfn.AGGREGATE(15,6,(ROW(Liste_Handelsünger[Handelsdünger])-1)/(--(SEARCH(BD$2,Liste_Handelsünger[Handelsdünger])&gt;0)),ROW()-2),1),"")</f>
        <v>Agro Hi N</v>
      </c>
      <c r="BD149" t="str">
        <f>IF(($A159=""),"",IF(COUNTIF(Mineral!$AJ$3:$AJ$324,$A159),"",$A159))</f>
        <v/>
      </c>
      <c r="BE149" t="str">
        <f>IFERROR(INDEX(Liste_Handelsünger[Handelsdünger],_xlfn.AGGREGATE(15,6,(ROW(Liste_Handelsünger[Handelsdünger])-1)/(--(SEARCH(BF$2,Liste_Handelsünger[Handelsdünger])&gt;0)),ROW()-2),1),"")</f>
        <v>Agro Hi N</v>
      </c>
      <c r="BF149" t="str">
        <f>IF(($A160=""),"",IF(COUNTIF(Mineral!$AJ$3:$AJ$324,$A160),"",$A160))</f>
        <v/>
      </c>
      <c r="BG149" t="str">
        <f>IFERROR(INDEX(Liste_Handelsünger[Handelsdünger],_xlfn.AGGREGATE(15,6,(ROW(Liste_Handelsünger[Handelsdünger])-1)/(--(SEARCH(BH$2,Liste_Handelsünger[Handelsdünger])&gt;0)),ROW()-2),1),"")</f>
        <v>Agro Hi N</v>
      </c>
      <c r="BH149" t="str">
        <f>IF(($A161=""),"",IF(COUNTIF(Mineral!$AJ$3:$AJ$324,$A161),"",$A161))</f>
        <v/>
      </c>
      <c r="BI149" t="str">
        <f>IFERROR(INDEX(Liste_Handelsünger[Handelsdünger],_xlfn.AGGREGATE(15,6,(ROW(Liste_Handelsünger[Handelsdünger])-1)/(--(SEARCH(BJ$2,Liste_Handelsünger[Handelsdünger])&gt;0)),ROW()-2),1),"")</f>
        <v>Agro Hi N</v>
      </c>
      <c r="BJ149" t="str">
        <f>IF(($A162=""),"",IF(COUNTIF(Mineral!$AJ$3:$AJ$324,$A162),"",$A162))</f>
        <v/>
      </c>
      <c r="BK149" t="str">
        <f>IFERROR(INDEX(Liste_Handelsünger[Handelsdünger],_xlfn.AGGREGATE(15,6,(ROW(Liste_Handelsünger[Handelsdünger])-1)/(--(SEARCH(BL$2,Liste_Handelsünger[Handelsdünger])&gt;0)),ROW()-2),1),"")</f>
        <v>Agro Hi N</v>
      </c>
      <c r="BM149" t="str">
        <f>IFERROR(INDEX(Liste_Handelsünger[Handelsdünger],_xlfn.AGGREGATE(15,6,(ROW(Liste_Handelsünger[Handelsdünger])-1)/(--(SEARCH(BN$2,Liste_Handelsünger[Handelsdünger])&gt;0)),ROW()-2),1),"")</f>
        <v>Agro Hi N</v>
      </c>
      <c r="BN149" t="str">
        <f>IF(($A164=""),"",IF(COUNTIF(Mineral!$AJ$3:$AJ$324,$A164),"",$A164))</f>
        <v/>
      </c>
      <c r="BV149" t="s">
        <v>2015</v>
      </c>
      <c r="BW149" t="s">
        <v>2277</v>
      </c>
    </row>
    <row r="150" spans="19:75" ht="14.25" thickTop="1" thickBot="1">
      <c r="S150" s="1676">
        <v>149</v>
      </c>
      <c r="T150" s="1606" t="s">
        <v>2006</v>
      </c>
      <c r="U150" s="1606" t="s">
        <v>2014</v>
      </c>
      <c r="V150" s="1606" t="s">
        <v>408</v>
      </c>
      <c r="W150" s="1606">
        <v>0</v>
      </c>
      <c r="X150" s="1606">
        <v>0</v>
      </c>
      <c r="Y150" s="1606">
        <v>0</v>
      </c>
      <c r="Z150" s="1606">
        <v>0</v>
      </c>
      <c r="AA150" s="1606">
        <v>0</v>
      </c>
      <c r="AB150" s="1606">
        <v>0</v>
      </c>
      <c r="AC150" s="1606">
        <v>1</v>
      </c>
      <c r="AD150" s="1613">
        <v>1</v>
      </c>
      <c r="AE150" s="1606" t="s">
        <v>1764</v>
      </c>
      <c r="AF150" s="1613" t="str">
        <f t="shared" si="17"/>
        <v/>
      </c>
      <c r="AG150" s="1656">
        <f>IFERROR(IF($AF150&gt;0,VLOOKUP($U150,Tabelle1!$C$188:$L$212,5,0)*$AF150,0),0)</f>
        <v>0</v>
      </c>
      <c r="AH150" s="1656">
        <f t="shared" si="18"/>
        <v>0</v>
      </c>
      <c r="AJ150" t="str">
        <f>IF(Betrieb!$D$9="JA",Mineral!$BW150,Mineral!$BV150)</f>
        <v>Agro Hi Bor</v>
      </c>
      <c r="AK150" s="1672" t="str">
        <f>IFERROR(INDEX(Liste_Handelsünger[Handelsdünger],_xlfn.AGGREGATE(15,6,(ROW(Liste_Handelsünger[Handelsdünger])-1)/(--(SEARCH(AL$2,Liste_Handelsünger[Handelsdünger])&gt;0)),ROW()-2),1),"")</f>
        <v>Agro Hi Bor</v>
      </c>
      <c r="AL150" s="1672" t="str">
        <f>IF(($A$3=""),"",IF(COUNTIF(Mineral!$AJ$3:$AJ$324,$A$3),"",$A$3))</f>
        <v/>
      </c>
      <c r="AM150" s="1672" t="str">
        <f>IFERROR(INDEX(Liste_Handelsünger[Handelsdünger],_xlfn.AGGREGATE(15,6,(ROW(Liste_Handelsünger[Handelsdünger])-1)/(--(SEARCH(AN$2,Liste_Handelsünger[Handelsdünger])&gt;0)),ROW()-2),1),"")</f>
        <v>Agro Hi Bor</v>
      </c>
      <c r="AN150" t="str">
        <f>IF(($A152=""),"",IF(COUNTIF(Mineral!$AJ$3:$AJ$324,$A152),"",$A152))</f>
        <v/>
      </c>
      <c r="AO150" t="str">
        <f>IFERROR(INDEX(Liste_Handelsünger[Handelsdünger],_xlfn.AGGREGATE(15,6,(ROW(Liste_Handelsünger[Handelsdünger])-1)/(--(SEARCH(AP$2,Liste_Handelsünger[Handelsdünger])&gt;0)),ROW()-2),1),"")</f>
        <v>Agro Hi Bor</v>
      </c>
      <c r="AP150" t="str">
        <f>IF(($A153=""),"",IF(COUNTIF(Mineral!$AJ$3:$AJ$324,$A153),"",$A153))</f>
        <v/>
      </c>
      <c r="AQ150" t="str">
        <f>IFERROR(INDEX(Liste_Handelsünger[Handelsdünger],_xlfn.AGGREGATE(15,6,(ROW(Liste_Handelsünger[Handelsdünger])-1)/(--(SEARCH(AR$2,Liste_Handelsünger[Handelsdünger])&gt;0)),ROW()-2),1),"")</f>
        <v>Agro Hi Bor</v>
      </c>
      <c r="AR150" t="str">
        <f>IF(($A154=""),"",IF(COUNTIF(Mineral!$AJ$3:$AJ$324,$A154),"",$A154))</f>
        <v/>
      </c>
      <c r="AS150" t="str">
        <f>IFERROR(INDEX(Liste_Handelsünger[Handelsdünger],_xlfn.AGGREGATE(15,6,(ROW(Liste_Handelsünger[Handelsdünger])-1)/(--(SEARCH(AT$2,Liste_Handelsünger[Handelsdünger])&gt;0)),ROW()-2),1),"")</f>
        <v>Agro Hi Bor</v>
      </c>
      <c r="AT150" t="str">
        <f>IF(($A155=""),"",IF(COUNTIF(Mineral!$AJ$3:$AJ$324,$A155),"",$A155))</f>
        <v/>
      </c>
      <c r="AU150" t="str">
        <f>IFERROR(INDEX(Liste_Handelsünger[Handelsdünger],_xlfn.AGGREGATE(15,6,(ROW(Liste_Handelsünger[Handelsdünger])-1)/(--(SEARCH(AV$2,Liste_Handelsünger[Handelsdünger])&gt;0)),ROW()-2),1),"")</f>
        <v>Agro Hi Bor</v>
      </c>
      <c r="AV150" t="str">
        <f>IF(($A156=""),"",IF(COUNTIF(Mineral!$AJ$3:$AJ$324,$A156),"",$A156))</f>
        <v/>
      </c>
      <c r="AW150" t="str">
        <f>IFERROR(INDEX(Liste_Handelsünger[Handelsdünger],_xlfn.AGGREGATE(15,6,(ROW(Liste_Handelsünger[Handelsdünger])-1)/(--(SEARCH(AX$2,Liste_Handelsünger[Handelsdünger])&gt;0)),ROW()-2),1),"")</f>
        <v>Agro Hi Bor</v>
      </c>
      <c r="AX150" t="str">
        <f>IF(($A157=""),"",IF(COUNTIF(Mineral!$AJ$3:$AJ$324,$A157),"",$A157))</f>
        <v/>
      </c>
      <c r="AY150" t="str">
        <f>IFERROR(INDEX(Liste_Handelsünger[Handelsdünger],_xlfn.AGGREGATE(15,6,(ROW(Liste_Handelsünger[Handelsdünger])-1)/(--(SEARCH(AZ$2,Liste_Handelsünger[Handelsdünger])&gt;0)),ROW()-2),1),"")</f>
        <v>Agro Hi Bor</v>
      </c>
      <c r="AZ150" t="str">
        <f>IF(($A158=""),"",IF(COUNTIF(Mineral!$AJ$3:$AJ$324,$A158),"",$A158))</f>
        <v/>
      </c>
      <c r="BA150" t="str">
        <f>IFERROR(INDEX(Liste_Handelsünger[Handelsdünger],_xlfn.AGGREGATE(15,6,(ROW(Liste_Handelsünger[Handelsdünger])-1)/(--(SEARCH(BB$2,Liste_Handelsünger[Handelsdünger])&gt;0)),ROW()-2),1),"")</f>
        <v>Agro Hi Bor</v>
      </c>
      <c r="BB150" t="str">
        <f>IF(($A159=""),"",IF(COUNTIF(Mineral!$AJ$3:$AJ$324,$A159),"",$A159))</f>
        <v/>
      </c>
      <c r="BC150" t="str">
        <f>IFERROR(INDEX(Liste_Handelsünger[Handelsdünger],_xlfn.AGGREGATE(15,6,(ROW(Liste_Handelsünger[Handelsdünger])-1)/(--(SEARCH(BD$2,Liste_Handelsünger[Handelsdünger])&gt;0)),ROW()-2),1),"")</f>
        <v>Agro Hi Bor</v>
      </c>
      <c r="BD150" t="str">
        <f>IF(($A160=""),"",IF(COUNTIF(Mineral!$AJ$3:$AJ$324,$A160),"",$A160))</f>
        <v/>
      </c>
      <c r="BE150" t="str">
        <f>IFERROR(INDEX(Liste_Handelsünger[Handelsdünger],_xlfn.AGGREGATE(15,6,(ROW(Liste_Handelsünger[Handelsdünger])-1)/(--(SEARCH(BF$2,Liste_Handelsünger[Handelsdünger])&gt;0)),ROW()-2),1),"")</f>
        <v>Agro Hi Bor</v>
      </c>
      <c r="BF150" t="str">
        <f>IF(($A161=""),"",IF(COUNTIF(Mineral!$AJ$3:$AJ$324,$A161),"",$A161))</f>
        <v/>
      </c>
      <c r="BG150" t="str">
        <f>IFERROR(INDEX(Liste_Handelsünger[Handelsdünger],_xlfn.AGGREGATE(15,6,(ROW(Liste_Handelsünger[Handelsdünger])-1)/(--(SEARCH(BH$2,Liste_Handelsünger[Handelsdünger])&gt;0)),ROW()-2),1),"")</f>
        <v>Agro Hi Bor</v>
      </c>
      <c r="BH150" t="str">
        <f>IF(($A162=""),"",IF(COUNTIF(Mineral!$AJ$3:$AJ$324,$A162),"",$A162))</f>
        <v/>
      </c>
      <c r="BI150" t="str">
        <f>IFERROR(INDEX(Liste_Handelsünger[Handelsdünger],_xlfn.AGGREGATE(15,6,(ROW(Liste_Handelsünger[Handelsdünger])-1)/(--(SEARCH(BJ$2,Liste_Handelsünger[Handelsdünger])&gt;0)),ROW()-2),1),"")</f>
        <v>Agro Hi Bor</v>
      </c>
      <c r="BJ150" t="str">
        <f>IF(($A163=""),"",IF(COUNTIF(Mineral!$AJ$3:$AJ$324,$A163),"",$A163))</f>
        <v/>
      </c>
      <c r="BK150" t="str">
        <f>IFERROR(INDEX(Liste_Handelsünger[Handelsdünger],_xlfn.AGGREGATE(15,6,(ROW(Liste_Handelsünger[Handelsdünger])-1)/(--(SEARCH(BL$2,Liste_Handelsünger[Handelsdünger])&gt;0)),ROW()-2),1),"")</f>
        <v>Agro Hi Bor</v>
      </c>
      <c r="BM150" t="str">
        <f>IFERROR(INDEX(Liste_Handelsünger[Handelsdünger],_xlfn.AGGREGATE(15,6,(ROW(Liste_Handelsünger[Handelsdünger])-1)/(--(SEARCH(BN$2,Liste_Handelsünger[Handelsdünger])&gt;0)),ROW()-2),1),"")</f>
        <v>Agro Hi Bor</v>
      </c>
      <c r="BN150" t="str">
        <f>IF(($A165=""),"",IF(COUNTIF(Mineral!$AJ$3:$AJ$324,$A165),"",$A165))</f>
        <v/>
      </c>
      <c r="BV150" t="s">
        <v>2014</v>
      </c>
      <c r="BW150" t="s">
        <v>2278</v>
      </c>
    </row>
    <row r="151" spans="19:75" ht="14.25" thickTop="1" thickBot="1">
      <c r="S151" s="1616">
        <v>150</v>
      </c>
      <c r="T151" s="1617" t="s">
        <v>2006</v>
      </c>
      <c r="U151" s="1617" t="s">
        <v>2018</v>
      </c>
      <c r="V151" s="1617" t="s">
        <v>408</v>
      </c>
      <c r="W151" s="1617">
        <v>0</v>
      </c>
      <c r="X151" s="1617">
        <v>0</v>
      </c>
      <c r="Y151" s="1617">
        <v>0</v>
      </c>
      <c r="Z151" s="1617">
        <v>0</v>
      </c>
      <c r="AA151" s="1617">
        <v>54</v>
      </c>
      <c r="AB151" s="1617">
        <v>0</v>
      </c>
      <c r="AC151" s="1617">
        <v>1</v>
      </c>
      <c r="AD151" s="1613">
        <v>1</v>
      </c>
      <c r="AE151" s="1617" t="s">
        <v>1764</v>
      </c>
      <c r="AF151" s="1613" t="str">
        <f t="shared" si="17"/>
        <v/>
      </c>
      <c r="AG151" s="1656">
        <f>IFERROR(IF($AF151&gt;0,VLOOKUP($U151,Tabelle1!$C$188:$L$212,5,0)*$AF151,0),0)</f>
        <v>0</v>
      </c>
      <c r="AH151" s="1656">
        <f t="shared" si="18"/>
        <v>0</v>
      </c>
      <c r="AJ151" t="str">
        <f>IF(Betrieb!$D$9="JA",Mineral!$BW151,Mineral!$BV151)</f>
        <v>Agrosol</v>
      </c>
      <c r="AK151" s="1672" t="str">
        <f>IFERROR(INDEX(Liste_Handelsünger[Handelsdünger],_xlfn.AGGREGATE(15,6,(ROW(Liste_Handelsünger[Handelsdünger])-1)/(--(SEARCH(AL$2,Liste_Handelsünger[Handelsdünger])&gt;0)),ROW()-2),1),"")</f>
        <v>Agrosol</v>
      </c>
      <c r="AL151" s="1672" t="str">
        <f>IF(($A$3=""),"",IF(COUNTIF(Mineral!$AJ$3:$AJ$324,$A$3),"",$A$3))</f>
        <v/>
      </c>
      <c r="AM151" s="1672" t="str">
        <f>IFERROR(INDEX(Liste_Handelsünger[Handelsdünger],_xlfn.AGGREGATE(15,6,(ROW(Liste_Handelsünger[Handelsdünger])-1)/(--(SEARCH(AN$2,Liste_Handelsünger[Handelsdünger])&gt;0)),ROW()-2),1),"")</f>
        <v>Agrosol</v>
      </c>
      <c r="AN151" t="str">
        <f>IF(($A153=""),"",IF(COUNTIF(Mineral!$AJ$3:$AJ$324,$A153),"",$A153))</f>
        <v/>
      </c>
      <c r="AO151" t="str">
        <f>IFERROR(INDEX(Liste_Handelsünger[Handelsdünger],_xlfn.AGGREGATE(15,6,(ROW(Liste_Handelsünger[Handelsdünger])-1)/(--(SEARCH(AP$2,Liste_Handelsünger[Handelsdünger])&gt;0)),ROW()-2),1),"")</f>
        <v>Agrosol</v>
      </c>
      <c r="AP151" t="str">
        <f>IF(($A154=""),"",IF(COUNTIF(Mineral!$AJ$3:$AJ$324,$A154),"",$A154))</f>
        <v/>
      </c>
      <c r="AQ151" t="str">
        <f>IFERROR(INDEX(Liste_Handelsünger[Handelsdünger],_xlfn.AGGREGATE(15,6,(ROW(Liste_Handelsünger[Handelsdünger])-1)/(--(SEARCH(AR$2,Liste_Handelsünger[Handelsdünger])&gt;0)),ROW()-2),1),"")</f>
        <v>Agrosol</v>
      </c>
      <c r="AR151" t="str">
        <f>IF(($A155=""),"",IF(COUNTIF(Mineral!$AJ$3:$AJ$324,$A155),"",$A155))</f>
        <v/>
      </c>
      <c r="AS151" t="str">
        <f>IFERROR(INDEX(Liste_Handelsünger[Handelsdünger],_xlfn.AGGREGATE(15,6,(ROW(Liste_Handelsünger[Handelsdünger])-1)/(--(SEARCH(AT$2,Liste_Handelsünger[Handelsdünger])&gt;0)),ROW()-2),1),"")</f>
        <v>Agrosol</v>
      </c>
      <c r="AT151" t="str">
        <f>IF(($A156=""),"",IF(COUNTIF(Mineral!$AJ$3:$AJ$324,$A156),"",$A156))</f>
        <v/>
      </c>
      <c r="AU151" t="str">
        <f>IFERROR(INDEX(Liste_Handelsünger[Handelsdünger],_xlfn.AGGREGATE(15,6,(ROW(Liste_Handelsünger[Handelsdünger])-1)/(--(SEARCH(AV$2,Liste_Handelsünger[Handelsdünger])&gt;0)),ROW()-2),1),"")</f>
        <v>Agrosol</v>
      </c>
      <c r="AV151" t="str">
        <f>IF(($A157=""),"",IF(COUNTIF(Mineral!$AJ$3:$AJ$324,$A157),"",$A157))</f>
        <v/>
      </c>
      <c r="AW151" t="str">
        <f>IFERROR(INDEX(Liste_Handelsünger[Handelsdünger],_xlfn.AGGREGATE(15,6,(ROW(Liste_Handelsünger[Handelsdünger])-1)/(--(SEARCH(AX$2,Liste_Handelsünger[Handelsdünger])&gt;0)),ROW()-2),1),"")</f>
        <v>Agrosol</v>
      </c>
      <c r="AX151" t="str">
        <f>IF(($A158=""),"",IF(COUNTIF(Mineral!$AJ$3:$AJ$324,$A158),"",$A158))</f>
        <v/>
      </c>
      <c r="AY151" t="str">
        <f>IFERROR(INDEX(Liste_Handelsünger[Handelsdünger],_xlfn.AGGREGATE(15,6,(ROW(Liste_Handelsünger[Handelsdünger])-1)/(--(SEARCH(AZ$2,Liste_Handelsünger[Handelsdünger])&gt;0)),ROW()-2),1),"")</f>
        <v>Agrosol</v>
      </c>
      <c r="AZ151" t="str">
        <f>IF(($A159=""),"",IF(COUNTIF(Mineral!$AJ$3:$AJ$324,$A159),"",$A159))</f>
        <v/>
      </c>
      <c r="BA151" t="str">
        <f>IFERROR(INDEX(Liste_Handelsünger[Handelsdünger],_xlfn.AGGREGATE(15,6,(ROW(Liste_Handelsünger[Handelsdünger])-1)/(--(SEARCH(BB$2,Liste_Handelsünger[Handelsdünger])&gt;0)),ROW()-2),1),"")</f>
        <v>Agrosol</v>
      </c>
      <c r="BB151" t="str">
        <f>IF(($A160=""),"",IF(COUNTIF(Mineral!$AJ$3:$AJ$324,$A160),"",$A160))</f>
        <v/>
      </c>
      <c r="BC151" t="str">
        <f>IFERROR(INDEX(Liste_Handelsünger[Handelsdünger],_xlfn.AGGREGATE(15,6,(ROW(Liste_Handelsünger[Handelsdünger])-1)/(--(SEARCH(BD$2,Liste_Handelsünger[Handelsdünger])&gt;0)),ROW()-2),1),"")</f>
        <v>Agrosol</v>
      </c>
      <c r="BD151" t="str">
        <f>IF(($A161=""),"",IF(COUNTIF(Mineral!$AJ$3:$AJ$324,$A161),"",$A161))</f>
        <v/>
      </c>
      <c r="BE151" t="str">
        <f>IFERROR(INDEX(Liste_Handelsünger[Handelsdünger],_xlfn.AGGREGATE(15,6,(ROW(Liste_Handelsünger[Handelsdünger])-1)/(--(SEARCH(BF$2,Liste_Handelsünger[Handelsdünger])&gt;0)),ROW()-2),1),"")</f>
        <v>Agrosol</v>
      </c>
      <c r="BF151" t="str">
        <f>IF(($A162=""),"",IF(COUNTIF(Mineral!$AJ$3:$AJ$324,$A162),"",$A162))</f>
        <v/>
      </c>
      <c r="BG151" t="str">
        <f>IFERROR(INDEX(Liste_Handelsünger[Handelsdünger],_xlfn.AGGREGATE(15,6,(ROW(Liste_Handelsünger[Handelsdünger])-1)/(--(SEARCH(BH$2,Liste_Handelsünger[Handelsdünger])&gt;0)),ROW()-2),1),"")</f>
        <v>Agrosol</v>
      </c>
      <c r="BH151" t="str">
        <f>IF(($A163=""),"",IF(COUNTIF(Mineral!$AJ$3:$AJ$324,$A163),"",$A163))</f>
        <v/>
      </c>
      <c r="BI151" t="str">
        <f>IFERROR(INDEX(Liste_Handelsünger[Handelsdünger],_xlfn.AGGREGATE(15,6,(ROW(Liste_Handelsünger[Handelsdünger])-1)/(--(SEARCH(BJ$2,Liste_Handelsünger[Handelsdünger])&gt;0)),ROW()-2),1),"")</f>
        <v>Agrosol</v>
      </c>
      <c r="BJ151" t="str">
        <f>IF(($A164=""),"",IF(COUNTIF(Mineral!$AJ$3:$AJ$324,$A164),"",$A164))</f>
        <v/>
      </c>
      <c r="BK151" t="str">
        <f>IFERROR(INDEX(Liste_Handelsünger[Handelsdünger],_xlfn.AGGREGATE(15,6,(ROW(Liste_Handelsünger[Handelsdünger])-1)/(--(SEARCH(BL$2,Liste_Handelsünger[Handelsdünger])&gt;0)),ROW()-2),1),"")</f>
        <v>Agrosol</v>
      </c>
      <c r="BM151" t="str">
        <f>IFERROR(INDEX(Liste_Handelsünger[Handelsdünger],_xlfn.AGGREGATE(15,6,(ROW(Liste_Handelsünger[Handelsdünger])-1)/(--(SEARCH(BN$2,Liste_Handelsünger[Handelsdünger])&gt;0)),ROW()-2),1),"")</f>
        <v>Agrosol</v>
      </c>
      <c r="BN151" t="str">
        <f>IF(($A166=""),"",IF(COUNTIF(Mineral!$AJ$3:$AJ$324,$A166),"",$A166))</f>
        <v/>
      </c>
      <c r="BV151" t="s">
        <v>2018</v>
      </c>
      <c r="BW151" t="s">
        <v>2279</v>
      </c>
    </row>
    <row r="152" spans="19:75" ht="14.25" thickTop="1" thickBot="1">
      <c r="S152" s="1676">
        <v>151</v>
      </c>
      <c r="T152" s="1606" t="s">
        <v>2006</v>
      </c>
      <c r="U152" s="1606" t="s">
        <v>2019</v>
      </c>
      <c r="V152" s="1606" t="s">
        <v>408</v>
      </c>
      <c r="W152" s="1606">
        <v>0</v>
      </c>
      <c r="X152" s="1606">
        <v>0</v>
      </c>
      <c r="Y152" s="1606">
        <v>0</v>
      </c>
      <c r="Z152" s="1606">
        <v>0</v>
      </c>
      <c r="AA152" s="1606">
        <v>0</v>
      </c>
      <c r="AB152" s="1606">
        <v>0</v>
      </c>
      <c r="AC152" s="1606">
        <v>1</v>
      </c>
      <c r="AD152" s="1613">
        <v>1</v>
      </c>
      <c r="AE152" s="1606" t="s">
        <v>1764</v>
      </c>
      <c r="AF152" s="1613" t="str">
        <f t="shared" si="17"/>
        <v/>
      </c>
      <c r="AG152" s="1656">
        <f>IFERROR(IF($AF152&gt;0,VLOOKUP($U152,Tabelle1!$C$188:$L$212,5,0)*$AF152,0),0)</f>
        <v>0</v>
      </c>
      <c r="AH152" s="1656">
        <f t="shared" si="18"/>
        <v>0</v>
      </c>
      <c r="AJ152" t="str">
        <f>IF(Betrieb!$D$9="JA",Mineral!$BW152,Mineral!$BV152)</f>
        <v>Agrosol liquid</v>
      </c>
      <c r="AK152" s="1672" t="str">
        <f>IFERROR(INDEX(Liste_Handelsünger[Handelsdünger],_xlfn.AGGREGATE(15,6,(ROW(Liste_Handelsünger[Handelsdünger])-1)/(--(SEARCH(AL$2,Liste_Handelsünger[Handelsdünger])&gt;0)),ROW()-2),1),"")</f>
        <v>Agrosol liquid</v>
      </c>
      <c r="AL152" s="1672" t="str">
        <f>IF(($A$3=""),"",IF(COUNTIF(Mineral!$AJ$3:$AJ$324,$A$3),"",$A$3))</f>
        <v/>
      </c>
      <c r="AM152" s="1672" t="str">
        <f>IFERROR(INDEX(Liste_Handelsünger[Handelsdünger],_xlfn.AGGREGATE(15,6,(ROW(Liste_Handelsünger[Handelsdünger])-1)/(--(SEARCH(AN$2,Liste_Handelsünger[Handelsdünger])&gt;0)),ROW()-2),1),"")</f>
        <v>Agrosol liquid</v>
      </c>
      <c r="AN152" t="str">
        <f>IF(($A154=""),"",IF(COUNTIF(Mineral!$AJ$3:$AJ$324,$A154),"",$A154))</f>
        <v/>
      </c>
      <c r="AO152" t="str">
        <f>IFERROR(INDEX(Liste_Handelsünger[Handelsdünger],_xlfn.AGGREGATE(15,6,(ROW(Liste_Handelsünger[Handelsdünger])-1)/(--(SEARCH(AP$2,Liste_Handelsünger[Handelsdünger])&gt;0)),ROW()-2),1),"")</f>
        <v>Agrosol liquid</v>
      </c>
      <c r="AP152" t="str">
        <f>IF(($A155=""),"",IF(COUNTIF(Mineral!$AJ$3:$AJ$324,$A155),"",$A155))</f>
        <v/>
      </c>
      <c r="AQ152" t="str">
        <f>IFERROR(INDEX(Liste_Handelsünger[Handelsdünger],_xlfn.AGGREGATE(15,6,(ROW(Liste_Handelsünger[Handelsdünger])-1)/(--(SEARCH(AR$2,Liste_Handelsünger[Handelsdünger])&gt;0)),ROW()-2),1),"")</f>
        <v>Agrosol liquid</v>
      </c>
      <c r="AR152" t="str">
        <f>IF(($A156=""),"",IF(COUNTIF(Mineral!$AJ$3:$AJ$324,$A156),"",$A156))</f>
        <v/>
      </c>
      <c r="AS152" t="str">
        <f>IFERROR(INDEX(Liste_Handelsünger[Handelsdünger],_xlfn.AGGREGATE(15,6,(ROW(Liste_Handelsünger[Handelsdünger])-1)/(--(SEARCH(AT$2,Liste_Handelsünger[Handelsdünger])&gt;0)),ROW()-2),1),"")</f>
        <v>Agrosol liquid</v>
      </c>
      <c r="AT152" t="str">
        <f>IF(($A157=""),"",IF(COUNTIF(Mineral!$AJ$3:$AJ$324,$A157),"",$A157))</f>
        <v/>
      </c>
      <c r="AU152" t="str">
        <f>IFERROR(INDEX(Liste_Handelsünger[Handelsdünger],_xlfn.AGGREGATE(15,6,(ROW(Liste_Handelsünger[Handelsdünger])-1)/(--(SEARCH(AV$2,Liste_Handelsünger[Handelsdünger])&gt;0)),ROW()-2),1),"")</f>
        <v>Agrosol liquid</v>
      </c>
      <c r="AV152" t="str">
        <f>IF(($A158=""),"",IF(COUNTIF(Mineral!$AJ$3:$AJ$324,$A158),"",$A158))</f>
        <v/>
      </c>
      <c r="AW152" t="str">
        <f>IFERROR(INDEX(Liste_Handelsünger[Handelsdünger],_xlfn.AGGREGATE(15,6,(ROW(Liste_Handelsünger[Handelsdünger])-1)/(--(SEARCH(AX$2,Liste_Handelsünger[Handelsdünger])&gt;0)),ROW()-2),1),"")</f>
        <v>Agrosol liquid</v>
      </c>
      <c r="AX152" t="str">
        <f>IF(($A159=""),"",IF(COUNTIF(Mineral!$AJ$3:$AJ$324,$A159),"",$A159))</f>
        <v/>
      </c>
      <c r="AY152" t="str">
        <f>IFERROR(INDEX(Liste_Handelsünger[Handelsdünger],_xlfn.AGGREGATE(15,6,(ROW(Liste_Handelsünger[Handelsdünger])-1)/(--(SEARCH(AZ$2,Liste_Handelsünger[Handelsdünger])&gt;0)),ROW()-2),1),"")</f>
        <v>Agrosol liquid</v>
      </c>
      <c r="AZ152" t="str">
        <f>IF(($A160=""),"",IF(COUNTIF(Mineral!$AJ$3:$AJ$324,$A160),"",$A160))</f>
        <v/>
      </c>
      <c r="BA152" t="str">
        <f>IFERROR(INDEX(Liste_Handelsünger[Handelsdünger],_xlfn.AGGREGATE(15,6,(ROW(Liste_Handelsünger[Handelsdünger])-1)/(--(SEARCH(BB$2,Liste_Handelsünger[Handelsdünger])&gt;0)),ROW()-2),1),"")</f>
        <v>Agrosol liquid</v>
      </c>
      <c r="BB152" t="str">
        <f>IF(($A161=""),"",IF(COUNTIF(Mineral!$AJ$3:$AJ$324,$A161),"",$A161))</f>
        <v/>
      </c>
      <c r="BC152" t="str">
        <f>IFERROR(INDEX(Liste_Handelsünger[Handelsdünger],_xlfn.AGGREGATE(15,6,(ROW(Liste_Handelsünger[Handelsdünger])-1)/(--(SEARCH(BD$2,Liste_Handelsünger[Handelsdünger])&gt;0)),ROW()-2),1),"")</f>
        <v>Agrosol liquid</v>
      </c>
      <c r="BD152" t="str">
        <f>IF(($A162=""),"",IF(COUNTIF(Mineral!$AJ$3:$AJ$324,$A162),"",$A162))</f>
        <v/>
      </c>
      <c r="BE152" t="str">
        <f>IFERROR(INDEX(Liste_Handelsünger[Handelsdünger],_xlfn.AGGREGATE(15,6,(ROW(Liste_Handelsünger[Handelsdünger])-1)/(--(SEARCH(BF$2,Liste_Handelsünger[Handelsdünger])&gt;0)),ROW()-2),1),"")</f>
        <v>Agrosol liquid</v>
      </c>
      <c r="BF152" t="str">
        <f>IF(($A163=""),"",IF(COUNTIF(Mineral!$AJ$3:$AJ$324,$A163),"",$A163))</f>
        <v/>
      </c>
      <c r="BG152" t="str">
        <f>IFERROR(INDEX(Liste_Handelsünger[Handelsdünger],_xlfn.AGGREGATE(15,6,(ROW(Liste_Handelsünger[Handelsdünger])-1)/(--(SEARCH(BH$2,Liste_Handelsünger[Handelsdünger])&gt;0)),ROW()-2),1),"")</f>
        <v>Agrosol liquid</v>
      </c>
      <c r="BH152" t="str">
        <f>IF(($A164=""),"",IF(COUNTIF(Mineral!$AJ$3:$AJ$324,$A164),"",$A164))</f>
        <v/>
      </c>
      <c r="BI152" t="str">
        <f>IFERROR(INDEX(Liste_Handelsünger[Handelsdünger],_xlfn.AGGREGATE(15,6,(ROW(Liste_Handelsünger[Handelsdünger])-1)/(--(SEARCH(BJ$2,Liste_Handelsünger[Handelsdünger])&gt;0)),ROW()-2),1),"")</f>
        <v>Agrosol liquid</v>
      </c>
      <c r="BJ152" t="str">
        <f>IF(($A165=""),"",IF(COUNTIF(Mineral!$AJ$3:$AJ$324,$A165),"",$A165))</f>
        <v/>
      </c>
      <c r="BK152" t="str">
        <f>IFERROR(INDEX(Liste_Handelsünger[Handelsdünger],_xlfn.AGGREGATE(15,6,(ROW(Liste_Handelsünger[Handelsdünger])-1)/(--(SEARCH(BL$2,Liste_Handelsünger[Handelsdünger])&gt;0)),ROW()-2),1),"")</f>
        <v>Agrosol liquid</v>
      </c>
      <c r="BM152" t="str">
        <f>IFERROR(INDEX(Liste_Handelsünger[Handelsdünger],_xlfn.AGGREGATE(15,6,(ROW(Liste_Handelsünger[Handelsdünger])-1)/(--(SEARCH(BN$2,Liste_Handelsünger[Handelsdünger])&gt;0)),ROW()-2),1),"")</f>
        <v>Agrosol liquid</v>
      </c>
      <c r="BN152" t="str">
        <f>IF(($A167=""),"",IF(COUNTIF(Mineral!$AJ$3:$AJ$324,$A167),"",$A167))</f>
        <v/>
      </c>
      <c r="BV152" t="s">
        <v>2019</v>
      </c>
      <c r="BW152" t="s">
        <v>2280</v>
      </c>
    </row>
    <row r="153" spans="19:75" ht="14.25" thickTop="1" thickBot="1">
      <c r="S153" s="1616">
        <v>152</v>
      </c>
      <c r="T153" s="1617" t="s">
        <v>2006</v>
      </c>
      <c r="U153" s="1617" t="s">
        <v>2022</v>
      </c>
      <c r="V153" s="1617" t="s">
        <v>408</v>
      </c>
      <c r="W153" s="1617">
        <v>0</v>
      </c>
      <c r="X153" s="1617">
        <v>0</v>
      </c>
      <c r="Y153" s="1617">
        <v>0</v>
      </c>
      <c r="Z153" s="1617">
        <v>0</v>
      </c>
      <c r="AA153" s="1617">
        <v>0</v>
      </c>
      <c r="AB153" s="1617">
        <v>0</v>
      </c>
      <c r="AC153" s="1617">
        <v>1</v>
      </c>
      <c r="AD153" s="1613">
        <v>1</v>
      </c>
      <c r="AE153" s="1617" t="s">
        <v>1764</v>
      </c>
      <c r="AF153" s="1613" t="str">
        <f t="shared" si="17"/>
        <v/>
      </c>
      <c r="AG153" s="1656">
        <f>IFERROR(IF($AF153&gt;0,VLOOKUP($U153,Tabelle1!$C$188:$L$212,5,0)*$AF153,0),0)</f>
        <v>0</v>
      </c>
      <c r="AH153" s="1656">
        <f t="shared" si="18"/>
        <v>0</v>
      </c>
      <c r="AJ153" t="str">
        <f>IF(Betrieb!$D$9="JA",Mineral!$BW153,Mineral!$BV153)</f>
        <v>AKRA Azoarcus N-Bakterien</v>
      </c>
      <c r="AK153" s="1672" t="str">
        <f>IFERROR(INDEX(Liste_Handelsünger[Handelsdünger],_xlfn.AGGREGATE(15,6,(ROW(Liste_Handelsünger[Handelsdünger])-1)/(--(SEARCH(AL$2,Liste_Handelsünger[Handelsdünger])&gt;0)),ROW()-2),1),"")</f>
        <v>AKRA Azoarcus N-Bakterien</v>
      </c>
      <c r="AL153" s="1672" t="str">
        <f>IF(($A$3=""),"",IF(COUNTIF(Mineral!$AJ$3:$AJ$324,$A$3),"",$A$3))</f>
        <v/>
      </c>
      <c r="AM153" s="1672" t="str">
        <f>IFERROR(INDEX(Liste_Handelsünger[Handelsdünger],_xlfn.AGGREGATE(15,6,(ROW(Liste_Handelsünger[Handelsdünger])-1)/(--(SEARCH(AN$2,Liste_Handelsünger[Handelsdünger])&gt;0)),ROW()-2),1),"")</f>
        <v>AKRA Azoarcus N-Bakterien</v>
      </c>
      <c r="AN153" t="str">
        <f>IF(($A155=""),"",IF(COUNTIF(Mineral!$AJ$3:$AJ$324,$A155),"",$A155))</f>
        <v/>
      </c>
      <c r="AO153" t="str">
        <f>IFERROR(INDEX(Liste_Handelsünger[Handelsdünger],_xlfn.AGGREGATE(15,6,(ROW(Liste_Handelsünger[Handelsdünger])-1)/(--(SEARCH(AP$2,Liste_Handelsünger[Handelsdünger])&gt;0)),ROW()-2),1),"")</f>
        <v>AKRA Azoarcus N-Bakterien</v>
      </c>
      <c r="AP153" t="str">
        <f>IF(($A156=""),"",IF(COUNTIF(Mineral!$AJ$3:$AJ$324,$A156),"",$A156))</f>
        <v/>
      </c>
      <c r="AQ153" t="str">
        <f>IFERROR(INDEX(Liste_Handelsünger[Handelsdünger],_xlfn.AGGREGATE(15,6,(ROW(Liste_Handelsünger[Handelsdünger])-1)/(--(SEARCH(AR$2,Liste_Handelsünger[Handelsdünger])&gt;0)),ROW()-2),1),"")</f>
        <v>AKRA Azoarcus N-Bakterien</v>
      </c>
      <c r="AR153" t="str">
        <f>IF(($A157=""),"",IF(COUNTIF(Mineral!$AJ$3:$AJ$324,$A157),"",$A157))</f>
        <v/>
      </c>
      <c r="AS153" t="str">
        <f>IFERROR(INDEX(Liste_Handelsünger[Handelsdünger],_xlfn.AGGREGATE(15,6,(ROW(Liste_Handelsünger[Handelsdünger])-1)/(--(SEARCH(AT$2,Liste_Handelsünger[Handelsdünger])&gt;0)),ROW()-2),1),"")</f>
        <v>AKRA Azoarcus N-Bakterien</v>
      </c>
      <c r="AT153" t="str">
        <f>IF(($A158=""),"",IF(COUNTIF(Mineral!$AJ$3:$AJ$324,$A158),"",$A158))</f>
        <v/>
      </c>
      <c r="AU153" t="str">
        <f>IFERROR(INDEX(Liste_Handelsünger[Handelsdünger],_xlfn.AGGREGATE(15,6,(ROW(Liste_Handelsünger[Handelsdünger])-1)/(--(SEARCH(AV$2,Liste_Handelsünger[Handelsdünger])&gt;0)),ROW()-2),1),"")</f>
        <v>AKRA Azoarcus N-Bakterien</v>
      </c>
      <c r="AV153" t="str">
        <f>IF(($A159=""),"",IF(COUNTIF(Mineral!$AJ$3:$AJ$324,$A159),"",$A159))</f>
        <v/>
      </c>
      <c r="AW153" t="str">
        <f>IFERROR(INDEX(Liste_Handelsünger[Handelsdünger],_xlfn.AGGREGATE(15,6,(ROW(Liste_Handelsünger[Handelsdünger])-1)/(--(SEARCH(AX$2,Liste_Handelsünger[Handelsdünger])&gt;0)),ROW()-2),1),"")</f>
        <v>AKRA Azoarcus N-Bakterien</v>
      </c>
      <c r="AX153" t="str">
        <f>IF(($A160=""),"",IF(COUNTIF(Mineral!$AJ$3:$AJ$324,$A160),"",$A160))</f>
        <v/>
      </c>
      <c r="AY153" t="str">
        <f>IFERROR(INDEX(Liste_Handelsünger[Handelsdünger],_xlfn.AGGREGATE(15,6,(ROW(Liste_Handelsünger[Handelsdünger])-1)/(--(SEARCH(AZ$2,Liste_Handelsünger[Handelsdünger])&gt;0)),ROW()-2),1),"")</f>
        <v>AKRA Azoarcus N-Bakterien</v>
      </c>
      <c r="AZ153" t="str">
        <f>IF(($A161=""),"",IF(COUNTIF(Mineral!$AJ$3:$AJ$324,$A161),"",$A161))</f>
        <v/>
      </c>
      <c r="BA153" t="str">
        <f>IFERROR(INDEX(Liste_Handelsünger[Handelsdünger],_xlfn.AGGREGATE(15,6,(ROW(Liste_Handelsünger[Handelsdünger])-1)/(--(SEARCH(BB$2,Liste_Handelsünger[Handelsdünger])&gt;0)),ROW()-2),1),"")</f>
        <v>AKRA Azoarcus N-Bakterien</v>
      </c>
      <c r="BB153" t="str">
        <f>IF(($A162=""),"",IF(COUNTIF(Mineral!$AJ$3:$AJ$324,$A162),"",$A162))</f>
        <v/>
      </c>
      <c r="BC153" t="str">
        <f>IFERROR(INDEX(Liste_Handelsünger[Handelsdünger],_xlfn.AGGREGATE(15,6,(ROW(Liste_Handelsünger[Handelsdünger])-1)/(--(SEARCH(BD$2,Liste_Handelsünger[Handelsdünger])&gt;0)),ROW()-2),1),"")</f>
        <v>AKRA Azoarcus N-Bakterien</v>
      </c>
      <c r="BD153" t="str">
        <f>IF(($A163=""),"",IF(COUNTIF(Mineral!$AJ$3:$AJ$324,$A163),"",$A163))</f>
        <v/>
      </c>
      <c r="BE153" t="str">
        <f>IFERROR(INDEX(Liste_Handelsünger[Handelsdünger],_xlfn.AGGREGATE(15,6,(ROW(Liste_Handelsünger[Handelsdünger])-1)/(--(SEARCH(BF$2,Liste_Handelsünger[Handelsdünger])&gt;0)),ROW()-2),1),"")</f>
        <v>AKRA Azoarcus N-Bakterien</v>
      </c>
      <c r="BF153" t="str">
        <f>IF(($A164=""),"",IF(COUNTIF(Mineral!$AJ$3:$AJ$324,$A164),"",$A164))</f>
        <v/>
      </c>
      <c r="BG153" t="str">
        <f>IFERROR(INDEX(Liste_Handelsünger[Handelsdünger],_xlfn.AGGREGATE(15,6,(ROW(Liste_Handelsünger[Handelsdünger])-1)/(--(SEARCH(BH$2,Liste_Handelsünger[Handelsdünger])&gt;0)),ROW()-2),1),"")</f>
        <v>AKRA Azoarcus N-Bakterien</v>
      </c>
      <c r="BH153" t="str">
        <f>IF(($A165=""),"",IF(COUNTIF(Mineral!$AJ$3:$AJ$324,$A165),"",$A165))</f>
        <v/>
      </c>
      <c r="BI153" t="str">
        <f>IFERROR(INDEX(Liste_Handelsünger[Handelsdünger],_xlfn.AGGREGATE(15,6,(ROW(Liste_Handelsünger[Handelsdünger])-1)/(--(SEARCH(BJ$2,Liste_Handelsünger[Handelsdünger])&gt;0)),ROW()-2),1),"")</f>
        <v>AKRA Azoarcus N-Bakterien</v>
      </c>
      <c r="BJ153" t="str">
        <f>IF(($A166=""),"",IF(COUNTIF(Mineral!$AJ$3:$AJ$324,$A166),"",$A166))</f>
        <v/>
      </c>
      <c r="BK153" t="str">
        <f>IFERROR(INDEX(Liste_Handelsünger[Handelsdünger],_xlfn.AGGREGATE(15,6,(ROW(Liste_Handelsünger[Handelsdünger])-1)/(--(SEARCH(BL$2,Liste_Handelsünger[Handelsdünger])&gt;0)),ROW()-2),1),"")</f>
        <v>AKRA Azoarcus N-Bakterien</v>
      </c>
      <c r="BM153" t="str">
        <f>IFERROR(INDEX(Liste_Handelsünger[Handelsdünger],_xlfn.AGGREGATE(15,6,(ROW(Liste_Handelsünger[Handelsdünger])-1)/(--(SEARCH(BN$2,Liste_Handelsünger[Handelsdünger])&gt;0)),ROW()-2),1),"")</f>
        <v>AKRA Azoarcus N-Bakterien</v>
      </c>
      <c r="BN153" t="str">
        <f>IF(($A168=""),"",IF(COUNTIF(Mineral!$AJ$3:$AJ$324,$A168),"",$A168))</f>
        <v/>
      </c>
      <c r="BV153" t="s">
        <v>2022</v>
      </c>
      <c r="BW153" t="s">
        <v>2281</v>
      </c>
    </row>
    <row r="154" spans="19:75" ht="14.25" thickTop="1" thickBot="1">
      <c r="S154" s="1676">
        <v>153</v>
      </c>
      <c r="T154" s="1606" t="s">
        <v>2006</v>
      </c>
      <c r="U154" s="1606" t="s">
        <v>2023</v>
      </c>
      <c r="V154" s="1606" t="s">
        <v>408</v>
      </c>
      <c r="W154" s="1606">
        <v>0</v>
      </c>
      <c r="X154" s="1606">
        <v>0</v>
      </c>
      <c r="Y154" s="1606">
        <v>0</v>
      </c>
      <c r="Z154" s="1606">
        <v>0</v>
      </c>
      <c r="AA154" s="1606">
        <v>0</v>
      </c>
      <c r="AB154" s="1606">
        <v>0</v>
      </c>
      <c r="AC154" s="1606">
        <v>1</v>
      </c>
      <c r="AD154" s="1613">
        <v>1</v>
      </c>
      <c r="AE154" s="1606" t="s">
        <v>1764</v>
      </c>
      <c r="AF154" s="1613" t="str">
        <f t="shared" si="17"/>
        <v/>
      </c>
      <c r="AG154" s="1656">
        <f>IFERROR(IF($AF154&gt;0,VLOOKUP($U154,Tabelle1!$C$188:$L$212,5,0)*$AF154,0),0)</f>
        <v>0</v>
      </c>
      <c r="AH154" s="1656">
        <f t="shared" si="18"/>
        <v>0</v>
      </c>
      <c r="AJ154" t="str">
        <f>IF(Betrieb!$D$9="JA",Mineral!$BW154,Mineral!$BV154)</f>
        <v>AKRA Azotobacter N-Bakterien</v>
      </c>
      <c r="AK154" s="1672" t="str">
        <f>IFERROR(INDEX(Liste_Handelsünger[Handelsdünger],_xlfn.AGGREGATE(15,6,(ROW(Liste_Handelsünger[Handelsdünger])-1)/(--(SEARCH(AL$2,Liste_Handelsünger[Handelsdünger])&gt;0)),ROW()-2),1),"")</f>
        <v>AKRA Azotobacter N-Bakterien</v>
      </c>
      <c r="AL154" s="1672" t="str">
        <f>IF(($A$3=""),"",IF(COUNTIF(Mineral!$AJ$3:$AJ$324,$A$3),"",$A$3))</f>
        <v/>
      </c>
      <c r="AM154" s="1672" t="str">
        <f>IFERROR(INDEX(Liste_Handelsünger[Handelsdünger],_xlfn.AGGREGATE(15,6,(ROW(Liste_Handelsünger[Handelsdünger])-1)/(--(SEARCH(AN$2,Liste_Handelsünger[Handelsdünger])&gt;0)),ROW()-2),1),"")</f>
        <v>AKRA Azotobacter N-Bakterien</v>
      </c>
      <c r="AN154" t="str">
        <f>IF(($A156=""),"",IF(COUNTIF(Mineral!$AJ$3:$AJ$324,$A156),"",$A156))</f>
        <v/>
      </c>
      <c r="AO154" t="str">
        <f>IFERROR(INDEX(Liste_Handelsünger[Handelsdünger],_xlfn.AGGREGATE(15,6,(ROW(Liste_Handelsünger[Handelsdünger])-1)/(--(SEARCH(AP$2,Liste_Handelsünger[Handelsdünger])&gt;0)),ROW()-2),1),"")</f>
        <v>AKRA Azotobacter N-Bakterien</v>
      </c>
      <c r="AP154" t="str">
        <f>IF(($A157=""),"",IF(COUNTIF(Mineral!$AJ$3:$AJ$324,$A157),"",$A157))</f>
        <v/>
      </c>
      <c r="AQ154" t="str">
        <f>IFERROR(INDEX(Liste_Handelsünger[Handelsdünger],_xlfn.AGGREGATE(15,6,(ROW(Liste_Handelsünger[Handelsdünger])-1)/(--(SEARCH(AR$2,Liste_Handelsünger[Handelsdünger])&gt;0)),ROW()-2),1),"")</f>
        <v>AKRA Azotobacter N-Bakterien</v>
      </c>
      <c r="AR154" t="str">
        <f>IF(($A158=""),"",IF(COUNTIF(Mineral!$AJ$3:$AJ$324,$A158),"",$A158))</f>
        <v/>
      </c>
      <c r="AS154" t="str">
        <f>IFERROR(INDEX(Liste_Handelsünger[Handelsdünger],_xlfn.AGGREGATE(15,6,(ROW(Liste_Handelsünger[Handelsdünger])-1)/(--(SEARCH(AT$2,Liste_Handelsünger[Handelsdünger])&gt;0)),ROW()-2),1),"")</f>
        <v>AKRA Azotobacter N-Bakterien</v>
      </c>
      <c r="AT154" t="str">
        <f>IF(($A159=""),"",IF(COUNTIF(Mineral!$AJ$3:$AJ$324,$A159),"",$A159))</f>
        <v/>
      </c>
      <c r="AU154" t="str">
        <f>IFERROR(INDEX(Liste_Handelsünger[Handelsdünger],_xlfn.AGGREGATE(15,6,(ROW(Liste_Handelsünger[Handelsdünger])-1)/(--(SEARCH(AV$2,Liste_Handelsünger[Handelsdünger])&gt;0)),ROW()-2),1),"")</f>
        <v>AKRA Azotobacter N-Bakterien</v>
      </c>
      <c r="AV154" t="str">
        <f>IF(($A160=""),"",IF(COUNTIF(Mineral!$AJ$3:$AJ$324,$A160),"",$A160))</f>
        <v/>
      </c>
      <c r="AW154" t="str">
        <f>IFERROR(INDEX(Liste_Handelsünger[Handelsdünger],_xlfn.AGGREGATE(15,6,(ROW(Liste_Handelsünger[Handelsdünger])-1)/(--(SEARCH(AX$2,Liste_Handelsünger[Handelsdünger])&gt;0)),ROW()-2),1),"")</f>
        <v>AKRA Azotobacter N-Bakterien</v>
      </c>
      <c r="AX154" t="str">
        <f>IF(($A161=""),"",IF(COUNTIF(Mineral!$AJ$3:$AJ$324,$A161),"",$A161))</f>
        <v/>
      </c>
      <c r="AY154" t="str">
        <f>IFERROR(INDEX(Liste_Handelsünger[Handelsdünger],_xlfn.AGGREGATE(15,6,(ROW(Liste_Handelsünger[Handelsdünger])-1)/(--(SEARCH(AZ$2,Liste_Handelsünger[Handelsdünger])&gt;0)),ROW()-2),1),"")</f>
        <v>AKRA Azotobacter N-Bakterien</v>
      </c>
      <c r="AZ154" t="str">
        <f>IF(($A162=""),"",IF(COUNTIF(Mineral!$AJ$3:$AJ$324,$A162),"",$A162))</f>
        <v/>
      </c>
      <c r="BA154" t="str">
        <f>IFERROR(INDEX(Liste_Handelsünger[Handelsdünger],_xlfn.AGGREGATE(15,6,(ROW(Liste_Handelsünger[Handelsdünger])-1)/(--(SEARCH(BB$2,Liste_Handelsünger[Handelsdünger])&gt;0)),ROW()-2),1),"")</f>
        <v>AKRA Azotobacter N-Bakterien</v>
      </c>
      <c r="BB154" t="str">
        <f>IF(($A163=""),"",IF(COUNTIF(Mineral!$AJ$3:$AJ$324,$A163),"",$A163))</f>
        <v/>
      </c>
      <c r="BC154" t="str">
        <f>IFERROR(INDEX(Liste_Handelsünger[Handelsdünger],_xlfn.AGGREGATE(15,6,(ROW(Liste_Handelsünger[Handelsdünger])-1)/(--(SEARCH(BD$2,Liste_Handelsünger[Handelsdünger])&gt;0)),ROW()-2),1),"")</f>
        <v>AKRA Azotobacter N-Bakterien</v>
      </c>
      <c r="BD154" t="str">
        <f>IF(($A164=""),"",IF(COUNTIF(Mineral!$AJ$3:$AJ$324,$A164),"",$A164))</f>
        <v/>
      </c>
      <c r="BE154" t="str">
        <f>IFERROR(INDEX(Liste_Handelsünger[Handelsdünger],_xlfn.AGGREGATE(15,6,(ROW(Liste_Handelsünger[Handelsdünger])-1)/(--(SEARCH(BF$2,Liste_Handelsünger[Handelsdünger])&gt;0)),ROW()-2),1),"")</f>
        <v>AKRA Azotobacter N-Bakterien</v>
      </c>
      <c r="BF154" t="str">
        <f>IF(($A165=""),"",IF(COUNTIF(Mineral!$AJ$3:$AJ$324,$A165),"",$A165))</f>
        <v/>
      </c>
      <c r="BG154" t="str">
        <f>IFERROR(INDEX(Liste_Handelsünger[Handelsdünger],_xlfn.AGGREGATE(15,6,(ROW(Liste_Handelsünger[Handelsdünger])-1)/(--(SEARCH(BH$2,Liste_Handelsünger[Handelsdünger])&gt;0)),ROW()-2),1),"")</f>
        <v>AKRA Azotobacter N-Bakterien</v>
      </c>
      <c r="BH154" t="str">
        <f>IF(($A166=""),"",IF(COUNTIF(Mineral!$AJ$3:$AJ$324,$A166),"",$A166))</f>
        <v/>
      </c>
      <c r="BI154" t="str">
        <f>IFERROR(INDEX(Liste_Handelsünger[Handelsdünger],_xlfn.AGGREGATE(15,6,(ROW(Liste_Handelsünger[Handelsdünger])-1)/(--(SEARCH(BJ$2,Liste_Handelsünger[Handelsdünger])&gt;0)),ROW()-2),1),"")</f>
        <v>AKRA Azotobacter N-Bakterien</v>
      </c>
      <c r="BJ154" t="str">
        <f>IF(($A167=""),"",IF(COUNTIF(Mineral!$AJ$3:$AJ$324,$A167),"",$A167))</f>
        <v/>
      </c>
      <c r="BK154" t="str">
        <f>IFERROR(INDEX(Liste_Handelsünger[Handelsdünger],_xlfn.AGGREGATE(15,6,(ROW(Liste_Handelsünger[Handelsdünger])-1)/(--(SEARCH(BL$2,Liste_Handelsünger[Handelsdünger])&gt;0)),ROW()-2),1),"")</f>
        <v>AKRA Azotobacter N-Bakterien</v>
      </c>
      <c r="BM154" t="str">
        <f>IFERROR(INDEX(Liste_Handelsünger[Handelsdünger],_xlfn.AGGREGATE(15,6,(ROW(Liste_Handelsünger[Handelsdünger])-1)/(--(SEARCH(BN$2,Liste_Handelsünger[Handelsdünger])&gt;0)),ROW()-2),1),"")</f>
        <v>AKRA Azotobacter N-Bakterien</v>
      </c>
      <c r="BN154" t="str">
        <f>IF(($A169=""),"",IF(COUNTIF(Mineral!$AJ$3:$AJ$324,$A169),"",$A169))</f>
        <v/>
      </c>
      <c r="BV154" t="s">
        <v>2023</v>
      </c>
      <c r="BW154" t="s">
        <v>2282</v>
      </c>
    </row>
    <row r="155" spans="19:75" ht="14.25" thickTop="1" thickBot="1">
      <c r="S155" s="1616">
        <v>154</v>
      </c>
      <c r="T155" s="1617" t="s">
        <v>2006</v>
      </c>
      <c r="U155" s="1617" t="s">
        <v>2024</v>
      </c>
      <c r="V155" s="1617" t="s">
        <v>408</v>
      </c>
      <c r="W155" s="1617">
        <v>0</v>
      </c>
      <c r="X155" s="1617">
        <v>0</v>
      </c>
      <c r="Y155" s="1617">
        <v>0</v>
      </c>
      <c r="Z155" s="1617">
        <v>0</v>
      </c>
      <c r="AA155" s="1617">
        <v>0</v>
      </c>
      <c r="AB155" s="1617">
        <v>6</v>
      </c>
      <c r="AC155" s="1617">
        <v>1</v>
      </c>
      <c r="AD155" s="1613">
        <v>1</v>
      </c>
      <c r="AE155" s="1617" t="s">
        <v>1764</v>
      </c>
      <c r="AF155" s="1613" t="str">
        <f t="shared" si="17"/>
        <v/>
      </c>
      <c r="AG155" s="1656">
        <f>IFERROR(IF($AF155&gt;0,VLOOKUP($U155,Tabelle1!$C$188:$L$212,5,0)*$AF155,0),0)</f>
        <v>0</v>
      </c>
      <c r="AH155" s="1656">
        <f t="shared" si="18"/>
        <v>0</v>
      </c>
      <c r="AJ155" t="str">
        <f>IF(Betrieb!$D$9="JA",Mineral!$BW155,Mineral!$BV155)</f>
        <v>AKRA Blatt</v>
      </c>
      <c r="AK155" s="1672" t="str">
        <f>IFERROR(INDEX(Liste_Handelsünger[Handelsdünger],_xlfn.AGGREGATE(15,6,(ROW(Liste_Handelsünger[Handelsdünger])-1)/(--(SEARCH(AL$2,Liste_Handelsünger[Handelsdünger])&gt;0)),ROW()-2),1),"")</f>
        <v>AKRA Blatt</v>
      </c>
      <c r="AL155" s="1672" t="str">
        <f>IF(($A$3=""),"",IF(COUNTIF(Mineral!$AJ$3:$AJ$324,$A$3),"",$A$3))</f>
        <v/>
      </c>
      <c r="AM155" s="1672" t="str">
        <f>IFERROR(INDEX(Liste_Handelsünger[Handelsdünger],_xlfn.AGGREGATE(15,6,(ROW(Liste_Handelsünger[Handelsdünger])-1)/(--(SEARCH(AN$2,Liste_Handelsünger[Handelsdünger])&gt;0)),ROW()-2),1),"")</f>
        <v>AKRA Blatt</v>
      </c>
      <c r="AN155" t="str">
        <f>IF(($A157=""),"",IF(COUNTIF(Mineral!$AJ$3:$AJ$324,$A157),"",$A157))</f>
        <v/>
      </c>
      <c r="AO155" t="str">
        <f>IFERROR(INDEX(Liste_Handelsünger[Handelsdünger],_xlfn.AGGREGATE(15,6,(ROW(Liste_Handelsünger[Handelsdünger])-1)/(--(SEARCH(AP$2,Liste_Handelsünger[Handelsdünger])&gt;0)),ROW()-2),1),"")</f>
        <v>AKRA Blatt</v>
      </c>
      <c r="AP155" t="str">
        <f>IF(($A158=""),"",IF(COUNTIF(Mineral!$AJ$3:$AJ$324,$A158),"",$A158))</f>
        <v/>
      </c>
      <c r="AQ155" t="str">
        <f>IFERROR(INDEX(Liste_Handelsünger[Handelsdünger],_xlfn.AGGREGATE(15,6,(ROW(Liste_Handelsünger[Handelsdünger])-1)/(--(SEARCH(AR$2,Liste_Handelsünger[Handelsdünger])&gt;0)),ROW()-2),1),"")</f>
        <v>AKRA Blatt</v>
      </c>
      <c r="AR155" t="str">
        <f>IF(($A159=""),"",IF(COUNTIF(Mineral!$AJ$3:$AJ$324,$A159),"",$A159))</f>
        <v/>
      </c>
      <c r="AS155" t="str">
        <f>IFERROR(INDEX(Liste_Handelsünger[Handelsdünger],_xlfn.AGGREGATE(15,6,(ROW(Liste_Handelsünger[Handelsdünger])-1)/(--(SEARCH(AT$2,Liste_Handelsünger[Handelsdünger])&gt;0)),ROW()-2),1),"")</f>
        <v>AKRA Blatt</v>
      </c>
      <c r="AT155" t="str">
        <f>IF(($A160=""),"",IF(COUNTIF(Mineral!$AJ$3:$AJ$324,$A160),"",$A160))</f>
        <v/>
      </c>
      <c r="AU155" t="str">
        <f>IFERROR(INDEX(Liste_Handelsünger[Handelsdünger],_xlfn.AGGREGATE(15,6,(ROW(Liste_Handelsünger[Handelsdünger])-1)/(--(SEARCH(AV$2,Liste_Handelsünger[Handelsdünger])&gt;0)),ROW()-2),1),"")</f>
        <v>AKRA Blatt</v>
      </c>
      <c r="AV155" t="str">
        <f>IF(($A161=""),"",IF(COUNTIF(Mineral!$AJ$3:$AJ$324,$A161),"",$A161))</f>
        <v/>
      </c>
      <c r="AW155" t="str">
        <f>IFERROR(INDEX(Liste_Handelsünger[Handelsdünger],_xlfn.AGGREGATE(15,6,(ROW(Liste_Handelsünger[Handelsdünger])-1)/(--(SEARCH(AX$2,Liste_Handelsünger[Handelsdünger])&gt;0)),ROW()-2),1),"")</f>
        <v>AKRA Blatt</v>
      </c>
      <c r="AX155" t="str">
        <f>IF(($A162=""),"",IF(COUNTIF(Mineral!$AJ$3:$AJ$324,$A162),"",$A162))</f>
        <v/>
      </c>
      <c r="AY155" t="str">
        <f>IFERROR(INDEX(Liste_Handelsünger[Handelsdünger],_xlfn.AGGREGATE(15,6,(ROW(Liste_Handelsünger[Handelsdünger])-1)/(--(SEARCH(AZ$2,Liste_Handelsünger[Handelsdünger])&gt;0)),ROW()-2),1),"")</f>
        <v>AKRA Blatt</v>
      </c>
      <c r="AZ155" t="str">
        <f>IF(($A163=""),"",IF(COUNTIF(Mineral!$AJ$3:$AJ$324,$A163),"",$A163))</f>
        <v/>
      </c>
      <c r="BA155" t="str">
        <f>IFERROR(INDEX(Liste_Handelsünger[Handelsdünger],_xlfn.AGGREGATE(15,6,(ROW(Liste_Handelsünger[Handelsdünger])-1)/(--(SEARCH(BB$2,Liste_Handelsünger[Handelsdünger])&gt;0)),ROW()-2),1),"")</f>
        <v>AKRA Blatt</v>
      </c>
      <c r="BB155" t="str">
        <f>IF(($A164=""),"",IF(COUNTIF(Mineral!$AJ$3:$AJ$324,$A164),"",$A164))</f>
        <v/>
      </c>
      <c r="BC155" t="str">
        <f>IFERROR(INDEX(Liste_Handelsünger[Handelsdünger],_xlfn.AGGREGATE(15,6,(ROW(Liste_Handelsünger[Handelsdünger])-1)/(--(SEARCH(BD$2,Liste_Handelsünger[Handelsdünger])&gt;0)),ROW()-2),1),"")</f>
        <v>AKRA Blatt</v>
      </c>
      <c r="BD155" t="str">
        <f>IF(($A165=""),"",IF(COUNTIF(Mineral!$AJ$3:$AJ$324,$A165),"",$A165))</f>
        <v/>
      </c>
      <c r="BE155" t="str">
        <f>IFERROR(INDEX(Liste_Handelsünger[Handelsdünger],_xlfn.AGGREGATE(15,6,(ROW(Liste_Handelsünger[Handelsdünger])-1)/(--(SEARCH(BF$2,Liste_Handelsünger[Handelsdünger])&gt;0)),ROW()-2),1),"")</f>
        <v>AKRA Blatt</v>
      </c>
      <c r="BF155" t="str">
        <f>IF(($A166=""),"",IF(COUNTIF(Mineral!$AJ$3:$AJ$324,$A166),"",$A166))</f>
        <v/>
      </c>
      <c r="BG155" t="str">
        <f>IFERROR(INDEX(Liste_Handelsünger[Handelsdünger],_xlfn.AGGREGATE(15,6,(ROW(Liste_Handelsünger[Handelsdünger])-1)/(--(SEARCH(BH$2,Liste_Handelsünger[Handelsdünger])&gt;0)),ROW()-2),1),"")</f>
        <v>AKRA Blatt</v>
      </c>
      <c r="BH155" t="str">
        <f>IF(($A167=""),"",IF(COUNTIF(Mineral!$AJ$3:$AJ$324,$A167),"",$A167))</f>
        <v/>
      </c>
      <c r="BI155" t="str">
        <f>IFERROR(INDEX(Liste_Handelsünger[Handelsdünger],_xlfn.AGGREGATE(15,6,(ROW(Liste_Handelsünger[Handelsdünger])-1)/(--(SEARCH(BJ$2,Liste_Handelsünger[Handelsdünger])&gt;0)),ROW()-2),1),"")</f>
        <v>AKRA Blatt</v>
      </c>
      <c r="BJ155" t="str">
        <f>IF(($A168=""),"",IF(COUNTIF(Mineral!$AJ$3:$AJ$324,$A168),"",$A168))</f>
        <v/>
      </c>
      <c r="BK155" t="str">
        <f>IFERROR(INDEX(Liste_Handelsünger[Handelsdünger],_xlfn.AGGREGATE(15,6,(ROW(Liste_Handelsünger[Handelsdünger])-1)/(--(SEARCH(BL$2,Liste_Handelsünger[Handelsdünger])&gt;0)),ROW()-2),1),"")</f>
        <v>AKRA Blatt</v>
      </c>
      <c r="BM155" t="str">
        <f>IFERROR(INDEX(Liste_Handelsünger[Handelsdünger],_xlfn.AGGREGATE(15,6,(ROW(Liste_Handelsünger[Handelsdünger])-1)/(--(SEARCH(BN$2,Liste_Handelsünger[Handelsdünger])&gt;0)),ROW()-2),1),"")</f>
        <v>AKRA Blatt</v>
      </c>
      <c r="BN155" t="str">
        <f>IF(($A170=""),"",IF(COUNTIF(Mineral!$AJ$3:$AJ$324,$A170),"",$A170))</f>
        <v/>
      </c>
      <c r="BV155" t="s">
        <v>2024</v>
      </c>
      <c r="BW155" t="s">
        <v>2283</v>
      </c>
    </row>
    <row r="156" spans="19:75" ht="14.25" thickTop="1" thickBot="1">
      <c r="S156" s="1676">
        <v>155</v>
      </c>
      <c r="T156" s="1606" t="s">
        <v>2006</v>
      </c>
      <c r="U156" s="1606" t="s">
        <v>2025</v>
      </c>
      <c r="V156" s="1606" t="s">
        <v>408</v>
      </c>
      <c r="W156" s="1606">
        <v>0</v>
      </c>
      <c r="X156" s="1606">
        <v>0</v>
      </c>
      <c r="Y156" s="1606">
        <v>0</v>
      </c>
      <c r="Z156" s="1606">
        <v>0</v>
      </c>
      <c r="AA156" s="1606">
        <v>16.2</v>
      </c>
      <c r="AB156" s="1606">
        <v>9.4</v>
      </c>
      <c r="AC156" s="1606">
        <v>1</v>
      </c>
      <c r="AD156" s="1613">
        <v>1</v>
      </c>
      <c r="AE156" s="1606" t="s">
        <v>1764</v>
      </c>
      <c r="AF156" s="1613" t="str">
        <f t="shared" si="17"/>
        <v/>
      </c>
      <c r="AG156" s="1656">
        <f>IFERROR(IF($AF156&gt;0,VLOOKUP($U156,Tabelle1!$C$188:$L$212,5,0)*$AF156,0),0)</f>
        <v>0</v>
      </c>
      <c r="AH156" s="1656">
        <f t="shared" si="18"/>
        <v>0</v>
      </c>
      <c r="AJ156" t="str">
        <f>IF(Betrieb!$D$9="JA",Mineral!$BW156,Mineral!$BV156)</f>
        <v>AKRA Kombi</v>
      </c>
      <c r="AK156" s="1672" t="str">
        <f>IFERROR(INDEX(Liste_Handelsünger[Handelsdünger],_xlfn.AGGREGATE(15,6,(ROW(Liste_Handelsünger[Handelsdünger])-1)/(--(SEARCH(AL$2,Liste_Handelsünger[Handelsdünger])&gt;0)),ROW()-2),1),"")</f>
        <v>AKRA Kombi</v>
      </c>
      <c r="AL156" s="1672" t="str">
        <f>IF(($A$3=""),"",IF(COUNTIF(Mineral!$AJ$3:$AJ$324,$A$3),"",$A$3))</f>
        <v/>
      </c>
      <c r="AM156" s="1672" t="str">
        <f>IFERROR(INDEX(Liste_Handelsünger[Handelsdünger],_xlfn.AGGREGATE(15,6,(ROW(Liste_Handelsünger[Handelsdünger])-1)/(--(SEARCH(AN$2,Liste_Handelsünger[Handelsdünger])&gt;0)),ROW()-2),1),"")</f>
        <v>AKRA Kombi</v>
      </c>
      <c r="AN156" t="str">
        <f>IF(($A158=""),"",IF(COUNTIF(Mineral!$AJ$3:$AJ$324,$A158),"",$A158))</f>
        <v/>
      </c>
      <c r="AO156" t="str">
        <f>IFERROR(INDEX(Liste_Handelsünger[Handelsdünger],_xlfn.AGGREGATE(15,6,(ROW(Liste_Handelsünger[Handelsdünger])-1)/(--(SEARCH(AP$2,Liste_Handelsünger[Handelsdünger])&gt;0)),ROW()-2),1),"")</f>
        <v>AKRA Kombi</v>
      </c>
      <c r="AP156" t="str">
        <f>IF(($A159=""),"",IF(COUNTIF(Mineral!$AJ$3:$AJ$324,$A159),"",$A159))</f>
        <v/>
      </c>
      <c r="AQ156" t="str">
        <f>IFERROR(INDEX(Liste_Handelsünger[Handelsdünger],_xlfn.AGGREGATE(15,6,(ROW(Liste_Handelsünger[Handelsdünger])-1)/(--(SEARCH(AR$2,Liste_Handelsünger[Handelsdünger])&gt;0)),ROW()-2),1),"")</f>
        <v>AKRA Kombi</v>
      </c>
      <c r="AR156" t="str">
        <f>IF(($A160=""),"",IF(COUNTIF(Mineral!$AJ$3:$AJ$324,$A160),"",$A160))</f>
        <v/>
      </c>
      <c r="AS156" t="str">
        <f>IFERROR(INDEX(Liste_Handelsünger[Handelsdünger],_xlfn.AGGREGATE(15,6,(ROW(Liste_Handelsünger[Handelsdünger])-1)/(--(SEARCH(AT$2,Liste_Handelsünger[Handelsdünger])&gt;0)),ROW()-2),1),"")</f>
        <v>AKRA Kombi</v>
      </c>
      <c r="AT156" t="str">
        <f>IF(($A161=""),"",IF(COUNTIF(Mineral!$AJ$3:$AJ$324,$A161),"",$A161))</f>
        <v/>
      </c>
      <c r="AU156" t="str">
        <f>IFERROR(INDEX(Liste_Handelsünger[Handelsdünger],_xlfn.AGGREGATE(15,6,(ROW(Liste_Handelsünger[Handelsdünger])-1)/(--(SEARCH(AV$2,Liste_Handelsünger[Handelsdünger])&gt;0)),ROW()-2),1),"")</f>
        <v>AKRA Kombi</v>
      </c>
      <c r="AV156" t="str">
        <f>IF(($A162=""),"",IF(COUNTIF(Mineral!$AJ$3:$AJ$324,$A162),"",$A162))</f>
        <v/>
      </c>
      <c r="AW156" t="str">
        <f>IFERROR(INDEX(Liste_Handelsünger[Handelsdünger],_xlfn.AGGREGATE(15,6,(ROW(Liste_Handelsünger[Handelsdünger])-1)/(--(SEARCH(AX$2,Liste_Handelsünger[Handelsdünger])&gt;0)),ROW()-2),1),"")</f>
        <v>AKRA Kombi</v>
      </c>
      <c r="AX156" t="str">
        <f>IF(($A163=""),"",IF(COUNTIF(Mineral!$AJ$3:$AJ$324,$A163),"",$A163))</f>
        <v/>
      </c>
      <c r="AY156" t="str">
        <f>IFERROR(INDEX(Liste_Handelsünger[Handelsdünger],_xlfn.AGGREGATE(15,6,(ROW(Liste_Handelsünger[Handelsdünger])-1)/(--(SEARCH(AZ$2,Liste_Handelsünger[Handelsdünger])&gt;0)),ROW()-2),1),"")</f>
        <v>AKRA Kombi</v>
      </c>
      <c r="AZ156" t="str">
        <f>IF(($A164=""),"",IF(COUNTIF(Mineral!$AJ$3:$AJ$324,$A164),"",$A164))</f>
        <v/>
      </c>
      <c r="BA156" t="str">
        <f>IFERROR(INDEX(Liste_Handelsünger[Handelsdünger],_xlfn.AGGREGATE(15,6,(ROW(Liste_Handelsünger[Handelsdünger])-1)/(--(SEARCH(BB$2,Liste_Handelsünger[Handelsdünger])&gt;0)),ROW()-2),1),"")</f>
        <v>AKRA Kombi</v>
      </c>
      <c r="BB156" t="str">
        <f>IF(($A165=""),"",IF(COUNTIF(Mineral!$AJ$3:$AJ$324,$A165),"",$A165))</f>
        <v/>
      </c>
      <c r="BC156" t="str">
        <f>IFERROR(INDEX(Liste_Handelsünger[Handelsdünger],_xlfn.AGGREGATE(15,6,(ROW(Liste_Handelsünger[Handelsdünger])-1)/(--(SEARCH(BD$2,Liste_Handelsünger[Handelsdünger])&gt;0)),ROW()-2),1),"")</f>
        <v>AKRA Kombi</v>
      </c>
      <c r="BD156" t="str">
        <f>IF(($A166=""),"",IF(COUNTIF(Mineral!$AJ$3:$AJ$324,$A166),"",$A166))</f>
        <v/>
      </c>
      <c r="BE156" t="str">
        <f>IFERROR(INDEX(Liste_Handelsünger[Handelsdünger],_xlfn.AGGREGATE(15,6,(ROW(Liste_Handelsünger[Handelsdünger])-1)/(--(SEARCH(BF$2,Liste_Handelsünger[Handelsdünger])&gt;0)),ROW()-2),1),"")</f>
        <v>AKRA Kombi</v>
      </c>
      <c r="BF156" t="str">
        <f>IF(($A167=""),"",IF(COUNTIF(Mineral!$AJ$3:$AJ$324,$A167),"",$A167))</f>
        <v/>
      </c>
      <c r="BG156" t="str">
        <f>IFERROR(INDEX(Liste_Handelsünger[Handelsdünger],_xlfn.AGGREGATE(15,6,(ROW(Liste_Handelsünger[Handelsdünger])-1)/(--(SEARCH(BH$2,Liste_Handelsünger[Handelsdünger])&gt;0)),ROW()-2),1),"")</f>
        <v>AKRA Kombi</v>
      </c>
      <c r="BH156" t="str">
        <f>IF(($A168=""),"",IF(COUNTIF(Mineral!$AJ$3:$AJ$324,$A168),"",$A168))</f>
        <v/>
      </c>
      <c r="BI156" t="str">
        <f>IFERROR(INDEX(Liste_Handelsünger[Handelsdünger],_xlfn.AGGREGATE(15,6,(ROW(Liste_Handelsünger[Handelsdünger])-1)/(--(SEARCH(BJ$2,Liste_Handelsünger[Handelsdünger])&gt;0)),ROW()-2),1),"")</f>
        <v>AKRA Kombi</v>
      </c>
      <c r="BJ156" t="str">
        <f>IF(($A169=""),"",IF(COUNTIF(Mineral!$AJ$3:$AJ$324,$A169),"",$A169))</f>
        <v/>
      </c>
      <c r="BK156" t="str">
        <f>IFERROR(INDEX(Liste_Handelsünger[Handelsdünger],_xlfn.AGGREGATE(15,6,(ROW(Liste_Handelsünger[Handelsdünger])-1)/(--(SEARCH(BL$2,Liste_Handelsünger[Handelsdünger])&gt;0)),ROW()-2),1),"")</f>
        <v>AKRA Kombi</v>
      </c>
      <c r="BM156" t="str">
        <f>IFERROR(INDEX(Liste_Handelsünger[Handelsdünger],_xlfn.AGGREGATE(15,6,(ROW(Liste_Handelsünger[Handelsdünger])-1)/(--(SEARCH(BN$2,Liste_Handelsünger[Handelsdünger])&gt;0)),ROW()-2),1),"")</f>
        <v>AKRA Kombi</v>
      </c>
      <c r="BN156" t="str">
        <f>IF(($A171=""),"",IF(COUNTIF(Mineral!$AJ$3:$AJ$324,$A171),"",$A171))</f>
        <v/>
      </c>
      <c r="BV156" t="s">
        <v>2025</v>
      </c>
      <c r="BW156" t="s">
        <v>2284</v>
      </c>
    </row>
    <row r="157" spans="19:75" ht="14.25" thickTop="1" thickBot="1">
      <c r="S157" s="1616">
        <v>156</v>
      </c>
      <c r="T157" s="1617" t="s">
        <v>2006</v>
      </c>
      <c r="U157" s="1617" t="s">
        <v>2026</v>
      </c>
      <c r="V157" s="1617" t="s">
        <v>408</v>
      </c>
      <c r="W157" s="1617">
        <v>0</v>
      </c>
      <c r="X157" s="1617">
        <v>0</v>
      </c>
      <c r="Y157" s="1617">
        <v>0</v>
      </c>
      <c r="Z157" s="1617">
        <v>0</v>
      </c>
      <c r="AA157" s="1617">
        <v>31</v>
      </c>
      <c r="AB157" s="1617">
        <v>25</v>
      </c>
      <c r="AC157" s="1617">
        <v>1</v>
      </c>
      <c r="AD157" s="1613">
        <v>1</v>
      </c>
      <c r="AE157" s="1617" t="s">
        <v>1764</v>
      </c>
      <c r="AF157" s="1613" t="str">
        <f t="shared" si="17"/>
        <v/>
      </c>
      <c r="AG157" s="1656">
        <f>IFERROR(IF($AF157&gt;0,VLOOKUP($U157,Tabelle1!$C$188:$L$212,5,0)*$AF157,0),0)</f>
        <v>0</v>
      </c>
      <c r="AH157" s="1656">
        <f t="shared" si="18"/>
        <v>0</v>
      </c>
      <c r="AJ157" t="str">
        <f>IF(Betrieb!$D$9="JA",Mineral!$BW157,Mineral!$BV157)</f>
        <v>AKRA Magnesia</v>
      </c>
      <c r="AK157" s="1672" t="str">
        <f>IFERROR(INDEX(Liste_Handelsünger[Handelsdünger],_xlfn.AGGREGATE(15,6,(ROW(Liste_Handelsünger[Handelsdünger])-1)/(--(SEARCH(AL$2,Liste_Handelsünger[Handelsdünger])&gt;0)),ROW()-2),1),"")</f>
        <v>AKRA Magnesia</v>
      </c>
      <c r="AL157" s="1672" t="str">
        <f>IF(($A$3=""),"",IF(COUNTIF(Mineral!$AJ$3:$AJ$324,$A$3),"",$A$3))</f>
        <v/>
      </c>
      <c r="AM157" s="1672" t="str">
        <f>IFERROR(INDEX(Liste_Handelsünger[Handelsdünger],_xlfn.AGGREGATE(15,6,(ROW(Liste_Handelsünger[Handelsdünger])-1)/(--(SEARCH(AN$2,Liste_Handelsünger[Handelsdünger])&gt;0)),ROW()-2),1),"")</f>
        <v>AKRA Magnesia</v>
      </c>
      <c r="AN157" t="str">
        <f>IF(($A159=""),"",IF(COUNTIF(Mineral!$AJ$3:$AJ$324,$A159),"",$A159))</f>
        <v/>
      </c>
      <c r="AO157" t="str">
        <f>IFERROR(INDEX(Liste_Handelsünger[Handelsdünger],_xlfn.AGGREGATE(15,6,(ROW(Liste_Handelsünger[Handelsdünger])-1)/(--(SEARCH(AP$2,Liste_Handelsünger[Handelsdünger])&gt;0)),ROW()-2),1),"")</f>
        <v>AKRA Magnesia</v>
      </c>
      <c r="AP157" t="str">
        <f>IF(($A160=""),"",IF(COUNTIF(Mineral!$AJ$3:$AJ$324,$A160),"",$A160))</f>
        <v/>
      </c>
      <c r="AQ157" t="str">
        <f>IFERROR(INDEX(Liste_Handelsünger[Handelsdünger],_xlfn.AGGREGATE(15,6,(ROW(Liste_Handelsünger[Handelsdünger])-1)/(--(SEARCH(AR$2,Liste_Handelsünger[Handelsdünger])&gt;0)),ROW()-2),1),"")</f>
        <v>AKRA Magnesia</v>
      </c>
      <c r="AR157" t="str">
        <f>IF(($A161=""),"",IF(COUNTIF(Mineral!$AJ$3:$AJ$324,$A161),"",$A161))</f>
        <v/>
      </c>
      <c r="AS157" t="str">
        <f>IFERROR(INDEX(Liste_Handelsünger[Handelsdünger],_xlfn.AGGREGATE(15,6,(ROW(Liste_Handelsünger[Handelsdünger])-1)/(--(SEARCH(AT$2,Liste_Handelsünger[Handelsdünger])&gt;0)),ROW()-2),1),"")</f>
        <v>AKRA Magnesia</v>
      </c>
      <c r="AT157" t="str">
        <f>IF(($A162=""),"",IF(COUNTIF(Mineral!$AJ$3:$AJ$324,$A162),"",$A162))</f>
        <v/>
      </c>
      <c r="AU157" t="str">
        <f>IFERROR(INDEX(Liste_Handelsünger[Handelsdünger],_xlfn.AGGREGATE(15,6,(ROW(Liste_Handelsünger[Handelsdünger])-1)/(--(SEARCH(AV$2,Liste_Handelsünger[Handelsdünger])&gt;0)),ROW()-2),1),"")</f>
        <v>AKRA Magnesia</v>
      </c>
      <c r="AV157" t="str">
        <f>IF(($A163=""),"",IF(COUNTIF(Mineral!$AJ$3:$AJ$324,$A163),"",$A163))</f>
        <v/>
      </c>
      <c r="AW157" t="str">
        <f>IFERROR(INDEX(Liste_Handelsünger[Handelsdünger],_xlfn.AGGREGATE(15,6,(ROW(Liste_Handelsünger[Handelsdünger])-1)/(--(SEARCH(AX$2,Liste_Handelsünger[Handelsdünger])&gt;0)),ROW()-2),1),"")</f>
        <v>AKRA Magnesia</v>
      </c>
      <c r="AX157" t="str">
        <f>IF(($A164=""),"",IF(COUNTIF(Mineral!$AJ$3:$AJ$324,$A164),"",$A164))</f>
        <v/>
      </c>
      <c r="AY157" t="str">
        <f>IFERROR(INDEX(Liste_Handelsünger[Handelsdünger],_xlfn.AGGREGATE(15,6,(ROW(Liste_Handelsünger[Handelsdünger])-1)/(--(SEARCH(AZ$2,Liste_Handelsünger[Handelsdünger])&gt;0)),ROW()-2),1),"")</f>
        <v>AKRA Magnesia</v>
      </c>
      <c r="AZ157" t="str">
        <f>IF(($A165=""),"",IF(COUNTIF(Mineral!$AJ$3:$AJ$324,$A165),"",$A165))</f>
        <v/>
      </c>
      <c r="BA157" t="str">
        <f>IFERROR(INDEX(Liste_Handelsünger[Handelsdünger],_xlfn.AGGREGATE(15,6,(ROW(Liste_Handelsünger[Handelsdünger])-1)/(--(SEARCH(BB$2,Liste_Handelsünger[Handelsdünger])&gt;0)),ROW()-2),1),"")</f>
        <v>AKRA Magnesia</v>
      </c>
      <c r="BB157" t="str">
        <f>IF(($A166=""),"",IF(COUNTIF(Mineral!$AJ$3:$AJ$324,$A166),"",$A166))</f>
        <v/>
      </c>
      <c r="BC157" t="str">
        <f>IFERROR(INDEX(Liste_Handelsünger[Handelsdünger],_xlfn.AGGREGATE(15,6,(ROW(Liste_Handelsünger[Handelsdünger])-1)/(--(SEARCH(BD$2,Liste_Handelsünger[Handelsdünger])&gt;0)),ROW()-2),1),"")</f>
        <v>AKRA Magnesia</v>
      </c>
      <c r="BD157" t="str">
        <f>IF(($A167=""),"",IF(COUNTIF(Mineral!$AJ$3:$AJ$324,$A167),"",$A167))</f>
        <v/>
      </c>
      <c r="BE157" t="str">
        <f>IFERROR(INDEX(Liste_Handelsünger[Handelsdünger],_xlfn.AGGREGATE(15,6,(ROW(Liste_Handelsünger[Handelsdünger])-1)/(--(SEARCH(BF$2,Liste_Handelsünger[Handelsdünger])&gt;0)),ROW()-2),1),"")</f>
        <v>AKRA Magnesia</v>
      </c>
      <c r="BF157" t="str">
        <f>IF(($A168=""),"",IF(COUNTIF(Mineral!$AJ$3:$AJ$324,$A168),"",$A168))</f>
        <v/>
      </c>
      <c r="BG157" t="str">
        <f>IFERROR(INDEX(Liste_Handelsünger[Handelsdünger],_xlfn.AGGREGATE(15,6,(ROW(Liste_Handelsünger[Handelsdünger])-1)/(--(SEARCH(BH$2,Liste_Handelsünger[Handelsdünger])&gt;0)),ROW()-2),1),"")</f>
        <v>AKRA Magnesia</v>
      </c>
      <c r="BH157" t="str">
        <f>IF(($A169=""),"",IF(COUNTIF(Mineral!$AJ$3:$AJ$324,$A169),"",$A169))</f>
        <v/>
      </c>
      <c r="BI157" t="str">
        <f>IFERROR(INDEX(Liste_Handelsünger[Handelsdünger],_xlfn.AGGREGATE(15,6,(ROW(Liste_Handelsünger[Handelsdünger])-1)/(--(SEARCH(BJ$2,Liste_Handelsünger[Handelsdünger])&gt;0)),ROW()-2),1),"")</f>
        <v>AKRA Magnesia</v>
      </c>
      <c r="BJ157" t="str">
        <f>IF(($A170=""),"",IF(COUNTIF(Mineral!$AJ$3:$AJ$324,$A170),"",$A170))</f>
        <v/>
      </c>
      <c r="BK157" t="str">
        <f>IFERROR(INDEX(Liste_Handelsünger[Handelsdünger],_xlfn.AGGREGATE(15,6,(ROW(Liste_Handelsünger[Handelsdünger])-1)/(--(SEARCH(BL$2,Liste_Handelsünger[Handelsdünger])&gt;0)),ROW()-2),1),"")</f>
        <v>AKRA Magnesia</v>
      </c>
      <c r="BM157" t="str">
        <f>IFERROR(INDEX(Liste_Handelsünger[Handelsdünger],_xlfn.AGGREGATE(15,6,(ROW(Liste_Handelsünger[Handelsdünger])-1)/(--(SEARCH(BN$2,Liste_Handelsünger[Handelsdünger])&gt;0)),ROW()-2),1),"")</f>
        <v>AKRA Magnesia</v>
      </c>
      <c r="BN157" t="str">
        <f>IF(($A172=""),"",IF(COUNTIF(Mineral!$AJ$3:$AJ$324,$A172),"",$A172))</f>
        <v/>
      </c>
      <c r="BV157" t="s">
        <v>2026</v>
      </c>
      <c r="BW157" t="s">
        <v>2285</v>
      </c>
    </row>
    <row r="158" spans="19:75" ht="14.25" thickTop="1" thickBot="1">
      <c r="S158" s="1676">
        <v>157</v>
      </c>
      <c r="T158" s="1606" t="s">
        <v>2006</v>
      </c>
      <c r="U158" s="1606" t="s">
        <v>2027</v>
      </c>
      <c r="V158" s="1606" t="s">
        <v>408</v>
      </c>
      <c r="W158" s="1606">
        <v>0</v>
      </c>
      <c r="X158" s="1606">
        <v>0</v>
      </c>
      <c r="Y158" s="1606">
        <v>0</v>
      </c>
      <c r="Z158" s="1606">
        <v>2.8000000000000003</v>
      </c>
      <c r="AA158" s="1606">
        <v>36</v>
      </c>
      <c r="AB158" s="1606">
        <v>21</v>
      </c>
      <c r="AC158" s="1606">
        <v>1</v>
      </c>
      <c r="AD158" s="1613">
        <v>1</v>
      </c>
      <c r="AE158" s="1606" t="s">
        <v>1764</v>
      </c>
      <c r="AF158" s="1613" t="str">
        <f t="shared" si="17"/>
        <v/>
      </c>
      <c r="AG158" s="1656">
        <f>IFERROR(IF($AF158&gt;0,VLOOKUP($U158,Tabelle1!$C$188:$L$212,5,0)*$AF158,0),0)</f>
        <v>0</v>
      </c>
      <c r="AH158" s="1656">
        <f t="shared" si="18"/>
        <v>0</v>
      </c>
      <c r="AJ158" t="str">
        <f>IF(Betrieb!$D$9="JA",Mineral!$BW158,Mineral!$BV158)</f>
        <v>AKRA Magnesia +S</v>
      </c>
      <c r="AK158" s="1672" t="str">
        <f>IFERROR(INDEX(Liste_Handelsünger[Handelsdünger],_xlfn.AGGREGATE(15,6,(ROW(Liste_Handelsünger[Handelsdünger])-1)/(--(SEARCH(AL$2,Liste_Handelsünger[Handelsdünger])&gt;0)),ROW()-2),1),"")</f>
        <v>AKRA Magnesia +S</v>
      </c>
      <c r="AL158" s="1672" t="str">
        <f>IF(($A$3=""),"",IF(COUNTIF(Mineral!$AJ$3:$AJ$324,$A$3),"",$A$3))</f>
        <v/>
      </c>
      <c r="AM158" s="1672" t="str">
        <f>IFERROR(INDEX(Liste_Handelsünger[Handelsdünger],_xlfn.AGGREGATE(15,6,(ROW(Liste_Handelsünger[Handelsdünger])-1)/(--(SEARCH(AN$2,Liste_Handelsünger[Handelsdünger])&gt;0)),ROW()-2),1),"")</f>
        <v>AKRA Magnesia +S</v>
      </c>
      <c r="AN158" t="str">
        <f>IF(($A160=""),"",IF(COUNTIF(Mineral!$AJ$3:$AJ$324,$A160),"",$A160))</f>
        <v/>
      </c>
      <c r="AO158" t="str">
        <f>IFERROR(INDEX(Liste_Handelsünger[Handelsdünger],_xlfn.AGGREGATE(15,6,(ROW(Liste_Handelsünger[Handelsdünger])-1)/(--(SEARCH(AP$2,Liste_Handelsünger[Handelsdünger])&gt;0)),ROW()-2),1),"")</f>
        <v>AKRA Magnesia +S</v>
      </c>
      <c r="AP158" t="str">
        <f>IF(($A161=""),"",IF(COUNTIF(Mineral!$AJ$3:$AJ$324,$A161),"",$A161))</f>
        <v/>
      </c>
      <c r="AQ158" t="str">
        <f>IFERROR(INDEX(Liste_Handelsünger[Handelsdünger],_xlfn.AGGREGATE(15,6,(ROW(Liste_Handelsünger[Handelsdünger])-1)/(--(SEARCH(AR$2,Liste_Handelsünger[Handelsdünger])&gt;0)),ROW()-2),1),"")</f>
        <v>AKRA Magnesia +S</v>
      </c>
      <c r="AR158" t="str">
        <f>IF(($A162=""),"",IF(COUNTIF(Mineral!$AJ$3:$AJ$324,$A162),"",$A162))</f>
        <v/>
      </c>
      <c r="AS158" t="str">
        <f>IFERROR(INDEX(Liste_Handelsünger[Handelsdünger],_xlfn.AGGREGATE(15,6,(ROW(Liste_Handelsünger[Handelsdünger])-1)/(--(SEARCH(AT$2,Liste_Handelsünger[Handelsdünger])&gt;0)),ROW()-2),1),"")</f>
        <v>AKRA Magnesia +S</v>
      </c>
      <c r="AT158" t="str">
        <f>IF(($A163=""),"",IF(COUNTIF(Mineral!$AJ$3:$AJ$324,$A163),"",$A163))</f>
        <v/>
      </c>
      <c r="AU158" t="str">
        <f>IFERROR(INDEX(Liste_Handelsünger[Handelsdünger],_xlfn.AGGREGATE(15,6,(ROW(Liste_Handelsünger[Handelsdünger])-1)/(--(SEARCH(AV$2,Liste_Handelsünger[Handelsdünger])&gt;0)),ROW()-2),1),"")</f>
        <v>AKRA Magnesia +S</v>
      </c>
      <c r="AV158" t="str">
        <f>IF(($A164=""),"",IF(COUNTIF(Mineral!$AJ$3:$AJ$324,$A164),"",$A164))</f>
        <v/>
      </c>
      <c r="AW158" t="str">
        <f>IFERROR(INDEX(Liste_Handelsünger[Handelsdünger],_xlfn.AGGREGATE(15,6,(ROW(Liste_Handelsünger[Handelsdünger])-1)/(--(SEARCH(AX$2,Liste_Handelsünger[Handelsdünger])&gt;0)),ROW()-2),1),"")</f>
        <v>AKRA Magnesia +S</v>
      </c>
      <c r="AX158" t="str">
        <f>IF(($A165=""),"",IF(COUNTIF(Mineral!$AJ$3:$AJ$324,$A165),"",$A165))</f>
        <v/>
      </c>
      <c r="AY158" t="str">
        <f>IFERROR(INDEX(Liste_Handelsünger[Handelsdünger],_xlfn.AGGREGATE(15,6,(ROW(Liste_Handelsünger[Handelsdünger])-1)/(--(SEARCH(AZ$2,Liste_Handelsünger[Handelsdünger])&gt;0)),ROW()-2),1),"")</f>
        <v>AKRA Magnesia +S</v>
      </c>
      <c r="AZ158" t="str">
        <f>IF(($A166=""),"",IF(COUNTIF(Mineral!$AJ$3:$AJ$324,$A166),"",$A166))</f>
        <v/>
      </c>
      <c r="BA158" t="str">
        <f>IFERROR(INDEX(Liste_Handelsünger[Handelsdünger],_xlfn.AGGREGATE(15,6,(ROW(Liste_Handelsünger[Handelsdünger])-1)/(--(SEARCH(BB$2,Liste_Handelsünger[Handelsdünger])&gt;0)),ROW()-2),1),"")</f>
        <v>AKRA Magnesia +S</v>
      </c>
      <c r="BB158" t="str">
        <f>IF(($A167=""),"",IF(COUNTIF(Mineral!$AJ$3:$AJ$324,$A167),"",$A167))</f>
        <v/>
      </c>
      <c r="BC158" t="str">
        <f>IFERROR(INDEX(Liste_Handelsünger[Handelsdünger],_xlfn.AGGREGATE(15,6,(ROW(Liste_Handelsünger[Handelsdünger])-1)/(--(SEARCH(BD$2,Liste_Handelsünger[Handelsdünger])&gt;0)),ROW()-2),1),"")</f>
        <v>AKRA Magnesia +S</v>
      </c>
      <c r="BD158" t="str">
        <f>IF(($A168=""),"",IF(COUNTIF(Mineral!$AJ$3:$AJ$324,$A168),"",$A168))</f>
        <v/>
      </c>
      <c r="BE158" t="str">
        <f>IFERROR(INDEX(Liste_Handelsünger[Handelsdünger],_xlfn.AGGREGATE(15,6,(ROW(Liste_Handelsünger[Handelsdünger])-1)/(--(SEARCH(BF$2,Liste_Handelsünger[Handelsdünger])&gt;0)),ROW()-2),1),"")</f>
        <v>AKRA Magnesia +S</v>
      </c>
      <c r="BF158" t="str">
        <f>IF(($A169=""),"",IF(COUNTIF(Mineral!$AJ$3:$AJ$324,$A169),"",$A169))</f>
        <v/>
      </c>
      <c r="BG158" t="str">
        <f>IFERROR(INDEX(Liste_Handelsünger[Handelsdünger],_xlfn.AGGREGATE(15,6,(ROW(Liste_Handelsünger[Handelsdünger])-1)/(--(SEARCH(BH$2,Liste_Handelsünger[Handelsdünger])&gt;0)),ROW()-2),1),"")</f>
        <v>AKRA Magnesia +S</v>
      </c>
      <c r="BH158" t="str">
        <f>IF(($A170=""),"",IF(COUNTIF(Mineral!$AJ$3:$AJ$324,$A170),"",$A170))</f>
        <v/>
      </c>
      <c r="BI158" t="str">
        <f>IFERROR(INDEX(Liste_Handelsünger[Handelsdünger],_xlfn.AGGREGATE(15,6,(ROW(Liste_Handelsünger[Handelsdünger])-1)/(--(SEARCH(BJ$2,Liste_Handelsünger[Handelsdünger])&gt;0)),ROW()-2),1),"")</f>
        <v>AKRA Magnesia +S</v>
      </c>
      <c r="BJ158" t="str">
        <f>IF(($A171=""),"",IF(COUNTIF(Mineral!$AJ$3:$AJ$324,$A171),"",$A171))</f>
        <v/>
      </c>
      <c r="BK158" t="str">
        <f>IFERROR(INDEX(Liste_Handelsünger[Handelsdünger],_xlfn.AGGREGATE(15,6,(ROW(Liste_Handelsünger[Handelsdünger])-1)/(--(SEARCH(BL$2,Liste_Handelsünger[Handelsdünger])&gt;0)),ROW()-2),1),"")</f>
        <v>AKRA Magnesia +S</v>
      </c>
      <c r="BM158" t="str">
        <f>IFERROR(INDEX(Liste_Handelsünger[Handelsdünger],_xlfn.AGGREGATE(15,6,(ROW(Liste_Handelsünger[Handelsdünger])-1)/(--(SEARCH(BN$2,Liste_Handelsünger[Handelsdünger])&gt;0)),ROW()-2),1),"")</f>
        <v>AKRA Magnesia +S</v>
      </c>
      <c r="BN158" t="str">
        <f>IF(($A173=""),"",IF(COUNTIF(Mineral!$AJ$3:$AJ$324,$A173),"",$A173))</f>
        <v/>
      </c>
      <c r="BV158" t="s">
        <v>2027</v>
      </c>
      <c r="BW158" t="s">
        <v>2286</v>
      </c>
    </row>
    <row r="159" spans="19:75" ht="14.25" thickTop="1" thickBot="1">
      <c r="S159" s="1616">
        <v>158</v>
      </c>
      <c r="T159" s="1617" t="s">
        <v>2006</v>
      </c>
      <c r="U159" s="1617" t="s">
        <v>2028</v>
      </c>
      <c r="V159" s="1617" t="s">
        <v>408</v>
      </c>
      <c r="W159" s="1617">
        <v>0</v>
      </c>
      <c r="X159" s="1617">
        <v>0</v>
      </c>
      <c r="Y159" s="1617">
        <v>0</v>
      </c>
      <c r="Z159" s="1617">
        <v>0</v>
      </c>
      <c r="AA159" s="1617">
        <v>0</v>
      </c>
      <c r="AB159" s="1617">
        <v>0</v>
      </c>
      <c r="AC159" s="1617">
        <v>1</v>
      </c>
      <c r="AD159" s="1613">
        <v>1</v>
      </c>
      <c r="AE159" s="1617" t="s">
        <v>1764</v>
      </c>
      <c r="AF159" s="1613" t="str">
        <f t="shared" si="17"/>
        <v/>
      </c>
      <c r="AG159" s="1656">
        <f>IFERROR(IF($AF159&gt;0,VLOOKUP($U159,Tabelle1!$C$188:$L$212,5,0)*$AF159,0),0)</f>
        <v>0</v>
      </c>
      <c r="AH159" s="1656">
        <f t="shared" si="18"/>
        <v>0</v>
      </c>
      <c r="AJ159" t="str">
        <f>IF(Betrieb!$D$9="JA",Mineral!$BW159,Mineral!$BV159)</f>
        <v>AKRA MSB</v>
      </c>
      <c r="AK159" s="1672" t="str">
        <f>IFERROR(INDEX(Liste_Handelsünger[Handelsdünger],_xlfn.AGGREGATE(15,6,(ROW(Liste_Handelsünger[Handelsdünger])-1)/(--(SEARCH(AL$2,Liste_Handelsünger[Handelsdünger])&gt;0)),ROW()-2),1),"")</f>
        <v>AKRA MSB</v>
      </c>
      <c r="AL159" s="1672" t="str">
        <f>IF(($A$3=""),"",IF(COUNTIF(Mineral!$AJ$3:$AJ$324,$A$3),"",$A$3))</f>
        <v/>
      </c>
      <c r="AM159" s="1672" t="str">
        <f>IFERROR(INDEX(Liste_Handelsünger[Handelsdünger],_xlfn.AGGREGATE(15,6,(ROW(Liste_Handelsünger[Handelsdünger])-1)/(--(SEARCH(AN$2,Liste_Handelsünger[Handelsdünger])&gt;0)),ROW()-2),1),"")</f>
        <v>AKRA MSB</v>
      </c>
      <c r="AN159" t="str">
        <f>IF(($A161=""),"",IF(COUNTIF(Mineral!$AJ$3:$AJ$324,$A161),"",$A161))</f>
        <v/>
      </c>
      <c r="AO159" t="str">
        <f>IFERROR(INDEX(Liste_Handelsünger[Handelsdünger],_xlfn.AGGREGATE(15,6,(ROW(Liste_Handelsünger[Handelsdünger])-1)/(--(SEARCH(AP$2,Liste_Handelsünger[Handelsdünger])&gt;0)),ROW()-2),1),"")</f>
        <v>AKRA MSB</v>
      </c>
      <c r="AP159" t="str">
        <f>IF(($A162=""),"",IF(COUNTIF(Mineral!$AJ$3:$AJ$324,$A162),"",$A162))</f>
        <v/>
      </c>
      <c r="AQ159" t="str">
        <f>IFERROR(INDEX(Liste_Handelsünger[Handelsdünger],_xlfn.AGGREGATE(15,6,(ROW(Liste_Handelsünger[Handelsdünger])-1)/(--(SEARCH(AR$2,Liste_Handelsünger[Handelsdünger])&gt;0)),ROW()-2),1),"")</f>
        <v>AKRA MSB</v>
      </c>
      <c r="AR159" t="str">
        <f>IF(($A163=""),"",IF(COUNTIF(Mineral!$AJ$3:$AJ$324,$A163),"",$A163))</f>
        <v/>
      </c>
      <c r="AS159" t="str">
        <f>IFERROR(INDEX(Liste_Handelsünger[Handelsdünger],_xlfn.AGGREGATE(15,6,(ROW(Liste_Handelsünger[Handelsdünger])-1)/(--(SEARCH(AT$2,Liste_Handelsünger[Handelsdünger])&gt;0)),ROW()-2),1),"")</f>
        <v>AKRA MSB</v>
      </c>
      <c r="AT159" t="str">
        <f>IF(($A164=""),"",IF(COUNTIF(Mineral!$AJ$3:$AJ$324,$A164),"",$A164))</f>
        <v/>
      </c>
      <c r="AU159" t="str">
        <f>IFERROR(INDEX(Liste_Handelsünger[Handelsdünger],_xlfn.AGGREGATE(15,6,(ROW(Liste_Handelsünger[Handelsdünger])-1)/(--(SEARCH(AV$2,Liste_Handelsünger[Handelsdünger])&gt;0)),ROW()-2),1),"")</f>
        <v>AKRA MSB</v>
      </c>
      <c r="AV159" t="str">
        <f>IF(($A165=""),"",IF(COUNTIF(Mineral!$AJ$3:$AJ$324,$A165),"",$A165))</f>
        <v/>
      </c>
      <c r="AW159" t="str">
        <f>IFERROR(INDEX(Liste_Handelsünger[Handelsdünger],_xlfn.AGGREGATE(15,6,(ROW(Liste_Handelsünger[Handelsdünger])-1)/(--(SEARCH(AX$2,Liste_Handelsünger[Handelsdünger])&gt;0)),ROW()-2),1),"")</f>
        <v>AKRA MSB</v>
      </c>
      <c r="AX159" t="str">
        <f>IF(($A166=""),"",IF(COUNTIF(Mineral!$AJ$3:$AJ$324,$A166),"",$A166))</f>
        <v/>
      </c>
      <c r="AY159" t="str">
        <f>IFERROR(INDEX(Liste_Handelsünger[Handelsdünger],_xlfn.AGGREGATE(15,6,(ROW(Liste_Handelsünger[Handelsdünger])-1)/(--(SEARCH(AZ$2,Liste_Handelsünger[Handelsdünger])&gt;0)),ROW()-2),1),"")</f>
        <v>AKRA MSB</v>
      </c>
      <c r="AZ159" t="str">
        <f>IF(($A167=""),"",IF(COUNTIF(Mineral!$AJ$3:$AJ$324,$A167),"",$A167))</f>
        <v/>
      </c>
      <c r="BA159" t="str">
        <f>IFERROR(INDEX(Liste_Handelsünger[Handelsdünger],_xlfn.AGGREGATE(15,6,(ROW(Liste_Handelsünger[Handelsdünger])-1)/(--(SEARCH(BB$2,Liste_Handelsünger[Handelsdünger])&gt;0)),ROW()-2),1),"")</f>
        <v>AKRA MSB</v>
      </c>
      <c r="BB159" t="str">
        <f>IF(($A168=""),"",IF(COUNTIF(Mineral!$AJ$3:$AJ$324,$A168),"",$A168))</f>
        <v/>
      </c>
      <c r="BC159" t="str">
        <f>IFERROR(INDEX(Liste_Handelsünger[Handelsdünger],_xlfn.AGGREGATE(15,6,(ROW(Liste_Handelsünger[Handelsdünger])-1)/(--(SEARCH(BD$2,Liste_Handelsünger[Handelsdünger])&gt;0)),ROW()-2),1),"")</f>
        <v>AKRA MSB</v>
      </c>
      <c r="BD159" t="str">
        <f>IF(($A169=""),"",IF(COUNTIF(Mineral!$AJ$3:$AJ$324,$A169),"",$A169))</f>
        <v/>
      </c>
      <c r="BE159" t="str">
        <f>IFERROR(INDEX(Liste_Handelsünger[Handelsdünger],_xlfn.AGGREGATE(15,6,(ROW(Liste_Handelsünger[Handelsdünger])-1)/(--(SEARCH(BF$2,Liste_Handelsünger[Handelsdünger])&gt;0)),ROW()-2),1),"")</f>
        <v>AKRA MSB</v>
      </c>
      <c r="BF159" t="str">
        <f>IF(($A170=""),"",IF(COUNTIF(Mineral!$AJ$3:$AJ$324,$A170),"",$A170))</f>
        <v/>
      </c>
      <c r="BG159" t="str">
        <f>IFERROR(INDEX(Liste_Handelsünger[Handelsdünger],_xlfn.AGGREGATE(15,6,(ROW(Liste_Handelsünger[Handelsdünger])-1)/(--(SEARCH(BH$2,Liste_Handelsünger[Handelsdünger])&gt;0)),ROW()-2),1),"")</f>
        <v>AKRA MSB</v>
      </c>
      <c r="BH159" t="str">
        <f>IF(($A171=""),"",IF(COUNTIF(Mineral!$AJ$3:$AJ$324,$A171),"",$A171))</f>
        <v/>
      </c>
      <c r="BI159" t="str">
        <f>IFERROR(INDEX(Liste_Handelsünger[Handelsdünger],_xlfn.AGGREGATE(15,6,(ROW(Liste_Handelsünger[Handelsdünger])-1)/(--(SEARCH(BJ$2,Liste_Handelsünger[Handelsdünger])&gt;0)),ROW()-2),1),"")</f>
        <v>AKRA MSB</v>
      </c>
      <c r="BJ159" t="str">
        <f>IF(($A172=""),"",IF(COUNTIF(Mineral!$AJ$3:$AJ$324,$A172),"",$A172))</f>
        <v/>
      </c>
      <c r="BK159" t="str">
        <f>IFERROR(INDEX(Liste_Handelsünger[Handelsdünger],_xlfn.AGGREGATE(15,6,(ROW(Liste_Handelsünger[Handelsdünger])-1)/(--(SEARCH(BL$2,Liste_Handelsünger[Handelsdünger])&gt;0)),ROW()-2),1),"")</f>
        <v>AKRA MSB</v>
      </c>
      <c r="BM159" t="str">
        <f>IFERROR(INDEX(Liste_Handelsünger[Handelsdünger],_xlfn.AGGREGATE(15,6,(ROW(Liste_Handelsünger[Handelsdünger])-1)/(--(SEARCH(BN$2,Liste_Handelsünger[Handelsdünger])&gt;0)),ROW()-2),1),"")</f>
        <v>AKRA MSB</v>
      </c>
      <c r="BN159" t="str">
        <f>IF(($A174=""),"",IF(COUNTIF(Mineral!$AJ$3:$AJ$324,$A174),"",$A174))</f>
        <v/>
      </c>
      <c r="BV159" t="s">
        <v>2028</v>
      </c>
      <c r="BW159" t="s">
        <v>2287</v>
      </c>
    </row>
    <row r="160" spans="19:75" ht="14.25" thickTop="1" thickBot="1">
      <c r="S160" s="1676">
        <v>159</v>
      </c>
      <c r="T160" s="1606" t="s">
        <v>2006</v>
      </c>
      <c r="U160" s="1606" t="s">
        <v>2029</v>
      </c>
      <c r="V160" s="1606" t="s">
        <v>408</v>
      </c>
      <c r="W160" s="1606">
        <v>1.5</v>
      </c>
      <c r="X160" s="1606">
        <v>0.6</v>
      </c>
      <c r="Y160" s="1606">
        <v>4.1000000000000005</v>
      </c>
      <c r="Z160" s="1606">
        <v>0</v>
      </c>
      <c r="AA160" s="1606">
        <v>0</v>
      </c>
      <c r="AB160" s="1606">
        <v>0</v>
      </c>
      <c r="AC160" s="1606">
        <v>0.7</v>
      </c>
      <c r="AD160" s="1613">
        <v>0.87</v>
      </c>
      <c r="AE160" s="1606" t="s">
        <v>2016</v>
      </c>
      <c r="AF160" s="1613" t="str">
        <f t="shared" si="17"/>
        <v/>
      </c>
      <c r="AG160" s="1656">
        <f>IFERROR(IF($AF160&gt;0,VLOOKUP($U160,Tabelle1!$C$188:$L$212,5,0)*$AF160,0),0)</f>
        <v>0</v>
      </c>
      <c r="AH160" s="1656">
        <f t="shared" si="18"/>
        <v>0</v>
      </c>
      <c r="AJ160" t="str">
        <f>IF(Betrieb!$D$9="JA",Mineral!$BW160,Mineral!$BV160)</f>
        <v>AKRA organ. Flüssigdünger</v>
      </c>
      <c r="AK160" s="1672" t="str">
        <f>IFERROR(INDEX(Liste_Handelsünger[Handelsdünger],_xlfn.AGGREGATE(15,6,(ROW(Liste_Handelsünger[Handelsdünger])-1)/(--(SEARCH(AL$2,Liste_Handelsünger[Handelsdünger])&gt;0)),ROW()-2),1),"")</f>
        <v>AKRA organ. Flüssigdünger</v>
      </c>
      <c r="AL160" s="1672" t="str">
        <f>IF(($A$3=""),"",IF(COUNTIF(Mineral!$AJ$3:$AJ$324,$A$3),"",$A$3))</f>
        <v/>
      </c>
      <c r="AM160" s="1672" t="str">
        <f>IFERROR(INDEX(Liste_Handelsünger[Handelsdünger],_xlfn.AGGREGATE(15,6,(ROW(Liste_Handelsünger[Handelsdünger])-1)/(--(SEARCH(AN$2,Liste_Handelsünger[Handelsdünger])&gt;0)),ROW()-2),1),"")</f>
        <v>AKRA organ. Flüssigdünger</v>
      </c>
      <c r="AN160" t="str">
        <f>IF(($A162=""),"",IF(COUNTIF(Mineral!$AJ$3:$AJ$324,$A162),"",$A162))</f>
        <v/>
      </c>
      <c r="AO160" t="str">
        <f>IFERROR(INDEX(Liste_Handelsünger[Handelsdünger],_xlfn.AGGREGATE(15,6,(ROW(Liste_Handelsünger[Handelsdünger])-1)/(--(SEARCH(AP$2,Liste_Handelsünger[Handelsdünger])&gt;0)),ROW()-2),1),"")</f>
        <v>AKRA organ. Flüssigdünger</v>
      </c>
      <c r="AP160" t="str">
        <f>IF(($A163=""),"",IF(COUNTIF(Mineral!$AJ$3:$AJ$324,$A163),"",$A163))</f>
        <v/>
      </c>
      <c r="AQ160" t="str">
        <f>IFERROR(INDEX(Liste_Handelsünger[Handelsdünger],_xlfn.AGGREGATE(15,6,(ROW(Liste_Handelsünger[Handelsdünger])-1)/(--(SEARCH(AR$2,Liste_Handelsünger[Handelsdünger])&gt;0)),ROW()-2),1),"")</f>
        <v>AKRA organ. Flüssigdünger</v>
      </c>
      <c r="AR160" t="str">
        <f>IF(($A164=""),"",IF(COUNTIF(Mineral!$AJ$3:$AJ$324,$A164),"",$A164))</f>
        <v/>
      </c>
      <c r="AS160" t="str">
        <f>IFERROR(INDEX(Liste_Handelsünger[Handelsdünger],_xlfn.AGGREGATE(15,6,(ROW(Liste_Handelsünger[Handelsdünger])-1)/(--(SEARCH(AT$2,Liste_Handelsünger[Handelsdünger])&gt;0)),ROW()-2),1),"")</f>
        <v>AKRA organ. Flüssigdünger</v>
      </c>
      <c r="AT160" t="str">
        <f>IF(($A165=""),"",IF(COUNTIF(Mineral!$AJ$3:$AJ$324,$A165),"",$A165))</f>
        <v/>
      </c>
      <c r="AU160" t="str">
        <f>IFERROR(INDEX(Liste_Handelsünger[Handelsdünger],_xlfn.AGGREGATE(15,6,(ROW(Liste_Handelsünger[Handelsdünger])-1)/(--(SEARCH(AV$2,Liste_Handelsünger[Handelsdünger])&gt;0)),ROW()-2),1),"")</f>
        <v>AKRA organ. Flüssigdünger</v>
      </c>
      <c r="AV160" t="str">
        <f>IF(($A166=""),"",IF(COUNTIF(Mineral!$AJ$3:$AJ$324,$A166),"",$A166))</f>
        <v/>
      </c>
      <c r="AW160" t="str">
        <f>IFERROR(INDEX(Liste_Handelsünger[Handelsdünger],_xlfn.AGGREGATE(15,6,(ROW(Liste_Handelsünger[Handelsdünger])-1)/(--(SEARCH(AX$2,Liste_Handelsünger[Handelsdünger])&gt;0)),ROW()-2),1),"")</f>
        <v>AKRA organ. Flüssigdünger</v>
      </c>
      <c r="AX160" t="str">
        <f>IF(($A167=""),"",IF(COUNTIF(Mineral!$AJ$3:$AJ$324,$A167),"",$A167))</f>
        <v/>
      </c>
      <c r="AY160" t="str">
        <f>IFERROR(INDEX(Liste_Handelsünger[Handelsdünger],_xlfn.AGGREGATE(15,6,(ROW(Liste_Handelsünger[Handelsdünger])-1)/(--(SEARCH(AZ$2,Liste_Handelsünger[Handelsdünger])&gt;0)),ROW()-2),1),"")</f>
        <v>AKRA organ. Flüssigdünger</v>
      </c>
      <c r="AZ160" t="str">
        <f>IF(($A168=""),"",IF(COUNTIF(Mineral!$AJ$3:$AJ$324,$A168),"",$A168))</f>
        <v/>
      </c>
      <c r="BA160" t="str">
        <f>IFERROR(INDEX(Liste_Handelsünger[Handelsdünger],_xlfn.AGGREGATE(15,6,(ROW(Liste_Handelsünger[Handelsdünger])-1)/(--(SEARCH(BB$2,Liste_Handelsünger[Handelsdünger])&gt;0)),ROW()-2),1),"")</f>
        <v>AKRA organ. Flüssigdünger</v>
      </c>
      <c r="BB160" t="str">
        <f>IF(($A169=""),"",IF(COUNTIF(Mineral!$AJ$3:$AJ$324,$A169),"",$A169))</f>
        <v/>
      </c>
      <c r="BC160" t="str">
        <f>IFERROR(INDEX(Liste_Handelsünger[Handelsdünger],_xlfn.AGGREGATE(15,6,(ROW(Liste_Handelsünger[Handelsdünger])-1)/(--(SEARCH(BD$2,Liste_Handelsünger[Handelsdünger])&gt;0)),ROW()-2),1),"")</f>
        <v>AKRA organ. Flüssigdünger</v>
      </c>
      <c r="BD160" t="str">
        <f>IF(($A170=""),"",IF(COUNTIF(Mineral!$AJ$3:$AJ$324,$A170),"",$A170))</f>
        <v/>
      </c>
      <c r="BE160" t="str">
        <f>IFERROR(INDEX(Liste_Handelsünger[Handelsdünger],_xlfn.AGGREGATE(15,6,(ROW(Liste_Handelsünger[Handelsdünger])-1)/(--(SEARCH(BF$2,Liste_Handelsünger[Handelsdünger])&gt;0)),ROW()-2),1),"")</f>
        <v>AKRA organ. Flüssigdünger</v>
      </c>
      <c r="BF160" t="str">
        <f>IF(($A171=""),"",IF(COUNTIF(Mineral!$AJ$3:$AJ$324,$A171),"",$A171))</f>
        <v/>
      </c>
      <c r="BG160" t="str">
        <f>IFERROR(INDEX(Liste_Handelsünger[Handelsdünger],_xlfn.AGGREGATE(15,6,(ROW(Liste_Handelsünger[Handelsdünger])-1)/(--(SEARCH(BH$2,Liste_Handelsünger[Handelsdünger])&gt;0)),ROW()-2),1),"")</f>
        <v>AKRA organ. Flüssigdünger</v>
      </c>
      <c r="BH160" t="str">
        <f>IF(($A172=""),"",IF(COUNTIF(Mineral!$AJ$3:$AJ$324,$A172),"",$A172))</f>
        <v/>
      </c>
      <c r="BI160" t="str">
        <f>IFERROR(INDEX(Liste_Handelsünger[Handelsdünger],_xlfn.AGGREGATE(15,6,(ROW(Liste_Handelsünger[Handelsdünger])-1)/(--(SEARCH(BJ$2,Liste_Handelsünger[Handelsdünger])&gt;0)),ROW()-2),1),"")</f>
        <v>AKRA organ. Flüssigdünger</v>
      </c>
      <c r="BJ160" t="str">
        <f>IF(($A173=""),"",IF(COUNTIF(Mineral!$AJ$3:$AJ$324,$A173),"",$A173))</f>
        <v/>
      </c>
      <c r="BK160" t="str">
        <f>IFERROR(INDEX(Liste_Handelsünger[Handelsdünger],_xlfn.AGGREGATE(15,6,(ROW(Liste_Handelsünger[Handelsdünger])-1)/(--(SEARCH(BL$2,Liste_Handelsünger[Handelsdünger])&gt;0)),ROW()-2),1),"")</f>
        <v>AKRA organ. Flüssigdünger</v>
      </c>
      <c r="BM160" t="str">
        <f>IFERROR(INDEX(Liste_Handelsünger[Handelsdünger],_xlfn.AGGREGATE(15,6,(ROW(Liste_Handelsünger[Handelsdünger])-1)/(--(SEARCH(BN$2,Liste_Handelsünger[Handelsdünger])&gt;0)),ROW()-2),1),"")</f>
        <v>AKRA organ. Flüssigdünger</v>
      </c>
      <c r="BN160" t="str">
        <f>IF(($A175=""),"",IF(COUNTIF(Mineral!$AJ$3:$AJ$324,$A175),"",$A175))</f>
        <v/>
      </c>
      <c r="BV160" t="s">
        <v>2029</v>
      </c>
      <c r="BW160" t="s">
        <v>2288</v>
      </c>
    </row>
    <row r="161" spans="19:75" ht="14.25" thickTop="1" thickBot="1">
      <c r="S161" s="1616">
        <v>160</v>
      </c>
      <c r="T161" s="1617" t="s">
        <v>2006</v>
      </c>
      <c r="U161" s="1617" t="s">
        <v>2030</v>
      </c>
      <c r="V161" s="1617" t="s">
        <v>408</v>
      </c>
      <c r="W161" s="1617">
        <v>0</v>
      </c>
      <c r="X161" s="1617">
        <v>0</v>
      </c>
      <c r="Y161" s="1617">
        <v>0</v>
      </c>
      <c r="Z161" s="1617">
        <v>2.5</v>
      </c>
      <c r="AA161" s="1617">
        <v>0</v>
      </c>
      <c r="AB161" s="1617">
        <v>0</v>
      </c>
      <c r="AC161" s="1617">
        <v>1</v>
      </c>
      <c r="AD161" s="1613">
        <v>1</v>
      </c>
      <c r="AE161" s="1617" t="s">
        <v>1764</v>
      </c>
      <c r="AF161" s="1613" t="str">
        <f t="shared" si="17"/>
        <v/>
      </c>
      <c r="AG161" s="1656">
        <f>IFERROR(IF($AF161&gt;0,VLOOKUP($U161,Tabelle1!$C$188:$L$212,5,0)*$AF161,0),0)</f>
        <v>0</v>
      </c>
      <c r="AH161" s="1656">
        <f t="shared" si="18"/>
        <v>0</v>
      </c>
      <c r="AJ161" t="str">
        <f>IF(Betrieb!$D$9="JA",Mineral!$BW161,Mineral!$BV161)</f>
        <v>AKRA Plus 9</v>
      </c>
      <c r="AK161" s="1672" t="str">
        <f>IFERROR(INDEX(Liste_Handelsünger[Handelsdünger],_xlfn.AGGREGATE(15,6,(ROW(Liste_Handelsünger[Handelsdünger])-1)/(--(SEARCH(AL$2,Liste_Handelsünger[Handelsdünger])&gt;0)),ROW()-2),1),"")</f>
        <v>AKRA Plus 9</v>
      </c>
      <c r="AL161" s="1672" t="str">
        <f>IF(($A$3=""),"",IF(COUNTIF(Mineral!$AJ$3:$AJ$324,$A$3),"",$A$3))</f>
        <v/>
      </c>
      <c r="AM161" s="1672" t="str">
        <f>IFERROR(INDEX(Liste_Handelsünger[Handelsdünger],_xlfn.AGGREGATE(15,6,(ROW(Liste_Handelsünger[Handelsdünger])-1)/(--(SEARCH(AN$2,Liste_Handelsünger[Handelsdünger])&gt;0)),ROW()-2),1),"")</f>
        <v>AKRA Plus 9</v>
      </c>
      <c r="AN161" t="str">
        <f>IF(($A163=""),"",IF(COUNTIF(Mineral!$AJ$3:$AJ$324,$A163),"",$A163))</f>
        <v/>
      </c>
      <c r="AO161" t="str">
        <f>IFERROR(INDEX(Liste_Handelsünger[Handelsdünger],_xlfn.AGGREGATE(15,6,(ROW(Liste_Handelsünger[Handelsdünger])-1)/(--(SEARCH(AP$2,Liste_Handelsünger[Handelsdünger])&gt;0)),ROW()-2),1),"")</f>
        <v>AKRA Plus 9</v>
      </c>
      <c r="AP161" t="str">
        <f>IF(($A164=""),"",IF(COUNTIF(Mineral!$AJ$3:$AJ$324,$A164),"",$A164))</f>
        <v/>
      </c>
      <c r="AQ161" t="str">
        <f>IFERROR(INDEX(Liste_Handelsünger[Handelsdünger],_xlfn.AGGREGATE(15,6,(ROW(Liste_Handelsünger[Handelsdünger])-1)/(--(SEARCH(AR$2,Liste_Handelsünger[Handelsdünger])&gt;0)),ROW()-2),1),"")</f>
        <v>AKRA Plus 9</v>
      </c>
      <c r="AR161" t="str">
        <f>IF(($A165=""),"",IF(COUNTIF(Mineral!$AJ$3:$AJ$324,$A165),"",$A165))</f>
        <v/>
      </c>
      <c r="AS161" t="str">
        <f>IFERROR(INDEX(Liste_Handelsünger[Handelsdünger],_xlfn.AGGREGATE(15,6,(ROW(Liste_Handelsünger[Handelsdünger])-1)/(--(SEARCH(AT$2,Liste_Handelsünger[Handelsdünger])&gt;0)),ROW()-2),1),"")</f>
        <v>AKRA Plus 9</v>
      </c>
      <c r="AT161" t="str">
        <f>IF(($A166=""),"",IF(COUNTIF(Mineral!$AJ$3:$AJ$324,$A166),"",$A166))</f>
        <v/>
      </c>
      <c r="AU161" t="str">
        <f>IFERROR(INDEX(Liste_Handelsünger[Handelsdünger],_xlfn.AGGREGATE(15,6,(ROW(Liste_Handelsünger[Handelsdünger])-1)/(--(SEARCH(AV$2,Liste_Handelsünger[Handelsdünger])&gt;0)),ROW()-2),1),"")</f>
        <v>AKRA Plus 9</v>
      </c>
      <c r="AV161" t="str">
        <f>IF(($A167=""),"",IF(COUNTIF(Mineral!$AJ$3:$AJ$324,$A167),"",$A167))</f>
        <v/>
      </c>
      <c r="AW161" t="str">
        <f>IFERROR(INDEX(Liste_Handelsünger[Handelsdünger],_xlfn.AGGREGATE(15,6,(ROW(Liste_Handelsünger[Handelsdünger])-1)/(--(SEARCH(AX$2,Liste_Handelsünger[Handelsdünger])&gt;0)),ROW()-2),1),"")</f>
        <v>AKRA Plus 9</v>
      </c>
      <c r="AX161" t="str">
        <f>IF(($A168=""),"",IF(COUNTIF(Mineral!$AJ$3:$AJ$324,$A168),"",$A168))</f>
        <v/>
      </c>
      <c r="AY161" t="str">
        <f>IFERROR(INDEX(Liste_Handelsünger[Handelsdünger],_xlfn.AGGREGATE(15,6,(ROW(Liste_Handelsünger[Handelsdünger])-1)/(--(SEARCH(AZ$2,Liste_Handelsünger[Handelsdünger])&gt;0)),ROW()-2),1),"")</f>
        <v>AKRA Plus 9</v>
      </c>
      <c r="AZ161" t="str">
        <f>IF(($A169=""),"",IF(COUNTIF(Mineral!$AJ$3:$AJ$324,$A169),"",$A169))</f>
        <v/>
      </c>
      <c r="BA161" t="str">
        <f>IFERROR(INDEX(Liste_Handelsünger[Handelsdünger],_xlfn.AGGREGATE(15,6,(ROW(Liste_Handelsünger[Handelsdünger])-1)/(--(SEARCH(BB$2,Liste_Handelsünger[Handelsdünger])&gt;0)),ROW()-2),1),"")</f>
        <v>AKRA Plus 9</v>
      </c>
      <c r="BB161" t="str">
        <f>IF(($A170=""),"",IF(COUNTIF(Mineral!$AJ$3:$AJ$324,$A170),"",$A170))</f>
        <v/>
      </c>
      <c r="BC161" t="str">
        <f>IFERROR(INDEX(Liste_Handelsünger[Handelsdünger],_xlfn.AGGREGATE(15,6,(ROW(Liste_Handelsünger[Handelsdünger])-1)/(--(SEARCH(BD$2,Liste_Handelsünger[Handelsdünger])&gt;0)),ROW()-2),1),"")</f>
        <v>AKRA Plus 9</v>
      </c>
      <c r="BD161" t="str">
        <f>IF(($A171=""),"",IF(COUNTIF(Mineral!$AJ$3:$AJ$324,$A171),"",$A171))</f>
        <v/>
      </c>
      <c r="BE161" t="str">
        <f>IFERROR(INDEX(Liste_Handelsünger[Handelsdünger],_xlfn.AGGREGATE(15,6,(ROW(Liste_Handelsünger[Handelsdünger])-1)/(--(SEARCH(BF$2,Liste_Handelsünger[Handelsdünger])&gt;0)),ROW()-2),1),"")</f>
        <v>AKRA Plus 9</v>
      </c>
      <c r="BF161" t="str">
        <f>IF(($A172=""),"",IF(COUNTIF(Mineral!$AJ$3:$AJ$324,$A172),"",$A172))</f>
        <v/>
      </c>
      <c r="BG161" t="str">
        <f>IFERROR(INDEX(Liste_Handelsünger[Handelsdünger],_xlfn.AGGREGATE(15,6,(ROW(Liste_Handelsünger[Handelsdünger])-1)/(--(SEARCH(BH$2,Liste_Handelsünger[Handelsdünger])&gt;0)),ROW()-2),1),"")</f>
        <v>AKRA Plus 9</v>
      </c>
      <c r="BH161" t="str">
        <f>IF(($A173=""),"",IF(COUNTIF(Mineral!$AJ$3:$AJ$324,$A173),"",$A173))</f>
        <v/>
      </c>
      <c r="BI161" t="str">
        <f>IFERROR(INDEX(Liste_Handelsünger[Handelsdünger],_xlfn.AGGREGATE(15,6,(ROW(Liste_Handelsünger[Handelsdünger])-1)/(--(SEARCH(BJ$2,Liste_Handelsünger[Handelsdünger])&gt;0)),ROW()-2),1),"")</f>
        <v>AKRA Plus 9</v>
      </c>
      <c r="BJ161" t="str">
        <f>IF(($A174=""),"",IF(COUNTIF(Mineral!$AJ$3:$AJ$324,$A174),"",$A174))</f>
        <v/>
      </c>
      <c r="BK161" t="str">
        <f>IFERROR(INDEX(Liste_Handelsünger[Handelsdünger],_xlfn.AGGREGATE(15,6,(ROW(Liste_Handelsünger[Handelsdünger])-1)/(--(SEARCH(BL$2,Liste_Handelsünger[Handelsdünger])&gt;0)),ROW()-2),1),"")</f>
        <v>AKRA Plus 9</v>
      </c>
      <c r="BM161" t="str">
        <f>IFERROR(INDEX(Liste_Handelsünger[Handelsdünger],_xlfn.AGGREGATE(15,6,(ROW(Liste_Handelsünger[Handelsdünger])-1)/(--(SEARCH(BN$2,Liste_Handelsünger[Handelsdünger])&gt;0)),ROW()-2),1),"")</f>
        <v>AKRA Plus 9</v>
      </c>
      <c r="BN161" t="str">
        <f>IF(($A176=""),"",IF(COUNTIF(Mineral!$AJ$3:$AJ$324,$A176),"",$A176))</f>
        <v/>
      </c>
      <c r="BV161" t="s">
        <v>2030</v>
      </c>
      <c r="BW161" t="s">
        <v>2292</v>
      </c>
    </row>
    <row r="162" spans="19:75" ht="14.25" thickTop="1" thickBot="1">
      <c r="S162" s="1676">
        <v>161</v>
      </c>
      <c r="T162" s="1606" t="s">
        <v>2006</v>
      </c>
      <c r="U162" s="1606" t="s">
        <v>2031</v>
      </c>
      <c r="V162" s="1606" t="s">
        <v>408</v>
      </c>
      <c r="W162" s="1606">
        <v>0</v>
      </c>
      <c r="X162" s="1606">
        <v>0</v>
      </c>
      <c r="Y162" s="1606">
        <v>0</v>
      </c>
      <c r="Z162" s="1606">
        <v>0</v>
      </c>
      <c r="AA162" s="1606">
        <v>0</v>
      </c>
      <c r="AB162" s="1606">
        <v>0.2</v>
      </c>
      <c r="AC162" s="1606">
        <v>1</v>
      </c>
      <c r="AD162" s="1613">
        <v>1</v>
      </c>
      <c r="AE162" s="1606" t="s">
        <v>1764</v>
      </c>
      <c r="AF162" s="1613" t="str">
        <f t="shared" si="17"/>
        <v/>
      </c>
      <c r="AG162" s="1656">
        <f>IFERROR(IF($AF162&gt;0,VLOOKUP($U162,Tabelle1!$C$188:$L$212,5,0)*$AF162,0),0)</f>
        <v>0</v>
      </c>
      <c r="AH162" s="1656">
        <f t="shared" si="18"/>
        <v>0</v>
      </c>
      <c r="AJ162" t="str">
        <f>IF(Betrieb!$D$9="JA",Mineral!$BW162,Mineral!$BV162)</f>
        <v>AKRA Saat</v>
      </c>
      <c r="AK162" s="1672" t="str">
        <f>IFERROR(INDEX(Liste_Handelsünger[Handelsdünger],_xlfn.AGGREGATE(15,6,(ROW(Liste_Handelsünger[Handelsdünger])-1)/(--(SEARCH(AL$2,Liste_Handelsünger[Handelsdünger])&gt;0)),ROW()-2),1),"")</f>
        <v>AKRA Saat</v>
      </c>
      <c r="AL162" s="1672" t="str">
        <f>IF(($A$3=""),"",IF(COUNTIF(Mineral!$AJ$3:$AJ$324,$A$3),"",$A$3))</f>
        <v/>
      </c>
      <c r="AM162" s="1672" t="str">
        <f>IFERROR(INDEX(Liste_Handelsünger[Handelsdünger],_xlfn.AGGREGATE(15,6,(ROW(Liste_Handelsünger[Handelsdünger])-1)/(--(SEARCH(AN$2,Liste_Handelsünger[Handelsdünger])&gt;0)),ROW()-2),1),"")</f>
        <v>AKRA Saat</v>
      </c>
      <c r="AN162" t="str">
        <f>IF(($A164=""),"",IF(COUNTIF(Mineral!$AJ$3:$AJ$324,$A164),"",$A164))</f>
        <v/>
      </c>
      <c r="AO162" t="str">
        <f>IFERROR(INDEX(Liste_Handelsünger[Handelsdünger],_xlfn.AGGREGATE(15,6,(ROW(Liste_Handelsünger[Handelsdünger])-1)/(--(SEARCH(AP$2,Liste_Handelsünger[Handelsdünger])&gt;0)),ROW()-2),1),"")</f>
        <v>AKRA Saat</v>
      </c>
      <c r="AP162" t="str">
        <f>IF(($A165=""),"",IF(COUNTIF(Mineral!$AJ$3:$AJ$324,$A165),"",$A165))</f>
        <v/>
      </c>
      <c r="AQ162" t="str">
        <f>IFERROR(INDEX(Liste_Handelsünger[Handelsdünger],_xlfn.AGGREGATE(15,6,(ROW(Liste_Handelsünger[Handelsdünger])-1)/(--(SEARCH(AR$2,Liste_Handelsünger[Handelsdünger])&gt;0)),ROW()-2),1),"")</f>
        <v>AKRA Saat</v>
      </c>
      <c r="AR162" t="str">
        <f>IF(($A166=""),"",IF(COUNTIF(Mineral!$AJ$3:$AJ$324,$A166),"",$A166))</f>
        <v/>
      </c>
      <c r="AS162" t="str">
        <f>IFERROR(INDEX(Liste_Handelsünger[Handelsdünger],_xlfn.AGGREGATE(15,6,(ROW(Liste_Handelsünger[Handelsdünger])-1)/(--(SEARCH(AT$2,Liste_Handelsünger[Handelsdünger])&gt;0)),ROW()-2),1),"")</f>
        <v>AKRA Saat</v>
      </c>
      <c r="AT162" t="str">
        <f>IF(($A167=""),"",IF(COUNTIF(Mineral!$AJ$3:$AJ$324,$A167),"",$A167))</f>
        <v/>
      </c>
      <c r="AU162" t="str">
        <f>IFERROR(INDEX(Liste_Handelsünger[Handelsdünger],_xlfn.AGGREGATE(15,6,(ROW(Liste_Handelsünger[Handelsdünger])-1)/(--(SEARCH(AV$2,Liste_Handelsünger[Handelsdünger])&gt;0)),ROW()-2),1),"")</f>
        <v>AKRA Saat</v>
      </c>
      <c r="AV162" t="str">
        <f>IF(($A168=""),"",IF(COUNTIF(Mineral!$AJ$3:$AJ$324,$A168),"",$A168))</f>
        <v/>
      </c>
      <c r="AW162" t="str">
        <f>IFERROR(INDEX(Liste_Handelsünger[Handelsdünger],_xlfn.AGGREGATE(15,6,(ROW(Liste_Handelsünger[Handelsdünger])-1)/(--(SEARCH(AX$2,Liste_Handelsünger[Handelsdünger])&gt;0)),ROW()-2),1),"")</f>
        <v>AKRA Saat</v>
      </c>
      <c r="AX162" t="str">
        <f>IF(($A169=""),"",IF(COUNTIF(Mineral!$AJ$3:$AJ$324,$A169),"",$A169))</f>
        <v/>
      </c>
      <c r="AY162" t="str">
        <f>IFERROR(INDEX(Liste_Handelsünger[Handelsdünger],_xlfn.AGGREGATE(15,6,(ROW(Liste_Handelsünger[Handelsdünger])-1)/(--(SEARCH(AZ$2,Liste_Handelsünger[Handelsdünger])&gt;0)),ROW()-2),1),"")</f>
        <v>AKRA Saat</v>
      </c>
      <c r="AZ162" t="str">
        <f>IF(($A170=""),"",IF(COUNTIF(Mineral!$AJ$3:$AJ$324,$A170),"",$A170))</f>
        <v/>
      </c>
      <c r="BA162" t="str">
        <f>IFERROR(INDEX(Liste_Handelsünger[Handelsdünger],_xlfn.AGGREGATE(15,6,(ROW(Liste_Handelsünger[Handelsdünger])-1)/(--(SEARCH(BB$2,Liste_Handelsünger[Handelsdünger])&gt;0)),ROW()-2),1),"")</f>
        <v>AKRA Saat</v>
      </c>
      <c r="BB162" t="str">
        <f>IF(($A171=""),"",IF(COUNTIF(Mineral!$AJ$3:$AJ$324,$A171),"",$A171))</f>
        <v/>
      </c>
      <c r="BC162" t="str">
        <f>IFERROR(INDEX(Liste_Handelsünger[Handelsdünger],_xlfn.AGGREGATE(15,6,(ROW(Liste_Handelsünger[Handelsdünger])-1)/(--(SEARCH(BD$2,Liste_Handelsünger[Handelsdünger])&gt;0)),ROW()-2),1),"")</f>
        <v>AKRA Saat</v>
      </c>
      <c r="BD162" t="str">
        <f>IF(($A172=""),"",IF(COUNTIF(Mineral!$AJ$3:$AJ$324,$A172),"",$A172))</f>
        <v/>
      </c>
      <c r="BE162" t="str">
        <f>IFERROR(INDEX(Liste_Handelsünger[Handelsdünger],_xlfn.AGGREGATE(15,6,(ROW(Liste_Handelsünger[Handelsdünger])-1)/(--(SEARCH(BF$2,Liste_Handelsünger[Handelsdünger])&gt;0)),ROW()-2),1),"")</f>
        <v>AKRA Saat</v>
      </c>
      <c r="BF162" t="str">
        <f>IF(($A173=""),"",IF(COUNTIF(Mineral!$AJ$3:$AJ$324,$A173),"",$A173))</f>
        <v/>
      </c>
      <c r="BG162" t="str">
        <f>IFERROR(INDEX(Liste_Handelsünger[Handelsdünger],_xlfn.AGGREGATE(15,6,(ROW(Liste_Handelsünger[Handelsdünger])-1)/(--(SEARCH(BH$2,Liste_Handelsünger[Handelsdünger])&gt;0)),ROW()-2),1),"")</f>
        <v>AKRA Saat</v>
      </c>
      <c r="BH162" t="str">
        <f>IF(($A174=""),"",IF(COUNTIF(Mineral!$AJ$3:$AJ$324,$A174),"",$A174))</f>
        <v/>
      </c>
      <c r="BI162" t="str">
        <f>IFERROR(INDEX(Liste_Handelsünger[Handelsdünger],_xlfn.AGGREGATE(15,6,(ROW(Liste_Handelsünger[Handelsdünger])-1)/(--(SEARCH(BJ$2,Liste_Handelsünger[Handelsdünger])&gt;0)),ROW()-2),1),"")</f>
        <v>AKRA Saat</v>
      </c>
      <c r="BJ162" t="str">
        <f>IF(($A175=""),"",IF(COUNTIF(Mineral!$AJ$3:$AJ$324,$A175),"",$A175))</f>
        <v/>
      </c>
      <c r="BK162" t="str">
        <f>IFERROR(INDEX(Liste_Handelsünger[Handelsdünger],_xlfn.AGGREGATE(15,6,(ROW(Liste_Handelsünger[Handelsdünger])-1)/(--(SEARCH(BL$2,Liste_Handelsünger[Handelsdünger])&gt;0)),ROW()-2),1),"")</f>
        <v>AKRA Saat</v>
      </c>
      <c r="BM162" t="str">
        <f>IFERROR(INDEX(Liste_Handelsünger[Handelsdünger],_xlfn.AGGREGATE(15,6,(ROW(Liste_Handelsünger[Handelsdünger])-1)/(--(SEARCH(BN$2,Liste_Handelsünger[Handelsdünger])&gt;0)),ROW()-2),1),"")</f>
        <v>AKRA Saat</v>
      </c>
      <c r="BN162" t="str">
        <f>IF(($A177=""),"",IF(COUNTIF(Mineral!$AJ$3:$AJ$324,$A177),"",$A177))</f>
        <v/>
      </c>
      <c r="BV162" t="s">
        <v>2031</v>
      </c>
      <c r="BW162" t="s">
        <v>2293</v>
      </c>
    </row>
    <row r="163" spans="19:75" ht="14.25" thickTop="1" thickBot="1">
      <c r="S163" s="1616">
        <v>162</v>
      </c>
      <c r="T163" s="1617" t="s">
        <v>2006</v>
      </c>
      <c r="U163" s="1617" t="s">
        <v>2032</v>
      </c>
      <c r="V163" s="1617" t="s">
        <v>408</v>
      </c>
      <c r="W163" s="1617">
        <v>0</v>
      </c>
      <c r="X163" s="1617">
        <v>2</v>
      </c>
      <c r="Y163" s="1617">
        <v>0</v>
      </c>
      <c r="Z163" s="1617">
        <v>0</v>
      </c>
      <c r="AA163" s="1617">
        <v>13</v>
      </c>
      <c r="AB163" s="1617">
        <v>9</v>
      </c>
      <c r="AC163" s="1617">
        <v>1</v>
      </c>
      <c r="AD163" s="1613">
        <v>1</v>
      </c>
      <c r="AE163" s="1617" t="s">
        <v>1764</v>
      </c>
      <c r="AF163" s="1613" t="str">
        <f t="shared" si="17"/>
        <v/>
      </c>
      <c r="AG163" s="1656">
        <f>IFERROR(IF($AF163&gt;0,VLOOKUP($U163,Tabelle1!$C$188:$L$212,5,0)*$AF163,0),0)</f>
        <v>0</v>
      </c>
      <c r="AH163" s="1656">
        <f t="shared" si="18"/>
        <v>0</v>
      </c>
      <c r="AJ163" t="str">
        <f>IF(Betrieb!$D$9="JA",Mineral!$BW163,Mineral!$BV163)</f>
        <v>AKRA Start</v>
      </c>
      <c r="AK163" s="1672" t="str">
        <f>IFERROR(INDEX(Liste_Handelsünger[Handelsdünger],_xlfn.AGGREGATE(15,6,(ROW(Liste_Handelsünger[Handelsdünger])-1)/(--(SEARCH(AL$2,Liste_Handelsünger[Handelsdünger])&gt;0)),ROW()-2),1),"")</f>
        <v>AKRA Start</v>
      </c>
      <c r="AL163" s="1672" t="str">
        <f>IF(($A$3=""),"",IF(COUNTIF(Mineral!$AJ$3:$AJ$324,$A$3),"",$A$3))</f>
        <v/>
      </c>
      <c r="AM163" s="1672" t="str">
        <f>IFERROR(INDEX(Liste_Handelsünger[Handelsdünger],_xlfn.AGGREGATE(15,6,(ROW(Liste_Handelsünger[Handelsdünger])-1)/(--(SEARCH(AN$2,Liste_Handelsünger[Handelsdünger])&gt;0)),ROW()-2),1),"")</f>
        <v>AKRA Start</v>
      </c>
      <c r="AN163" t="str">
        <f>IF(($A165=""),"",IF(COUNTIF(Mineral!$AJ$3:$AJ$324,$A165),"",$A165))</f>
        <v/>
      </c>
      <c r="AO163" t="str">
        <f>IFERROR(INDEX(Liste_Handelsünger[Handelsdünger],_xlfn.AGGREGATE(15,6,(ROW(Liste_Handelsünger[Handelsdünger])-1)/(--(SEARCH(AP$2,Liste_Handelsünger[Handelsdünger])&gt;0)),ROW()-2),1),"")</f>
        <v>AKRA Start</v>
      </c>
      <c r="AP163" t="str">
        <f>IF(($A166=""),"",IF(COUNTIF(Mineral!$AJ$3:$AJ$324,$A166),"",$A166))</f>
        <v/>
      </c>
      <c r="AQ163" t="str">
        <f>IFERROR(INDEX(Liste_Handelsünger[Handelsdünger],_xlfn.AGGREGATE(15,6,(ROW(Liste_Handelsünger[Handelsdünger])-1)/(--(SEARCH(AR$2,Liste_Handelsünger[Handelsdünger])&gt;0)),ROW()-2),1),"")</f>
        <v>AKRA Start</v>
      </c>
      <c r="AR163" t="str">
        <f>IF(($A167=""),"",IF(COUNTIF(Mineral!$AJ$3:$AJ$324,$A167),"",$A167))</f>
        <v/>
      </c>
      <c r="AS163" t="str">
        <f>IFERROR(INDEX(Liste_Handelsünger[Handelsdünger],_xlfn.AGGREGATE(15,6,(ROW(Liste_Handelsünger[Handelsdünger])-1)/(--(SEARCH(AT$2,Liste_Handelsünger[Handelsdünger])&gt;0)),ROW()-2),1),"")</f>
        <v>AKRA Start</v>
      </c>
      <c r="AT163" t="str">
        <f>IF(($A168=""),"",IF(COUNTIF(Mineral!$AJ$3:$AJ$324,$A168),"",$A168))</f>
        <v/>
      </c>
      <c r="AU163" t="str">
        <f>IFERROR(INDEX(Liste_Handelsünger[Handelsdünger],_xlfn.AGGREGATE(15,6,(ROW(Liste_Handelsünger[Handelsdünger])-1)/(--(SEARCH(AV$2,Liste_Handelsünger[Handelsdünger])&gt;0)),ROW()-2),1),"")</f>
        <v>AKRA Start</v>
      </c>
      <c r="AV163" t="str">
        <f>IF(($A169=""),"",IF(COUNTIF(Mineral!$AJ$3:$AJ$324,$A169),"",$A169))</f>
        <v/>
      </c>
      <c r="AW163" t="str">
        <f>IFERROR(INDEX(Liste_Handelsünger[Handelsdünger],_xlfn.AGGREGATE(15,6,(ROW(Liste_Handelsünger[Handelsdünger])-1)/(--(SEARCH(AX$2,Liste_Handelsünger[Handelsdünger])&gt;0)),ROW()-2),1),"")</f>
        <v>AKRA Start</v>
      </c>
      <c r="AX163" t="str">
        <f>IF(($A170=""),"",IF(COUNTIF(Mineral!$AJ$3:$AJ$324,$A170),"",$A170))</f>
        <v/>
      </c>
      <c r="AY163" t="str">
        <f>IFERROR(INDEX(Liste_Handelsünger[Handelsdünger],_xlfn.AGGREGATE(15,6,(ROW(Liste_Handelsünger[Handelsdünger])-1)/(--(SEARCH(AZ$2,Liste_Handelsünger[Handelsdünger])&gt;0)),ROW()-2),1),"")</f>
        <v>AKRA Start</v>
      </c>
      <c r="AZ163" t="str">
        <f>IF(($A171=""),"",IF(COUNTIF(Mineral!$AJ$3:$AJ$324,$A171),"",$A171))</f>
        <v/>
      </c>
      <c r="BA163" t="str">
        <f>IFERROR(INDEX(Liste_Handelsünger[Handelsdünger],_xlfn.AGGREGATE(15,6,(ROW(Liste_Handelsünger[Handelsdünger])-1)/(--(SEARCH(BB$2,Liste_Handelsünger[Handelsdünger])&gt;0)),ROW()-2),1),"")</f>
        <v>AKRA Start</v>
      </c>
      <c r="BB163" t="str">
        <f>IF(($A172=""),"",IF(COUNTIF(Mineral!$AJ$3:$AJ$324,$A172),"",$A172))</f>
        <v/>
      </c>
      <c r="BC163" t="str">
        <f>IFERROR(INDEX(Liste_Handelsünger[Handelsdünger],_xlfn.AGGREGATE(15,6,(ROW(Liste_Handelsünger[Handelsdünger])-1)/(--(SEARCH(BD$2,Liste_Handelsünger[Handelsdünger])&gt;0)),ROW()-2),1),"")</f>
        <v>AKRA Start</v>
      </c>
      <c r="BD163" t="str">
        <f>IF(($A173=""),"",IF(COUNTIF(Mineral!$AJ$3:$AJ$324,$A173),"",$A173))</f>
        <v/>
      </c>
      <c r="BE163" t="str">
        <f>IFERROR(INDEX(Liste_Handelsünger[Handelsdünger],_xlfn.AGGREGATE(15,6,(ROW(Liste_Handelsünger[Handelsdünger])-1)/(--(SEARCH(BF$2,Liste_Handelsünger[Handelsdünger])&gt;0)),ROW()-2),1),"")</f>
        <v>AKRA Start</v>
      </c>
      <c r="BF163" t="str">
        <f>IF(($A174=""),"",IF(COUNTIF(Mineral!$AJ$3:$AJ$324,$A174),"",$A174))</f>
        <v/>
      </c>
      <c r="BG163" t="str">
        <f>IFERROR(INDEX(Liste_Handelsünger[Handelsdünger],_xlfn.AGGREGATE(15,6,(ROW(Liste_Handelsünger[Handelsdünger])-1)/(--(SEARCH(BH$2,Liste_Handelsünger[Handelsdünger])&gt;0)),ROW()-2),1),"")</f>
        <v>AKRA Start</v>
      </c>
      <c r="BH163" t="str">
        <f>IF(($A175=""),"",IF(COUNTIF(Mineral!$AJ$3:$AJ$324,$A175),"",$A175))</f>
        <v/>
      </c>
      <c r="BI163" t="str">
        <f>IFERROR(INDEX(Liste_Handelsünger[Handelsdünger],_xlfn.AGGREGATE(15,6,(ROW(Liste_Handelsünger[Handelsdünger])-1)/(--(SEARCH(BJ$2,Liste_Handelsünger[Handelsdünger])&gt;0)),ROW()-2),1),"")</f>
        <v>AKRA Start</v>
      </c>
      <c r="BJ163" t="str">
        <f>IF(($A176=""),"",IF(COUNTIF(Mineral!$AJ$3:$AJ$324,$A176),"",$A176))</f>
        <v/>
      </c>
      <c r="BK163" t="str">
        <f>IFERROR(INDEX(Liste_Handelsünger[Handelsdünger],_xlfn.AGGREGATE(15,6,(ROW(Liste_Handelsünger[Handelsdünger])-1)/(--(SEARCH(BL$2,Liste_Handelsünger[Handelsdünger])&gt;0)),ROW()-2),1),"")</f>
        <v>AKRA Start</v>
      </c>
      <c r="BM163" t="str">
        <f>IFERROR(INDEX(Liste_Handelsünger[Handelsdünger],_xlfn.AGGREGATE(15,6,(ROW(Liste_Handelsünger[Handelsdünger])-1)/(--(SEARCH(BN$2,Liste_Handelsünger[Handelsdünger])&gt;0)),ROW()-2),1),"")</f>
        <v>AKRA Start</v>
      </c>
      <c r="BN163" t="str">
        <f>IF(($A178=""),"",IF(COUNTIF(Mineral!$AJ$3:$AJ$324,$A178),"",$A178))</f>
        <v/>
      </c>
      <c r="BV163" t="s">
        <v>2032</v>
      </c>
      <c r="BW163" t="s">
        <v>2294</v>
      </c>
    </row>
    <row r="164" spans="19:75" ht="14.25" thickTop="1" thickBot="1">
      <c r="S164" s="1676">
        <v>163</v>
      </c>
      <c r="T164" s="1606" t="s">
        <v>2006</v>
      </c>
      <c r="U164" s="1606" t="s">
        <v>2033</v>
      </c>
      <c r="V164" s="1606" t="s">
        <v>408</v>
      </c>
      <c r="W164" s="1606">
        <v>0</v>
      </c>
      <c r="X164" s="1606">
        <v>0</v>
      </c>
      <c r="Y164" s="1606">
        <v>0</v>
      </c>
      <c r="Z164" s="1606">
        <v>0</v>
      </c>
      <c r="AA164" s="1606">
        <v>0</v>
      </c>
      <c r="AB164" s="1606">
        <v>0</v>
      </c>
      <c r="AC164" s="1606">
        <v>1</v>
      </c>
      <c r="AD164" s="1613">
        <v>1</v>
      </c>
      <c r="AE164" s="1606" t="s">
        <v>1764</v>
      </c>
      <c r="AF164" s="1613" t="str">
        <f t="shared" si="17"/>
        <v/>
      </c>
      <c r="AG164" s="1656">
        <f>IFERROR(IF($AF164&gt;0,VLOOKUP($U164,Tabelle1!$C$188:$L$212,5,0)*$AF164,0),0)</f>
        <v>0</v>
      </c>
      <c r="AH164" s="1656">
        <f t="shared" si="18"/>
        <v>0</v>
      </c>
      <c r="AJ164" t="str">
        <f>IF(Betrieb!$D$9="JA",Mineral!$BW164,Mineral!$BV164)</f>
        <v>AKRA Stroh R. + P</v>
      </c>
      <c r="AK164" s="1672" t="str">
        <f>IFERROR(INDEX(Liste_Handelsünger[Handelsdünger],_xlfn.AGGREGATE(15,6,(ROW(Liste_Handelsünger[Handelsdünger])-1)/(--(SEARCH(AL$2,Liste_Handelsünger[Handelsdünger])&gt;0)),ROW()-2),1),"")</f>
        <v>AKRA Stroh R. + P</v>
      </c>
      <c r="AL164" s="1672" t="str">
        <f>IF(($A$3=""),"",IF(COUNTIF(Mineral!$AJ$3:$AJ$324,$A$3),"",$A$3))</f>
        <v/>
      </c>
      <c r="AM164" s="1672" t="str">
        <f>IFERROR(INDEX(Liste_Handelsünger[Handelsdünger],_xlfn.AGGREGATE(15,6,(ROW(Liste_Handelsünger[Handelsdünger])-1)/(--(SEARCH(AN$2,Liste_Handelsünger[Handelsdünger])&gt;0)),ROW()-2),1),"")</f>
        <v>AKRA Stroh R. + P</v>
      </c>
      <c r="AN164" t="str">
        <f>IF(($A166=""),"",IF(COUNTIF(Mineral!$AJ$3:$AJ$324,$A166),"",$A166))</f>
        <v/>
      </c>
      <c r="AO164" t="str">
        <f>IFERROR(INDEX(Liste_Handelsünger[Handelsdünger],_xlfn.AGGREGATE(15,6,(ROW(Liste_Handelsünger[Handelsdünger])-1)/(--(SEARCH(AP$2,Liste_Handelsünger[Handelsdünger])&gt;0)),ROW()-2),1),"")</f>
        <v>AKRA Stroh R. + P</v>
      </c>
      <c r="AP164" t="str">
        <f>IF(($A167=""),"",IF(COUNTIF(Mineral!$AJ$3:$AJ$324,$A167),"",$A167))</f>
        <v/>
      </c>
      <c r="AQ164" t="str">
        <f>IFERROR(INDEX(Liste_Handelsünger[Handelsdünger],_xlfn.AGGREGATE(15,6,(ROW(Liste_Handelsünger[Handelsdünger])-1)/(--(SEARCH(AR$2,Liste_Handelsünger[Handelsdünger])&gt;0)),ROW()-2),1),"")</f>
        <v>AKRA Stroh R. + P</v>
      </c>
      <c r="AR164" t="str">
        <f>IF(($A168=""),"",IF(COUNTIF(Mineral!$AJ$3:$AJ$324,$A168),"",$A168))</f>
        <v/>
      </c>
      <c r="AS164" t="str">
        <f>IFERROR(INDEX(Liste_Handelsünger[Handelsdünger],_xlfn.AGGREGATE(15,6,(ROW(Liste_Handelsünger[Handelsdünger])-1)/(--(SEARCH(AT$2,Liste_Handelsünger[Handelsdünger])&gt;0)),ROW()-2),1),"")</f>
        <v>AKRA Stroh R. + P</v>
      </c>
      <c r="AT164" t="str">
        <f>IF(($A169=""),"",IF(COUNTIF(Mineral!$AJ$3:$AJ$324,$A169),"",$A169))</f>
        <v/>
      </c>
      <c r="AU164" t="str">
        <f>IFERROR(INDEX(Liste_Handelsünger[Handelsdünger],_xlfn.AGGREGATE(15,6,(ROW(Liste_Handelsünger[Handelsdünger])-1)/(--(SEARCH(AV$2,Liste_Handelsünger[Handelsdünger])&gt;0)),ROW()-2),1),"")</f>
        <v>AKRA Stroh R. + P</v>
      </c>
      <c r="AV164" t="str">
        <f>IF(($A170=""),"",IF(COUNTIF(Mineral!$AJ$3:$AJ$324,$A170),"",$A170))</f>
        <v/>
      </c>
      <c r="AW164" t="str">
        <f>IFERROR(INDEX(Liste_Handelsünger[Handelsdünger],_xlfn.AGGREGATE(15,6,(ROW(Liste_Handelsünger[Handelsdünger])-1)/(--(SEARCH(AX$2,Liste_Handelsünger[Handelsdünger])&gt;0)),ROW()-2),1),"")</f>
        <v>AKRA Stroh R. + P</v>
      </c>
      <c r="AX164" t="str">
        <f>IF(($A171=""),"",IF(COUNTIF(Mineral!$AJ$3:$AJ$324,$A171),"",$A171))</f>
        <v/>
      </c>
      <c r="AY164" t="str">
        <f>IFERROR(INDEX(Liste_Handelsünger[Handelsdünger],_xlfn.AGGREGATE(15,6,(ROW(Liste_Handelsünger[Handelsdünger])-1)/(--(SEARCH(AZ$2,Liste_Handelsünger[Handelsdünger])&gt;0)),ROW()-2),1),"")</f>
        <v>AKRA Stroh R. + P</v>
      </c>
      <c r="AZ164" t="str">
        <f>IF(($A172=""),"",IF(COUNTIF(Mineral!$AJ$3:$AJ$324,$A172),"",$A172))</f>
        <v/>
      </c>
      <c r="BA164" t="str">
        <f>IFERROR(INDEX(Liste_Handelsünger[Handelsdünger],_xlfn.AGGREGATE(15,6,(ROW(Liste_Handelsünger[Handelsdünger])-1)/(--(SEARCH(BB$2,Liste_Handelsünger[Handelsdünger])&gt;0)),ROW()-2),1),"")</f>
        <v>AKRA Stroh R. + P</v>
      </c>
      <c r="BB164" t="str">
        <f>IF(($A173=""),"",IF(COUNTIF(Mineral!$AJ$3:$AJ$324,$A173),"",$A173))</f>
        <v/>
      </c>
      <c r="BC164" t="str">
        <f>IFERROR(INDEX(Liste_Handelsünger[Handelsdünger],_xlfn.AGGREGATE(15,6,(ROW(Liste_Handelsünger[Handelsdünger])-1)/(--(SEARCH(BD$2,Liste_Handelsünger[Handelsdünger])&gt;0)),ROW()-2),1),"")</f>
        <v>AKRA Stroh R. + P</v>
      </c>
      <c r="BD164" t="str">
        <f>IF(($A174=""),"",IF(COUNTIF(Mineral!$AJ$3:$AJ$324,$A174),"",$A174))</f>
        <v/>
      </c>
      <c r="BE164" t="str">
        <f>IFERROR(INDEX(Liste_Handelsünger[Handelsdünger],_xlfn.AGGREGATE(15,6,(ROW(Liste_Handelsünger[Handelsdünger])-1)/(--(SEARCH(BF$2,Liste_Handelsünger[Handelsdünger])&gt;0)),ROW()-2),1),"")</f>
        <v>AKRA Stroh R. + P</v>
      </c>
      <c r="BF164" t="str">
        <f>IF(($A175=""),"",IF(COUNTIF(Mineral!$AJ$3:$AJ$324,$A175),"",$A175))</f>
        <v/>
      </c>
      <c r="BG164" t="str">
        <f>IFERROR(INDEX(Liste_Handelsünger[Handelsdünger],_xlfn.AGGREGATE(15,6,(ROW(Liste_Handelsünger[Handelsdünger])-1)/(--(SEARCH(BH$2,Liste_Handelsünger[Handelsdünger])&gt;0)),ROW()-2),1),"")</f>
        <v>AKRA Stroh R. + P</v>
      </c>
      <c r="BH164" t="str">
        <f>IF(($A176=""),"",IF(COUNTIF(Mineral!$AJ$3:$AJ$324,$A176),"",$A176))</f>
        <v/>
      </c>
      <c r="BI164" t="str">
        <f>IFERROR(INDEX(Liste_Handelsünger[Handelsdünger],_xlfn.AGGREGATE(15,6,(ROW(Liste_Handelsünger[Handelsdünger])-1)/(--(SEARCH(BJ$2,Liste_Handelsünger[Handelsdünger])&gt;0)),ROW()-2),1),"")</f>
        <v>AKRA Stroh R. + P</v>
      </c>
      <c r="BJ164" t="str">
        <f>IF(($A177=""),"",IF(COUNTIF(Mineral!$AJ$3:$AJ$324,$A177),"",$A177))</f>
        <v/>
      </c>
      <c r="BK164" t="str">
        <f>IFERROR(INDEX(Liste_Handelsünger[Handelsdünger],_xlfn.AGGREGATE(15,6,(ROW(Liste_Handelsünger[Handelsdünger])-1)/(--(SEARCH(BL$2,Liste_Handelsünger[Handelsdünger])&gt;0)),ROW()-2),1),"")</f>
        <v>AKRA Stroh R. + P</v>
      </c>
      <c r="BM164" t="str">
        <f>IFERROR(INDEX(Liste_Handelsünger[Handelsdünger],_xlfn.AGGREGATE(15,6,(ROW(Liste_Handelsünger[Handelsdünger])-1)/(--(SEARCH(BN$2,Liste_Handelsünger[Handelsdünger])&gt;0)),ROW()-2),1),"")</f>
        <v>AKRA Stroh R. + P</v>
      </c>
      <c r="BN164" t="str">
        <f>IF(($A179=""),"",IF(COUNTIF(Mineral!$AJ$3:$AJ$324,$A179),"",$A179))</f>
        <v/>
      </c>
      <c r="BV164" t="s">
        <v>2033</v>
      </c>
      <c r="BW164" t="s">
        <v>2295</v>
      </c>
    </row>
    <row r="165" spans="19:75" ht="14.25" thickTop="1" thickBot="1">
      <c r="S165" s="1616">
        <v>164</v>
      </c>
      <c r="T165" s="1617" t="s">
        <v>2006</v>
      </c>
      <c r="U165" s="1617" t="s">
        <v>2034</v>
      </c>
      <c r="V165" s="1617" t="s">
        <v>408</v>
      </c>
      <c r="W165" s="1617">
        <v>0</v>
      </c>
      <c r="X165" s="1617">
        <v>0</v>
      </c>
      <c r="Y165" s="1617">
        <v>0</v>
      </c>
      <c r="Z165" s="1617">
        <v>0</v>
      </c>
      <c r="AA165" s="1617">
        <v>0</v>
      </c>
      <c r="AB165" s="1617">
        <v>0</v>
      </c>
      <c r="AC165" s="1617">
        <v>1</v>
      </c>
      <c r="AD165" s="1613">
        <v>1</v>
      </c>
      <c r="AE165" s="1617" t="s">
        <v>1764</v>
      </c>
      <c r="AF165" s="1613" t="str">
        <f t="shared" si="17"/>
        <v/>
      </c>
      <c r="AG165" s="1656">
        <f>IFERROR(IF($AF165&gt;0,VLOOKUP($U165,Tabelle1!$C$188:$L$212,5,0)*$AF165,0),0)</f>
        <v>0</v>
      </c>
      <c r="AH165" s="1656">
        <f t="shared" si="18"/>
        <v>0</v>
      </c>
      <c r="AJ165" t="str">
        <f>IF(Betrieb!$D$9="JA",Mineral!$BW165,Mineral!$BV165)</f>
        <v>AKRA WD</v>
      </c>
      <c r="AK165" s="1672" t="str">
        <f>IFERROR(INDEX(Liste_Handelsünger[Handelsdünger],_xlfn.AGGREGATE(15,6,(ROW(Liste_Handelsünger[Handelsdünger])-1)/(--(SEARCH(AL$2,Liste_Handelsünger[Handelsdünger])&gt;0)),ROW()-2),1),"")</f>
        <v>AKRA WD</v>
      </c>
      <c r="AL165" s="1672" t="str">
        <f>IF(($A$3=""),"",IF(COUNTIF(Mineral!$AJ$3:$AJ$324,$A$3),"",$A$3))</f>
        <v/>
      </c>
      <c r="AM165" s="1672" t="str">
        <f>IFERROR(INDEX(Liste_Handelsünger[Handelsdünger],_xlfn.AGGREGATE(15,6,(ROW(Liste_Handelsünger[Handelsdünger])-1)/(--(SEARCH(AN$2,Liste_Handelsünger[Handelsdünger])&gt;0)),ROW()-2),1),"")</f>
        <v>AKRA WD</v>
      </c>
      <c r="AN165" t="str">
        <f>IF(($A167=""),"",IF(COUNTIF(Mineral!$AJ$3:$AJ$324,$A167),"",$A167))</f>
        <v/>
      </c>
      <c r="AO165" t="str">
        <f>IFERROR(INDEX(Liste_Handelsünger[Handelsdünger],_xlfn.AGGREGATE(15,6,(ROW(Liste_Handelsünger[Handelsdünger])-1)/(--(SEARCH(AP$2,Liste_Handelsünger[Handelsdünger])&gt;0)),ROW()-2),1),"")</f>
        <v>AKRA WD</v>
      </c>
      <c r="AP165" t="str">
        <f>IF(($A168=""),"",IF(COUNTIF(Mineral!$AJ$3:$AJ$324,$A168),"",$A168))</f>
        <v/>
      </c>
      <c r="AQ165" t="str">
        <f>IFERROR(INDEX(Liste_Handelsünger[Handelsdünger],_xlfn.AGGREGATE(15,6,(ROW(Liste_Handelsünger[Handelsdünger])-1)/(--(SEARCH(AR$2,Liste_Handelsünger[Handelsdünger])&gt;0)),ROW()-2),1),"")</f>
        <v>AKRA WD</v>
      </c>
      <c r="AR165" t="str">
        <f>IF(($A169=""),"",IF(COUNTIF(Mineral!$AJ$3:$AJ$324,$A169),"",$A169))</f>
        <v/>
      </c>
      <c r="AS165" t="str">
        <f>IFERROR(INDEX(Liste_Handelsünger[Handelsdünger],_xlfn.AGGREGATE(15,6,(ROW(Liste_Handelsünger[Handelsdünger])-1)/(--(SEARCH(AT$2,Liste_Handelsünger[Handelsdünger])&gt;0)),ROW()-2),1),"")</f>
        <v>AKRA WD</v>
      </c>
      <c r="AT165" t="str">
        <f>IF(($A170=""),"",IF(COUNTIF(Mineral!$AJ$3:$AJ$324,$A170),"",$A170))</f>
        <v/>
      </c>
      <c r="AU165" t="str">
        <f>IFERROR(INDEX(Liste_Handelsünger[Handelsdünger],_xlfn.AGGREGATE(15,6,(ROW(Liste_Handelsünger[Handelsdünger])-1)/(--(SEARCH(AV$2,Liste_Handelsünger[Handelsdünger])&gt;0)),ROW()-2),1),"")</f>
        <v>AKRA WD</v>
      </c>
      <c r="AV165" t="str">
        <f>IF(($A171=""),"",IF(COUNTIF(Mineral!$AJ$3:$AJ$324,$A171),"",$A171))</f>
        <v/>
      </c>
      <c r="AW165" t="str">
        <f>IFERROR(INDEX(Liste_Handelsünger[Handelsdünger],_xlfn.AGGREGATE(15,6,(ROW(Liste_Handelsünger[Handelsdünger])-1)/(--(SEARCH(AX$2,Liste_Handelsünger[Handelsdünger])&gt;0)),ROW()-2),1),"")</f>
        <v>AKRA WD</v>
      </c>
      <c r="AX165" t="str">
        <f>IF(($A172=""),"",IF(COUNTIF(Mineral!$AJ$3:$AJ$324,$A172),"",$A172))</f>
        <v/>
      </c>
      <c r="AY165" t="str">
        <f>IFERROR(INDEX(Liste_Handelsünger[Handelsdünger],_xlfn.AGGREGATE(15,6,(ROW(Liste_Handelsünger[Handelsdünger])-1)/(--(SEARCH(AZ$2,Liste_Handelsünger[Handelsdünger])&gt;0)),ROW()-2),1),"")</f>
        <v>AKRA WD</v>
      </c>
      <c r="AZ165" t="str">
        <f>IF(($A173=""),"",IF(COUNTIF(Mineral!$AJ$3:$AJ$324,$A173),"",$A173))</f>
        <v/>
      </c>
      <c r="BA165" t="str">
        <f>IFERROR(INDEX(Liste_Handelsünger[Handelsdünger],_xlfn.AGGREGATE(15,6,(ROW(Liste_Handelsünger[Handelsdünger])-1)/(--(SEARCH(BB$2,Liste_Handelsünger[Handelsdünger])&gt;0)),ROW()-2),1),"")</f>
        <v>AKRA WD</v>
      </c>
      <c r="BB165" t="str">
        <f>IF(($A174=""),"",IF(COUNTIF(Mineral!$AJ$3:$AJ$324,$A174),"",$A174))</f>
        <v/>
      </c>
      <c r="BC165" t="str">
        <f>IFERROR(INDEX(Liste_Handelsünger[Handelsdünger],_xlfn.AGGREGATE(15,6,(ROW(Liste_Handelsünger[Handelsdünger])-1)/(--(SEARCH(BD$2,Liste_Handelsünger[Handelsdünger])&gt;0)),ROW()-2),1),"")</f>
        <v>AKRA WD</v>
      </c>
      <c r="BD165" t="str">
        <f>IF(($A175=""),"",IF(COUNTIF(Mineral!$AJ$3:$AJ$324,$A175),"",$A175))</f>
        <v/>
      </c>
      <c r="BE165" t="str">
        <f>IFERROR(INDEX(Liste_Handelsünger[Handelsdünger],_xlfn.AGGREGATE(15,6,(ROW(Liste_Handelsünger[Handelsdünger])-1)/(--(SEARCH(BF$2,Liste_Handelsünger[Handelsdünger])&gt;0)),ROW()-2),1),"")</f>
        <v>AKRA WD</v>
      </c>
      <c r="BF165" t="str">
        <f>IF(($A176=""),"",IF(COUNTIF(Mineral!$AJ$3:$AJ$324,$A176),"",$A176))</f>
        <v/>
      </c>
      <c r="BG165" t="str">
        <f>IFERROR(INDEX(Liste_Handelsünger[Handelsdünger],_xlfn.AGGREGATE(15,6,(ROW(Liste_Handelsünger[Handelsdünger])-1)/(--(SEARCH(BH$2,Liste_Handelsünger[Handelsdünger])&gt;0)),ROW()-2),1),"")</f>
        <v>AKRA WD</v>
      </c>
      <c r="BH165" t="str">
        <f>IF(($A177=""),"",IF(COUNTIF(Mineral!$AJ$3:$AJ$324,$A177),"",$A177))</f>
        <v/>
      </c>
      <c r="BI165" t="str">
        <f>IFERROR(INDEX(Liste_Handelsünger[Handelsdünger],_xlfn.AGGREGATE(15,6,(ROW(Liste_Handelsünger[Handelsdünger])-1)/(--(SEARCH(BJ$2,Liste_Handelsünger[Handelsdünger])&gt;0)),ROW()-2),1),"")</f>
        <v>AKRA WD</v>
      </c>
      <c r="BJ165" t="str">
        <f>IF(($A178=""),"",IF(COUNTIF(Mineral!$AJ$3:$AJ$324,$A178),"",$A178))</f>
        <v/>
      </c>
      <c r="BK165" t="str">
        <f>IFERROR(INDEX(Liste_Handelsünger[Handelsdünger],_xlfn.AGGREGATE(15,6,(ROW(Liste_Handelsünger[Handelsdünger])-1)/(--(SEARCH(BL$2,Liste_Handelsünger[Handelsdünger])&gt;0)),ROW()-2),1),"")</f>
        <v>AKRA WD</v>
      </c>
      <c r="BM165" t="str">
        <f>IFERROR(INDEX(Liste_Handelsünger[Handelsdünger],_xlfn.AGGREGATE(15,6,(ROW(Liste_Handelsünger[Handelsdünger])-1)/(--(SEARCH(BN$2,Liste_Handelsünger[Handelsdünger])&gt;0)),ROW()-2),1),"")</f>
        <v>AKRA WD</v>
      </c>
      <c r="BN165" t="str">
        <f>IF(($A180=""),"",IF(COUNTIF(Mineral!$AJ$3:$AJ$324,$A180),"",$A180))</f>
        <v/>
      </c>
      <c r="BV165" t="s">
        <v>2034</v>
      </c>
      <c r="BW165" t="s">
        <v>2297</v>
      </c>
    </row>
    <row r="166" spans="19:75" ht="14.25" thickTop="1" thickBot="1">
      <c r="S166" s="1676">
        <v>165</v>
      </c>
      <c r="T166" s="1606" t="s">
        <v>2006</v>
      </c>
      <c r="U166" s="1606" t="s">
        <v>2035</v>
      </c>
      <c r="V166" s="1606" t="s">
        <v>408</v>
      </c>
      <c r="W166" s="1606">
        <v>0</v>
      </c>
      <c r="X166" s="1606">
        <v>0</v>
      </c>
      <c r="Y166" s="1606">
        <v>0</v>
      </c>
      <c r="Z166" s="1606">
        <v>0</v>
      </c>
      <c r="AA166" s="1606">
        <v>0</v>
      </c>
      <c r="AB166" s="1606">
        <v>0</v>
      </c>
      <c r="AC166" s="1606">
        <v>1</v>
      </c>
      <c r="AD166" s="1613">
        <v>1</v>
      </c>
      <c r="AE166" s="1606" t="s">
        <v>1764</v>
      </c>
      <c r="AF166" s="1613" t="str">
        <f t="shared" si="17"/>
        <v/>
      </c>
      <c r="AG166" s="1656">
        <f>IFERROR(IF($AF166&gt;0,VLOOKUP($U166,Tabelle1!$C$188:$L$212,5,0)*$AF166,0),0)</f>
        <v>0</v>
      </c>
      <c r="AH166" s="1656">
        <f t="shared" si="18"/>
        <v>0</v>
      </c>
      <c r="AJ166" t="str">
        <f>IF(Betrieb!$D$9="JA",Mineral!$BW166,Mineral!$BV166)</f>
        <v>AlgoVital Plus</v>
      </c>
      <c r="AK166" s="1672" t="str">
        <f>IFERROR(INDEX(Liste_Handelsünger[Handelsdünger],_xlfn.AGGREGATE(15,6,(ROW(Liste_Handelsünger[Handelsdünger])-1)/(--(SEARCH(AL$2,Liste_Handelsünger[Handelsdünger])&gt;0)),ROW()-2),1),"")</f>
        <v>AlgoVital Plus</v>
      </c>
      <c r="AL166" s="1672" t="str">
        <f>IF(($A$3=""),"",IF(COUNTIF(Mineral!$AJ$3:$AJ$324,$A$3),"",$A$3))</f>
        <v/>
      </c>
      <c r="AM166" s="1672" t="str">
        <f>IFERROR(INDEX(Liste_Handelsünger[Handelsdünger],_xlfn.AGGREGATE(15,6,(ROW(Liste_Handelsünger[Handelsdünger])-1)/(--(SEARCH(AN$2,Liste_Handelsünger[Handelsdünger])&gt;0)),ROW()-2),1),"")</f>
        <v>AlgoVital Plus</v>
      </c>
      <c r="AN166" t="str">
        <f>IF(($A168=""),"",IF(COUNTIF(Mineral!$AJ$3:$AJ$324,$A168),"",$A168))</f>
        <v/>
      </c>
      <c r="AO166" t="str">
        <f>IFERROR(INDEX(Liste_Handelsünger[Handelsdünger],_xlfn.AGGREGATE(15,6,(ROW(Liste_Handelsünger[Handelsdünger])-1)/(--(SEARCH(AP$2,Liste_Handelsünger[Handelsdünger])&gt;0)),ROW()-2),1),"")</f>
        <v>AlgoVital Plus</v>
      </c>
      <c r="AP166" t="str">
        <f>IF(($A169=""),"",IF(COUNTIF(Mineral!$AJ$3:$AJ$324,$A169),"",$A169))</f>
        <v/>
      </c>
      <c r="AQ166" t="str">
        <f>IFERROR(INDEX(Liste_Handelsünger[Handelsdünger],_xlfn.AGGREGATE(15,6,(ROW(Liste_Handelsünger[Handelsdünger])-1)/(--(SEARCH(AR$2,Liste_Handelsünger[Handelsdünger])&gt;0)),ROW()-2),1),"")</f>
        <v>AlgoVital Plus</v>
      </c>
      <c r="AR166" t="str">
        <f>IF(($A170=""),"",IF(COUNTIF(Mineral!$AJ$3:$AJ$324,$A170),"",$A170))</f>
        <v/>
      </c>
      <c r="AS166" t="str">
        <f>IFERROR(INDEX(Liste_Handelsünger[Handelsdünger],_xlfn.AGGREGATE(15,6,(ROW(Liste_Handelsünger[Handelsdünger])-1)/(--(SEARCH(AT$2,Liste_Handelsünger[Handelsdünger])&gt;0)),ROW()-2),1),"")</f>
        <v>AlgoVital Plus</v>
      </c>
      <c r="AT166" t="str">
        <f>IF(($A171=""),"",IF(COUNTIF(Mineral!$AJ$3:$AJ$324,$A171),"",$A171))</f>
        <v/>
      </c>
      <c r="AU166" t="str">
        <f>IFERROR(INDEX(Liste_Handelsünger[Handelsdünger],_xlfn.AGGREGATE(15,6,(ROW(Liste_Handelsünger[Handelsdünger])-1)/(--(SEARCH(AV$2,Liste_Handelsünger[Handelsdünger])&gt;0)),ROW()-2),1),"")</f>
        <v>AlgoVital Plus</v>
      </c>
      <c r="AV166" t="str">
        <f>IF(($A172=""),"",IF(COUNTIF(Mineral!$AJ$3:$AJ$324,$A172),"",$A172))</f>
        <v/>
      </c>
      <c r="AW166" t="str">
        <f>IFERROR(INDEX(Liste_Handelsünger[Handelsdünger],_xlfn.AGGREGATE(15,6,(ROW(Liste_Handelsünger[Handelsdünger])-1)/(--(SEARCH(AX$2,Liste_Handelsünger[Handelsdünger])&gt;0)),ROW()-2),1),"")</f>
        <v>AlgoVital Plus</v>
      </c>
      <c r="AX166" t="str">
        <f>IF(($A173=""),"",IF(COUNTIF(Mineral!$AJ$3:$AJ$324,$A173),"",$A173))</f>
        <v/>
      </c>
      <c r="AY166" t="str">
        <f>IFERROR(INDEX(Liste_Handelsünger[Handelsdünger],_xlfn.AGGREGATE(15,6,(ROW(Liste_Handelsünger[Handelsdünger])-1)/(--(SEARCH(AZ$2,Liste_Handelsünger[Handelsdünger])&gt;0)),ROW()-2),1),"")</f>
        <v>AlgoVital Plus</v>
      </c>
      <c r="AZ166" t="str">
        <f>IF(($A174=""),"",IF(COUNTIF(Mineral!$AJ$3:$AJ$324,$A174),"",$A174))</f>
        <v/>
      </c>
      <c r="BA166" t="str">
        <f>IFERROR(INDEX(Liste_Handelsünger[Handelsdünger],_xlfn.AGGREGATE(15,6,(ROW(Liste_Handelsünger[Handelsdünger])-1)/(--(SEARCH(BB$2,Liste_Handelsünger[Handelsdünger])&gt;0)),ROW()-2),1),"")</f>
        <v>AlgoVital Plus</v>
      </c>
      <c r="BB166" t="str">
        <f>IF(($A175=""),"",IF(COUNTIF(Mineral!$AJ$3:$AJ$324,$A175),"",$A175))</f>
        <v/>
      </c>
      <c r="BC166" t="str">
        <f>IFERROR(INDEX(Liste_Handelsünger[Handelsdünger],_xlfn.AGGREGATE(15,6,(ROW(Liste_Handelsünger[Handelsdünger])-1)/(--(SEARCH(BD$2,Liste_Handelsünger[Handelsdünger])&gt;0)),ROW()-2),1),"")</f>
        <v>AlgoVital Plus</v>
      </c>
      <c r="BD166" t="str">
        <f>IF(($A176=""),"",IF(COUNTIF(Mineral!$AJ$3:$AJ$324,$A176),"",$A176))</f>
        <v/>
      </c>
      <c r="BE166" t="str">
        <f>IFERROR(INDEX(Liste_Handelsünger[Handelsdünger],_xlfn.AGGREGATE(15,6,(ROW(Liste_Handelsünger[Handelsdünger])-1)/(--(SEARCH(BF$2,Liste_Handelsünger[Handelsdünger])&gt;0)),ROW()-2),1),"")</f>
        <v>AlgoVital Plus</v>
      </c>
      <c r="BF166" t="str">
        <f>IF(($A177=""),"",IF(COUNTIF(Mineral!$AJ$3:$AJ$324,$A177),"",$A177))</f>
        <v/>
      </c>
      <c r="BG166" t="str">
        <f>IFERROR(INDEX(Liste_Handelsünger[Handelsdünger],_xlfn.AGGREGATE(15,6,(ROW(Liste_Handelsünger[Handelsdünger])-1)/(--(SEARCH(BH$2,Liste_Handelsünger[Handelsdünger])&gt;0)),ROW()-2),1),"")</f>
        <v>AlgoVital Plus</v>
      </c>
      <c r="BH166" t="str">
        <f>IF(($A178=""),"",IF(COUNTIF(Mineral!$AJ$3:$AJ$324,$A178),"",$A178))</f>
        <v/>
      </c>
      <c r="BI166" t="str">
        <f>IFERROR(INDEX(Liste_Handelsünger[Handelsdünger],_xlfn.AGGREGATE(15,6,(ROW(Liste_Handelsünger[Handelsdünger])-1)/(--(SEARCH(BJ$2,Liste_Handelsünger[Handelsdünger])&gt;0)),ROW()-2),1),"")</f>
        <v>AlgoVital Plus</v>
      </c>
      <c r="BJ166" t="str">
        <f>IF(($A179=""),"",IF(COUNTIF(Mineral!$AJ$3:$AJ$324,$A179),"",$A179))</f>
        <v/>
      </c>
      <c r="BK166" t="str">
        <f>IFERROR(INDEX(Liste_Handelsünger[Handelsdünger],_xlfn.AGGREGATE(15,6,(ROW(Liste_Handelsünger[Handelsdünger])-1)/(--(SEARCH(BL$2,Liste_Handelsünger[Handelsdünger])&gt;0)),ROW()-2),1),"")</f>
        <v>AlgoVital Plus</v>
      </c>
      <c r="BM166" t="str">
        <f>IFERROR(INDEX(Liste_Handelsünger[Handelsdünger],_xlfn.AGGREGATE(15,6,(ROW(Liste_Handelsünger[Handelsdünger])-1)/(--(SEARCH(BN$2,Liste_Handelsünger[Handelsdünger])&gt;0)),ROW()-2),1),"")</f>
        <v>AlgoVital Plus</v>
      </c>
      <c r="BN166" t="str">
        <f>IF(($A181=""),"",IF(COUNTIF(Mineral!$AJ$3:$AJ$324,$A181),"",$A181))</f>
        <v/>
      </c>
      <c r="BV166" t="s">
        <v>2035</v>
      </c>
      <c r="BW166" t="s">
        <v>2298</v>
      </c>
    </row>
    <row r="167" spans="19:75" ht="14.25" thickTop="1" thickBot="1">
      <c r="S167" s="1616">
        <v>166</v>
      </c>
      <c r="T167" s="1617" t="s">
        <v>2006</v>
      </c>
      <c r="U167" s="1617" t="s">
        <v>2036</v>
      </c>
      <c r="V167" s="1617" t="s">
        <v>408</v>
      </c>
      <c r="W167" s="1617">
        <v>5.5</v>
      </c>
      <c r="X167" s="1617">
        <v>2.5</v>
      </c>
      <c r="Y167" s="1617">
        <v>1.5</v>
      </c>
      <c r="Z167" s="1617">
        <v>0</v>
      </c>
      <c r="AA167" s="1617">
        <v>0</v>
      </c>
      <c r="AB167" s="1617">
        <v>0</v>
      </c>
      <c r="AC167" s="1617">
        <v>0.5</v>
      </c>
      <c r="AD167" s="1613">
        <v>0.91</v>
      </c>
      <c r="AE167" s="1617" t="s">
        <v>2037</v>
      </c>
      <c r="AF167" s="1613" t="str">
        <f t="shared" si="17"/>
        <v/>
      </c>
      <c r="AG167" s="1656">
        <f>IFERROR(IF($AF167&gt;0,VLOOKUP($U167,Tabelle1!$C$188:$L$212,5,0)*$AF167,0),0)</f>
        <v>0</v>
      </c>
      <c r="AH167" s="1656">
        <f t="shared" si="18"/>
        <v>0</v>
      </c>
      <c r="AJ167" t="str">
        <f>IF(Betrieb!$D$9="JA",Mineral!$BW167,Mineral!$BV167)</f>
        <v>ALPIFERT</v>
      </c>
      <c r="AK167" s="1672" t="str">
        <f>IFERROR(INDEX(Liste_Handelsünger[Handelsdünger],_xlfn.AGGREGATE(15,6,(ROW(Liste_Handelsünger[Handelsdünger])-1)/(--(SEARCH(AL$2,Liste_Handelsünger[Handelsdünger])&gt;0)),ROW()-2),1),"")</f>
        <v>ALPIFERT</v>
      </c>
      <c r="AL167" s="1672" t="str">
        <f>IF(($A$3=""),"",IF(COUNTIF(Mineral!$AJ$3:$AJ$324,$A$3),"",$A$3))</f>
        <v/>
      </c>
      <c r="AM167" s="1672" t="str">
        <f>IFERROR(INDEX(Liste_Handelsünger[Handelsdünger],_xlfn.AGGREGATE(15,6,(ROW(Liste_Handelsünger[Handelsdünger])-1)/(--(SEARCH(AN$2,Liste_Handelsünger[Handelsdünger])&gt;0)),ROW()-2),1),"")</f>
        <v>ALPIFERT</v>
      </c>
      <c r="AN167" t="str">
        <f>IF(($A169=""),"",IF(COUNTIF(Mineral!$AJ$3:$AJ$324,$A169),"",$A169))</f>
        <v/>
      </c>
      <c r="AO167" t="str">
        <f>IFERROR(INDEX(Liste_Handelsünger[Handelsdünger],_xlfn.AGGREGATE(15,6,(ROW(Liste_Handelsünger[Handelsdünger])-1)/(--(SEARCH(AP$2,Liste_Handelsünger[Handelsdünger])&gt;0)),ROW()-2),1),"")</f>
        <v>ALPIFERT</v>
      </c>
      <c r="AP167" t="str">
        <f>IF(($A170=""),"",IF(COUNTIF(Mineral!$AJ$3:$AJ$324,$A170),"",$A170))</f>
        <v/>
      </c>
      <c r="AQ167" t="str">
        <f>IFERROR(INDEX(Liste_Handelsünger[Handelsdünger],_xlfn.AGGREGATE(15,6,(ROW(Liste_Handelsünger[Handelsdünger])-1)/(--(SEARCH(AR$2,Liste_Handelsünger[Handelsdünger])&gt;0)),ROW()-2),1),"")</f>
        <v>ALPIFERT</v>
      </c>
      <c r="AR167" t="str">
        <f>IF(($A171=""),"",IF(COUNTIF(Mineral!$AJ$3:$AJ$324,$A171),"",$A171))</f>
        <v/>
      </c>
      <c r="AS167" t="str">
        <f>IFERROR(INDEX(Liste_Handelsünger[Handelsdünger],_xlfn.AGGREGATE(15,6,(ROW(Liste_Handelsünger[Handelsdünger])-1)/(--(SEARCH(AT$2,Liste_Handelsünger[Handelsdünger])&gt;0)),ROW()-2),1),"")</f>
        <v>ALPIFERT</v>
      </c>
      <c r="AT167" t="str">
        <f>IF(($A172=""),"",IF(COUNTIF(Mineral!$AJ$3:$AJ$324,$A172),"",$A172))</f>
        <v/>
      </c>
      <c r="AU167" t="str">
        <f>IFERROR(INDEX(Liste_Handelsünger[Handelsdünger],_xlfn.AGGREGATE(15,6,(ROW(Liste_Handelsünger[Handelsdünger])-1)/(--(SEARCH(AV$2,Liste_Handelsünger[Handelsdünger])&gt;0)),ROW()-2),1),"")</f>
        <v>ALPIFERT</v>
      </c>
      <c r="AV167" t="str">
        <f>IF(($A173=""),"",IF(COUNTIF(Mineral!$AJ$3:$AJ$324,$A173),"",$A173))</f>
        <v/>
      </c>
      <c r="AW167" t="str">
        <f>IFERROR(INDEX(Liste_Handelsünger[Handelsdünger],_xlfn.AGGREGATE(15,6,(ROW(Liste_Handelsünger[Handelsdünger])-1)/(--(SEARCH(AX$2,Liste_Handelsünger[Handelsdünger])&gt;0)),ROW()-2),1),"")</f>
        <v>ALPIFERT</v>
      </c>
      <c r="AX167" t="str">
        <f>IF(($A174=""),"",IF(COUNTIF(Mineral!$AJ$3:$AJ$324,$A174),"",$A174))</f>
        <v/>
      </c>
      <c r="AY167" t="str">
        <f>IFERROR(INDEX(Liste_Handelsünger[Handelsdünger],_xlfn.AGGREGATE(15,6,(ROW(Liste_Handelsünger[Handelsdünger])-1)/(--(SEARCH(AZ$2,Liste_Handelsünger[Handelsdünger])&gt;0)),ROW()-2),1),"")</f>
        <v>ALPIFERT</v>
      </c>
      <c r="AZ167" t="str">
        <f>IF(($A175=""),"",IF(COUNTIF(Mineral!$AJ$3:$AJ$324,$A175),"",$A175))</f>
        <v/>
      </c>
      <c r="BA167" t="str">
        <f>IFERROR(INDEX(Liste_Handelsünger[Handelsdünger],_xlfn.AGGREGATE(15,6,(ROW(Liste_Handelsünger[Handelsdünger])-1)/(--(SEARCH(BB$2,Liste_Handelsünger[Handelsdünger])&gt;0)),ROW()-2),1),"")</f>
        <v>ALPIFERT</v>
      </c>
      <c r="BB167" t="str">
        <f>IF(($A176=""),"",IF(COUNTIF(Mineral!$AJ$3:$AJ$324,$A176),"",$A176))</f>
        <v/>
      </c>
      <c r="BC167" t="str">
        <f>IFERROR(INDEX(Liste_Handelsünger[Handelsdünger],_xlfn.AGGREGATE(15,6,(ROW(Liste_Handelsünger[Handelsdünger])-1)/(--(SEARCH(BD$2,Liste_Handelsünger[Handelsdünger])&gt;0)),ROW()-2),1),"")</f>
        <v>ALPIFERT</v>
      </c>
      <c r="BD167" t="str">
        <f>IF(($A177=""),"",IF(COUNTIF(Mineral!$AJ$3:$AJ$324,$A177),"",$A177))</f>
        <v/>
      </c>
      <c r="BE167" t="str">
        <f>IFERROR(INDEX(Liste_Handelsünger[Handelsdünger],_xlfn.AGGREGATE(15,6,(ROW(Liste_Handelsünger[Handelsdünger])-1)/(--(SEARCH(BF$2,Liste_Handelsünger[Handelsdünger])&gt;0)),ROW()-2),1),"")</f>
        <v>ALPIFERT</v>
      </c>
      <c r="BF167" t="str">
        <f>IF(($A178=""),"",IF(COUNTIF(Mineral!$AJ$3:$AJ$324,$A178),"",$A178))</f>
        <v/>
      </c>
      <c r="BG167" t="str">
        <f>IFERROR(INDEX(Liste_Handelsünger[Handelsdünger],_xlfn.AGGREGATE(15,6,(ROW(Liste_Handelsünger[Handelsdünger])-1)/(--(SEARCH(BH$2,Liste_Handelsünger[Handelsdünger])&gt;0)),ROW()-2),1),"")</f>
        <v>ALPIFERT</v>
      </c>
      <c r="BH167" t="str">
        <f>IF(($A179=""),"",IF(COUNTIF(Mineral!$AJ$3:$AJ$324,$A179),"",$A179))</f>
        <v/>
      </c>
      <c r="BI167" t="str">
        <f>IFERROR(INDEX(Liste_Handelsünger[Handelsdünger],_xlfn.AGGREGATE(15,6,(ROW(Liste_Handelsünger[Handelsdünger])-1)/(--(SEARCH(BJ$2,Liste_Handelsünger[Handelsdünger])&gt;0)),ROW()-2),1),"")</f>
        <v>ALPIFERT</v>
      </c>
      <c r="BJ167" t="str">
        <f>IF(($A180=""),"",IF(COUNTIF(Mineral!$AJ$3:$AJ$324,$A180),"",$A180))</f>
        <v/>
      </c>
      <c r="BK167" t="str">
        <f>IFERROR(INDEX(Liste_Handelsünger[Handelsdünger],_xlfn.AGGREGATE(15,6,(ROW(Liste_Handelsünger[Handelsdünger])-1)/(--(SEARCH(BL$2,Liste_Handelsünger[Handelsdünger])&gt;0)),ROW()-2),1),"")</f>
        <v>ALPIFERT</v>
      </c>
      <c r="BM167" t="str">
        <f>IFERROR(INDEX(Liste_Handelsünger[Handelsdünger],_xlfn.AGGREGATE(15,6,(ROW(Liste_Handelsünger[Handelsdünger])-1)/(--(SEARCH(BN$2,Liste_Handelsünger[Handelsdünger])&gt;0)),ROW()-2),1),"")</f>
        <v>ALPIFERT</v>
      </c>
      <c r="BN167" t="str">
        <f>IF(($A182=""),"",IF(COUNTIF(Mineral!$AJ$3:$AJ$324,$A182),"",$A182))</f>
        <v/>
      </c>
      <c r="BV167" t="s">
        <v>2036</v>
      </c>
      <c r="BW167" t="s">
        <v>2303</v>
      </c>
    </row>
    <row r="168" spans="19:75" ht="14.25" thickTop="1" thickBot="1">
      <c r="S168" s="1676">
        <v>167</v>
      </c>
      <c r="T168" s="1606" t="s">
        <v>2006</v>
      </c>
      <c r="U168" s="1606" t="s">
        <v>2040</v>
      </c>
      <c r="V168" s="1606" t="s">
        <v>408</v>
      </c>
      <c r="W168" s="1606">
        <v>0</v>
      </c>
      <c r="X168" s="1606">
        <v>0</v>
      </c>
      <c r="Y168" s="1606">
        <v>0</v>
      </c>
      <c r="Z168" s="1606">
        <v>0</v>
      </c>
      <c r="AA168" s="1606">
        <v>0</v>
      </c>
      <c r="AB168" s="1606">
        <v>0</v>
      </c>
      <c r="AC168" s="1606">
        <v>1</v>
      </c>
      <c r="AD168" s="1613">
        <v>1</v>
      </c>
      <c r="AE168" s="1606" t="s">
        <v>1764</v>
      </c>
      <c r="AF168" s="1613" t="str">
        <f t="shared" si="17"/>
        <v/>
      </c>
      <c r="AG168" s="1656">
        <f>IFERROR(IF($AF168&gt;0,VLOOKUP($U168,Tabelle1!$C$188:$L$212,5,0)*$AF168,0),0)</f>
        <v>0</v>
      </c>
      <c r="AH168" s="1656">
        <f t="shared" si="18"/>
        <v>0</v>
      </c>
      <c r="AJ168" t="str">
        <f>IF(Betrieb!$D$9="JA",Mineral!$BW168,Mineral!$BV168)</f>
        <v>Amalgerol</v>
      </c>
      <c r="AK168" s="1672" t="str">
        <f>IFERROR(INDEX(Liste_Handelsünger[Handelsdünger],_xlfn.AGGREGATE(15,6,(ROW(Liste_Handelsünger[Handelsdünger])-1)/(--(SEARCH(AL$2,Liste_Handelsünger[Handelsdünger])&gt;0)),ROW()-2),1),"")</f>
        <v>Amalgerol</v>
      </c>
      <c r="AL168" s="1672" t="str">
        <f>IF(($A$3=""),"",IF(COUNTIF(Mineral!$AJ$3:$AJ$324,$A$3),"",$A$3))</f>
        <v/>
      </c>
      <c r="AM168" s="1672" t="str">
        <f>IFERROR(INDEX(Liste_Handelsünger[Handelsdünger],_xlfn.AGGREGATE(15,6,(ROW(Liste_Handelsünger[Handelsdünger])-1)/(--(SEARCH(AN$2,Liste_Handelsünger[Handelsdünger])&gt;0)),ROW()-2),1),"")</f>
        <v>Amalgerol</v>
      </c>
      <c r="AN168" t="str">
        <f>IF(($A170=""),"",IF(COUNTIF(Mineral!$AJ$3:$AJ$324,$A170),"",$A170))</f>
        <v/>
      </c>
      <c r="AO168" t="str">
        <f>IFERROR(INDEX(Liste_Handelsünger[Handelsdünger],_xlfn.AGGREGATE(15,6,(ROW(Liste_Handelsünger[Handelsdünger])-1)/(--(SEARCH(AP$2,Liste_Handelsünger[Handelsdünger])&gt;0)),ROW()-2),1),"")</f>
        <v>Amalgerol</v>
      </c>
      <c r="AP168" t="str">
        <f>IF(($A171=""),"",IF(COUNTIF(Mineral!$AJ$3:$AJ$324,$A171),"",$A171))</f>
        <v/>
      </c>
      <c r="AQ168" t="str">
        <f>IFERROR(INDEX(Liste_Handelsünger[Handelsdünger],_xlfn.AGGREGATE(15,6,(ROW(Liste_Handelsünger[Handelsdünger])-1)/(--(SEARCH(AR$2,Liste_Handelsünger[Handelsdünger])&gt;0)),ROW()-2),1),"")</f>
        <v>Amalgerol</v>
      </c>
      <c r="AR168" t="str">
        <f>IF(($A172=""),"",IF(COUNTIF(Mineral!$AJ$3:$AJ$324,$A172),"",$A172))</f>
        <v/>
      </c>
      <c r="AS168" t="str">
        <f>IFERROR(INDEX(Liste_Handelsünger[Handelsdünger],_xlfn.AGGREGATE(15,6,(ROW(Liste_Handelsünger[Handelsdünger])-1)/(--(SEARCH(AT$2,Liste_Handelsünger[Handelsdünger])&gt;0)),ROW()-2),1),"")</f>
        <v>Amalgerol</v>
      </c>
      <c r="AT168" t="str">
        <f>IF(($A173=""),"",IF(COUNTIF(Mineral!$AJ$3:$AJ$324,$A173),"",$A173))</f>
        <v/>
      </c>
      <c r="AU168" t="str">
        <f>IFERROR(INDEX(Liste_Handelsünger[Handelsdünger],_xlfn.AGGREGATE(15,6,(ROW(Liste_Handelsünger[Handelsdünger])-1)/(--(SEARCH(AV$2,Liste_Handelsünger[Handelsdünger])&gt;0)),ROW()-2),1),"")</f>
        <v>Amalgerol</v>
      </c>
      <c r="AV168" t="str">
        <f>IF(($A174=""),"",IF(COUNTIF(Mineral!$AJ$3:$AJ$324,$A174),"",$A174))</f>
        <v/>
      </c>
      <c r="AW168" t="str">
        <f>IFERROR(INDEX(Liste_Handelsünger[Handelsdünger],_xlfn.AGGREGATE(15,6,(ROW(Liste_Handelsünger[Handelsdünger])-1)/(--(SEARCH(AX$2,Liste_Handelsünger[Handelsdünger])&gt;0)),ROW()-2),1),"")</f>
        <v>Amalgerol</v>
      </c>
      <c r="AX168" t="str">
        <f>IF(($A175=""),"",IF(COUNTIF(Mineral!$AJ$3:$AJ$324,$A175),"",$A175))</f>
        <v/>
      </c>
      <c r="AY168" t="str">
        <f>IFERROR(INDEX(Liste_Handelsünger[Handelsdünger],_xlfn.AGGREGATE(15,6,(ROW(Liste_Handelsünger[Handelsdünger])-1)/(--(SEARCH(AZ$2,Liste_Handelsünger[Handelsdünger])&gt;0)),ROW()-2),1),"")</f>
        <v>Amalgerol</v>
      </c>
      <c r="AZ168" t="str">
        <f>IF(($A176=""),"",IF(COUNTIF(Mineral!$AJ$3:$AJ$324,$A176),"",$A176))</f>
        <v/>
      </c>
      <c r="BA168" t="str">
        <f>IFERROR(INDEX(Liste_Handelsünger[Handelsdünger],_xlfn.AGGREGATE(15,6,(ROW(Liste_Handelsünger[Handelsdünger])-1)/(--(SEARCH(BB$2,Liste_Handelsünger[Handelsdünger])&gt;0)),ROW()-2),1),"")</f>
        <v>Amalgerol</v>
      </c>
      <c r="BB168" t="str">
        <f>IF(($A177=""),"",IF(COUNTIF(Mineral!$AJ$3:$AJ$324,$A177),"",$A177))</f>
        <v/>
      </c>
      <c r="BC168" t="str">
        <f>IFERROR(INDEX(Liste_Handelsünger[Handelsdünger],_xlfn.AGGREGATE(15,6,(ROW(Liste_Handelsünger[Handelsdünger])-1)/(--(SEARCH(BD$2,Liste_Handelsünger[Handelsdünger])&gt;0)),ROW()-2),1),"")</f>
        <v>Amalgerol</v>
      </c>
      <c r="BD168" t="str">
        <f>IF(($A178=""),"",IF(COUNTIF(Mineral!$AJ$3:$AJ$324,$A178),"",$A178))</f>
        <v/>
      </c>
      <c r="BE168" t="str">
        <f>IFERROR(INDEX(Liste_Handelsünger[Handelsdünger],_xlfn.AGGREGATE(15,6,(ROW(Liste_Handelsünger[Handelsdünger])-1)/(--(SEARCH(BF$2,Liste_Handelsünger[Handelsdünger])&gt;0)),ROW()-2),1),"")</f>
        <v>Amalgerol</v>
      </c>
      <c r="BF168" t="str">
        <f>IF(($A179=""),"",IF(COUNTIF(Mineral!$AJ$3:$AJ$324,$A179),"",$A179))</f>
        <v/>
      </c>
      <c r="BG168" t="str">
        <f>IFERROR(INDEX(Liste_Handelsünger[Handelsdünger],_xlfn.AGGREGATE(15,6,(ROW(Liste_Handelsünger[Handelsdünger])-1)/(--(SEARCH(BH$2,Liste_Handelsünger[Handelsdünger])&gt;0)),ROW()-2),1),"")</f>
        <v>Amalgerol</v>
      </c>
      <c r="BH168" t="str">
        <f>IF(($A180=""),"",IF(COUNTIF(Mineral!$AJ$3:$AJ$324,$A180),"",$A180))</f>
        <v/>
      </c>
      <c r="BI168" t="str">
        <f>IFERROR(INDEX(Liste_Handelsünger[Handelsdünger],_xlfn.AGGREGATE(15,6,(ROW(Liste_Handelsünger[Handelsdünger])-1)/(--(SEARCH(BJ$2,Liste_Handelsünger[Handelsdünger])&gt;0)),ROW()-2),1),"")</f>
        <v>Amalgerol</v>
      </c>
      <c r="BJ168" t="str">
        <f>IF(($A181=""),"",IF(COUNTIF(Mineral!$AJ$3:$AJ$324,$A181),"",$A181))</f>
        <v/>
      </c>
      <c r="BK168" t="str">
        <f>IFERROR(INDEX(Liste_Handelsünger[Handelsdünger],_xlfn.AGGREGATE(15,6,(ROW(Liste_Handelsünger[Handelsdünger])-1)/(--(SEARCH(BL$2,Liste_Handelsünger[Handelsdünger])&gt;0)),ROW()-2),1),"")</f>
        <v>Amalgerol</v>
      </c>
      <c r="BM168" t="str">
        <f>IFERROR(INDEX(Liste_Handelsünger[Handelsdünger],_xlfn.AGGREGATE(15,6,(ROW(Liste_Handelsünger[Handelsdünger])-1)/(--(SEARCH(BN$2,Liste_Handelsünger[Handelsdünger])&gt;0)),ROW()-2),1),"")</f>
        <v>Amalgerol</v>
      </c>
      <c r="BN168" t="str">
        <f>IF(($A183=""),"",IF(COUNTIF(Mineral!$AJ$3:$AJ$324,$A183),"",$A183))</f>
        <v/>
      </c>
      <c r="BV168" t="s">
        <v>2040</v>
      </c>
      <c r="BW168" t="s">
        <v>2304</v>
      </c>
    </row>
    <row r="169" spans="19:75" ht="14.25" thickTop="1" thickBot="1">
      <c r="S169" s="1616">
        <v>168</v>
      </c>
      <c r="T169" s="1617" t="s">
        <v>2006</v>
      </c>
      <c r="U169" s="1617" t="s">
        <v>2041</v>
      </c>
      <c r="V169" s="1617" t="s">
        <v>408</v>
      </c>
      <c r="W169" s="1617">
        <v>5.7</v>
      </c>
      <c r="X169" s="1617">
        <v>0</v>
      </c>
      <c r="Y169" s="1617">
        <v>0</v>
      </c>
      <c r="Z169" s="1617">
        <v>0</v>
      </c>
      <c r="AA169" s="1617">
        <v>0</v>
      </c>
      <c r="AB169" s="1617">
        <v>0</v>
      </c>
      <c r="AC169" s="1617">
        <v>0.7</v>
      </c>
      <c r="AD169" s="1613">
        <v>0.87</v>
      </c>
      <c r="AE169" s="1617" t="s">
        <v>2016</v>
      </c>
      <c r="AF169" s="1613" t="str">
        <f t="shared" si="17"/>
        <v/>
      </c>
      <c r="AG169" s="1656">
        <f>IFERROR(IF($AF169&gt;0,VLOOKUP($U169,Tabelle1!$C$188:$L$212,5,0)*$AF169,0),0)</f>
        <v>0</v>
      </c>
      <c r="AH169" s="1656">
        <f t="shared" si="18"/>
        <v>0</v>
      </c>
      <c r="AJ169" t="str">
        <f>IF(Betrieb!$D$9="JA",Mineral!$BW169,Mineral!$BV169)</f>
        <v>Aminosol-PS</v>
      </c>
      <c r="AK169" s="1672" t="str">
        <f>IFERROR(INDEX(Liste_Handelsünger[Handelsdünger],_xlfn.AGGREGATE(15,6,(ROW(Liste_Handelsünger[Handelsdünger])-1)/(--(SEARCH(AL$2,Liste_Handelsünger[Handelsdünger])&gt;0)),ROW()-2),1),"")</f>
        <v>Aminosol-PS</v>
      </c>
      <c r="AL169" s="1672" t="str">
        <f>IF(($A$3=""),"",IF(COUNTIF(Mineral!$AJ$3:$AJ$324,$A$3),"",$A$3))</f>
        <v/>
      </c>
      <c r="AM169" s="1672" t="str">
        <f>IFERROR(INDEX(Liste_Handelsünger[Handelsdünger],_xlfn.AGGREGATE(15,6,(ROW(Liste_Handelsünger[Handelsdünger])-1)/(--(SEARCH(AN$2,Liste_Handelsünger[Handelsdünger])&gt;0)),ROW()-2),1),"")</f>
        <v>Aminosol-PS</v>
      </c>
      <c r="AN169" t="str">
        <f>IF(($A171=""),"",IF(COUNTIF(Mineral!$AJ$3:$AJ$324,$A171),"",$A171))</f>
        <v/>
      </c>
      <c r="AO169" t="str">
        <f>IFERROR(INDEX(Liste_Handelsünger[Handelsdünger],_xlfn.AGGREGATE(15,6,(ROW(Liste_Handelsünger[Handelsdünger])-1)/(--(SEARCH(AP$2,Liste_Handelsünger[Handelsdünger])&gt;0)),ROW()-2),1),"")</f>
        <v>Aminosol-PS</v>
      </c>
      <c r="AP169" t="str">
        <f>IF(($A172=""),"",IF(COUNTIF(Mineral!$AJ$3:$AJ$324,$A172),"",$A172))</f>
        <v/>
      </c>
      <c r="AQ169" t="str">
        <f>IFERROR(INDEX(Liste_Handelsünger[Handelsdünger],_xlfn.AGGREGATE(15,6,(ROW(Liste_Handelsünger[Handelsdünger])-1)/(--(SEARCH(AR$2,Liste_Handelsünger[Handelsdünger])&gt;0)),ROW()-2),1),"")</f>
        <v>Aminosol-PS</v>
      </c>
      <c r="AR169" t="str">
        <f>IF(($A173=""),"",IF(COUNTIF(Mineral!$AJ$3:$AJ$324,$A173),"",$A173))</f>
        <v/>
      </c>
      <c r="AS169" t="str">
        <f>IFERROR(INDEX(Liste_Handelsünger[Handelsdünger],_xlfn.AGGREGATE(15,6,(ROW(Liste_Handelsünger[Handelsdünger])-1)/(--(SEARCH(AT$2,Liste_Handelsünger[Handelsdünger])&gt;0)),ROW()-2),1),"")</f>
        <v>Aminosol-PS</v>
      </c>
      <c r="AT169" t="str">
        <f>IF(($A174=""),"",IF(COUNTIF(Mineral!$AJ$3:$AJ$324,$A174),"",$A174))</f>
        <v/>
      </c>
      <c r="AU169" t="str">
        <f>IFERROR(INDEX(Liste_Handelsünger[Handelsdünger],_xlfn.AGGREGATE(15,6,(ROW(Liste_Handelsünger[Handelsdünger])-1)/(--(SEARCH(AV$2,Liste_Handelsünger[Handelsdünger])&gt;0)),ROW()-2),1),"")</f>
        <v>Aminosol-PS</v>
      </c>
      <c r="AV169" t="str">
        <f>IF(($A175=""),"",IF(COUNTIF(Mineral!$AJ$3:$AJ$324,$A175),"",$A175))</f>
        <v/>
      </c>
      <c r="AW169" t="str">
        <f>IFERROR(INDEX(Liste_Handelsünger[Handelsdünger],_xlfn.AGGREGATE(15,6,(ROW(Liste_Handelsünger[Handelsdünger])-1)/(--(SEARCH(AX$2,Liste_Handelsünger[Handelsdünger])&gt;0)),ROW()-2),1),"")</f>
        <v>Aminosol-PS</v>
      </c>
      <c r="AX169" t="str">
        <f>IF(($A176=""),"",IF(COUNTIF(Mineral!$AJ$3:$AJ$324,$A176),"",$A176))</f>
        <v/>
      </c>
      <c r="AY169" t="str">
        <f>IFERROR(INDEX(Liste_Handelsünger[Handelsdünger],_xlfn.AGGREGATE(15,6,(ROW(Liste_Handelsünger[Handelsdünger])-1)/(--(SEARCH(AZ$2,Liste_Handelsünger[Handelsdünger])&gt;0)),ROW()-2),1),"")</f>
        <v>Aminosol-PS</v>
      </c>
      <c r="AZ169" t="str">
        <f>IF(($A177=""),"",IF(COUNTIF(Mineral!$AJ$3:$AJ$324,$A177),"",$A177))</f>
        <v/>
      </c>
      <c r="BA169" t="str">
        <f>IFERROR(INDEX(Liste_Handelsünger[Handelsdünger],_xlfn.AGGREGATE(15,6,(ROW(Liste_Handelsünger[Handelsdünger])-1)/(--(SEARCH(BB$2,Liste_Handelsünger[Handelsdünger])&gt;0)),ROW()-2),1),"")</f>
        <v>Aminosol-PS</v>
      </c>
      <c r="BB169" t="str">
        <f>IF(($A178=""),"",IF(COUNTIF(Mineral!$AJ$3:$AJ$324,$A178),"",$A178))</f>
        <v/>
      </c>
      <c r="BC169" t="str">
        <f>IFERROR(INDEX(Liste_Handelsünger[Handelsdünger],_xlfn.AGGREGATE(15,6,(ROW(Liste_Handelsünger[Handelsdünger])-1)/(--(SEARCH(BD$2,Liste_Handelsünger[Handelsdünger])&gt;0)),ROW()-2),1),"")</f>
        <v>Aminosol-PS</v>
      </c>
      <c r="BD169" t="str">
        <f>IF(($A179=""),"",IF(COUNTIF(Mineral!$AJ$3:$AJ$324,$A179),"",$A179))</f>
        <v/>
      </c>
      <c r="BE169" t="str">
        <f>IFERROR(INDEX(Liste_Handelsünger[Handelsdünger],_xlfn.AGGREGATE(15,6,(ROW(Liste_Handelsünger[Handelsdünger])-1)/(--(SEARCH(BF$2,Liste_Handelsünger[Handelsdünger])&gt;0)),ROW()-2),1),"")</f>
        <v>Aminosol-PS</v>
      </c>
      <c r="BF169" t="str">
        <f>IF(($A180=""),"",IF(COUNTIF(Mineral!$AJ$3:$AJ$324,$A180),"",$A180))</f>
        <v/>
      </c>
      <c r="BG169" t="str">
        <f>IFERROR(INDEX(Liste_Handelsünger[Handelsdünger],_xlfn.AGGREGATE(15,6,(ROW(Liste_Handelsünger[Handelsdünger])-1)/(--(SEARCH(BH$2,Liste_Handelsünger[Handelsdünger])&gt;0)),ROW()-2),1),"")</f>
        <v>Aminosol-PS</v>
      </c>
      <c r="BH169" t="str">
        <f>IF(($A181=""),"",IF(COUNTIF(Mineral!$AJ$3:$AJ$324,$A181),"",$A181))</f>
        <v/>
      </c>
      <c r="BI169" t="str">
        <f>IFERROR(INDEX(Liste_Handelsünger[Handelsdünger],_xlfn.AGGREGATE(15,6,(ROW(Liste_Handelsünger[Handelsdünger])-1)/(--(SEARCH(BJ$2,Liste_Handelsünger[Handelsdünger])&gt;0)),ROW()-2),1),"")</f>
        <v>Aminosol-PS</v>
      </c>
      <c r="BJ169" t="str">
        <f>IF(($A182=""),"",IF(COUNTIF(Mineral!$AJ$3:$AJ$324,$A182),"",$A182))</f>
        <v/>
      </c>
      <c r="BK169" t="str">
        <f>IFERROR(INDEX(Liste_Handelsünger[Handelsdünger],_xlfn.AGGREGATE(15,6,(ROW(Liste_Handelsünger[Handelsdünger])-1)/(--(SEARCH(BL$2,Liste_Handelsünger[Handelsdünger])&gt;0)),ROW()-2),1),"")</f>
        <v>Aminosol-PS</v>
      </c>
      <c r="BM169" t="str">
        <f>IFERROR(INDEX(Liste_Handelsünger[Handelsdünger],_xlfn.AGGREGATE(15,6,(ROW(Liste_Handelsünger[Handelsdünger])-1)/(--(SEARCH(BN$2,Liste_Handelsünger[Handelsdünger])&gt;0)),ROW()-2),1),"")</f>
        <v>Aminosol-PS</v>
      </c>
      <c r="BN169" t="str">
        <f>IF(($A184=""),"",IF(COUNTIF(Mineral!$AJ$3:$AJ$324,$A184),"",$A184))</f>
        <v/>
      </c>
      <c r="BV169" t="s">
        <v>2041</v>
      </c>
      <c r="BW169" t="s">
        <v>2305</v>
      </c>
    </row>
    <row r="170" spans="19:75" ht="14.25" thickTop="1" thickBot="1">
      <c r="S170" s="1676">
        <v>169</v>
      </c>
      <c r="T170" s="1606" t="s">
        <v>2006</v>
      </c>
      <c r="U170" s="1606" t="s">
        <v>2042</v>
      </c>
      <c r="V170" s="1606" t="s">
        <v>408</v>
      </c>
      <c r="W170" s="1606">
        <v>9</v>
      </c>
      <c r="X170" s="1606">
        <v>0</v>
      </c>
      <c r="Y170" s="1606">
        <v>0</v>
      </c>
      <c r="Z170" s="1606">
        <v>0</v>
      </c>
      <c r="AA170" s="1606">
        <v>0</v>
      </c>
      <c r="AB170" s="1606">
        <v>0</v>
      </c>
      <c r="AC170" s="1606">
        <v>0.7</v>
      </c>
      <c r="AD170" s="1613">
        <v>0.87</v>
      </c>
      <c r="AE170" s="1606" t="s">
        <v>2016</v>
      </c>
      <c r="AF170" s="1613" t="str">
        <f t="shared" si="17"/>
        <v/>
      </c>
      <c r="AG170" s="1656">
        <f>IFERROR(IF($AF170&gt;0,VLOOKUP($U170,Tabelle1!$C$188:$L$212,5,0)*$AF170,0),0)</f>
        <v>0</v>
      </c>
      <c r="AH170" s="1656">
        <f t="shared" si="18"/>
        <v>0</v>
      </c>
      <c r="AJ170" t="str">
        <f>IF(Betrieb!$D$9="JA",Mineral!$BW170,Mineral!$BV170)</f>
        <v>AminoVital</v>
      </c>
      <c r="AK170" s="1672" t="str">
        <f>IFERROR(INDEX(Liste_Handelsünger[Handelsdünger],_xlfn.AGGREGATE(15,6,(ROW(Liste_Handelsünger[Handelsdünger])-1)/(--(SEARCH(AL$2,Liste_Handelsünger[Handelsdünger])&gt;0)),ROW()-2),1),"")</f>
        <v>AminoVital</v>
      </c>
      <c r="AL170" s="1672" t="str">
        <f>IF(($A$3=""),"",IF(COUNTIF(Mineral!$AJ$3:$AJ$324,$A$3),"",$A$3))</f>
        <v/>
      </c>
      <c r="AM170" s="1672" t="str">
        <f>IFERROR(INDEX(Liste_Handelsünger[Handelsdünger],_xlfn.AGGREGATE(15,6,(ROW(Liste_Handelsünger[Handelsdünger])-1)/(--(SEARCH(AN$2,Liste_Handelsünger[Handelsdünger])&gt;0)),ROW()-2),1),"")</f>
        <v>AminoVital</v>
      </c>
      <c r="AN170" t="str">
        <f>IF(($A172=""),"",IF(COUNTIF(Mineral!$AJ$3:$AJ$324,$A172),"",$A172))</f>
        <v/>
      </c>
      <c r="AO170" t="str">
        <f>IFERROR(INDEX(Liste_Handelsünger[Handelsdünger],_xlfn.AGGREGATE(15,6,(ROW(Liste_Handelsünger[Handelsdünger])-1)/(--(SEARCH(AP$2,Liste_Handelsünger[Handelsdünger])&gt;0)),ROW()-2),1),"")</f>
        <v>AminoVital</v>
      </c>
      <c r="AP170" t="str">
        <f>IF(($A173=""),"",IF(COUNTIF(Mineral!$AJ$3:$AJ$324,$A173),"",$A173))</f>
        <v/>
      </c>
      <c r="AQ170" t="str">
        <f>IFERROR(INDEX(Liste_Handelsünger[Handelsdünger],_xlfn.AGGREGATE(15,6,(ROW(Liste_Handelsünger[Handelsdünger])-1)/(--(SEARCH(AR$2,Liste_Handelsünger[Handelsdünger])&gt;0)),ROW()-2),1),"")</f>
        <v>AminoVital</v>
      </c>
      <c r="AR170" t="str">
        <f>IF(($A174=""),"",IF(COUNTIF(Mineral!$AJ$3:$AJ$324,$A174),"",$A174))</f>
        <v/>
      </c>
      <c r="AS170" t="str">
        <f>IFERROR(INDEX(Liste_Handelsünger[Handelsdünger],_xlfn.AGGREGATE(15,6,(ROW(Liste_Handelsünger[Handelsdünger])-1)/(--(SEARCH(AT$2,Liste_Handelsünger[Handelsdünger])&gt;0)),ROW()-2),1),"")</f>
        <v>AminoVital</v>
      </c>
      <c r="AT170" t="str">
        <f>IF(($A175=""),"",IF(COUNTIF(Mineral!$AJ$3:$AJ$324,$A175),"",$A175))</f>
        <v/>
      </c>
      <c r="AU170" t="str">
        <f>IFERROR(INDEX(Liste_Handelsünger[Handelsdünger],_xlfn.AGGREGATE(15,6,(ROW(Liste_Handelsünger[Handelsdünger])-1)/(--(SEARCH(AV$2,Liste_Handelsünger[Handelsdünger])&gt;0)),ROW()-2),1),"")</f>
        <v>AminoVital</v>
      </c>
      <c r="AV170" t="str">
        <f>IF(($A176=""),"",IF(COUNTIF(Mineral!$AJ$3:$AJ$324,$A176),"",$A176))</f>
        <v/>
      </c>
      <c r="AW170" t="str">
        <f>IFERROR(INDEX(Liste_Handelsünger[Handelsdünger],_xlfn.AGGREGATE(15,6,(ROW(Liste_Handelsünger[Handelsdünger])-1)/(--(SEARCH(AX$2,Liste_Handelsünger[Handelsdünger])&gt;0)),ROW()-2),1),"")</f>
        <v>AminoVital</v>
      </c>
      <c r="AX170" t="str">
        <f>IF(($A177=""),"",IF(COUNTIF(Mineral!$AJ$3:$AJ$324,$A177),"",$A177))</f>
        <v/>
      </c>
      <c r="AY170" t="str">
        <f>IFERROR(INDEX(Liste_Handelsünger[Handelsdünger],_xlfn.AGGREGATE(15,6,(ROW(Liste_Handelsünger[Handelsdünger])-1)/(--(SEARCH(AZ$2,Liste_Handelsünger[Handelsdünger])&gt;0)),ROW()-2),1),"")</f>
        <v>AminoVital</v>
      </c>
      <c r="AZ170" t="str">
        <f>IF(($A178=""),"",IF(COUNTIF(Mineral!$AJ$3:$AJ$324,$A178),"",$A178))</f>
        <v/>
      </c>
      <c r="BA170" t="str">
        <f>IFERROR(INDEX(Liste_Handelsünger[Handelsdünger],_xlfn.AGGREGATE(15,6,(ROW(Liste_Handelsünger[Handelsdünger])-1)/(--(SEARCH(BB$2,Liste_Handelsünger[Handelsdünger])&gt;0)),ROW()-2),1),"")</f>
        <v>AminoVital</v>
      </c>
      <c r="BB170" t="str">
        <f>IF(($A179=""),"",IF(COUNTIF(Mineral!$AJ$3:$AJ$324,$A179),"",$A179))</f>
        <v/>
      </c>
      <c r="BC170" t="str">
        <f>IFERROR(INDEX(Liste_Handelsünger[Handelsdünger],_xlfn.AGGREGATE(15,6,(ROW(Liste_Handelsünger[Handelsdünger])-1)/(--(SEARCH(BD$2,Liste_Handelsünger[Handelsdünger])&gt;0)),ROW()-2),1),"")</f>
        <v>AminoVital</v>
      </c>
      <c r="BD170" t="str">
        <f>IF(($A180=""),"",IF(COUNTIF(Mineral!$AJ$3:$AJ$324,$A180),"",$A180))</f>
        <v/>
      </c>
      <c r="BE170" t="str">
        <f>IFERROR(INDEX(Liste_Handelsünger[Handelsdünger],_xlfn.AGGREGATE(15,6,(ROW(Liste_Handelsünger[Handelsdünger])-1)/(--(SEARCH(BF$2,Liste_Handelsünger[Handelsdünger])&gt;0)),ROW()-2),1),"")</f>
        <v>AminoVital</v>
      </c>
      <c r="BF170" t="str">
        <f>IF(($A181=""),"",IF(COUNTIF(Mineral!$AJ$3:$AJ$324,$A181),"",$A181))</f>
        <v/>
      </c>
      <c r="BG170" t="str">
        <f>IFERROR(INDEX(Liste_Handelsünger[Handelsdünger],_xlfn.AGGREGATE(15,6,(ROW(Liste_Handelsünger[Handelsdünger])-1)/(--(SEARCH(BH$2,Liste_Handelsünger[Handelsdünger])&gt;0)),ROW()-2),1),"")</f>
        <v>AminoVital</v>
      </c>
      <c r="BH170" t="str">
        <f>IF(($A182=""),"",IF(COUNTIF(Mineral!$AJ$3:$AJ$324,$A182),"",$A182))</f>
        <v/>
      </c>
      <c r="BI170" t="str">
        <f>IFERROR(INDEX(Liste_Handelsünger[Handelsdünger],_xlfn.AGGREGATE(15,6,(ROW(Liste_Handelsünger[Handelsdünger])-1)/(--(SEARCH(BJ$2,Liste_Handelsünger[Handelsdünger])&gt;0)),ROW()-2),1),"")</f>
        <v>AminoVital</v>
      </c>
      <c r="BJ170" t="str">
        <f>IF(($A183=""),"",IF(COUNTIF(Mineral!$AJ$3:$AJ$324,$A183),"",$A183))</f>
        <v/>
      </c>
      <c r="BK170" t="str">
        <f>IFERROR(INDEX(Liste_Handelsünger[Handelsdünger],_xlfn.AGGREGATE(15,6,(ROW(Liste_Handelsünger[Handelsdünger])-1)/(--(SEARCH(BL$2,Liste_Handelsünger[Handelsdünger])&gt;0)),ROW()-2),1),"")</f>
        <v>AminoVital</v>
      </c>
      <c r="BM170" t="str">
        <f>IFERROR(INDEX(Liste_Handelsünger[Handelsdünger],_xlfn.AGGREGATE(15,6,(ROW(Liste_Handelsünger[Handelsdünger])-1)/(--(SEARCH(BN$2,Liste_Handelsünger[Handelsdünger])&gt;0)),ROW()-2),1),"")</f>
        <v>AminoVital</v>
      </c>
      <c r="BN170" t="str">
        <f>IF(($A185=""),"",IF(COUNTIF(Mineral!$AJ$3:$AJ$324,$A185),"",$A185))</f>
        <v/>
      </c>
      <c r="BV170" t="s">
        <v>2042</v>
      </c>
      <c r="BW170" t="s">
        <v>2308</v>
      </c>
    </row>
    <row r="171" spans="19:75" ht="14.25" thickTop="1" thickBot="1">
      <c r="S171" s="1616">
        <v>170</v>
      </c>
      <c r="T171" s="1617" t="s">
        <v>2006</v>
      </c>
      <c r="U171" s="1617" t="s">
        <v>2045</v>
      </c>
      <c r="V171" s="1617" t="s">
        <v>408</v>
      </c>
      <c r="W171" s="1617">
        <v>0</v>
      </c>
      <c r="X171" s="1617">
        <v>0</v>
      </c>
      <c r="Y171" s="1617">
        <v>10</v>
      </c>
      <c r="Z171" s="1617">
        <v>0</v>
      </c>
      <c r="AA171" s="1617">
        <v>0</v>
      </c>
      <c r="AB171" s="1617">
        <v>2.8000000000000003</v>
      </c>
      <c r="AC171" s="1617">
        <v>1</v>
      </c>
      <c r="AD171" s="1613">
        <v>1</v>
      </c>
      <c r="AE171" s="1617" t="s">
        <v>1764</v>
      </c>
      <c r="AF171" s="1613" t="str">
        <f t="shared" si="17"/>
        <v/>
      </c>
      <c r="AG171" s="1656">
        <f>IFERROR(IF($AF171&gt;0,VLOOKUP($U171,Tabelle1!$C$188:$L$212,5,0)*$AF171,0),0)</f>
        <v>0</v>
      </c>
      <c r="AH171" s="1656">
        <f t="shared" si="18"/>
        <v>0</v>
      </c>
      <c r="AJ171" t="str">
        <f>IF(Betrieb!$D$9="JA",Mineral!$BW171,Mineral!$BV171)</f>
        <v>ASPANGER GLIMMER MICA G</v>
      </c>
      <c r="AK171" s="1672" t="str">
        <f>IFERROR(INDEX(Liste_Handelsünger[Handelsdünger],_xlfn.AGGREGATE(15,6,(ROW(Liste_Handelsünger[Handelsdünger])-1)/(--(SEARCH(AL$2,Liste_Handelsünger[Handelsdünger])&gt;0)),ROW()-2),1),"")</f>
        <v>ASPANGER GLIMMER MICA G</v>
      </c>
      <c r="AL171" s="1672" t="str">
        <f>IF(($A$3=""),"",IF(COUNTIF(Mineral!$AJ$3:$AJ$324,$A$3),"",$A$3))</f>
        <v/>
      </c>
      <c r="AM171" s="1672" t="str">
        <f>IFERROR(INDEX(Liste_Handelsünger[Handelsdünger],_xlfn.AGGREGATE(15,6,(ROW(Liste_Handelsünger[Handelsdünger])-1)/(--(SEARCH(AN$2,Liste_Handelsünger[Handelsdünger])&gt;0)),ROW()-2),1),"")</f>
        <v>ASPANGER GLIMMER MICA G</v>
      </c>
      <c r="AN171" t="str">
        <f>IF(($A173=""),"",IF(COUNTIF(Mineral!$AJ$3:$AJ$324,$A173),"",$A173))</f>
        <v/>
      </c>
      <c r="AO171" t="str">
        <f>IFERROR(INDEX(Liste_Handelsünger[Handelsdünger],_xlfn.AGGREGATE(15,6,(ROW(Liste_Handelsünger[Handelsdünger])-1)/(--(SEARCH(AP$2,Liste_Handelsünger[Handelsdünger])&gt;0)),ROW()-2),1),"")</f>
        <v>ASPANGER GLIMMER MICA G</v>
      </c>
      <c r="AP171" t="str">
        <f>IF(($A174=""),"",IF(COUNTIF(Mineral!$AJ$3:$AJ$324,$A174),"",$A174))</f>
        <v/>
      </c>
      <c r="AQ171" t="str">
        <f>IFERROR(INDEX(Liste_Handelsünger[Handelsdünger],_xlfn.AGGREGATE(15,6,(ROW(Liste_Handelsünger[Handelsdünger])-1)/(--(SEARCH(AR$2,Liste_Handelsünger[Handelsdünger])&gt;0)),ROW()-2),1),"")</f>
        <v>ASPANGER GLIMMER MICA G</v>
      </c>
      <c r="AR171" t="str">
        <f>IF(($A175=""),"",IF(COUNTIF(Mineral!$AJ$3:$AJ$324,$A175),"",$A175))</f>
        <v/>
      </c>
      <c r="AS171" t="str">
        <f>IFERROR(INDEX(Liste_Handelsünger[Handelsdünger],_xlfn.AGGREGATE(15,6,(ROW(Liste_Handelsünger[Handelsdünger])-1)/(--(SEARCH(AT$2,Liste_Handelsünger[Handelsdünger])&gt;0)),ROW()-2),1),"")</f>
        <v>ASPANGER GLIMMER MICA G</v>
      </c>
      <c r="AT171" t="str">
        <f>IF(($A176=""),"",IF(COUNTIF(Mineral!$AJ$3:$AJ$324,$A176),"",$A176))</f>
        <v/>
      </c>
      <c r="AU171" t="str">
        <f>IFERROR(INDEX(Liste_Handelsünger[Handelsdünger],_xlfn.AGGREGATE(15,6,(ROW(Liste_Handelsünger[Handelsdünger])-1)/(--(SEARCH(AV$2,Liste_Handelsünger[Handelsdünger])&gt;0)),ROW()-2),1),"")</f>
        <v>ASPANGER GLIMMER MICA G</v>
      </c>
      <c r="AV171" t="str">
        <f>IF(($A177=""),"",IF(COUNTIF(Mineral!$AJ$3:$AJ$324,$A177),"",$A177))</f>
        <v/>
      </c>
      <c r="AW171" t="str">
        <f>IFERROR(INDEX(Liste_Handelsünger[Handelsdünger],_xlfn.AGGREGATE(15,6,(ROW(Liste_Handelsünger[Handelsdünger])-1)/(--(SEARCH(AX$2,Liste_Handelsünger[Handelsdünger])&gt;0)),ROW()-2),1),"")</f>
        <v>ASPANGER GLIMMER MICA G</v>
      </c>
      <c r="AX171" t="str">
        <f>IF(($A178=""),"",IF(COUNTIF(Mineral!$AJ$3:$AJ$324,$A178),"",$A178))</f>
        <v/>
      </c>
      <c r="AY171" t="str">
        <f>IFERROR(INDEX(Liste_Handelsünger[Handelsdünger],_xlfn.AGGREGATE(15,6,(ROW(Liste_Handelsünger[Handelsdünger])-1)/(--(SEARCH(AZ$2,Liste_Handelsünger[Handelsdünger])&gt;0)),ROW()-2),1),"")</f>
        <v>ASPANGER GLIMMER MICA G</v>
      </c>
      <c r="AZ171" t="str">
        <f>IF(($A179=""),"",IF(COUNTIF(Mineral!$AJ$3:$AJ$324,$A179),"",$A179))</f>
        <v/>
      </c>
      <c r="BA171" t="str">
        <f>IFERROR(INDEX(Liste_Handelsünger[Handelsdünger],_xlfn.AGGREGATE(15,6,(ROW(Liste_Handelsünger[Handelsdünger])-1)/(--(SEARCH(BB$2,Liste_Handelsünger[Handelsdünger])&gt;0)),ROW()-2),1),"")</f>
        <v>ASPANGER GLIMMER MICA G</v>
      </c>
      <c r="BB171" t="str">
        <f>IF(($A180=""),"",IF(COUNTIF(Mineral!$AJ$3:$AJ$324,$A180),"",$A180))</f>
        <v/>
      </c>
      <c r="BC171" t="str">
        <f>IFERROR(INDEX(Liste_Handelsünger[Handelsdünger],_xlfn.AGGREGATE(15,6,(ROW(Liste_Handelsünger[Handelsdünger])-1)/(--(SEARCH(BD$2,Liste_Handelsünger[Handelsdünger])&gt;0)),ROW()-2),1),"")</f>
        <v>ASPANGER GLIMMER MICA G</v>
      </c>
      <c r="BD171" t="str">
        <f>IF(($A181=""),"",IF(COUNTIF(Mineral!$AJ$3:$AJ$324,$A181),"",$A181))</f>
        <v/>
      </c>
      <c r="BE171" t="str">
        <f>IFERROR(INDEX(Liste_Handelsünger[Handelsdünger],_xlfn.AGGREGATE(15,6,(ROW(Liste_Handelsünger[Handelsdünger])-1)/(--(SEARCH(BF$2,Liste_Handelsünger[Handelsdünger])&gt;0)),ROW()-2),1),"")</f>
        <v>ASPANGER GLIMMER MICA G</v>
      </c>
      <c r="BF171" t="str">
        <f>IF(($A182=""),"",IF(COUNTIF(Mineral!$AJ$3:$AJ$324,$A182),"",$A182))</f>
        <v/>
      </c>
      <c r="BG171" t="str">
        <f>IFERROR(INDEX(Liste_Handelsünger[Handelsdünger],_xlfn.AGGREGATE(15,6,(ROW(Liste_Handelsünger[Handelsdünger])-1)/(--(SEARCH(BH$2,Liste_Handelsünger[Handelsdünger])&gt;0)),ROW()-2),1),"")</f>
        <v>ASPANGER GLIMMER MICA G</v>
      </c>
      <c r="BH171" t="str">
        <f>IF(($A183=""),"",IF(COUNTIF(Mineral!$AJ$3:$AJ$324,$A183),"",$A183))</f>
        <v/>
      </c>
      <c r="BI171" t="str">
        <f>IFERROR(INDEX(Liste_Handelsünger[Handelsdünger],_xlfn.AGGREGATE(15,6,(ROW(Liste_Handelsünger[Handelsdünger])-1)/(--(SEARCH(BJ$2,Liste_Handelsünger[Handelsdünger])&gt;0)),ROW()-2),1),"")</f>
        <v>ASPANGER GLIMMER MICA G</v>
      </c>
      <c r="BJ171" t="str">
        <f>IF(($A184=""),"",IF(COUNTIF(Mineral!$AJ$3:$AJ$324,$A184),"",$A184))</f>
        <v/>
      </c>
      <c r="BK171" t="str">
        <f>IFERROR(INDEX(Liste_Handelsünger[Handelsdünger],_xlfn.AGGREGATE(15,6,(ROW(Liste_Handelsünger[Handelsdünger])-1)/(--(SEARCH(BL$2,Liste_Handelsünger[Handelsdünger])&gt;0)),ROW()-2),1),"")</f>
        <v>ASPANGER GLIMMER MICA G</v>
      </c>
      <c r="BM171" t="str">
        <f>IFERROR(INDEX(Liste_Handelsünger[Handelsdünger],_xlfn.AGGREGATE(15,6,(ROW(Liste_Handelsünger[Handelsdünger])-1)/(--(SEARCH(BN$2,Liste_Handelsünger[Handelsdünger])&gt;0)),ROW()-2),1),"")</f>
        <v>ASPANGER GLIMMER MICA G</v>
      </c>
      <c r="BN171" t="str">
        <f>IF(($A186=""),"",IF(COUNTIF(Mineral!$AJ$3:$AJ$324,$A186),"",$A186))</f>
        <v/>
      </c>
      <c r="BV171" t="s">
        <v>2045</v>
      </c>
      <c r="BW171" t="s">
        <v>2315</v>
      </c>
    </row>
    <row r="172" spans="19:75" ht="14.25" thickTop="1" thickBot="1">
      <c r="S172" s="1676">
        <v>171</v>
      </c>
      <c r="T172" s="1606" t="s">
        <v>2006</v>
      </c>
      <c r="U172" s="1606" t="s">
        <v>2047</v>
      </c>
      <c r="V172" s="1606" t="s">
        <v>408</v>
      </c>
      <c r="W172" s="1606">
        <v>0</v>
      </c>
      <c r="X172" s="1606">
        <v>0</v>
      </c>
      <c r="Y172" s="1606">
        <v>0</v>
      </c>
      <c r="Z172" s="1606">
        <v>0</v>
      </c>
      <c r="AA172" s="1606">
        <v>0</v>
      </c>
      <c r="AB172" s="1606">
        <v>0</v>
      </c>
      <c r="AC172" s="1606">
        <v>1</v>
      </c>
      <c r="AD172" s="1613">
        <v>1</v>
      </c>
      <c r="AE172" s="1606" t="s">
        <v>1764</v>
      </c>
      <c r="AF172" s="1613" t="str">
        <f t="shared" si="17"/>
        <v/>
      </c>
      <c r="AG172" s="1656">
        <f>IFERROR(IF($AF172&gt;0,VLOOKUP($U172,Tabelle1!$C$188:$L$212,5,0)*$AF172,0),0)</f>
        <v>0</v>
      </c>
      <c r="AH172" s="1656">
        <f t="shared" si="18"/>
        <v>0</v>
      </c>
      <c r="AJ172" t="str">
        <f>IF(Betrieb!$D$9="JA",Mineral!$BW172,Mineral!$BV172)</f>
        <v>B&amp;P Kräuterextrakt</v>
      </c>
      <c r="AK172" s="1672" t="str">
        <f>IFERROR(INDEX(Liste_Handelsünger[Handelsdünger],_xlfn.AGGREGATE(15,6,(ROW(Liste_Handelsünger[Handelsdünger])-1)/(--(SEARCH(AL$2,Liste_Handelsünger[Handelsdünger])&gt;0)),ROW()-2),1),"")</f>
        <v>B&amp;P Kräuterextrakt</v>
      </c>
      <c r="AL172" s="1672" t="str">
        <f>IF(($A$3=""),"",IF(COUNTIF(Mineral!$AJ$3:$AJ$324,$A$3),"",$A$3))</f>
        <v/>
      </c>
      <c r="AM172" s="1672" t="str">
        <f>IFERROR(INDEX(Liste_Handelsünger[Handelsdünger],_xlfn.AGGREGATE(15,6,(ROW(Liste_Handelsünger[Handelsdünger])-1)/(--(SEARCH(AN$2,Liste_Handelsünger[Handelsdünger])&gt;0)),ROW()-2),1),"")</f>
        <v>B&amp;P Kräuterextrakt</v>
      </c>
      <c r="AN172" t="str">
        <f>IF(($A174=""),"",IF(COUNTIF(Mineral!$AJ$3:$AJ$324,$A174),"",$A174))</f>
        <v/>
      </c>
      <c r="AO172" t="str">
        <f>IFERROR(INDEX(Liste_Handelsünger[Handelsdünger],_xlfn.AGGREGATE(15,6,(ROW(Liste_Handelsünger[Handelsdünger])-1)/(--(SEARCH(AP$2,Liste_Handelsünger[Handelsdünger])&gt;0)),ROW()-2),1),"")</f>
        <v>B&amp;P Kräuterextrakt</v>
      </c>
      <c r="AP172" t="str">
        <f>IF(($A175=""),"",IF(COUNTIF(Mineral!$AJ$3:$AJ$324,$A175),"",$A175))</f>
        <v/>
      </c>
      <c r="AQ172" t="str">
        <f>IFERROR(INDEX(Liste_Handelsünger[Handelsdünger],_xlfn.AGGREGATE(15,6,(ROW(Liste_Handelsünger[Handelsdünger])-1)/(--(SEARCH(AR$2,Liste_Handelsünger[Handelsdünger])&gt;0)),ROW()-2),1),"")</f>
        <v>B&amp;P Kräuterextrakt</v>
      </c>
      <c r="AR172" t="str">
        <f>IF(($A176=""),"",IF(COUNTIF(Mineral!$AJ$3:$AJ$324,$A176),"",$A176))</f>
        <v/>
      </c>
      <c r="AS172" t="str">
        <f>IFERROR(INDEX(Liste_Handelsünger[Handelsdünger],_xlfn.AGGREGATE(15,6,(ROW(Liste_Handelsünger[Handelsdünger])-1)/(--(SEARCH(AT$2,Liste_Handelsünger[Handelsdünger])&gt;0)),ROW()-2),1),"")</f>
        <v>B&amp;P Kräuterextrakt</v>
      </c>
      <c r="AT172" t="str">
        <f>IF(($A177=""),"",IF(COUNTIF(Mineral!$AJ$3:$AJ$324,$A177),"",$A177))</f>
        <v/>
      </c>
      <c r="AU172" t="str">
        <f>IFERROR(INDEX(Liste_Handelsünger[Handelsdünger],_xlfn.AGGREGATE(15,6,(ROW(Liste_Handelsünger[Handelsdünger])-1)/(--(SEARCH(AV$2,Liste_Handelsünger[Handelsdünger])&gt;0)),ROW()-2),1),"")</f>
        <v>B&amp;P Kräuterextrakt</v>
      </c>
      <c r="AV172" t="str">
        <f>IF(($A178=""),"",IF(COUNTIF(Mineral!$AJ$3:$AJ$324,$A178),"",$A178))</f>
        <v/>
      </c>
      <c r="AW172" t="str">
        <f>IFERROR(INDEX(Liste_Handelsünger[Handelsdünger],_xlfn.AGGREGATE(15,6,(ROW(Liste_Handelsünger[Handelsdünger])-1)/(--(SEARCH(AX$2,Liste_Handelsünger[Handelsdünger])&gt;0)),ROW()-2),1),"")</f>
        <v>B&amp;P Kräuterextrakt</v>
      </c>
      <c r="AX172" t="str">
        <f>IF(($A179=""),"",IF(COUNTIF(Mineral!$AJ$3:$AJ$324,$A179),"",$A179))</f>
        <v/>
      </c>
      <c r="AY172" t="str">
        <f>IFERROR(INDEX(Liste_Handelsünger[Handelsdünger],_xlfn.AGGREGATE(15,6,(ROW(Liste_Handelsünger[Handelsdünger])-1)/(--(SEARCH(AZ$2,Liste_Handelsünger[Handelsdünger])&gt;0)),ROW()-2),1),"")</f>
        <v>B&amp;P Kräuterextrakt</v>
      </c>
      <c r="AZ172" t="str">
        <f>IF(($A180=""),"",IF(COUNTIF(Mineral!$AJ$3:$AJ$324,$A180),"",$A180))</f>
        <v/>
      </c>
      <c r="BA172" t="str">
        <f>IFERROR(INDEX(Liste_Handelsünger[Handelsdünger],_xlfn.AGGREGATE(15,6,(ROW(Liste_Handelsünger[Handelsdünger])-1)/(--(SEARCH(BB$2,Liste_Handelsünger[Handelsdünger])&gt;0)),ROW()-2),1),"")</f>
        <v>B&amp;P Kräuterextrakt</v>
      </c>
      <c r="BB172" t="str">
        <f>IF(($A181=""),"",IF(COUNTIF(Mineral!$AJ$3:$AJ$324,$A181),"",$A181))</f>
        <v/>
      </c>
      <c r="BC172" t="str">
        <f>IFERROR(INDEX(Liste_Handelsünger[Handelsdünger],_xlfn.AGGREGATE(15,6,(ROW(Liste_Handelsünger[Handelsdünger])-1)/(--(SEARCH(BD$2,Liste_Handelsünger[Handelsdünger])&gt;0)),ROW()-2),1),"")</f>
        <v>B&amp;P Kräuterextrakt</v>
      </c>
      <c r="BD172" t="str">
        <f>IF(($A182=""),"",IF(COUNTIF(Mineral!$AJ$3:$AJ$324,$A182),"",$A182))</f>
        <v/>
      </c>
      <c r="BE172" t="str">
        <f>IFERROR(INDEX(Liste_Handelsünger[Handelsdünger],_xlfn.AGGREGATE(15,6,(ROW(Liste_Handelsünger[Handelsdünger])-1)/(--(SEARCH(BF$2,Liste_Handelsünger[Handelsdünger])&gt;0)),ROW()-2),1),"")</f>
        <v>B&amp;P Kräuterextrakt</v>
      </c>
      <c r="BF172" t="str">
        <f>IF(($A183=""),"",IF(COUNTIF(Mineral!$AJ$3:$AJ$324,$A183),"",$A183))</f>
        <v/>
      </c>
      <c r="BG172" t="str">
        <f>IFERROR(INDEX(Liste_Handelsünger[Handelsdünger],_xlfn.AGGREGATE(15,6,(ROW(Liste_Handelsünger[Handelsdünger])-1)/(--(SEARCH(BH$2,Liste_Handelsünger[Handelsdünger])&gt;0)),ROW()-2),1),"")</f>
        <v>B&amp;P Kräuterextrakt</v>
      </c>
      <c r="BH172" t="str">
        <f>IF(($A184=""),"",IF(COUNTIF(Mineral!$AJ$3:$AJ$324,$A184),"",$A184))</f>
        <v/>
      </c>
      <c r="BI172" t="str">
        <f>IFERROR(INDEX(Liste_Handelsünger[Handelsdünger],_xlfn.AGGREGATE(15,6,(ROW(Liste_Handelsünger[Handelsdünger])-1)/(--(SEARCH(BJ$2,Liste_Handelsünger[Handelsdünger])&gt;0)),ROW()-2),1),"")</f>
        <v>B&amp;P Kräuterextrakt</v>
      </c>
      <c r="BJ172" t="str">
        <f>IF(($A185=""),"",IF(COUNTIF(Mineral!$AJ$3:$AJ$324,$A185),"",$A185))</f>
        <v/>
      </c>
      <c r="BK172" t="str">
        <f>IFERROR(INDEX(Liste_Handelsünger[Handelsdünger],_xlfn.AGGREGATE(15,6,(ROW(Liste_Handelsünger[Handelsdünger])-1)/(--(SEARCH(BL$2,Liste_Handelsünger[Handelsdünger])&gt;0)),ROW()-2),1),"")</f>
        <v>B&amp;P Kräuterextrakt</v>
      </c>
      <c r="BM172" t="str">
        <f>IFERROR(INDEX(Liste_Handelsünger[Handelsdünger],_xlfn.AGGREGATE(15,6,(ROW(Liste_Handelsünger[Handelsdünger])-1)/(--(SEARCH(BN$2,Liste_Handelsünger[Handelsdünger])&gt;0)),ROW()-2),1),"")</f>
        <v>B&amp;P Kräuterextrakt</v>
      </c>
      <c r="BN172" t="str">
        <f>IF(($A187=""),"",IF(COUNTIF(Mineral!$AJ$3:$AJ$324,$A187),"",$A187))</f>
        <v/>
      </c>
      <c r="BV172" t="s">
        <v>2047</v>
      </c>
      <c r="BW172" t="s">
        <v>2316</v>
      </c>
    </row>
    <row r="173" spans="19:75" ht="14.25" thickTop="1" thickBot="1">
      <c r="S173" s="1616">
        <v>172</v>
      </c>
      <c r="T173" s="1617" t="s">
        <v>2006</v>
      </c>
      <c r="U173" s="1617" t="s">
        <v>2048</v>
      </c>
      <c r="V173" s="1617" t="s">
        <v>408</v>
      </c>
      <c r="W173" s="1617">
        <v>0.2</v>
      </c>
      <c r="X173" s="1617">
        <v>0.02</v>
      </c>
      <c r="Y173" s="1617">
        <v>0.82000000000000006</v>
      </c>
      <c r="Z173" s="1617">
        <v>0</v>
      </c>
      <c r="AA173" s="1617">
        <v>0.02</v>
      </c>
      <c r="AB173" s="1617">
        <v>0.03</v>
      </c>
      <c r="AC173" s="1617">
        <v>0.5</v>
      </c>
      <c r="AD173" s="1613">
        <v>0.91</v>
      </c>
      <c r="AE173" s="1617" t="s">
        <v>2037</v>
      </c>
      <c r="AF173" s="1613" t="str">
        <f t="shared" si="17"/>
        <v/>
      </c>
      <c r="AG173" s="1656">
        <f>IFERROR(IF($AF173&gt;0,VLOOKUP($U173,Tabelle1!$C$188:$L$212,5,0)*$AF173,0),0)</f>
        <v>0</v>
      </c>
      <c r="AH173" s="1656">
        <f t="shared" si="18"/>
        <v>0</v>
      </c>
      <c r="AJ173" t="str">
        <f>IF(Betrieb!$D$9="JA",Mineral!$BW173,Mineral!$BV173)</f>
        <v>Bactiva</v>
      </c>
      <c r="AK173" s="1672" t="str">
        <f>IFERROR(INDEX(Liste_Handelsünger[Handelsdünger],_xlfn.AGGREGATE(15,6,(ROW(Liste_Handelsünger[Handelsdünger])-1)/(--(SEARCH(AL$2,Liste_Handelsünger[Handelsdünger])&gt;0)),ROW()-2),1),"")</f>
        <v>Bactiva</v>
      </c>
      <c r="AL173" s="1672" t="str">
        <f>IF(($A$3=""),"",IF(COUNTIF(Mineral!$AJ$3:$AJ$324,$A$3),"",$A$3))</f>
        <v/>
      </c>
      <c r="AM173" s="1672" t="str">
        <f>IFERROR(INDEX(Liste_Handelsünger[Handelsdünger],_xlfn.AGGREGATE(15,6,(ROW(Liste_Handelsünger[Handelsdünger])-1)/(--(SEARCH(AN$2,Liste_Handelsünger[Handelsdünger])&gt;0)),ROW()-2),1),"")</f>
        <v>Bactiva</v>
      </c>
      <c r="AN173" t="str">
        <f>IF(($A175=""),"",IF(COUNTIF(Mineral!$AJ$3:$AJ$324,$A175),"",$A175))</f>
        <v/>
      </c>
      <c r="AO173" t="str">
        <f>IFERROR(INDEX(Liste_Handelsünger[Handelsdünger],_xlfn.AGGREGATE(15,6,(ROW(Liste_Handelsünger[Handelsdünger])-1)/(--(SEARCH(AP$2,Liste_Handelsünger[Handelsdünger])&gt;0)),ROW()-2),1),"")</f>
        <v>Bactiva</v>
      </c>
      <c r="AP173" t="str">
        <f>IF(($A176=""),"",IF(COUNTIF(Mineral!$AJ$3:$AJ$324,$A176),"",$A176))</f>
        <v/>
      </c>
      <c r="AQ173" t="str">
        <f>IFERROR(INDEX(Liste_Handelsünger[Handelsdünger],_xlfn.AGGREGATE(15,6,(ROW(Liste_Handelsünger[Handelsdünger])-1)/(--(SEARCH(AR$2,Liste_Handelsünger[Handelsdünger])&gt;0)),ROW()-2),1),"")</f>
        <v>Bactiva</v>
      </c>
      <c r="AR173" t="str">
        <f>IF(($A177=""),"",IF(COUNTIF(Mineral!$AJ$3:$AJ$324,$A177),"",$A177))</f>
        <v/>
      </c>
      <c r="AS173" t="str">
        <f>IFERROR(INDEX(Liste_Handelsünger[Handelsdünger],_xlfn.AGGREGATE(15,6,(ROW(Liste_Handelsünger[Handelsdünger])-1)/(--(SEARCH(AT$2,Liste_Handelsünger[Handelsdünger])&gt;0)),ROW()-2),1),"")</f>
        <v>Bactiva</v>
      </c>
      <c r="AT173" t="str">
        <f>IF(($A178=""),"",IF(COUNTIF(Mineral!$AJ$3:$AJ$324,$A178),"",$A178))</f>
        <v/>
      </c>
      <c r="AU173" t="str">
        <f>IFERROR(INDEX(Liste_Handelsünger[Handelsdünger],_xlfn.AGGREGATE(15,6,(ROW(Liste_Handelsünger[Handelsdünger])-1)/(--(SEARCH(AV$2,Liste_Handelsünger[Handelsdünger])&gt;0)),ROW()-2),1),"")</f>
        <v>Bactiva</v>
      </c>
      <c r="AV173" t="str">
        <f>IF(($A179=""),"",IF(COUNTIF(Mineral!$AJ$3:$AJ$324,$A179),"",$A179))</f>
        <v/>
      </c>
      <c r="AW173" t="str">
        <f>IFERROR(INDEX(Liste_Handelsünger[Handelsdünger],_xlfn.AGGREGATE(15,6,(ROW(Liste_Handelsünger[Handelsdünger])-1)/(--(SEARCH(AX$2,Liste_Handelsünger[Handelsdünger])&gt;0)),ROW()-2),1),"")</f>
        <v>Bactiva</v>
      </c>
      <c r="AX173" t="str">
        <f>IF(($A180=""),"",IF(COUNTIF(Mineral!$AJ$3:$AJ$324,$A180),"",$A180))</f>
        <v/>
      </c>
      <c r="AY173" t="str">
        <f>IFERROR(INDEX(Liste_Handelsünger[Handelsdünger],_xlfn.AGGREGATE(15,6,(ROW(Liste_Handelsünger[Handelsdünger])-1)/(--(SEARCH(AZ$2,Liste_Handelsünger[Handelsdünger])&gt;0)),ROW()-2),1),"")</f>
        <v>Bactiva</v>
      </c>
      <c r="AZ173" t="str">
        <f>IF(($A181=""),"",IF(COUNTIF(Mineral!$AJ$3:$AJ$324,$A181),"",$A181))</f>
        <v/>
      </c>
      <c r="BA173" t="str">
        <f>IFERROR(INDEX(Liste_Handelsünger[Handelsdünger],_xlfn.AGGREGATE(15,6,(ROW(Liste_Handelsünger[Handelsdünger])-1)/(--(SEARCH(BB$2,Liste_Handelsünger[Handelsdünger])&gt;0)),ROW()-2),1),"")</f>
        <v>Bactiva</v>
      </c>
      <c r="BB173" t="str">
        <f>IF(($A182=""),"",IF(COUNTIF(Mineral!$AJ$3:$AJ$324,$A182),"",$A182))</f>
        <v/>
      </c>
      <c r="BC173" t="str">
        <f>IFERROR(INDEX(Liste_Handelsünger[Handelsdünger],_xlfn.AGGREGATE(15,6,(ROW(Liste_Handelsünger[Handelsdünger])-1)/(--(SEARCH(BD$2,Liste_Handelsünger[Handelsdünger])&gt;0)),ROW()-2),1),"")</f>
        <v>Bactiva</v>
      </c>
      <c r="BD173" t="str">
        <f>IF(($A183=""),"",IF(COUNTIF(Mineral!$AJ$3:$AJ$324,$A183),"",$A183))</f>
        <v/>
      </c>
      <c r="BE173" t="str">
        <f>IFERROR(INDEX(Liste_Handelsünger[Handelsdünger],_xlfn.AGGREGATE(15,6,(ROW(Liste_Handelsünger[Handelsdünger])-1)/(--(SEARCH(BF$2,Liste_Handelsünger[Handelsdünger])&gt;0)),ROW()-2),1),"")</f>
        <v>Bactiva</v>
      </c>
      <c r="BF173" t="str">
        <f>IF(($A184=""),"",IF(COUNTIF(Mineral!$AJ$3:$AJ$324,$A184),"",$A184))</f>
        <v/>
      </c>
      <c r="BG173" t="str">
        <f>IFERROR(INDEX(Liste_Handelsünger[Handelsdünger],_xlfn.AGGREGATE(15,6,(ROW(Liste_Handelsünger[Handelsdünger])-1)/(--(SEARCH(BH$2,Liste_Handelsünger[Handelsdünger])&gt;0)),ROW()-2),1),"")</f>
        <v>Bactiva</v>
      </c>
      <c r="BH173" t="str">
        <f>IF(($A185=""),"",IF(COUNTIF(Mineral!$AJ$3:$AJ$324,$A185),"",$A185))</f>
        <v/>
      </c>
      <c r="BI173" t="str">
        <f>IFERROR(INDEX(Liste_Handelsünger[Handelsdünger],_xlfn.AGGREGATE(15,6,(ROW(Liste_Handelsünger[Handelsdünger])-1)/(--(SEARCH(BJ$2,Liste_Handelsünger[Handelsdünger])&gt;0)),ROW()-2),1),"")</f>
        <v>Bactiva</v>
      </c>
      <c r="BJ173" t="str">
        <f>IF(($A186=""),"",IF(COUNTIF(Mineral!$AJ$3:$AJ$324,$A186),"",$A186))</f>
        <v/>
      </c>
      <c r="BK173" t="str">
        <f>IFERROR(INDEX(Liste_Handelsünger[Handelsdünger],_xlfn.AGGREGATE(15,6,(ROW(Liste_Handelsünger[Handelsdünger])-1)/(--(SEARCH(BL$2,Liste_Handelsünger[Handelsdünger])&gt;0)),ROW()-2),1),"")</f>
        <v>Bactiva</v>
      </c>
      <c r="BM173" t="str">
        <f>IFERROR(INDEX(Liste_Handelsünger[Handelsdünger],_xlfn.AGGREGATE(15,6,(ROW(Liste_Handelsünger[Handelsdünger])-1)/(--(SEARCH(BN$2,Liste_Handelsünger[Handelsdünger])&gt;0)),ROW()-2),1),"")</f>
        <v>Bactiva</v>
      </c>
      <c r="BN173" t="str">
        <f>IF(($A188=""),"",IF(COUNTIF(Mineral!$AJ$3:$AJ$324,$A188),"",$A188))</f>
        <v/>
      </c>
      <c r="BV173" t="s">
        <v>2048</v>
      </c>
      <c r="BW173" t="s">
        <v>2317</v>
      </c>
    </row>
    <row r="174" spans="19:75" ht="14.25" thickTop="1" thickBot="1">
      <c r="S174" s="1676">
        <v>173</v>
      </c>
      <c r="T174" s="1606" t="s">
        <v>2006</v>
      </c>
      <c r="U174" s="1606" t="s">
        <v>2050</v>
      </c>
      <c r="V174" s="1606" t="s">
        <v>408</v>
      </c>
      <c r="W174" s="1606">
        <v>0</v>
      </c>
      <c r="X174" s="1606">
        <v>0</v>
      </c>
      <c r="Y174" s="1606">
        <v>0</v>
      </c>
      <c r="Z174" s="1606">
        <v>0</v>
      </c>
      <c r="AA174" s="1606">
        <v>11</v>
      </c>
      <c r="AB174" s="1606">
        <v>8</v>
      </c>
      <c r="AC174" s="1606">
        <v>1</v>
      </c>
      <c r="AD174" s="1613">
        <v>1</v>
      </c>
      <c r="AE174" s="1606" t="s">
        <v>1764</v>
      </c>
      <c r="AF174" s="1613" t="str">
        <f t="shared" si="17"/>
        <v/>
      </c>
      <c r="AG174" s="1656">
        <f>IFERROR(IF($AF174&gt;0,VLOOKUP($U174,Tabelle1!$C$188:$L$212,5,0)*$AF174,0),0)</f>
        <v>0</v>
      </c>
      <c r="AH174" s="1656">
        <f t="shared" si="18"/>
        <v>0</v>
      </c>
      <c r="AJ174" t="str">
        <f>IF(Betrieb!$D$9="JA",Mineral!$BW174,Mineral!$BV174)</f>
        <v>Basaltmehl</v>
      </c>
      <c r="AK174" s="1672" t="str">
        <f>IFERROR(INDEX(Liste_Handelsünger[Handelsdünger],_xlfn.AGGREGATE(15,6,(ROW(Liste_Handelsünger[Handelsdünger])-1)/(--(SEARCH(AL$2,Liste_Handelsünger[Handelsdünger])&gt;0)),ROW()-2),1),"")</f>
        <v>Basaltmehl</v>
      </c>
      <c r="AL174" s="1672" t="str">
        <f>IF(($A$3=""),"",IF(COUNTIF(Mineral!$AJ$3:$AJ$324,$A$3),"",$A$3))</f>
        <v/>
      </c>
      <c r="AM174" s="1672" t="str">
        <f>IFERROR(INDEX(Liste_Handelsünger[Handelsdünger],_xlfn.AGGREGATE(15,6,(ROW(Liste_Handelsünger[Handelsdünger])-1)/(--(SEARCH(AN$2,Liste_Handelsünger[Handelsdünger])&gt;0)),ROW()-2),1),"")</f>
        <v>Basaltmehl</v>
      </c>
      <c r="AN174" t="str">
        <f>IF(($A176=""),"",IF(COUNTIF(Mineral!$AJ$3:$AJ$324,$A176),"",$A176))</f>
        <v/>
      </c>
      <c r="AO174" t="str">
        <f>IFERROR(INDEX(Liste_Handelsünger[Handelsdünger],_xlfn.AGGREGATE(15,6,(ROW(Liste_Handelsünger[Handelsdünger])-1)/(--(SEARCH(AP$2,Liste_Handelsünger[Handelsdünger])&gt;0)),ROW()-2),1),"")</f>
        <v>Basaltmehl</v>
      </c>
      <c r="AP174" t="str">
        <f>IF(($A177=""),"",IF(COUNTIF(Mineral!$AJ$3:$AJ$324,$A177),"",$A177))</f>
        <v/>
      </c>
      <c r="AQ174" t="str">
        <f>IFERROR(INDEX(Liste_Handelsünger[Handelsdünger],_xlfn.AGGREGATE(15,6,(ROW(Liste_Handelsünger[Handelsdünger])-1)/(--(SEARCH(AR$2,Liste_Handelsünger[Handelsdünger])&gt;0)),ROW()-2),1),"")</f>
        <v>Basaltmehl</v>
      </c>
      <c r="AR174" t="str">
        <f>IF(($A178=""),"",IF(COUNTIF(Mineral!$AJ$3:$AJ$324,$A178),"",$A178))</f>
        <v/>
      </c>
      <c r="AS174" t="str">
        <f>IFERROR(INDEX(Liste_Handelsünger[Handelsdünger],_xlfn.AGGREGATE(15,6,(ROW(Liste_Handelsünger[Handelsdünger])-1)/(--(SEARCH(AT$2,Liste_Handelsünger[Handelsdünger])&gt;0)),ROW()-2),1),"")</f>
        <v>Basaltmehl</v>
      </c>
      <c r="AT174" t="str">
        <f>IF(($A179=""),"",IF(COUNTIF(Mineral!$AJ$3:$AJ$324,$A179),"",$A179))</f>
        <v/>
      </c>
      <c r="AU174" t="str">
        <f>IFERROR(INDEX(Liste_Handelsünger[Handelsdünger],_xlfn.AGGREGATE(15,6,(ROW(Liste_Handelsünger[Handelsdünger])-1)/(--(SEARCH(AV$2,Liste_Handelsünger[Handelsdünger])&gt;0)),ROW()-2),1),"")</f>
        <v>Basaltmehl</v>
      </c>
      <c r="AV174" t="str">
        <f>IF(($A180=""),"",IF(COUNTIF(Mineral!$AJ$3:$AJ$324,$A180),"",$A180))</f>
        <v/>
      </c>
      <c r="AW174" t="str">
        <f>IFERROR(INDEX(Liste_Handelsünger[Handelsdünger],_xlfn.AGGREGATE(15,6,(ROW(Liste_Handelsünger[Handelsdünger])-1)/(--(SEARCH(AX$2,Liste_Handelsünger[Handelsdünger])&gt;0)),ROW()-2),1),"")</f>
        <v>Basaltmehl</v>
      </c>
      <c r="AX174" t="str">
        <f>IF(($A181=""),"",IF(COUNTIF(Mineral!$AJ$3:$AJ$324,$A181),"",$A181))</f>
        <v/>
      </c>
      <c r="AY174" t="str">
        <f>IFERROR(INDEX(Liste_Handelsünger[Handelsdünger],_xlfn.AGGREGATE(15,6,(ROW(Liste_Handelsünger[Handelsdünger])-1)/(--(SEARCH(AZ$2,Liste_Handelsünger[Handelsdünger])&gt;0)),ROW()-2),1),"")</f>
        <v>Basaltmehl</v>
      </c>
      <c r="AZ174" t="str">
        <f>IF(($A182=""),"",IF(COUNTIF(Mineral!$AJ$3:$AJ$324,$A182),"",$A182))</f>
        <v/>
      </c>
      <c r="BA174" t="str">
        <f>IFERROR(INDEX(Liste_Handelsünger[Handelsdünger],_xlfn.AGGREGATE(15,6,(ROW(Liste_Handelsünger[Handelsdünger])-1)/(--(SEARCH(BB$2,Liste_Handelsünger[Handelsdünger])&gt;0)),ROW()-2),1),"")</f>
        <v>Basaltmehl</v>
      </c>
      <c r="BB174" t="str">
        <f>IF(($A183=""),"",IF(COUNTIF(Mineral!$AJ$3:$AJ$324,$A183),"",$A183))</f>
        <v/>
      </c>
      <c r="BC174" t="str">
        <f>IFERROR(INDEX(Liste_Handelsünger[Handelsdünger],_xlfn.AGGREGATE(15,6,(ROW(Liste_Handelsünger[Handelsdünger])-1)/(--(SEARCH(BD$2,Liste_Handelsünger[Handelsdünger])&gt;0)),ROW()-2),1),"")</f>
        <v>Basaltmehl</v>
      </c>
      <c r="BD174" t="str">
        <f>IF(($A184=""),"",IF(COUNTIF(Mineral!$AJ$3:$AJ$324,$A184),"",$A184))</f>
        <v/>
      </c>
      <c r="BE174" t="str">
        <f>IFERROR(INDEX(Liste_Handelsünger[Handelsdünger],_xlfn.AGGREGATE(15,6,(ROW(Liste_Handelsünger[Handelsdünger])-1)/(--(SEARCH(BF$2,Liste_Handelsünger[Handelsdünger])&gt;0)),ROW()-2),1),"")</f>
        <v>Basaltmehl</v>
      </c>
      <c r="BF174" t="str">
        <f>IF(($A185=""),"",IF(COUNTIF(Mineral!$AJ$3:$AJ$324,$A185),"",$A185))</f>
        <v/>
      </c>
      <c r="BG174" t="str">
        <f>IFERROR(INDEX(Liste_Handelsünger[Handelsdünger],_xlfn.AGGREGATE(15,6,(ROW(Liste_Handelsünger[Handelsdünger])-1)/(--(SEARCH(BH$2,Liste_Handelsünger[Handelsdünger])&gt;0)),ROW()-2),1),"")</f>
        <v>Basaltmehl</v>
      </c>
      <c r="BH174" t="str">
        <f>IF(($A186=""),"",IF(COUNTIF(Mineral!$AJ$3:$AJ$324,$A186),"",$A186))</f>
        <v/>
      </c>
      <c r="BI174" t="str">
        <f>IFERROR(INDEX(Liste_Handelsünger[Handelsdünger],_xlfn.AGGREGATE(15,6,(ROW(Liste_Handelsünger[Handelsdünger])-1)/(--(SEARCH(BJ$2,Liste_Handelsünger[Handelsdünger])&gt;0)),ROW()-2),1),"")</f>
        <v>Basaltmehl</v>
      </c>
      <c r="BJ174" t="str">
        <f>IF(($A187=""),"",IF(COUNTIF(Mineral!$AJ$3:$AJ$324,$A187),"",$A187))</f>
        <v/>
      </c>
      <c r="BK174" t="str">
        <f>IFERROR(INDEX(Liste_Handelsünger[Handelsdünger],_xlfn.AGGREGATE(15,6,(ROW(Liste_Handelsünger[Handelsdünger])-1)/(--(SEARCH(BL$2,Liste_Handelsünger[Handelsdünger])&gt;0)),ROW()-2),1),"")</f>
        <v>Basaltmehl</v>
      </c>
      <c r="BM174" t="str">
        <f>IFERROR(INDEX(Liste_Handelsünger[Handelsdünger],_xlfn.AGGREGATE(15,6,(ROW(Liste_Handelsünger[Handelsdünger])-1)/(--(SEARCH(BN$2,Liste_Handelsünger[Handelsdünger])&gt;0)),ROW()-2),1),"")</f>
        <v>Basaltmehl</v>
      </c>
      <c r="BN174" t="str">
        <f>IF(($A189=""),"",IF(COUNTIF(Mineral!$AJ$3:$AJ$324,$A189),"",$A189))</f>
        <v/>
      </c>
      <c r="BV174" t="s">
        <v>2050</v>
      </c>
      <c r="BW174" t="s">
        <v>1035</v>
      </c>
    </row>
    <row r="175" spans="19:75" ht="14.25" thickTop="1" thickBot="1">
      <c r="S175" s="1616">
        <v>174</v>
      </c>
      <c r="T175" s="1617" t="s">
        <v>2006</v>
      </c>
      <c r="U175" s="1617" t="s">
        <v>2052</v>
      </c>
      <c r="V175" s="1617" t="s">
        <v>408</v>
      </c>
      <c r="W175" s="1617">
        <v>0</v>
      </c>
      <c r="X175" s="1617">
        <v>0</v>
      </c>
      <c r="Y175" s="1617">
        <v>0</v>
      </c>
      <c r="Z175" s="1617">
        <v>0</v>
      </c>
      <c r="AA175" s="1617">
        <v>0</v>
      </c>
      <c r="AB175" s="1617">
        <v>0</v>
      </c>
      <c r="AC175" s="1617">
        <v>1</v>
      </c>
      <c r="AD175" s="1613">
        <v>1</v>
      </c>
      <c r="AE175" s="1617" t="s">
        <v>1764</v>
      </c>
      <c r="AF175" s="1613" t="str">
        <f t="shared" si="17"/>
        <v/>
      </c>
      <c r="AG175" s="1656">
        <f>IFERROR(IF($AF175&gt;0,VLOOKUP($U175,Tabelle1!$C$188:$L$212,5,0)*$AF175,0),0)</f>
        <v>0</v>
      </c>
      <c r="AH175" s="1656">
        <f t="shared" si="18"/>
        <v>0</v>
      </c>
      <c r="AJ175" t="str">
        <f>IF(Betrieb!$D$9="JA",Mineral!$BW175,Mineral!$BV175)</f>
        <v>Bio Bokashi Terra</v>
      </c>
      <c r="AK175" s="1672" t="str">
        <f>IFERROR(INDEX(Liste_Handelsünger[Handelsdünger],_xlfn.AGGREGATE(15,6,(ROW(Liste_Handelsünger[Handelsdünger])-1)/(--(SEARCH(AL$2,Liste_Handelsünger[Handelsdünger])&gt;0)),ROW()-2),1),"")</f>
        <v>Bio Bokashi Terra</v>
      </c>
      <c r="AL175" s="1672" t="str">
        <f>IF(($A$3=""),"",IF(COUNTIF(Mineral!$AJ$3:$AJ$324,$A$3),"",$A$3))</f>
        <v/>
      </c>
      <c r="AM175" s="1672" t="str">
        <f>IFERROR(INDEX(Liste_Handelsünger[Handelsdünger],_xlfn.AGGREGATE(15,6,(ROW(Liste_Handelsünger[Handelsdünger])-1)/(--(SEARCH(AN$2,Liste_Handelsünger[Handelsdünger])&gt;0)),ROW()-2),1),"")</f>
        <v>Bio Bokashi Terra</v>
      </c>
      <c r="AN175" t="str">
        <f>IF(($A177=""),"",IF(COUNTIF(Mineral!$AJ$3:$AJ$324,$A177),"",$A177))</f>
        <v/>
      </c>
      <c r="AO175" t="str">
        <f>IFERROR(INDEX(Liste_Handelsünger[Handelsdünger],_xlfn.AGGREGATE(15,6,(ROW(Liste_Handelsünger[Handelsdünger])-1)/(--(SEARCH(AP$2,Liste_Handelsünger[Handelsdünger])&gt;0)),ROW()-2),1),"")</f>
        <v>Bio Bokashi Terra</v>
      </c>
      <c r="AP175" t="str">
        <f>IF(($A178=""),"",IF(COUNTIF(Mineral!$AJ$3:$AJ$324,$A178),"",$A178))</f>
        <v/>
      </c>
      <c r="AQ175" t="str">
        <f>IFERROR(INDEX(Liste_Handelsünger[Handelsdünger],_xlfn.AGGREGATE(15,6,(ROW(Liste_Handelsünger[Handelsdünger])-1)/(--(SEARCH(AR$2,Liste_Handelsünger[Handelsdünger])&gt;0)),ROW()-2),1),"")</f>
        <v>Bio Bokashi Terra</v>
      </c>
      <c r="AR175" t="str">
        <f>IF(($A179=""),"",IF(COUNTIF(Mineral!$AJ$3:$AJ$324,$A179),"",$A179))</f>
        <v/>
      </c>
      <c r="AS175" t="str">
        <f>IFERROR(INDEX(Liste_Handelsünger[Handelsdünger],_xlfn.AGGREGATE(15,6,(ROW(Liste_Handelsünger[Handelsdünger])-1)/(--(SEARCH(AT$2,Liste_Handelsünger[Handelsdünger])&gt;0)),ROW()-2),1),"")</f>
        <v>Bio Bokashi Terra</v>
      </c>
      <c r="AT175" t="str">
        <f>IF(($A180=""),"",IF(COUNTIF(Mineral!$AJ$3:$AJ$324,$A180),"",$A180))</f>
        <v/>
      </c>
      <c r="AU175" t="str">
        <f>IFERROR(INDEX(Liste_Handelsünger[Handelsdünger],_xlfn.AGGREGATE(15,6,(ROW(Liste_Handelsünger[Handelsdünger])-1)/(--(SEARCH(AV$2,Liste_Handelsünger[Handelsdünger])&gt;0)),ROW()-2),1),"")</f>
        <v>Bio Bokashi Terra</v>
      </c>
      <c r="AV175" t="str">
        <f>IF(($A181=""),"",IF(COUNTIF(Mineral!$AJ$3:$AJ$324,$A181),"",$A181))</f>
        <v/>
      </c>
      <c r="AW175" t="str">
        <f>IFERROR(INDEX(Liste_Handelsünger[Handelsdünger],_xlfn.AGGREGATE(15,6,(ROW(Liste_Handelsünger[Handelsdünger])-1)/(--(SEARCH(AX$2,Liste_Handelsünger[Handelsdünger])&gt;0)),ROW()-2),1),"")</f>
        <v>Bio Bokashi Terra</v>
      </c>
      <c r="AX175" t="str">
        <f>IF(($A182=""),"",IF(COUNTIF(Mineral!$AJ$3:$AJ$324,$A182),"",$A182))</f>
        <v/>
      </c>
      <c r="AY175" t="str">
        <f>IFERROR(INDEX(Liste_Handelsünger[Handelsdünger],_xlfn.AGGREGATE(15,6,(ROW(Liste_Handelsünger[Handelsdünger])-1)/(--(SEARCH(AZ$2,Liste_Handelsünger[Handelsdünger])&gt;0)),ROW()-2),1),"")</f>
        <v>Bio Bokashi Terra</v>
      </c>
      <c r="AZ175" t="str">
        <f>IF(($A183=""),"",IF(COUNTIF(Mineral!$AJ$3:$AJ$324,$A183),"",$A183))</f>
        <v/>
      </c>
      <c r="BA175" t="str">
        <f>IFERROR(INDEX(Liste_Handelsünger[Handelsdünger],_xlfn.AGGREGATE(15,6,(ROW(Liste_Handelsünger[Handelsdünger])-1)/(--(SEARCH(BB$2,Liste_Handelsünger[Handelsdünger])&gt;0)),ROW()-2),1),"")</f>
        <v>Bio Bokashi Terra</v>
      </c>
      <c r="BB175" t="str">
        <f>IF(($A184=""),"",IF(COUNTIF(Mineral!$AJ$3:$AJ$324,$A184),"",$A184))</f>
        <v/>
      </c>
      <c r="BC175" t="str">
        <f>IFERROR(INDEX(Liste_Handelsünger[Handelsdünger],_xlfn.AGGREGATE(15,6,(ROW(Liste_Handelsünger[Handelsdünger])-1)/(--(SEARCH(BD$2,Liste_Handelsünger[Handelsdünger])&gt;0)),ROW()-2),1),"")</f>
        <v>Bio Bokashi Terra</v>
      </c>
      <c r="BD175" t="str">
        <f>IF(($A185=""),"",IF(COUNTIF(Mineral!$AJ$3:$AJ$324,$A185),"",$A185))</f>
        <v/>
      </c>
      <c r="BE175" t="str">
        <f>IFERROR(INDEX(Liste_Handelsünger[Handelsdünger],_xlfn.AGGREGATE(15,6,(ROW(Liste_Handelsünger[Handelsdünger])-1)/(--(SEARCH(BF$2,Liste_Handelsünger[Handelsdünger])&gt;0)),ROW()-2),1),"")</f>
        <v>Bio Bokashi Terra</v>
      </c>
      <c r="BF175" t="str">
        <f>IF(($A186=""),"",IF(COUNTIF(Mineral!$AJ$3:$AJ$324,$A186),"",$A186))</f>
        <v/>
      </c>
      <c r="BG175" t="str">
        <f>IFERROR(INDEX(Liste_Handelsünger[Handelsdünger],_xlfn.AGGREGATE(15,6,(ROW(Liste_Handelsünger[Handelsdünger])-1)/(--(SEARCH(BH$2,Liste_Handelsünger[Handelsdünger])&gt;0)),ROW()-2),1),"")</f>
        <v>Bio Bokashi Terra</v>
      </c>
      <c r="BH175" t="str">
        <f>IF(($A187=""),"",IF(COUNTIF(Mineral!$AJ$3:$AJ$324,$A187),"",$A187))</f>
        <v/>
      </c>
      <c r="BI175" t="str">
        <f>IFERROR(INDEX(Liste_Handelsünger[Handelsdünger],_xlfn.AGGREGATE(15,6,(ROW(Liste_Handelsünger[Handelsdünger])-1)/(--(SEARCH(BJ$2,Liste_Handelsünger[Handelsdünger])&gt;0)),ROW()-2),1),"")</f>
        <v>Bio Bokashi Terra</v>
      </c>
      <c r="BJ175" t="str">
        <f>IF(($A188=""),"",IF(COUNTIF(Mineral!$AJ$3:$AJ$324,$A188),"",$A188))</f>
        <v/>
      </c>
      <c r="BK175" t="str">
        <f>IFERROR(INDEX(Liste_Handelsünger[Handelsdünger],_xlfn.AGGREGATE(15,6,(ROW(Liste_Handelsünger[Handelsdünger])-1)/(--(SEARCH(BL$2,Liste_Handelsünger[Handelsdünger])&gt;0)),ROW()-2),1),"")</f>
        <v>Bio Bokashi Terra</v>
      </c>
      <c r="BM175" t="str">
        <f>IFERROR(INDEX(Liste_Handelsünger[Handelsdünger],_xlfn.AGGREGATE(15,6,(ROW(Liste_Handelsünger[Handelsdünger])-1)/(--(SEARCH(BN$2,Liste_Handelsünger[Handelsdünger])&gt;0)),ROW()-2),1),"")</f>
        <v>Bio Bokashi Terra</v>
      </c>
      <c r="BN175" t="str">
        <f>IF(($A190=""),"",IF(COUNTIF(Mineral!$AJ$3:$AJ$324,$A190),"",$A190))</f>
        <v/>
      </c>
      <c r="BV175" t="s">
        <v>2052</v>
      </c>
      <c r="BW175" t="s">
        <v>2318</v>
      </c>
    </row>
    <row r="176" spans="19:75" ht="14.25" thickTop="1" thickBot="1">
      <c r="S176" s="1676">
        <v>175</v>
      </c>
      <c r="T176" s="1606" t="s">
        <v>2006</v>
      </c>
      <c r="U176" s="1606" t="s">
        <v>2053</v>
      </c>
      <c r="V176" s="1606" t="s">
        <v>408</v>
      </c>
      <c r="W176" s="1606">
        <v>7.0000000000000009</v>
      </c>
      <c r="X176" s="1606">
        <v>2</v>
      </c>
      <c r="Y176" s="1606">
        <v>1.5</v>
      </c>
      <c r="Z176" s="1606">
        <v>0</v>
      </c>
      <c r="AA176" s="1606">
        <v>0</v>
      </c>
      <c r="AB176" s="1606">
        <v>0</v>
      </c>
      <c r="AC176" s="1606">
        <v>0.5</v>
      </c>
      <c r="AD176" s="1613">
        <v>0.91</v>
      </c>
      <c r="AE176" s="1606" t="s">
        <v>2037</v>
      </c>
      <c r="AF176" s="1613" t="str">
        <f t="shared" si="17"/>
        <v/>
      </c>
      <c r="AG176" s="1656">
        <f>IFERROR(IF($AF176&gt;0,VLOOKUP($U176,Tabelle1!$C$188:$L$212,5,0)*$AF176,0),0)</f>
        <v>0</v>
      </c>
      <c r="AH176" s="1656">
        <f t="shared" si="18"/>
        <v>0</v>
      </c>
      <c r="AJ176" t="str">
        <f>IF(Betrieb!$D$9="JA",Mineral!$BW176,Mineral!$BV176)</f>
        <v>Bio Braunkorn Plus</v>
      </c>
      <c r="AK176" s="1672" t="str">
        <f>IFERROR(INDEX(Liste_Handelsünger[Handelsdünger],_xlfn.AGGREGATE(15,6,(ROW(Liste_Handelsünger[Handelsdünger])-1)/(--(SEARCH(AL$2,Liste_Handelsünger[Handelsdünger])&gt;0)),ROW()-2),1),"")</f>
        <v>Bio Braunkorn Plus</v>
      </c>
      <c r="AL176" s="1672" t="str">
        <f>IF(($A$3=""),"",IF(COUNTIF(Mineral!$AJ$3:$AJ$324,$A$3),"",$A$3))</f>
        <v/>
      </c>
      <c r="AM176" s="1672" t="str">
        <f>IFERROR(INDEX(Liste_Handelsünger[Handelsdünger],_xlfn.AGGREGATE(15,6,(ROW(Liste_Handelsünger[Handelsdünger])-1)/(--(SEARCH(AN$2,Liste_Handelsünger[Handelsdünger])&gt;0)),ROW()-2),1),"")</f>
        <v>Bio Braunkorn Plus</v>
      </c>
      <c r="AN176" t="str">
        <f>IF(($A178=""),"",IF(COUNTIF(Mineral!$AJ$3:$AJ$324,$A178),"",$A178))</f>
        <v/>
      </c>
      <c r="AO176" t="str">
        <f>IFERROR(INDEX(Liste_Handelsünger[Handelsdünger],_xlfn.AGGREGATE(15,6,(ROW(Liste_Handelsünger[Handelsdünger])-1)/(--(SEARCH(AP$2,Liste_Handelsünger[Handelsdünger])&gt;0)),ROW()-2),1),"")</f>
        <v>Bio Braunkorn Plus</v>
      </c>
      <c r="AP176" t="str">
        <f>IF(($A179=""),"",IF(COUNTIF(Mineral!$AJ$3:$AJ$324,$A179),"",$A179))</f>
        <v/>
      </c>
      <c r="AQ176" t="str">
        <f>IFERROR(INDEX(Liste_Handelsünger[Handelsdünger],_xlfn.AGGREGATE(15,6,(ROW(Liste_Handelsünger[Handelsdünger])-1)/(--(SEARCH(AR$2,Liste_Handelsünger[Handelsdünger])&gt;0)),ROW()-2),1),"")</f>
        <v>Bio Braunkorn Plus</v>
      </c>
      <c r="AR176" t="str">
        <f>IF(($A180=""),"",IF(COUNTIF(Mineral!$AJ$3:$AJ$324,$A180),"",$A180))</f>
        <v/>
      </c>
      <c r="AS176" t="str">
        <f>IFERROR(INDEX(Liste_Handelsünger[Handelsdünger],_xlfn.AGGREGATE(15,6,(ROW(Liste_Handelsünger[Handelsdünger])-1)/(--(SEARCH(AT$2,Liste_Handelsünger[Handelsdünger])&gt;0)),ROW()-2),1),"")</f>
        <v>Bio Braunkorn Plus</v>
      </c>
      <c r="AT176" t="str">
        <f>IF(($A181=""),"",IF(COUNTIF(Mineral!$AJ$3:$AJ$324,$A181),"",$A181))</f>
        <v/>
      </c>
      <c r="AU176" t="str">
        <f>IFERROR(INDEX(Liste_Handelsünger[Handelsdünger],_xlfn.AGGREGATE(15,6,(ROW(Liste_Handelsünger[Handelsdünger])-1)/(--(SEARCH(AV$2,Liste_Handelsünger[Handelsdünger])&gt;0)),ROW()-2),1),"")</f>
        <v>Bio Braunkorn Plus</v>
      </c>
      <c r="AV176" t="str">
        <f>IF(($A182=""),"",IF(COUNTIF(Mineral!$AJ$3:$AJ$324,$A182),"",$A182))</f>
        <v/>
      </c>
      <c r="AW176" t="str">
        <f>IFERROR(INDEX(Liste_Handelsünger[Handelsdünger],_xlfn.AGGREGATE(15,6,(ROW(Liste_Handelsünger[Handelsdünger])-1)/(--(SEARCH(AX$2,Liste_Handelsünger[Handelsdünger])&gt;0)),ROW()-2),1),"")</f>
        <v>Bio Braunkorn Plus</v>
      </c>
      <c r="AX176" t="str">
        <f>IF(($A183=""),"",IF(COUNTIF(Mineral!$AJ$3:$AJ$324,$A183),"",$A183))</f>
        <v/>
      </c>
      <c r="AY176" t="str">
        <f>IFERROR(INDEX(Liste_Handelsünger[Handelsdünger],_xlfn.AGGREGATE(15,6,(ROW(Liste_Handelsünger[Handelsdünger])-1)/(--(SEARCH(AZ$2,Liste_Handelsünger[Handelsdünger])&gt;0)),ROW()-2),1),"")</f>
        <v>Bio Braunkorn Plus</v>
      </c>
      <c r="AZ176" t="str">
        <f>IF(($A184=""),"",IF(COUNTIF(Mineral!$AJ$3:$AJ$324,$A184),"",$A184))</f>
        <v/>
      </c>
      <c r="BA176" t="str">
        <f>IFERROR(INDEX(Liste_Handelsünger[Handelsdünger],_xlfn.AGGREGATE(15,6,(ROW(Liste_Handelsünger[Handelsdünger])-1)/(--(SEARCH(BB$2,Liste_Handelsünger[Handelsdünger])&gt;0)),ROW()-2),1),"")</f>
        <v>Bio Braunkorn Plus</v>
      </c>
      <c r="BB176" t="str">
        <f>IF(($A185=""),"",IF(COUNTIF(Mineral!$AJ$3:$AJ$324,$A185),"",$A185))</f>
        <v/>
      </c>
      <c r="BC176" t="str">
        <f>IFERROR(INDEX(Liste_Handelsünger[Handelsdünger],_xlfn.AGGREGATE(15,6,(ROW(Liste_Handelsünger[Handelsdünger])-1)/(--(SEARCH(BD$2,Liste_Handelsünger[Handelsdünger])&gt;0)),ROW()-2),1),"")</f>
        <v>Bio Braunkorn Plus</v>
      </c>
      <c r="BD176" t="str">
        <f>IF(($A186=""),"",IF(COUNTIF(Mineral!$AJ$3:$AJ$324,$A186),"",$A186))</f>
        <v/>
      </c>
      <c r="BE176" t="str">
        <f>IFERROR(INDEX(Liste_Handelsünger[Handelsdünger],_xlfn.AGGREGATE(15,6,(ROW(Liste_Handelsünger[Handelsdünger])-1)/(--(SEARCH(BF$2,Liste_Handelsünger[Handelsdünger])&gt;0)),ROW()-2),1),"")</f>
        <v>Bio Braunkorn Plus</v>
      </c>
      <c r="BF176" t="str">
        <f>IF(($A187=""),"",IF(COUNTIF(Mineral!$AJ$3:$AJ$324,$A187),"",$A187))</f>
        <v/>
      </c>
      <c r="BG176" t="str">
        <f>IFERROR(INDEX(Liste_Handelsünger[Handelsdünger],_xlfn.AGGREGATE(15,6,(ROW(Liste_Handelsünger[Handelsdünger])-1)/(--(SEARCH(BH$2,Liste_Handelsünger[Handelsdünger])&gt;0)),ROW()-2),1),"")</f>
        <v>Bio Braunkorn Plus</v>
      </c>
      <c r="BH176" t="str">
        <f>IF(($A188=""),"",IF(COUNTIF(Mineral!$AJ$3:$AJ$324,$A188),"",$A188))</f>
        <v/>
      </c>
      <c r="BI176" t="str">
        <f>IFERROR(INDEX(Liste_Handelsünger[Handelsdünger],_xlfn.AGGREGATE(15,6,(ROW(Liste_Handelsünger[Handelsdünger])-1)/(--(SEARCH(BJ$2,Liste_Handelsünger[Handelsdünger])&gt;0)),ROW()-2),1),"")</f>
        <v>Bio Braunkorn Plus</v>
      </c>
      <c r="BJ176" t="str">
        <f>IF(($A189=""),"",IF(COUNTIF(Mineral!$AJ$3:$AJ$324,$A189),"",$A189))</f>
        <v/>
      </c>
      <c r="BK176" t="str">
        <f>IFERROR(INDEX(Liste_Handelsünger[Handelsdünger],_xlfn.AGGREGATE(15,6,(ROW(Liste_Handelsünger[Handelsdünger])-1)/(--(SEARCH(BL$2,Liste_Handelsünger[Handelsdünger])&gt;0)),ROW()-2),1),"")</f>
        <v>Bio Braunkorn Plus</v>
      </c>
      <c r="BM176" t="str">
        <f>IFERROR(INDEX(Liste_Handelsünger[Handelsdünger],_xlfn.AGGREGATE(15,6,(ROW(Liste_Handelsünger[Handelsdünger])-1)/(--(SEARCH(BN$2,Liste_Handelsünger[Handelsdünger])&gt;0)),ROW()-2),1),"")</f>
        <v>Bio Braunkorn Plus</v>
      </c>
      <c r="BN176" t="str">
        <f>IF(($A191=""),"",IF(COUNTIF(Mineral!$AJ$3:$AJ$324,$A191),"",$A191))</f>
        <v/>
      </c>
      <c r="BV176" t="s">
        <v>2053</v>
      </c>
      <c r="BW176" t="s">
        <v>2319</v>
      </c>
    </row>
    <row r="177" spans="19:80" ht="14.25" thickTop="1" thickBot="1">
      <c r="S177" s="1616">
        <v>176</v>
      </c>
      <c r="T177" s="1617" t="s">
        <v>2006</v>
      </c>
      <c r="U177" s="1617" t="s">
        <v>2054</v>
      </c>
      <c r="V177" s="1617" t="s">
        <v>408</v>
      </c>
      <c r="W177" s="1617">
        <v>5.55</v>
      </c>
      <c r="X177" s="1617">
        <v>3.36</v>
      </c>
      <c r="Y177" s="1617">
        <v>2.19</v>
      </c>
      <c r="Z177" s="1617">
        <v>0</v>
      </c>
      <c r="AA177" s="1617">
        <v>0.08</v>
      </c>
      <c r="AB177" s="1617">
        <v>1.04</v>
      </c>
      <c r="AC177" s="1617">
        <v>0.5</v>
      </c>
      <c r="AD177" s="1613">
        <v>0.91</v>
      </c>
      <c r="AE177" s="1617" t="s">
        <v>2037</v>
      </c>
      <c r="AF177" s="1613" t="str">
        <f t="shared" si="17"/>
        <v/>
      </c>
      <c r="AG177" s="1656">
        <f>IFERROR(IF($AF177&gt;0,VLOOKUP($U177,Tabelle1!$C$188:$L$212,5,0)*$AF177,0),0)</f>
        <v>0</v>
      </c>
      <c r="AH177" s="1656">
        <f t="shared" si="18"/>
        <v>0</v>
      </c>
      <c r="AJ177" t="str">
        <f>IF(Betrieb!$D$9="JA",Mineral!$BW177,Mineral!$BV177)</f>
        <v>BIOADUSOL</v>
      </c>
      <c r="AK177" s="1672" t="str">
        <f>IFERROR(INDEX(Liste_Handelsünger[Handelsdünger],_xlfn.AGGREGATE(15,6,(ROW(Liste_Handelsünger[Handelsdünger])-1)/(--(SEARCH(AL$2,Liste_Handelsünger[Handelsdünger])&gt;0)),ROW()-2),1),"")</f>
        <v>BIOADUSOL</v>
      </c>
      <c r="AL177" s="1672" t="str">
        <f>IF(($A$3=""),"",IF(COUNTIF(Mineral!$AJ$3:$AJ$324,$A$3),"",$A$3))</f>
        <v/>
      </c>
      <c r="AM177" s="1672" t="str">
        <f>IFERROR(INDEX(Liste_Handelsünger[Handelsdünger],_xlfn.AGGREGATE(15,6,(ROW(Liste_Handelsünger[Handelsdünger])-1)/(--(SEARCH(AN$2,Liste_Handelsünger[Handelsdünger])&gt;0)),ROW()-2),1),"")</f>
        <v>BIOADUSOL</v>
      </c>
      <c r="AN177" t="str">
        <f>IF(($A179=""),"",IF(COUNTIF(Mineral!$AJ$3:$AJ$324,$A179),"",$A179))</f>
        <v/>
      </c>
      <c r="AO177" t="str">
        <f>IFERROR(INDEX(Liste_Handelsünger[Handelsdünger],_xlfn.AGGREGATE(15,6,(ROW(Liste_Handelsünger[Handelsdünger])-1)/(--(SEARCH(AP$2,Liste_Handelsünger[Handelsdünger])&gt;0)),ROW()-2),1),"")</f>
        <v>BIOADUSOL</v>
      </c>
      <c r="AP177" t="str">
        <f>IF(($A180=""),"",IF(COUNTIF(Mineral!$AJ$3:$AJ$324,$A180),"",$A180))</f>
        <v/>
      </c>
      <c r="AQ177" t="str">
        <f>IFERROR(INDEX(Liste_Handelsünger[Handelsdünger],_xlfn.AGGREGATE(15,6,(ROW(Liste_Handelsünger[Handelsdünger])-1)/(--(SEARCH(AR$2,Liste_Handelsünger[Handelsdünger])&gt;0)),ROW()-2),1),"")</f>
        <v>BIOADUSOL</v>
      </c>
      <c r="AR177" t="str">
        <f>IF(($A181=""),"",IF(COUNTIF(Mineral!$AJ$3:$AJ$324,$A181),"",$A181))</f>
        <v/>
      </c>
      <c r="AS177" t="str">
        <f>IFERROR(INDEX(Liste_Handelsünger[Handelsdünger],_xlfn.AGGREGATE(15,6,(ROW(Liste_Handelsünger[Handelsdünger])-1)/(--(SEARCH(AT$2,Liste_Handelsünger[Handelsdünger])&gt;0)),ROW()-2),1),"")</f>
        <v>BIOADUSOL</v>
      </c>
      <c r="AT177" t="str">
        <f>IF(($A182=""),"",IF(COUNTIF(Mineral!$AJ$3:$AJ$324,$A182),"",$A182))</f>
        <v/>
      </c>
      <c r="AU177" t="str">
        <f>IFERROR(INDEX(Liste_Handelsünger[Handelsdünger],_xlfn.AGGREGATE(15,6,(ROW(Liste_Handelsünger[Handelsdünger])-1)/(--(SEARCH(AV$2,Liste_Handelsünger[Handelsdünger])&gt;0)),ROW()-2),1),"")</f>
        <v>BIOADUSOL</v>
      </c>
      <c r="AV177" t="str">
        <f>IF(($A183=""),"",IF(COUNTIF(Mineral!$AJ$3:$AJ$324,$A183),"",$A183))</f>
        <v/>
      </c>
      <c r="AW177" t="str">
        <f>IFERROR(INDEX(Liste_Handelsünger[Handelsdünger],_xlfn.AGGREGATE(15,6,(ROW(Liste_Handelsünger[Handelsdünger])-1)/(--(SEARCH(AX$2,Liste_Handelsünger[Handelsdünger])&gt;0)),ROW()-2),1),"")</f>
        <v>BIOADUSOL</v>
      </c>
      <c r="AX177" t="str">
        <f>IF(($A184=""),"",IF(COUNTIF(Mineral!$AJ$3:$AJ$324,$A184),"",$A184))</f>
        <v/>
      </c>
      <c r="AY177" t="str">
        <f>IFERROR(INDEX(Liste_Handelsünger[Handelsdünger],_xlfn.AGGREGATE(15,6,(ROW(Liste_Handelsünger[Handelsdünger])-1)/(--(SEARCH(AZ$2,Liste_Handelsünger[Handelsdünger])&gt;0)),ROW()-2),1),"")</f>
        <v>BIOADUSOL</v>
      </c>
      <c r="AZ177" t="str">
        <f>IF(($A185=""),"",IF(COUNTIF(Mineral!$AJ$3:$AJ$324,$A185),"",$A185))</f>
        <v/>
      </c>
      <c r="BA177" t="str">
        <f>IFERROR(INDEX(Liste_Handelsünger[Handelsdünger],_xlfn.AGGREGATE(15,6,(ROW(Liste_Handelsünger[Handelsdünger])-1)/(--(SEARCH(BB$2,Liste_Handelsünger[Handelsdünger])&gt;0)),ROW()-2),1),"")</f>
        <v>BIOADUSOL</v>
      </c>
      <c r="BB177" t="str">
        <f>IF(($A186=""),"",IF(COUNTIF(Mineral!$AJ$3:$AJ$324,$A186),"",$A186))</f>
        <v/>
      </c>
      <c r="BC177" t="str">
        <f>IFERROR(INDEX(Liste_Handelsünger[Handelsdünger],_xlfn.AGGREGATE(15,6,(ROW(Liste_Handelsünger[Handelsdünger])-1)/(--(SEARCH(BD$2,Liste_Handelsünger[Handelsdünger])&gt;0)),ROW()-2),1),"")</f>
        <v>BIOADUSOL</v>
      </c>
      <c r="BD177" t="str">
        <f>IF(($A187=""),"",IF(COUNTIF(Mineral!$AJ$3:$AJ$324,$A187),"",$A187))</f>
        <v/>
      </c>
      <c r="BE177" t="str">
        <f>IFERROR(INDEX(Liste_Handelsünger[Handelsdünger],_xlfn.AGGREGATE(15,6,(ROW(Liste_Handelsünger[Handelsdünger])-1)/(--(SEARCH(BF$2,Liste_Handelsünger[Handelsdünger])&gt;0)),ROW()-2),1),"")</f>
        <v>BIOADUSOL</v>
      </c>
      <c r="BF177" t="str">
        <f>IF(($A188=""),"",IF(COUNTIF(Mineral!$AJ$3:$AJ$324,$A188),"",$A188))</f>
        <v/>
      </c>
      <c r="BG177" t="str">
        <f>IFERROR(INDEX(Liste_Handelsünger[Handelsdünger],_xlfn.AGGREGATE(15,6,(ROW(Liste_Handelsünger[Handelsdünger])-1)/(--(SEARCH(BH$2,Liste_Handelsünger[Handelsdünger])&gt;0)),ROW()-2),1),"")</f>
        <v>BIOADUSOL</v>
      </c>
      <c r="BH177" t="str">
        <f>IF(($A189=""),"",IF(COUNTIF(Mineral!$AJ$3:$AJ$324,$A189),"",$A189))</f>
        <v/>
      </c>
      <c r="BI177" t="str">
        <f>IFERROR(INDEX(Liste_Handelsünger[Handelsdünger],_xlfn.AGGREGATE(15,6,(ROW(Liste_Handelsünger[Handelsdünger])-1)/(--(SEARCH(BJ$2,Liste_Handelsünger[Handelsdünger])&gt;0)),ROW()-2),1),"")</f>
        <v>BIOADUSOL</v>
      </c>
      <c r="BJ177" t="str">
        <f>IF(($A190=""),"",IF(COUNTIF(Mineral!$AJ$3:$AJ$324,$A190),"",$A190))</f>
        <v/>
      </c>
      <c r="BK177" t="str">
        <f>IFERROR(INDEX(Liste_Handelsünger[Handelsdünger],_xlfn.AGGREGATE(15,6,(ROW(Liste_Handelsünger[Handelsdünger])-1)/(--(SEARCH(BL$2,Liste_Handelsünger[Handelsdünger])&gt;0)),ROW()-2),1),"")</f>
        <v>BIOADUSOL</v>
      </c>
      <c r="BM177" t="str">
        <f>IFERROR(INDEX(Liste_Handelsünger[Handelsdünger],_xlfn.AGGREGATE(15,6,(ROW(Liste_Handelsünger[Handelsdünger])-1)/(--(SEARCH(BN$2,Liste_Handelsünger[Handelsdünger])&gt;0)),ROW()-2),1),"")</f>
        <v>BIOADUSOL</v>
      </c>
      <c r="BN177" t="str">
        <f>IF(($A192=""),"",IF(COUNTIF(Mineral!$AJ$3:$AJ$324,$A192),"",$A192))</f>
        <v/>
      </c>
      <c r="BV177" t="s">
        <v>2054</v>
      </c>
      <c r="BW177" t="s">
        <v>2320</v>
      </c>
    </row>
    <row r="178" spans="19:80" ht="14.25" thickTop="1" thickBot="1">
      <c r="S178" s="1676">
        <v>177</v>
      </c>
      <c r="T178" s="1606" t="s">
        <v>2006</v>
      </c>
      <c r="U178" s="1606" t="s">
        <v>2055</v>
      </c>
      <c r="V178" s="1606" t="s">
        <v>408</v>
      </c>
      <c r="W178" s="1606">
        <v>3.4000000000000004</v>
      </c>
      <c r="X178" s="1606">
        <v>2.76</v>
      </c>
      <c r="Y178" s="1606">
        <v>3.2800000000000002</v>
      </c>
      <c r="Z178" s="1606">
        <v>0</v>
      </c>
      <c r="AA178" s="1606">
        <v>0.16999999999999998</v>
      </c>
      <c r="AB178" s="1606">
        <v>0</v>
      </c>
      <c r="AC178" s="1606">
        <v>0.5</v>
      </c>
      <c r="AD178" s="1613">
        <v>0.91</v>
      </c>
      <c r="AE178" s="1606" t="s">
        <v>2037</v>
      </c>
      <c r="AF178" s="1613" t="str">
        <f t="shared" si="17"/>
        <v/>
      </c>
      <c r="AG178" s="1656">
        <f>IFERROR(IF($AF178&gt;0,VLOOKUP($U178,Tabelle1!$C$188:$L$212,5,0)*$AF178,0),0)</f>
        <v>0</v>
      </c>
      <c r="AH178" s="1656">
        <f t="shared" si="18"/>
        <v>0</v>
      </c>
      <c r="AJ178" t="str">
        <f>IF(Betrieb!$D$9="JA",Mineral!$BW178,Mineral!$BV178)</f>
        <v>BIOADUSOL flüssig</v>
      </c>
      <c r="AK178" s="1672" t="str">
        <f>IFERROR(INDEX(Liste_Handelsünger[Handelsdünger],_xlfn.AGGREGATE(15,6,(ROW(Liste_Handelsünger[Handelsdünger])-1)/(--(SEARCH(AL$2,Liste_Handelsünger[Handelsdünger])&gt;0)),ROW()-2),1),"")</f>
        <v>BIOADUSOL flüssig</v>
      </c>
      <c r="AL178" s="1672" t="str">
        <f>IF(($A$3=""),"",IF(COUNTIF(Mineral!$AJ$3:$AJ$324,$A$3),"",$A$3))</f>
        <v/>
      </c>
      <c r="AM178" s="1672" t="str">
        <f>IFERROR(INDEX(Liste_Handelsünger[Handelsdünger],_xlfn.AGGREGATE(15,6,(ROW(Liste_Handelsünger[Handelsdünger])-1)/(--(SEARCH(AN$2,Liste_Handelsünger[Handelsdünger])&gt;0)),ROW()-2),1),"")</f>
        <v>BIOADUSOL flüssig</v>
      </c>
      <c r="AN178" t="str">
        <f>IF(($A180=""),"",IF(COUNTIF(Mineral!$AJ$3:$AJ$324,$A180),"",$A180))</f>
        <v/>
      </c>
      <c r="AO178" t="str">
        <f>IFERROR(INDEX(Liste_Handelsünger[Handelsdünger],_xlfn.AGGREGATE(15,6,(ROW(Liste_Handelsünger[Handelsdünger])-1)/(--(SEARCH(AP$2,Liste_Handelsünger[Handelsdünger])&gt;0)),ROW()-2),1),"")</f>
        <v>BIOADUSOL flüssig</v>
      </c>
      <c r="AP178" t="str">
        <f>IF(($A181=""),"",IF(COUNTIF(Mineral!$AJ$3:$AJ$324,$A181),"",$A181))</f>
        <v/>
      </c>
      <c r="AQ178" t="str">
        <f>IFERROR(INDEX(Liste_Handelsünger[Handelsdünger],_xlfn.AGGREGATE(15,6,(ROW(Liste_Handelsünger[Handelsdünger])-1)/(--(SEARCH(AR$2,Liste_Handelsünger[Handelsdünger])&gt;0)),ROW()-2),1),"")</f>
        <v>BIOADUSOL flüssig</v>
      </c>
      <c r="AR178" t="str">
        <f>IF(($A182=""),"",IF(COUNTIF(Mineral!$AJ$3:$AJ$324,$A182),"",$A182))</f>
        <v/>
      </c>
      <c r="AS178" t="str">
        <f>IFERROR(INDEX(Liste_Handelsünger[Handelsdünger],_xlfn.AGGREGATE(15,6,(ROW(Liste_Handelsünger[Handelsdünger])-1)/(--(SEARCH(AT$2,Liste_Handelsünger[Handelsdünger])&gt;0)),ROW()-2),1),"")</f>
        <v>BIOADUSOL flüssig</v>
      </c>
      <c r="AT178" t="str">
        <f>IF(($A183=""),"",IF(COUNTIF(Mineral!$AJ$3:$AJ$324,$A183),"",$A183))</f>
        <v/>
      </c>
      <c r="AU178" t="str">
        <f>IFERROR(INDEX(Liste_Handelsünger[Handelsdünger],_xlfn.AGGREGATE(15,6,(ROW(Liste_Handelsünger[Handelsdünger])-1)/(--(SEARCH(AV$2,Liste_Handelsünger[Handelsdünger])&gt;0)),ROW()-2),1),"")</f>
        <v>BIOADUSOL flüssig</v>
      </c>
      <c r="AV178" t="str">
        <f>IF(($A184=""),"",IF(COUNTIF(Mineral!$AJ$3:$AJ$324,$A184),"",$A184))</f>
        <v/>
      </c>
      <c r="AW178" t="str">
        <f>IFERROR(INDEX(Liste_Handelsünger[Handelsdünger],_xlfn.AGGREGATE(15,6,(ROW(Liste_Handelsünger[Handelsdünger])-1)/(--(SEARCH(AX$2,Liste_Handelsünger[Handelsdünger])&gt;0)),ROW()-2),1),"")</f>
        <v>BIOADUSOL flüssig</v>
      </c>
      <c r="AX178" t="str">
        <f>IF(($A185=""),"",IF(COUNTIF(Mineral!$AJ$3:$AJ$324,$A185),"",$A185))</f>
        <v/>
      </c>
      <c r="AY178" t="str">
        <f>IFERROR(INDEX(Liste_Handelsünger[Handelsdünger],_xlfn.AGGREGATE(15,6,(ROW(Liste_Handelsünger[Handelsdünger])-1)/(--(SEARCH(AZ$2,Liste_Handelsünger[Handelsdünger])&gt;0)),ROW()-2),1),"")</f>
        <v>BIOADUSOL flüssig</v>
      </c>
      <c r="AZ178" t="str">
        <f>IF(($A186=""),"",IF(COUNTIF(Mineral!$AJ$3:$AJ$324,$A186),"",$A186))</f>
        <v/>
      </c>
      <c r="BA178" t="str">
        <f>IFERROR(INDEX(Liste_Handelsünger[Handelsdünger],_xlfn.AGGREGATE(15,6,(ROW(Liste_Handelsünger[Handelsdünger])-1)/(--(SEARCH(BB$2,Liste_Handelsünger[Handelsdünger])&gt;0)),ROW()-2),1),"")</f>
        <v>BIOADUSOL flüssig</v>
      </c>
      <c r="BB178" t="str">
        <f>IF(($A187=""),"",IF(COUNTIF(Mineral!$AJ$3:$AJ$324,$A187),"",$A187))</f>
        <v/>
      </c>
      <c r="BC178" t="str">
        <f>IFERROR(INDEX(Liste_Handelsünger[Handelsdünger],_xlfn.AGGREGATE(15,6,(ROW(Liste_Handelsünger[Handelsdünger])-1)/(--(SEARCH(BD$2,Liste_Handelsünger[Handelsdünger])&gt;0)),ROW()-2),1),"")</f>
        <v>BIOADUSOL flüssig</v>
      </c>
      <c r="BD178" t="str">
        <f>IF(($A188=""),"",IF(COUNTIF(Mineral!$AJ$3:$AJ$324,$A188),"",$A188))</f>
        <v/>
      </c>
      <c r="BE178" t="str">
        <f>IFERROR(INDEX(Liste_Handelsünger[Handelsdünger],_xlfn.AGGREGATE(15,6,(ROW(Liste_Handelsünger[Handelsdünger])-1)/(--(SEARCH(BF$2,Liste_Handelsünger[Handelsdünger])&gt;0)),ROW()-2),1),"")</f>
        <v>BIOADUSOL flüssig</v>
      </c>
      <c r="BF178" t="str">
        <f>IF(($A189=""),"",IF(COUNTIF(Mineral!$AJ$3:$AJ$324,$A189),"",$A189))</f>
        <v/>
      </c>
      <c r="BG178" t="str">
        <f>IFERROR(INDEX(Liste_Handelsünger[Handelsdünger],_xlfn.AGGREGATE(15,6,(ROW(Liste_Handelsünger[Handelsdünger])-1)/(--(SEARCH(BH$2,Liste_Handelsünger[Handelsdünger])&gt;0)),ROW()-2),1),"")</f>
        <v>BIOADUSOL flüssig</v>
      </c>
      <c r="BH178" t="str">
        <f>IF(($A190=""),"",IF(COUNTIF(Mineral!$AJ$3:$AJ$324,$A190),"",$A190))</f>
        <v/>
      </c>
      <c r="BI178" t="str">
        <f>IFERROR(INDEX(Liste_Handelsünger[Handelsdünger],_xlfn.AGGREGATE(15,6,(ROW(Liste_Handelsünger[Handelsdünger])-1)/(--(SEARCH(BJ$2,Liste_Handelsünger[Handelsdünger])&gt;0)),ROW()-2),1),"")</f>
        <v>BIOADUSOL flüssig</v>
      </c>
      <c r="BJ178" t="str">
        <f>IF(($A191=""),"",IF(COUNTIF(Mineral!$AJ$3:$AJ$324,$A191),"",$A191))</f>
        <v/>
      </c>
      <c r="BK178" t="str">
        <f>IFERROR(INDEX(Liste_Handelsünger[Handelsdünger],_xlfn.AGGREGATE(15,6,(ROW(Liste_Handelsünger[Handelsdünger])-1)/(--(SEARCH(BL$2,Liste_Handelsünger[Handelsdünger])&gt;0)),ROW()-2),1),"")</f>
        <v>BIOADUSOL flüssig</v>
      </c>
      <c r="BM178" t="str">
        <f>IFERROR(INDEX(Liste_Handelsünger[Handelsdünger],_xlfn.AGGREGATE(15,6,(ROW(Liste_Handelsünger[Handelsdünger])-1)/(--(SEARCH(BN$2,Liste_Handelsünger[Handelsdünger])&gt;0)),ROW()-2),1),"")</f>
        <v>BIOADUSOL flüssig</v>
      </c>
      <c r="BN178" t="str">
        <f>IF(($A193=""),"",IF(COUNTIF(Mineral!$AJ$3:$AJ$324,$A193),"",$A193))</f>
        <v/>
      </c>
      <c r="BV178" t="s">
        <v>2055</v>
      </c>
      <c r="BW178" t="s">
        <v>2321</v>
      </c>
    </row>
    <row r="179" spans="19:80" ht="14.25" thickTop="1" thickBot="1">
      <c r="S179" s="1616">
        <v>178</v>
      </c>
      <c r="T179" s="1617" t="s">
        <v>2006</v>
      </c>
      <c r="U179" s="1617" t="s">
        <v>2056</v>
      </c>
      <c r="V179" s="1617" t="s">
        <v>408</v>
      </c>
      <c r="W179" s="1617">
        <v>5.5</v>
      </c>
      <c r="X179" s="1617">
        <v>2.5</v>
      </c>
      <c r="Y179" s="1617">
        <v>1.5</v>
      </c>
      <c r="Z179" s="1617">
        <v>0</v>
      </c>
      <c r="AA179" s="1617">
        <v>0</v>
      </c>
      <c r="AB179" s="1617">
        <v>0</v>
      </c>
      <c r="AC179" s="1617">
        <v>0.5</v>
      </c>
      <c r="AD179" s="1613">
        <v>0.91</v>
      </c>
      <c r="AE179" s="1617" t="s">
        <v>2037</v>
      </c>
      <c r="AF179" s="1613" t="str">
        <f t="shared" si="17"/>
        <v/>
      </c>
      <c r="AG179" s="1656">
        <f>IFERROR(IF($AF179&gt;0,VLOOKUP($U179,Tabelle1!$C$188:$L$212,5,0)*$AF179,0),0)</f>
        <v>0</v>
      </c>
      <c r="AH179" s="1656">
        <f t="shared" si="18"/>
        <v>0</v>
      </c>
      <c r="AJ179" t="str">
        <f>IF(Betrieb!$D$9="JA",Mineral!$BW179,Mineral!$BV179)</f>
        <v>BioAgenasol</v>
      </c>
      <c r="AK179" s="1672" t="str">
        <f>IFERROR(INDEX(Liste_Handelsünger[Handelsdünger],_xlfn.AGGREGATE(15,6,(ROW(Liste_Handelsünger[Handelsdünger])-1)/(--(SEARCH(AL$2,Liste_Handelsünger[Handelsdünger])&gt;0)),ROW()-2),1),"")</f>
        <v>BioAgenasol</v>
      </c>
      <c r="AL179" s="1672" t="str">
        <f>IF(($A$3=""),"",IF(COUNTIF(Mineral!$AJ$3:$AJ$324,$A$3),"",$A$3))</f>
        <v/>
      </c>
      <c r="AM179" s="1672" t="str">
        <f>IFERROR(INDEX(Liste_Handelsünger[Handelsdünger],_xlfn.AGGREGATE(15,6,(ROW(Liste_Handelsünger[Handelsdünger])-1)/(--(SEARCH(AN$2,Liste_Handelsünger[Handelsdünger])&gt;0)),ROW()-2),1),"")</f>
        <v>BioAgenasol</v>
      </c>
      <c r="AN179" t="str">
        <f>IF(($A181=""),"",IF(COUNTIF(Mineral!$AJ$3:$AJ$324,$A181),"",$A181))</f>
        <v/>
      </c>
      <c r="AO179" t="str">
        <f>IFERROR(INDEX(Liste_Handelsünger[Handelsdünger],_xlfn.AGGREGATE(15,6,(ROW(Liste_Handelsünger[Handelsdünger])-1)/(--(SEARCH(AP$2,Liste_Handelsünger[Handelsdünger])&gt;0)),ROW()-2),1),"")</f>
        <v>BioAgenasol</v>
      </c>
      <c r="AP179" t="str">
        <f>IF(($A182=""),"",IF(COUNTIF(Mineral!$AJ$3:$AJ$324,$A182),"",$A182))</f>
        <v/>
      </c>
      <c r="AQ179" t="str">
        <f>IFERROR(INDEX(Liste_Handelsünger[Handelsdünger],_xlfn.AGGREGATE(15,6,(ROW(Liste_Handelsünger[Handelsdünger])-1)/(--(SEARCH(AR$2,Liste_Handelsünger[Handelsdünger])&gt;0)),ROW()-2),1),"")</f>
        <v>BioAgenasol</v>
      </c>
      <c r="AR179" t="str">
        <f>IF(($A183=""),"",IF(COUNTIF(Mineral!$AJ$3:$AJ$324,$A183),"",$A183))</f>
        <v/>
      </c>
      <c r="AS179" t="str">
        <f>IFERROR(INDEX(Liste_Handelsünger[Handelsdünger],_xlfn.AGGREGATE(15,6,(ROW(Liste_Handelsünger[Handelsdünger])-1)/(--(SEARCH(AT$2,Liste_Handelsünger[Handelsdünger])&gt;0)),ROW()-2),1),"")</f>
        <v>BioAgenasol</v>
      </c>
      <c r="AT179" t="str">
        <f>IF(($A184=""),"",IF(COUNTIF(Mineral!$AJ$3:$AJ$324,$A184),"",$A184))</f>
        <v/>
      </c>
      <c r="AU179" t="str">
        <f>IFERROR(INDEX(Liste_Handelsünger[Handelsdünger],_xlfn.AGGREGATE(15,6,(ROW(Liste_Handelsünger[Handelsdünger])-1)/(--(SEARCH(AV$2,Liste_Handelsünger[Handelsdünger])&gt;0)),ROW()-2),1),"")</f>
        <v>BioAgenasol</v>
      </c>
      <c r="AV179" t="str">
        <f>IF(($A185=""),"",IF(COUNTIF(Mineral!$AJ$3:$AJ$324,$A185),"",$A185))</f>
        <v/>
      </c>
      <c r="AW179" t="str">
        <f>IFERROR(INDEX(Liste_Handelsünger[Handelsdünger],_xlfn.AGGREGATE(15,6,(ROW(Liste_Handelsünger[Handelsdünger])-1)/(--(SEARCH(AX$2,Liste_Handelsünger[Handelsdünger])&gt;0)),ROW()-2),1),"")</f>
        <v>BioAgenasol</v>
      </c>
      <c r="AX179" t="str">
        <f>IF(($A186=""),"",IF(COUNTIF(Mineral!$AJ$3:$AJ$324,$A186),"",$A186))</f>
        <v/>
      </c>
      <c r="AY179" t="str">
        <f>IFERROR(INDEX(Liste_Handelsünger[Handelsdünger],_xlfn.AGGREGATE(15,6,(ROW(Liste_Handelsünger[Handelsdünger])-1)/(--(SEARCH(AZ$2,Liste_Handelsünger[Handelsdünger])&gt;0)),ROW()-2),1),"")</f>
        <v>BioAgenasol</v>
      </c>
      <c r="AZ179" t="str">
        <f>IF(($A187=""),"",IF(COUNTIF(Mineral!$AJ$3:$AJ$324,$A187),"",$A187))</f>
        <v/>
      </c>
      <c r="BA179" t="str">
        <f>IFERROR(INDEX(Liste_Handelsünger[Handelsdünger],_xlfn.AGGREGATE(15,6,(ROW(Liste_Handelsünger[Handelsdünger])-1)/(--(SEARCH(BB$2,Liste_Handelsünger[Handelsdünger])&gt;0)),ROW()-2),1),"")</f>
        <v>BioAgenasol</v>
      </c>
      <c r="BB179" t="str">
        <f>IF(($A188=""),"",IF(COUNTIF(Mineral!$AJ$3:$AJ$324,$A188),"",$A188))</f>
        <v/>
      </c>
      <c r="BC179" t="str">
        <f>IFERROR(INDEX(Liste_Handelsünger[Handelsdünger],_xlfn.AGGREGATE(15,6,(ROW(Liste_Handelsünger[Handelsdünger])-1)/(--(SEARCH(BD$2,Liste_Handelsünger[Handelsdünger])&gt;0)),ROW()-2),1),"")</f>
        <v>BioAgenasol</v>
      </c>
      <c r="BD179" t="str">
        <f>IF(($A189=""),"",IF(COUNTIF(Mineral!$AJ$3:$AJ$324,$A189),"",$A189))</f>
        <v/>
      </c>
      <c r="BE179" t="str">
        <f>IFERROR(INDEX(Liste_Handelsünger[Handelsdünger],_xlfn.AGGREGATE(15,6,(ROW(Liste_Handelsünger[Handelsdünger])-1)/(--(SEARCH(BF$2,Liste_Handelsünger[Handelsdünger])&gt;0)),ROW()-2),1),"")</f>
        <v>BioAgenasol</v>
      </c>
      <c r="BF179" t="str">
        <f>IF(($A190=""),"",IF(COUNTIF(Mineral!$AJ$3:$AJ$324,$A190),"",$A190))</f>
        <v/>
      </c>
      <c r="BG179" t="str">
        <f>IFERROR(INDEX(Liste_Handelsünger[Handelsdünger],_xlfn.AGGREGATE(15,6,(ROW(Liste_Handelsünger[Handelsdünger])-1)/(--(SEARCH(BH$2,Liste_Handelsünger[Handelsdünger])&gt;0)),ROW()-2),1),"")</f>
        <v>BioAgenasol</v>
      </c>
      <c r="BH179" t="str">
        <f>IF(($A191=""),"",IF(COUNTIF(Mineral!$AJ$3:$AJ$324,$A191),"",$A191))</f>
        <v/>
      </c>
      <c r="BI179" t="str">
        <f>IFERROR(INDEX(Liste_Handelsünger[Handelsdünger],_xlfn.AGGREGATE(15,6,(ROW(Liste_Handelsünger[Handelsdünger])-1)/(--(SEARCH(BJ$2,Liste_Handelsünger[Handelsdünger])&gt;0)),ROW()-2),1),"")</f>
        <v>BioAgenasol</v>
      </c>
      <c r="BJ179" t="str">
        <f>IF(($A192=""),"",IF(COUNTIF(Mineral!$AJ$3:$AJ$324,$A192),"",$A192))</f>
        <v/>
      </c>
      <c r="BK179" t="str">
        <f>IFERROR(INDEX(Liste_Handelsünger[Handelsdünger],_xlfn.AGGREGATE(15,6,(ROW(Liste_Handelsünger[Handelsdünger])-1)/(--(SEARCH(BL$2,Liste_Handelsünger[Handelsdünger])&gt;0)),ROW()-2),1),"")</f>
        <v>BioAgenasol</v>
      </c>
      <c r="BM179" t="str">
        <f>IFERROR(INDEX(Liste_Handelsünger[Handelsdünger],_xlfn.AGGREGATE(15,6,(ROW(Liste_Handelsünger[Handelsdünger])-1)/(--(SEARCH(BN$2,Liste_Handelsünger[Handelsdünger])&gt;0)),ROW()-2),1),"")</f>
        <v>BioAgenasol</v>
      </c>
      <c r="BN179" t="str">
        <f>IF(($A194=""),"",IF(COUNTIF(Mineral!$AJ$3:$AJ$324,$A194),"",$A194))</f>
        <v/>
      </c>
      <c r="BV179" t="s">
        <v>2056</v>
      </c>
      <c r="BW179" t="s">
        <v>2333</v>
      </c>
    </row>
    <row r="180" spans="19:80" ht="14.25" thickTop="1" thickBot="1">
      <c r="S180" s="1676">
        <v>179</v>
      </c>
      <c r="T180" s="1606" t="s">
        <v>2006</v>
      </c>
      <c r="U180" s="1606" t="s">
        <v>2057</v>
      </c>
      <c r="V180" s="1606" t="s">
        <v>408</v>
      </c>
      <c r="W180" s="1606">
        <v>0</v>
      </c>
      <c r="X180" s="1606">
        <v>0</v>
      </c>
      <c r="Y180" s="1606">
        <v>0</v>
      </c>
      <c r="Z180" s="1606">
        <v>0</v>
      </c>
      <c r="AA180" s="1606">
        <v>36.299999999999997</v>
      </c>
      <c r="AB180" s="1606">
        <v>0</v>
      </c>
      <c r="AC180" s="1606">
        <v>1</v>
      </c>
      <c r="AD180" s="1613">
        <v>1</v>
      </c>
      <c r="AE180" s="1606" t="s">
        <v>1764</v>
      </c>
      <c r="AF180" s="1613" t="str">
        <f t="shared" si="17"/>
        <v/>
      </c>
      <c r="AG180" s="1656">
        <f>IFERROR(IF($AF180&gt;0,VLOOKUP($U180,Tabelle1!$C$188:$L$212,5,0)*$AF180,0),0)</f>
        <v>0</v>
      </c>
      <c r="AH180" s="1656">
        <f t="shared" si="18"/>
        <v>0</v>
      </c>
      <c r="AJ180" t="str">
        <f>IF(Betrieb!$D$9="JA",Mineral!$BW180,Mineral!$BV180)</f>
        <v>BioAktiv für Gülle</v>
      </c>
      <c r="AK180" s="1672" t="str">
        <f>IFERROR(INDEX(Liste_Handelsünger[Handelsdünger],_xlfn.AGGREGATE(15,6,(ROW(Liste_Handelsünger[Handelsdünger])-1)/(--(SEARCH(AL$2,Liste_Handelsünger[Handelsdünger])&gt;0)),ROW()-2),1),"")</f>
        <v>BioAktiv für Gülle</v>
      </c>
      <c r="AL180" s="1672" t="str">
        <f>IF(($A$3=""),"",IF(COUNTIF(Mineral!$AJ$3:$AJ$324,$A$3),"",$A$3))</f>
        <v/>
      </c>
      <c r="AM180" s="1672" t="str">
        <f>IFERROR(INDEX(Liste_Handelsünger[Handelsdünger],_xlfn.AGGREGATE(15,6,(ROW(Liste_Handelsünger[Handelsdünger])-1)/(--(SEARCH(AN$2,Liste_Handelsünger[Handelsdünger])&gt;0)),ROW()-2),1),"")</f>
        <v>BioAktiv für Gülle</v>
      </c>
      <c r="AN180" t="str">
        <f>IF(($A182=""),"",IF(COUNTIF(Mineral!$AJ$3:$AJ$324,$A182),"",$A182))</f>
        <v/>
      </c>
      <c r="AO180" t="str">
        <f>IFERROR(INDEX(Liste_Handelsünger[Handelsdünger],_xlfn.AGGREGATE(15,6,(ROW(Liste_Handelsünger[Handelsdünger])-1)/(--(SEARCH(AP$2,Liste_Handelsünger[Handelsdünger])&gt;0)),ROW()-2),1),"")</f>
        <v>BioAktiv für Gülle</v>
      </c>
      <c r="AP180" t="str">
        <f>IF(($A183=""),"",IF(COUNTIF(Mineral!$AJ$3:$AJ$324,$A183),"",$A183))</f>
        <v/>
      </c>
      <c r="AQ180" t="str">
        <f>IFERROR(INDEX(Liste_Handelsünger[Handelsdünger],_xlfn.AGGREGATE(15,6,(ROW(Liste_Handelsünger[Handelsdünger])-1)/(--(SEARCH(AR$2,Liste_Handelsünger[Handelsdünger])&gt;0)),ROW()-2),1),"")</f>
        <v>BioAktiv für Gülle</v>
      </c>
      <c r="AR180" t="str">
        <f>IF(($A184=""),"",IF(COUNTIF(Mineral!$AJ$3:$AJ$324,$A184),"",$A184))</f>
        <v/>
      </c>
      <c r="AS180" t="str">
        <f>IFERROR(INDEX(Liste_Handelsünger[Handelsdünger],_xlfn.AGGREGATE(15,6,(ROW(Liste_Handelsünger[Handelsdünger])-1)/(--(SEARCH(AT$2,Liste_Handelsünger[Handelsdünger])&gt;0)),ROW()-2),1),"")</f>
        <v>BioAktiv für Gülle</v>
      </c>
      <c r="AT180" t="str">
        <f>IF(($A185=""),"",IF(COUNTIF(Mineral!$AJ$3:$AJ$324,$A185),"",$A185))</f>
        <v/>
      </c>
      <c r="AU180" t="str">
        <f>IFERROR(INDEX(Liste_Handelsünger[Handelsdünger],_xlfn.AGGREGATE(15,6,(ROW(Liste_Handelsünger[Handelsdünger])-1)/(--(SEARCH(AV$2,Liste_Handelsünger[Handelsdünger])&gt;0)),ROW()-2),1),"")</f>
        <v>BioAktiv für Gülle</v>
      </c>
      <c r="AV180" t="str">
        <f>IF(($A186=""),"",IF(COUNTIF(Mineral!$AJ$3:$AJ$324,$A186),"",$A186))</f>
        <v/>
      </c>
      <c r="AW180" t="str">
        <f>IFERROR(INDEX(Liste_Handelsünger[Handelsdünger],_xlfn.AGGREGATE(15,6,(ROW(Liste_Handelsünger[Handelsdünger])-1)/(--(SEARCH(AX$2,Liste_Handelsünger[Handelsdünger])&gt;0)),ROW()-2),1),"")</f>
        <v>BioAktiv für Gülle</v>
      </c>
      <c r="AX180" t="str">
        <f>IF(($A187=""),"",IF(COUNTIF(Mineral!$AJ$3:$AJ$324,$A187),"",$A187))</f>
        <v/>
      </c>
      <c r="AY180" t="str">
        <f>IFERROR(INDEX(Liste_Handelsünger[Handelsdünger],_xlfn.AGGREGATE(15,6,(ROW(Liste_Handelsünger[Handelsdünger])-1)/(--(SEARCH(AZ$2,Liste_Handelsünger[Handelsdünger])&gt;0)),ROW()-2),1),"")</f>
        <v>BioAktiv für Gülle</v>
      </c>
      <c r="AZ180" t="str">
        <f>IF(($A188=""),"",IF(COUNTIF(Mineral!$AJ$3:$AJ$324,$A188),"",$A188))</f>
        <v/>
      </c>
      <c r="BA180" t="str">
        <f>IFERROR(INDEX(Liste_Handelsünger[Handelsdünger],_xlfn.AGGREGATE(15,6,(ROW(Liste_Handelsünger[Handelsdünger])-1)/(--(SEARCH(BB$2,Liste_Handelsünger[Handelsdünger])&gt;0)),ROW()-2),1),"")</f>
        <v>BioAktiv für Gülle</v>
      </c>
      <c r="BB180" t="str">
        <f>IF(($A189=""),"",IF(COUNTIF(Mineral!$AJ$3:$AJ$324,$A189),"",$A189))</f>
        <v/>
      </c>
      <c r="BC180" t="str">
        <f>IFERROR(INDEX(Liste_Handelsünger[Handelsdünger],_xlfn.AGGREGATE(15,6,(ROW(Liste_Handelsünger[Handelsdünger])-1)/(--(SEARCH(BD$2,Liste_Handelsünger[Handelsdünger])&gt;0)),ROW()-2),1),"")</f>
        <v>BioAktiv für Gülle</v>
      </c>
      <c r="BD180" t="str">
        <f>IF(($A190=""),"",IF(COUNTIF(Mineral!$AJ$3:$AJ$324,$A190),"",$A190))</f>
        <v/>
      </c>
      <c r="BE180" t="str">
        <f>IFERROR(INDEX(Liste_Handelsünger[Handelsdünger],_xlfn.AGGREGATE(15,6,(ROW(Liste_Handelsünger[Handelsdünger])-1)/(--(SEARCH(BF$2,Liste_Handelsünger[Handelsdünger])&gt;0)),ROW()-2),1),"")</f>
        <v>BioAktiv für Gülle</v>
      </c>
      <c r="BF180" t="str">
        <f>IF(($A191=""),"",IF(COUNTIF(Mineral!$AJ$3:$AJ$324,$A191),"",$A191))</f>
        <v/>
      </c>
      <c r="BG180" t="str">
        <f>IFERROR(INDEX(Liste_Handelsünger[Handelsdünger],_xlfn.AGGREGATE(15,6,(ROW(Liste_Handelsünger[Handelsdünger])-1)/(--(SEARCH(BH$2,Liste_Handelsünger[Handelsdünger])&gt;0)),ROW()-2),1),"")</f>
        <v>BioAktiv für Gülle</v>
      </c>
      <c r="BH180" t="str">
        <f>IF(($A192=""),"",IF(COUNTIF(Mineral!$AJ$3:$AJ$324,$A192),"",$A192))</f>
        <v/>
      </c>
      <c r="BI180" t="str">
        <f>IFERROR(INDEX(Liste_Handelsünger[Handelsdünger],_xlfn.AGGREGATE(15,6,(ROW(Liste_Handelsünger[Handelsdünger])-1)/(--(SEARCH(BJ$2,Liste_Handelsünger[Handelsdünger])&gt;0)),ROW()-2),1),"")</f>
        <v>BioAktiv für Gülle</v>
      </c>
      <c r="BJ180" t="str">
        <f>IF(($A193=""),"",IF(COUNTIF(Mineral!$AJ$3:$AJ$324,$A193),"",$A193))</f>
        <v/>
      </c>
      <c r="BK180" t="str">
        <f>IFERROR(INDEX(Liste_Handelsünger[Handelsdünger],_xlfn.AGGREGATE(15,6,(ROW(Liste_Handelsünger[Handelsdünger])-1)/(--(SEARCH(BL$2,Liste_Handelsünger[Handelsdünger])&gt;0)),ROW()-2),1),"")</f>
        <v>BioAktiv für Gülle</v>
      </c>
      <c r="BM180" t="str">
        <f>IFERROR(INDEX(Liste_Handelsünger[Handelsdünger],_xlfn.AGGREGATE(15,6,(ROW(Liste_Handelsünger[Handelsdünger])-1)/(--(SEARCH(BN$2,Liste_Handelsünger[Handelsdünger])&gt;0)),ROW()-2),1),"")</f>
        <v>BioAktiv für Gülle</v>
      </c>
      <c r="BN180" t="str">
        <f>IF(($A195=""),"",IF(COUNTIF(Mineral!$AJ$3:$AJ$324,$A195),"",$A195))</f>
        <v/>
      </c>
      <c r="BV180" t="s">
        <v>2057</v>
      </c>
      <c r="BW180" t="s">
        <v>2213</v>
      </c>
      <c r="BZ180" s="1602"/>
      <c r="CA180" s="1602"/>
      <c r="CB180" s="1602"/>
    </row>
    <row r="181" spans="19:80" ht="14.25" thickTop="1" thickBot="1">
      <c r="S181" s="1616">
        <v>180</v>
      </c>
      <c r="T181" s="1617" t="s">
        <v>2006</v>
      </c>
      <c r="U181" s="1617" t="s">
        <v>2058</v>
      </c>
      <c r="V181" s="1617" t="s">
        <v>408</v>
      </c>
      <c r="W181" s="1617">
        <v>0</v>
      </c>
      <c r="X181" s="1617">
        <v>0</v>
      </c>
      <c r="Y181" s="1617">
        <v>0</v>
      </c>
      <c r="Z181" s="1617">
        <v>0</v>
      </c>
      <c r="AA181" s="1617">
        <v>36.299999999999997</v>
      </c>
      <c r="AB181" s="1617">
        <v>0</v>
      </c>
      <c r="AC181" s="1617">
        <v>1</v>
      </c>
      <c r="AD181" s="1613">
        <v>1</v>
      </c>
      <c r="AE181" s="1617" t="s">
        <v>1764</v>
      </c>
      <c r="AF181" s="1613" t="str">
        <f t="shared" si="17"/>
        <v/>
      </c>
      <c r="AG181" s="1656">
        <f>IFERROR(IF($AF181&gt;0,VLOOKUP($U181,Tabelle1!$C$188:$L$212,5,0)*$AF181,0),0)</f>
        <v>0</v>
      </c>
      <c r="AH181" s="1656">
        <f t="shared" si="18"/>
        <v>0</v>
      </c>
      <c r="AJ181" t="str">
        <f>IF(Betrieb!$D$9="JA",Mineral!$BW181,Mineral!$BV181)</f>
        <v>BioAktiv für Kompost</v>
      </c>
      <c r="AK181" s="1672" t="str">
        <f>IFERROR(INDEX(Liste_Handelsünger[Handelsdünger],_xlfn.AGGREGATE(15,6,(ROW(Liste_Handelsünger[Handelsdünger])-1)/(--(SEARCH(AL$2,Liste_Handelsünger[Handelsdünger])&gt;0)),ROW()-2),1),"")</f>
        <v>BioAktiv für Kompost</v>
      </c>
      <c r="AL181" s="1672" t="str">
        <f>IF(($A$3=""),"",IF(COUNTIF(Mineral!$AJ$3:$AJ$324,$A$3),"",$A$3))</f>
        <v/>
      </c>
      <c r="AM181" s="1672" t="str">
        <f>IFERROR(INDEX(Liste_Handelsünger[Handelsdünger],_xlfn.AGGREGATE(15,6,(ROW(Liste_Handelsünger[Handelsdünger])-1)/(--(SEARCH(AN$2,Liste_Handelsünger[Handelsdünger])&gt;0)),ROW()-2),1),"")</f>
        <v>BioAktiv für Kompost</v>
      </c>
      <c r="AN181" t="str">
        <f>IF(($A183=""),"",IF(COUNTIF(Mineral!$AJ$3:$AJ$324,$A183),"",$A183))</f>
        <v/>
      </c>
      <c r="AO181" t="str">
        <f>IFERROR(INDEX(Liste_Handelsünger[Handelsdünger],_xlfn.AGGREGATE(15,6,(ROW(Liste_Handelsünger[Handelsdünger])-1)/(--(SEARCH(AP$2,Liste_Handelsünger[Handelsdünger])&gt;0)),ROW()-2),1),"")</f>
        <v>BioAktiv für Kompost</v>
      </c>
      <c r="AP181" t="str">
        <f>IF(($A184=""),"",IF(COUNTIF(Mineral!$AJ$3:$AJ$324,$A184),"",$A184))</f>
        <v/>
      </c>
      <c r="AQ181" t="str">
        <f>IFERROR(INDEX(Liste_Handelsünger[Handelsdünger],_xlfn.AGGREGATE(15,6,(ROW(Liste_Handelsünger[Handelsdünger])-1)/(--(SEARCH(AR$2,Liste_Handelsünger[Handelsdünger])&gt;0)),ROW()-2),1),"")</f>
        <v>BioAktiv für Kompost</v>
      </c>
      <c r="AR181" t="str">
        <f>IF(($A185=""),"",IF(COUNTIF(Mineral!$AJ$3:$AJ$324,$A185),"",$A185))</f>
        <v/>
      </c>
      <c r="AS181" t="str">
        <f>IFERROR(INDEX(Liste_Handelsünger[Handelsdünger],_xlfn.AGGREGATE(15,6,(ROW(Liste_Handelsünger[Handelsdünger])-1)/(--(SEARCH(AT$2,Liste_Handelsünger[Handelsdünger])&gt;0)),ROW()-2),1),"")</f>
        <v>BioAktiv für Kompost</v>
      </c>
      <c r="AT181" t="str">
        <f>IF(($A186=""),"",IF(COUNTIF(Mineral!$AJ$3:$AJ$324,$A186),"",$A186))</f>
        <v/>
      </c>
      <c r="AU181" t="str">
        <f>IFERROR(INDEX(Liste_Handelsünger[Handelsdünger],_xlfn.AGGREGATE(15,6,(ROW(Liste_Handelsünger[Handelsdünger])-1)/(--(SEARCH(AV$2,Liste_Handelsünger[Handelsdünger])&gt;0)),ROW()-2),1),"")</f>
        <v>BioAktiv für Kompost</v>
      </c>
      <c r="AV181" t="str">
        <f>IF(($A187=""),"",IF(COUNTIF(Mineral!$AJ$3:$AJ$324,$A187),"",$A187))</f>
        <v/>
      </c>
      <c r="AW181" t="str">
        <f>IFERROR(INDEX(Liste_Handelsünger[Handelsdünger],_xlfn.AGGREGATE(15,6,(ROW(Liste_Handelsünger[Handelsdünger])-1)/(--(SEARCH(AX$2,Liste_Handelsünger[Handelsdünger])&gt;0)),ROW()-2),1),"")</f>
        <v>BioAktiv für Kompost</v>
      </c>
      <c r="AX181" t="str">
        <f>IF(($A188=""),"",IF(COUNTIF(Mineral!$AJ$3:$AJ$324,$A188),"",$A188))</f>
        <v/>
      </c>
      <c r="AY181" t="str">
        <f>IFERROR(INDEX(Liste_Handelsünger[Handelsdünger],_xlfn.AGGREGATE(15,6,(ROW(Liste_Handelsünger[Handelsdünger])-1)/(--(SEARCH(AZ$2,Liste_Handelsünger[Handelsdünger])&gt;0)),ROW()-2),1),"")</f>
        <v>BioAktiv für Kompost</v>
      </c>
      <c r="AZ181" t="str">
        <f>IF(($A189=""),"",IF(COUNTIF(Mineral!$AJ$3:$AJ$324,$A189),"",$A189))</f>
        <v/>
      </c>
      <c r="BA181" t="str">
        <f>IFERROR(INDEX(Liste_Handelsünger[Handelsdünger],_xlfn.AGGREGATE(15,6,(ROW(Liste_Handelsünger[Handelsdünger])-1)/(--(SEARCH(BB$2,Liste_Handelsünger[Handelsdünger])&gt;0)),ROW()-2),1),"")</f>
        <v>BioAktiv für Kompost</v>
      </c>
      <c r="BB181" t="str">
        <f>IF(($A190=""),"",IF(COUNTIF(Mineral!$AJ$3:$AJ$324,$A190),"",$A190))</f>
        <v/>
      </c>
      <c r="BC181" t="str">
        <f>IFERROR(INDEX(Liste_Handelsünger[Handelsdünger],_xlfn.AGGREGATE(15,6,(ROW(Liste_Handelsünger[Handelsdünger])-1)/(--(SEARCH(BD$2,Liste_Handelsünger[Handelsdünger])&gt;0)),ROW()-2),1),"")</f>
        <v>BioAktiv für Kompost</v>
      </c>
      <c r="BD181" t="str">
        <f>IF(($A191=""),"",IF(COUNTIF(Mineral!$AJ$3:$AJ$324,$A191),"",$A191))</f>
        <v/>
      </c>
      <c r="BE181" t="str">
        <f>IFERROR(INDEX(Liste_Handelsünger[Handelsdünger],_xlfn.AGGREGATE(15,6,(ROW(Liste_Handelsünger[Handelsdünger])-1)/(--(SEARCH(BF$2,Liste_Handelsünger[Handelsdünger])&gt;0)),ROW()-2),1),"")</f>
        <v>BioAktiv für Kompost</v>
      </c>
      <c r="BF181" t="str">
        <f>IF(($A192=""),"",IF(COUNTIF(Mineral!$AJ$3:$AJ$324,$A192),"",$A192))</f>
        <v/>
      </c>
      <c r="BG181" t="str">
        <f>IFERROR(INDEX(Liste_Handelsünger[Handelsdünger],_xlfn.AGGREGATE(15,6,(ROW(Liste_Handelsünger[Handelsdünger])-1)/(--(SEARCH(BH$2,Liste_Handelsünger[Handelsdünger])&gt;0)),ROW()-2),1),"")</f>
        <v>BioAktiv für Kompost</v>
      </c>
      <c r="BH181" t="str">
        <f>IF(($A193=""),"",IF(COUNTIF(Mineral!$AJ$3:$AJ$324,$A193),"",$A193))</f>
        <v/>
      </c>
      <c r="BI181" t="str">
        <f>IFERROR(INDEX(Liste_Handelsünger[Handelsdünger],_xlfn.AGGREGATE(15,6,(ROW(Liste_Handelsünger[Handelsdünger])-1)/(--(SEARCH(BJ$2,Liste_Handelsünger[Handelsdünger])&gt;0)),ROW()-2),1),"")</f>
        <v>BioAktiv für Kompost</v>
      </c>
      <c r="BJ181" t="str">
        <f>IF(($A194=""),"",IF(COUNTIF(Mineral!$AJ$3:$AJ$324,$A194),"",$A194))</f>
        <v/>
      </c>
      <c r="BK181" t="str">
        <f>IFERROR(INDEX(Liste_Handelsünger[Handelsdünger],_xlfn.AGGREGATE(15,6,(ROW(Liste_Handelsünger[Handelsdünger])-1)/(--(SEARCH(BL$2,Liste_Handelsünger[Handelsdünger])&gt;0)),ROW()-2),1),"")</f>
        <v>BioAktiv für Kompost</v>
      </c>
      <c r="BM181" t="str">
        <f>IFERROR(INDEX(Liste_Handelsünger[Handelsdünger],_xlfn.AGGREGATE(15,6,(ROW(Liste_Handelsünger[Handelsdünger])-1)/(--(SEARCH(BN$2,Liste_Handelsünger[Handelsdünger])&gt;0)),ROW()-2),1),"")</f>
        <v>BioAktiv für Kompost</v>
      </c>
      <c r="BN181" t="str">
        <f>IF(($A196=""),"",IF(COUNTIF(Mineral!$AJ$3:$AJ$324,$A196),"",$A196))</f>
        <v/>
      </c>
      <c r="BV181" t="s">
        <v>2058</v>
      </c>
      <c r="BW181" t="s">
        <v>2157</v>
      </c>
      <c r="BZ181" s="1602"/>
      <c r="CA181" s="1602"/>
      <c r="CB181" s="1602"/>
    </row>
    <row r="182" spans="19:80" ht="14.25" thickTop="1" thickBot="1">
      <c r="S182" s="1676">
        <v>181</v>
      </c>
      <c r="T182" s="1606" t="s">
        <v>2006</v>
      </c>
      <c r="U182" s="1606" t="s">
        <v>2059</v>
      </c>
      <c r="V182" s="1606" t="s">
        <v>408</v>
      </c>
      <c r="W182" s="1606">
        <v>0</v>
      </c>
      <c r="X182" s="1606">
        <v>0</v>
      </c>
      <c r="Y182" s="1606">
        <v>0</v>
      </c>
      <c r="Z182" s="1606">
        <v>13</v>
      </c>
      <c r="AA182" s="1606">
        <v>0</v>
      </c>
      <c r="AB182" s="1606">
        <v>16</v>
      </c>
      <c r="AC182" s="1606">
        <v>1</v>
      </c>
      <c r="AD182" s="1613">
        <v>1</v>
      </c>
      <c r="AE182" s="1606" t="s">
        <v>1764</v>
      </c>
      <c r="AF182" s="1613" t="str">
        <f t="shared" si="17"/>
        <v/>
      </c>
      <c r="AG182" s="1656">
        <f>IFERROR(IF($AF182&gt;0,VLOOKUP($U182,Tabelle1!$C$188:$L$212,5,0)*$AF182,0),0)</f>
        <v>0</v>
      </c>
      <c r="AH182" s="1656">
        <f t="shared" si="18"/>
        <v>0</v>
      </c>
      <c r="AJ182" t="str">
        <f>IF(Betrieb!$D$9="JA",Mineral!$BW182,Mineral!$BV182)</f>
        <v>BioAktiv-Pflanze</v>
      </c>
      <c r="AK182" s="1672" t="str">
        <f>IFERROR(INDEX(Liste_Handelsünger[Handelsdünger],_xlfn.AGGREGATE(15,6,(ROW(Liste_Handelsünger[Handelsdünger])-1)/(--(SEARCH(AL$2,Liste_Handelsünger[Handelsdünger])&gt;0)),ROW()-2),1),"")</f>
        <v>BioAktiv-Pflanze</v>
      </c>
      <c r="AL182" s="1672" t="str">
        <f>IF(($A$3=""),"",IF(COUNTIF(Mineral!$AJ$3:$AJ$324,$A$3),"",$A$3))</f>
        <v/>
      </c>
      <c r="AM182" s="1672" t="str">
        <f>IFERROR(INDEX(Liste_Handelsünger[Handelsdünger],_xlfn.AGGREGATE(15,6,(ROW(Liste_Handelsünger[Handelsdünger])-1)/(--(SEARCH(AN$2,Liste_Handelsünger[Handelsdünger])&gt;0)),ROW()-2),1),"")</f>
        <v>BioAktiv-Pflanze</v>
      </c>
      <c r="AN182" t="str">
        <f>IF(($A184=""),"",IF(COUNTIF(Mineral!$AJ$3:$AJ$324,$A184),"",$A184))</f>
        <v/>
      </c>
      <c r="AO182" t="str">
        <f>IFERROR(INDEX(Liste_Handelsünger[Handelsdünger],_xlfn.AGGREGATE(15,6,(ROW(Liste_Handelsünger[Handelsdünger])-1)/(--(SEARCH(AP$2,Liste_Handelsünger[Handelsdünger])&gt;0)),ROW()-2),1),"")</f>
        <v>BioAktiv-Pflanze</v>
      </c>
      <c r="AP182" t="str">
        <f>IF(($A185=""),"",IF(COUNTIF(Mineral!$AJ$3:$AJ$324,$A185),"",$A185))</f>
        <v/>
      </c>
      <c r="AQ182" t="str">
        <f>IFERROR(INDEX(Liste_Handelsünger[Handelsdünger],_xlfn.AGGREGATE(15,6,(ROW(Liste_Handelsünger[Handelsdünger])-1)/(--(SEARCH(AR$2,Liste_Handelsünger[Handelsdünger])&gt;0)),ROW()-2),1),"")</f>
        <v>BioAktiv-Pflanze</v>
      </c>
      <c r="AR182" t="str">
        <f>IF(($A186=""),"",IF(COUNTIF(Mineral!$AJ$3:$AJ$324,$A186),"",$A186))</f>
        <v/>
      </c>
      <c r="AS182" t="str">
        <f>IFERROR(INDEX(Liste_Handelsünger[Handelsdünger],_xlfn.AGGREGATE(15,6,(ROW(Liste_Handelsünger[Handelsdünger])-1)/(--(SEARCH(AT$2,Liste_Handelsünger[Handelsdünger])&gt;0)),ROW()-2),1),"")</f>
        <v>BioAktiv-Pflanze</v>
      </c>
      <c r="AT182" t="str">
        <f>IF(($A187=""),"",IF(COUNTIF(Mineral!$AJ$3:$AJ$324,$A187),"",$A187))</f>
        <v/>
      </c>
      <c r="AU182" t="str">
        <f>IFERROR(INDEX(Liste_Handelsünger[Handelsdünger],_xlfn.AGGREGATE(15,6,(ROW(Liste_Handelsünger[Handelsdünger])-1)/(--(SEARCH(AV$2,Liste_Handelsünger[Handelsdünger])&gt;0)),ROW()-2),1),"")</f>
        <v>BioAktiv-Pflanze</v>
      </c>
      <c r="AV182" t="str">
        <f>IF(($A188=""),"",IF(COUNTIF(Mineral!$AJ$3:$AJ$324,$A188),"",$A188))</f>
        <v/>
      </c>
      <c r="AW182" t="str">
        <f>IFERROR(INDEX(Liste_Handelsünger[Handelsdünger],_xlfn.AGGREGATE(15,6,(ROW(Liste_Handelsünger[Handelsdünger])-1)/(--(SEARCH(AX$2,Liste_Handelsünger[Handelsdünger])&gt;0)),ROW()-2),1),"")</f>
        <v>BioAktiv-Pflanze</v>
      </c>
      <c r="AX182" t="str">
        <f>IF(($A189=""),"",IF(COUNTIF(Mineral!$AJ$3:$AJ$324,$A189),"",$A189))</f>
        <v/>
      </c>
      <c r="AY182" t="str">
        <f>IFERROR(INDEX(Liste_Handelsünger[Handelsdünger],_xlfn.AGGREGATE(15,6,(ROW(Liste_Handelsünger[Handelsdünger])-1)/(--(SEARCH(AZ$2,Liste_Handelsünger[Handelsdünger])&gt;0)),ROW()-2),1),"")</f>
        <v>BioAktiv-Pflanze</v>
      </c>
      <c r="AZ182" t="str">
        <f>IF(($A190=""),"",IF(COUNTIF(Mineral!$AJ$3:$AJ$324,$A190),"",$A190))</f>
        <v/>
      </c>
      <c r="BA182" t="str">
        <f>IFERROR(INDEX(Liste_Handelsünger[Handelsdünger],_xlfn.AGGREGATE(15,6,(ROW(Liste_Handelsünger[Handelsdünger])-1)/(--(SEARCH(BB$2,Liste_Handelsünger[Handelsdünger])&gt;0)),ROW()-2),1),"")</f>
        <v>BioAktiv-Pflanze</v>
      </c>
      <c r="BB182" t="str">
        <f>IF(($A191=""),"",IF(COUNTIF(Mineral!$AJ$3:$AJ$324,$A191),"",$A191))</f>
        <v/>
      </c>
      <c r="BC182" t="str">
        <f>IFERROR(INDEX(Liste_Handelsünger[Handelsdünger],_xlfn.AGGREGATE(15,6,(ROW(Liste_Handelsünger[Handelsdünger])-1)/(--(SEARCH(BD$2,Liste_Handelsünger[Handelsdünger])&gt;0)),ROW()-2),1),"")</f>
        <v>BioAktiv-Pflanze</v>
      </c>
      <c r="BD182" t="str">
        <f>IF(($A192=""),"",IF(COUNTIF(Mineral!$AJ$3:$AJ$324,$A192),"",$A192))</f>
        <v/>
      </c>
      <c r="BE182" t="str">
        <f>IFERROR(INDEX(Liste_Handelsünger[Handelsdünger],_xlfn.AGGREGATE(15,6,(ROW(Liste_Handelsünger[Handelsdünger])-1)/(--(SEARCH(BF$2,Liste_Handelsünger[Handelsdünger])&gt;0)),ROW()-2),1),"")</f>
        <v>BioAktiv-Pflanze</v>
      </c>
      <c r="BF182" t="str">
        <f>IF(($A193=""),"",IF(COUNTIF(Mineral!$AJ$3:$AJ$324,$A193),"",$A193))</f>
        <v/>
      </c>
      <c r="BG182" t="str">
        <f>IFERROR(INDEX(Liste_Handelsünger[Handelsdünger],_xlfn.AGGREGATE(15,6,(ROW(Liste_Handelsünger[Handelsdünger])-1)/(--(SEARCH(BH$2,Liste_Handelsünger[Handelsdünger])&gt;0)),ROW()-2),1),"")</f>
        <v>BioAktiv-Pflanze</v>
      </c>
      <c r="BH182" t="str">
        <f>IF(($A194=""),"",IF(COUNTIF(Mineral!$AJ$3:$AJ$324,$A194),"",$A194))</f>
        <v/>
      </c>
      <c r="BI182" t="str">
        <f>IFERROR(INDEX(Liste_Handelsünger[Handelsdünger],_xlfn.AGGREGATE(15,6,(ROW(Liste_Handelsünger[Handelsdünger])-1)/(--(SEARCH(BJ$2,Liste_Handelsünger[Handelsdünger])&gt;0)),ROW()-2),1),"")</f>
        <v>BioAktiv-Pflanze</v>
      </c>
      <c r="BJ182" t="str">
        <f>IF(($A195=""),"",IF(COUNTIF(Mineral!$AJ$3:$AJ$324,$A195),"",$A195))</f>
        <v/>
      </c>
      <c r="BK182" t="str">
        <f>IFERROR(INDEX(Liste_Handelsünger[Handelsdünger],_xlfn.AGGREGATE(15,6,(ROW(Liste_Handelsünger[Handelsdünger])-1)/(--(SEARCH(BL$2,Liste_Handelsünger[Handelsdünger])&gt;0)),ROW()-2),1),"")</f>
        <v>BioAktiv-Pflanze</v>
      </c>
      <c r="BM182" t="str">
        <f>IFERROR(INDEX(Liste_Handelsünger[Handelsdünger],_xlfn.AGGREGATE(15,6,(ROW(Liste_Handelsünger[Handelsdünger])-1)/(--(SEARCH(BN$2,Liste_Handelsünger[Handelsdünger])&gt;0)),ROW()-2),1),"")</f>
        <v>BioAktiv-Pflanze</v>
      </c>
      <c r="BN182" t="str">
        <f>IF(($A197=""),"",IF(COUNTIF(Mineral!$AJ$3:$AJ$324,$A197),"",$A197))</f>
        <v/>
      </c>
      <c r="BV182" t="s">
        <v>2059</v>
      </c>
      <c r="BW182" t="s">
        <v>2020</v>
      </c>
      <c r="BZ182" s="1602"/>
      <c r="CA182" s="1602"/>
      <c r="CB182" s="1602"/>
    </row>
    <row r="183" spans="19:80" ht="14.25" thickTop="1" thickBot="1">
      <c r="S183" s="1616">
        <v>182</v>
      </c>
      <c r="T183" s="1617" t="s">
        <v>2006</v>
      </c>
      <c r="U183" s="1617" t="s">
        <v>2060</v>
      </c>
      <c r="V183" s="1617" t="s">
        <v>408</v>
      </c>
      <c r="W183" s="1617">
        <v>9.1</v>
      </c>
      <c r="X183" s="1617">
        <v>0.4</v>
      </c>
      <c r="Y183" s="1617">
        <v>0</v>
      </c>
      <c r="Z183" s="1617">
        <v>0</v>
      </c>
      <c r="AA183" s="1617">
        <v>0.2</v>
      </c>
      <c r="AB183" s="1617">
        <v>0</v>
      </c>
      <c r="AC183" s="1617">
        <v>0.7</v>
      </c>
      <c r="AD183" s="1613">
        <v>0.87</v>
      </c>
      <c r="AE183" s="1617" t="s">
        <v>2016</v>
      </c>
      <c r="AF183" s="1613" t="str">
        <f t="shared" si="17"/>
        <v/>
      </c>
      <c r="AG183" s="1656">
        <f>IFERROR(IF($AF183&gt;0,VLOOKUP($U183,Tabelle1!$C$188:$L$212,5,0)*$AF183,0),0)</f>
        <v>0</v>
      </c>
      <c r="AH183" s="1656">
        <f t="shared" si="18"/>
        <v>0</v>
      </c>
      <c r="AJ183" t="str">
        <f>IF(Betrieb!$D$9="JA",Mineral!$BW183,Mineral!$BV183)</f>
        <v>Bio-Aminosol</v>
      </c>
      <c r="AK183" s="1672" t="str">
        <f>IFERROR(INDEX(Liste_Handelsünger[Handelsdünger],_xlfn.AGGREGATE(15,6,(ROW(Liste_Handelsünger[Handelsdünger])-1)/(--(SEARCH(AL$2,Liste_Handelsünger[Handelsdünger])&gt;0)),ROW()-2),1),"")</f>
        <v>Bio-Aminosol</v>
      </c>
      <c r="AL183" s="1672" t="str">
        <f>IF(($A$3=""),"",IF(COUNTIF(Mineral!$AJ$3:$AJ$324,$A$3),"",$A$3))</f>
        <v/>
      </c>
      <c r="AM183" s="1672" t="str">
        <f>IFERROR(INDEX(Liste_Handelsünger[Handelsdünger],_xlfn.AGGREGATE(15,6,(ROW(Liste_Handelsünger[Handelsdünger])-1)/(--(SEARCH(AN$2,Liste_Handelsünger[Handelsdünger])&gt;0)),ROW()-2),1),"")</f>
        <v>Bio-Aminosol</v>
      </c>
      <c r="AN183" t="str">
        <f>IF(($A185=""),"",IF(COUNTIF(Mineral!$AJ$3:$AJ$324,$A185),"",$A185))</f>
        <v/>
      </c>
      <c r="AO183" t="str">
        <f>IFERROR(INDEX(Liste_Handelsünger[Handelsdünger],_xlfn.AGGREGATE(15,6,(ROW(Liste_Handelsünger[Handelsdünger])-1)/(--(SEARCH(AP$2,Liste_Handelsünger[Handelsdünger])&gt;0)),ROW()-2),1),"")</f>
        <v>Bio-Aminosol</v>
      </c>
      <c r="AP183" t="str">
        <f>IF(($A186=""),"",IF(COUNTIF(Mineral!$AJ$3:$AJ$324,$A186),"",$A186))</f>
        <v/>
      </c>
      <c r="AQ183" t="str">
        <f>IFERROR(INDEX(Liste_Handelsünger[Handelsdünger],_xlfn.AGGREGATE(15,6,(ROW(Liste_Handelsünger[Handelsdünger])-1)/(--(SEARCH(AR$2,Liste_Handelsünger[Handelsdünger])&gt;0)),ROW()-2),1),"")</f>
        <v>Bio-Aminosol</v>
      </c>
      <c r="AR183" t="str">
        <f>IF(($A187=""),"",IF(COUNTIF(Mineral!$AJ$3:$AJ$324,$A187),"",$A187))</f>
        <v/>
      </c>
      <c r="AS183" t="str">
        <f>IFERROR(INDEX(Liste_Handelsünger[Handelsdünger],_xlfn.AGGREGATE(15,6,(ROW(Liste_Handelsünger[Handelsdünger])-1)/(--(SEARCH(AT$2,Liste_Handelsünger[Handelsdünger])&gt;0)),ROW()-2),1),"")</f>
        <v>Bio-Aminosol</v>
      </c>
      <c r="AT183" t="str">
        <f>IF(($A188=""),"",IF(COUNTIF(Mineral!$AJ$3:$AJ$324,$A188),"",$A188))</f>
        <v/>
      </c>
      <c r="AU183" t="str">
        <f>IFERROR(INDEX(Liste_Handelsünger[Handelsdünger],_xlfn.AGGREGATE(15,6,(ROW(Liste_Handelsünger[Handelsdünger])-1)/(--(SEARCH(AV$2,Liste_Handelsünger[Handelsdünger])&gt;0)),ROW()-2),1),"")</f>
        <v>Bio-Aminosol</v>
      </c>
      <c r="AV183" t="str">
        <f>IF(($A189=""),"",IF(COUNTIF(Mineral!$AJ$3:$AJ$324,$A189),"",$A189))</f>
        <v/>
      </c>
      <c r="AW183" t="str">
        <f>IFERROR(INDEX(Liste_Handelsünger[Handelsdünger],_xlfn.AGGREGATE(15,6,(ROW(Liste_Handelsünger[Handelsdünger])-1)/(--(SEARCH(AX$2,Liste_Handelsünger[Handelsdünger])&gt;0)),ROW()-2),1),"")</f>
        <v>Bio-Aminosol</v>
      </c>
      <c r="AX183" t="str">
        <f>IF(($A190=""),"",IF(COUNTIF(Mineral!$AJ$3:$AJ$324,$A190),"",$A190))</f>
        <v/>
      </c>
      <c r="AY183" t="str">
        <f>IFERROR(INDEX(Liste_Handelsünger[Handelsdünger],_xlfn.AGGREGATE(15,6,(ROW(Liste_Handelsünger[Handelsdünger])-1)/(--(SEARCH(AZ$2,Liste_Handelsünger[Handelsdünger])&gt;0)),ROW()-2),1),"")</f>
        <v>Bio-Aminosol</v>
      </c>
      <c r="AZ183" t="str">
        <f>IF(($A191=""),"",IF(COUNTIF(Mineral!$AJ$3:$AJ$324,$A191),"",$A191))</f>
        <v/>
      </c>
      <c r="BA183" t="str">
        <f>IFERROR(INDEX(Liste_Handelsünger[Handelsdünger],_xlfn.AGGREGATE(15,6,(ROW(Liste_Handelsünger[Handelsdünger])-1)/(--(SEARCH(BB$2,Liste_Handelsünger[Handelsdünger])&gt;0)),ROW()-2),1),"")</f>
        <v>Bio-Aminosol</v>
      </c>
      <c r="BB183" t="str">
        <f>IF(($A192=""),"",IF(COUNTIF(Mineral!$AJ$3:$AJ$324,$A192),"",$A192))</f>
        <v/>
      </c>
      <c r="BC183" t="str">
        <f>IFERROR(INDEX(Liste_Handelsünger[Handelsdünger],_xlfn.AGGREGATE(15,6,(ROW(Liste_Handelsünger[Handelsdünger])-1)/(--(SEARCH(BD$2,Liste_Handelsünger[Handelsdünger])&gt;0)),ROW()-2),1),"")</f>
        <v>Bio-Aminosol</v>
      </c>
      <c r="BD183" t="str">
        <f>IF(($A193=""),"",IF(COUNTIF(Mineral!$AJ$3:$AJ$324,$A193),"",$A193))</f>
        <v/>
      </c>
      <c r="BE183" t="str">
        <f>IFERROR(INDEX(Liste_Handelsünger[Handelsdünger],_xlfn.AGGREGATE(15,6,(ROW(Liste_Handelsünger[Handelsdünger])-1)/(--(SEARCH(BF$2,Liste_Handelsünger[Handelsdünger])&gt;0)),ROW()-2),1),"")</f>
        <v>Bio-Aminosol</v>
      </c>
      <c r="BF183" t="str">
        <f>IF(($A194=""),"",IF(COUNTIF(Mineral!$AJ$3:$AJ$324,$A194),"",$A194))</f>
        <v/>
      </c>
      <c r="BG183" t="str">
        <f>IFERROR(INDEX(Liste_Handelsünger[Handelsdünger],_xlfn.AGGREGATE(15,6,(ROW(Liste_Handelsünger[Handelsdünger])-1)/(--(SEARCH(BH$2,Liste_Handelsünger[Handelsdünger])&gt;0)),ROW()-2),1),"")</f>
        <v>Bio-Aminosol</v>
      </c>
      <c r="BH183" t="str">
        <f>IF(($A195=""),"",IF(COUNTIF(Mineral!$AJ$3:$AJ$324,$A195),"",$A195))</f>
        <v/>
      </c>
      <c r="BI183" t="str">
        <f>IFERROR(INDEX(Liste_Handelsünger[Handelsdünger],_xlfn.AGGREGATE(15,6,(ROW(Liste_Handelsünger[Handelsdünger])-1)/(--(SEARCH(BJ$2,Liste_Handelsünger[Handelsdünger])&gt;0)),ROW()-2),1),"")</f>
        <v>Bio-Aminosol</v>
      </c>
      <c r="BJ183" t="str">
        <f>IF(($A196=""),"",IF(COUNTIF(Mineral!$AJ$3:$AJ$324,$A196),"",$A196))</f>
        <v/>
      </c>
      <c r="BK183" t="str">
        <f>IFERROR(INDEX(Liste_Handelsünger[Handelsdünger],_xlfn.AGGREGATE(15,6,(ROW(Liste_Handelsünger[Handelsdünger])-1)/(--(SEARCH(BL$2,Liste_Handelsünger[Handelsdünger])&gt;0)),ROW()-2),1),"")</f>
        <v>Bio-Aminosol</v>
      </c>
      <c r="BM183" t="str">
        <f>IFERROR(INDEX(Liste_Handelsünger[Handelsdünger],_xlfn.AGGREGATE(15,6,(ROW(Liste_Handelsünger[Handelsdünger])-1)/(--(SEARCH(BN$2,Liste_Handelsünger[Handelsdünger])&gt;0)),ROW()-2),1),"")</f>
        <v>Bio-Aminosol</v>
      </c>
      <c r="BN183" t="str">
        <f>IF(($A198=""),"",IF(COUNTIF(Mineral!$AJ$3:$AJ$324,$A198),"",$A198))</f>
        <v/>
      </c>
      <c r="BV183" t="s">
        <v>2060</v>
      </c>
      <c r="BW183" t="s">
        <v>2021</v>
      </c>
      <c r="BZ183" s="1602"/>
      <c r="CA183" s="1602"/>
      <c r="CB183" s="1602"/>
    </row>
    <row r="184" spans="19:80" ht="14.25" thickTop="1" thickBot="1">
      <c r="S184" s="1676">
        <v>183</v>
      </c>
      <c r="T184" s="1606" t="s">
        <v>2006</v>
      </c>
      <c r="U184" s="1606" t="s">
        <v>2061</v>
      </c>
      <c r="V184" s="1606" t="s">
        <v>408</v>
      </c>
      <c r="W184" s="1606">
        <v>4.5</v>
      </c>
      <c r="X184" s="1606">
        <v>1.5</v>
      </c>
      <c r="Y184" s="1606">
        <v>0.5</v>
      </c>
      <c r="Z184" s="1606">
        <v>0</v>
      </c>
      <c r="AA184" s="1606">
        <v>11</v>
      </c>
      <c r="AB184" s="1606">
        <v>0</v>
      </c>
      <c r="AC184" s="1606">
        <v>0.5</v>
      </c>
      <c r="AD184" s="1613">
        <v>0.91</v>
      </c>
      <c r="AE184" s="1606" t="s">
        <v>2037</v>
      </c>
      <c r="AF184" s="1613" t="str">
        <f t="shared" si="17"/>
        <v/>
      </c>
      <c r="AG184" s="1656">
        <f>IFERROR(IF($AF184&gt;0,VLOOKUP($U184,Tabelle1!$C$188:$L$212,5,0)*$AF184,0),0)</f>
        <v>0</v>
      </c>
      <c r="AH184" s="1656">
        <f t="shared" si="18"/>
        <v>0</v>
      </c>
      <c r="AJ184" t="str">
        <f>IF(Betrieb!$D$9="JA",Mineral!$BW184,Mineral!$BV184)</f>
        <v>Biofert</v>
      </c>
      <c r="AK184" s="1672" t="str">
        <f>IFERROR(INDEX(Liste_Handelsünger[Handelsdünger],_xlfn.AGGREGATE(15,6,(ROW(Liste_Handelsünger[Handelsdünger])-1)/(--(SEARCH(AL$2,Liste_Handelsünger[Handelsdünger])&gt;0)),ROW()-2),1),"")</f>
        <v>Biofert</v>
      </c>
      <c r="AL184" s="1672" t="str">
        <f>IF(($A$3=""),"",IF(COUNTIF(Mineral!$AJ$3:$AJ$324,$A$3),"",$A$3))</f>
        <v/>
      </c>
      <c r="AM184" s="1672" t="str">
        <f>IFERROR(INDEX(Liste_Handelsünger[Handelsdünger],_xlfn.AGGREGATE(15,6,(ROW(Liste_Handelsünger[Handelsdünger])-1)/(--(SEARCH(AN$2,Liste_Handelsünger[Handelsdünger])&gt;0)),ROW()-2),1),"")</f>
        <v>Biofert</v>
      </c>
      <c r="AN184" t="str">
        <f>IF(($A186=""),"",IF(COUNTIF(Mineral!$AJ$3:$AJ$324,$A186),"",$A186))</f>
        <v/>
      </c>
      <c r="AO184" t="str">
        <f>IFERROR(INDEX(Liste_Handelsünger[Handelsdünger],_xlfn.AGGREGATE(15,6,(ROW(Liste_Handelsünger[Handelsdünger])-1)/(--(SEARCH(AP$2,Liste_Handelsünger[Handelsdünger])&gt;0)),ROW()-2),1),"")</f>
        <v>Biofert</v>
      </c>
      <c r="AP184" t="str">
        <f>IF(($A187=""),"",IF(COUNTIF(Mineral!$AJ$3:$AJ$324,$A187),"",$A187))</f>
        <v/>
      </c>
      <c r="AQ184" t="str">
        <f>IFERROR(INDEX(Liste_Handelsünger[Handelsdünger],_xlfn.AGGREGATE(15,6,(ROW(Liste_Handelsünger[Handelsdünger])-1)/(--(SEARCH(AR$2,Liste_Handelsünger[Handelsdünger])&gt;0)),ROW()-2),1),"")</f>
        <v>Biofert</v>
      </c>
      <c r="AR184" t="str">
        <f>IF(($A188=""),"",IF(COUNTIF(Mineral!$AJ$3:$AJ$324,$A188),"",$A188))</f>
        <v/>
      </c>
      <c r="AS184" t="str">
        <f>IFERROR(INDEX(Liste_Handelsünger[Handelsdünger],_xlfn.AGGREGATE(15,6,(ROW(Liste_Handelsünger[Handelsdünger])-1)/(--(SEARCH(AT$2,Liste_Handelsünger[Handelsdünger])&gt;0)),ROW()-2),1),"")</f>
        <v>Biofert</v>
      </c>
      <c r="AT184" t="str">
        <f>IF(($A189=""),"",IF(COUNTIF(Mineral!$AJ$3:$AJ$324,$A189),"",$A189))</f>
        <v/>
      </c>
      <c r="AU184" t="str">
        <f>IFERROR(INDEX(Liste_Handelsünger[Handelsdünger],_xlfn.AGGREGATE(15,6,(ROW(Liste_Handelsünger[Handelsdünger])-1)/(--(SEARCH(AV$2,Liste_Handelsünger[Handelsdünger])&gt;0)),ROW()-2),1),"")</f>
        <v>Biofert</v>
      </c>
      <c r="AV184" t="str">
        <f>IF(($A190=""),"",IF(COUNTIF(Mineral!$AJ$3:$AJ$324,$A190),"",$A190))</f>
        <v/>
      </c>
      <c r="AW184" t="str">
        <f>IFERROR(INDEX(Liste_Handelsünger[Handelsdünger],_xlfn.AGGREGATE(15,6,(ROW(Liste_Handelsünger[Handelsdünger])-1)/(--(SEARCH(AX$2,Liste_Handelsünger[Handelsdünger])&gt;0)),ROW()-2),1),"")</f>
        <v>Biofert</v>
      </c>
      <c r="AX184" t="str">
        <f>IF(($A191=""),"",IF(COUNTIF(Mineral!$AJ$3:$AJ$324,$A191),"",$A191))</f>
        <v/>
      </c>
      <c r="AY184" t="str">
        <f>IFERROR(INDEX(Liste_Handelsünger[Handelsdünger],_xlfn.AGGREGATE(15,6,(ROW(Liste_Handelsünger[Handelsdünger])-1)/(--(SEARCH(AZ$2,Liste_Handelsünger[Handelsdünger])&gt;0)),ROW()-2),1),"")</f>
        <v>Biofert</v>
      </c>
      <c r="AZ184" t="str">
        <f>IF(($A192=""),"",IF(COUNTIF(Mineral!$AJ$3:$AJ$324,$A192),"",$A192))</f>
        <v/>
      </c>
      <c r="BA184" t="str">
        <f>IFERROR(INDEX(Liste_Handelsünger[Handelsdünger],_xlfn.AGGREGATE(15,6,(ROW(Liste_Handelsünger[Handelsdünger])-1)/(--(SEARCH(BB$2,Liste_Handelsünger[Handelsdünger])&gt;0)),ROW()-2),1),"")</f>
        <v>Biofert</v>
      </c>
      <c r="BB184" t="str">
        <f>IF(($A193=""),"",IF(COUNTIF(Mineral!$AJ$3:$AJ$324,$A193),"",$A193))</f>
        <v/>
      </c>
      <c r="BC184" t="str">
        <f>IFERROR(INDEX(Liste_Handelsünger[Handelsdünger],_xlfn.AGGREGATE(15,6,(ROW(Liste_Handelsünger[Handelsdünger])-1)/(--(SEARCH(BD$2,Liste_Handelsünger[Handelsdünger])&gt;0)),ROW()-2),1),"")</f>
        <v>Biofert</v>
      </c>
      <c r="BD184" t="str">
        <f>IF(($A194=""),"",IF(COUNTIF(Mineral!$AJ$3:$AJ$324,$A194),"",$A194))</f>
        <v/>
      </c>
      <c r="BE184" t="str">
        <f>IFERROR(INDEX(Liste_Handelsünger[Handelsdünger],_xlfn.AGGREGATE(15,6,(ROW(Liste_Handelsünger[Handelsdünger])-1)/(--(SEARCH(BF$2,Liste_Handelsünger[Handelsdünger])&gt;0)),ROW()-2),1),"")</f>
        <v>Biofert</v>
      </c>
      <c r="BF184" t="str">
        <f>IF(($A195=""),"",IF(COUNTIF(Mineral!$AJ$3:$AJ$324,$A195),"",$A195))</f>
        <v/>
      </c>
      <c r="BG184" t="str">
        <f>IFERROR(INDEX(Liste_Handelsünger[Handelsdünger],_xlfn.AGGREGATE(15,6,(ROW(Liste_Handelsünger[Handelsdünger])-1)/(--(SEARCH(BH$2,Liste_Handelsünger[Handelsdünger])&gt;0)),ROW()-2),1),"")</f>
        <v>Biofert</v>
      </c>
      <c r="BH184" t="str">
        <f>IF(($A196=""),"",IF(COUNTIF(Mineral!$AJ$3:$AJ$324,$A196),"",$A196))</f>
        <v/>
      </c>
      <c r="BI184" t="str">
        <f>IFERROR(INDEX(Liste_Handelsünger[Handelsdünger],_xlfn.AGGREGATE(15,6,(ROW(Liste_Handelsünger[Handelsdünger])-1)/(--(SEARCH(BJ$2,Liste_Handelsünger[Handelsdünger])&gt;0)),ROW()-2),1),"")</f>
        <v>Biofert</v>
      </c>
      <c r="BJ184" t="str">
        <f>IF(($A197=""),"",IF(COUNTIF(Mineral!$AJ$3:$AJ$324,$A197),"",$A197))</f>
        <v/>
      </c>
      <c r="BK184" t="str">
        <f>IFERROR(INDEX(Liste_Handelsünger[Handelsdünger],_xlfn.AGGREGATE(15,6,(ROW(Liste_Handelsünger[Handelsdünger])-1)/(--(SEARCH(BL$2,Liste_Handelsünger[Handelsdünger])&gt;0)),ROW()-2),1),"")</f>
        <v>Biofert</v>
      </c>
      <c r="BM184" t="str">
        <f>IFERROR(INDEX(Liste_Handelsünger[Handelsdünger],_xlfn.AGGREGATE(15,6,(ROW(Liste_Handelsünger[Handelsdünger])-1)/(--(SEARCH(BN$2,Liste_Handelsünger[Handelsdünger])&gt;0)),ROW()-2),1),"")</f>
        <v>Biofert</v>
      </c>
      <c r="BN184" t="str">
        <f>IF(($A199=""),"",IF(COUNTIF(Mineral!$AJ$3:$AJ$324,$A199),"",$A199))</f>
        <v/>
      </c>
      <c r="BV184" t="s">
        <v>2061</v>
      </c>
      <c r="BW184" t="s">
        <v>2043</v>
      </c>
      <c r="BZ184" s="1700"/>
      <c r="CA184" s="1602"/>
      <c r="CB184" s="1602"/>
    </row>
    <row r="185" spans="19:80" ht="14.25" thickTop="1" thickBot="1">
      <c r="S185" s="1616">
        <v>184</v>
      </c>
      <c r="T185" s="1617" t="s">
        <v>2006</v>
      </c>
      <c r="U185" s="1617" t="s">
        <v>2062</v>
      </c>
      <c r="V185" s="1617" t="s">
        <v>408</v>
      </c>
      <c r="W185" s="1617">
        <v>0</v>
      </c>
      <c r="X185" s="1617">
        <v>0</v>
      </c>
      <c r="Y185" s="1617">
        <v>2</v>
      </c>
      <c r="Z185" s="1617">
        <v>0</v>
      </c>
      <c r="AA185" s="1617">
        <v>7.0000000000000009</v>
      </c>
      <c r="AB185" s="1617">
        <v>6</v>
      </c>
      <c r="AC185" s="1617">
        <v>1</v>
      </c>
      <c r="AD185" s="1613">
        <v>1</v>
      </c>
      <c r="AE185" s="1617" t="s">
        <v>1764</v>
      </c>
      <c r="AF185" s="1613" t="str">
        <f t="shared" si="17"/>
        <v/>
      </c>
      <c r="AG185" s="1656">
        <f>IFERROR(IF($AF185&gt;0,VLOOKUP($U185,Tabelle1!$C$188:$L$212,5,0)*$AF185,0),0)</f>
        <v>0</v>
      </c>
      <c r="AH185" s="1656">
        <f t="shared" si="18"/>
        <v>0</v>
      </c>
      <c r="AJ185" t="str">
        <f>IF(Betrieb!$D$9="JA",Mineral!$BW185,Mineral!$BV185)</f>
        <v>Biolit</v>
      </c>
      <c r="AK185" s="1672" t="str">
        <f>IFERROR(INDEX(Liste_Handelsünger[Handelsdünger],_xlfn.AGGREGATE(15,6,(ROW(Liste_Handelsünger[Handelsdünger])-1)/(--(SEARCH(AL$2,Liste_Handelsünger[Handelsdünger])&gt;0)),ROW()-2),1),"")</f>
        <v>Biolit</v>
      </c>
      <c r="AL185" s="1672" t="str">
        <f>IF(($A$3=""),"",IF(COUNTIF(Mineral!$AJ$3:$AJ$324,$A$3),"",$A$3))</f>
        <v/>
      </c>
      <c r="AM185" s="1672" t="str">
        <f>IFERROR(INDEX(Liste_Handelsünger[Handelsdünger],_xlfn.AGGREGATE(15,6,(ROW(Liste_Handelsünger[Handelsdünger])-1)/(--(SEARCH(AN$2,Liste_Handelsünger[Handelsdünger])&gt;0)),ROW()-2),1),"")</f>
        <v>Biolit</v>
      </c>
      <c r="AN185" t="str">
        <f>IF(($A187=""),"",IF(COUNTIF(Mineral!$AJ$3:$AJ$324,$A187),"",$A187))</f>
        <v/>
      </c>
      <c r="AO185" t="str">
        <f>IFERROR(INDEX(Liste_Handelsünger[Handelsdünger],_xlfn.AGGREGATE(15,6,(ROW(Liste_Handelsünger[Handelsdünger])-1)/(--(SEARCH(AP$2,Liste_Handelsünger[Handelsdünger])&gt;0)),ROW()-2),1),"")</f>
        <v>Biolit</v>
      </c>
      <c r="AP185" t="str">
        <f>IF(($A188=""),"",IF(COUNTIF(Mineral!$AJ$3:$AJ$324,$A188),"",$A188))</f>
        <v/>
      </c>
      <c r="AQ185" t="str">
        <f>IFERROR(INDEX(Liste_Handelsünger[Handelsdünger],_xlfn.AGGREGATE(15,6,(ROW(Liste_Handelsünger[Handelsdünger])-1)/(--(SEARCH(AR$2,Liste_Handelsünger[Handelsdünger])&gt;0)),ROW()-2),1),"")</f>
        <v>Biolit</v>
      </c>
      <c r="AR185" t="str">
        <f>IF(($A189=""),"",IF(COUNTIF(Mineral!$AJ$3:$AJ$324,$A189),"",$A189))</f>
        <v/>
      </c>
      <c r="AS185" t="str">
        <f>IFERROR(INDEX(Liste_Handelsünger[Handelsdünger],_xlfn.AGGREGATE(15,6,(ROW(Liste_Handelsünger[Handelsdünger])-1)/(--(SEARCH(AT$2,Liste_Handelsünger[Handelsdünger])&gt;0)),ROW()-2),1),"")</f>
        <v>Biolit</v>
      </c>
      <c r="AT185" t="str">
        <f>IF(($A190=""),"",IF(COUNTIF(Mineral!$AJ$3:$AJ$324,$A190),"",$A190))</f>
        <v/>
      </c>
      <c r="AU185" t="str">
        <f>IFERROR(INDEX(Liste_Handelsünger[Handelsdünger],_xlfn.AGGREGATE(15,6,(ROW(Liste_Handelsünger[Handelsdünger])-1)/(--(SEARCH(AV$2,Liste_Handelsünger[Handelsdünger])&gt;0)),ROW()-2),1),"")</f>
        <v>Biolit</v>
      </c>
      <c r="AV185" t="str">
        <f>IF(($A191=""),"",IF(COUNTIF(Mineral!$AJ$3:$AJ$324,$A191),"",$A191))</f>
        <v/>
      </c>
      <c r="AW185" t="str">
        <f>IFERROR(INDEX(Liste_Handelsünger[Handelsdünger],_xlfn.AGGREGATE(15,6,(ROW(Liste_Handelsünger[Handelsdünger])-1)/(--(SEARCH(AX$2,Liste_Handelsünger[Handelsdünger])&gt;0)),ROW()-2),1),"")</f>
        <v>Biolit</v>
      </c>
      <c r="AX185" t="str">
        <f>IF(($A192=""),"",IF(COUNTIF(Mineral!$AJ$3:$AJ$324,$A192),"",$A192))</f>
        <v/>
      </c>
      <c r="AY185" t="str">
        <f>IFERROR(INDEX(Liste_Handelsünger[Handelsdünger],_xlfn.AGGREGATE(15,6,(ROW(Liste_Handelsünger[Handelsdünger])-1)/(--(SEARCH(AZ$2,Liste_Handelsünger[Handelsdünger])&gt;0)),ROW()-2),1),"")</f>
        <v>Biolit</v>
      </c>
      <c r="AZ185" t="str">
        <f>IF(($A193=""),"",IF(COUNTIF(Mineral!$AJ$3:$AJ$324,$A193),"",$A193))</f>
        <v/>
      </c>
      <c r="BA185" t="str">
        <f>IFERROR(INDEX(Liste_Handelsünger[Handelsdünger],_xlfn.AGGREGATE(15,6,(ROW(Liste_Handelsünger[Handelsdünger])-1)/(--(SEARCH(BB$2,Liste_Handelsünger[Handelsdünger])&gt;0)),ROW()-2),1),"")</f>
        <v>Biolit</v>
      </c>
      <c r="BB185" t="str">
        <f>IF(($A194=""),"",IF(COUNTIF(Mineral!$AJ$3:$AJ$324,$A194),"",$A194))</f>
        <v/>
      </c>
      <c r="BC185" t="str">
        <f>IFERROR(INDEX(Liste_Handelsünger[Handelsdünger],_xlfn.AGGREGATE(15,6,(ROW(Liste_Handelsünger[Handelsdünger])-1)/(--(SEARCH(BD$2,Liste_Handelsünger[Handelsdünger])&gt;0)),ROW()-2),1),"")</f>
        <v>Biolit</v>
      </c>
      <c r="BD185" t="str">
        <f>IF(($A195=""),"",IF(COUNTIF(Mineral!$AJ$3:$AJ$324,$A195),"",$A195))</f>
        <v/>
      </c>
      <c r="BE185" t="str">
        <f>IFERROR(INDEX(Liste_Handelsünger[Handelsdünger],_xlfn.AGGREGATE(15,6,(ROW(Liste_Handelsünger[Handelsdünger])-1)/(--(SEARCH(BF$2,Liste_Handelsünger[Handelsdünger])&gt;0)),ROW()-2),1),"")</f>
        <v>Biolit</v>
      </c>
      <c r="BF185" t="str">
        <f>IF(($A196=""),"",IF(COUNTIF(Mineral!$AJ$3:$AJ$324,$A196),"",$A196))</f>
        <v/>
      </c>
      <c r="BG185" t="str">
        <f>IFERROR(INDEX(Liste_Handelsünger[Handelsdünger],_xlfn.AGGREGATE(15,6,(ROW(Liste_Handelsünger[Handelsdünger])-1)/(--(SEARCH(BH$2,Liste_Handelsünger[Handelsdünger])&gt;0)),ROW()-2),1),"")</f>
        <v>Biolit</v>
      </c>
      <c r="BH185" t="str">
        <f>IF(($A197=""),"",IF(COUNTIF(Mineral!$AJ$3:$AJ$324,$A197),"",$A197))</f>
        <v/>
      </c>
      <c r="BI185" t="str">
        <f>IFERROR(INDEX(Liste_Handelsünger[Handelsdünger],_xlfn.AGGREGATE(15,6,(ROW(Liste_Handelsünger[Handelsdünger])-1)/(--(SEARCH(BJ$2,Liste_Handelsünger[Handelsdünger])&gt;0)),ROW()-2),1),"")</f>
        <v>Biolit</v>
      </c>
      <c r="BJ185" t="str">
        <f>IF(($A198=""),"",IF(COUNTIF(Mineral!$AJ$3:$AJ$324,$A198),"",$A198))</f>
        <v/>
      </c>
      <c r="BK185" t="str">
        <f>IFERROR(INDEX(Liste_Handelsünger[Handelsdünger],_xlfn.AGGREGATE(15,6,(ROW(Liste_Handelsünger[Handelsdünger])-1)/(--(SEARCH(BL$2,Liste_Handelsünger[Handelsdünger])&gt;0)),ROW()-2),1),"")</f>
        <v>Biolit</v>
      </c>
      <c r="BM185" t="str">
        <f>IFERROR(INDEX(Liste_Handelsünger[Handelsdünger],_xlfn.AGGREGATE(15,6,(ROW(Liste_Handelsünger[Handelsdünger])-1)/(--(SEARCH(BN$2,Liste_Handelsünger[Handelsdünger])&gt;0)),ROW()-2),1),"")</f>
        <v>Biolit</v>
      </c>
      <c r="BN185" t="str">
        <f>IF(($A200=""),"",IF(COUNTIF(Mineral!$AJ$3:$AJ$324,$A200),"",$A200))</f>
        <v/>
      </c>
      <c r="BV185" t="s">
        <v>2062</v>
      </c>
      <c r="BW185" t="s">
        <v>2239</v>
      </c>
      <c r="BZ185" s="1602"/>
      <c r="CA185" s="1602"/>
      <c r="CB185" s="1602"/>
    </row>
    <row r="186" spans="19:80" ht="14.25" thickTop="1" thickBot="1">
      <c r="S186" s="1676">
        <v>185</v>
      </c>
      <c r="T186" s="1606" t="s">
        <v>2006</v>
      </c>
      <c r="U186" s="1606" t="s">
        <v>2063</v>
      </c>
      <c r="V186" s="1606" t="s">
        <v>408</v>
      </c>
      <c r="W186" s="1606">
        <v>0</v>
      </c>
      <c r="X186" s="1606">
        <v>0</v>
      </c>
      <c r="Y186" s="1606">
        <v>2</v>
      </c>
      <c r="Z186" s="1606">
        <v>0</v>
      </c>
      <c r="AA186" s="1606">
        <v>7.0000000000000009</v>
      </c>
      <c r="AB186" s="1606">
        <v>6</v>
      </c>
      <c r="AC186" s="1606">
        <v>1</v>
      </c>
      <c r="AD186" s="1613">
        <v>1</v>
      </c>
      <c r="AE186" s="1606" t="s">
        <v>1764</v>
      </c>
      <c r="AF186" s="1613" t="str">
        <f t="shared" si="17"/>
        <v/>
      </c>
      <c r="AG186" s="1656">
        <f>IFERROR(IF($AF186&gt;0,VLOOKUP($U186,Tabelle1!$C$188:$L$212,5,0)*$AF186,0),0)</f>
        <v>0</v>
      </c>
      <c r="AH186" s="1656">
        <f t="shared" si="18"/>
        <v>0</v>
      </c>
      <c r="AJ186" t="str">
        <f>IF(Betrieb!$D$9="JA",Mineral!$BW186,Mineral!$BV186)</f>
        <v>BIO-LIT Steinmehl ultrafein</v>
      </c>
      <c r="AK186" s="1672" t="str">
        <f>IFERROR(INDEX(Liste_Handelsünger[Handelsdünger],_xlfn.AGGREGATE(15,6,(ROW(Liste_Handelsünger[Handelsdünger])-1)/(--(SEARCH(AL$2,Liste_Handelsünger[Handelsdünger])&gt;0)),ROW()-2),1),"")</f>
        <v>BIO-LIT Steinmehl ultrafein</v>
      </c>
      <c r="AL186" s="1672" t="str">
        <f>IF(($A$3=""),"",IF(COUNTIF(Mineral!$AJ$3:$AJ$324,$A$3),"",$A$3))</f>
        <v/>
      </c>
      <c r="AM186" s="1672" t="str">
        <f>IFERROR(INDEX(Liste_Handelsünger[Handelsdünger],_xlfn.AGGREGATE(15,6,(ROW(Liste_Handelsünger[Handelsdünger])-1)/(--(SEARCH(AN$2,Liste_Handelsünger[Handelsdünger])&gt;0)),ROW()-2),1),"")</f>
        <v>BIO-LIT Steinmehl ultrafein</v>
      </c>
      <c r="AN186" t="str">
        <f>IF(($A188=""),"",IF(COUNTIF(Mineral!$AJ$3:$AJ$324,$A188),"",$A188))</f>
        <v/>
      </c>
      <c r="AO186" t="str">
        <f>IFERROR(INDEX(Liste_Handelsünger[Handelsdünger],_xlfn.AGGREGATE(15,6,(ROW(Liste_Handelsünger[Handelsdünger])-1)/(--(SEARCH(AP$2,Liste_Handelsünger[Handelsdünger])&gt;0)),ROW()-2),1),"")</f>
        <v>BIO-LIT Steinmehl ultrafein</v>
      </c>
      <c r="AP186" t="str">
        <f>IF(($A189=""),"",IF(COUNTIF(Mineral!$AJ$3:$AJ$324,$A189),"",$A189))</f>
        <v/>
      </c>
      <c r="AQ186" t="str">
        <f>IFERROR(INDEX(Liste_Handelsünger[Handelsdünger],_xlfn.AGGREGATE(15,6,(ROW(Liste_Handelsünger[Handelsdünger])-1)/(--(SEARCH(AR$2,Liste_Handelsünger[Handelsdünger])&gt;0)),ROW()-2),1),"")</f>
        <v>BIO-LIT Steinmehl ultrafein</v>
      </c>
      <c r="AR186" t="str">
        <f>IF(($A190=""),"",IF(COUNTIF(Mineral!$AJ$3:$AJ$324,$A190),"",$A190))</f>
        <v/>
      </c>
      <c r="AS186" t="str">
        <f>IFERROR(INDEX(Liste_Handelsünger[Handelsdünger],_xlfn.AGGREGATE(15,6,(ROW(Liste_Handelsünger[Handelsdünger])-1)/(--(SEARCH(AT$2,Liste_Handelsünger[Handelsdünger])&gt;0)),ROW()-2),1),"")</f>
        <v>BIO-LIT Steinmehl ultrafein</v>
      </c>
      <c r="AT186" t="str">
        <f>IF(($A191=""),"",IF(COUNTIF(Mineral!$AJ$3:$AJ$324,$A191),"",$A191))</f>
        <v/>
      </c>
      <c r="AU186" t="str">
        <f>IFERROR(INDEX(Liste_Handelsünger[Handelsdünger],_xlfn.AGGREGATE(15,6,(ROW(Liste_Handelsünger[Handelsdünger])-1)/(--(SEARCH(AV$2,Liste_Handelsünger[Handelsdünger])&gt;0)),ROW()-2),1),"")</f>
        <v>BIO-LIT Steinmehl ultrafein</v>
      </c>
      <c r="AV186" t="str">
        <f>IF(($A192=""),"",IF(COUNTIF(Mineral!$AJ$3:$AJ$324,$A192),"",$A192))</f>
        <v/>
      </c>
      <c r="AW186" t="str">
        <f>IFERROR(INDEX(Liste_Handelsünger[Handelsdünger],_xlfn.AGGREGATE(15,6,(ROW(Liste_Handelsünger[Handelsdünger])-1)/(--(SEARCH(AX$2,Liste_Handelsünger[Handelsdünger])&gt;0)),ROW()-2),1),"")</f>
        <v>BIO-LIT Steinmehl ultrafein</v>
      </c>
      <c r="AX186" t="str">
        <f>IF(($A193=""),"",IF(COUNTIF(Mineral!$AJ$3:$AJ$324,$A193),"",$A193))</f>
        <v/>
      </c>
      <c r="AY186" t="str">
        <f>IFERROR(INDEX(Liste_Handelsünger[Handelsdünger],_xlfn.AGGREGATE(15,6,(ROW(Liste_Handelsünger[Handelsdünger])-1)/(--(SEARCH(AZ$2,Liste_Handelsünger[Handelsdünger])&gt;0)),ROW()-2),1),"")</f>
        <v>BIO-LIT Steinmehl ultrafein</v>
      </c>
      <c r="AZ186" t="str">
        <f>IF(($A194=""),"",IF(COUNTIF(Mineral!$AJ$3:$AJ$324,$A194),"",$A194))</f>
        <v/>
      </c>
      <c r="BA186" t="str">
        <f>IFERROR(INDEX(Liste_Handelsünger[Handelsdünger],_xlfn.AGGREGATE(15,6,(ROW(Liste_Handelsünger[Handelsdünger])-1)/(--(SEARCH(BB$2,Liste_Handelsünger[Handelsdünger])&gt;0)),ROW()-2),1),"")</f>
        <v>BIO-LIT Steinmehl ultrafein</v>
      </c>
      <c r="BB186" t="str">
        <f>IF(($A195=""),"",IF(COUNTIF(Mineral!$AJ$3:$AJ$324,$A195),"",$A195))</f>
        <v/>
      </c>
      <c r="BC186" t="str">
        <f>IFERROR(INDEX(Liste_Handelsünger[Handelsdünger],_xlfn.AGGREGATE(15,6,(ROW(Liste_Handelsünger[Handelsdünger])-1)/(--(SEARCH(BD$2,Liste_Handelsünger[Handelsdünger])&gt;0)),ROW()-2),1),"")</f>
        <v>BIO-LIT Steinmehl ultrafein</v>
      </c>
      <c r="BD186" t="str">
        <f>IF(($A196=""),"",IF(COUNTIF(Mineral!$AJ$3:$AJ$324,$A196),"",$A196))</f>
        <v/>
      </c>
      <c r="BE186" t="str">
        <f>IFERROR(INDEX(Liste_Handelsünger[Handelsdünger],_xlfn.AGGREGATE(15,6,(ROW(Liste_Handelsünger[Handelsdünger])-1)/(--(SEARCH(BF$2,Liste_Handelsünger[Handelsdünger])&gt;0)),ROW()-2),1),"")</f>
        <v>BIO-LIT Steinmehl ultrafein</v>
      </c>
      <c r="BF186" t="str">
        <f>IF(($A197=""),"",IF(COUNTIF(Mineral!$AJ$3:$AJ$324,$A197),"",$A197))</f>
        <v/>
      </c>
      <c r="BG186" t="str">
        <f>IFERROR(INDEX(Liste_Handelsünger[Handelsdünger],_xlfn.AGGREGATE(15,6,(ROW(Liste_Handelsünger[Handelsdünger])-1)/(--(SEARCH(BH$2,Liste_Handelsünger[Handelsdünger])&gt;0)),ROW()-2),1),"")</f>
        <v>BIO-LIT Steinmehl ultrafein</v>
      </c>
      <c r="BH186" t="str">
        <f>IF(($A198=""),"",IF(COUNTIF(Mineral!$AJ$3:$AJ$324,$A198),"",$A198))</f>
        <v/>
      </c>
      <c r="BI186" t="str">
        <f>IFERROR(INDEX(Liste_Handelsünger[Handelsdünger],_xlfn.AGGREGATE(15,6,(ROW(Liste_Handelsünger[Handelsdünger])-1)/(--(SEARCH(BJ$2,Liste_Handelsünger[Handelsdünger])&gt;0)),ROW()-2),1),"")</f>
        <v>BIO-LIT Steinmehl ultrafein</v>
      </c>
      <c r="BJ186" t="str">
        <f>IF(($A199=""),"",IF(COUNTIF(Mineral!$AJ$3:$AJ$324,$A199),"",$A199))</f>
        <v/>
      </c>
      <c r="BK186" t="str">
        <f>IFERROR(INDEX(Liste_Handelsünger[Handelsdünger],_xlfn.AGGREGATE(15,6,(ROW(Liste_Handelsünger[Handelsdünger])-1)/(--(SEARCH(BL$2,Liste_Handelsünger[Handelsdünger])&gt;0)),ROW()-2),1),"")</f>
        <v>BIO-LIT Steinmehl ultrafein</v>
      </c>
      <c r="BM186" t="str">
        <f>IFERROR(INDEX(Liste_Handelsünger[Handelsdünger],_xlfn.AGGREGATE(15,6,(ROW(Liste_Handelsünger[Handelsdünger])-1)/(--(SEARCH(BN$2,Liste_Handelsünger[Handelsdünger])&gt;0)),ROW()-2),1),"")</f>
        <v>BIO-LIT Steinmehl ultrafein</v>
      </c>
      <c r="BN186" t="str">
        <f>IF(($A201=""),"",IF(COUNTIF(Mineral!$AJ$3:$AJ$324,$A201),"",$A201))</f>
        <v/>
      </c>
      <c r="BV186" t="s">
        <v>2063</v>
      </c>
      <c r="BW186" t="s">
        <v>2175</v>
      </c>
      <c r="BZ186" s="1602"/>
      <c r="CA186" s="1602"/>
      <c r="CB186" s="1602"/>
    </row>
    <row r="187" spans="19:80" ht="14.25" thickTop="1" thickBot="1">
      <c r="S187" s="1616">
        <v>186</v>
      </c>
      <c r="T187" s="1617" t="s">
        <v>2006</v>
      </c>
      <c r="U187" s="1617" t="s">
        <v>2064</v>
      </c>
      <c r="V187" s="1617" t="s">
        <v>408</v>
      </c>
      <c r="W187" s="1617">
        <v>1.05</v>
      </c>
      <c r="X187" s="1617">
        <v>0.57000000000000006</v>
      </c>
      <c r="Y187" s="1617">
        <v>0.24</v>
      </c>
      <c r="Z187" s="1617">
        <v>0</v>
      </c>
      <c r="AA187" s="1617">
        <v>0</v>
      </c>
      <c r="AB187" s="1617">
        <v>0</v>
      </c>
      <c r="AC187" s="1617">
        <v>0.5</v>
      </c>
      <c r="AD187" s="1613">
        <v>0.91</v>
      </c>
      <c r="AE187" s="1617" t="s">
        <v>2037</v>
      </c>
      <c r="AF187" s="1613" t="str">
        <f t="shared" si="17"/>
        <v/>
      </c>
      <c r="AG187" s="1656">
        <f>IFERROR(IF($AF187&gt;0,VLOOKUP($U187,Tabelle1!$C$188:$L$212,5,0)*$AF187,0),0)</f>
        <v>0</v>
      </c>
      <c r="AH187" s="1656">
        <f t="shared" si="18"/>
        <v>0</v>
      </c>
      <c r="AJ187" t="str">
        <f>IF(Betrieb!$D$9="JA",Mineral!$BW187,Mineral!$BV187)</f>
        <v>BIOLUNDER+</v>
      </c>
      <c r="AK187" s="1672" t="str">
        <f>IFERROR(INDEX(Liste_Handelsünger[Handelsdünger],_xlfn.AGGREGATE(15,6,(ROW(Liste_Handelsünger[Handelsdünger])-1)/(--(SEARCH(AL$2,Liste_Handelsünger[Handelsdünger])&gt;0)),ROW()-2),1),"")</f>
        <v>BIOLUNDER+</v>
      </c>
      <c r="AL187" s="1672" t="str">
        <f>IF(($A$3=""),"",IF(COUNTIF(Mineral!$AJ$3:$AJ$324,$A$3),"",$A$3))</f>
        <v/>
      </c>
      <c r="AM187" s="1672" t="str">
        <f>IFERROR(INDEX(Liste_Handelsünger[Handelsdünger],_xlfn.AGGREGATE(15,6,(ROW(Liste_Handelsünger[Handelsdünger])-1)/(--(SEARCH(AN$2,Liste_Handelsünger[Handelsdünger])&gt;0)),ROW()-2),1),"")</f>
        <v>BIOLUNDER+</v>
      </c>
      <c r="AN187" t="str">
        <f>IF(($A189=""),"",IF(COUNTIF(Mineral!$AJ$3:$AJ$324,$A189),"",$A189))</f>
        <v/>
      </c>
      <c r="AO187" t="str">
        <f>IFERROR(INDEX(Liste_Handelsünger[Handelsdünger],_xlfn.AGGREGATE(15,6,(ROW(Liste_Handelsünger[Handelsdünger])-1)/(--(SEARCH(AP$2,Liste_Handelsünger[Handelsdünger])&gt;0)),ROW()-2),1),"")</f>
        <v>BIOLUNDER+</v>
      </c>
      <c r="AP187" t="str">
        <f>IF(($A190=""),"",IF(COUNTIF(Mineral!$AJ$3:$AJ$324,$A190),"",$A190))</f>
        <v/>
      </c>
      <c r="AQ187" t="str">
        <f>IFERROR(INDEX(Liste_Handelsünger[Handelsdünger],_xlfn.AGGREGATE(15,6,(ROW(Liste_Handelsünger[Handelsdünger])-1)/(--(SEARCH(AR$2,Liste_Handelsünger[Handelsdünger])&gt;0)),ROW()-2),1),"")</f>
        <v>BIOLUNDER+</v>
      </c>
      <c r="AR187" t="str">
        <f>IF(($A191=""),"",IF(COUNTIF(Mineral!$AJ$3:$AJ$324,$A191),"",$A191))</f>
        <v/>
      </c>
      <c r="AS187" t="str">
        <f>IFERROR(INDEX(Liste_Handelsünger[Handelsdünger],_xlfn.AGGREGATE(15,6,(ROW(Liste_Handelsünger[Handelsdünger])-1)/(--(SEARCH(AT$2,Liste_Handelsünger[Handelsdünger])&gt;0)),ROW()-2),1),"")</f>
        <v>BIOLUNDER+</v>
      </c>
      <c r="AT187" t="str">
        <f>IF(($A192=""),"",IF(COUNTIF(Mineral!$AJ$3:$AJ$324,$A192),"",$A192))</f>
        <v/>
      </c>
      <c r="AU187" t="str">
        <f>IFERROR(INDEX(Liste_Handelsünger[Handelsdünger],_xlfn.AGGREGATE(15,6,(ROW(Liste_Handelsünger[Handelsdünger])-1)/(--(SEARCH(AV$2,Liste_Handelsünger[Handelsdünger])&gt;0)),ROW()-2),1),"")</f>
        <v>BIOLUNDER+</v>
      </c>
      <c r="AV187" t="str">
        <f>IF(($A193=""),"",IF(COUNTIF(Mineral!$AJ$3:$AJ$324,$A193),"",$A193))</f>
        <v/>
      </c>
      <c r="AW187" t="str">
        <f>IFERROR(INDEX(Liste_Handelsünger[Handelsdünger],_xlfn.AGGREGATE(15,6,(ROW(Liste_Handelsünger[Handelsdünger])-1)/(--(SEARCH(AX$2,Liste_Handelsünger[Handelsdünger])&gt;0)),ROW()-2),1),"")</f>
        <v>BIOLUNDER+</v>
      </c>
      <c r="AX187" t="str">
        <f>IF(($A194=""),"",IF(COUNTIF(Mineral!$AJ$3:$AJ$324,$A194),"",$A194))</f>
        <v/>
      </c>
      <c r="AY187" t="str">
        <f>IFERROR(INDEX(Liste_Handelsünger[Handelsdünger],_xlfn.AGGREGATE(15,6,(ROW(Liste_Handelsünger[Handelsdünger])-1)/(--(SEARCH(AZ$2,Liste_Handelsünger[Handelsdünger])&gt;0)),ROW()-2),1),"")</f>
        <v>BIOLUNDER+</v>
      </c>
      <c r="AZ187" t="str">
        <f>IF(($A195=""),"",IF(COUNTIF(Mineral!$AJ$3:$AJ$324,$A195),"",$A195))</f>
        <v/>
      </c>
      <c r="BA187" t="str">
        <f>IFERROR(INDEX(Liste_Handelsünger[Handelsdünger],_xlfn.AGGREGATE(15,6,(ROW(Liste_Handelsünger[Handelsdünger])-1)/(--(SEARCH(BB$2,Liste_Handelsünger[Handelsdünger])&gt;0)),ROW()-2),1),"")</f>
        <v>BIOLUNDER+</v>
      </c>
      <c r="BB187" t="str">
        <f>IF(($A196=""),"",IF(COUNTIF(Mineral!$AJ$3:$AJ$324,$A196),"",$A196))</f>
        <v/>
      </c>
      <c r="BC187" t="str">
        <f>IFERROR(INDEX(Liste_Handelsünger[Handelsdünger],_xlfn.AGGREGATE(15,6,(ROW(Liste_Handelsünger[Handelsdünger])-1)/(--(SEARCH(BD$2,Liste_Handelsünger[Handelsdünger])&gt;0)),ROW()-2),1),"")</f>
        <v>BIOLUNDER+</v>
      </c>
      <c r="BD187" t="str">
        <f>IF(($A197=""),"",IF(COUNTIF(Mineral!$AJ$3:$AJ$324,$A197),"",$A197))</f>
        <v/>
      </c>
      <c r="BE187" t="str">
        <f>IFERROR(INDEX(Liste_Handelsünger[Handelsdünger],_xlfn.AGGREGATE(15,6,(ROW(Liste_Handelsünger[Handelsdünger])-1)/(--(SEARCH(BF$2,Liste_Handelsünger[Handelsdünger])&gt;0)),ROW()-2),1),"")</f>
        <v>BIOLUNDER+</v>
      </c>
      <c r="BF187" t="str">
        <f>IF(($A198=""),"",IF(COUNTIF(Mineral!$AJ$3:$AJ$324,$A198),"",$A198))</f>
        <v/>
      </c>
      <c r="BG187" t="str">
        <f>IFERROR(INDEX(Liste_Handelsünger[Handelsdünger],_xlfn.AGGREGATE(15,6,(ROW(Liste_Handelsünger[Handelsdünger])-1)/(--(SEARCH(BH$2,Liste_Handelsünger[Handelsdünger])&gt;0)),ROW()-2),1),"")</f>
        <v>BIOLUNDER+</v>
      </c>
      <c r="BH187" t="str">
        <f>IF(($A199=""),"",IF(COUNTIF(Mineral!$AJ$3:$AJ$324,$A199),"",$A199))</f>
        <v/>
      </c>
      <c r="BI187" t="str">
        <f>IFERROR(INDEX(Liste_Handelsünger[Handelsdünger],_xlfn.AGGREGATE(15,6,(ROW(Liste_Handelsünger[Handelsdünger])-1)/(--(SEARCH(BJ$2,Liste_Handelsünger[Handelsdünger])&gt;0)),ROW()-2),1),"")</f>
        <v>BIOLUNDER+</v>
      </c>
      <c r="BJ187" t="str">
        <f>IF(($A200=""),"",IF(COUNTIF(Mineral!$AJ$3:$AJ$324,$A200),"",$A200))</f>
        <v/>
      </c>
      <c r="BK187" t="str">
        <f>IFERROR(INDEX(Liste_Handelsünger[Handelsdünger],_xlfn.AGGREGATE(15,6,(ROW(Liste_Handelsünger[Handelsdünger])-1)/(--(SEARCH(BL$2,Liste_Handelsünger[Handelsdünger])&gt;0)),ROW()-2),1),"")</f>
        <v>BIOLUNDER+</v>
      </c>
      <c r="BM187" t="str">
        <f>IFERROR(INDEX(Liste_Handelsünger[Handelsdünger],_xlfn.AGGREGATE(15,6,(ROW(Liste_Handelsünger[Handelsdünger])-1)/(--(SEARCH(BN$2,Liste_Handelsünger[Handelsdünger])&gt;0)),ROW()-2),1),"")</f>
        <v>BIOLUNDER+</v>
      </c>
      <c r="BN187" t="str">
        <f>IF(($A202=""),"",IF(COUNTIF(Mineral!$AJ$3:$AJ$324,$A202),"",$A202))</f>
        <v/>
      </c>
      <c r="BV187" t="s">
        <v>2064</v>
      </c>
      <c r="BW187" t="s">
        <v>2162</v>
      </c>
      <c r="BZ187" s="1602"/>
      <c r="CA187" s="1602"/>
      <c r="CB187" s="1602"/>
    </row>
    <row r="188" spans="19:80" ht="14.25" thickTop="1" thickBot="1">
      <c r="S188" s="1676">
        <v>187</v>
      </c>
      <c r="T188" s="1606" t="s">
        <v>2006</v>
      </c>
      <c r="U188" s="1606" t="s">
        <v>2065</v>
      </c>
      <c r="V188" s="1606" t="s">
        <v>408</v>
      </c>
      <c r="W188" s="1606">
        <v>8</v>
      </c>
      <c r="X188" s="1606">
        <v>0.5</v>
      </c>
      <c r="Y188" s="1606">
        <v>0.5</v>
      </c>
      <c r="Z188" s="1606">
        <v>0</v>
      </c>
      <c r="AA188" s="1606">
        <v>0</v>
      </c>
      <c r="AB188" s="1606">
        <v>0</v>
      </c>
      <c r="AC188" s="1606">
        <v>0.5</v>
      </c>
      <c r="AD188" s="1613">
        <v>0.91</v>
      </c>
      <c r="AE188" s="1606" t="s">
        <v>2037</v>
      </c>
      <c r="AF188" s="1613" t="str">
        <f t="shared" si="17"/>
        <v/>
      </c>
      <c r="AG188" s="1656">
        <f>IFERROR(IF($AF188&gt;0,VLOOKUP($U188,Tabelle1!$C$188:$L$212,5,0)*$AF188,0),0)</f>
        <v>0</v>
      </c>
      <c r="AH188" s="1656">
        <f t="shared" si="18"/>
        <v>0</v>
      </c>
      <c r="AJ188" t="str">
        <f>IF(Betrieb!$D$9="JA",Mineral!$BW188,Mineral!$BV188)</f>
        <v>Biosol</v>
      </c>
      <c r="AK188" s="1672" t="str">
        <f>IFERROR(INDEX(Liste_Handelsünger[Handelsdünger],_xlfn.AGGREGATE(15,6,(ROW(Liste_Handelsünger[Handelsdünger])-1)/(--(SEARCH(AL$2,Liste_Handelsünger[Handelsdünger])&gt;0)),ROW()-2),1),"")</f>
        <v>Biosol</v>
      </c>
      <c r="AL188" s="1672" t="str">
        <f>IF(($A$3=""),"",IF(COUNTIF(Mineral!$AJ$3:$AJ$324,$A$3),"",$A$3))</f>
        <v/>
      </c>
      <c r="AM188" s="1672" t="str">
        <f>IFERROR(INDEX(Liste_Handelsünger[Handelsdünger],_xlfn.AGGREGATE(15,6,(ROW(Liste_Handelsünger[Handelsdünger])-1)/(--(SEARCH(AN$2,Liste_Handelsünger[Handelsdünger])&gt;0)),ROW()-2),1),"")</f>
        <v>Biosol</v>
      </c>
      <c r="AN188" t="str">
        <f>IF(($A190=""),"",IF(COUNTIF(Mineral!$AJ$3:$AJ$324,$A190),"",$A190))</f>
        <v/>
      </c>
      <c r="AO188" t="str">
        <f>IFERROR(INDEX(Liste_Handelsünger[Handelsdünger],_xlfn.AGGREGATE(15,6,(ROW(Liste_Handelsünger[Handelsdünger])-1)/(--(SEARCH(AP$2,Liste_Handelsünger[Handelsdünger])&gt;0)),ROW()-2),1),"")</f>
        <v>Biosol</v>
      </c>
      <c r="AP188" t="str">
        <f>IF(($A191=""),"",IF(COUNTIF(Mineral!$AJ$3:$AJ$324,$A191),"",$A191))</f>
        <v/>
      </c>
      <c r="AQ188" t="str">
        <f>IFERROR(INDEX(Liste_Handelsünger[Handelsdünger],_xlfn.AGGREGATE(15,6,(ROW(Liste_Handelsünger[Handelsdünger])-1)/(--(SEARCH(AR$2,Liste_Handelsünger[Handelsdünger])&gt;0)),ROW()-2),1),"")</f>
        <v>Biosol</v>
      </c>
      <c r="AR188" t="str">
        <f>IF(($A192=""),"",IF(COUNTIF(Mineral!$AJ$3:$AJ$324,$A192),"",$A192))</f>
        <v/>
      </c>
      <c r="AS188" t="str">
        <f>IFERROR(INDEX(Liste_Handelsünger[Handelsdünger],_xlfn.AGGREGATE(15,6,(ROW(Liste_Handelsünger[Handelsdünger])-1)/(--(SEARCH(AT$2,Liste_Handelsünger[Handelsdünger])&gt;0)),ROW()-2),1),"")</f>
        <v>Biosol</v>
      </c>
      <c r="AT188" t="str">
        <f>IF(($A193=""),"",IF(COUNTIF(Mineral!$AJ$3:$AJ$324,$A193),"",$A193))</f>
        <v/>
      </c>
      <c r="AU188" t="str">
        <f>IFERROR(INDEX(Liste_Handelsünger[Handelsdünger],_xlfn.AGGREGATE(15,6,(ROW(Liste_Handelsünger[Handelsdünger])-1)/(--(SEARCH(AV$2,Liste_Handelsünger[Handelsdünger])&gt;0)),ROW()-2),1),"")</f>
        <v>Biosol</v>
      </c>
      <c r="AV188" t="str">
        <f>IF(($A194=""),"",IF(COUNTIF(Mineral!$AJ$3:$AJ$324,$A194),"",$A194))</f>
        <v/>
      </c>
      <c r="AW188" t="str">
        <f>IFERROR(INDEX(Liste_Handelsünger[Handelsdünger],_xlfn.AGGREGATE(15,6,(ROW(Liste_Handelsünger[Handelsdünger])-1)/(--(SEARCH(AX$2,Liste_Handelsünger[Handelsdünger])&gt;0)),ROW()-2),1),"")</f>
        <v>Biosol</v>
      </c>
      <c r="AX188" t="str">
        <f>IF(($A195=""),"",IF(COUNTIF(Mineral!$AJ$3:$AJ$324,$A195),"",$A195))</f>
        <v/>
      </c>
      <c r="AY188" t="str">
        <f>IFERROR(INDEX(Liste_Handelsünger[Handelsdünger],_xlfn.AGGREGATE(15,6,(ROW(Liste_Handelsünger[Handelsdünger])-1)/(--(SEARCH(AZ$2,Liste_Handelsünger[Handelsdünger])&gt;0)),ROW()-2),1),"")</f>
        <v>Biosol</v>
      </c>
      <c r="AZ188" t="str">
        <f>IF(($A196=""),"",IF(COUNTIF(Mineral!$AJ$3:$AJ$324,$A196),"",$A196))</f>
        <v/>
      </c>
      <c r="BA188" t="str">
        <f>IFERROR(INDEX(Liste_Handelsünger[Handelsdünger],_xlfn.AGGREGATE(15,6,(ROW(Liste_Handelsünger[Handelsdünger])-1)/(--(SEARCH(BB$2,Liste_Handelsünger[Handelsdünger])&gt;0)),ROW()-2),1),"")</f>
        <v>Biosol</v>
      </c>
      <c r="BB188" t="str">
        <f>IF(($A197=""),"",IF(COUNTIF(Mineral!$AJ$3:$AJ$324,$A197),"",$A197))</f>
        <v/>
      </c>
      <c r="BC188" t="str">
        <f>IFERROR(INDEX(Liste_Handelsünger[Handelsdünger],_xlfn.AGGREGATE(15,6,(ROW(Liste_Handelsünger[Handelsdünger])-1)/(--(SEARCH(BD$2,Liste_Handelsünger[Handelsdünger])&gt;0)),ROW()-2),1),"")</f>
        <v>Biosol</v>
      </c>
      <c r="BD188" t="str">
        <f>IF(($A198=""),"",IF(COUNTIF(Mineral!$AJ$3:$AJ$324,$A198),"",$A198))</f>
        <v/>
      </c>
      <c r="BE188" t="str">
        <f>IFERROR(INDEX(Liste_Handelsünger[Handelsdünger],_xlfn.AGGREGATE(15,6,(ROW(Liste_Handelsünger[Handelsdünger])-1)/(--(SEARCH(BF$2,Liste_Handelsünger[Handelsdünger])&gt;0)),ROW()-2),1),"")</f>
        <v>Biosol</v>
      </c>
      <c r="BF188" t="str">
        <f>IF(($A199=""),"",IF(COUNTIF(Mineral!$AJ$3:$AJ$324,$A199),"",$A199))</f>
        <v/>
      </c>
      <c r="BG188" t="str">
        <f>IFERROR(INDEX(Liste_Handelsünger[Handelsdünger],_xlfn.AGGREGATE(15,6,(ROW(Liste_Handelsünger[Handelsdünger])-1)/(--(SEARCH(BH$2,Liste_Handelsünger[Handelsdünger])&gt;0)),ROW()-2),1),"")</f>
        <v>Biosol</v>
      </c>
      <c r="BH188" t="str">
        <f>IF(($A200=""),"",IF(COUNTIF(Mineral!$AJ$3:$AJ$324,$A200),"",$A200))</f>
        <v/>
      </c>
      <c r="BI188" t="str">
        <f>IFERROR(INDEX(Liste_Handelsünger[Handelsdünger],_xlfn.AGGREGATE(15,6,(ROW(Liste_Handelsünger[Handelsdünger])-1)/(--(SEARCH(BJ$2,Liste_Handelsünger[Handelsdünger])&gt;0)),ROW()-2),1),"")</f>
        <v>Biosol</v>
      </c>
      <c r="BJ188" t="str">
        <f>IF(($A201=""),"",IF(COUNTIF(Mineral!$AJ$3:$AJ$324,$A201),"",$A201))</f>
        <v/>
      </c>
      <c r="BK188" t="str">
        <f>IFERROR(INDEX(Liste_Handelsünger[Handelsdünger],_xlfn.AGGREGATE(15,6,(ROW(Liste_Handelsünger[Handelsdünger])-1)/(--(SEARCH(BL$2,Liste_Handelsünger[Handelsdünger])&gt;0)),ROW()-2),1),"")</f>
        <v>Biosol</v>
      </c>
      <c r="BM188" t="str">
        <f>IFERROR(INDEX(Liste_Handelsünger[Handelsdünger],_xlfn.AGGREGATE(15,6,(ROW(Liste_Handelsünger[Handelsdünger])-1)/(--(SEARCH(BN$2,Liste_Handelsünger[Handelsdünger])&gt;0)),ROW()-2),1),"")</f>
        <v>Biosol</v>
      </c>
      <c r="BN188" t="str">
        <f>IF(($A203=""),"",IF(COUNTIF(Mineral!$AJ$3:$AJ$324,$A203),"",$A203))</f>
        <v/>
      </c>
      <c r="BV188" t="s">
        <v>2065</v>
      </c>
      <c r="BW188" t="s">
        <v>2160</v>
      </c>
      <c r="BZ188" s="1602"/>
      <c r="CA188" s="1602"/>
      <c r="CB188" s="1602"/>
    </row>
    <row r="189" spans="19:80" ht="14.25" thickTop="1" thickBot="1">
      <c r="S189" s="1616">
        <v>188</v>
      </c>
      <c r="T189" s="1617" t="s">
        <v>2006</v>
      </c>
      <c r="U189" s="1617" t="s">
        <v>2066</v>
      </c>
      <c r="V189" s="1617" t="s">
        <v>408</v>
      </c>
      <c r="W189" s="1617">
        <v>3.25</v>
      </c>
      <c r="X189" s="1617">
        <v>4.5</v>
      </c>
      <c r="Y189" s="1617">
        <v>7.5</v>
      </c>
      <c r="Z189" s="1617">
        <v>0</v>
      </c>
      <c r="AA189" s="1617">
        <v>1</v>
      </c>
      <c r="AB189" s="1617">
        <v>1</v>
      </c>
      <c r="AC189" s="1617">
        <v>0.7</v>
      </c>
      <c r="AD189" s="1613">
        <v>0.87</v>
      </c>
      <c r="AE189" s="1617" t="s">
        <v>2016</v>
      </c>
      <c r="AF189" s="1613" t="str">
        <f t="shared" si="17"/>
        <v/>
      </c>
      <c r="AG189" s="1656">
        <f>IFERROR(IF($AF189&gt;0,VLOOKUP($U189,Tabelle1!$C$188:$L$212,5,0)*$AF189,0),0)</f>
        <v>0</v>
      </c>
      <c r="AH189" s="1656">
        <f t="shared" si="18"/>
        <v>0</v>
      </c>
      <c r="AJ189" t="str">
        <f>IF(Betrieb!$D$9="JA",Mineral!$BW189,Mineral!$BV189)</f>
        <v>Biovin flüssig</v>
      </c>
      <c r="AK189" s="1672" t="str">
        <f>IFERROR(INDEX(Liste_Handelsünger[Handelsdünger],_xlfn.AGGREGATE(15,6,(ROW(Liste_Handelsünger[Handelsdünger])-1)/(--(SEARCH(AL$2,Liste_Handelsünger[Handelsdünger])&gt;0)),ROW()-2),1),"")</f>
        <v>Biovin flüssig</v>
      </c>
      <c r="AL189" s="1672" t="str">
        <f>IF(($A$3=""),"",IF(COUNTIF(Mineral!$AJ$3:$AJ$324,$A$3),"",$A$3))</f>
        <v/>
      </c>
      <c r="AM189" s="1672" t="str">
        <f>IFERROR(INDEX(Liste_Handelsünger[Handelsdünger],_xlfn.AGGREGATE(15,6,(ROW(Liste_Handelsünger[Handelsdünger])-1)/(--(SEARCH(AN$2,Liste_Handelsünger[Handelsdünger])&gt;0)),ROW()-2),1),"")</f>
        <v>Biovin flüssig</v>
      </c>
      <c r="AN189" t="str">
        <f>IF(($A191=""),"",IF(COUNTIF(Mineral!$AJ$3:$AJ$324,$A191),"",$A191))</f>
        <v/>
      </c>
      <c r="AO189" t="str">
        <f>IFERROR(INDEX(Liste_Handelsünger[Handelsdünger],_xlfn.AGGREGATE(15,6,(ROW(Liste_Handelsünger[Handelsdünger])-1)/(--(SEARCH(AP$2,Liste_Handelsünger[Handelsdünger])&gt;0)),ROW()-2),1),"")</f>
        <v>Biovin flüssig</v>
      </c>
      <c r="AP189" t="str">
        <f>IF(($A192=""),"",IF(COUNTIF(Mineral!$AJ$3:$AJ$324,$A192),"",$A192))</f>
        <v/>
      </c>
      <c r="AQ189" t="str">
        <f>IFERROR(INDEX(Liste_Handelsünger[Handelsdünger],_xlfn.AGGREGATE(15,6,(ROW(Liste_Handelsünger[Handelsdünger])-1)/(--(SEARCH(AR$2,Liste_Handelsünger[Handelsdünger])&gt;0)),ROW()-2),1),"")</f>
        <v>Biovin flüssig</v>
      </c>
      <c r="AR189" t="str">
        <f>IF(($A193=""),"",IF(COUNTIF(Mineral!$AJ$3:$AJ$324,$A193),"",$A193))</f>
        <v/>
      </c>
      <c r="AS189" t="str">
        <f>IFERROR(INDEX(Liste_Handelsünger[Handelsdünger],_xlfn.AGGREGATE(15,6,(ROW(Liste_Handelsünger[Handelsdünger])-1)/(--(SEARCH(AT$2,Liste_Handelsünger[Handelsdünger])&gt;0)),ROW()-2),1),"")</f>
        <v>Biovin flüssig</v>
      </c>
      <c r="AT189" t="str">
        <f>IF(($A194=""),"",IF(COUNTIF(Mineral!$AJ$3:$AJ$324,$A194),"",$A194))</f>
        <v/>
      </c>
      <c r="AU189" t="str">
        <f>IFERROR(INDEX(Liste_Handelsünger[Handelsdünger],_xlfn.AGGREGATE(15,6,(ROW(Liste_Handelsünger[Handelsdünger])-1)/(--(SEARCH(AV$2,Liste_Handelsünger[Handelsdünger])&gt;0)),ROW()-2),1),"")</f>
        <v>Biovin flüssig</v>
      </c>
      <c r="AV189" t="str">
        <f>IF(($A195=""),"",IF(COUNTIF(Mineral!$AJ$3:$AJ$324,$A195),"",$A195))</f>
        <v/>
      </c>
      <c r="AW189" t="str">
        <f>IFERROR(INDEX(Liste_Handelsünger[Handelsdünger],_xlfn.AGGREGATE(15,6,(ROW(Liste_Handelsünger[Handelsdünger])-1)/(--(SEARCH(AX$2,Liste_Handelsünger[Handelsdünger])&gt;0)),ROW()-2),1),"")</f>
        <v>Biovin flüssig</v>
      </c>
      <c r="AX189" t="str">
        <f>IF(($A196=""),"",IF(COUNTIF(Mineral!$AJ$3:$AJ$324,$A196),"",$A196))</f>
        <v/>
      </c>
      <c r="AY189" t="str">
        <f>IFERROR(INDEX(Liste_Handelsünger[Handelsdünger],_xlfn.AGGREGATE(15,6,(ROW(Liste_Handelsünger[Handelsdünger])-1)/(--(SEARCH(AZ$2,Liste_Handelsünger[Handelsdünger])&gt;0)),ROW()-2),1),"")</f>
        <v>Biovin flüssig</v>
      </c>
      <c r="AZ189" t="str">
        <f>IF(($A197=""),"",IF(COUNTIF(Mineral!$AJ$3:$AJ$324,$A197),"",$A197))</f>
        <v/>
      </c>
      <c r="BA189" t="str">
        <f>IFERROR(INDEX(Liste_Handelsünger[Handelsdünger],_xlfn.AGGREGATE(15,6,(ROW(Liste_Handelsünger[Handelsdünger])-1)/(--(SEARCH(BB$2,Liste_Handelsünger[Handelsdünger])&gt;0)),ROW()-2),1),"")</f>
        <v>Biovin flüssig</v>
      </c>
      <c r="BB189" t="str">
        <f>IF(($A198=""),"",IF(COUNTIF(Mineral!$AJ$3:$AJ$324,$A198),"",$A198))</f>
        <v/>
      </c>
      <c r="BC189" t="str">
        <f>IFERROR(INDEX(Liste_Handelsünger[Handelsdünger],_xlfn.AGGREGATE(15,6,(ROW(Liste_Handelsünger[Handelsdünger])-1)/(--(SEARCH(BD$2,Liste_Handelsünger[Handelsdünger])&gt;0)),ROW()-2),1),"")</f>
        <v>Biovin flüssig</v>
      </c>
      <c r="BD189" t="str">
        <f>IF(($A199=""),"",IF(COUNTIF(Mineral!$AJ$3:$AJ$324,$A199),"",$A199))</f>
        <v/>
      </c>
      <c r="BE189" t="str">
        <f>IFERROR(INDEX(Liste_Handelsünger[Handelsdünger],_xlfn.AGGREGATE(15,6,(ROW(Liste_Handelsünger[Handelsdünger])-1)/(--(SEARCH(BF$2,Liste_Handelsünger[Handelsdünger])&gt;0)),ROW()-2),1),"")</f>
        <v>Biovin flüssig</v>
      </c>
      <c r="BF189" t="str">
        <f>IF(($A200=""),"",IF(COUNTIF(Mineral!$AJ$3:$AJ$324,$A200),"",$A200))</f>
        <v/>
      </c>
      <c r="BG189" t="str">
        <f>IFERROR(INDEX(Liste_Handelsünger[Handelsdünger],_xlfn.AGGREGATE(15,6,(ROW(Liste_Handelsünger[Handelsdünger])-1)/(--(SEARCH(BH$2,Liste_Handelsünger[Handelsdünger])&gt;0)),ROW()-2),1),"")</f>
        <v>Biovin flüssig</v>
      </c>
      <c r="BH189" t="str">
        <f>IF(($A201=""),"",IF(COUNTIF(Mineral!$AJ$3:$AJ$324,$A201),"",$A201))</f>
        <v/>
      </c>
      <c r="BI189" t="str">
        <f>IFERROR(INDEX(Liste_Handelsünger[Handelsdünger],_xlfn.AGGREGATE(15,6,(ROW(Liste_Handelsünger[Handelsdünger])-1)/(--(SEARCH(BJ$2,Liste_Handelsünger[Handelsdünger])&gt;0)),ROW()-2),1),"")</f>
        <v>Biovin flüssig</v>
      </c>
      <c r="BJ189" t="str">
        <f>IF(($A202=""),"",IF(COUNTIF(Mineral!$AJ$3:$AJ$324,$A202),"",$A202))</f>
        <v/>
      </c>
      <c r="BK189" t="str">
        <f>IFERROR(INDEX(Liste_Handelsünger[Handelsdünger],_xlfn.AGGREGATE(15,6,(ROW(Liste_Handelsünger[Handelsdünger])-1)/(--(SEARCH(BL$2,Liste_Handelsünger[Handelsdünger])&gt;0)),ROW()-2),1),"")</f>
        <v>Biovin flüssig</v>
      </c>
      <c r="BM189" t="str">
        <f>IFERROR(INDEX(Liste_Handelsünger[Handelsdünger],_xlfn.AGGREGATE(15,6,(ROW(Liste_Handelsünger[Handelsdünger])-1)/(--(SEARCH(BN$2,Liste_Handelsünger[Handelsdünger])&gt;0)),ROW()-2),1),"")</f>
        <v>Biovin flüssig</v>
      </c>
      <c r="BN189" t="str">
        <f>IF(($A204=""),"",IF(COUNTIF(Mineral!$AJ$3:$AJ$324,$A204),"",$A204))</f>
        <v/>
      </c>
      <c r="BV189" t="s">
        <v>2066</v>
      </c>
      <c r="BW189" t="s">
        <v>1192</v>
      </c>
      <c r="BZ189" s="1602"/>
      <c r="CA189" s="1602"/>
      <c r="CB189" s="1602"/>
    </row>
    <row r="190" spans="19:80" ht="14.25" thickTop="1" thickBot="1">
      <c r="S190" s="1676">
        <v>189</v>
      </c>
      <c r="T190" s="1606" t="s">
        <v>2006</v>
      </c>
      <c r="U190" s="1606" t="s">
        <v>2067</v>
      </c>
      <c r="V190" s="1606" t="s">
        <v>408</v>
      </c>
      <c r="W190" s="1606">
        <v>2.7</v>
      </c>
      <c r="X190" s="1606">
        <v>0.70000000000000007</v>
      </c>
      <c r="Y190" s="1606">
        <v>3</v>
      </c>
      <c r="Z190" s="1606">
        <v>0</v>
      </c>
      <c r="AA190" s="1606">
        <v>1.3</v>
      </c>
      <c r="AB190" s="1606">
        <v>0</v>
      </c>
      <c r="AC190" s="1606">
        <v>0.5</v>
      </c>
      <c r="AD190" s="1613">
        <v>0.91</v>
      </c>
      <c r="AE190" s="1606" t="s">
        <v>2037</v>
      </c>
      <c r="AF190" s="1613" t="str">
        <f t="shared" si="17"/>
        <v/>
      </c>
      <c r="AG190" s="1656">
        <f>IFERROR(IF($AF190&gt;0,VLOOKUP($U190,Tabelle1!$C$188:$L$212,5,0)*$AF190,0),0)</f>
        <v>0</v>
      </c>
      <c r="AH190" s="1656">
        <f t="shared" si="18"/>
        <v>0</v>
      </c>
      <c r="AJ190" t="str">
        <f>IF(Betrieb!$D$9="JA",Mineral!$BW190,Mineral!$BV190)</f>
        <v>Biovin rein organischer Dünger</v>
      </c>
      <c r="AK190" s="1672" t="str">
        <f>IFERROR(INDEX(Liste_Handelsünger[Handelsdünger],_xlfn.AGGREGATE(15,6,(ROW(Liste_Handelsünger[Handelsdünger])-1)/(--(SEARCH(AL$2,Liste_Handelsünger[Handelsdünger])&gt;0)),ROW()-2),1),"")</f>
        <v>Biovin rein organischer Dünger</v>
      </c>
      <c r="AL190" s="1672" t="str">
        <f>IF(($A$3=""),"",IF(COUNTIF(Mineral!$AJ$3:$AJ$324,$A$3),"",$A$3))</f>
        <v/>
      </c>
      <c r="AM190" s="1672" t="str">
        <f>IFERROR(INDEX(Liste_Handelsünger[Handelsdünger],_xlfn.AGGREGATE(15,6,(ROW(Liste_Handelsünger[Handelsdünger])-1)/(--(SEARCH(AN$2,Liste_Handelsünger[Handelsdünger])&gt;0)),ROW()-2),1),"")</f>
        <v>Biovin rein organischer Dünger</v>
      </c>
      <c r="AN190" t="str">
        <f>IF(($A192=""),"",IF(COUNTIF(Mineral!$AJ$3:$AJ$324,$A192),"",$A192))</f>
        <v/>
      </c>
      <c r="AO190" t="str">
        <f>IFERROR(INDEX(Liste_Handelsünger[Handelsdünger],_xlfn.AGGREGATE(15,6,(ROW(Liste_Handelsünger[Handelsdünger])-1)/(--(SEARCH(AP$2,Liste_Handelsünger[Handelsdünger])&gt;0)),ROW()-2),1),"")</f>
        <v>Biovin rein organischer Dünger</v>
      </c>
      <c r="AP190" t="str">
        <f>IF(($A193=""),"",IF(COUNTIF(Mineral!$AJ$3:$AJ$324,$A193),"",$A193))</f>
        <v/>
      </c>
      <c r="AQ190" t="str">
        <f>IFERROR(INDEX(Liste_Handelsünger[Handelsdünger],_xlfn.AGGREGATE(15,6,(ROW(Liste_Handelsünger[Handelsdünger])-1)/(--(SEARCH(AR$2,Liste_Handelsünger[Handelsdünger])&gt;0)),ROW()-2),1),"")</f>
        <v>Biovin rein organischer Dünger</v>
      </c>
      <c r="AR190" t="str">
        <f>IF(($A194=""),"",IF(COUNTIF(Mineral!$AJ$3:$AJ$324,$A194),"",$A194))</f>
        <v/>
      </c>
      <c r="AS190" t="str">
        <f>IFERROR(INDEX(Liste_Handelsünger[Handelsdünger],_xlfn.AGGREGATE(15,6,(ROW(Liste_Handelsünger[Handelsdünger])-1)/(--(SEARCH(AT$2,Liste_Handelsünger[Handelsdünger])&gt;0)),ROW()-2),1),"")</f>
        <v>Biovin rein organischer Dünger</v>
      </c>
      <c r="AT190" t="str">
        <f>IF(($A195=""),"",IF(COUNTIF(Mineral!$AJ$3:$AJ$324,$A195),"",$A195))</f>
        <v/>
      </c>
      <c r="AU190" t="str">
        <f>IFERROR(INDEX(Liste_Handelsünger[Handelsdünger],_xlfn.AGGREGATE(15,6,(ROW(Liste_Handelsünger[Handelsdünger])-1)/(--(SEARCH(AV$2,Liste_Handelsünger[Handelsdünger])&gt;0)),ROW()-2),1),"")</f>
        <v>Biovin rein organischer Dünger</v>
      </c>
      <c r="AV190" t="str">
        <f>IF(($A196=""),"",IF(COUNTIF(Mineral!$AJ$3:$AJ$324,$A196),"",$A196))</f>
        <v/>
      </c>
      <c r="AW190" t="str">
        <f>IFERROR(INDEX(Liste_Handelsünger[Handelsdünger],_xlfn.AGGREGATE(15,6,(ROW(Liste_Handelsünger[Handelsdünger])-1)/(--(SEARCH(AX$2,Liste_Handelsünger[Handelsdünger])&gt;0)),ROW()-2),1),"")</f>
        <v>Biovin rein organischer Dünger</v>
      </c>
      <c r="AX190" t="str">
        <f>IF(($A197=""),"",IF(COUNTIF(Mineral!$AJ$3:$AJ$324,$A197),"",$A197))</f>
        <v/>
      </c>
      <c r="AY190" t="str">
        <f>IFERROR(INDEX(Liste_Handelsünger[Handelsdünger],_xlfn.AGGREGATE(15,6,(ROW(Liste_Handelsünger[Handelsdünger])-1)/(--(SEARCH(AZ$2,Liste_Handelsünger[Handelsdünger])&gt;0)),ROW()-2),1),"")</f>
        <v>Biovin rein organischer Dünger</v>
      </c>
      <c r="AZ190" t="str">
        <f>IF(($A198=""),"",IF(COUNTIF(Mineral!$AJ$3:$AJ$324,$A198),"",$A198))</f>
        <v/>
      </c>
      <c r="BA190" t="str">
        <f>IFERROR(INDEX(Liste_Handelsünger[Handelsdünger],_xlfn.AGGREGATE(15,6,(ROW(Liste_Handelsünger[Handelsdünger])-1)/(--(SEARCH(BB$2,Liste_Handelsünger[Handelsdünger])&gt;0)),ROW()-2),1),"")</f>
        <v>Biovin rein organischer Dünger</v>
      </c>
      <c r="BB190" t="str">
        <f>IF(($A199=""),"",IF(COUNTIF(Mineral!$AJ$3:$AJ$324,$A199),"",$A199))</f>
        <v/>
      </c>
      <c r="BC190" t="str">
        <f>IFERROR(INDEX(Liste_Handelsünger[Handelsdünger],_xlfn.AGGREGATE(15,6,(ROW(Liste_Handelsünger[Handelsdünger])-1)/(--(SEARCH(BD$2,Liste_Handelsünger[Handelsdünger])&gt;0)),ROW()-2),1),"")</f>
        <v>Biovin rein organischer Dünger</v>
      </c>
      <c r="BD190" t="str">
        <f>IF(($A200=""),"",IF(COUNTIF(Mineral!$AJ$3:$AJ$324,$A200),"",$A200))</f>
        <v/>
      </c>
      <c r="BE190" t="str">
        <f>IFERROR(INDEX(Liste_Handelsünger[Handelsdünger],_xlfn.AGGREGATE(15,6,(ROW(Liste_Handelsünger[Handelsdünger])-1)/(--(SEARCH(BF$2,Liste_Handelsünger[Handelsdünger])&gt;0)),ROW()-2),1),"")</f>
        <v>Biovin rein organischer Dünger</v>
      </c>
      <c r="BF190" t="str">
        <f>IF(($A201=""),"",IF(COUNTIF(Mineral!$AJ$3:$AJ$324,$A201),"",$A201))</f>
        <v/>
      </c>
      <c r="BG190" t="str">
        <f>IFERROR(INDEX(Liste_Handelsünger[Handelsdünger],_xlfn.AGGREGATE(15,6,(ROW(Liste_Handelsünger[Handelsdünger])-1)/(--(SEARCH(BH$2,Liste_Handelsünger[Handelsdünger])&gt;0)),ROW()-2),1),"")</f>
        <v>Biovin rein organischer Dünger</v>
      </c>
      <c r="BH190" t="str">
        <f>IF(($A202=""),"",IF(COUNTIF(Mineral!$AJ$3:$AJ$324,$A202),"",$A202))</f>
        <v/>
      </c>
      <c r="BI190" t="str">
        <f>IFERROR(INDEX(Liste_Handelsünger[Handelsdünger],_xlfn.AGGREGATE(15,6,(ROW(Liste_Handelsünger[Handelsdünger])-1)/(--(SEARCH(BJ$2,Liste_Handelsünger[Handelsdünger])&gt;0)),ROW()-2),1),"")</f>
        <v>Biovin rein organischer Dünger</v>
      </c>
      <c r="BJ190" t="str">
        <f>IF(($A203=""),"",IF(COUNTIF(Mineral!$AJ$3:$AJ$324,$A203),"",$A203))</f>
        <v/>
      </c>
      <c r="BK190" t="str">
        <f>IFERROR(INDEX(Liste_Handelsünger[Handelsdünger],_xlfn.AGGREGATE(15,6,(ROW(Liste_Handelsünger[Handelsdünger])-1)/(--(SEARCH(BL$2,Liste_Handelsünger[Handelsdünger])&gt;0)),ROW()-2),1),"")</f>
        <v>Biovin rein organischer Dünger</v>
      </c>
      <c r="BM190" t="str">
        <f>IFERROR(INDEX(Liste_Handelsünger[Handelsdünger],_xlfn.AGGREGATE(15,6,(ROW(Liste_Handelsünger[Handelsdünger])-1)/(--(SEARCH(BN$2,Liste_Handelsünger[Handelsdünger])&gt;0)),ROW()-2),1),"")</f>
        <v>Biovin rein organischer Dünger</v>
      </c>
      <c r="BN190" t="str">
        <f>IF(($A205=""),"",IF(COUNTIF(Mineral!$AJ$3:$AJ$324,$A205),"",$A205))</f>
        <v/>
      </c>
      <c r="BV190" t="s">
        <v>2067</v>
      </c>
      <c r="BW190" t="s">
        <v>2306</v>
      </c>
      <c r="BZ190" s="1602"/>
      <c r="CA190" s="1602"/>
      <c r="CB190" s="1602"/>
    </row>
    <row r="191" spans="19:80" ht="14.25" thickTop="1" thickBot="1">
      <c r="S191" s="1616">
        <v>190</v>
      </c>
      <c r="T191" s="1617" t="s">
        <v>2006</v>
      </c>
      <c r="U191" s="1617" t="s">
        <v>2068</v>
      </c>
      <c r="V191" s="1617" t="s">
        <v>408</v>
      </c>
      <c r="W191" s="1617">
        <v>0</v>
      </c>
      <c r="X191" s="1617">
        <v>0</v>
      </c>
      <c r="Y191" s="1617">
        <v>0</v>
      </c>
      <c r="Z191" s="1617">
        <v>0</v>
      </c>
      <c r="AA191" s="1617">
        <v>0</v>
      </c>
      <c r="AB191" s="1617">
        <v>0</v>
      </c>
      <c r="AC191" s="1617">
        <v>1</v>
      </c>
      <c r="AD191" s="1613">
        <v>1</v>
      </c>
      <c r="AE191" s="1617" t="s">
        <v>1764</v>
      </c>
      <c r="AF191" s="1613" t="str">
        <f t="shared" si="17"/>
        <v/>
      </c>
      <c r="AG191" s="1656">
        <f>IFERROR(IF($AF191&gt;0,VLOOKUP($U191,Tabelle1!$C$188:$L$212,5,0)*$AF191,0),0)</f>
        <v>0</v>
      </c>
      <c r="AH191" s="1656">
        <f t="shared" si="18"/>
        <v>0</v>
      </c>
      <c r="AJ191" t="str">
        <f>IF(Betrieb!$D$9="JA",Mineral!$BW191,Mineral!$BV191)</f>
        <v>Biplantol agrar</v>
      </c>
      <c r="AK191" s="1672" t="str">
        <f>IFERROR(INDEX(Liste_Handelsünger[Handelsdünger],_xlfn.AGGREGATE(15,6,(ROW(Liste_Handelsünger[Handelsdünger])-1)/(--(SEARCH(AL$2,Liste_Handelsünger[Handelsdünger])&gt;0)),ROW()-2),1),"")</f>
        <v>Biplantol agrar</v>
      </c>
      <c r="AL191" s="1672" t="str">
        <f>IF(($A$3=""),"",IF(COUNTIF(Mineral!$AJ$3:$AJ$324,$A$3),"",$A$3))</f>
        <v/>
      </c>
      <c r="AM191" s="1672" t="str">
        <f>IFERROR(INDEX(Liste_Handelsünger[Handelsdünger],_xlfn.AGGREGATE(15,6,(ROW(Liste_Handelsünger[Handelsdünger])-1)/(--(SEARCH(AN$2,Liste_Handelsünger[Handelsdünger])&gt;0)),ROW()-2),1),"")</f>
        <v>Biplantol agrar</v>
      </c>
      <c r="AN191" t="str">
        <f>IF(($A193=""),"",IF(COUNTIF(Mineral!$AJ$3:$AJ$324,$A193),"",$A193))</f>
        <v/>
      </c>
      <c r="AO191" t="str">
        <f>IFERROR(INDEX(Liste_Handelsünger[Handelsdünger],_xlfn.AGGREGATE(15,6,(ROW(Liste_Handelsünger[Handelsdünger])-1)/(--(SEARCH(AP$2,Liste_Handelsünger[Handelsdünger])&gt;0)),ROW()-2),1),"")</f>
        <v>Biplantol agrar</v>
      </c>
      <c r="AP191" t="str">
        <f>IF(($A194=""),"",IF(COUNTIF(Mineral!$AJ$3:$AJ$324,$A194),"",$A194))</f>
        <v/>
      </c>
      <c r="AQ191" t="str">
        <f>IFERROR(INDEX(Liste_Handelsünger[Handelsdünger],_xlfn.AGGREGATE(15,6,(ROW(Liste_Handelsünger[Handelsdünger])-1)/(--(SEARCH(AR$2,Liste_Handelsünger[Handelsdünger])&gt;0)),ROW()-2),1),"")</f>
        <v>Biplantol agrar</v>
      </c>
      <c r="AR191" t="str">
        <f>IF(($A195=""),"",IF(COUNTIF(Mineral!$AJ$3:$AJ$324,$A195),"",$A195))</f>
        <v/>
      </c>
      <c r="AS191" t="str">
        <f>IFERROR(INDEX(Liste_Handelsünger[Handelsdünger],_xlfn.AGGREGATE(15,6,(ROW(Liste_Handelsünger[Handelsdünger])-1)/(--(SEARCH(AT$2,Liste_Handelsünger[Handelsdünger])&gt;0)),ROW()-2),1),"")</f>
        <v>Biplantol agrar</v>
      </c>
      <c r="AT191" t="str">
        <f>IF(($A196=""),"",IF(COUNTIF(Mineral!$AJ$3:$AJ$324,$A196),"",$A196))</f>
        <v/>
      </c>
      <c r="AU191" t="str">
        <f>IFERROR(INDEX(Liste_Handelsünger[Handelsdünger],_xlfn.AGGREGATE(15,6,(ROW(Liste_Handelsünger[Handelsdünger])-1)/(--(SEARCH(AV$2,Liste_Handelsünger[Handelsdünger])&gt;0)),ROW()-2),1),"")</f>
        <v>Biplantol agrar</v>
      </c>
      <c r="AV191" t="str">
        <f>IF(($A197=""),"",IF(COUNTIF(Mineral!$AJ$3:$AJ$324,$A197),"",$A197))</f>
        <v/>
      </c>
      <c r="AW191" t="str">
        <f>IFERROR(INDEX(Liste_Handelsünger[Handelsdünger],_xlfn.AGGREGATE(15,6,(ROW(Liste_Handelsünger[Handelsdünger])-1)/(--(SEARCH(AX$2,Liste_Handelsünger[Handelsdünger])&gt;0)),ROW()-2),1),"")</f>
        <v>Biplantol agrar</v>
      </c>
      <c r="AX191" t="str">
        <f>IF(($A198=""),"",IF(COUNTIF(Mineral!$AJ$3:$AJ$324,$A198),"",$A198))</f>
        <v/>
      </c>
      <c r="AY191" t="str">
        <f>IFERROR(INDEX(Liste_Handelsünger[Handelsdünger],_xlfn.AGGREGATE(15,6,(ROW(Liste_Handelsünger[Handelsdünger])-1)/(--(SEARCH(AZ$2,Liste_Handelsünger[Handelsdünger])&gt;0)),ROW()-2),1),"")</f>
        <v>Biplantol agrar</v>
      </c>
      <c r="AZ191" t="str">
        <f>IF(($A199=""),"",IF(COUNTIF(Mineral!$AJ$3:$AJ$324,$A199),"",$A199))</f>
        <v/>
      </c>
      <c r="BA191" t="str">
        <f>IFERROR(INDEX(Liste_Handelsünger[Handelsdünger],_xlfn.AGGREGATE(15,6,(ROW(Liste_Handelsünger[Handelsdünger])-1)/(--(SEARCH(BB$2,Liste_Handelsünger[Handelsdünger])&gt;0)),ROW()-2),1),"")</f>
        <v>Biplantol agrar</v>
      </c>
      <c r="BB191" t="str">
        <f>IF(($A200=""),"",IF(COUNTIF(Mineral!$AJ$3:$AJ$324,$A200),"",$A200))</f>
        <v/>
      </c>
      <c r="BC191" t="str">
        <f>IFERROR(INDEX(Liste_Handelsünger[Handelsdünger],_xlfn.AGGREGATE(15,6,(ROW(Liste_Handelsünger[Handelsdünger])-1)/(--(SEARCH(BD$2,Liste_Handelsünger[Handelsdünger])&gt;0)),ROW()-2),1),"")</f>
        <v>Biplantol agrar</v>
      </c>
      <c r="BD191" t="str">
        <f>IF(($A201=""),"",IF(COUNTIF(Mineral!$AJ$3:$AJ$324,$A201),"",$A201))</f>
        <v/>
      </c>
      <c r="BE191" t="str">
        <f>IFERROR(INDEX(Liste_Handelsünger[Handelsdünger],_xlfn.AGGREGATE(15,6,(ROW(Liste_Handelsünger[Handelsdünger])-1)/(--(SEARCH(BF$2,Liste_Handelsünger[Handelsdünger])&gt;0)),ROW()-2),1),"")</f>
        <v>Biplantol agrar</v>
      </c>
      <c r="BF191" t="str">
        <f>IF(($A202=""),"",IF(COUNTIF(Mineral!$AJ$3:$AJ$324,$A202),"",$A202))</f>
        <v/>
      </c>
      <c r="BG191" t="str">
        <f>IFERROR(INDEX(Liste_Handelsünger[Handelsdünger],_xlfn.AGGREGATE(15,6,(ROW(Liste_Handelsünger[Handelsdünger])-1)/(--(SEARCH(BH$2,Liste_Handelsünger[Handelsdünger])&gt;0)),ROW()-2),1),"")</f>
        <v>Biplantol agrar</v>
      </c>
      <c r="BH191" t="str">
        <f>IF(($A203=""),"",IF(COUNTIF(Mineral!$AJ$3:$AJ$324,$A203),"",$A203))</f>
        <v/>
      </c>
      <c r="BI191" t="str">
        <f>IFERROR(INDEX(Liste_Handelsünger[Handelsdünger],_xlfn.AGGREGATE(15,6,(ROW(Liste_Handelsünger[Handelsdünger])-1)/(--(SEARCH(BJ$2,Liste_Handelsünger[Handelsdünger])&gt;0)),ROW()-2),1),"")</f>
        <v>Biplantol agrar</v>
      </c>
      <c r="BJ191" t="str">
        <f>IF(($A204=""),"",IF(COUNTIF(Mineral!$AJ$3:$AJ$324,$A204),"",$A204))</f>
        <v/>
      </c>
      <c r="BK191" t="str">
        <f>IFERROR(INDEX(Liste_Handelsünger[Handelsdünger],_xlfn.AGGREGATE(15,6,(ROW(Liste_Handelsünger[Handelsdünger])-1)/(--(SEARCH(BL$2,Liste_Handelsünger[Handelsdünger])&gt;0)),ROW()-2),1),"")</f>
        <v>Biplantol agrar</v>
      </c>
      <c r="BM191" t="str">
        <f>IFERROR(INDEX(Liste_Handelsünger[Handelsdünger],_xlfn.AGGREGATE(15,6,(ROW(Liste_Handelsünger[Handelsdünger])-1)/(--(SEARCH(BN$2,Liste_Handelsünger[Handelsdünger])&gt;0)),ROW()-2),1),"")</f>
        <v>Biplantol agrar</v>
      </c>
      <c r="BN191" t="str">
        <f>IF(($A206=""),"",IF(COUNTIF(Mineral!$AJ$3:$AJ$324,$A206),"",$A206))</f>
        <v/>
      </c>
      <c r="BV191" t="s">
        <v>2068</v>
      </c>
      <c r="BW191" t="s">
        <v>2300</v>
      </c>
      <c r="BZ191" s="1602"/>
      <c r="CA191" s="1602"/>
      <c r="CB191" s="1602"/>
    </row>
    <row r="192" spans="19:80" ht="14.25" thickTop="1" thickBot="1">
      <c r="S192" s="1676">
        <v>191</v>
      </c>
      <c r="T192" s="1606" t="s">
        <v>2006</v>
      </c>
      <c r="U192" s="1606" t="s">
        <v>2069</v>
      </c>
      <c r="V192" s="1606" t="s">
        <v>408</v>
      </c>
      <c r="W192" s="1606">
        <v>0</v>
      </c>
      <c r="X192" s="1606">
        <v>0</v>
      </c>
      <c r="Y192" s="1606">
        <v>0</v>
      </c>
      <c r="Z192" s="1606">
        <v>0</v>
      </c>
      <c r="AA192" s="1606">
        <v>0</v>
      </c>
      <c r="AB192" s="1606">
        <v>0</v>
      </c>
      <c r="AC192" s="1606">
        <v>1</v>
      </c>
      <c r="AD192" s="1613">
        <v>1</v>
      </c>
      <c r="AE192" s="1606" t="s">
        <v>1764</v>
      </c>
      <c r="AF192" s="1613" t="str">
        <f t="shared" si="17"/>
        <v/>
      </c>
      <c r="AG192" s="1656">
        <f>IFERROR(IF($AF192&gt;0,VLOOKUP($U192,Tabelle1!$C$188:$L$212,5,0)*$AF192,0),0)</f>
        <v>0</v>
      </c>
      <c r="AH192" s="1656">
        <f t="shared" si="18"/>
        <v>0</v>
      </c>
      <c r="AJ192" t="str">
        <f>IF(Betrieb!$D$9="JA",Mineral!$BW192,Mineral!$BV192)</f>
        <v>Biplantol mykos V forte</v>
      </c>
      <c r="AK192" s="1672" t="str">
        <f>IFERROR(INDEX(Liste_Handelsünger[Handelsdünger],_xlfn.AGGREGATE(15,6,(ROW(Liste_Handelsünger[Handelsdünger])-1)/(--(SEARCH(AL$2,Liste_Handelsünger[Handelsdünger])&gt;0)),ROW()-2),1),"")</f>
        <v>Biplantol mykos V forte</v>
      </c>
      <c r="AL192" s="1672" t="str">
        <f>IF(($A$3=""),"",IF(COUNTIF(Mineral!$AJ$3:$AJ$324,$A$3),"",$A$3))</f>
        <v/>
      </c>
      <c r="AM192" s="1672" t="str">
        <f>IFERROR(INDEX(Liste_Handelsünger[Handelsdünger],_xlfn.AGGREGATE(15,6,(ROW(Liste_Handelsünger[Handelsdünger])-1)/(--(SEARCH(AN$2,Liste_Handelsünger[Handelsdünger])&gt;0)),ROW()-2),1),"")</f>
        <v>Biplantol mykos V forte</v>
      </c>
      <c r="AN192" t="str">
        <f>IF(($A194=""),"",IF(COUNTIF(Mineral!$AJ$3:$AJ$324,$A194),"",$A194))</f>
        <v/>
      </c>
      <c r="AO192" t="str">
        <f>IFERROR(INDEX(Liste_Handelsünger[Handelsdünger],_xlfn.AGGREGATE(15,6,(ROW(Liste_Handelsünger[Handelsdünger])-1)/(--(SEARCH(AP$2,Liste_Handelsünger[Handelsdünger])&gt;0)),ROW()-2),1),"")</f>
        <v>Biplantol mykos V forte</v>
      </c>
      <c r="AP192" t="str">
        <f>IF(($A195=""),"",IF(COUNTIF(Mineral!$AJ$3:$AJ$324,$A195),"",$A195))</f>
        <v/>
      </c>
      <c r="AQ192" t="str">
        <f>IFERROR(INDEX(Liste_Handelsünger[Handelsdünger],_xlfn.AGGREGATE(15,6,(ROW(Liste_Handelsünger[Handelsdünger])-1)/(--(SEARCH(AR$2,Liste_Handelsünger[Handelsdünger])&gt;0)),ROW()-2),1),"")</f>
        <v>Biplantol mykos V forte</v>
      </c>
      <c r="AR192" t="str">
        <f>IF(($A196=""),"",IF(COUNTIF(Mineral!$AJ$3:$AJ$324,$A196),"",$A196))</f>
        <v/>
      </c>
      <c r="AS192" t="str">
        <f>IFERROR(INDEX(Liste_Handelsünger[Handelsdünger],_xlfn.AGGREGATE(15,6,(ROW(Liste_Handelsünger[Handelsdünger])-1)/(--(SEARCH(AT$2,Liste_Handelsünger[Handelsdünger])&gt;0)),ROW()-2),1),"")</f>
        <v>Biplantol mykos V forte</v>
      </c>
      <c r="AT192" t="str">
        <f>IF(($A197=""),"",IF(COUNTIF(Mineral!$AJ$3:$AJ$324,$A197),"",$A197))</f>
        <v/>
      </c>
      <c r="AU192" t="str">
        <f>IFERROR(INDEX(Liste_Handelsünger[Handelsdünger],_xlfn.AGGREGATE(15,6,(ROW(Liste_Handelsünger[Handelsdünger])-1)/(--(SEARCH(AV$2,Liste_Handelsünger[Handelsdünger])&gt;0)),ROW()-2),1),"")</f>
        <v>Biplantol mykos V forte</v>
      </c>
      <c r="AV192" t="str">
        <f>IF(($A198=""),"",IF(COUNTIF(Mineral!$AJ$3:$AJ$324,$A198),"",$A198))</f>
        <v/>
      </c>
      <c r="AW192" t="str">
        <f>IFERROR(INDEX(Liste_Handelsünger[Handelsdünger],_xlfn.AGGREGATE(15,6,(ROW(Liste_Handelsünger[Handelsdünger])-1)/(--(SEARCH(AX$2,Liste_Handelsünger[Handelsdünger])&gt;0)),ROW()-2),1),"")</f>
        <v>Biplantol mykos V forte</v>
      </c>
      <c r="AX192" t="str">
        <f>IF(($A199=""),"",IF(COUNTIF(Mineral!$AJ$3:$AJ$324,$A199),"",$A199))</f>
        <v/>
      </c>
      <c r="AY192" t="str">
        <f>IFERROR(INDEX(Liste_Handelsünger[Handelsdünger],_xlfn.AGGREGATE(15,6,(ROW(Liste_Handelsünger[Handelsdünger])-1)/(--(SEARCH(AZ$2,Liste_Handelsünger[Handelsdünger])&gt;0)),ROW()-2),1),"")</f>
        <v>Biplantol mykos V forte</v>
      </c>
      <c r="AZ192" t="str">
        <f>IF(($A200=""),"",IF(COUNTIF(Mineral!$AJ$3:$AJ$324,$A200),"",$A200))</f>
        <v/>
      </c>
      <c r="BA192" t="str">
        <f>IFERROR(INDEX(Liste_Handelsünger[Handelsdünger],_xlfn.AGGREGATE(15,6,(ROW(Liste_Handelsünger[Handelsdünger])-1)/(--(SEARCH(BB$2,Liste_Handelsünger[Handelsdünger])&gt;0)),ROW()-2),1),"")</f>
        <v>Biplantol mykos V forte</v>
      </c>
      <c r="BB192" t="str">
        <f>IF(($A201=""),"",IF(COUNTIF(Mineral!$AJ$3:$AJ$324,$A201),"",$A201))</f>
        <v/>
      </c>
      <c r="BC192" t="str">
        <f>IFERROR(INDEX(Liste_Handelsünger[Handelsdünger],_xlfn.AGGREGATE(15,6,(ROW(Liste_Handelsünger[Handelsdünger])-1)/(--(SEARCH(BD$2,Liste_Handelsünger[Handelsdünger])&gt;0)),ROW()-2),1),"")</f>
        <v>Biplantol mykos V forte</v>
      </c>
      <c r="BD192" t="str">
        <f>IF(($A202=""),"",IF(COUNTIF(Mineral!$AJ$3:$AJ$324,$A202),"",$A202))</f>
        <v/>
      </c>
      <c r="BE192" t="str">
        <f>IFERROR(INDEX(Liste_Handelsünger[Handelsdünger],_xlfn.AGGREGATE(15,6,(ROW(Liste_Handelsünger[Handelsdünger])-1)/(--(SEARCH(BF$2,Liste_Handelsünger[Handelsdünger])&gt;0)),ROW()-2),1),"")</f>
        <v>Biplantol mykos V forte</v>
      </c>
      <c r="BF192" t="str">
        <f>IF(($A203=""),"",IF(COUNTIF(Mineral!$AJ$3:$AJ$324,$A203),"",$A203))</f>
        <v/>
      </c>
      <c r="BG192" t="str">
        <f>IFERROR(INDEX(Liste_Handelsünger[Handelsdünger],_xlfn.AGGREGATE(15,6,(ROW(Liste_Handelsünger[Handelsdünger])-1)/(--(SEARCH(BH$2,Liste_Handelsünger[Handelsdünger])&gt;0)),ROW()-2),1),"")</f>
        <v>Biplantol mykos V forte</v>
      </c>
      <c r="BH192" t="str">
        <f>IF(($A204=""),"",IF(COUNTIF(Mineral!$AJ$3:$AJ$324,$A204),"",$A204))</f>
        <v/>
      </c>
      <c r="BI192" t="str">
        <f>IFERROR(INDEX(Liste_Handelsünger[Handelsdünger],_xlfn.AGGREGATE(15,6,(ROW(Liste_Handelsünger[Handelsdünger])-1)/(--(SEARCH(BJ$2,Liste_Handelsünger[Handelsdünger])&gt;0)),ROW()-2),1),"")</f>
        <v>Biplantol mykos V forte</v>
      </c>
      <c r="BJ192" t="str">
        <f>IF(($A205=""),"",IF(COUNTIF(Mineral!$AJ$3:$AJ$324,$A205),"",$A205))</f>
        <v/>
      </c>
      <c r="BK192" t="str">
        <f>IFERROR(INDEX(Liste_Handelsünger[Handelsdünger],_xlfn.AGGREGATE(15,6,(ROW(Liste_Handelsünger[Handelsdünger])-1)/(--(SEARCH(BL$2,Liste_Handelsünger[Handelsdünger])&gt;0)),ROW()-2),1),"")</f>
        <v>Biplantol mykos V forte</v>
      </c>
      <c r="BM192" t="str">
        <f>IFERROR(INDEX(Liste_Handelsünger[Handelsdünger],_xlfn.AGGREGATE(15,6,(ROW(Liste_Handelsünger[Handelsdünger])-1)/(--(SEARCH(BN$2,Liste_Handelsünger[Handelsdünger])&gt;0)),ROW()-2),1),"")</f>
        <v>Biplantol mykos V forte</v>
      </c>
      <c r="BN192" t="str">
        <f>IF(($A207=""),"",IF(COUNTIF(Mineral!$AJ$3:$AJ$324,$A207),"",$A207))</f>
        <v/>
      </c>
      <c r="BV192" t="s">
        <v>2069</v>
      </c>
      <c r="BW192" t="s">
        <v>2168</v>
      </c>
      <c r="BZ192" s="1602"/>
      <c r="CA192" s="1602"/>
      <c r="CB192" s="1602"/>
    </row>
    <row r="193" spans="19:80" ht="14.25" thickTop="1" thickBot="1">
      <c r="S193" s="1616">
        <v>192</v>
      </c>
      <c r="T193" s="1617" t="s">
        <v>2006</v>
      </c>
      <c r="U193" s="1617" t="s">
        <v>2070</v>
      </c>
      <c r="V193" s="1617" t="s">
        <v>408</v>
      </c>
      <c r="W193" s="1617">
        <v>0</v>
      </c>
      <c r="X193" s="1617">
        <v>0</v>
      </c>
      <c r="Y193" s="1617">
        <v>0</v>
      </c>
      <c r="Z193" s="1617">
        <v>0</v>
      </c>
      <c r="AA193" s="1617">
        <v>0</v>
      </c>
      <c r="AB193" s="1617">
        <v>0</v>
      </c>
      <c r="AC193" s="1617">
        <v>1</v>
      </c>
      <c r="AD193" s="1613">
        <v>1</v>
      </c>
      <c r="AE193" s="1617" t="s">
        <v>1764</v>
      </c>
      <c r="AF193" s="1613" t="str">
        <f t="shared" si="17"/>
        <v/>
      </c>
      <c r="AG193" s="1656">
        <f>IFERROR(IF($AF193&gt;0,VLOOKUP($U193,Tabelle1!$C$188:$L$212,5,0)*$AF193,0),0)</f>
        <v>0</v>
      </c>
      <c r="AH193" s="1656">
        <f t="shared" si="18"/>
        <v>0</v>
      </c>
      <c r="AJ193" t="str">
        <f>IF(Betrieb!$D$9="JA",Mineral!$BW193,Mineral!$BV193)</f>
        <v>Biplantol X2 forte</v>
      </c>
      <c r="AK193" s="1672" t="str">
        <f>IFERROR(INDEX(Liste_Handelsünger[Handelsdünger],_xlfn.AGGREGATE(15,6,(ROW(Liste_Handelsünger[Handelsdünger])-1)/(--(SEARCH(AL$2,Liste_Handelsünger[Handelsdünger])&gt;0)),ROW()-2),1),"")</f>
        <v>Biplantol X2 forte</v>
      </c>
      <c r="AL193" s="1672" t="str">
        <f>IF(($A$3=""),"",IF(COUNTIF(Mineral!$AJ$3:$AJ$324,$A$3),"",$A$3))</f>
        <v/>
      </c>
      <c r="AM193" s="1672" t="str">
        <f>IFERROR(INDEX(Liste_Handelsünger[Handelsdünger],_xlfn.AGGREGATE(15,6,(ROW(Liste_Handelsünger[Handelsdünger])-1)/(--(SEARCH(AN$2,Liste_Handelsünger[Handelsdünger])&gt;0)),ROW()-2),1),"")</f>
        <v>Biplantol X2 forte</v>
      </c>
      <c r="AN193" t="str">
        <f>IF(($A195=""),"",IF(COUNTIF(Mineral!$AJ$3:$AJ$324,$A195),"",$A195))</f>
        <v/>
      </c>
      <c r="AO193" t="str">
        <f>IFERROR(INDEX(Liste_Handelsünger[Handelsdünger],_xlfn.AGGREGATE(15,6,(ROW(Liste_Handelsünger[Handelsdünger])-1)/(--(SEARCH(AP$2,Liste_Handelsünger[Handelsdünger])&gt;0)),ROW()-2),1),"")</f>
        <v>Biplantol X2 forte</v>
      </c>
      <c r="AP193" t="str">
        <f>IF(($A196=""),"",IF(COUNTIF(Mineral!$AJ$3:$AJ$324,$A196),"",$A196))</f>
        <v/>
      </c>
      <c r="AQ193" t="str">
        <f>IFERROR(INDEX(Liste_Handelsünger[Handelsdünger],_xlfn.AGGREGATE(15,6,(ROW(Liste_Handelsünger[Handelsdünger])-1)/(--(SEARCH(AR$2,Liste_Handelsünger[Handelsdünger])&gt;0)),ROW()-2),1),"")</f>
        <v>Biplantol X2 forte</v>
      </c>
      <c r="AR193" t="str">
        <f>IF(($A197=""),"",IF(COUNTIF(Mineral!$AJ$3:$AJ$324,$A197),"",$A197))</f>
        <v/>
      </c>
      <c r="AS193" t="str">
        <f>IFERROR(INDEX(Liste_Handelsünger[Handelsdünger],_xlfn.AGGREGATE(15,6,(ROW(Liste_Handelsünger[Handelsdünger])-1)/(--(SEARCH(AT$2,Liste_Handelsünger[Handelsdünger])&gt;0)),ROW()-2),1),"")</f>
        <v>Biplantol X2 forte</v>
      </c>
      <c r="AT193" t="str">
        <f>IF(($A198=""),"",IF(COUNTIF(Mineral!$AJ$3:$AJ$324,$A198),"",$A198))</f>
        <v/>
      </c>
      <c r="AU193" t="str">
        <f>IFERROR(INDEX(Liste_Handelsünger[Handelsdünger],_xlfn.AGGREGATE(15,6,(ROW(Liste_Handelsünger[Handelsdünger])-1)/(--(SEARCH(AV$2,Liste_Handelsünger[Handelsdünger])&gt;0)),ROW()-2),1),"")</f>
        <v>Biplantol X2 forte</v>
      </c>
      <c r="AV193" t="str">
        <f>IF(($A199=""),"",IF(COUNTIF(Mineral!$AJ$3:$AJ$324,$A199),"",$A199))</f>
        <v/>
      </c>
      <c r="AW193" t="str">
        <f>IFERROR(INDEX(Liste_Handelsünger[Handelsdünger],_xlfn.AGGREGATE(15,6,(ROW(Liste_Handelsünger[Handelsdünger])-1)/(--(SEARCH(AX$2,Liste_Handelsünger[Handelsdünger])&gt;0)),ROW()-2),1),"")</f>
        <v>Biplantol X2 forte</v>
      </c>
      <c r="AX193" t="str">
        <f>IF(($A200=""),"",IF(COUNTIF(Mineral!$AJ$3:$AJ$324,$A200),"",$A200))</f>
        <v/>
      </c>
      <c r="AY193" t="str">
        <f>IFERROR(INDEX(Liste_Handelsünger[Handelsdünger],_xlfn.AGGREGATE(15,6,(ROW(Liste_Handelsünger[Handelsdünger])-1)/(--(SEARCH(AZ$2,Liste_Handelsünger[Handelsdünger])&gt;0)),ROW()-2),1),"")</f>
        <v>Biplantol X2 forte</v>
      </c>
      <c r="AZ193" t="str">
        <f>IF(($A201=""),"",IF(COUNTIF(Mineral!$AJ$3:$AJ$324,$A201),"",$A201))</f>
        <v/>
      </c>
      <c r="BA193" t="str">
        <f>IFERROR(INDEX(Liste_Handelsünger[Handelsdünger],_xlfn.AGGREGATE(15,6,(ROW(Liste_Handelsünger[Handelsdünger])-1)/(--(SEARCH(BB$2,Liste_Handelsünger[Handelsdünger])&gt;0)),ROW()-2),1),"")</f>
        <v>Biplantol X2 forte</v>
      </c>
      <c r="BB193" t="str">
        <f>IF(($A202=""),"",IF(COUNTIF(Mineral!$AJ$3:$AJ$324,$A202),"",$A202))</f>
        <v/>
      </c>
      <c r="BC193" t="str">
        <f>IFERROR(INDEX(Liste_Handelsünger[Handelsdünger],_xlfn.AGGREGATE(15,6,(ROW(Liste_Handelsünger[Handelsdünger])-1)/(--(SEARCH(BD$2,Liste_Handelsünger[Handelsdünger])&gt;0)),ROW()-2),1),"")</f>
        <v>Biplantol X2 forte</v>
      </c>
      <c r="BD193" t="str">
        <f>IF(($A203=""),"",IF(COUNTIF(Mineral!$AJ$3:$AJ$324,$A203),"",$A203))</f>
        <v/>
      </c>
      <c r="BE193" t="str">
        <f>IFERROR(INDEX(Liste_Handelsünger[Handelsdünger],_xlfn.AGGREGATE(15,6,(ROW(Liste_Handelsünger[Handelsdünger])-1)/(--(SEARCH(BF$2,Liste_Handelsünger[Handelsdünger])&gt;0)),ROW()-2),1),"")</f>
        <v>Biplantol X2 forte</v>
      </c>
      <c r="BF193" t="str">
        <f>IF(($A204=""),"",IF(COUNTIF(Mineral!$AJ$3:$AJ$324,$A204),"",$A204))</f>
        <v/>
      </c>
      <c r="BG193" t="str">
        <f>IFERROR(INDEX(Liste_Handelsünger[Handelsdünger],_xlfn.AGGREGATE(15,6,(ROW(Liste_Handelsünger[Handelsdünger])-1)/(--(SEARCH(BH$2,Liste_Handelsünger[Handelsdünger])&gt;0)),ROW()-2),1),"")</f>
        <v>Biplantol X2 forte</v>
      </c>
      <c r="BH193" t="str">
        <f>IF(($A205=""),"",IF(COUNTIF(Mineral!$AJ$3:$AJ$324,$A205),"",$A205))</f>
        <v/>
      </c>
      <c r="BI193" t="str">
        <f>IFERROR(INDEX(Liste_Handelsünger[Handelsdünger],_xlfn.AGGREGATE(15,6,(ROW(Liste_Handelsünger[Handelsdünger])-1)/(--(SEARCH(BJ$2,Liste_Handelsünger[Handelsdünger])&gt;0)),ROW()-2),1),"")</f>
        <v>Biplantol X2 forte</v>
      </c>
      <c r="BJ193" t="str">
        <f>IF(($A206=""),"",IF(COUNTIF(Mineral!$AJ$3:$AJ$324,$A206),"",$A206))</f>
        <v/>
      </c>
      <c r="BK193" t="str">
        <f>IFERROR(INDEX(Liste_Handelsünger[Handelsdünger],_xlfn.AGGREGATE(15,6,(ROW(Liste_Handelsünger[Handelsdünger])-1)/(--(SEARCH(BL$2,Liste_Handelsünger[Handelsdünger])&gt;0)),ROW()-2),1),"")</f>
        <v>Biplantol X2 forte</v>
      </c>
      <c r="BM193" t="str">
        <f>IFERROR(INDEX(Liste_Handelsünger[Handelsdünger],_xlfn.AGGREGATE(15,6,(ROW(Liste_Handelsünger[Handelsdünger])-1)/(--(SEARCH(BN$2,Liste_Handelsünger[Handelsdünger])&gt;0)),ROW()-2),1),"")</f>
        <v>Biplantol X2 forte</v>
      </c>
      <c r="BN193" t="str">
        <f>IF(($A208=""),"",IF(COUNTIF(Mineral!$AJ$3:$AJ$324,$A208),"",$A208))</f>
        <v/>
      </c>
      <c r="BV193" t="s">
        <v>2070</v>
      </c>
      <c r="BW193" t="s">
        <v>2170</v>
      </c>
      <c r="BZ193" s="1602"/>
      <c r="CA193" s="1602"/>
      <c r="CB193" s="1602"/>
    </row>
    <row r="194" spans="19:80" ht="14.25" thickTop="1" thickBot="1">
      <c r="S194" s="1676">
        <v>193</v>
      </c>
      <c r="T194" s="1606" t="s">
        <v>2006</v>
      </c>
      <c r="U194" s="1606" t="s">
        <v>2072</v>
      </c>
      <c r="V194" s="1606" t="s">
        <v>408</v>
      </c>
      <c r="W194" s="1606">
        <v>0</v>
      </c>
      <c r="X194" s="1606">
        <v>0</v>
      </c>
      <c r="Y194" s="1606">
        <v>0</v>
      </c>
      <c r="Z194" s="1606">
        <v>0</v>
      </c>
      <c r="AA194" s="1606">
        <v>0</v>
      </c>
      <c r="AB194" s="1606">
        <v>0</v>
      </c>
      <c r="AC194" s="1606">
        <v>1</v>
      </c>
      <c r="AD194" s="1613">
        <v>1</v>
      </c>
      <c r="AE194" s="1606" t="s">
        <v>1764</v>
      </c>
      <c r="AF194" s="1613" t="str">
        <f t="shared" si="17"/>
        <v/>
      </c>
      <c r="AG194" s="1656">
        <f>IFERROR(IF($AF194&gt;0,VLOOKUP($U194,Tabelle1!$C$188:$L$212,5,0)*$AF194,0),0)</f>
        <v>0</v>
      </c>
      <c r="AH194" s="1656">
        <f t="shared" si="18"/>
        <v>0</v>
      </c>
      <c r="AJ194" t="str">
        <f>IF(Betrieb!$D$9="JA",Mineral!$BW194,Mineral!$BV194)</f>
        <v>Borax 10% Bor</v>
      </c>
      <c r="AK194" s="1672" t="str">
        <f>IFERROR(INDEX(Liste_Handelsünger[Handelsdünger],_xlfn.AGGREGATE(15,6,(ROW(Liste_Handelsünger[Handelsdünger])-1)/(--(SEARCH(AL$2,Liste_Handelsünger[Handelsdünger])&gt;0)),ROW()-2),1),"")</f>
        <v>Borax 10% Bor</v>
      </c>
      <c r="AL194" s="1672" t="str">
        <f>IF(($A$3=""),"",IF(COUNTIF(Mineral!$AJ$3:$AJ$324,$A$3),"",$A$3))</f>
        <v/>
      </c>
      <c r="AM194" s="1672" t="str">
        <f>IFERROR(INDEX(Liste_Handelsünger[Handelsdünger],_xlfn.AGGREGATE(15,6,(ROW(Liste_Handelsünger[Handelsdünger])-1)/(--(SEARCH(AN$2,Liste_Handelsünger[Handelsdünger])&gt;0)),ROW()-2),1),"")</f>
        <v>Borax 10% Bor</v>
      </c>
      <c r="AN194" t="str">
        <f>IF(($A196=""),"",IF(COUNTIF(Mineral!$AJ$3:$AJ$324,$A196),"",$A196))</f>
        <v/>
      </c>
      <c r="AO194" t="str">
        <f>IFERROR(INDEX(Liste_Handelsünger[Handelsdünger],_xlfn.AGGREGATE(15,6,(ROW(Liste_Handelsünger[Handelsdünger])-1)/(--(SEARCH(AP$2,Liste_Handelsünger[Handelsdünger])&gt;0)),ROW()-2),1),"")</f>
        <v>Borax 10% Bor</v>
      </c>
      <c r="AP194" t="str">
        <f>IF(($A197=""),"",IF(COUNTIF(Mineral!$AJ$3:$AJ$324,$A197),"",$A197))</f>
        <v/>
      </c>
      <c r="AQ194" t="str">
        <f>IFERROR(INDEX(Liste_Handelsünger[Handelsdünger],_xlfn.AGGREGATE(15,6,(ROW(Liste_Handelsünger[Handelsdünger])-1)/(--(SEARCH(AR$2,Liste_Handelsünger[Handelsdünger])&gt;0)),ROW()-2),1),"")</f>
        <v>Borax 10% Bor</v>
      </c>
      <c r="AR194" t="str">
        <f>IF(($A198=""),"",IF(COUNTIF(Mineral!$AJ$3:$AJ$324,$A198),"",$A198))</f>
        <v/>
      </c>
      <c r="AS194" t="str">
        <f>IFERROR(INDEX(Liste_Handelsünger[Handelsdünger],_xlfn.AGGREGATE(15,6,(ROW(Liste_Handelsünger[Handelsdünger])-1)/(--(SEARCH(AT$2,Liste_Handelsünger[Handelsdünger])&gt;0)),ROW()-2),1),"")</f>
        <v>Borax 10% Bor</v>
      </c>
      <c r="AT194" t="str">
        <f>IF(($A199=""),"",IF(COUNTIF(Mineral!$AJ$3:$AJ$324,$A199),"",$A199))</f>
        <v/>
      </c>
      <c r="AU194" t="str">
        <f>IFERROR(INDEX(Liste_Handelsünger[Handelsdünger],_xlfn.AGGREGATE(15,6,(ROW(Liste_Handelsünger[Handelsdünger])-1)/(--(SEARCH(AV$2,Liste_Handelsünger[Handelsdünger])&gt;0)),ROW()-2),1),"")</f>
        <v>Borax 10% Bor</v>
      </c>
      <c r="AV194" t="str">
        <f>IF(($A200=""),"",IF(COUNTIF(Mineral!$AJ$3:$AJ$324,$A200),"",$A200))</f>
        <v/>
      </c>
      <c r="AW194" t="str">
        <f>IFERROR(INDEX(Liste_Handelsünger[Handelsdünger],_xlfn.AGGREGATE(15,6,(ROW(Liste_Handelsünger[Handelsdünger])-1)/(--(SEARCH(AX$2,Liste_Handelsünger[Handelsdünger])&gt;0)),ROW()-2),1),"")</f>
        <v>Borax 10% Bor</v>
      </c>
      <c r="AX194" t="str">
        <f>IF(($A201=""),"",IF(COUNTIF(Mineral!$AJ$3:$AJ$324,$A201),"",$A201))</f>
        <v/>
      </c>
      <c r="AY194" t="str">
        <f>IFERROR(INDEX(Liste_Handelsünger[Handelsdünger],_xlfn.AGGREGATE(15,6,(ROW(Liste_Handelsünger[Handelsdünger])-1)/(--(SEARCH(AZ$2,Liste_Handelsünger[Handelsdünger])&gt;0)),ROW()-2),1),"")</f>
        <v>Borax 10% Bor</v>
      </c>
      <c r="AZ194" t="str">
        <f>IF(($A202=""),"",IF(COUNTIF(Mineral!$AJ$3:$AJ$324,$A202),"",$A202))</f>
        <v/>
      </c>
      <c r="BA194" t="str">
        <f>IFERROR(INDEX(Liste_Handelsünger[Handelsdünger],_xlfn.AGGREGATE(15,6,(ROW(Liste_Handelsünger[Handelsdünger])-1)/(--(SEARCH(BB$2,Liste_Handelsünger[Handelsdünger])&gt;0)),ROW()-2),1),"")</f>
        <v>Borax 10% Bor</v>
      </c>
      <c r="BB194" t="str">
        <f>IF(($A203=""),"",IF(COUNTIF(Mineral!$AJ$3:$AJ$324,$A203),"",$A203))</f>
        <v/>
      </c>
      <c r="BC194" t="str">
        <f>IFERROR(INDEX(Liste_Handelsünger[Handelsdünger],_xlfn.AGGREGATE(15,6,(ROW(Liste_Handelsünger[Handelsdünger])-1)/(--(SEARCH(BD$2,Liste_Handelsünger[Handelsdünger])&gt;0)),ROW()-2),1),"")</f>
        <v>Borax 10% Bor</v>
      </c>
      <c r="BD194" t="str">
        <f>IF(($A204=""),"",IF(COUNTIF(Mineral!$AJ$3:$AJ$324,$A204),"",$A204))</f>
        <v/>
      </c>
      <c r="BE194" t="str">
        <f>IFERROR(INDEX(Liste_Handelsünger[Handelsdünger],_xlfn.AGGREGATE(15,6,(ROW(Liste_Handelsünger[Handelsdünger])-1)/(--(SEARCH(BF$2,Liste_Handelsünger[Handelsdünger])&gt;0)),ROW()-2),1),"")</f>
        <v>Borax 10% Bor</v>
      </c>
      <c r="BF194" t="str">
        <f>IF(($A205=""),"",IF(COUNTIF(Mineral!$AJ$3:$AJ$324,$A205),"",$A205))</f>
        <v/>
      </c>
      <c r="BG194" t="str">
        <f>IFERROR(INDEX(Liste_Handelsünger[Handelsdünger],_xlfn.AGGREGATE(15,6,(ROW(Liste_Handelsünger[Handelsdünger])-1)/(--(SEARCH(BH$2,Liste_Handelsünger[Handelsdünger])&gt;0)),ROW()-2),1),"")</f>
        <v>Borax 10% Bor</v>
      </c>
      <c r="BH194" t="str">
        <f>IF(($A206=""),"",IF(COUNTIF(Mineral!$AJ$3:$AJ$324,$A206),"",$A206))</f>
        <v/>
      </c>
      <c r="BI194" t="str">
        <f>IFERROR(INDEX(Liste_Handelsünger[Handelsdünger],_xlfn.AGGREGATE(15,6,(ROW(Liste_Handelsünger[Handelsdünger])-1)/(--(SEARCH(BJ$2,Liste_Handelsünger[Handelsdünger])&gt;0)),ROW()-2),1),"")</f>
        <v>Borax 10% Bor</v>
      </c>
      <c r="BJ194" t="str">
        <f>IF(($A207=""),"",IF(COUNTIF(Mineral!$AJ$3:$AJ$324,$A207),"",$A207))</f>
        <v/>
      </c>
      <c r="BK194" t="str">
        <f>IFERROR(INDEX(Liste_Handelsünger[Handelsdünger],_xlfn.AGGREGATE(15,6,(ROW(Liste_Handelsünger[Handelsdünger])-1)/(--(SEARCH(BL$2,Liste_Handelsünger[Handelsdünger])&gt;0)),ROW()-2),1),"")</f>
        <v>Borax 10% Bor</v>
      </c>
      <c r="BM194" t="str">
        <f>IFERROR(INDEX(Liste_Handelsünger[Handelsdünger],_xlfn.AGGREGATE(15,6,(ROW(Liste_Handelsünger[Handelsdünger])-1)/(--(SEARCH(BN$2,Liste_Handelsünger[Handelsdünger])&gt;0)),ROW()-2),1),"")</f>
        <v>Borax 10% Bor</v>
      </c>
      <c r="BN194" t="str">
        <f>IF(($A209=""),"",IF(COUNTIF(Mineral!$AJ$3:$AJ$324,$A209),"",$A209))</f>
        <v/>
      </c>
      <c r="BV194" t="s">
        <v>2072</v>
      </c>
      <c r="BW194" t="s">
        <v>2169</v>
      </c>
      <c r="BZ194" s="1602"/>
      <c r="CA194" s="1602"/>
      <c r="CB194" s="1602"/>
    </row>
    <row r="195" spans="19:80" ht="14.25" thickTop="1" thickBot="1">
      <c r="S195" s="1616">
        <v>194</v>
      </c>
      <c r="T195" s="1617" t="s">
        <v>2006</v>
      </c>
      <c r="U195" s="1617" t="s">
        <v>2073</v>
      </c>
      <c r="V195" s="1617" t="s">
        <v>408</v>
      </c>
      <c r="W195" s="1617">
        <v>0</v>
      </c>
      <c r="X195" s="1617">
        <v>0</v>
      </c>
      <c r="Y195" s="1617">
        <v>0</v>
      </c>
      <c r="Z195" s="1617">
        <v>0</v>
      </c>
      <c r="AA195" s="1617">
        <v>0</v>
      </c>
      <c r="AB195" s="1617">
        <v>0</v>
      </c>
      <c r="AC195" s="1617">
        <v>1</v>
      </c>
      <c r="AD195" s="1613">
        <v>1</v>
      </c>
      <c r="AE195" s="1617" t="s">
        <v>1764</v>
      </c>
      <c r="AF195" s="1613" t="str">
        <f t="shared" si="17"/>
        <v/>
      </c>
      <c r="AG195" s="1656">
        <f>IFERROR(IF($AF195&gt;0,VLOOKUP($U195,Tabelle1!$C$188:$L$212,5,0)*$AF195,0),0)</f>
        <v>0</v>
      </c>
      <c r="AH195" s="1656">
        <f t="shared" si="18"/>
        <v>0</v>
      </c>
      <c r="AJ195" t="str">
        <f>IF(Betrieb!$D$9="JA",Mineral!$BW195,Mineral!$BV195)</f>
        <v>Bor-Max</v>
      </c>
      <c r="AK195" s="1672" t="str">
        <f>IFERROR(INDEX(Liste_Handelsünger[Handelsdünger],_xlfn.AGGREGATE(15,6,(ROW(Liste_Handelsünger[Handelsdünger])-1)/(--(SEARCH(AL$2,Liste_Handelsünger[Handelsdünger])&gt;0)),ROW()-2),1),"")</f>
        <v>Bor-Max</v>
      </c>
      <c r="AL195" s="1672" t="str">
        <f>IF(($A$3=""),"",IF(COUNTIF(Mineral!$AJ$3:$AJ$324,$A$3),"",$A$3))</f>
        <v/>
      </c>
      <c r="AM195" s="1672" t="str">
        <f>IFERROR(INDEX(Liste_Handelsünger[Handelsdünger],_xlfn.AGGREGATE(15,6,(ROW(Liste_Handelsünger[Handelsdünger])-1)/(--(SEARCH(AN$2,Liste_Handelsünger[Handelsdünger])&gt;0)),ROW()-2),1),"")</f>
        <v>Bor-Max</v>
      </c>
      <c r="AN195" t="str">
        <f>IF(($A197=""),"",IF(COUNTIF(Mineral!$AJ$3:$AJ$324,$A197),"",$A197))</f>
        <v/>
      </c>
      <c r="AO195" t="str">
        <f>IFERROR(INDEX(Liste_Handelsünger[Handelsdünger],_xlfn.AGGREGATE(15,6,(ROW(Liste_Handelsünger[Handelsdünger])-1)/(--(SEARCH(AP$2,Liste_Handelsünger[Handelsdünger])&gt;0)),ROW()-2),1),"")</f>
        <v>Bor-Max</v>
      </c>
      <c r="AP195" t="str">
        <f>IF(($A198=""),"",IF(COUNTIF(Mineral!$AJ$3:$AJ$324,$A198),"",$A198))</f>
        <v/>
      </c>
      <c r="AQ195" t="str">
        <f>IFERROR(INDEX(Liste_Handelsünger[Handelsdünger],_xlfn.AGGREGATE(15,6,(ROW(Liste_Handelsünger[Handelsdünger])-1)/(--(SEARCH(AR$2,Liste_Handelsünger[Handelsdünger])&gt;0)),ROW()-2),1),"")</f>
        <v>Bor-Max</v>
      </c>
      <c r="AR195" t="str">
        <f>IF(($A199=""),"",IF(COUNTIF(Mineral!$AJ$3:$AJ$324,$A199),"",$A199))</f>
        <v/>
      </c>
      <c r="AS195" t="str">
        <f>IFERROR(INDEX(Liste_Handelsünger[Handelsdünger],_xlfn.AGGREGATE(15,6,(ROW(Liste_Handelsünger[Handelsdünger])-1)/(--(SEARCH(AT$2,Liste_Handelsünger[Handelsdünger])&gt;0)),ROW()-2),1),"")</f>
        <v>Bor-Max</v>
      </c>
      <c r="AT195" t="str">
        <f>IF(($A200=""),"",IF(COUNTIF(Mineral!$AJ$3:$AJ$324,$A200),"",$A200))</f>
        <v/>
      </c>
      <c r="AU195" t="str">
        <f>IFERROR(INDEX(Liste_Handelsünger[Handelsdünger],_xlfn.AGGREGATE(15,6,(ROW(Liste_Handelsünger[Handelsdünger])-1)/(--(SEARCH(AV$2,Liste_Handelsünger[Handelsdünger])&gt;0)),ROW()-2),1),"")</f>
        <v>Bor-Max</v>
      </c>
      <c r="AV195" t="str">
        <f>IF(($A201=""),"",IF(COUNTIF(Mineral!$AJ$3:$AJ$324,$A201),"",$A201))</f>
        <v/>
      </c>
      <c r="AW195" t="str">
        <f>IFERROR(INDEX(Liste_Handelsünger[Handelsdünger],_xlfn.AGGREGATE(15,6,(ROW(Liste_Handelsünger[Handelsdünger])-1)/(--(SEARCH(AX$2,Liste_Handelsünger[Handelsdünger])&gt;0)),ROW()-2),1),"")</f>
        <v>Bor-Max</v>
      </c>
      <c r="AX195" t="str">
        <f>IF(($A202=""),"",IF(COUNTIF(Mineral!$AJ$3:$AJ$324,$A202),"",$A202))</f>
        <v/>
      </c>
      <c r="AY195" t="str">
        <f>IFERROR(INDEX(Liste_Handelsünger[Handelsdünger],_xlfn.AGGREGATE(15,6,(ROW(Liste_Handelsünger[Handelsdünger])-1)/(--(SEARCH(AZ$2,Liste_Handelsünger[Handelsdünger])&gt;0)),ROW()-2),1),"")</f>
        <v>Bor-Max</v>
      </c>
      <c r="AZ195" t="str">
        <f>IF(($A203=""),"",IF(COUNTIF(Mineral!$AJ$3:$AJ$324,$A203),"",$A203))</f>
        <v/>
      </c>
      <c r="BA195" t="str">
        <f>IFERROR(INDEX(Liste_Handelsünger[Handelsdünger],_xlfn.AGGREGATE(15,6,(ROW(Liste_Handelsünger[Handelsdünger])-1)/(--(SEARCH(BB$2,Liste_Handelsünger[Handelsdünger])&gt;0)),ROW()-2),1),"")</f>
        <v>Bor-Max</v>
      </c>
      <c r="BB195" t="str">
        <f>IF(($A204=""),"",IF(COUNTIF(Mineral!$AJ$3:$AJ$324,$A204),"",$A204))</f>
        <v/>
      </c>
      <c r="BC195" t="str">
        <f>IFERROR(INDEX(Liste_Handelsünger[Handelsdünger],_xlfn.AGGREGATE(15,6,(ROW(Liste_Handelsünger[Handelsdünger])-1)/(--(SEARCH(BD$2,Liste_Handelsünger[Handelsdünger])&gt;0)),ROW()-2),1),"")</f>
        <v>Bor-Max</v>
      </c>
      <c r="BD195" t="str">
        <f>IF(($A205=""),"",IF(COUNTIF(Mineral!$AJ$3:$AJ$324,$A205),"",$A205))</f>
        <v/>
      </c>
      <c r="BE195" t="str">
        <f>IFERROR(INDEX(Liste_Handelsünger[Handelsdünger],_xlfn.AGGREGATE(15,6,(ROW(Liste_Handelsünger[Handelsdünger])-1)/(--(SEARCH(BF$2,Liste_Handelsünger[Handelsdünger])&gt;0)),ROW()-2),1),"")</f>
        <v>Bor-Max</v>
      </c>
      <c r="BF195" t="str">
        <f>IF(($A206=""),"",IF(COUNTIF(Mineral!$AJ$3:$AJ$324,$A206),"",$A206))</f>
        <v/>
      </c>
      <c r="BG195" t="str">
        <f>IFERROR(INDEX(Liste_Handelsünger[Handelsdünger],_xlfn.AGGREGATE(15,6,(ROW(Liste_Handelsünger[Handelsdünger])-1)/(--(SEARCH(BH$2,Liste_Handelsünger[Handelsdünger])&gt;0)),ROW()-2),1),"")</f>
        <v>Bor-Max</v>
      </c>
      <c r="BH195" t="str">
        <f>IF(($A207=""),"",IF(COUNTIF(Mineral!$AJ$3:$AJ$324,$A207),"",$A207))</f>
        <v/>
      </c>
      <c r="BI195" t="str">
        <f>IFERROR(INDEX(Liste_Handelsünger[Handelsdünger],_xlfn.AGGREGATE(15,6,(ROW(Liste_Handelsünger[Handelsdünger])-1)/(--(SEARCH(BJ$2,Liste_Handelsünger[Handelsdünger])&gt;0)),ROW()-2),1),"")</f>
        <v>Bor-Max</v>
      </c>
      <c r="BJ195" t="str">
        <f>IF(($A208=""),"",IF(COUNTIF(Mineral!$AJ$3:$AJ$324,$A208),"",$A208))</f>
        <v/>
      </c>
      <c r="BK195" t="str">
        <f>IFERROR(INDEX(Liste_Handelsünger[Handelsdünger],_xlfn.AGGREGATE(15,6,(ROW(Liste_Handelsünger[Handelsdünger])-1)/(--(SEARCH(BL$2,Liste_Handelsünger[Handelsdünger])&gt;0)),ROW()-2),1),"")</f>
        <v>Bor-Max</v>
      </c>
      <c r="BM195" t="str">
        <f>IFERROR(INDEX(Liste_Handelsünger[Handelsdünger],_xlfn.AGGREGATE(15,6,(ROW(Liste_Handelsünger[Handelsdünger])-1)/(--(SEARCH(BN$2,Liste_Handelsünger[Handelsdünger])&gt;0)),ROW()-2),1),"")</f>
        <v>Bor-Max</v>
      </c>
      <c r="BN195" t="str">
        <f>IF(($A210=""),"",IF(COUNTIF(Mineral!$AJ$3:$AJ$324,$A210),"",$A210))</f>
        <v/>
      </c>
      <c r="BV195" t="s">
        <v>2073</v>
      </c>
      <c r="BW195" t="s">
        <v>2119</v>
      </c>
      <c r="BZ195" s="1602"/>
      <c r="CA195" s="1602"/>
      <c r="CB195" s="1602"/>
    </row>
    <row r="196" spans="19:80" ht="14.25" thickTop="1" thickBot="1">
      <c r="S196" s="1676">
        <v>195</v>
      </c>
      <c r="T196" s="1606" t="s">
        <v>2006</v>
      </c>
      <c r="U196" s="1606" t="s">
        <v>2076</v>
      </c>
      <c r="V196" s="1606" t="s">
        <v>408</v>
      </c>
      <c r="W196" s="1606">
        <v>0</v>
      </c>
      <c r="X196" s="1606">
        <v>0</v>
      </c>
      <c r="Y196" s="1606">
        <v>0</v>
      </c>
      <c r="Z196" s="1606">
        <v>0</v>
      </c>
      <c r="AA196" s="1606">
        <v>0</v>
      </c>
      <c r="AB196" s="1606">
        <v>0</v>
      </c>
      <c r="AC196" s="1606">
        <v>1</v>
      </c>
      <c r="AD196" s="1613">
        <v>1</v>
      </c>
      <c r="AE196" s="1606" t="s">
        <v>1764</v>
      </c>
      <c r="AF196" s="1613" t="str">
        <f t="shared" ref="AF196:AF259" si="19">IFERROR(IF(VLOOKUP($U196,$A$3:$L$27,1,0)=$U196,VLOOKUP($U196,$A$3:$L$27,3,0),""),"")</f>
        <v/>
      </c>
      <c r="AG196" s="1656">
        <f>IFERROR(IF($AF196&gt;0,VLOOKUP($U196,Tabelle1!$C$188:$L$212,5,0)*$AF196,0),0)</f>
        <v>0</v>
      </c>
      <c r="AH196" s="1656">
        <f t="shared" ref="AH196:AH259" si="20">IFERROR(IF($AF196&gt;0,$AG196*$AC196,0),0)</f>
        <v>0</v>
      </c>
      <c r="AJ196" t="str">
        <f>IF(Betrieb!$D$9="JA",Mineral!$BW196,Mineral!$BV196)</f>
        <v>Carbo-Eco Fe</v>
      </c>
      <c r="AK196" s="1672" t="str">
        <f>IFERROR(INDEX(Liste_Handelsünger[Handelsdünger],_xlfn.AGGREGATE(15,6,(ROW(Liste_Handelsünger[Handelsdünger])-1)/(--(SEARCH(AL$2,Liste_Handelsünger[Handelsdünger])&gt;0)),ROW()-2),1),"")</f>
        <v>Carbo-Eco Fe</v>
      </c>
      <c r="AL196" s="1672" t="str">
        <f>IF(($A$3=""),"",IF(COUNTIF(Mineral!$AJ$3:$AJ$324,$A$3),"",$A$3))</f>
        <v/>
      </c>
      <c r="AM196" s="1672" t="str">
        <f>IFERROR(INDEX(Liste_Handelsünger[Handelsdünger],_xlfn.AGGREGATE(15,6,(ROW(Liste_Handelsünger[Handelsdünger])-1)/(--(SEARCH(AN$2,Liste_Handelsünger[Handelsdünger])&gt;0)),ROW()-2),1),"")</f>
        <v>Carbo-Eco Fe</v>
      </c>
      <c r="AN196" t="str">
        <f>IF(($A198=""),"",IF(COUNTIF(Mineral!$AJ$3:$AJ$324,$A198),"",$A198))</f>
        <v/>
      </c>
      <c r="AO196" t="str">
        <f>IFERROR(INDEX(Liste_Handelsünger[Handelsdünger],_xlfn.AGGREGATE(15,6,(ROW(Liste_Handelsünger[Handelsdünger])-1)/(--(SEARCH(AP$2,Liste_Handelsünger[Handelsdünger])&gt;0)),ROW()-2),1),"")</f>
        <v>Carbo-Eco Fe</v>
      </c>
      <c r="AP196" t="str">
        <f>IF(($A199=""),"",IF(COUNTIF(Mineral!$AJ$3:$AJ$324,$A199),"",$A199))</f>
        <v/>
      </c>
      <c r="AQ196" t="str">
        <f>IFERROR(INDEX(Liste_Handelsünger[Handelsdünger],_xlfn.AGGREGATE(15,6,(ROW(Liste_Handelsünger[Handelsdünger])-1)/(--(SEARCH(AR$2,Liste_Handelsünger[Handelsdünger])&gt;0)),ROW()-2),1),"")</f>
        <v>Carbo-Eco Fe</v>
      </c>
      <c r="AR196" t="str">
        <f>IF(($A200=""),"",IF(COUNTIF(Mineral!$AJ$3:$AJ$324,$A200),"",$A200))</f>
        <v/>
      </c>
      <c r="AS196" t="str">
        <f>IFERROR(INDEX(Liste_Handelsünger[Handelsdünger],_xlfn.AGGREGATE(15,6,(ROW(Liste_Handelsünger[Handelsdünger])-1)/(--(SEARCH(AT$2,Liste_Handelsünger[Handelsdünger])&gt;0)),ROW()-2),1),"")</f>
        <v>Carbo-Eco Fe</v>
      </c>
      <c r="AT196" t="str">
        <f>IF(($A201=""),"",IF(COUNTIF(Mineral!$AJ$3:$AJ$324,$A201),"",$A201))</f>
        <v/>
      </c>
      <c r="AU196" t="str">
        <f>IFERROR(INDEX(Liste_Handelsünger[Handelsdünger],_xlfn.AGGREGATE(15,6,(ROW(Liste_Handelsünger[Handelsdünger])-1)/(--(SEARCH(AV$2,Liste_Handelsünger[Handelsdünger])&gt;0)),ROW()-2),1),"")</f>
        <v>Carbo-Eco Fe</v>
      </c>
      <c r="AV196" t="str">
        <f>IF(($A202=""),"",IF(COUNTIF(Mineral!$AJ$3:$AJ$324,$A202),"",$A202))</f>
        <v/>
      </c>
      <c r="AW196" t="str">
        <f>IFERROR(INDEX(Liste_Handelsünger[Handelsdünger],_xlfn.AGGREGATE(15,6,(ROW(Liste_Handelsünger[Handelsdünger])-1)/(--(SEARCH(AX$2,Liste_Handelsünger[Handelsdünger])&gt;0)),ROW()-2),1),"")</f>
        <v>Carbo-Eco Fe</v>
      </c>
      <c r="AX196" t="str">
        <f>IF(($A203=""),"",IF(COUNTIF(Mineral!$AJ$3:$AJ$324,$A203),"",$A203))</f>
        <v/>
      </c>
      <c r="AY196" t="str">
        <f>IFERROR(INDEX(Liste_Handelsünger[Handelsdünger],_xlfn.AGGREGATE(15,6,(ROW(Liste_Handelsünger[Handelsdünger])-1)/(--(SEARCH(AZ$2,Liste_Handelsünger[Handelsdünger])&gt;0)),ROW()-2),1),"")</f>
        <v>Carbo-Eco Fe</v>
      </c>
      <c r="AZ196" t="str">
        <f>IF(($A204=""),"",IF(COUNTIF(Mineral!$AJ$3:$AJ$324,$A204),"",$A204))</f>
        <v/>
      </c>
      <c r="BA196" t="str">
        <f>IFERROR(INDEX(Liste_Handelsünger[Handelsdünger],_xlfn.AGGREGATE(15,6,(ROW(Liste_Handelsünger[Handelsdünger])-1)/(--(SEARCH(BB$2,Liste_Handelsünger[Handelsdünger])&gt;0)),ROW()-2),1),"")</f>
        <v>Carbo-Eco Fe</v>
      </c>
      <c r="BB196" t="str">
        <f>IF(($A205=""),"",IF(COUNTIF(Mineral!$AJ$3:$AJ$324,$A205),"",$A205))</f>
        <v/>
      </c>
      <c r="BC196" t="str">
        <f>IFERROR(INDEX(Liste_Handelsünger[Handelsdünger],_xlfn.AGGREGATE(15,6,(ROW(Liste_Handelsünger[Handelsdünger])-1)/(--(SEARCH(BD$2,Liste_Handelsünger[Handelsdünger])&gt;0)),ROW()-2),1),"")</f>
        <v>Carbo-Eco Fe</v>
      </c>
      <c r="BD196" t="str">
        <f>IF(($A206=""),"",IF(COUNTIF(Mineral!$AJ$3:$AJ$324,$A206),"",$A206))</f>
        <v/>
      </c>
      <c r="BE196" t="str">
        <f>IFERROR(INDEX(Liste_Handelsünger[Handelsdünger],_xlfn.AGGREGATE(15,6,(ROW(Liste_Handelsünger[Handelsdünger])-1)/(--(SEARCH(BF$2,Liste_Handelsünger[Handelsdünger])&gt;0)),ROW()-2),1),"")</f>
        <v>Carbo-Eco Fe</v>
      </c>
      <c r="BF196" t="str">
        <f>IF(($A207=""),"",IF(COUNTIF(Mineral!$AJ$3:$AJ$324,$A207),"",$A207))</f>
        <v/>
      </c>
      <c r="BG196" t="str">
        <f>IFERROR(INDEX(Liste_Handelsünger[Handelsdünger],_xlfn.AGGREGATE(15,6,(ROW(Liste_Handelsünger[Handelsdünger])-1)/(--(SEARCH(BH$2,Liste_Handelsünger[Handelsdünger])&gt;0)),ROW()-2),1),"")</f>
        <v>Carbo-Eco Fe</v>
      </c>
      <c r="BH196" t="str">
        <f>IF(($A208=""),"",IF(COUNTIF(Mineral!$AJ$3:$AJ$324,$A208),"",$A208))</f>
        <v/>
      </c>
      <c r="BI196" t="str">
        <f>IFERROR(INDEX(Liste_Handelsünger[Handelsdünger],_xlfn.AGGREGATE(15,6,(ROW(Liste_Handelsünger[Handelsdünger])-1)/(--(SEARCH(BJ$2,Liste_Handelsünger[Handelsdünger])&gt;0)),ROW()-2),1),"")</f>
        <v>Carbo-Eco Fe</v>
      </c>
      <c r="BJ196" t="str">
        <f>IF(($A209=""),"",IF(COUNTIF(Mineral!$AJ$3:$AJ$324,$A209),"",$A209))</f>
        <v/>
      </c>
      <c r="BK196" t="str">
        <f>IFERROR(INDEX(Liste_Handelsünger[Handelsdünger],_xlfn.AGGREGATE(15,6,(ROW(Liste_Handelsünger[Handelsdünger])-1)/(--(SEARCH(BL$2,Liste_Handelsünger[Handelsdünger])&gt;0)),ROW()-2),1),"")</f>
        <v>Carbo-Eco Fe</v>
      </c>
      <c r="BM196" t="str">
        <f>IFERROR(INDEX(Liste_Handelsünger[Handelsdünger],_xlfn.AGGREGATE(15,6,(ROW(Liste_Handelsünger[Handelsdünger])-1)/(--(SEARCH(BN$2,Liste_Handelsünger[Handelsdünger])&gt;0)),ROW()-2),1),"")</f>
        <v>Carbo-Eco Fe</v>
      </c>
      <c r="BN196" t="str">
        <f>IF(($A211=""),"",IF(COUNTIF(Mineral!$AJ$3:$AJ$324,$A211),"",$A211))</f>
        <v/>
      </c>
      <c r="BV196" t="s">
        <v>2076</v>
      </c>
      <c r="BW196" t="s">
        <v>2095</v>
      </c>
      <c r="BZ196" s="1602"/>
      <c r="CA196" s="1602"/>
      <c r="CB196" s="1602"/>
    </row>
    <row r="197" spans="19:80" ht="14.25" thickTop="1" thickBot="1">
      <c r="S197" s="1616">
        <v>196</v>
      </c>
      <c r="T197" s="1617" t="s">
        <v>2006</v>
      </c>
      <c r="U197" s="1617" t="s">
        <v>2077</v>
      </c>
      <c r="V197" s="1617" t="s">
        <v>408</v>
      </c>
      <c r="W197" s="1617">
        <v>0</v>
      </c>
      <c r="X197" s="1617">
        <v>0</v>
      </c>
      <c r="Y197" s="1617">
        <v>0</v>
      </c>
      <c r="Z197" s="1617"/>
      <c r="AA197" s="1617">
        <v>0</v>
      </c>
      <c r="AB197" s="1617">
        <v>0</v>
      </c>
      <c r="AC197" s="1617">
        <v>1</v>
      </c>
      <c r="AD197" s="1613">
        <v>1</v>
      </c>
      <c r="AE197" s="1617" t="s">
        <v>1764</v>
      </c>
      <c r="AF197" s="1613" t="str">
        <f t="shared" si="19"/>
        <v/>
      </c>
      <c r="AG197" s="1656">
        <f>IFERROR(IF($AF197&gt;0,VLOOKUP($U197,Tabelle1!$C$188:$L$212,5,0)*$AF197,0),0)</f>
        <v>0</v>
      </c>
      <c r="AH197" s="1656">
        <f t="shared" si="20"/>
        <v>0</v>
      </c>
      <c r="AJ197" t="str">
        <f>IF(Betrieb!$D$9="JA",Mineral!$BW197,Mineral!$BV197)</f>
        <v>Carbo-Eco Mn</v>
      </c>
      <c r="AK197" s="1672" t="str">
        <f>IFERROR(INDEX(Liste_Handelsünger[Handelsdünger],_xlfn.AGGREGATE(15,6,(ROW(Liste_Handelsünger[Handelsdünger])-1)/(--(SEARCH(AL$2,Liste_Handelsünger[Handelsdünger])&gt;0)),ROW()-2),1),"")</f>
        <v>Carbo-Eco Mn</v>
      </c>
      <c r="AL197" s="1672" t="str">
        <f>IF(($A$3=""),"",IF(COUNTIF(Mineral!$AJ$3:$AJ$324,$A$3),"",$A$3))</f>
        <v/>
      </c>
      <c r="AM197" s="1672" t="str">
        <f>IFERROR(INDEX(Liste_Handelsünger[Handelsdünger],_xlfn.AGGREGATE(15,6,(ROW(Liste_Handelsünger[Handelsdünger])-1)/(--(SEARCH(AN$2,Liste_Handelsünger[Handelsdünger])&gt;0)),ROW()-2),1),"")</f>
        <v>Carbo-Eco Mn</v>
      </c>
      <c r="AN197" t="str">
        <f>IF(($A199=""),"",IF(COUNTIF(Mineral!$AJ$3:$AJ$324,$A199),"",$A199))</f>
        <v/>
      </c>
      <c r="AO197" t="str">
        <f>IFERROR(INDEX(Liste_Handelsünger[Handelsdünger],_xlfn.AGGREGATE(15,6,(ROW(Liste_Handelsünger[Handelsdünger])-1)/(--(SEARCH(AP$2,Liste_Handelsünger[Handelsdünger])&gt;0)),ROW()-2),1),"")</f>
        <v>Carbo-Eco Mn</v>
      </c>
      <c r="AP197" t="str">
        <f>IF(($A200=""),"",IF(COUNTIF(Mineral!$AJ$3:$AJ$324,$A200),"",$A200))</f>
        <v/>
      </c>
      <c r="AQ197" t="str">
        <f>IFERROR(INDEX(Liste_Handelsünger[Handelsdünger],_xlfn.AGGREGATE(15,6,(ROW(Liste_Handelsünger[Handelsdünger])-1)/(--(SEARCH(AR$2,Liste_Handelsünger[Handelsdünger])&gt;0)),ROW()-2),1),"")</f>
        <v>Carbo-Eco Mn</v>
      </c>
      <c r="AR197" t="str">
        <f>IF(($A201=""),"",IF(COUNTIF(Mineral!$AJ$3:$AJ$324,$A201),"",$A201))</f>
        <v/>
      </c>
      <c r="AS197" t="str">
        <f>IFERROR(INDEX(Liste_Handelsünger[Handelsdünger],_xlfn.AGGREGATE(15,6,(ROW(Liste_Handelsünger[Handelsdünger])-1)/(--(SEARCH(AT$2,Liste_Handelsünger[Handelsdünger])&gt;0)),ROW()-2),1),"")</f>
        <v>Carbo-Eco Mn</v>
      </c>
      <c r="AT197" t="str">
        <f>IF(($A202=""),"",IF(COUNTIF(Mineral!$AJ$3:$AJ$324,$A202),"",$A202))</f>
        <v/>
      </c>
      <c r="AU197" t="str">
        <f>IFERROR(INDEX(Liste_Handelsünger[Handelsdünger],_xlfn.AGGREGATE(15,6,(ROW(Liste_Handelsünger[Handelsdünger])-1)/(--(SEARCH(AV$2,Liste_Handelsünger[Handelsdünger])&gt;0)),ROW()-2),1),"")</f>
        <v>Carbo-Eco Mn</v>
      </c>
      <c r="AV197" t="str">
        <f>IF(($A203=""),"",IF(COUNTIF(Mineral!$AJ$3:$AJ$324,$A203),"",$A203))</f>
        <v/>
      </c>
      <c r="AW197" t="str">
        <f>IFERROR(INDEX(Liste_Handelsünger[Handelsdünger],_xlfn.AGGREGATE(15,6,(ROW(Liste_Handelsünger[Handelsdünger])-1)/(--(SEARCH(AX$2,Liste_Handelsünger[Handelsdünger])&gt;0)),ROW()-2),1),"")</f>
        <v>Carbo-Eco Mn</v>
      </c>
      <c r="AX197" t="str">
        <f>IF(($A204=""),"",IF(COUNTIF(Mineral!$AJ$3:$AJ$324,$A204),"",$A204))</f>
        <v/>
      </c>
      <c r="AY197" t="str">
        <f>IFERROR(INDEX(Liste_Handelsünger[Handelsdünger],_xlfn.AGGREGATE(15,6,(ROW(Liste_Handelsünger[Handelsdünger])-1)/(--(SEARCH(AZ$2,Liste_Handelsünger[Handelsdünger])&gt;0)),ROW()-2),1),"")</f>
        <v>Carbo-Eco Mn</v>
      </c>
      <c r="AZ197" t="str">
        <f>IF(($A205=""),"",IF(COUNTIF(Mineral!$AJ$3:$AJ$324,$A205),"",$A205))</f>
        <v/>
      </c>
      <c r="BA197" t="str">
        <f>IFERROR(INDEX(Liste_Handelsünger[Handelsdünger],_xlfn.AGGREGATE(15,6,(ROW(Liste_Handelsünger[Handelsdünger])-1)/(--(SEARCH(BB$2,Liste_Handelsünger[Handelsdünger])&gt;0)),ROW()-2),1),"")</f>
        <v>Carbo-Eco Mn</v>
      </c>
      <c r="BB197" t="str">
        <f>IF(($A206=""),"",IF(COUNTIF(Mineral!$AJ$3:$AJ$324,$A206),"",$A206))</f>
        <v/>
      </c>
      <c r="BC197" t="str">
        <f>IFERROR(INDEX(Liste_Handelsünger[Handelsdünger],_xlfn.AGGREGATE(15,6,(ROW(Liste_Handelsünger[Handelsdünger])-1)/(--(SEARCH(BD$2,Liste_Handelsünger[Handelsdünger])&gt;0)),ROW()-2),1),"")</f>
        <v>Carbo-Eco Mn</v>
      </c>
      <c r="BD197" t="str">
        <f>IF(($A207=""),"",IF(COUNTIF(Mineral!$AJ$3:$AJ$324,$A207),"",$A207))</f>
        <v/>
      </c>
      <c r="BE197" t="str">
        <f>IFERROR(INDEX(Liste_Handelsünger[Handelsdünger],_xlfn.AGGREGATE(15,6,(ROW(Liste_Handelsünger[Handelsdünger])-1)/(--(SEARCH(BF$2,Liste_Handelsünger[Handelsdünger])&gt;0)),ROW()-2),1),"")</f>
        <v>Carbo-Eco Mn</v>
      </c>
      <c r="BF197" t="str">
        <f>IF(($A208=""),"",IF(COUNTIF(Mineral!$AJ$3:$AJ$324,$A208),"",$A208))</f>
        <v/>
      </c>
      <c r="BG197" t="str">
        <f>IFERROR(INDEX(Liste_Handelsünger[Handelsdünger],_xlfn.AGGREGATE(15,6,(ROW(Liste_Handelsünger[Handelsdünger])-1)/(--(SEARCH(BH$2,Liste_Handelsünger[Handelsdünger])&gt;0)),ROW()-2),1),"")</f>
        <v>Carbo-Eco Mn</v>
      </c>
      <c r="BH197" t="str">
        <f>IF(($A209=""),"",IF(COUNTIF(Mineral!$AJ$3:$AJ$324,$A209),"",$A209))</f>
        <v/>
      </c>
      <c r="BI197" t="str">
        <f>IFERROR(INDEX(Liste_Handelsünger[Handelsdünger],_xlfn.AGGREGATE(15,6,(ROW(Liste_Handelsünger[Handelsdünger])-1)/(--(SEARCH(BJ$2,Liste_Handelsünger[Handelsdünger])&gt;0)),ROW()-2),1),"")</f>
        <v>Carbo-Eco Mn</v>
      </c>
      <c r="BJ197" t="str">
        <f>IF(($A210=""),"",IF(COUNTIF(Mineral!$AJ$3:$AJ$324,$A210),"",$A210))</f>
        <v/>
      </c>
      <c r="BK197" t="str">
        <f>IFERROR(INDEX(Liste_Handelsünger[Handelsdünger],_xlfn.AGGREGATE(15,6,(ROW(Liste_Handelsünger[Handelsdünger])-1)/(--(SEARCH(BL$2,Liste_Handelsünger[Handelsdünger])&gt;0)),ROW()-2),1),"")</f>
        <v>Carbo-Eco Mn</v>
      </c>
      <c r="BM197" t="str">
        <f>IFERROR(INDEX(Liste_Handelsünger[Handelsdünger],_xlfn.AGGREGATE(15,6,(ROW(Liste_Handelsünger[Handelsdünger])-1)/(--(SEARCH(BN$2,Liste_Handelsünger[Handelsdünger])&gt;0)),ROW()-2),1),"")</f>
        <v>Carbo-Eco Mn</v>
      </c>
      <c r="BN197" t="str">
        <f>IF(($A212=""),"",IF(COUNTIF(Mineral!$AJ$3:$AJ$324,$A212),"",$A212))</f>
        <v/>
      </c>
      <c r="BV197" t="s">
        <v>2077</v>
      </c>
      <c r="BW197" t="s">
        <v>2094</v>
      </c>
      <c r="BZ197" s="1602"/>
      <c r="CA197" s="1602"/>
      <c r="CB197" s="1602"/>
    </row>
    <row r="198" spans="19:80" ht="14.25" thickTop="1" thickBot="1">
      <c r="S198" s="1676">
        <v>197</v>
      </c>
      <c r="T198" s="1606" t="s">
        <v>2006</v>
      </c>
      <c r="U198" s="1606" t="s">
        <v>2078</v>
      </c>
      <c r="V198" s="1606" t="s">
        <v>408</v>
      </c>
      <c r="W198" s="1606">
        <v>5</v>
      </c>
      <c r="X198" s="1606">
        <v>1.5</v>
      </c>
      <c r="Y198" s="1606"/>
      <c r="Z198" s="1606">
        <v>0</v>
      </c>
      <c r="AA198" s="1606">
        <v>11</v>
      </c>
      <c r="AB198" s="1606">
        <v>0</v>
      </c>
      <c r="AC198" s="1606">
        <v>0.5</v>
      </c>
      <c r="AD198" s="1613">
        <v>0.91</v>
      </c>
      <c r="AE198" s="1606" t="s">
        <v>2037</v>
      </c>
      <c r="AF198" s="1613" t="str">
        <f t="shared" si="19"/>
        <v/>
      </c>
      <c r="AG198" s="1656">
        <f>IFERROR(IF($AF198&gt;0,VLOOKUP($U198,Tabelle1!$C$188:$L$212,5,0)*$AF198,0),0)</f>
        <v>0</v>
      </c>
      <c r="AH198" s="1656">
        <f t="shared" si="20"/>
        <v>0</v>
      </c>
      <c r="AJ198" t="str">
        <f>IF(Betrieb!$D$9="JA",Mineral!$BW198,Mineral!$BV198)</f>
        <v>Citrosol</v>
      </c>
      <c r="AK198" s="1672" t="str">
        <f>IFERROR(INDEX(Liste_Handelsünger[Handelsdünger],_xlfn.AGGREGATE(15,6,(ROW(Liste_Handelsünger[Handelsdünger])-1)/(--(SEARCH(AL$2,Liste_Handelsünger[Handelsdünger])&gt;0)),ROW()-2),1),"")</f>
        <v>Citrosol</v>
      </c>
      <c r="AL198" s="1672" t="str">
        <f>IF(($A$3=""),"",IF(COUNTIF(Mineral!$AJ$3:$AJ$324,$A$3),"",$A$3))</f>
        <v/>
      </c>
      <c r="AM198" s="1672" t="str">
        <f>IFERROR(INDEX(Liste_Handelsünger[Handelsdünger],_xlfn.AGGREGATE(15,6,(ROW(Liste_Handelsünger[Handelsdünger])-1)/(--(SEARCH(AN$2,Liste_Handelsünger[Handelsdünger])&gt;0)),ROW()-2),1),"")</f>
        <v>Citrosol</v>
      </c>
      <c r="AN198" t="str">
        <f>IF(($A200=""),"",IF(COUNTIF(Mineral!$AJ$3:$AJ$324,$A200),"",$A200))</f>
        <v/>
      </c>
      <c r="AO198" t="str">
        <f>IFERROR(INDEX(Liste_Handelsünger[Handelsdünger],_xlfn.AGGREGATE(15,6,(ROW(Liste_Handelsünger[Handelsdünger])-1)/(--(SEARCH(AP$2,Liste_Handelsünger[Handelsdünger])&gt;0)),ROW()-2),1),"")</f>
        <v>Citrosol</v>
      </c>
      <c r="AP198" t="str">
        <f>IF(($A201=""),"",IF(COUNTIF(Mineral!$AJ$3:$AJ$324,$A201),"",$A201))</f>
        <v/>
      </c>
      <c r="AQ198" t="str">
        <f>IFERROR(INDEX(Liste_Handelsünger[Handelsdünger],_xlfn.AGGREGATE(15,6,(ROW(Liste_Handelsünger[Handelsdünger])-1)/(--(SEARCH(AR$2,Liste_Handelsünger[Handelsdünger])&gt;0)),ROW()-2),1),"")</f>
        <v>Citrosol</v>
      </c>
      <c r="AR198" t="str">
        <f>IF(($A202=""),"",IF(COUNTIF(Mineral!$AJ$3:$AJ$324,$A202),"",$A202))</f>
        <v/>
      </c>
      <c r="AS198" t="str">
        <f>IFERROR(INDEX(Liste_Handelsünger[Handelsdünger],_xlfn.AGGREGATE(15,6,(ROW(Liste_Handelsünger[Handelsdünger])-1)/(--(SEARCH(AT$2,Liste_Handelsünger[Handelsdünger])&gt;0)),ROW()-2),1),"")</f>
        <v>Citrosol</v>
      </c>
      <c r="AT198" t="str">
        <f>IF(($A203=""),"",IF(COUNTIF(Mineral!$AJ$3:$AJ$324,$A203),"",$A203))</f>
        <v/>
      </c>
      <c r="AU198" t="str">
        <f>IFERROR(INDEX(Liste_Handelsünger[Handelsdünger],_xlfn.AGGREGATE(15,6,(ROW(Liste_Handelsünger[Handelsdünger])-1)/(--(SEARCH(AV$2,Liste_Handelsünger[Handelsdünger])&gt;0)),ROW()-2),1),"")</f>
        <v>Citrosol</v>
      </c>
      <c r="AV198" t="str">
        <f>IF(($A204=""),"",IF(COUNTIF(Mineral!$AJ$3:$AJ$324,$A204),"",$A204))</f>
        <v/>
      </c>
      <c r="AW198" t="str">
        <f>IFERROR(INDEX(Liste_Handelsünger[Handelsdünger],_xlfn.AGGREGATE(15,6,(ROW(Liste_Handelsünger[Handelsdünger])-1)/(--(SEARCH(AX$2,Liste_Handelsünger[Handelsdünger])&gt;0)),ROW()-2),1),"")</f>
        <v>Citrosol</v>
      </c>
      <c r="AX198" t="str">
        <f>IF(($A205=""),"",IF(COUNTIF(Mineral!$AJ$3:$AJ$324,$A205),"",$A205))</f>
        <v/>
      </c>
      <c r="AY198" t="str">
        <f>IFERROR(INDEX(Liste_Handelsünger[Handelsdünger],_xlfn.AGGREGATE(15,6,(ROW(Liste_Handelsünger[Handelsdünger])-1)/(--(SEARCH(AZ$2,Liste_Handelsünger[Handelsdünger])&gt;0)),ROW()-2),1),"")</f>
        <v>Citrosol</v>
      </c>
      <c r="AZ198" t="str">
        <f>IF(($A206=""),"",IF(COUNTIF(Mineral!$AJ$3:$AJ$324,$A206),"",$A206))</f>
        <v/>
      </c>
      <c r="BA198" t="str">
        <f>IFERROR(INDEX(Liste_Handelsünger[Handelsdünger],_xlfn.AGGREGATE(15,6,(ROW(Liste_Handelsünger[Handelsdünger])-1)/(--(SEARCH(BB$2,Liste_Handelsünger[Handelsdünger])&gt;0)),ROW()-2),1),"")</f>
        <v>Citrosol</v>
      </c>
      <c r="BB198" t="str">
        <f>IF(($A207=""),"",IF(COUNTIF(Mineral!$AJ$3:$AJ$324,$A207),"",$A207))</f>
        <v/>
      </c>
      <c r="BC198" t="str">
        <f>IFERROR(INDEX(Liste_Handelsünger[Handelsdünger],_xlfn.AGGREGATE(15,6,(ROW(Liste_Handelsünger[Handelsdünger])-1)/(--(SEARCH(BD$2,Liste_Handelsünger[Handelsdünger])&gt;0)),ROW()-2),1),"")</f>
        <v>Citrosol</v>
      </c>
      <c r="BD198" t="str">
        <f>IF(($A208=""),"",IF(COUNTIF(Mineral!$AJ$3:$AJ$324,$A208),"",$A208))</f>
        <v/>
      </c>
      <c r="BE198" t="str">
        <f>IFERROR(INDEX(Liste_Handelsünger[Handelsdünger],_xlfn.AGGREGATE(15,6,(ROW(Liste_Handelsünger[Handelsdünger])-1)/(--(SEARCH(BF$2,Liste_Handelsünger[Handelsdünger])&gt;0)),ROW()-2),1),"")</f>
        <v>Citrosol</v>
      </c>
      <c r="BF198" t="str">
        <f>IF(($A209=""),"",IF(COUNTIF(Mineral!$AJ$3:$AJ$324,$A209),"",$A209))</f>
        <v/>
      </c>
      <c r="BG198" t="str">
        <f>IFERROR(INDEX(Liste_Handelsünger[Handelsdünger],_xlfn.AGGREGATE(15,6,(ROW(Liste_Handelsünger[Handelsdünger])-1)/(--(SEARCH(BH$2,Liste_Handelsünger[Handelsdünger])&gt;0)),ROW()-2),1),"")</f>
        <v>Citrosol</v>
      </c>
      <c r="BH198" t="str">
        <f>IF(($A210=""),"",IF(COUNTIF(Mineral!$AJ$3:$AJ$324,$A210),"",$A210))</f>
        <v/>
      </c>
      <c r="BI198" t="str">
        <f>IFERROR(INDEX(Liste_Handelsünger[Handelsdünger],_xlfn.AGGREGATE(15,6,(ROW(Liste_Handelsünger[Handelsdünger])-1)/(--(SEARCH(BJ$2,Liste_Handelsünger[Handelsdünger])&gt;0)),ROW()-2),1),"")</f>
        <v>Citrosol</v>
      </c>
      <c r="BJ198" t="str">
        <f>IF(($A211=""),"",IF(COUNTIF(Mineral!$AJ$3:$AJ$324,$A211),"",$A211))</f>
        <v/>
      </c>
      <c r="BK198" t="str">
        <f>IFERROR(INDEX(Liste_Handelsünger[Handelsdünger],_xlfn.AGGREGATE(15,6,(ROW(Liste_Handelsünger[Handelsdünger])-1)/(--(SEARCH(BL$2,Liste_Handelsünger[Handelsdünger])&gt;0)),ROW()-2),1),"")</f>
        <v>Citrosol</v>
      </c>
      <c r="BM198" t="str">
        <f>IFERROR(INDEX(Liste_Handelsünger[Handelsdünger],_xlfn.AGGREGATE(15,6,(ROW(Liste_Handelsünger[Handelsdünger])-1)/(--(SEARCH(BN$2,Liste_Handelsünger[Handelsdünger])&gt;0)),ROW()-2),1),"")</f>
        <v>Citrosol</v>
      </c>
      <c r="BN198" t="str">
        <f>IF(($A213=""),"",IF(COUNTIF(Mineral!$AJ$3:$AJ$324,$A213),"",$A213))</f>
        <v/>
      </c>
      <c r="BV198" t="s">
        <v>2078</v>
      </c>
      <c r="BW198" t="s">
        <v>1194</v>
      </c>
      <c r="BZ198" s="1602"/>
      <c r="CA198" s="1602"/>
      <c r="CB198" s="1602"/>
    </row>
    <row r="199" spans="19:80" ht="14.25" thickTop="1" thickBot="1">
      <c r="S199" s="1616">
        <v>198</v>
      </c>
      <c r="T199" s="1617" t="s">
        <v>2006</v>
      </c>
      <c r="U199" s="1617" t="s">
        <v>2079</v>
      </c>
      <c r="V199" s="1617" t="s">
        <v>408</v>
      </c>
      <c r="W199" s="1617">
        <v>2.56</v>
      </c>
      <c r="X199" s="1617">
        <v>3.4000000000000004</v>
      </c>
      <c r="Y199" s="1617">
        <v>1.7999999999999998</v>
      </c>
      <c r="Z199" s="1617">
        <v>0</v>
      </c>
      <c r="AA199" s="1617">
        <v>0.03</v>
      </c>
      <c r="AB199" s="1617">
        <v>1.17</v>
      </c>
      <c r="AC199" s="1617">
        <v>0.5</v>
      </c>
      <c r="AD199" s="1613">
        <v>0.91</v>
      </c>
      <c r="AE199" s="1617" t="s">
        <v>2037</v>
      </c>
      <c r="AF199" s="1613" t="str">
        <f t="shared" si="19"/>
        <v/>
      </c>
      <c r="AG199" s="1656">
        <f>IFERROR(IF($AF199&gt;0,VLOOKUP($U199,Tabelle1!$C$188:$L$212,5,0)*$AF199,0),0)</f>
        <v>0</v>
      </c>
      <c r="AH199" s="1656">
        <f t="shared" si="20"/>
        <v>0</v>
      </c>
      <c r="AJ199" t="str">
        <f>IF(Betrieb!$D$9="JA",Mineral!$BW199,Mineral!$BV199)</f>
        <v>Citrosteep (Maisquellwasser schwer)</v>
      </c>
      <c r="AK199" s="1672" t="str">
        <f>IFERROR(INDEX(Liste_Handelsünger[Handelsdünger],_xlfn.AGGREGATE(15,6,(ROW(Liste_Handelsünger[Handelsdünger])-1)/(--(SEARCH(AL$2,Liste_Handelsünger[Handelsdünger])&gt;0)),ROW()-2),1),"")</f>
        <v>Citrosteep (Maisquellwasser schwer)</v>
      </c>
      <c r="AL199" s="1672" t="str">
        <f>IF(($A$3=""),"",IF(COUNTIF(Mineral!$AJ$3:$AJ$324,$A$3),"",$A$3))</f>
        <v/>
      </c>
      <c r="AM199" s="1672" t="str">
        <f>IFERROR(INDEX(Liste_Handelsünger[Handelsdünger],_xlfn.AGGREGATE(15,6,(ROW(Liste_Handelsünger[Handelsdünger])-1)/(--(SEARCH(AN$2,Liste_Handelsünger[Handelsdünger])&gt;0)),ROW()-2),1),"")</f>
        <v>Citrosteep (Maisquellwasser schwer)</v>
      </c>
      <c r="AN199" t="str">
        <f>IF(($A201=""),"",IF(COUNTIF(Mineral!$AJ$3:$AJ$324,$A201),"",$A201))</f>
        <v/>
      </c>
      <c r="AO199" t="str">
        <f>IFERROR(INDEX(Liste_Handelsünger[Handelsdünger],_xlfn.AGGREGATE(15,6,(ROW(Liste_Handelsünger[Handelsdünger])-1)/(--(SEARCH(AP$2,Liste_Handelsünger[Handelsdünger])&gt;0)),ROW()-2),1),"")</f>
        <v>Citrosteep (Maisquellwasser schwer)</v>
      </c>
      <c r="AP199" t="str">
        <f>IF(($A202=""),"",IF(COUNTIF(Mineral!$AJ$3:$AJ$324,$A202),"",$A202))</f>
        <v/>
      </c>
      <c r="AQ199" t="str">
        <f>IFERROR(INDEX(Liste_Handelsünger[Handelsdünger],_xlfn.AGGREGATE(15,6,(ROW(Liste_Handelsünger[Handelsdünger])-1)/(--(SEARCH(AR$2,Liste_Handelsünger[Handelsdünger])&gt;0)),ROW()-2),1),"")</f>
        <v>Citrosteep (Maisquellwasser schwer)</v>
      </c>
      <c r="AR199" t="str">
        <f>IF(($A203=""),"",IF(COUNTIF(Mineral!$AJ$3:$AJ$324,$A203),"",$A203))</f>
        <v/>
      </c>
      <c r="AS199" t="str">
        <f>IFERROR(INDEX(Liste_Handelsünger[Handelsdünger],_xlfn.AGGREGATE(15,6,(ROW(Liste_Handelsünger[Handelsdünger])-1)/(--(SEARCH(AT$2,Liste_Handelsünger[Handelsdünger])&gt;0)),ROW()-2),1),"")</f>
        <v>Citrosteep (Maisquellwasser schwer)</v>
      </c>
      <c r="AT199" t="str">
        <f>IF(($A204=""),"",IF(COUNTIF(Mineral!$AJ$3:$AJ$324,$A204),"",$A204))</f>
        <v/>
      </c>
      <c r="AU199" t="str">
        <f>IFERROR(INDEX(Liste_Handelsünger[Handelsdünger],_xlfn.AGGREGATE(15,6,(ROW(Liste_Handelsünger[Handelsdünger])-1)/(--(SEARCH(AV$2,Liste_Handelsünger[Handelsdünger])&gt;0)),ROW()-2),1),"")</f>
        <v>Citrosteep (Maisquellwasser schwer)</v>
      </c>
      <c r="AV199" t="str">
        <f>IF(($A205=""),"",IF(COUNTIF(Mineral!$AJ$3:$AJ$324,$A205),"",$A205))</f>
        <v/>
      </c>
      <c r="AW199" t="str">
        <f>IFERROR(INDEX(Liste_Handelsünger[Handelsdünger],_xlfn.AGGREGATE(15,6,(ROW(Liste_Handelsünger[Handelsdünger])-1)/(--(SEARCH(AX$2,Liste_Handelsünger[Handelsdünger])&gt;0)),ROW()-2),1),"")</f>
        <v>Citrosteep (Maisquellwasser schwer)</v>
      </c>
      <c r="AX199" t="str">
        <f>IF(($A206=""),"",IF(COUNTIF(Mineral!$AJ$3:$AJ$324,$A206),"",$A206))</f>
        <v/>
      </c>
      <c r="AY199" t="str">
        <f>IFERROR(INDEX(Liste_Handelsünger[Handelsdünger],_xlfn.AGGREGATE(15,6,(ROW(Liste_Handelsünger[Handelsdünger])-1)/(--(SEARCH(AZ$2,Liste_Handelsünger[Handelsdünger])&gt;0)),ROW()-2),1),"")</f>
        <v>Citrosteep (Maisquellwasser schwer)</v>
      </c>
      <c r="AZ199" t="str">
        <f>IF(($A207=""),"",IF(COUNTIF(Mineral!$AJ$3:$AJ$324,$A207),"",$A207))</f>
        <v/>
      </c>
      <c r="BA199" t="str">
        <f>IFERROR(INDEX(Liste_Handelsünger[Handelsdünger],_xlfn.AGGREGATE(15,6,(ROW(Liste_Handelsünger[Handelsdünger])-1)/(--(SEARCH(BB$2,Liste_Handelsünger[Handelsdünger])&gt;0)),ROW()-2),1),"")</f>
        <v>Citrosteep (Maisquellwasser schwer)</v>
      </c>
      <c r="BB199" t="str">
        <f>IF(($A208=""),"",IF(COUNTIF(Mineral!$AJ$3:$AJ$324,$A208),"",$A208))</f>
        <v/>
      </c>
      <c r="BC199" t="str">
        <f>IFERROR(INDEX(Liste_Handelsünger[Handelsdünger],_xlfn.AGGREGATE(15,6,(ROW(Liste_Handelsünger[Handelsdünger])-1)/(--(SEARCH(BD$2,Liste_Handelsünger[Handelsdünger])&gt;0)),ROW()-2),1),"")</f>
        <v>Citrosteep (Maisquellwasser schwer)</v>
      </c>
      <c r="BD199" t="str">
        <f>IF(($A209=""),"",IF(COUNTIF(Mineral!$AJ$3:$AJ$324,$A209),"",$A209))</f>
        <v/>
      </c>
      <c r="BE199" t="str">
        <f>IFERROR(INDEX(Liste_Handelsünger[Handelsdünger],_xlfn.AGGREGATE(15,6,(ROW(Liste_Handelsünger[Handelsdünger])-1)/(--(SEARCH(BF$2,Liste_Handelsünger[Handelsdünger])&gt;0)),ROW()-2),1),"")</f>
        <v>Citrosteep (Maisquellwasser schwer)</v>
      </c>
      <c r="BF199" t="str">
        <f>IF(($A210=""),"",IF(COUNTIF(Mineral!$AJ$3:$AJ$324,$A210),"",$A210))</f>
        <v/>
      </c>
      <c r="BG199" t="str">
        <f>IFERROR(INDEX(Liste_Handelsünger[Handelsdünger],_xlfn.AGGREGATE(15,6,(ROW(Liste_Handelsünger[Handelsdünger])-1)/(--(SEARCH(BH$2,Liste_Handelsünger[Handelsdünger])&gt;0)),ROW()-2),1),"")</f>
        <v>Citrosteep (Maisquellwasser schwer)</v>
      </c>
      <c r="BH199" t="str">
        <f>IF(($A211=""),"",IF(COUNTIF(Mineral!$AJ$3:$AJ$324,$A211),"",$A211))</f>
        <v/>
      </c>
      <c r="BI199" t="str">
        <f>IFERROR(INDEX(Liste_Handelsünger[Handelsdünger],_xlfn.AGGREGATE(15,6,(ROW(Liste_Handelsünger[Handelsdünger])-1)/(--(SEARCH(BJ$2,Liste_Handelsünger[Handelsdünger])&gt;0)),ROW()-2),1),"")</f>
        <v>Citrosteep (Maisquellwasser schwer)</v>
      </c>
      <c r="BJ199" t="str">
        <f>IF(($A212=""),"",IF(COUNTIF(Mineral!$AJ$3:$AJ$324,$A212),"",$A212))</f>
        <v/>
      </c>
      <c r="BK199" t="str">
        <f>IFERROR(INDEX(Liste_Handelsünger[Handelsdünger],_xlfn.AGGREGATE(15,6,(ROW(Liste_Handelsünger[Handelsdünger])-1)/(--(SEARCH(BL$2,Liste_Handelsünger[Handelsdünger])&gt;0)),ROW()-2),1),"")</f>
        <v>Citrosteep (Maisquellwasser schwer)</v>
      </c>
      <c r="BM199" t="str">
        <f>IFERROR(INDEX(Liste_Handelsünger[Handelsdünger],_xlfn.AGGREGATE(15,6,(ROW(Liste_Handelsünger[Handelsdünger])-1)/(--(SEARCH(BN$2,Liste_Handelsünger[Handelsdünger])&gt;0)),ROW()-2),1),"")</f>
        <v>Citrosteep (Maisquellwasser schwer)</v>
      </c>
      <c r="BN199" t="str">
        <f>IF(($A214=""),"",IF(COUNTIF(Mineral!$AJ$3:$AJ$324,$A214),"",$A214))</f>
        <v/>
      </c>
      <c r="BV199" t="s">
        <v>2079</v>
      </c>
      <c r="BW199" t="s">
        <v>2159</v>
      </c>
      <c r="BZ199" s="1602"/>
      <c r="CA199" s="1602"/>
      <c r="CB199" s="1602"/>
    </row>
    <row r="200" spans="19:80" ht="14.25" thickTop="1" thickBot="1">
      <c r="S200" s="1676">
        <v>199</v>
      </c>
      <c r="T200" s="1606" t="s">
        <v>2006</v>
      </c>
      <c r="U200" s="1606" t="s">
        <v>2092</v>
      </c>
      <c r="V200" s="1606" t="s">
        <v>408</v>
      </c>
      <c r="W200" s="1606"/>
      <c r="X200" s="1606"/>
      <c r="Y200" s="1606"/>
      <c r="Z200" s="1606"/>
      <c r="AA200" s="1606"/>
      <c r="AB200" s="1606"/>
      <c r="AC200" s="1606">
        <v>1</v>
      </c>
      <c r="AD200" s="1613">
        <v>1</v>
      </c>
      <c r="AE200" s="1606" t="s">
        <v>1764</v>
      </c>
      <c r="AF200" s="1613" t="str">
        <f t="shared" si="19"/>
        <v/>
      </c>
      <c r="AG200" s="1656">
        <f>IFERROR(IF($AF200&gt;0,VLOOKUP($U200,Tabelle1!$C$188:$L$212,5,0)*$AF200,0),0)</f>
        <v>0</v>
      </c>
      <c r="AH200" s="1656">
        <f t="shared" si="20"/>
        <v>0</v>
      </c>
      <c r="AJ200" t="str">
        <f>IF(Betrieb!$D$9="JA",Mineral!$BW200,Mineral!$BV200)</f>
        <v>Cuprofor flow</v>
      </c>
      <c r="AK200" s="1672" t="str">
        <f>IFERROR(INDEX(Liste_Handelsünger[Handelsdünger],_xlfn.AGGREGATE(15,6,(ROW(Liste_Handelsünger[Handelsdünger])-1)/(--(SEARCH(AL$2,Liste_Handelsünger[Handelsdünger])&gt;0)),ROW()-2),1),"")</f>
        <v>Cuprofor flow</v>
      </c>
      <c r="AL200" s="1672" t="str">
        <f>IF(($A$3=""),"",IF(COUNTIF(Mineral!$AJ$3:$AJ$324,$A$3),"",$A$3))</f>
        <v/>
      </c>
      <c r="AM200" s="1672" t="str">
        <f>IFERROR(INDEX(Liste_Handelsünger[Handelsdünger],_xlfn.AGGREGATE(15,6,(ROW(Liste_Handelsünger[Handelsdünger])-1)/(--(SEARCH(AN$2,Liste_Handelsünger[Handelsdünger])&gt;0)),ROW()-2),1),"")</f>
        <v>Cuprofor flow</v>
      </c>
      <c r="AN200" t="str">
        <f>IF(($A202=""),"",IF(COUNTIF(Mineral!$AJ$3:$AJ$324,$A202),"",$A202))</f>
        <v/>
      </c>
      <c r="AO200" t="str">
        <f>IFERROR(INDEX(Liste_Handelsünger[Handelsdünger],_xlfn.AGGREGATE(15,6,(ROW(Liste_Handelsünger[Handelsdünger])-1)/(--(SEARCH(AP$2,Liste_Handelsünger[Handelsdünger])&gt;0)),ROW()-2),1),"")</f>
        <v>Cuprofor flow</v>
      </c>
      <c r="AP200" t="str">
        <f>IF(($A203=""),"",IF(COUNTIF(Mineral!$AJ$3:$AJ$324,$A203),"",$A203))</f>
        <v/>
      </c>
      <c r="AQ200" t="str">
        <f>IFERROR(INDEX(Liste_Handelsünger[Handelsdünger],_xlfn.AGGREGATE(15,6,(ROW(Liste_Handelsünger[Handelsdünger])-1)/(--(SEARCH(AR$2,Liste_Handelsünger[Handelsdünger])&gt;0)),ROW()-2),1),"")</f>
        <v>Cuprofor flow</v>
      </c>
      <c r="AR200" t="str">
        <f>IF(($A204=""),"",IF(COUNTIF(Mineral!$AJ$3:$AJ$324,$A204),"",$A204))</f>
        <v/>
      </c>
      <c r="AS200" t="str">
        <f>IFERROR(INDEX(Liste_Handelsünger[Handelsdünger],_xlfn.AGGREGATE(15,6,(ROW(Liste_Handelsünger[Handelsdünger])-1)/(--(SEARCH(AT$2,Liste_Handelsünger[Handelsdünger])&gt;0)),ROW()-2),1),"")</f>
        <v>Cuprofor flow</v>
      </c>
      <c r="AT200" t="str">
        <f>IF(($A205=""),"",IF(COUNTIF(Mineral!$AJ$3:$AJ$324,$A205),"",$A205))</f>
        <v/>
      </c>
      <c r="AU200" t="str">
        <f>IFERROR(INDEX(Liste_Handelsünger[Handelsdünger],_xlfn.AGGREGATE(15,6,(ROW(Liste_Handelsünger[Handelsdünger])-1)/(--(SEARCH(AV$2,Liste_Handelsünger[Handelsdünger])&gt;0)),ROW()-2),1),"")</f>
        <v>Cuprofor flow</v>
      </c>
      <c r="AV200" t="str">
        <f>IF(($A206=""),"",IF(COUNTIF(Mineral!$AJ$3:$AJ$324,$A206),"",$A206))</f>
        <v/>
      </c>
      <c r="AW200" t="str">
        <f>IFERROR(INDEX(Liste_Handelsünger[Handelsdünger],_xlfn.AGGREGATE(15,6,(ROW(Liste_Handelsünger[Handelsdünger])-1)/(--(SEARCH(AX$2,Liste_Handelsünger[Handelsdünger])&gt;0)),ROW()-2),1),"")</f>
        <v>Cuprofor flow</v>
      </c>
      <c r="AX200" t="str">
        <f>IF(($A207=""),"",IF(COUNTIF(Mineral!$AJ$3:$AJ$324,$A207),"",$A207))</f>
        <v/>
      </c>
      <c r="AY200" t="str">
        <f>IFERROR(INDEX(Liste_Handelsünger[Handelsdünger],_xlfn.AGGREGATE(15,6,(ROW(Liste_Handelsünger[Handelsdünger])-1)/(--(SEARCH(AZ$2,Liste_Handelsünger[Handelsdünger])&gt;0)),ROW()-2),1),"")</f>
        <v>Cuprofor flow</v>
      </c>
      <c r="AZ200" t="str">
        <f>IF(($A208=""),"",IF(COUNTIF(Mineral!$AJ$3:$AJ$324,$A208),"",$A208))</f>
        <v/>
      </c>
      <c r="BA200" t="str">
        <f>IFERROR(INDEX(Liste_Handelsünger[Handelsdünger],_xlfn.AGGREGATE(15,6,(ROW(Liste_Handelsünger[Handelsdünger])-1)/(--(SEARCH(BB$2,Liste_Handelsünger[Handelsdünger])&gt;0)),ROW()-2),1),"")</f>
        <v>Cuprofor flow</v>
      </c>
      <c r="BB200" t="str">
        <f>IF(($A209=""),"",IF(COUNTIF(Mineral!$AJ$3:$AJ$324,$A209),"",$A209))</f>
        <v/>
      </c>
      <c r="BC200" t="str">
        <f>IFERROR(INDEX(Liste_Handelsünger[Handelsdünger],_xlfn.AGGREGATE(15,6,(ROW(Liste_Handelsünger[Handelsdünger])-1)/(--(SEARCH(BD$2,Liste_Handelsünger[Handelsdünger])&gt;0)),ROW()-2),1),"")</f>
        <v>Cuprofor flow</v>
      </c>
      <c r="BD200" t="str">
        <f>IF(($A210=""),"",IF(COUNTIF(Mineral!$AJ$3:$AJ$324,$A210),"",$A210))</f>
        <v/>
      </c>
      <c r="BE200" t="str">
        <f>IFERROR(INDEX(Liste_Handelsünger[Handelsdünger],_xlfn.AGGREGATE(15,6,(ROW(Liste_Handelsünger[Handelsdünger])-1)/(--(SEARCH(BF$2,Liste_Handelsünger[Handelsdünger])&gt;0)),ROW()-2),1),"")</f>
        <v>Cuprofor flow</v>
      </c>
      <c r="BF200" t="str">
        <f>IF(($A211=""),"",IF(COUNTIF(Mineral!$AJ$3:$AJ$324,$A211),"",$A211))</f>
        <v/>
      </c>
      <c r="BG200" t="str">
        <f>IFERROR(INDEX(Liste_Handelsünger[Handelsdünger],_xlfn.AGGREGATE(15,6,(ROW(Liste_Handelsünger[Handelsdünger])-1)/(--(SEARCH(BH$2,Liste_Handelsünger[Handelsdünger])&gt;0)),ROW()-2),1),"")</f>
        <v>Cuprofor flow</v>
      </c>
      <c r="BH200" t="str">
        <f>IF(($A212=""),"",IF(COUNTIF(Mineral!$AJ$3:$AJ$324,$A212),"",$A212))</f>
        <v/>
      </c>
      <c r="BI200" t="str">
        <f>IFERROR(INDEX(Liste_Handelsünger[Handelsdünger],_xlfn.AGGREGATE(15,6,(ROW(Liste_Handelsünger[Handelsdünger])-1)/(--(SEARCH(BJ$2,Liste_Handelsünger[Handelsdünger])&gt;0)),ROW()-2),1),"")</f>
        <v>Cuprofor flow</v>
      </c>
      <c r="BJ200" t="str">
        <f>IF(($A213=""),"",IF(COUNTIF(Mineral!$AJ$3:$AJ$324,$A213),"",$A213))</f>
        <v/>
      </c>
      <c r="BK200" t="str">
        <f>IFERROR(INDEX(Liste_Handelsünger[Handelsdünger],_xlfn.AGGREGATE(15,6,(ROW(Liste_Handelsünger[Handelsdünger])-1)/(--(SEARCH(BL$2,Liste_Handelsünger[Handelsdünger])&gt;0)),ROW()-2),1),"")</f>
        <v>Cuprofor flow</v>
      </c>
      <c r="BM200" t="str">
        <f>IFERROR(INDEX(Liste_Handelsünger[Handelsdünger],_xlfn.AGGREGATE(15,6,(ROW(Liste_Handelsünger[Handelsdünger])-1)/(--(SEARCH(BN$2,Liste_Handelsünger[Handelsdünger])&gt;0)),ROW()-2),1),"")</f>
        <v>Cuprofor flow</v>
      </c>
      <c r="BN200" t="str">
        <f>IF(($A215=""),"",IF(COUNTIF(Mineral!$AJ$3:$AJ$324,$A215),"",$A215))</f>
        <v/>
      </c>
      <c r="BV200" t="s">
        <v>2092</v>
      </c>
      <c r="BW200" t="s">
        <v>2109</v>
      </c>
      <c r="BZ200" s="1602"/>
      <c r="CA200" s="1602"/>
      <c r="CB200" s="1602"/>
    </row>
    <row r="201" spans="19:80" ht="14.25" thickTop="1" thickBot="1">
      <c r="S201" s="1616">
        <v>200</v>
      </c>
      <c r="T201" s="1617" t="s">
        <v>2006</v>
      </c>
      <c r="U201" s="1617" t="s">
        <v>2093</v>
      </c>
      <c r="V201" s="1617" t="s">
        <v>408</v>
      </c>
      <c r="W201" s="1617">
        <v>0</v>
      </c>
      <c r="X201" s="1617">
        <v>0</v>
      </c>
      <c r="Y201" s="1617">
        <v>0</v>
      </c>
      <c r="Z201" s="1617">
        <v>0</v>
      </c>
      <c r="AA201" s="1617">
        <v>0</v>
      </c>
      <c r="AB201" s="1617">
        <v>0</v>
      </c>
      <c r="AC201" s="1617">
        <v>1</v>
      </c>
      <c r="AD201" s="1613">
        <v>1</v>
      </c>
      <c r="AE201" s="1617" t="s">
        <v>1764</v>
      </c>
      <c r="AF201" s="1613" t="str">
        <f t="shared" si="19"/>
        <v/>
      </c>
      <c r="AG201" s="1656">
        <f>IFERROR(IF($AF201&gt;0,VLOOKUP($U201,Tabelle1!$C$188:$L$212,5,0)*$AF201,0),0)</f>
        <v>0</v>
      </c>
      <c r="AH201" s="1656">
        <f t="shared" si="20"/>
        <v>0</v>
      </c>
      <c r="AJ201" t="str">
        <f>IF(Betrieb!$D$9="JA",Mineral!$BW201,Mineral!$BV201)</f>
        <v>CutiSan</v>
      </c>
      <c r="AK201" s="1672" t="str">
        <f>IFERROR(INDEX(Liste_Handelsünger[Handelsdünger],_xlfn.AGGREGATE(15,6,(ROW(Liste_Handelsünger[Handelsdünger])-1)/(--(SEARCH(AL$2,Liste_Handelsünger[Handelsdünger])&gt;0)),ROW()-2),1),"")</f>
        <v>CutiSan</v>
      </c>
      <c r="AL201" s="1672" t="str">
        <f>IF(($A$3=""),"",IF(COUNTIF(Mineral!$AJ$3:$AJ$324,$A$3),"",$A$3))</f>
        <v/>
      </c>
      <c r="AM201" s="1672" t="str">
        <f>IFERROR(INDEX(Liste_Handelsünger[Handelsdünger],_xlfn.AGGREGATE(15,6,(ROW(Liste_Handelsünger[Handelsdünger])-1)/(--(SEARCH(AN$2,Liste_Handelsünger[Handelsdünger])&gt;0)),ROW()-2),1),"")</f>
        <v>CutiSan</v>
      </c>
      <c r="AN201" t="str">
        <f>IF(($A203=""),"",IF(COUNTIF(Mineral!$AJ$3:$AJ$324,$A203),"",$A203))</f>
        <v/>
      </c>
      <c r="AO201" t="str">
        <f>IFERROR(INDEX(Liste_Handelsünger[Handelsdünger],_xlfn.AGGREGATE(15,6,(ROW(Liste_Handelsünger[Handelsdünger])-1)/(--(SEARCH(AP$2,Liste_Handelsünger[Handelsdünger])&gt;0)),ROW()-2),1),"")</f>
        <v>CutiSan</v>
      </c>
      <c r="AP201" t="str">
        <f>IF(($A204=""),"",IF(COUNTIF(Mineral!$AJ$3:$AJ$324,$A204),"",$A204))</f>
        <v/>
      </c>
      <c r="AQ201" t="str">
        <f>IFERROR(INDEX(Liste_Handelsünger[Handelsdünger],_xlfn.AGGREGATE(15,6,(ROW(Liste_Handelsünger[Handelsdünger])-1)/(--(SEARCH(AR$2,Liste_Handelsünger[Handelsdünger])&gt;0)),ROW()-2),1),"")</f>
        <v>CutiSan</v>
      </c>
      <c r="AR201" t="str">
        <f>IF(($A205=""),"",IF(COUNTIF(Mineral!$AJ$3:$AJ$324,$A205),"",$A205))</f>
        <v/>
      </c>
      <c r="AS201" t="str">
        <f>IFERROR(INDEX(Liste_Handelsünger[Handelsdünger],_xlfn.AGGREGATE(15,6,(ROW(Liste_Handelsünger[Handelsdünger])-1)/(--(SEARCH(AT$2,Liste_Handelsünger[Handelsdünger])&gt;0)),ROW()-2),1),"")</f>
        <v>CutiSan</v>
      </c>
      <c r="AT201" t="str">
        <f>IF(($A206=""),"",IF(COUNTIF(Mineral!$AJ$3:$AJ$324,$A206),"",$A206))</f>
        <v/>
      </c>
      <c r="AU201" t="str">
        <f>IFERROR(INDEX(Liste_Handelsünger[Handelsdünger],_xlfn.AGGREGATE(15,6,(ROW(Liste_Handelsünger[Handelsdünger])-1)/(--(SEARCH(AV$2,Liste_Handelsünger[Handelsdünger])&gt;0)),ROW()-2),1),"")</f>
        <v>CutiSan</v>
      </c>
      <c r="AV201" t="str">
        <f>IF(($A207=""),"",IF(COUNTIF(Mineral!$AJ$3:$AJ$324,$A207),"",$A207))</f>
        <v/>
      </c>
      <c r="AW201" t="str">
        <f>IFERROR(INDEX(Liste_Handelsünger[Handelsdünger],_xlfn.AGGREGATE(15,6,(ROW(Liste_Handelsünger[Handelsdünger])-1)/(--(SEARCH(AX$2,Liste_Handelsünger[Handelsdünger])&gt;0)),ROW()-2),1),"")</f>
        <v>CutiSan</v>
      </c>
      <c r="AX201" t="str">
        <f>IF(($A208=""),"",IF(COUNTIF(Mineral!$AJ$3:$AJ$324,$A208),"",$A208))</f>
        <v/>
      </c>
      <c r="AY201" t="str">
        <f>IFERROR(INDEX(Liste_Handelsünger[Handelsdünger],_xlfn.AGGREGATE(15,6,(ROW(Liste_Handelsünger[Handelsdünger])-1)/(--(SEARCH(AZ$2,Liste_Handelsünger[Handelsdünger])&gt;0)),ROW()-2),1),"")</f>
        <v>CutiSan</v>
      </c>
      <c r="AZ201" t="str">
        <f>IF(($A209=""),"",IF(COUNTIF(Mineral!$AJ$3:$AJ$324,$A209),"",$A209))</f>
        <v/>
      </c>
      <c r="BA201" t="str">
        <f>IFERROR(INDEX(Liste_Handelsünger[Handelsdünger],_xlfn.AGGREGATE(15,6,(ROW(Liste_Handelsünger[Handelsdünger])-1)/(--(SEARCH(BB$2,Liste_Handelsünger[Handelsdünger])&gt;0)),ROW()-2),1),"")</f>
        <v>CutiSan</v>
      </c>
      <c r="BB201" t="str">
        <f>IF(($A210=""),"",IF(COUNTIF(Mineral!$AJ$3:$AJ$324,$A210),"",$A210))</f>
        <v/>
      </c>
      <c r="BC201" t="str">
        <f>IFERROR(INDEX(Liste_Handelsünger[Handelsdünger],_xlfn.AGGREGATE(15,6,(ROW(Liste_Handelsünger[Handelsdünger])-1)/(--(SEARCH(BD$2,Liste_Handelsünger[Handelsdünger])&gt;0)),ROW()-2),1),"")</f>
        <v>CutiSan</v>
      </c>
      <c r="BD201" t="str">
        <f>IF(($A211=""),"",IF(COUNTIF(Mineral!$AJ$3:$AJ$324,$A211),"",$A211))</f>
        <v/>
      </c>
      <c r="BE201" t="str">
        <f>IFERROR(INDEX(Liste_Handelsünger[Handelsdünger],_xlfn.AGGREGATE(15,6,(ROW(Liste_Handelsünger[Handelsdünger])-1)/(--(SEARCH(BF$2,Liste_Handelsünger[Handelsdünger])&gt;0)),ROW()-2),1),"")</f>
        <v>CutiSan</v>
      </c>
      <c r="BF201" t="str">
        <f>IF(($A212=""),"",IF(COUNTIF(Mineral!$AJ$3:$AJ$324,$A212),"",$A212))</f>
        <v/>
      </c>
      <c r="BG201" t="str">
        <f>IFERROR(INDEX(Liste_Handelsünger[Handelsdünger],_xlfn.AGGREGATE(15,6,(ROW(Liste_Handelsünger[Handelsdünger])-1)/(--(SEARCH(BH$2,Liste_Handelsünger[Handelsdünger])&gt;0)),ROW()-2),1),"")</f>
        <v>CutiSan</v>
      </c>
      <c r="BH201" t="str">
        <f>IF(($A213=""),"",IF(COUNTIF(Mineral!$AJ$3:$AJ$324,$A213),"",$A213))</f>
        <v/>
      </c>
      <c r="BI201" t="str">
        <f>IFERROR(INDEX(Liste_Handelsünger[Handelsdünger],_xlfn.AGGREGATE(15,6,(ROW(Liste_Handelsünger[Handelsdünger])-1)/(--(SEARCH(BJ$2,Liste_Handelsünger[Handelsdünger])&gt;0)),ROW()-2),1),"")</f>
        <v>CutiSan</v>
      </c>
      <c r="BJ201" t="str">
        <f>IF(($A214=""),"",IF(COUNTIF(Mineral!$AJ$3:$AJ$324,$A214),"",$A214))</f>
        <v/>
      </c>
      <c r="BK201" t="str">
        <f>IFERROR(INDEX(Liste_Handelsünger[Handelsdünger],_xlfn.AGGREGATE(15,6,(ROW(Liste_Handelsünger[Handelsdünger])-1)/(--(SEARCH(BL$2,Liste_Handelsünger[Handelsdünger])&gt;0)),ROW()-2),1),"")</f>
        <v>CutiSan</v>
      </c>
      <c r="BM201" t="str">
        <f>IFERROR(INDEX(Liste_Handelsünger[Handelsdünger],_xlfn.AGGREGATE(15,6,(ROW(Liste_Handelsünger[Handelsdünger])-1)/(--(SEARCH(BN$2,Liste_Handelsünger[Handelsdünger])&gt;0)),ROW()-2),1),"")</f>
        <v>CutiSan</v>
      </c>
      <c r="BN201" t="str">
        <f>IF(($A216=""),"",IF(COUNTIF(Mineral!$AJ$3:$AJ$324,$A216),"",$A216))</f>
        <v/>
      </c>
      <c r="BV201" t="s">
        <v>2093</v>
      </c>
      <c r="BW201" t="s">
        <v>2105</v>
      </c>
      <c r="BZ201" s="1602"/>
      <c r="CA201" s="1602"/>
      <c r="CB201" s="1602"/>
    </row>
    <row r="202" spans="19:80" ht="14.25" thickTop="1" thickBot="1">
      <c r="S202" s="1676">
        <v>201</v>
      </c>
      <c r="T202" s="1606" t="s">
        <v>2006</v>
      </c>
      <c r="U202" s="1606" t="s">
        <v>2117</v>
      </c>
      <c r="V202" s="1606" t="s">
        <v>408</v>
      </c>
      <c r="W202" s="1606">
        <v>0</v>
      </c>
      <c r="X202" s="1606">
        <v>0.3</v>
      </c>
      <c r="Y202" s="1606">
        <v>1.75</v>
      </c>
      <c r="Z202" s="1606">
        <v>0</v>
      </c>
      <c r="AA202" s="1606">
        <v>2.63</v>
      </c>
      <c r="AB202" s="1606">
        <v>6.1</v>
      </c>
      <c r="AC202" s="1606">
        <v>1</v>
      </c>
      <c r="AD202" s="1613">
        <v>1</v>
      </c>
      <c r="AE202" s="1606" t="s">
        <v>1764</v>
      </c>
      <c r="AF202" s="1613" t="str">
        <f t="shared" si="19"/>
        <v/>
      </c>
      <c r="AG202" s="1656">
        <f>IFERROR(IF($AF202&gt;0,VLOOKUP($U202,Tabelle1!$C$188:$L$212,5,0)*$AF202,0),0)</f>
        <v>0</v>
      </c>
      <c r="AH202" s="1656">
        <f t="shared" si="20"/>
        <v>0</v>
      </c>
      <c r="AJ202" t="str">
        <f>IF(Betrieb!$D$9="JA",Mineral!$BW202,Mineral!$BV202)</f>
        <v>Diabas Urgesteinsmehl</v>
      </c>
      <c r="AK202" s="1672" t="str">
        <f>IFERROR(INDEX(Liste_Handelsünger[Handelsdünger],_xlfn.AGGREGATE(15,6,(ROW(Liste_Handelsünger[Handelsdünger])-1)/(--(SEARCH(AL$2,Liste_Handelsünger[Handelsdünger])&gt;0)),ROW()-2),1),"")</f>
        <v>Diabas Urgesteinsmehl</v>
      </c>
      <c r="AL202" s="1672" t="str">
        <f>IF(($A$3=""),"",IF(COUNTIF(Mineral!$AJ$3:$AJ$324,$A$3),"",$A$3))</f>
        <v/>
      </c>
      <c r="AM202" s="1672" t="str">
        <f>IFERROR(INDEX(Liste_Handelsünger[Handelsdünger],_xlfn.AGGREGATE(15,6,(ROW(Liste_Handelsünger[Handelsdünger])-1)/(--(SEARCH(AN$2,Liste_Handelsünger[Handelsdünger])&gt;0)),ROW()-2),1),"")</f>
        <v>Diabas Urgesteinsmehl</v>
      </c>
      <c r="AN202" t="str">
        <f>IF(($A204=""),"",IF(COUNTIF(Mineral!$AJ$3:$AJ$324,$A204),"",$A204))</f>
        <v/>
      </c>
      <c r="AO202" t="str">
        <f>IFERROR(INDEX(Liste_Handelsünger[Handelsdünger],_xlfn.AGGREGATE(15,6,(ROW(Liste_Handelsünger[Handelsdünger])-1)/(--(SEARCH(AP$2,Liste_Handelsünger[Handelsdünger])&gt;0)),ROW()-2),1),"")</f>
        <v>Diabas Urgesteinsmehl</v>
      </c>
      <c r="AP202" t="str">
        <f>IF(($A205=""),"",IF(COUNTIF(Mineral!$AJ$3:$AJ$324,$A205),"",$A205))</f>
        <v/>
      </c>
      <c r="AQ202" t="str">
        <f>IFERROR(INDEX(Liste_Handelsünger[Handelsdünger],_xlfn.AGGREGATE(15,6,(ROW(Liste_Handelsünger[Handelsdünger])-1)/(--(SEARCH(AR$2,Liste_Handelsünger[Handelsdünger])&gt;0)),ROW()-2),1),"")</f>
        <v>Diabas Urgesteinsmehl</v>
      </c>
      <c r="AR202" t="str">
        <f>IF(($A206=""),"",IF(COUNTIF(Mineral!$AJ$3:$AJ$324,$A206),"",$A206))</f>
        <v/>
      </c>
      <c r="AS202" t="str">
        <f>IFERROR(INDEX(Liste_Handelsünger[Handelsdünger],_xlfn.AGGREGATE(15,6,(ROW(Liste_Handelsünger[Handelsdünger])-1)/(--(SEARCH(AT$2,Liste_Handelsünger[Handelsdünger])&gt;0)),ROW()-2),1),"")</f>
        <v>Diabas Urgesteinsmehl</v>
      </c>
      <c r="AT202" t="str">
        <f>IF(($A207=""),"",IF(COUNTIF(Mineral!$AJ$3:$AJ$324,$A207),"",$A207))</f>
        <v/>
      </c>
      <c r="AU202" t="str">
        <f>IFERROR(INDEX(Liste_Handelsünger[Handelsdünger],_xlfn.AGGREGATE(15,6,(ROW(Liste_Handelsünger[Handelsdünger])-1)/(--(SEARCH(AV$2,Liste_Handelsünger[Handelsdünger])&gt;0)),ROW()-2),1),"")</f>
        <v>Diabas Urgesteinsmehl</v>
      </c>
      <c r="AV202" t="str">
        <f>IF(($A208=""),"",IF(COUNTIF(Mineral!$AJ$3:$AJ$324,$A208),"",$A208))</f>
        <v/>
      </c>
      <c r="AW202" t="str">
        <f>IFERROR(INDEX(Liste_Handelsünger[Handelsdünger],_xlfn.AGGREGATE(15,6,(ROW(Liste_Handelsünger[Handelsdünger])-1)/(--(SEARCH(AX$2,Liste_Handelsünger[Handelsdünger])&gt;0)),ROW()-2),1),"")</f>
        <v>Diabas Urgesteinsmehl</v>
      </c>
      <c r="AX202" t="str">
        <f>IF(($A209=""),"",IF(COUNTIF(Mineral!$AJ$3:$AJ$324,$A209),"",$A209))</f>
        <v/>
      </c>
      <c r="AY202" t="str">
        <f>IFERROR(INDEX(Liste_Handelsünger[Handelsdünger],_xlfn.AGGREGATE(15,6,(ROW(Liste_Handelsünger[Handelsdünger])-1)/(--(SEARCH(AZ$2,Liste_Handelsünger[Handelsdünger])&gt;0)),ROW()-2),1),"")</f>
        <v>Diabas Urgesteinsmehl</v>
      </c>
      <c r="AZ202" t="str">
        <f>IF(($A210=""),"",IF(COUNTIF(Mineral!$AJ$3:$AJ$324,$A210),"",$A210))</f>
        <v/>
      </c>
      <c r="BA202" t="str">
        <f>IFERROR(INDEX(Liste_Handelsünger[Handelsdünger],_xlfn.AGGREGATE(15,6,(ROW(Liste_Handelsünger[Handelsdünger])-1)/(--(SEARCH(BB$2,Liste_Handelsünger[Handelsdünger])&gt;0)),ROW()-2),1),"")</f>
        <v>Diabas Urgesteinsmehl</v>
      </c>
      <c r="BB202" t="str">
        <f>IF(($A211=""),"",IF(COUNTIF(Mineral!$AJ$3:$AJ$324,$A211),"",$A211))</f>
        <v/>
      </c>
      <c r="BC202" t="str">
        <f>IFERROR(INDEX(Liste_Handelsünger[Handelsdünger],_xlfn.AGGREGATE(15,6,(ROW(Liste_Handelsünger[Handelsdünger])-1)/(--(SEARCH(BD$2,Liste_Handelsünger[Handelsdünger])&gt;0)),ROW()-2),1),"")</f>
        <v>Diabas Urgesteinsmehl</v>
      </c>
      <c r="BD202" t="str">
        <f>IF(($A212=""),"",IF(COUNTIF(Mineral!$AJ$3:$AJ$324,$A212),"",$A212))</f>
        <v/>
      </c>
      <c r="BE202" t="str">
        <f>IFERROR(INDEX(Liste_Handelsünger[Handelsdünger],_xlfn.AGGREGATE(15,6,(ROW(Liste_Handelsünger[Handelsdünger])-1)/(--(SEARCH(BF$2,Liste_Handelsünger[Handelsdünger])&gt;0)),ROW()-2),1),"")</f>
        <v>Diabas Urgesteinsmehl</v>
      </c>
      <c r="BF202" t="str">
        <f>IF(($A213=""),"",IF(COUNTIF(Mineral!$AJ$3:$AJ$324,$A213),"",$A213))</f>
        <v/>
      </c>
      <c r="BG202" t="str">
        <f>IFERROR(INDEX(Liste_Handelsünger[Handelsdünger],_xlfn.AGGREGATE(15,6,(ROW(Liste_Handelsünger[Handelsdünger])-1)/(--(SEARCH(BH$2,Liste_Handelsünger[Handelsdünger])&gt;0)),ROW()-2),1),"")</f>
        <v>Diabas Urgesteinsmehl</v>
      </c>
      <c r="BH202" t="str">
        <f>IF(($A214=""),"",IF(COUNTIF(Mineral!$AJ$3:$AJ$324,$A214),"",$A214))</f>
        <v/>
      </c>
      <c r="BI202" t="str">
        <f>IFERROR(INDEX(Liste_Handelsünger[Handelsdünger],_xlfn.AGGREGATE(15,6,(ROW(Liste_Handelsünger[Handelsdünger])-1)/(--(SEARCH(BJ$2,Liste_Handelsünger[Handelsdünger])&gt;0)),ROW()-2),1),"")</f>
        <v>Diabas Urgesteinsmehl</v>
      </c>
      <c r="BJ202" t="str">
        <f>IF(($A215=""),"",IF(COUNTIF(Mineral!$AJ$3:$AJ$324,$A215),"",$A215))</f>
        <v/>
      </c>
      <c r="BK202" t="str">
        <f>IFERROR(INDEX(Liste_Handelsünger[Handelsdünger],_xlfn.AGGREGATE(15,6,(ROW(Liste_Handelsünger[Handelsdünger])-1)/(--(SEARCH(BL$2,Liste_Handelsünger[Handelsdünger])&gt;0)),ROW()-2),1),"")</f>
        <v>Diabas Urgesteinsmehl</v>
      </c>
      <c r="BM202" t="str">
        <f>IFERROR(INDEX(Liste_Handelsünger[Handelsdünger],_xlfn.AGGREGATE(15,6,(ROW(Liste_Handelsünger[Handelsdünger])-1)/(--(SEARCH(BN$2,Liste_Handelsünger[Handelsdünger])&gt;0)),ROW()-2),1),"")</f>
        <v>Diabas Urgesteinsmehl</v>
      </c>
      <c r="BN202" t="str">
        <f>IF(($A217=""),"",IF(COUNTIF(Mineral!$AJ$3:$AJ$324,$A217),"",$A217))</f>
        <v/>
      </c>
      <c r="BV202" t="s">
        <v>2117</v>
      </c>
      <c r="BW202" t="s">
        <v>2101</v>
      </c>
      <c r="BZ202" s="1602"/>
      <c r="CA202" s="1602"/>
      <c r="CB202" s="1602"/>
    </row>
    <row r="203" spans="19:80" ht="14.25" thickTop="1" thickBot="1">
      <c r="S203" s="1616">
        <v>202</v>
      </c>
      <c r="T203" s="1617" t="s">
        <v>2006</v>
      </c>
      <c r="U203" s="1617" t="s">
        <v>2118</v>
      </c>
      <c r="V203" s="1617" t="s">
        <v>408</v>
      </c>
      <c r="W203" s="1617">
        <v>0</v>
      </c>
      <c r="X203" s="1617"/>
      <c r="Y203" s="1617">
        <v>2</v>
      </c>
      <c r="Z203" s="1617">
        <v>0</v>
      </c>
      <c r="AA203" s="1617">
        <v>5</v>
      </c>
      <c r="AB203" s="1617"/>
      <c r="AC203" s="1617">
        <v>1</v>
      </c>
      <c r="AD203" s="1613">
        <v>1</v>
      </c>
      <c r="AE203" s="1617" t="s">
        <v>1764</v>
      </c>
      <c r="AF203" s="1613" t="str">
        <f t="shared" si="19"/>
        <v/>
      </c>
      <c r="AG203" s="1656">
        <f>IFERROR(IF($AF203&gt;0,VLOOKUP($U203,Tabelle1!$C$188:$L$212,5,0)*$AF203,0),0)</f>
        <v>0</v>
      </c>
      <c r="AH203" s="1656">
        <f t="shared" si="20"/>
        <v>0</v>
      </c>
      <c r="AJ203" t="str">
        <f>IF(Betrieb!$D$9="JA",Mineral!$BW203,Mineral!$BV203)</f>
        <v>Dialit</v>
      </c>
      <c r="AK203" s="1672" t="str">
        <f>IFERROR(INDEX(Liste_Handelsünger[Handelsdünger],_xlfn.AGGREGATE(15,6,(ROW(Liste_Handelsünger[Handelsdünger])-1)/(--(SEARCH(AL$2,Liste_Handelsünger[Handelsdünger])&gt;0)),ROW()-2),1),"")</f>
        <v>Dialit</v>
      </c>
      <c r="AL203" s="1672" t="str">
        <f>IF(($A$3=""),"",IF(COUNTIF(Mineral!$AJ$3:$AJ$324,$A$3),"",$A$3))</f>
        <v/>
      </c>
      <c r="AM203" s="1672" t="str">
        <f>IFERROR(INDEX(Liste_Handelsünger[Handelsdünger],_xlfn.AGGREGATE(15,6,(ROW(Liste_Handelsünger[Handelsdünger])-1)/(--(SEARCH(AN$2,Liste_Handelsünger[Handelsdünger])&gt;0)),ROW()-2),1),"")</f>
        <v>Dialit</v>
      </c>
      <c r="AN203" t="str">
        <f>IF(($A205=""),"",IF(COUNTIF(Mineral!$AJ$3:$AJ$324,$A205),"",$A205))</f>
        <v/>
      </c>
      <c r="AO203" t="str">
        <f>IFERROR(INDEX(Liste_Handelsünger[Handelsdünger],_xlfn.AGGREGATE(15,6,(ROW(Liste_Handelsünger[Handelsdünger])-1)/(--(SEARCH(AP$2,Liste_Handelsünger[Handelsdünger])&gt;0)),ROW()-2),1),"")</f>
        <v>Dialit</v>
      </c>
      <c r="AP203" t="str">
        <f>IF(($A206=""),"",IF(COUNTIF(Mineral!$AJ$3:$AJ$324,$A206),"",$A206))</f>
        <v/>
      </c>
      <c r="AQ203" t="str">
        <f>IFERROR(INDEX(Liste_Handelsünger[Handelsdünger],_xlfn.AGGREGATE(15,6,(ROW(Liste_Handelsünger[Handelsdünger])-1)/(--(SEARCH(AR$2,Liste_Handelsünger[Handelsdünger])&gt;0)),ROW()-2),1),"")</f>
        <v>Dialit</v>
      </c>
      <c r="AR203" t="str">
        <f>IF(($A207=""),"",IF(COUNTIF(Mineral!$AJ$3:$AJ$324,$A207),"",$A207))</f>
        <v/>
      </c>
      <c r="AS203" t="str">
        <f>IFERROR(INDEX(Liste_Handelsünger[Handelsdünger],_xlfn.AGGREGATE(15,6,(ROW(Liste_Handelsünger[Handelsdünger])-1)/(--(SEARCH(AT$2,Liste_Handelsünger[Handelsdünger])&gt;0)),ROW()-2),1),"")</f>
        <v>Dialit</v>
      </c>
      <c r="AT203" t="str">
        <f>IF(($A208=""),"",IF(COUNTIF(Mineral!$AJ$3:$AJ$324,$A208),"",$A208))</f>
        <v/>
      </c>
      <c r="AU203" t="str">
        <f>IFERROR(INDEX(Liste_Handelsünger[Handelsdünger],_xlfn.AGGREGATE(15,6,(ROW(Liste_Handelsünger[Handelsdünger])-1)/(--(SEARCH(AV$2,Liste_Handelsünger[Handelsdünger])&gt;0)),ROW()-2),1),"")</f>
        <v>Dialit</v>
      </c>
      <c r="AV203" t="str">
        <f>IF(($A209=""),"",IF(COUNTIF(Mineral!$AJ$3:$AJ$324,$A209),"",$A209))</f>
        <v/>
      </c>
      <c r="AW203" t="str">
        <f>IFERROR(INDEX(Liste_Handelsünger[Handelsdünger],_xlfn.AGGREGATE(15,6,(ROW(Liste_Handelsünger[Handelsdünger])-1)/(--(SEARCH(AX$2,Liste_Handelsünger[Handelsdünger])&gt;0)),ROW()-2),1),"")</f>
        <v>Dialit</v>
      </c>
      <c r="AX203" t="str">
        <f>IF(($A210=""),"",IF(COUNTIF(Mineral!$AJ$3:$AJ$324,$A210),"",$A210))</f>
        <v/>
      </c>
      <c r="AY203" t="str">
        <f>IFERROR(INDEX(Liste_Handelsünger[Handelsdünger],_xlfn.AGGREGATE(15,6,(ROW(Liste_Handelsünger[Handelsdünger])-1)/(--(SEARCH(AZ$2,Liste_Handelsünger[Handelsdünger])&gt;0)),ROW()-2),1),"")</f>
        <v>Dialit</v>
      </c>
      <c r="AZ203" t="str">
        <f>IF(($A211=""),"",IF(COUNTIF(Mineral!$AJ$3:$AJ$324,$A211),"",$A211))</f>
        <v/>
      </c>
      <c r="BA203" t="str">
        <f>IFERROR(INDEX(Liste_Handelsünger[Handelsdünger],_xlfn.AGGREGATE(15,6,(ROW(Liste_Handelsünger[Handelsdünger])-1)/(--(SEARCH(BB$2,Liste_Handelsünger[Handelsdünger])&gt;0)),ROW()-2),1),"")</f>
        <v>Dialit</v>
      </c>
      <c r="BB203" t="str">
        <f>IF(($A212=""),"",IF(COUNTIF(Mineral!$AJ$3:$AJ$324,$A212),"",$A212))</f>
        <v/>
      </c>
      <c r="BC203" t="str">
        <f>IFERROR(INDEX(Liste_Handelsünger[Handelsdünger],_xlfn.AGGREGATE(15,6,(ROW(Liste_Handelsünger[Handelsdünger])-1)/(--(SEARCH(BD$2,Liste_Handelsünger[Handelsdünger])&gt;0)),ROW()-2),1),"")</f>
        <v>Dialit</v>
      </c>
      <c r="BD203" t="str">
        <f>IF(($A213=""),"",IF(COUNTIF(Mineral!$AJ$3:$AJ$324,$A213),"",$A213))</f>
        <v/>
      </c>
      <c r="BE203" t="str">
        <f>IFERROR(INDEX(Liste_Handelsünger[Handelsdünger],_xlfn.AGGREGATE(15,6,(ROW(Liste_Handelsünger[Handelsdünger])-1)/(--(SEARCH(BF$2,Liste_Handelsünger[Handelsdünger])&gt;0)),ROW()-2),1),"")</f>
        <v>Dialit</v>
      </c>
      <c r="BF203" t="str">
        <f>IF(($A214=""),"",IF(COUNTIF(Mineral!$AJ$3:$AJ$324,$A214),"",$A214))</f>
        <v/>
      </c>
      <c r="BG203" t="str">
        <f>IFERROR(INDEX(Liste_Handelsünger[Handelsdünger],_xlfn.AGGREGATE(15,6,(ROW(Liste_Handelsünger[Handelsdünger])-1)/(--(SEARCH(BH$2,Liste_Handelsünger[Handelsdünger])&gt;0)),ROW()-2),1),"")</f>
        <v>Dialit</v>
      </c>
      <c r="BH203" t="str">
        <f>IF(($A215=""),"",IF(COUNTIF(Mineral!$AJ$3:$AJ$324,$A215),"",$A215))</f>
        <v/>
      </c>
      <c r="BI203" t="str">
        <f>IFERROR(INDEX(Liste_Handelsünger[Handelsdünger],_xlfn.AGGREGATE(15,6,(ROW(Liste_Handelsünger[Handelsdünger])-1)/(--(SEARCH(BJ$2,Liste_Handelsünger[Handelsdünger])&gt;0)),ROW()-2),1),"")</f>
        <v>Dialit</v>
      </c>
      <c r="BJ203" t="str">
        <f>IF(($A216=""),"",IF(COUNTIF(Mineral!$AJ$3:$AJ$324,$A216),"",$A216))</f>
        <v/>
      </c>
      <c r="BK203" t="str">
        <f>IFERROR(INDEX(Liste_Handelsünger[Handelsdünger],_xlfn.AGGREGATE(15,6,(ROW(Liste_Handelsünger[Handelsdünger])-1)/(--(SEARCH(BL$2,Liste_Handelsünger[Handelsdünger])&gt;0)),ROW()-2),1),"")</f>
        <v>Dialit</v>
      </c>
      <c r="BM203" t="str">
        <f>IFERROR(INDEX(Liste_Handelsünger[Handelsdünger],_xlfn.AGGREGATE(15,6,(ROW(Liste_Handelsünger[Handelsdünger])-1)/(--(SEARCH(BN$2,Liste_Handelsünger[Handelsdünger])&gt;0)),ROW()-2),1),"")</f>
        <v>Dialit</v>
      </c>
      <c r="BN203" t="str">
        <f>IF(($A218=""),"",IF(COUNTIF(Mineral!$AJ$3:$AJ$324,$A218),"",$A218))</f>
        <v/>
      </c>
      <c r="BV203" t="s">
        <v>2118</v>
      </c>
      <c r="BW203" t="s">
        <v>2082</v>
      </c>
      <c r="BZ203" s="1602"/>
      <c r="CA203" s="1602"/>
      <c r="CB203" s="1602"/>
    </row>
    <row r="204" spans="19:80" ht="14.25" thickTop="1" thickBot="1">
      <c r="S204" s="1676">
        <v>203</v>
      </c>
      <c r="T204" s="1606" t="s">
        <v>2006</v>
      </c>
      <c r="U204" s="1606" t="s">
        <v>2120</v>
      </c>
      <c r="V204" s="1606" t="s">
        <v>408</v>
      </c>
      <c r="W204" s="1606">
        <v>0</v>
      </c>
      <c r="X204" s="1606">
        <v>0</v>
      </c>
      <c r="Y204" s="1606">
        <v>0</v>
      </c>
      <c r="Z204" s="1606">
        <v>0</v>
      </c>
      <c r="AA204" s="1606">
        <v>53</v>
      </c>
      <c r="AB204" s="1606">
        <v>20</v>
      </c>
      <c r="AC204" s="1606">
        <v>1</v>
      </c>
      <c r="AD204" s="1613">
        <v>1</v>
      </c>
      <c r="AE204" s="1606" t="s">
        <v>1764</v>
      </c>
      <c r="AF204" s="1613" t="str">
        <f t="shared" si="19"/>
        <v/>
      </c>
      <c r="AG204" s="1656">
        <f>IFERROR(IF($AF204&gt;0,VLOOKUP($U204,Tabelle1!$C$188:$L$212,5,0)*$AF204,0),0)</f>
        <v>0</v>
      </c>
      <c r="AH204" s="1656">
        <f t="shared" si="20"/>
        <v>0</v>
      </c>
      <c r="AJ204" t="str">
        <f>IF(Betrieb!$D$9="JA",Mineral!$BW204,Mineral!$BV204)</f>
        <v>DolLit / Dolo 40</v>
      </c>
      <c r="AK204" s="1672" t="str">
        <f>IFERROR(INDEX(Liste_Handelsünger[Handelsdünger],_xlfn.AGGREGATE(15,6,(ROW(Liste_Handelsünger[Handelsdünger])-1)/(--(SEARCH(AL$2,Liste_Handelsünger[Handelsdünger])&gt;0)),ROW()-2),1),"")</f>
        <v>DolLit / Dolo 40</v>
      </c>
      <c r="AL204" s="1672" t="str">
        <f>IF(($A$3=""),"",IF(COUNTIF(Mineral!$AJ$3:$AJ$324,$A$3),"",$A$3))</f>
        <v/>
      </c>
      <c r="AM204" s="1672" t="str">
        <f>IFERROR(INDEX(Liste_Handelsünger[Handelsdünger],_xlfn.AGGREGATE(15,6,(ROW(Liste_Handelsünger[Handelsdünger])-1)/(--(SEARCH(AN$2,Liste_Handelsünger[Handelsdünger])&gt;0)),ROW()-2),1),"")</f>
        <v>DolLit / Dolo 40</v>
      </c>
      <c r="AN204" t="str">
        <f>IF(($A206=""),"",IF(COUNTIF(Mineral!$AJ$3:$AJ$324,$A206),"",$A206))</f>
        <v/>
      </c>
      <c r="AO204" t="str">
        <f>IFERROR(INDEX(Liste_Handelsünger[Handelsdünger],_xlfn.AGGREGATE(15,6,(ROW(Liste_Handelsünger[Handelsdünger])-1)/(--(SEARCH(AP$2,Liste_Handelsünger[Handelsdünger])&gt;0)),ROW()-2),1),"")</f>
        <v>DolLit / Dolo 40</v>
      </c>
      <c r="AP204" t="str">
        <f>IF(($A207=""),"",IF(COUNTIF(Mineral!$AJ$3:$AJ$324,$A207),"",$A207))</f>
        <v/>
      </c>
      <c r="AQ204" t="str">
        <f>IFERROR(INDEX(Liste_Handelsünger[Handelsdünger],_xlfn.AGGREGATE(15,6,(ROW(Liste_Handelsünger[Handelsdünger])-1)/(--(SEARCH(AR$2,Liste_Handelsünger[Handelsdünger])&gt;0)),ROW()-2),1),"")</f>
        <v>DolLit / Dolo 40</v>
      </c>
      <c r="AR204" t="str">
        <f>IF(($A208=""),"",IF(COUNTIF(Mineral!$AJ$3:$AJ$324,$A208),"",$A208))</f>
        <v/>
      </c>
      <c r="AS204" t="str">
        <f>IFERROR(INDEX(Liste_Handelsünger[Handelsdünger],_xlfn.AGGREGATE(15,6,(ROW(Liste_Handelsünger[Handelsdünger])-1)/(--(SEARCH(AT$2,Liste_Handelsünger[Handelsdünger])&gt;0)),ROW()-2),1),"")</f>
        <v>DolLit / Dolo 40</v>
      </c>
      <c r="AT204" t="str">
        <f>IF(($A209=""),"",IF(COUNTIF(Mineral!$AJ$3:$AJ$324,$A209),"",$A209))</f>
        <v/>
      </c>
      <c r="AU204" t="str">
        <f>IFERROR(INDEX(Liste_Handelsünger[Handelsdünger],_xlfn.AGGREGATE(15,6,(ROW(Liste_Handelsünger[Handelsdünger])-1)/(--(SEARCH(AV$2,Liste_Handelsünger[Handelsdünger])&gt;0)),ROW()-2),1),"")</f>
        <v>DolLit / Dolo 40</v>
      </c>
      <c r="AV204" t="str">
        <f>IF(($A210=""),"",IF(COUNTIF(Mineral!$AJ$3:$AJ$324,$A210),"",$A210))</f>
        <v/>
      </c>
      <c r="AW204" t="str">
        <f>IFERROR(INDEX(Liste_Handelsünger[Handelsdünger],_xlfn.AGGREGATE(15,6,(ROW(Liste_Handelsünger[Handelsdünger])-1)/(--(SEARCH(AX$2,Liste_Handelsünger[Handelsdünger])&gt;0)),ROW()-2),1),"")</f>
        <v>DolLit / Dolo 40</v>
      </c>
      <c r="AX204" t="str">
        <f>IF(($A211=""),"",IF(COUNTIF(Mineral!$AJ$3:$AJ$324,$A211),"",$A211))</f>
        <v/>
      </c>
      <c r="AY204" t="str">
        <f>IFERROR(INDEX(Liste_Handelsünger[Handelsdünger],_xlfn.AGGREGATE(15,6,(ROW(Liste_Handelsünger[Handelsdünger])-1)/(--(SEARCH(AZ$2,Liste_Handelsünger[Handelsdünger])&gt;0)),ROW()-2),1),"")</f>
        <v>DolLit / Dolo 40</v>
      </c>
      <c r="AZ204" t="str">
        <f>IF(($A212=""),"",IF(COUNTIF(Mineral!$AJ$3:$AJ$324,$A212),"",$A212))</f>
        <v/>
      </c>
      <c r="BA204" t="str">
        <f>IFERROR(INDEX(Liste_Handelsünger[Handelsdünger],_xlfn.AGGREGATE(15,6,(ROW(Liste_Handelsünger[Handelsdünger])-1)/(--(SEARCH(BB$2,Liste_Handelsünger[Handelsdünger])&gt;0)),ROW()-2),1),"")</f>
        <v>DolLit / Dolo 40</v>
      </c>
      <c r="BB204" t="str">
        <f>IF(($A213=""),"",IF(COUNTIF(Mineral!$AJ$3:$AJ$324,$A213),"",$A213))</f>
        <v/>
      </c>
      <c r="BC204" t="str">
        <f>IFERROR(INDEX(Liste_Handelsünger[Handelsdünger],_xlfn.AGGREGATE(15,6,(ROW(Liste_Handelsünger[Handelsdünger])-1)/(--(SEARCH(BD$2,Liste_Handelsünger[Handelsdünger])&gt;0)),ROW()-2),1),"")</f>
        <v>DolLit / Dolo 40</v>
      </c>
      <c r="BD204" t="str">
        <f>IF(($A214=""),"",IF(COUNTIF(Mineral!$AJ$3:$AJ$324,$A214),"",$A214))</f>
        <v/>
      </c>
      <c r="BE204" t="str">
        <f>IFERROR(INDEX(Liste_Handelsünger[Handelsdünger],_xlfn.AGGREGATE(15,6,(ROW(Liste_Handelsünger[Handelsdünger])-1)/(--(SEARCH(BF$2,Liste_Handelsünger[Handelsdünger])&gt;0)),ROW()-2),1),"")</f>
        <v>DolLit / Dolo 40</v>
      </c>
      <c r="BF204" t="str">
        <f>IF(($A215=""),"",IF(COUNTIF(Mineral!$AJ$3:$AJ$324,$A215),"",$A215))</f>
        <v/>
      </c>
      <c r="BG204" t="str">
        <f>IFERROR(INDEX(Liste_Handelsünger[Handelsdünger],_xlfn.AGGREGATE(15,6,(ROW(Liste_Handelsünger[Handelsdünger])-1)/(--(SEARCH(BH$2,Liste_Handelsünger[Handelsdünger])&gt;0)),ROW()-2),1),"")</f>
        <v>DolLit / Dolo 40</v>
      </c>
      <c r="BH204" t="str">
        <f>IF(($A216=""),"",IF(COUNTIF(Mineral!$AJ$3:$AJ$324,$A216),"",$A216))</f>
        <v/>
      </c>
      <c r="BI204" t="str">
        <f>IFERROR(INDEX(Liste_Handelsünger[Handelsdünger],_xlfn.AGGREGATE(15,6,(ROW(Liste_Handelsünger[Handelsdünger])-1)/(--(SEARCH(BJ$2,Liste_Handelsünger[Handelsdünger])&gt;0)),ROW()-2),1),"")</f>
        <v>DolLit / Dolo 40</v>
      </c>
      <c r="BJ204" t="str">
        <f>IF(($A217=""),"",IF(COUNTIF(Mineral!$AJ$3:$AJ$324,$A217),"",$A217))</f>
        <v/>
      </c>
      <c r="BK204" t="str">
        <f>IFERROR(INDEX(Liste_Handelsünger[Handelsdünger],_xlfn.AGGREGATE(15,6,(ROW(Liste_Handelsünger[Handelsdünger])-1)/(--(SEARCH(BL$2,Liste_Handelsünger[Handelsdünger])&gt;0)),ROW()-2),1),"")</f>
        <v>DolLit / Dolo 40</v>
      </c>
      <c r="BM204" t="str">
        <f>IFERROR(INDEX(Liste_Handelsünger[Handelsdünger],_xlfn.AGGREGATE(15,6,(ROW(Liste_Handelsünger[Handelsdünger])-1)/(--(SEARCH(BN$2,Liste_Handelsünger[Handelsdünger])&gt;0)),ROW()-2),1),"")</f>
        <v>DolLit / Dolo 40</v>
      </c>
      <c r="BN204" t="str">
        <f>IF(($A219=""),"",IF(COUNTIF(Mineral!$AJ$3:$AJ$324,$A219),"",$A219))</f>
        <v/>
      </c>
      <c r="BV204" t="s">
        <v>2120</v>
      </c>
      <c r="BW204" t="s">
        <v>2083</v>
      </c>
      <c r="BZ204" s="1602"/>
      <c r="CA204" s="1602"/>
      <c r="CB204" s="1602"/>
    </row>
    <row r="205" spans="19:80" ht="14.25" thickTop="1" thickBot="1">
      <c r="S205" s="1616">
        <v>204</v>
      </c>
      <c r="T205" s="1617" t="s">
        <v>2006</v>
      </c>
      <c r="U205" s="1617" t="s">
        <v>2125</v>
      </c>
      <c r="V205" s="1617" t="s">
        <v>408</v>
      </c>
      <c r="W205" s="1617">
        <v>3</v>
      </c>
      <c r="X205" s="1617">
        <v>0</v>
      </c>
      <c r="Y205" s="1617">
        <v>7.0000000000000009</v>
      </c>
      <c r="Z205" s="1617">
        <v>0</v>
      </c>
      <c r="AA205" s="1617">
        <v>0</v>
      </c>
      <c r="AB205" s="1617">
        <v>0</v>
      </c>
      <c r="AC205" s="1617">
        <v>0.7</v>
      </c>
      <c r="AD205" s="1613">
        <v>0.87</v>
      </c>
      <c r="AE205" s="1617" t="s">
        <v>2016</v>
      </c>
      <c r="AF205" s="1613" t="str">
        <f t="shared" si="19"/>
        <v/>
      </c>
      <c r="AG205" s="1656">
        <f>IFERROR(IF($AF205&gt;0,VLOOKUP($U205,Tabelle1!$C$188:$L$212,5,0)*$AF205,0),0)</f>
        <v>0</v>
      </c>
      <c r="AH205" s="1656">
        <f t="shared" si="20"/>
        <v>0</v>
      </c>
      <c r="AJ205" t="str">
        <f>IF(Betrieb!$D$9="JA",Mineral!$BW205,Mineral!$BV205)</f>
        <v>Ecovigor</v>
      </c>
      <c r="AK205" s="1672" t="str">
        <f>IFERROR(INDEX(Liste_Handelsünger[Handelsdünger],_xlfn.AGGREGATE(15,6,(ROW(Liste_Handelsünger[Handelsdünger])-1)/(--(SEARCH(AL$2,Liste_Handelsünger[Handelsdünger])&gt;0)),ROW()-2),1),"")</f>
        <v>Ecovigor</v>
      </c>
      <c r="AL205" s="1672" t="str">
        <f>IF(($A$3=""),"",IF(COUNTIF(Mineral!$AJ$3:$AJ$324,$A$3),"",$A$3))</f>
        <v/>
      </c>
      <c r="AM205" s="1672" t="str">
        <f>IFERROR(INDEX(Liste_Handelsünger[Handelsdünger],_xlfn.AGGREGATE(15,6,(ROW(Liste_Handelsünger[Handelsdünger])-1)/(--(SEARCH(AN$2,Liste_Handelsünger[Handelsdünger])&gt;0)),ROW()-2),1),"")</f>
        <v>Ecovigor</v>
      </c>
      <c r="AN205" t="str">
        <f>IF(($A207=""),"",IF(COUNTIF(Mineral!$AJ$3:$AJ$324,$A207),"",$A207))</f>
        <v/>
      </c>
      <c r="AO205" t="str">
        <f>IFERROR(INDEX(Liste_Handelsünger[Handelsdünger],_xlfn.AGGREGATE(15,6,(ROW(Liste_Handelsünger[Handelsdünger])-1)/(--(SEARCH(AP$2,Liste_Handelsünger[Handelsdünger])&gt;0)),ROW()-2),1),"")</f>
        <v>Ecovigor</v>
      </c>
      <c r="AP205" t="str">
        <f>IF(($A208=""),"",IF(COUNTIF(Mineral!$AJ$3:$AJ$324,$A208),"",$A208))</f>
        <v/>
      </c>
      <c r="AQ205" t="str">
        <f>IFERROR(INDEX(Liste_Handelsünger[Handelsdünger],_xlfn.AGGREGATE(15,6,(ROW(Liste_Handelsünger[Handelsdünger])-1)/(--(SEARCH(AR$2,Liste_Handelsünger[Handelsdünger])&gt;0)),ROW()-2),1),"")</f>
        <v>Ecovigor</v>
      </c>
      <c r="AR205" t="str">
        <f>IF(($A209=""),"",IF(COUNTIF(Mineral!$AJ$3:$AJ$324,$A209),"",$A209))</f>
        <v/>
      </c>
      <c r="AS205" t="str">
        <f>IFERROR(INDEX(Liste_Handelsünger[Handelsdünger],_xlfn.AGGREGATE(15,6,(ROW(Liste_Handelsünger[Handelsdünger])-1)/(--(SEARCH(AT$2,Liste_Handelsünger[Handelsdünger])&gt;0)),ROW()-2),1),"")</f>
        <v>Ecovigor</v>
      </c>
      <c r="AT205" t="str">
        <f>IF(($A210=""),"",IF(COUNTIF(Mineral!$AJ$3:$AJ$324,$A210),"",$A210))</f>
        <v/>
      </c>
      <c r="AU205" t="str">
        <f>IFERROR(INDEX(Liste_Handelsünger[Handelsdünger],_xlfn.AGGREGATE(15,6,(ROW(Liste_Handelsünger[Handelsdünger])-1)/(--(SEARCH(AV$2,Liste_Handelsünger[Handelsdünger])&gt;0)),ROW()-2),1),"")</f>
        <v>Ecovigor</v>
      </c>
      <c r="AV205" t="str">
        <f>IF(($A211=""),"",IF(COUNTIF(Mineral!$AJ$3:$AJ$324,$A211),"",$A211))</f>
        <v/>
      </c>
      <c r="AW205" t="str">
        <f>IFERROR(INDEX(Liste_Handelsünger[Handelsdünger],_xlfn.AGGREGATE(15,6,(ROW(Liste_Handelsünger[Handelsdünger])-1)/(--(SEARCH(AX$2,Liste_Handelsünger[Handelsdünger])&gt;0)),ROW()-2),1),"")</f>
        <v>Ecovigor</v>
      </c>
      <c r="AX205" t="str">
        <f>IF(($A212=""),"",IF(COUNTIF(Mineral!$AJ$3:$AJ$324,$A212),"",$A212))</f>
        <v/>
      </c>
      <c r="AY205" t="str">
        <f>IFERROR(INDEX(Liste_Handelsünger[Handelsdünger],_xlfn.AGGREGATE(15,6,(ROW(Liste_Handelsünger[Handelsdünger])-1)/(--(SEARCH(AZ$2,Liste_Handelsünger[Handelsdünger])&gt;0)),ROW()-2),1),"")</f>
        <v>Ecovigor</v>
      </c>
      <c r="AZ205" t="str">
        <f>IF(($A213=""),"",IF(COUNTIF(Mineral!$AJ$3:$AJ$324,$A213),"",$A213))</f>
        <v/>
      </c>
      <c r="BA205" t="str">
        <f>IFERROR(INDEX(Liste_Handelsünger[Handelsdünger],_xlfn.AGGREGATE(15,6,(ROW(Liste_Handelsünger[Handelsdünger])-1)/(--(SEARCH(BB$2,Liste_Handelsünger[Handelsdünger])&gt;0)),ROW()-2),1),"")</f>
        <v>Ecovigor</v>
      </c>
      <c r="BB205" t="str">
        <f>IF(($A214=""),"",IF(COUNTIF(Mineral!$AJ$3:$AJ$324,$A214),"",$A214))</f>
        <v/>
      </c>
      <c r="BC205" t="str">
        <f>IFERROR(INDEX(Liste_Handelsünger[Handelsdünger],_xlfn.AGGREGATE(15,6,(ROW(Liste_Handelsünger[Handelsdünger])-1)/(--(SEARCH(BD$2,Liste_Handelsünger[Handelsdünger])&gt;0)),ROW()-2),1),"")</f>
        <v>Ecovigor</v>
      </c>
      <c r="BD205" t="str">
        <f>IF(($A215=""),"",IF(COUNTIF(Mineral!$AJ$3:$AJ$324,$A215),"",$A215))</f>
        <v/>
      </c>
      <c r="BE205" t="str">
        <f>IFERROR(INDEX(Liste_Handelsünger[Handelsdünger],_xlfn.AGGREGATE(15,6,(ROW(Liste_Handelsünger[Handelsdünger])-1)/(--(SEARCH(BF$2,Liste_Handelsünger[Handelsdünger])&gt;0)),ROW()-2),1),"")</f>
        <v>Ecovigor</v>
      </c>
      <c r="BF205" t="str">
        <f>IF(($A216=""),"",IF(COUNTIF(Mineral!$AJ$3:$AJ$324,$A216),"",$A216))</f>
        <v/>
      </c>
      <c r="BG205" t="str">
        <f>IFERROR(INDEX(Liste_Handelsünger[Handelsdünger],_xlfn.AGGREGATE(15,6,(ROW(Liste_Handelsünger[Handelsdünger])-1)/(--(SEARCH(BH$2,Liste_Handelsünger[Handelsdünger])&gt;0)),ROW()-2),1),"")</f>
        <v>Ecovigor</v>
      </c>
      <c r="BH205" t="str">
        <f>IF(($A217=""),"",IF(COUNTIF(Mineral!$AJ$3:$AJ$324,$A217),"",$A217))</f>
        <v/>
      </c>
      <c r="BI205" t="str">
        <f>IFERROR(INDEX(Liste_Handelsünger[Handelsdünger],_xlfn.AGGREGATE(15,6,(ROW(Liste_Handelsünger[Handelsdünger])-1)/(--(SEARCH(BJ$2,Liste_Handelsünger[Handelsdünger])&gt;0)),ROW()-2),1),"")</f>
        <v>Ecovigor</v>
      </c>
      <c r="BJ205" t="str">
        <f>IF(($A218=""),"",IF(COUNTIF(Mineral!$AJ$3:$AJ$324,$A218),"",$A218))</f>
        <v/>
      </c>
      <c r="BK205" t="str">
        <f>IFERROR(INDEX(Liste_Handelsünger[Handelsdünger],_xlfn.AGGREGATE(15,6,(ROW(Liste_Handelsünger[Handelsdünger])-1)/(--(SEARCH(BL$2,Liste_Handelsünger[Handelsdünger])&gt;0)),ROW()-2),1),"")</f>
        <v>Ecovigor</v>
      </c>
      <c r="BM205" t="str">
        <f>IFERROR(INDEX(Liste_Handelsünger[Handelsdünger],_xlfn.AGGREGATE(15,6,(ROW(Liste_Handelsünger[Handelsdünger])-1)/(--(SEARCH(BN$2,Liste_Handelsünger[Handelsdünger])&gt;0)),ROW()-2),1),"")</f>
        <v>Ecovigor</v>
      </c>
      <c r="BN205" t="str">
        <f>IF(($A220=""),"",IF(COUNTIF(Mineral!$AJ$3:$AJ$324,$A220),"",$A220))</f>
        <v/>
      </c>
      <c r="BV205" t="s">
        <v>2125</v>
      </c>
      <c r="BW205" t="s">
        <v>2088</v>
      </c>
      <c r="BZ205" s="1602"/>
      <c r="CA205" s="1602"/>
      <c r="CB205" s="1602"/>
    </row>
    <row r="206" spans="19:80" ht="14.25" thickTop="1" thickBot="1">
      <c r="S206" s="1676">
        <v>205</v>
      </c>
      <c r="T206" s="1606" t="s">
        <v>2006</v>
      </c>
      <c r="U206" s="1606" t="s">
        <v>2126</v>
      </c>
      <c r="V206" s="1606" t="s">
        <v>408</v>
      </c>
      <c r="W206" s="1606">
        <v>0</v>
      </c>
      <c r="X206" s="1606">
        <v>0</v>
      </c>
      <c r="Y206" s="1606">
        <v>5</v>
      </c>
      <c r="Z206" s="1606">
        <v>0</v>
      </c>
      <c r="AA206" s="1606">
        <v>15</v>
      </c>
      <c r="AB206" s="1606">
        <v>7</v>
      </c>
      <c r="AC206" s="1606">
        <v>1</v>
      </c>
      <c r="AD206" s="1613">
        <v>1</v>
      </c>
      <c r="AE206" s="1606" t="s">
        <v>1764</v>
      </c>
      <c r="AF206" s="1613" t="str">
        <f t="shared" si="19"/>
        <v/>
      </c>
      <c r="AG206" s="1656">
        <f>IFERROR(IF($AF206&gt;0,VLOOKUP($U206,Tabelle1!$C$188:$L$212,5,0)*$AF206,0),0)</f>
        <v>0</v>
      </c>
      <c r="AH206" s="1656">
        <f t="shared" si="20"/>
        <v>0</v>
      </c>
      <c r="AJ206" t="str">
        <f>IF(Betrieb!$D$9="JA",Mineral!$BW206,Mineral!$BV206)</f>
        <v>Eifelgold Urgesteinsmehl</v>
      </c>
      <c r="AK206" s="1672" t="str">
        <f>IFERROR(INDEX(Liste_Handelsünger[Handelsdünger],_xlfn.AGGREGATE(15,6,(ROW(Liste_Handelsünger[Handelsdünger])-1)/(--(SEARCH(AL$2,Liste_Handelsünger[Handelsdünger])&gt;0)),ROW()-2),1),"")</f>
        <v>Eifelgold Urgesteinsmehl</v>
      </c>
      <c r="AL206" s="1672" t="str">
        <f>IF(($A$3=""),"",IF(COUNTIF(Mineral!$AJ$3:$AJ$324,$A$3),"",$A$3))</f>
        <v/>
      </c>
      <c r="AM206" s="1672" t="str">
        <f>IFERROR(INDEX(Liste_Handelsünger[Handelsdünger],_xlfn.AGGREGATE(15,6,(ROW(Liste_Handelsünger[Handelsdünger])-1)/(--(SEARCH(AN$2,Liste_Handelsünger[Handelsdünger])&gt;0)),ROW()-2),1),"")</f>
        <v>Eifelgold Urgesteinsmehl</v>
      </c>
      <c r="AN206" t="str">
        <f>IF(($A208=""),"",IF(COUNTIF(Mineral!$AJ$3:$AJ$324,$A208),"",$A208))</f>
        <v/>
      </c>
      <c r="AO206" t="str">
        <f>IFERROR(INDEX(Liste_Handelsünger[Handelsdünger],_xlfn.AGGREGATE(15,6,(ROW(Liste_Handelsünger[Handelsdünger])-1)/(--(SEARCH(AP$2,Liste_Handelsünger[Handelsdünger])&gt;0)),ROW()-2),1),"")</f>
        <v>Eifelgold Urgesteinsmehl</v>
      </c>
      <c r="AP206" t="str">
        <f>IF(($A209=""),"",IF(COUNTIF(Mineral!$AJ$3:$AJ$324,$A209),"",$A209))</f>
        <v/>
      </c>
      <c r="AQ206" t="str">
        <f>IFERROR(INDEX(Liste_Handelsünger[Handelsdünger],_xlfn.AGGREGATE(15,6,(ROW(Liste_Handelsünger[Handelsdünger])-1)/(--(SEARCH(AR$2,Liste_Handelsünger[Handelsdünger])&gt;0)),ROW()-2),1),"")</f>
        <v>Eifelgold Urgesteinsmehl</v>
      </c>
      <c r="AR206" t="str">
        <f>IF(($A210=""),"",IF(COUNTIF(Mineral!$AJ$3:$AJ$324,$A210),"",$A210))</f>
        <v/>
      </c>
      <c r="AS206" t="str">
        <f>IFERROR(INDEX(Liste_Handelsünger[Handelsdünger],_xlfn.AGGREGATE(15,6,(ROW(Liste_Handelsünger[Handelsdünger])-1)/(--(SEARCH(AT$2,Liste_Handelsünger[Handelsdünger])&gt;0)),ROW()-2),1),"")</f>
        <v>Eifelgold Urgesteinsmehl</v>
      </c>
      <c r="AT206" t="str">
        <f>IF(($A211=""),"",IF(COUNTIF(Mineral!$AJ$3:$AJ$324,$A211),"",$A211))</f>
        <v/>
      </c>
      <c r="AU206" t="str">
        <f>IFERROR(INDEX(Liste_Handelsünger[Handelsdünger],_xlfn.AGGREGATE(15,6,(ROW(Liste_Handelsünger[Handelsdünger])-1)/(--(SEARCH(AV$2,Liste_Handelsünger[Handelsdünger])&gt;0)),ROW()-2),1),"")</f>
        <v>Eifelgold Urgesteinsmehl</v>
      </c>
      <c r="AV206" t="str">
        <f>IF(($A212=""),"",IF(COUNTIF(Mineral!$AJ$3:$AJ$324,$A212),"",$A212))</f>
        <v/>
      </c>
      <c r="AW206" t="str">
        <f>IFERROR(INDEX(Liste_Handelsünger[Handelsdünger],_xlfn.AGGREGATE(15,6,(ROW(Liste_Handelsünger[Handelsdünger])-1)/(--(SEARCH(AX$2,Liste_Handelsünger[Handelsdünger])&gt;0)),ROW()-2),1),"")</f>
        <v>Eifelgold Urgesteinsmehl</v>
      </c>
      <c r="AX206" t="str">
        <f>IF(($A213=""),"",IF(COUNTIF(Mineral!$AJ$3:$AJ$324,$A213),"",$A213))</f>
        <v/>
      </c>
      <c r="AY206" t="str">
        <f>IFERROR(INDEX(Liste_Handelsünger[Handelsdünger],_xlfn.AGGREGATE(15,6,(ROW(Liste_Handelsünger[Handelsdünger])-1)/(--(SEARCH(AZ$2,Liste_Handelsünger[Handelsdünger])&gt;0)),ROW()-2),1),"")</f>
        <v>Eifelgold Urgesteinsmehl</v>
      </c>
      <c r="AZ206" t="str">
        <f>IF(($A214=""),"",IF(COUNTIF(Mineral!$AJ$3:$AJ$324,$A214),"",$A214))</f>
        <v/>
      </c>
      <c r="BA206" t="str">
        <f>IFERROR(INDEX(Liste_Handelsünger[Handelsdünger],_xlfn.AGGREGATE(15,6,(ROW(Liste_Handelsünger[Handelsdünger])-1)/(--(SEARCH(BB$2,Liste_Handelsünger[Handelsdünger])&gt;0)),ROW()-2),1),"")</f>
        <v>Eifelgold Urgesteinsmehl</v>
      </c>
      <c r="BB206" t="str">
        <f>IF(($A215=""),"",IF(COUNTIF(Mineral!$AJ$3:$AJ$324,$A215),"",$A215))</f>
        <v/>
      </c>
      <c r="BC206" t="str">
        <f>IFERROR(INDEX(Liste_Handelsünger[Handelsdünger],_xlfn.AGGREGATE(15,6,(ROW(Liste_Handelsünger[Handelsdünger])-1)/(--(SEARCH(BD$2,Liste_Handelsünger[Handelsdünger])&gt;0)),ROW()-2),1),"")</f>
        <v>Eifelgold Urgesteinsmehl</v>
      </c>
      <c r="BD206" t="str">
        <f>IF(($A216=""),"",IF(COUNTIF(Mineral!$AJ$3:$AJ$324,$A216),"",$A216))</f>
        <v/>
      </c>
      <c r="BE206" t="str">
        <f>IFERROR(INDEX(Liste_Handelsünger[Handelsdünger],_xlfn.AGGREGATE(15,6,(ROW(Liste_Handelsünger[Handelsdünger])-1)/(--(SEARCH(BF$2,Liste_Handelsünger[Handelsdünger])&gt;0)),ROW()-2),1),"")</f>
        <v>Eifelgold Urgesteinsmehl</v>
      </c>
      <c r="BF206" t="str">
        <f>IF(($A217=""),"",IF(COUNTIF(Mineral!$AJ$3:$AJ$324,$A217),"",$A217))</f>
        <v/>
      </c>
      <c r="BG206" t="str">
        <f>IFERROR(INDEX(Liste_Handelsünger[Handelsdünger],_xlfn.AGGREGATE(15,6,(ROW(Liste_Handelsünger[Handelsdünger])-1)/(--(SEARCH(BH$2,Liste_Handelsünger[Handelsdünger])&gt;0)),ROW()-2),1),"")</f>
        <v>Eifelgold Urgesteinsmehl</v>
      </c>
      <c r="BH206" t="str">
        <f>IF(($A218=""),"",IF(COUNTIF(Mineral!$AJ$3:$AJ$324,$A218),"",$A218))</f>
        <v/>
      </c>
      <c r="BI206" t="str">
        <f>IFERROR(INDEX(Liste_Handelsünger[Handelsdünger],_xlfn.AGGREGATE(15,6,(ROW(Liste_Handelsünger[Handelsdünger])-1)/(--(SEARCH(BJ$2,Liste_Handelsünger[Handelsdünger])&gt;0)),ROW()-2),1),"")</f>
        <v>Eifelgold Urgesteinsmehl</v>
      </c>
      <c r="BJ206" t="str">
        <f>IF(($A219=""),"",IF(COUNTIF(Mineral!$AJ$3:$AJ$324,$A219),"",$A219))</f>
        <v/>
      </c>
      <c r="BK206" t="str">
        <f>IFERROR(INDEX(Liste_Handelsünger[Handelsdünger],_xlfn.AGGREGATE(15,6,(ROW(Liste_Handelsünger[Handelsdünger])-1)/(--(SEARCH(BL$2,Liste_Handelsünger[Handelsdünger])&gt;0)),ROW()-2),1),"")</f>
        <v>Eifelgold Urgesteinsmehl</v>
      </c>
      <c r="BM206" t="str">
        <f>IFERROR(INDEX(Liste_Handelsünger[Handelsdünger],_xlfn.AGGREGATE(15,6,(ROW(Liste_Handelsünger[Handelsdünger])-1)/(--(SEARCH(BN$2,Liste_Handelsünger[Handelsdünger])&gt;0)),ROW()-2),1),"")</f>
        <v>Eifelgold Urgesteinsmehl</v>
      </c>
      <c r="BN206" t="str">
        <f>IF(($A221=""),"",IF(COUNTIF(Mineral!$AJ$3:$AJ$324,$A221),"",$A221))</f>
        <v/>
      </c>
      <c r="BV206" t="s">
        <v>2126</v>
      </c>
      <c r="BW206" t="s">
        <v>2091</v>
      </c>
      <c r="BZ206" s="1602"/>
      <c r="CA206" s="1602"/>
      <c r="CB206" s="1602"/>
    </row>
    <row r="207" spans="19:80" ht="14.25" thickTop="1" thickBot="1">
      <c r="S207" s="1616">
        <v>206</v>
      </c>
      <c r="T207" s="1617" t="s">
        <v>2006</v>
      </c>
      <c r="U207" s="1617" t="s">
        <v>2129</v>
      </c>
      <c r="V207" s="1617" t="s">
        <v>408</v>
      </c>
      <c r="W207" s="1617">
        <v>0</v>
      </c>
      <c r="X207" s="1617">
        <v>0</v>
      </c>
      <c r="Y207" s="1617">
        <v>0</v>
      </c>
      <c r="Z207" s="1617">
        <v>0</v>
      </c>
      <c r="AA207" s="1617">
        <v>0</v>
      </c>
      <c r="AB207" s="1617">
        <v>0</v>
      </c>
      <c r="AC207" s="1617">
        <v>1</v>
      </c>
      <c r="AD207" s="1613">
        <v>1</v>
      </c>
      <c r="AE207" s="1617" t="s">
        <v>1764</v>
      </c>
      <c r="AF207" s="1613" t="str">
        <f t="shared" si="19"/>
        <v/>
      </c>
      <c r="AG207" s="1656">
        <f>IFERROR(IF($AF207&gt;0,VLOOKUP($U207,Tabelle1!$C$188:$L$212,5,0)*$AF207,0),0)</f>
        <v>0</v>
      </c>
      <c r="AH207" s="1656">
        <f t="shared" si="20"/>
        <v>0</v>
      </c>
      <c r="AJ207" t="str">
        <f>IF(Betrieb!$D$9="JA",Mineral!$BW207,Mineral!$BV207)</f>
        <v>Eisen-II-Sulfat</v>
      </c>
      <c r="AK207" s="1672" t="str">
        <f>IFERROR(INDEX(Liste_Handelsünger[Handelsdünger],_xlfn.AGGREGATE(15,6,(ROW(Liste_Handelsünger[Handelsdünger])-1)/(--(SEARCH(AL$2,Liste_Handelsünger[Handelsdünger])&gt;0)),ROW()-2),1),"")</f>
        <v>Eisen-II-Sulfat</v>
      </c>
      <c r="AL207" s="1672" t="str">
        <f>IF(($A$3=""),"",IF(COUNTIF(Mineral!$AJ$3:$AJ$324,$A$3),"",$A$3))</f>
        <v/>
      </c>
      <c r="AM207" s="1672" t="str">
        <f>IFERROR(INDEX(Liste_Handelsünger[Handelsdünger],_xlfn.AGGREGATE(15,6,(ROW(Liste_Handelsünger[Handelsdünger])-1)/(--(SEARCH(AN$2,Liste_Handelsünger[Handelsdünger])&gt;0)),ROW()-2),1),"")</f>
        <v>Eisen-II-Sulfat</v>
      </c>
      <c r="AN207" t="str">
        <f>IF(($A209=""),"",IF(COUNTIF(Mineral!$AJ$3:$AJ$324,$A209),"",$A209))</f>
        <v/>
      </c>
      <c r="AO207" t="str">
        <f>IFERROR(INDEX(Liste_Handelsünger[Handelsdünger],_xlfn.AGGREGATE(15,6,(ROW(Liste_Handelsünger[Handelsdünger])-1)/(--(SEARCH(AP$2,Liste_Handelsünger[Handelsdünger])&gt;0)),ROW()-2),1),"")</f>
        <v>Eisen-II-Sulfat</v>
      </c>
      <c r="AP207" t="str">
        <f>IF(($A210=""),"",IF(COUNTIF(Mineral!$AJ$3:$AJ$324,$A210),"",$A210))</f>
        <v/>
      </c>
      <c r="AQ207" t="str">
        <f>IFERROR(INDEX(Liste_Handelsünger[Handelsdünger],_xlfn.AGGREGATE(15,6,(ROW(Liste_Handelsünger[Handelsdünger])-1)/(--(SEARCH(AR$2,Liste_Handelsünger[Handelsdünger])&gt;0)),ROW()-2),1),"")</f>
        <v>Eisen-II-Sulfat</v>
      </c>
      <c r="AR207" t="str">
        <f>IF(($A211=""),"",IF(COUNTIF(Mineral!$AJ$3:$AJ$324,$A211),"",$A211))</f>
        <v/>
      </c>
      <c r="AS207" t="str">
        <f>IFERROR(INDEX(Liste_Handelsünger[Handelsdünger],_xlfn.AGGREGATE(15,6,(ROW(Liste_Handelsünger[Handelsdünger])-1)/(--(SEARCH(AT$2,Liste_Handelsünger[Handelsdünger])&gt;0)),ROW()-2),1),"")</f>
        <v>Eisen-II-Sulfat</v>
      </c>
      <c r="AT207" t="str">
        <f>IF(($A212=""),"",IF(COUNTIF(Mineral!$AJ$3:$AJ$324,$A212),"",$A212))</f>
        <v/>
      </c>
      <c r="AU207" t="str">
        <f>IFERROR(INDEX(Liste_Handelsünger[Handelsdünger],_xlfn.AGGREGATE(15,6,(ROW(Liste_Handelsünger[Handelsdünger])-1)/(--(SEARCH(AV$2,Liste_Handelsünger[Handelsdünger])&gt;0)),ROW()-2),1),"")</f>
        <v>Eisen-II-Sulfat</v>
      </c>
      <c r="AV207" t="str">
        <f>IF(($A213=""),"",IF(COUNTIF(Mineral!$AJ$3:$AJ$324,$A213),"",$A213))</f>
        <v/>
      </c>
      <c r="AW207" t="str">
        <f>IFERROR(INDEX(Liste_Handelsünger[Handelsdünger],_xlfn.AGGREGATE(15,6,(ROW(Liste_Handelsünger[Handelsdünger])-1)/(--(SEARCH(AX$2,Liste_Handelsünger[Handelsdünger])&gt;0)),ROW()-2),1),"")</f>
        <v>Eisen-II-Sulfat</v>
      </c>
      <c r="AX207" t="str">
        <f>IF(($A214=""),"",IF(COUNTIF(Mineral!$AJ$3:$AJ$324,$A214),"",$A214))</f>
        <v/>
      </c>
      <c r="AY207" t="str">
        <f>IFERROR(INDEX(Liste_Handelsünger[Handelsdünger],_xlfn.AGGREGATE(15,6,(ROW(Liste_Handelsünger[Handelsdünger])-1)/(--(SEARCH(AZ$2,Liste_Handelsünger[Handelsdünger])&gt;0)),ROW()-2),1),"")</f>
        <v>Eisen-II-Sulfat</v>
      </c>
      <c r="AZ207" t="str">
        <f>IF(($A215=""),"",IF(COUNTIF(Mineral!$AJ$3:$AJ$324,$A215),"",$A215))</f>
        <v/>
      </c>
      <c r="BA207" t="str">
        <f>IFERROR(INDEX(Liste_Handelsünger[Handelsdünger],_xlfn.AGGREGATE(15,6,(ROW(Liste_Handelsünger[Handelsdünger])-1)/(--(SEARCH(BB$2,Liste_Handelsünger[Handelsdünger])&gt;0)),ROW()-2),1),"")</f>
        <v>Eisen-II-Sulfat</v>
      </c>
      <c r="BB207" t="str">
        <f>IF(($A216=""),"",IF(COUNTIF(Mineral!$AJ$3:$AJ$324,$A216),"",$A216))</f>
        <v/>
      </c>
      <c r="BC207" t="str">
        <f>IFERROR(INDEX(Liste_Handelsünger[Handelsdünger],_xlfn.AGGREGATE(15,6,(ROW(Liste_Handelsünger[Handelsdünger])-1)/(--(SEARCH(BD$2,Liste_Handelsünger[Handelsdünger])&gt;0)),ROW()-2),1),"")</f>
        <v>Eisen-II-Sulfat</v>
      </c>
      <c r="BD207" t="str">
        <f>IF(($A217=""),"",IF(COUNTIF(Mineral!$AJ$3:$AJ$324,$A217),"",$A217))</f>
        <v/>
      </c>
      <c r="BE207" t="str">
        <f>IFERROR(INDEX(Liste_Handelsünger[Handelsdünger],_xlfn.AGGREGATE(15,6,(ROW(Liste_Handelsünger[Handelsdünger])-1)/(--(SEARCH(BF$2,Liste_Handelsünger[Handelsdünger])&gt;0)),ROW()-2),1),"")</f>
        <v>Eisen-II-Sulfat</v>
      </c>
      <c r="BF207" t="str">
        <f>IF(($A218=""),"",IF(COUNTIF(Mineral!$AJ$3:$AJ$324,$A218),"",$A218))</f>
        <v/>
      </c>
      <c r="BG207" t="str">
        <f>IFERROR(INDEX(Liste_Handelsünger[Handelsdünger],_xlfn.AGGREGATE(15,6,(ROW(Liste_Handelsünger[Handelsdünger])-1)/(--(SEARCH(BH$2,Liste_Handelsünger[Handelsdünger])&gt;0)),ROW()-2),1),"")</f>
        <v>Eisen-II-Sulfat</v>
      </c>
      <c r="BH207" t="str">
        <f>IF(($A219=""),"",IF(COUNTIF(Mineral!$AJ$3:$AJ$324,$A219),"",$A219))</f>
        <v/>
      </c>
      <c r="BI207" t="str">
        <f>IFERROR(INDEX(Liste_Handelsünger[Handelsdünger],_xlfn.AGGREGATE(15,6,(ROW(Liste_Handelsünger[Handelsdünger])-1)/(--(SEARCH(BJ$2,Liste_Handelsünger[Handelsdünger])&gt;0)),ROW()-2),1),"")</f>
        <v>Eisen-II-Sulfat</v>
      </c>
      <c r="BJ207" t="str">
        <f>IF(($A220=""),"",IF(COUNTIF(Mineral!$AJ$3:$AJ$324,$A220),"",$A220))</f>
        <v/>
      </c>
      <c r="BK207" t="str">
        <f>IFERROR(INDEX(Liste_Handelsünger[Handelsdünger],_xlfn.AGGREGATE(15,6,(ROW(Liste_Handelsünger[Handelsdünger])-1)/(--(SEARCH(BL$2,Liste_Handelsünger[Handelsdünger])&gt;0)),ROW()-2),1),"")</f>
        <v>Eisen-II-Sulfat</v>
      </c>
      <c r="BM207" t="str">
        <f>IFERROR(INDEX(Liste_Handelsünger[Handelsdünger],_xlfn.AGGREGATE(15,6,(ROW(Liste_Handelsünger[Handelsdünger])-1)/(--(SEARCH(BN$2,Liste_Handelsünger[Handelsdünger])&gt;0)),ROW()-2),1),"")</f>
        <v>Eisen-II-Sulfat</v>
      </c>
      <c r="BN207" t="str">
        <f>IF(($A222=""),"",IF(COUNTIF(Mineral!$AJ$3:$AJ$324,$A222),"",$A222))</f>
        <v/>
      </c>
      <c r="BV207" t="s">
        <v>2129</v>
      </c>
      <c r="BW207" t="s">
        <v>2090</v>
      </c>
      <c r="BZ207" s="1602"/>
      <c r="CA207" s="1602"/>
      <c r="CB207" s="1602"/>
    </row>
    <row r="208" spans="19:80" ht="14.25" thickTop="1" thickBot="1">
      <c r="S208" s="1676">
        <v>207</v>
      </c>
      <c r="T208" s="1606" t="s">
        <v>2006</v>
      </c>
      <c r="U208" s="1606" t="s">
        <v>2130</v>
      </c>
      <c r="V208" s="1606" t="s">
        <v>408</v>
      </c>
      <c r="W208" s="1606">
        <v>0</v>
      </c>
      <c r="X208" s="1606">
        <v>0</v>
      </c>
      <c r="Y208" s="1606">
        <v>0</v>
      </c>
      <c r="Z208" s="1606">
        <v>0</v>
      </c>
      <c r="AA208" s="1606">
        <v>0</v>
      </c>
      <c r="AB208" s="1606">
        <v>0</v>
      </c>
      <c r="AC208" s="1606">
        <v>1</v>
      </c>
      <c r="AD208" s="1613">
        <v>1</v>
      </c>
      <c r="AE208" s="1606" t="s">
        <v>1764</v>
      </c>
      <c r="AF208" s="1613" t="str">
        <f t="shared" si="19"/>
        <v/>
      </c>
      <c r="AG208" s="1656">
        <f>IFERROR(IF($AF208&gt;0,VLOOKUP($U208,Tabelle1!$C$188:$L$212,5,0)*$AF208,0),0)</f>
        <v>0</v>
      </c>
      <c r="AH208" s="1656">
        <f t="shared" si="20"/>
        <v>0</v>
      </c>
      <c r="AJ208" t="str">
        <f>IF(Betrieb!$D$9="JA",Mineral!$BW208,Mineral!$BV208)</f>
        <v>EM Keramikpulver</v>
      </c>
      <c r="AK208" s="1672" t="str">
        <f>IFERROR(INDEX(Liste_Handelsünger[Handelsdünger],_xlfn.AGGREGATE(15,6,(ROW(Liste_Handelsünger[Handelsdünger])-1)/(--(SEARCH(AL$2,Liste_Handelsünger[Handelsdünger])&gt;0)),ROW()-2),1),"")</f>
        <v>EM Keramikpulver</v>
      </c>
      <c r="AL208" s="1672" t="str">
        <f>IF(($A$3=""),"",IF(COUNTIF(Mineral!$AJ$3:$AJ$324,$A$3),"",$A$3))</f>
        <v/>
      </c>
      <c r="AM208" s="1672" t="str">
        <f>IFERROR(INDEX(Liste_Handelsünger[Handelsdünger],_xlfn.AGGREGATE(15,6,(ROW(Liste_Handelsünger[Handelsdünger])-1)/(--(SEARCH(AN$2,Liste_Handelsünger[Handelsdünger])&gt;0)),ROW()-2),1),"")</f>
        <v>EM Keramikpulver</v>
      </c>
      <c r="AN208" t="str">
        <f>IF(($A210=""),"",IF(COUNTIF(Mineral!$AJ$3:$AJ$324,$A210),"",$A210))</f>
        <v/>
      </c>
      <c r="AO208" t="str">
        <f>IFERROR(INDEX(Liste_Handelsünger[Handelsdünger],_xlfn.AGGREGATE(15,6,(ROW(Liste_Handelsünger[Handelsdünger])-1)/(--(SEARCH(AP$2,Liste_Handelsünger[Handelsdünger])&gt;0)),ROW()-2),1),"")</f>
        <v>EM Keramikpulver</v>
      </c>
      <c r="AP208" t="str">
        <f>IF(($A211=""),"",IF(COUNTIF(Mineral!$AJ$3:$AJ$324,$A211),"",$A211))</f>
        <v/>
      </c>
      <c r="AQ208" t="str">
        <f>IFERROR(INDEX(Liste_Handelsünger[Handelsdünger],_xlfn.AGGREGATE(15,6,(ROW(Liste_Handelsünger[Handelsdünger])-1)/(--(SEARCH(AR$2,Liste_Handelsünger[Handelsdünger])&gt;0)),ROW()-2),1),"")</f>
        <v>EM Keramikpulver</v>
      </c>
      <c r="AR208" t="str">
        <f>IF(($A212=""),"",IF(COUNTIF(Mineral!$AJ$3:$AJ$324,$A212),"",$A212))</f>
        <v/>
      </c>
      <c r="AS208" t="str">
        <f>IFERROR(INDEX(Liste_Handelsünger[Handelsdünger],_xlfn.AGGREGATE(15,6,(ROW(Liste_Handelsünger[Handelsdünger])-1)/(--(SEARCH(AT$2,Liste_Handelsünger[Handelsdünger])&gt;0)),ROW()-2),1),"")</f>
        <v>EM Keramikpulver</v>
      </c>
      <c r="AT208" t="str">
        <f>IF(($A213=""),"",IF(COUNTIF(Mineral!$AJ$3:$AJ$324,$A213),"",$A213))</f>
        <v/>
      </c>
      <c r="AU208" t="str">
        <f>IFERROR(INDEX(Liste_Handelsünger[Handelsdünger],_xlfn.AGGREGATE(15,6,(ROW(Liste_Handelsünger[Handelsdünger])-1)/(--(SEARCH(AV$2,Liste_Handelsünger[Handelsdünger])&gt;0)),ROW()-2),1),"")</f>
        <v>EM Keramikpulver</v>
      </c>
      <c r="AV208" t="str">
        <f>IF(($A214=""),"",IF(COUNTIF(Mineral!$AJ$3:$AJ$324,$A214),"",$A214))</f>
        <v/>
      </c>
      <c r="AW208" t="str">
        <f>IFERROR(INDEX(Liste_Handelsünger[Handelsdünger],_xlfn.AGGREGATE(15,6,(ROW(Liste_Handelsünger[Handelsdünger])-1)/(--(SEARCH(AX$2,Liste_Handelsünger[Handelsdünger])&gt;0)),ROW()-2),1),"")</f>
        <v>EM Keramikpulver</v>
      </c>
      <c r="AX208" t="str">
        <f>IF(($A215=""),"",IF(COUNTIF(Mineral!$AJ$3:$AJ$324,$A215),"",$A215))</f>
        <v/>
      </c>
      <c r="AY208" t="str">
        <f>IFERROR(INDEX(Liste_Handelsünger[Handelsdünger],_xlfn.AGGREGATE(15,6,(ROW(Liste_Handelsünger[Handelsdünger])-1)/(--(SEARCH(AZ$2,Liste_Handelsünger[Handelsdünger])&gt;0)),ROW()-2),1),"")</f>
        <v>EM Keramikpulver</v>
      </c>
      <c r="AZ208" t="str">
        <f>IF(($A216=""),"",IF(COUNTIF(Mineral!$AJ$3:$AJ$324,$A216),"",$A216))</f>
        <v/>
      </c>
      <c r="BA208" t="str">
        <f>IFERROR(INDEX(Liste_Handelsünger[Handelsdünger],_xlfn.AGGREGATE(15,6,(ROW(Liste_Handelsünger[Handelsdünger])-1)/(--(SEARCH(BB$2,Liste_Handelsünger[Handelsdünger])&gt;0)),ROW()-2),1),"")</f>
        <v>EM Keramikpulver</v>
      </c>
      <c r="BB208" t="str">
        <f>IF(($A217=""),"",IF(COUNTIF(Mineral!$AJ$3:$AJ$324,$A217),"",$A217))</f>
        <v/>
      </c>
      <c r="BC208" t="str">
        <f>IFERROR(INDEX(Liste_Handelsünger[Handelsdünger],_xlfn.AGGREGATE(15,6,(ROW(Liste_Handelsünger[Handelsdünger])-1)/(--(SEARCH(BD$2,Liste_Handelsünger[Handelsdünger])&gt;0)),ROW()-2),1),"")</f>
        <v>EM Keramikpulver</v>
      </c>
      <c r="BD208" t="str">
        <f>IF(($A218=""),"",IF(COUNTIF(Mineral!$AJ$3:$AJ$324,$A218),"",$A218))</f>
        <v/>
      </c>
      <c r="BE208" t="str">
        <f>IFERROR(INDEX(Liste_Handelsünger[Handelsdünger],_xlfn.AGGREGATE(15,6,(ROW(Liste_Handelsünger[Handelsdünger])-1)/(--(SEARCH(BF$2,Liste_Handelsünger[Handelsdünger])&gt;0)),ROW()-2),1),"")</f>
        <v>EM Keramikpulver</v>
      </c>
      <c r="BF208" t="str">
        <f>IF(($A219=""),"",IF(COUNTIF(Mineral!$AJ$3:$AJ$324,$A219),"",$A219))</f>
        <v/>
      </c>
      <c r="BG208" t="str">
        <f>IFERROR(INDEX(Liste_Handelsünger[Handelsdünger],_xlfn.AGGREGATE(15,6,(ROW(Liste_Handelsünger[Handelsdünger])-1)/(--(SEARCH(BH$2,Liste_Handelsünger[Handelsdünger])&gt;0)),ROW()-2),1),"")</f>
        <v>EM Keramikpulver</v>
      </c>
      <c r="BH208" t="str">
        <f>IF(($A220=""),"",IF(COUNTIF(Mineral!$AJ$3:$AJ$324,$A220),"",$A220))</f>
        <v/>
      </c>
      <c r="BI208" t="str">
        <f>IFERROR(INDEX(Liste_Handelsünger[Handelsdünger],_xlfn.AGGREGATE(15,6,(ROW(Liste_Handelsünger[Handelsdünger])-1)/(--(SEARCH(BJ$2,Liste_Handelsünger[Handelsdünger])&gt;0)),ROW()-2),1),"")</f>
        <v>EM Keramikpulver</v>
      </c>
      <c r="BJ208" t="str">
        <f>IF(($A221=""),"",IF(COUNTIF(Mineral!$AJ$3:$AJ$324,$A221),"",$A221))</f>
        <v/>
      </c>
      <c r="BK208" t="str">
        <f>IFERROR(INDEX(Liste_Handelsünger[Handelsdünger],_xlfn.AGGREGATE(15,6,(ROW(Liste_Handelsünger[Handelsdünger])-1)/(--(SEARCH(BL$2,Liste_Handelsünger[Handelsdünger])&gt;0)),ROW()-2),1),"")</f>
        <v>EM Keramikpulver</v>
      </c>
      <c r="BM208" t="str">
        <f>IFERROR(INDEX(Liste_Handelsünger[Handelsdünger],_xlfn.AGGREGATE(15,6,(ROW(Liste_Handelsünger[Handelsdünger])-1)/(--(SEARCH(BN$2,Liste_Handelsünger[Handelsdünger])&gt;0)),ROW()-2),1),"")</f>
        <v>EM Keramikpulver</v>
      </c>
      <c r="BN208" t="str">
        <f>IF(($A223=""),"",IF(COUNTIF(Mineral!$AJ$3:$AJ$324,$A223),"",$A223))</f>
        <v/>
      </c>
      <c r="BV208" t="s">
        <v>2130</v>
      </c>
      <c r="BW208" t="s">
        <v>2311</v>
      </c>
      <c r="BZ208" s="1602"/>
      <c r="CA208" s="1602"/>
      <c r="CB208" s="1602"/>
    </row>
    <row r="209" spans="19:80" ht="14.25" thickTop="1" thickBot="1">
      <c r="S209" s="1616">
        <v>208</v>
      </c>
      <c r="T209" s="1617" t="s">
        <v>2006</v>
      </c>
      <c r="U209" s="1617" t="s">
        <v>2131</v>
      </c>
      <c r="V209" s="1617" t="s">
        <v>408</v>
      </c>
      <c r="W209" s="1617">
        <v>0</v>
      </c>
      <c r="X209" s="1617">
        <v>0</v>
      </c>
      <c r="Y209" s="1617">
        <v>0</v>
      </c>
      <c r="Z209" s="1617">
        <v>0</v>
      </c>
      <c r="AA209" s="1617">
        <v>0</v>
      </c>
      <c r="AB209" s="1617">
        <v>0</v>
      </c>
      <c r="AC209" s="1617">
        <v>1</v>
      </c>
      <c r="AD209" s="1613">
        <v>1</v>
      </c>
      <c r="AE209" s="1617" t="s">
        <v>1764</v>
      </c>
      <c r="AF209" s="1613" t="str">
        <f t="shared" si="19"/>
        <v/>
      </c>
      <c r="AG209" s="1656">
        <f>IFERROR(IF($AF209&gt;0,VLOOKUP($U209,Tabelle1!$C$188:$L$212,5,0)*$AF209,0),0)</f>
        <v>0</v>
      </c>
      <c r="AH209" s="1656">
        <f t="shared" si="20"/>
        <v>0</v>
      </c>
      <c r="AJ209" t="str">
        <f>IF(Betrieb!$D$9="JA",Mineral!$BW209,Mineral!$BV209)</f>
        <v>eMB Aktiv</v>
      </c>
      <c r="AK209" s="1672" t="str">
        <f>IFERROR(INDEX(Liste_Handelsünger[Handelsdünger],_xlfn.AGGREGATE(15,6,(ROW(Liste_Handelsünger[Handelsdünger])-1)/(--(SEARCH(AL$2,Liste_Handelsünger[Handelsdünger])&gt;0)),ROW()-2),1),"")</f>
        <v>eMB Aktiv</v>
      </c>
      <c r="AL209" s="1672" t="str">
        <f>IF(($A$3=""),"",IF(COUNTIF(Mineral!$AJ$3:$AJ$324,$A$3),"",$A$3))</f>
        <v/>
      </c>
      <c r="AM209" s="1672" t="str">
        <f>IFERROR(INDEX(Liste_Handelsünger[Handelsdünger],_xlfn.AGGREGATE(15,6,(ROW(Liste_Handelsünger[Handelsdünger])-1)/(--(SEARCH(AN$2,Liste_Handelsünger[Handelsdünger])&gt;0)),ROW()-2),1),"")</f>
        <v>eMB Aktiv</v>
      </c>
      <c r="AN209" t="str">
        <f>IF(($A211=""),"",IF(COUNTIF(Mineral!$AJ$3:$AJ$324,$A211),"",$A211))</f>
        <v/>
      </c>
      <c r="AO209" t="str">
        <f>IFERROR(INDEX(Liste_Handelsünger[Handelsdünger],_xlfn.AGGREGATE(15,6,(ROW(Liste_Handelsünger[Handelsdünger])-1)/(--(SEARCH(AP$2,Liste_Handelsünger[Handelsdünger])&gt;0)),ROW()-2),1),"")</f>
        <v>eMB Aktiv</v>
      </c>
      <c r="AP209" t="str">
        <f>IF(($A212=""),"",IF(COUNTIF(Mineral!$AJ$3:$AJ$324,$A212),"",$A212))</f>
        <v/>
      </c>
      <c r="AQ209" t="str">
        <f>IFERROR(INDEX(Liste_Handelsünger[Handelsdünger],_xlfn.AGGREGATE(15,6,(ROW(Liste_Handelsünger[Handelsdünger])-1)/(--(SEARCH(AR$2,Liste_Handelsünger[Handelsdünger])&gt;0)),ROW()-2),1),"")</f>
        <v>eMB Aktiv</v>
      </c>
      <c r="AR209" t="str">
        <f>IF(($A213=""),"",IF(COUNTIF(Mineral!$AJ$3:$AJ$324,$A213),"",$A213))</f>
        <v/>
      </c>
      <c r="AS209" t="str">
        <f>IFERROR(INDEX(Liste_Handelsünger[Handelsdünger],_xlfn.AGGREGATE(15,6,(ROW(Liste_Handelsünger[Handelsdünger])-1)/(--(SEARCH(AT$2,Liste_Handelsünger[Handelsdünger])&gt;0)),ROW()-2),1),"")</f>
        <v>eMB Aktiv</v>
      </c>
      <c r="AT209" t="str">
        <f>IF(($A214=""),"",IF(COUNTIF(Mineral!$AJ$3:$AJ$324,$A214),"",$A214))</f>
        <v/>
      </c>
      <c r="AU209" t="str">
        <f>IFERROR(INDEX(Liste_Handelsünger[Handelsdünger],_xlfn.AGGREGATE(15,6,(ROW(Liste_Handelsünger[Handelsdünger])-1)/(--(SEARCH(AV$2,Liste_Handelsünger[Handelsdünger])&gt;0)),ROW()-2),1),"")</f>
        <v>eMB Aktiv</v>
      </c>
      <c r="AV209" t="str">
        <f>IF(($A215=""),"",IF(COUNTIF(Mineral!$AJ$3:$AJ$324,$A215),"",$A215))</f>
        <v/>
      </c>
      <c r="AW209" t="str">
        <f>IFERROR(INDEX(Liste_Handelsünger[Handelsdünger],_xlfn.AGGREGATE(15,6,(ROW(Liste_Handelsünger[Handelsdünger])-1)/(--(SEARCH(AX$2,Liste_Handelsünger[Handelsdünger])&gt;0)),ROW()-2),1),"")</f>
        <v>eMB Aktiv</v>
      </c>
      <c r="AX209" t="str">
        <f>IF(($A216=""),"",IF(COUNTIF(Mineral!$AJ$3:$AJ$324,$A216),"",$A216))</f>
        <v/>
      </c>
      <c r="AY209" t="str">
        <f>IFERROR(INDEX(Liste_Handelsünger[Handelsdünger],_xlfn.AGGREGATE(15,6,(ROW(Liste_Handelsünger[Handelsdünger])-1)/(--(SEARCH(AZ$2,Liste_Handelsünger[Handelsdünger])&gt;0)),ROW()-2),1),"")</f>
        <v>eMB Aktiv</v>
      </c>
      <c r="AZ209" t="str">
        <f>IF(($A217=""),"",IF(COUNTIF(Mineral!$AJ$3:$AJ$324,$A217),"",$A217))</f>
        <v/>
      </c>
      <c r="BA209" t="str">
        <f>IFERROR(INDEX(Liste_Handelsünger[Handelsdünger],_xlfn.AGGREGATE(15,6,(ROW(Liste_Handelsünger[Handelsdünger])-1)/(--(SEARCH(BB$2,Liste_Handelsünger[Handelsdünger])&gt;0)),ROW()-2),1),"")</f>
        <v>eMB Aktiv</v>
      </c>
      <c r="BB209" t="str">
        <f>IF(($A218=""),"",IF(COUNTIF(Mineral!$AJ$3:$AJ$324,$A218),"",$A218))</f>
        <v/>
      </c>
      <c r="BC209" t="str">
        <f>IFERROR(INDEX(Liste_Handelsünger[Handelsdünger],_xlfn.AGGREGATE(15,6,(ROW(Liste_Handelsünger[Handelsdünger])-1)/(--(SEARCH(BD$2,Liste_Handelsünger[Handelsdünger])&gt;0)),ROW()-2),1),"")</f>
        <v>eMB Aktiv</v>
      </c>
      <c r="BD209" t="str">
        <f>IF(($A219=""),"",IF(COUNTIF(Mineral!$AJ$3:$AJ$324,$A219),"",$A219))</f>
        <v/>
      </c>
      <c r="BE209" t="str">
        <f>IFERROR(INDEX(Liste_Handelsünger[Handelsdünger],_xlfn.AGGREGATE(15,6,(ROW(Liste_Handelsünger[Handelsdünger])-1)/(--(SEARCH(BF$2,Liste_Handelsünger[Handelsdünger])&gt;0)),ROW()-2),1),"")</f>
        <v>eMB Aktiv</v>
      </c>
      <c r="BF209" t="str">
        <f>IF(($A220=""),"",IF(COUNTIF(Mineral!$AJ$3:$AJ$324,$A220),"",$A220))</f>
        <v/>
      </c>
      <c r="BG209" t="str">
        <f>IFERROR(INDEX(Liste_Handelsünger[Handelsdünger],_xlfn.AGGREGATE(15,6,(ROW(Liste_Handelsünger[Handelsdünger])-1)/(--(SEARCH(BH$2,Liste_Handelsünger[Handelsdünger])&gt;0)),ROW()-2),1),"")</f>
        <v>eMB Aktiv</v>
      </c>
      <c r="BH209" t="str">
        <f>IF(($A221=""),"",IF(COUNTIF(Mineral!$AJ$3:$AJ$324,$A221),"",$A221))</f>
        <v/>
      </c>
      <c r="BI209" t="str">
        <f>IFERROR(INDEX(Liste_Handelsünger[Handelsdünger],_xlfn.AGGREGATE(15,6,(ROW(Liste_Handelsünger[Handelsdünger])-1)/(--(SEARCH(BJ$2,Liste_Handelsünger[Handelsdünger])&gt;0)),ROW()-2),1),"")</f>
        <v>eMB Aktiv</v>
      </c>
      <c r="BJ209" t="str">
        <f>IF(($A222=""),"",IF(COUNTIF(Mineral!$AJ$3:$AJ$324,$A222),"",$A222))</f>
        <v/>
      </c>
      <c r="BK209" t="str">
        <f>IFERROR(INDEX(Liste_Handelsünger[Handelsdünger],_xlfn.AGGREGATE(15,6,(ROW(Liste_Handelsünger[Handelsdünger])-1)/(--(SEARCH(BL$2,Liste_Handelsünger[Handelsdünger])&gt;0)),ROW()-2),1),"")</f>
        <v>eMB Aktiv</v>
      </c>
      <c r="BM209" t="str">
        <f>IFERROR(INDEX(Liste_Handelsünger[Handelsdünger],_xlfn.AGGREGATE(15,6,(ROW(Liste_Handelsünger[Handelsdünger])-1)/(--(SEARCH(BN$2,Liste_Handelsünger[Handelsdünger])&gt;0)),ROW()-2),1),"")</f>
        <v>eMB Aktiv</v>
      </c>
      <c r="BN209" t="str">
        <f>IF(($A224=""),"",IF(COUNTIF(Mineral!$AJ$3:$AJ$324,$A224),"",$A224))</f>
        <v/>
      </c>
      <c r="BV209" t="s">
        <v>2131</v>
      </c>
      <c r="BW209" t="s">
        <v>2312</v>
      </c>
      <c r="BZ209" s="1602"/>
      <c r="CA209" s="1602"/>
      <c r="CB209" s="1602"/>
    </row>
    <row r="210" spans="19:80" ht="14.25" thickTop="1" thickBot="1">
      <c r="S210" s="1676">
        <v>209</v>
      </c>
      <c r="T210" s="1606" t="s">
        <v>2006</v>
      </c>
      <c r="U210" s="1606" t="s">
        <v>2132</v>
      </c>
      <c r="V210" s="1606" t="s">
        <v>408</v>
      </c>
      <c r="W210" s="1606">
        <v>0</v>
      </c>
      <c r="X210" s="1606">
        <v>0</v>
      </c>
      <c r="Y210" s="1606">
        <v>0</v>
      </c>
      <c r="Z210" s="1606">
        <v>0</v>
      </c>
      <c r="AA210" s="1606">
        <v>0</v>
      </c>
      <c r="AB210" s="1606">
        <v>0</v>
      </c>
      <c r="AC210" s="1606">
        <v>1</v>
      </c>
      <c r="AD210" s="1613">
        <v>1</v>
      </c>
      <c r="AE210" s="1606" t="s">
        <v>1764</v>
      </c>
      <c r="AF210" s="1613" t="str">
        <f t="shared" si="19"/>
        <v/>
      </c>
      <c r="AG210" s="1656">
        <f>IFERROR(IF($AF210&gt;0,VLOOKUP($U210,Tabelle1!$C$188:$L$212,5,0)*$AF210,0),0)</f>
        <v>0</v>
      </c>
      <c r="AH210" s="1656">
        <f t="shared" si="20"/>
        <v>0</v>
      </c>
      <c r="AJ210" t="str">
        <f>IF(Betrieb!$D$9="JA",Mineral!$BW210,Mineral!$BV210)</f>
        <v>eMB Urlösung</v>
      </c>
      <c r="AK210" s="1672" t="str">
        <f>IFERROR(INDEX(Liste_Handelsünger[Handelsdünger],_xlfn.AGGREGATE(15,6,(ROW(Liste_Handelsünger[Handelsdünger])-1)/(--(SEARCH(AL$2,Liste_Handelsünger[Handelsdünger])&gt;0)),ROW()-2),1),"")</f>
        <v>eMB Urlösung</v>
      </c>
      <c r="AL210" s="1672" t="str">
        <f>IF(($A$3=""),"",IF(COUNTIF(Mineral!$AJ$3:$AJ$324,$A$3),"",$A$3))</f>
        <v/>
      </c>
      <c r="AM210" s="1672" t="str">
        <f>IFERROR(INDEX(Liste_Handelsünger[Handelsdünger],_xlfn.AGGREGATE(15,6,(ROW(Liste_Handelsünger[Handelsdünger])-1)/(--(SEARCH(AN$2,Liste_Handelsünger[Handelsdünger])&gt;0)),ROW()-2),1),"")</f>
        <v>eMB Urlösung</v>
      </c>
      <c r="AN210" t="str">
        <f>IF(($A212=""),"",IF(COUNTIF(Mineral!$AJ$3:$AJ$324,$A212),"",$A212))</f>
        <v/>
      </c>
      <c r="AO210" t="str">
        <f>IFERROR(INDEX(Liste_Handelsünger[Handelsdünger],_xlfn.AGGREGATE(15,6,(ROW(Liste_Handelsünger[Handelsdünger])-1)/(--(SEARCH(AP$2,Liste_Handelsünger[Handelsdünger])&gt;0)),ROW()-2),1),"")</f>
        <v>eMB Urlösung</v>
      </c>
      <c r="AP210" t="str">
        <f>IF(($A213=""),"",IF(COUNTIF(Mineral!$AJ$3:$AJ$324,$A213),"",$A213))</f>
        <v/>
      </c>
      <c r="AQ210" t="str">
        <f>IFERROR(INDEX(Liste_Handelsünger[Handelsdünger],_xlfn.AGGREGATE(15,6,(ROW(Liste_Handelsünger[Handelsdünger])-1)/(--(SEARCH(AR$2,Liste_Handelsünger[Handelsdünger])&gt;0)),ROW()-2),1),"")</f>
        <v>eMB Urlösung</v>
      </c>
      <c r="AR210" t="str">
        <f>IF(($A214=""),"",IF(COUNTIF(Mineral!$AJ$3:$AJ$324,$A214),"",$A214))</f>
        <v/>
      </c>
      <c r="AS210" t="str">
        <f>IFERROR(INDEX(Liste_Handelsünger[Handelsdünger],_xlfn.AGGREGATE(15,6,(ROW(Liste_Handelsünger[Handelsdünger])-1)/(--(SEARCH(AT$2,Liste_Handelsünger[Handelsdünger])&gt;0)),ROW()-2),1),"")</f>
        <v>eMB Urlösung</v>
      </c>
      <c r="AT210" t="str">
        <f>IF(($A215=""),"",IF(COUNTIF(Mineral!$AJ$3:$AJ$324,$A215),"",$A215))</f>
        <v/>
      </c>
      <c r="AU210" t="str">
        <f>IFERROR(INDEX(Liste_Handelsünger[Handelsdünger],_xlfn.AGGREGATE(15,6,(ROW(Liste_Handelsünger[Handelsdünger])-1)/(--(SEARCH(AV$2,Liste_Handelsünger[Handelsdünger])&gt;0)),ROW()-2),1),"")</f>
        <v>eMB Urlösung</v>
      </c>
      <c r="AV210" t="str">
        <f>IF(($A216=""),"",IF(COUNTIF(Mineral!$AJ$3:$AJ$324,$A216),"",$A216))</f>
        <v/>
      </c>
      <c r="AW210" t="str">
        <f>IFERROR(INDEX(Liste_Handelsünger[Handelsdünger],_xlfn.AGGREGATE(15,6,(ROW(Liste_Handelsünger[Handelsdünger])-1)/(--(SEARCH(AX$2,Liste_Handelsünger[Handelsdünger])&gt;0)),ROW()-2),1),"")</f>
        <v>eMB Urlösung</v>
      </c>
      <c r="AX210" t="str">
        <f>IF(($A217=""),"",IF(COUNTIF(Mineral!$AJ$3:$AJ$324,$A217),"",$A217))</f>
        <v/>
      </c>
      <c r="AY210" t="str">
        <f>IFERROR(INDEX(Liste_Handelsünger[Handelsdünger],_xlfn.AGGREGATE(15,6,(ROW(Liste_Handelsünger[Handelsdünger])-1)/(--(SEARCH(AZ$2,Liste_Handelsünger[Handelsdünger])&gt;0)),ROW()-2),1),"")</f>
        <v>eMB Urlösung</v>
      </c>
      <c r="AZ210" t="str">
        <f>IF(($A218=""),"",IF(COUNTIF(Mineral!$AJ$3:$AJ$324,$A218),"",$A218))</f>
        <v/>
      </c>
      <c r="BA210" t="str">
        <f>IFERROR(INDEX(Liste_Handelsünger[Handelsdünger],_xlfn.AGGREGATE(15,6,(ROW(Liste_Handelsünger[Handelsdünger])-1)/(--(SEARCH(BB$2,Liste_Handelsünger[Handelsdünger])&gt;0)),ROW()-2),1),"")</f>
        <v>eMB Urlösung</v>
      </c>
      <c r="BB210" t="str">
        <f>IF(($A219=""),"",IF(COUNTIF(Mineral!$AJ$3:$AJ$324,$A219),"",$A219))</f>
        <v/>
      </c>
      <c r="BC210" t="str">
        <f>IFERROR(INDEX(Liste_Handelsünger[Handelsdünger],_xlfn.AGGREGATE(15,6,(ROW(Liste_Handelsünger[Handelsdünger])-1)/(--(SEARCH(BD$2,Liste_Handelsünger[Handelsdünger])&gt;0)),ROW()-2),1),"")</f>
        <v>eMB Urlösung</v>
      </c>
      <c r="BD210" t="str">
        <f>IF(($A220=""),"",IF(COUNTIF(Mineral!$AJ$3:$AJ$324,$A220),"",$A220))</f>
        <v/>
      </c>
      <c r="BE210" t="str">
        <f>IFERROR(INDEX(Liste_Handelsünger[Handelsdünger],_xlfn.AGGREGATE(15,6,(ROW(Liste_Handelsünger[Handelsdünger])-1)/(--(SEARCH(BF$2,Liste_Handelsünger[Handelsdünger])&gt;0)),ROW()-2),1),"")</f>
        <v>eMB Urlösung</v>
      </c>
      <c r="BF210" t="str">
        <f>IF(($A221=""),"",IF(COUNTIF(Mineral!$AJ$3:$AJ$324,$A221),"",$A221))</f>
        <v/>
      </c>
      <c r="BG210" t="str">
        <f>IFERROR(INDEX(Liste_Handelsünger[Handelsdünger],_xlfn.AGGREGATE(15,6,(ROW(Liste_Handelsünger[Handelsdünger])-1)/(--(SEARCH(BH$2,Liste_Handelsünger[Handelsdünger])&gt;0)),ROW()-2),1),"")</f>
        <v>eMB Urlösung</v>
      </c>
      <c r="BH210" t="str">
        <f>IF(($A222=""),"",IF(COUNTIF(Mineral!$AJ$3:$AJ$324,$A222),"",$A222))</f>
        <v/>
      </c>
      <c r="BI210" t="str">
        <f>IFERROR(INDEX(Liste_Handelsünger[Handelsdünger],_xlfn.AGGREGATE(15,6,(ROW(Liste_Handelsünger[Handelsdünger])-1)/(--(SEARCH(BJ$2,Liste_Handelsünger[Handelsdünger])&gt;0)),ROW()-2),1),"")</f>
        <v>eMB Urlösung</v>
      </c>
      <c r="BJ210" t="str">
        <f>IF(($A223=""),"",IF(COUNTIF(Mineral!$AJ$3:$AJ$324,$A223),"",$A223))</f>
        <v/>
      </c>
      <c r="BK210" t="str">
        <f>IFERROR(INDEX(Liste_Handelsünger[Handelsdünger],_xlfn.AGGREGATE(15,6,(ROW(Liste_Handelsünger[Handelsdünger])-1)/(--(SEARCH(BL$2,Liste_Handelsünger[Handelsdünger])&gt;0)),ROW()-2),1),"")</f>
        <v>eMB Urlösung</v>
      </c>
      <c r="BM210" t="str">
        <f>IFERROR(INDEX(Liste_Handelsünger[Handelsdünger],_xlfn.AGGREGATE(15,6,(ROW(Liste_Handelsünger[Handelsdünger])-1)/(--(SEARCH(BN$2,Liste_Handelsünger[Handelsdünger])&gt;0)),ROW()-2),1),"")</f>
        <v>eMB Urlösung</v>
      </c>
      <c r="BN210" t="str">
        <f>IF(($A225=""),"",IF(COUNTIF(Mineral!$AJ$3:$AJ$324,$A225),"",$A225))</f>
        <v/>
      </c>
      <c r="BV210" t="s">
        <v>2132</v>
      </c>
      <c r="BW210" t="s">
        <v>2313</v>
      </c>
      <c r="BZ210" s="1602"/>
      <c r="CA210" s="1602"/>
      <c r="CB210" s="1602"/>
    </row>
    <row r="211" spans="19:80" ht="14.25" thickTop="1" thickBot="1">
      <c r="S211" s="1616">
        <v>210</v>
      </c>
      <c r="T211" s="1617" t="s">
        <v>2006</v>
      </c>
      <c r="U211" s="1617" t="s">
        <v>2133</v>
      </c>
      <c r="V211" s="1617" t="s">
        <v>408</v>
      </c>
      <c r="W211" s="1617">
        <v>4.3999999999999995</v>
      </c>
      <c r="X211" s="1617">
        <v>0.5</v>
      </c>
      <c r="Y211" s="1617">
        <v>4.3</v>
      </c>
      <c r="Z211" s="1617">
        <v>0.4</v>
      </c>
      <c r="AA211" s="1617">
        <v>0</v>
      </c>
      <c r="AB211" s="1617">
        <v>0.15</v>
      </c>
      <c r="AC211" s="1617">
        <v>0.7</v>
      </c>
      <c r="AD211" s="1613">
        <v>0.87</v>
      </c>
      <c r="AE211" s="1617" t="s">
        <v>2016</v>
      </c>
      <c r="AF211" s="1613" t="str">
        <f t="shared" si="19"/>
        <v/>
      </c>
      <c r="AG211" s="1656">
        <f>IFERROR(IF($AF211&gt;0,VLOOKUP($U211,Tabelle1!$C$188:$L$212,5,0)*$AF211,0),0)</f>
        <v>0</v>
      </c>
      <c r="AH211" s="1656">
        <f t="shared" si="20"/>
        <v>0</v>
      </c>
      <c r="AJ211" t="str">
        <f>IF(Betrieb!$D$9="JA",Mineral!$BW211,Mineral!$BV211)</f>
        <v>EMIKO MikroDünger</v>
      </c>
      <c r="AK211" s="1672" t="str">
        <f>IFERROR(INDEX(Liste_Handelsünger[Handelsdünger],_xlfn.AGGREGATE(15,6,(ROW(Liste_Handelsünger[Handelsdünger])-1)/(--(SEARCH(AL$2,Liste_Handelsünger[Handelsdünger])&gt;0)),ROW()-2),1),"")</f>
        <v>EMIKO MikroDünger</v>
      </c>
      <c r="AL211" s="1672" t="str">
        <f>IF(($A$3=""),"",IF(COUNTIF(Mineral!$AJ$3:$AJ$324,$A$3),"",$A$3))</f>
        <v/>
      </c>
      <c r="AM211" s="1672" t="str">
        <f>IFERROR(INDEX(Liste_Handelsünger[Handelsdünger],_xlfn.AGGREGATE(15,6,(ROW(Liste_Handelsünger[Handelsdünger])-1)/(--(SEARCH(AN$2,Liste_Handelsünger[Handelsdünger])&gt;0)),ROW()-2),1),"")</f>
        <v>EMIKO MikroDünger</v>
      </c>
      <c r="AN211" t="str">
        <f>IF(($A213=""),"",IF(COUNTIF(Mineral!$AJ$3:$AJ$324,$A213),"",$A213))</f>
        <v/>
      </c>
      <c r="AO211" t="str">
        <f>IFERROR(INDEX(Liste_Handelsünger[Handelsdünger],_xlfn.AGGREGATE(15,6,(ROW(Liste_Handelsünger[Handelsdünger])-1)/(--(SEARCH(AP$2,Liste_Handelsünger[Handelsdünger])&gt;0)),ROW()-2),1),"")</f>
        <v>EMIKO MikroDünger</v>
      </c>
      <c r="AP211" t="str">
        <f>IF(($A214=""),"",IF(COUNTIF(Mineral!$AJ$3:$AJ$324,$A214),"",$A214))</f>
        <v/>
      </c>
      <c r="AQ211" t="str">
        <f>IFERROR(INDEX(Liste_Handelsünger[Handelsdünger],_xlfn.AGGREGATE(15,6,(ROW(Liste_Handelsünger[Handelsdünger])-1)/(--(SEARCH(AR$2,Liste_Handelsünger[Handelsdünger])&gt;0)),ROW()-2),1),"")</f>
        <v>EMIKO MikroDünger</v>
      </c>
      <c r="AR211" t="str">
        <f>IF(($A215=""),"",IF(COUNTIF(Mineral!$AJ$3:$AJ$324,$A215),"",$A215))</f>
        <v/>
      </c>
      <c r="AS211" t="str">
        <f>IFERROR(INDEX(Liste_Handelsünger[Handelsdünger],_xlfn.AGGREGATE(15,6,(ROW(Liste_Handelsünger[Handelsdünger])-1)/(--(SEARCH(AT$2,Liste_Handelsünger[Handelsdünger])&gt;0)),ROW()-2),1),"")</f>
        <v>EMIKO MikroDünger</v>
      </c>
      <c r="AT211" t="str">
        <f>IF(($A216=""),"",IF(COUNTIF(Mineral!$AJ$3:$AJ$324,$A216),"",$A216))</f>
        <v/>
      </c>
      <c r="AU211" t="str">
        <f>IFERROR(INDEX(Liste_Handelsünger[Handelsdünger],_xlfn.AGGREGATE(15,6,(ROW(Liste_Handelsünger[Handelsdünger])-1)/(--(SEARCH(AV$2,Liste_Handelsünger[Handelsdünger])&gt;0)),ROW()-2),1),"")</f>
        <v>EMIKO MikroDünger</v>
      </c>
      <c r="AV211" t="str">
        <f>IF(($A217=""),"",IF(COUNTIF(Mineral!$AJ$3:$AJ$324,$A217),"",$A217))</f>
        <v/>
      </c>
      <c r="AW211" t="str">
        <f>IFERROR(INDEX(Liste_Handelsünger[Handelsdünger],_xlfn.AGGREGATE(15,6,(ROW(Liste_Handelsünger[Handelsdünger])-1)/(--(SEARCH(AX$2,Liste_Handelsünger[Handelsdünger])&gt;0)),ROW()-2),1),"")</f>
        <v>EMIKO MikroDünger</v>
      </c>
      <c r="AX211" t="str">
        <f>IF(($A218=""),"",IF(COUNTIF(Mineral!$AJ$3:$AJ$324,$A218),"",$A218))</f>
        <v/>
      </c>
      <c r="AY211" t="str">
        <f>IFERROR(INDEX(Liste_Handelsünger[Handelsdünger],_xlfn.AGGREGATE(15,6,(ROW(Liste_Handelsünger[Handelsdünger])-1)/(--(SEARCH(AZ$2,Liste_Handelsünger[Handelsdünger])&gt;0)),ROW()-2),1),"")</f>
        <v>EMIKO MikroDünger</v>
      </c>
      <c r="AZ211" t="str">
        <f>IF(($A219=""),"",IF(COUNTIF(Mineral!$AJ$3:$AJ$324,$A219),"",$A219))</f>
        <v/>
      </c>
      <c r="BA211" t="str">
        <f>IFERROR(INDEX(Liste_Handelsünger[Handelsdünger],_xlfn.AGGREGATE(15,6,(ROW(Liste_Handelsünger[Handelsdünger])-1)/(--(SEARCH(BB$2,Liste_Handelsünger[Handelsdünger])&gt;0)),ROW()-2),1),"")</f>
        <v>EMIKO MikroDünger</v>
      </c>
      <c r="BB211" t="str">
        <f>IF(($A220=""),"",IF(COUNTIF(Mineral!$AJ$3:$AJ$324,$A220),"",$A220))</f>
        <v/>
      </c>
      <c r="BC211" t="str">
        <f>IFERROR(INDEX(Liste_Handelsünger[Handelsdünger],_xlfn.AGGREGATE(15,6,(ROW(Liste_Handelsünger[Handelsdünger])-1)/(--(SEARCH(BD$2,Liste_Handelsünger[Handelsdünger])&gt;0)),ROW()-2),1),"")</f>
        <v>EMIKO MikroDünger</v>
      </c>
      <c r="BD211" t="str">
        <f>IF(($A221=""),"",IF(COUNTIF(Mineral!$AJ$3:$AJ$324,$A221),"",$A221))</f>
        <v/>
      </c>
      <c r="BE211" t="str">
        <f>IFERROR(INDEX(Liste_Handelsünger[Handelsdünger],_xlfn.AGGREGATE(15,6,(ROW(Liste_Handelsünger[Handelsdünger])-1)/(--(SEARCH(BF$2,Liste_Handelsünger[Handelsdünger])&gt;0)),ROW()-2),1),"")</f>
        <v>EMIKO MikroDünger</v>
      </c>
      <c r="BF211" t="str">
        <f>IF(($A222=""),"",IF(COUNTIF(Mineral!$AJ$3:$AJ$324,$A222),"",$A222))</f>
        <v/>
      </c>
      <c r="BG211" t="str">
        <f>IFERROR(INDEX(Liste_Handelsünger[Handelsdünger],_xlfn.AGGREGATE(15,6,(ROW(Liste_Handelsünger[Handelsdünger])-1)/(--(SEARCH(BH$2,Liste_Handelsünger[Handelsdünger])&gt;0)),ROW()-2),1),"")</f>
        <v>EMIKO MikroDünger</v>
      </c>
      <c r="BH211" t="str">
        <f>IF(($A223=""),"",IF(COUNTIF(Mineral!$AJ$3:$AJ$324,$A223),"",$A223))</f>
        <v/>
      </c>
      <c r="BI211" t="str">
        <f>IFERROR(INDEX(Liste_Handelsünger[Handelsdünger],_xlfn.AGGREGATE(15,6,(ROW(Liste_Handelsünger[Handelsdünger])-1)/(--(SEARCH(BJ$2,Liste_Handelsünger[Handelsdünger])&gt;0)),ROW()-2),1),"")</f>
        <v>EMIKO MikroDünger</v>
      </c>
      <c r="BJ211" t="str">
        <f>IF(($A224=""),"",IF(COUNTIF(Mineral!$AJ$3:$AJ$324,$A224),"",$A224))</f>
        <v/>
      </c>
      <c r="BK211" t="str">
        <f>IFERROR(INDEX(Liste_Handelsünger[Handelsdünger],_xlfn.AGGREGATE(15,6,(ROW(Liste_Handelsünger[Handelsdünger])-1)/(--(SEARCH(BL$2,Liste_Handelsünger[Handelsdünger])&gt;0)),ROW()-2),1),"")</f>
        <v>EMIKO MikroDünger</v>
      </c>
      <c r="BM211" t="str">
        <f>IFERROR(INDEX(Liste_Handelsünger[Handelsdünger],_xlfn.AGGREGATE(15,6,(ROW(Liste_Handelsünger[Handelsdünger])-1)/(--(SEARCH(BN$2,Liste_Handelsünger[Handelsdünger])&gt;0)),ROW()-2),1),"")</f>
        <v>EMIKO MikroDünger</v>
      </c>
      <c r="BN211" t="str">
        <f>IF(($A226=""),"",IF(COUNTIF(Mineral!$AJ$3:$AJ$324,$A226),"",$A226))</f>
        <v/>
      </c>
      <c r="BV211" t="s">
        <v>2133</v>
      </c>
      <c r="BW211" t="s">
        <v>2017</v>
      </c>
      <c r="BZ211" s="1602"/>
      <c r="CA211" s="1602"/>
      <c r="CB211" s="1602"/>
    </row>
    <row r="212" spans="19:80" ht="14.25" thickTop="1" thickBot="1">
      <c r="S212" s="1676">
        <v>211</v>
      </c>
      <c r="T212" s="1606" t="s">
        <v>2006</v>
      </c>
      <c r="U212" s="1606" t="s">
        <v>2135</v>
      </c>
      <c r="V212" s="1606" t="s">
        <v>408</v>
      </c>
      <c r="W212" s="1606">
        <v>0</v>
      </c>
      <c r="X212" s="1606">
        <v>0</v>
      </c>
      <c r="Y212" s="1606">
        <v>0</v>
      </c>
      <c r="Z212" s="1606">
        <v>0</v>
      </c>
      <c r="AA212" s="1606">
        <v>55.600000000000009</v>
      </c>
      <c r="AB212" s="1606">
        <v>0</v>
      </c>
      <c r="AC212" s="1606">
        <v>1</v>
      </c>
      <c r="AD212" s="1613">
        <v>1</v>
      </c>
      <c r="AE212" s="1606" t="s">
        <v>1764</v>
      </c>
      <c r="AF212" s="1613" t="str">
        <f t="shared" si="19"/>
        <v/>
      </c>
      <c r="AG212" s="1656">
        <f>IFERROR(IF($AF212&gt;0,VLOOKUP($U212,Tabelle1!$C$188:$L$212,5,0)*$AF212,0),0)</f>
        <v>0</v>
      </c>
      <c r="AH212" s="1656">
        <f t="shared" si="20"/>
        <v>0</v>
      </c>
      <c r="AJ212" t="str">
        <f>IF(Betrieb!$D$9="JA",Mineral!$BW212,Mineral!$BV212)</f>
        <v>Epiflor Ca - ultrafein</v>
      </c>
      <c r="AK212" s="1672" t="str">
        <f>IFERROR(INDEX(Liste_Handelsünger[Handelsdünger],_xlfn.AGGREGATE(15,6,(ROW(Liste_Handelsünger[Handelsdünger])-1)/(--(SEARCH(AL$2,Liste_Handelsünger[Handelsdünger])&gt;0)),ROW()-2),1),"")</f>
        <v>Epiflor Ca - ultrafein</v>
      </c>
      <c r="AL212" s="1672" t="str">
        <f>IF(($A$3=""),"",IF(COUNTIF(Mineral!$AJ$3:$AJ$324,$A$3),"",$A$3))</f>
        <v/>
      </c>
      <c r="AM212" s="1672" t="str">
        <f>IFERROR(INDEX(Liste_Handelsünger[Handelsdünger],_xlfn.AGGREGATE(15,6,(ROW(Liste_Handelsünger[Handelsdünger])-1)/(--(SEARCH(AN$2,Liste_Handelsünger[Handelsdünger])&gt;0)),ROW()-2),1),"")</f>
        <v>Epiflor Ca - ultrafein</v>
      </c>
      <c r="AN212" t="str">
        <f>IF(($A214=""),"",IF(COUNTIF(Mineral!$AJ$3:$AJ$324,$A214),"",$A214))</f>
        <v/>
      </c>
      <c r="AO212" t="str">
        <f>IFERROR(INDEX(Liste_Handelsünger[Handelsdünger],_xlfn.AGGREGATE(15,6,(ROW(Liste_Handelsünger[Handelsdünger])-1)/(--(SEARCH(AP$2,Liste_Handelsünger[Handelsdünger])&gt;0)),ROW()-2),1),"")</f>
        <v>Epiflor Ca - ultrafein</v>
      </c>
      <c r="AP212" t="str">
        <f>IF(($A215=""),"",IF(COUNTIF(Mineral!$AJ$3:$AJ$324,$A215),"",$A215))</f>
        <v/>
      </c>
      <c r="AQ212" t="str">
        <f>IFERROR(INDEX(Liste_Handelsünger[Handelsdünger],_xlfn.AGGREGATE(15,6,(ROW(Liste_Handelsünger[Handelsdünger])-1)/(--(SEARCH(AR$2,Liste_Handelsünger[Handelsdünger])&gt;0)),ROW()-2),1),"")</f>
        <v>Epiflor Ca - ultrafein</v>
      </c>
      <c r="AR212" t="str">
        <f>IF(($A216=""),"",IF(COUNTIF(Mineral!$AJ$3:$AJ$324,$A216),"",$A216))</f>
        <v/>
      </c>
      <c r="AS212" t="str">
        <f>IFERROR(INDEX(Liste_Handelsünger[Handelsdünger],_xlfn.AGGREGATE(15,6,(ROW(Liste_Handelsünger[Handelsdünger])-1)/(--(SEARCH(AT$2,Liste_Handelsünger[Handelsdünger])&gt;0)),ROW()-2),1),"")</f>
        <v>Epiflor Ca - ultrafein</v>
      </c>
      <c r="AT212" t="str">
        <f>IF(($A217=""),"",IF(COUNTIF(Mineral!$AJ$3:$AJ$324,$A217),"",$A217))</f>
        <v/>
      </c>
      <c r="AU212" t="str">
        <f>IFERROR(INDEX(Liste_Handelsünger[Handelsdünger],_xlfn.AGGREGATE(15,6,(ROW(Liste_Handelsünger[Handelsdünger])-1)/(--(SEARCH(AV$2,Liste_Handelsünger[Handelsdünger])&gt;0)),ROW()-2),1),"")</f>
        <v>Epiflor Ca - ultrafein</v>
      </c>
      <c r="AV212" t="str">
        <f>IF(($A218=""),"",IF(COUNTIF(Mineral!$AJ$3:$AJ$324,$A218),"",$A218))</f>
        <v/>
      </c>
      <c r="AW212" t="str">
        <f>IFERROR(INDEX(Liste_Handelsünger[Handelsdünger],_xlfn.AGGREGATE(15,6,(ROW(Liste_Handelsünger[Handelsdünger])-1)/(--(SEARCH(AX$2,Liste_Handelsünger[Handelsdünger])&gt;0)),ROW()-2),1),"")</f>
        <v>Epiflor Ca - ultrafein</v>
      </c>
      <c r="AX212" t="str">
        <f>IF(($A219=""),"",IF(COUNTIF(Mineral!$AJ$3:$AJ$324,$A219),"",$A219))</f>
        <v/>
      </c>
      <c r="AY212" t="str">
        <f>IFERROR(INDEX(Liste_Handelsünger[Handelsdünger],_xlfn.AGGREGATE(15,6,(ROW(Liste_Handelsünger[Handelsdünger])-1)/(--(SEARCH(AZ$2,Liste_Handelsünger[Handelsdünger])&gt;0)),ROW()-2),1),"")</f>
        <v>Epiflor Ca - ultrafein</v>
      </c>
      <c r="AZ212" t="str">
        <f>IF(($A220=""),"",IF(COUNTIF(Mineral!$AJ$3:$AJ$324,$A220),"",$A220))</f>
        <v/>
      </c>
      <c r="BA212" t="str">
        <f>IFERROR(INDEX(Liste_Handelsünger[Handelsdünger],_xlfn.AGGREGATE(15,6,(ROW(Liste_Handelsünger[Handelsdünger])-1)/(--(SEARCH(BB$2,Liste_Handelsünger[Handelsdünger])&gt;0)),ROW()-2),1),"")</f>
        <v>Epiflor Ca - ultrafein</v>
      </c>
      <c r="BB212" t="str">
        <f>IF(($A221=""),"",IF(COUNTIF(Mineral!$AJ$3:$AJ$324,$A221),"",$A221))</f>
        <v/>
      </c>
      <c r="BC212" t="str">
        <f>IFERROR(INDEX(Liste_Handelsünger[Handelsdünger],_xlfn.AGGREGATE(15,6,(ROW(Liste_Handelsünger[Handelsdünger])-1)/(--(SEARCH(BD$2,Liste_Handelsünger[Handelsdünger])&gt;0)),ROW()-2),1),"")</f>
        <v>Epiflor Ca - ultrafein</v>
      </c>
      <c r="BD212" t="str">
        <f>IF(($A222=""),"",IF(COUNTIF(Mineral!$AJ$3:$AJ$324,$A222),"",$A222))</f>
        <v/>
      </c>
      <c r="BE212" t="str">
        <f>IFERROR(INDEX(Liste_Handelsünger[Handelsdünger],_xlfn.AGGREGATE(15,6,(ROW(Liste_Handelsünger[Handelsdünger])-1)/(--(SEARCH(BF$2,Liste_Handelsünger[Handelsdünger])&gt;0)),ROW()-2),1),"")</f>
        <v>Epiflor Ca - ultrafein</v>
      </c>
      <c r="BF212" t="str">
        <f>IF(($A223=""),"",IF(COUNTIF(Mineral!$AJ$3:$AJ$324,$A223),"",$A223))</f>
        <v/>
      </c>
      <c r="BG212" t="str">
        <f>IFERROR(INDEX(Liste_Handelsünger[Handelsdünger],_xlfn.AGGREGATE(15,6,(ROW(Liste_Handelsünger[Handelsdünger])-1)/(--(SEARCH(BH$2,Liste_Handelsünger[Handelsdünger])&gt;0)),ROW()-2),1),"")</f>
        <v>Epiflor Ca - ultrafein</v>
      </c>
      <c r="BH212" t="str">
        <f>IF(($A224=""),"",IF(COUNTIF(Mineral!$AJ$3:$AJ$324,$A224),"",$A224))</f>
        <v/>
      </c>
      <c r="BI212" t="str">
        <f>IFERROR(INDEX(Liste_Handelsünger[Handelsdünger],_xlfn.AGGREGATE(15,6,(ROW(Liste_Handelsünger[Handelsdünger])-1)/(--(SEARCH(BJ$2,Liste_Handelsünger[Handelsdünger])&gt;0)),ROW()-2),1),"")</f>
        <v>Epiflor Ca - ultrafein</v>
      </c>
      <c r="BJ212" t="str">
        <f>IF(($A225=""),"",IF(COUNTIF(Mineral!$AJ$3:$AJ$324,$A225),"",$A225))</f>
        <v/>
      </c>
      <c r="BK212" t="str">
        <f>IFERROR(INDEX(Liste_Handelsünger[Handelsdünger],_xlfn.AGGREGATE(15,6,(ROW(Liste_Handelsünger[Handelsdünger])-1)/(--(SEARCH(BL$2,Liste_Handelsünger[Handelsdünger])&gt;0)),ROW()-2),1),"")</f>
        <v>Epiflor Ca - ultrafein</v>
      </c>
      <c r="BM212" t="str">
        <f>IFERROR(INDEX(Liste_Handelsünger[Handelsdünger],_xlfn.AGGREGATE(15,6,(ROW(Liste_Handelsünger[Handelsdünger])-1)/(--(SEARCH(BN$2,Liste_Handelsünger[Handelsdünger])&gt;0)),ROW()-2),1),"")</f>
        <v>Epiflor Ca - ultrafein</v>
      </c>
      <c r="BN212" t="str">
        <f>IF(($A227=""),"",IF(COUNTIF(Mineral!$AJ$3:$AJ$324,$A227),"",$A227))</f>
        <v/>
      </c>
      <c r="BV212" t="s">
        <v>2135</v>
      </c>
      <c r="BW212" t="s">
        <v>2038</v>
      </c>
      <c r="BZ212" s="1602"/>
      <c r="CA212" s="1602"/>
      <c r="CB212" s="1602"/>
    </row>
    <row r="213" spans="19:80" ht="14.25" thickTop="1" thickBot="1">
      <c r="S213" s="1616">
        <v>212</v>
      </c>
      <c r="T213" s="1617" t="s">
        <v>2006</v>
      </c>
      <c r="U213" s="1617" t="s">
        <v>2136</v>
      </c>
      <c r="V213" s="1617" t="s">
        <v>408</v>
      </c>
      <c r="W213" s="1617">
        <v>0</v>
      </c>
      <c r="X213" s="1617">
        <v>0</v>
      </c>
      <c r="Y213" s="1617">
        <v>0</v>
      </c>
      <c r="Z213" s="1617">
        <v>0</v>
      </c>
      <c r="AA213" s="1617">
        <v>30</v>
      </c>
      <c r="AB213" s="1617">
        <v>23.400000000000002</v>
      </c>
      <c r="AC213" s="1617">
        <v>1</v>
      </c>
      <c r="AD213" s="1613">
        <v>1</v>
      </c>
      <c r="AE213" s="1617" t="s">
        <v>1764</v>
      </c>
      <c r="AF213" s="1613" t="str">
        <f t="shared" si="19"/>
        <v/>
      </c>
      <c r="AG213" s="1656">
        <f>IFERROR(IF($AF213&gt;0,VLOOKUP($U213,Tabelle1!$C$188:$L$212,5,0)*$AF213,0),0)</f>
        <v>0</v>
      </c>
      <c r="AH213" s="1656">
        <f t="shared" si="20"/>
        <v>0</v>
      </c>
      <c r="AJ213" t="str">
        <f>IF(Betrieb!$D$9="JA",Mineral!$BW213,Mineral!$BV213)</f>
        <v>Epiflor Mg - ultrafein</v>
      </c>
      <c r="AK213" s="1672" t="str">
        <f>IFERROR(INDEX(Liste_Handelsünger[Handelsdünger],_xlfn.AGGREGATE(15,6,(ROW(Liste_Handelsünger[Handelsdünger])-1)/(--(SEARCH(AL$2,Liste_Handelsünger[Handelsdünger])&gt;0)),ROW()-2),1),"")</f>
        <v>Epiflor Mg - ultrafein</v>
      </c>
      <c r="AL213" s="1672" t="str">
        <f>IF(($A$3=""),"",IF(COUNTIF(Mineral!$AJ$3:$AJ$324,$A$3),"",$A$3))</f>
        <v/>
      </c>
      <c r="AM213" s="1672" t="str">
        <f>IFERROR(INDEX(Liste_Handelsünger[Handelsdünger],_xlfn.AGGREGATE(15,6,(ROW(Liste_Handelsünger[Handelsdünger])-1)/(--(SEARCH(AN$2,Liste_Handelsünger[Handelsdünger])&gt;0)),ROW()-2),1),"")</f>
        <v>Epiflor Mg - ultrafein</v>
      </c>
      <c r="AN213" t="str">
        <f>IF(($A215=""),"",IF(COUNTIF(Mineral!$AJ$3:$AJ$324,$A215),"",$A215))</f>
        <v/>
      </c>
      <c r="AO213" t="str">
        <f>IFERROR(INDEX(Liste_Handelsünger[Handelsdünger],_xlfn.AGGREGATE(15,6,(ROW(Liste_Handelsünger[Handelsdünger])-1)/(--(SEARCH(AP$2,Liste_Handelsünger[Handelsdünger])&gt;0)),ROW()-2),1),"")</f>
        <v>Epiflor Mg - ultrafein</v>
      </c>
      <c r="AP213" t="str">
        <f>IF(($A216=""),"",IF(COUNTIF(Mineral!$AJ$3:$AJ$324,$A216),"",$A216))</f>
        <v/>
      </c>
      <c r="AQ213" t="str">
        <f>IFERROR(INDEX(Liste_Handelsünger[Handelsdünger],_xlfn.AGGREGATE(15,6,(ROW(Liste_Handelsünger[Handelsdünger])-1)/(--(SEARCH(AR$2,Liste_Handelsünger[Handelsdünger])&gt;0)),ROW()-2),1),"")</f>
        <v>Epiflor Mg - ultrafein</v>
      </c>
      <c r="AR213" t="str">
        <f>IF(($A217=""),"",IF(COUNTIF(Mineral!$AJ$3:$AJ$324,$A217),"",$A217))</f>
        <v/>
      </c>
      <c r="AS213" t="str">
        <f>IFERROR(INDEX(Liste_Handelsünger[Handelsdünger],_xlfn.AGGREGATE(15,6,(ROW(Liste_Handelsünger[Handelsdünger])-1)/(--(SEARCH(AT$2,Liste_Handelsünger[Handelsdünger])&gt;0)),ROW()-2),1),"")</f>
        <v>Epiflor Mg - ultrafein</v>
      </c>
      <c r="AT213" t="str">
        <f>IF(($A218=""),"",IF(COUNTIF(Mineral!$AJ$3:$AJ$324,$A218),"",$A218))</f>
        <v/>
      </c>
      <c r="AU213" t="str">
        <f>IFERROR(INDEX(Liste_Handelsünger[Handelsdünger],_xlfn.AGGREGATE(15,6,(ROW(Liste_Handelsünger[Handelsdünger])-1)/(--(SEARCH(AV$2,Liste_Handelsünger[Handelsdünger])&gt;0)),ROW()-2),1),"")</f>
        <v>Epiflor Mg - ultrafein</v>
      </c>
      <c r="AV213" t="str">
        <f>IF(($A219=""),"",IF(COUNTIF(Mineral!$AJ$3:$AJ$324,$A219),"",$A219))</f>
        <v/>
      </c>
      <c r="AW213" t="str">
        <f>IFERROR(INDEX(Liste_Handelsünger[Handelsdünger],_xlfn.AGGREGATE(15,6,(ROW(Liste_Handelsünger[Handelsdünger])-1)/(--(SEARCH(AX$2,Liste_Handelsünger[Handelsdünger])&gt;0)),ROW()-2),1),"")</f>
        <v>Epiflor Mg - ultrafein</v>
      </c>
      <c r="AX213" t="str">
        <f>IF(($A220=""),"",IF(COUNTIF(Mineral!$AJ$3:$AJ$324,$A220),"",$A220))</f>
        <v/>
      </c>
      <c r="AY213" t="str">
        <f>IFERROR(INDEX(Liste_Handelsünger[Handelsdünger],_xlfn.AGGREGATE(15,6,(ROW(Liste_Handelsünger[Handelsdünger])-1)/(--(SEARCH(AZ$2,Liste_Handelsünger[Handelsdünger])&gt;0)),ROW()-2),1),"")</f>
        <v>Epiflor Mg - ultrafein</v>
      </c>
      <c r="AZ213" t="str">
        <f>IF(($A221=""),"",IF(COUNTIF(Mineral!$AJ$3:$AJ$324,$A221),"",$A221))</f>
        <v/>
      </c>
      <c r="BA213" t="str">
        <f>IFERROR(INDEX(Liste_Handelsünger[Handelsdünger],_xlfn.AGGREGATE(15,6,(ROW(Liste_Handelsünger[Handelsdünger])-1)/(--(SEARCH(BB$2,Liste_Handelsünger[Handelsdünger])&gt;0)),ROW()-2),1),"")</f>
        <v>Epiflor Mg - ultrafein</v>
      </c>
      <c r="BB213" t="str">
        <f>IF(($A222=""),"",IF(COUNTIF(Mineral!$AJ$3:$AJ$324,$A222),"",$A222))</f>
        <v/>
      </c>
      <c r="BC213" t="str">
        <f>IFERROR(INDEX(Liste_Handelsünger[Handelsdünger],_xlfn.AGGREGATE(15,6,(ROW(Liste_Handelsünger[Handelsdünger])-1)/(--(SEARCH(BD$2,Liste_Handelsünger[Handelsdünger])&gt;0)),ROW()-2),1),"")</f>
        <v>Epiflor Mg - ultrafein</v>
      </c>
      <c r="BD213" t="str">
        <f>IF(($A223=""),"",IF(COUNTIF(Mineral!$AJ$3:$AJ$324,$A223),"",$A223))</f>
        <v/>
      </c>
      <c r="BE213" t="str">
        <f>IFERROR(INDEX(Liste_Handelsünger[Handelsdünger],_xlfn.AGGREGATE(15,6,(ROW(Liste_Handelsünger[Handelsdünger])-1)/(--(SEARCH(BF$2,Liste_Handelsünger[Handelsdünger])&gt;0)),ROW()-2),1),"")</f>
        <v>Epiflor Mg - ultrafein</v>
      </c>
      <c r="BF213" t="str">
        <f>IF(($A224=""),"",IF(COUNTIF(Mineral!$AJ$3:$AJ$324,$A224),"",$A224))</f>
        <v/>
      </c>
      <c r="BG213" t="str">
        <f>IFERROR(INDEX(Liste_Handelsünger[Handelsdünger],_xlfn.AGGREGATE(15,6,(ROW(Liste_Handelsünger[Handelsdünger])-1)/(--(SEARCH(BH$2,Liste_Handelsünger[Handelsdünger])&gt;0)),ROW()-2),1),"")</f>
        <v>Epiflor Mg - ultrafein</v>
      </c>
      <c r="BH213" t="str">
        <f>IF(($A225=""),"",IF(COUNTIF(Mineral!$AJ$3:$AJ$324,$A225),"",$A225))</f>
        <v/>
      </c>
      <c r="BI213" t="str">
        <f>IFERROR(INDEX(Liste_Handelsünger[Handelsdünger],_xlfn.AGGREGATE(15,6,(ROW(Liste_Handelsünger[Handelsdünger])-1)/(--(SEARCH(BJ$2,Liste_Handelsünger[Handelsdünger])&gt;0)),ROW()-2),1),"")</f>
        <v>Epiflor Mg - ultrafein</v>
      </c>
      <c r="BJ213" t="str">
        <f>IF(($A226=""),"",IF(COUNTIF(Mineral!$AJ$3:$AJ$324,$A226),"",$A226))</f>
        <v/>
      </c>
      <c r="BK213" t="str">
        <f>IFERROR(INDEX(Liste_Handelsünger[Handelsdünger],_xlfn.AGGREGATE(15,6,(ROW(Liste_Handelsünger[Handelsdünger])-1)/(--(SEARCH(BL$2,Liste_Handelsünger[Handelsdünger])&gt;0)),ROW()-2),1),"")</f>
        <v>Epiflor Mg - ultrafein</v>
      </c>
      <c r="BM213" t="str">
        <f>IFERROR(INDEX(Liste_Handelsünger[Handelsdünger],_xlfn.AGGREGATE(15,6,(ROW(Liste_Handelsünger[Handelsdünger])-1)/(--(SEARCH(BN$2,Liste_Handelsünger[Handelsdünger])&gt;0)),ROW()-2),1),"")</f>
        <v>Epiflor Mg - ultrafein</v>
      </c>
      <c r="BN213" t="str">
        <f>IF(($A228=""),"",IF(COUNTIF(Mineral!$AJ$3:$AJ$324,$A228),"",$A228))</f>
        <v/>
      </c>
      <c r="BV213" t="s">
        <v>2136</v>
      </c>
      <c r="BW213" t="s">
        <v>2039</v>
      </c>
      <c r="BZ213" s="1602"/>
      <c r="CA213" s="1602"/>
      <c r="CB213" s="1602"/>
    </row>
    <row r="214" spans="19:80" ht="14.25" thickTop="1" thickBot="1">
      <c r="S214" s="1676">
        <v>213</v>
      </c>
      <c r="T214" s="1606" t="s">
        <v>2006</v>
      </c>
      <c r="U214" s="1606" t="s">
        <v>2137</v>
      </c>
      <c r="V214" s="1606" t="s">
        <v>408</v>
      </c>
      <c r="W214" s="1606">
        <v>0</v>
      </c>
      <c r="X214" s="1606">
        <v>0</v>
      </c>
      <c r="Y214" s="1606">
        <v>0</v>
      </c>
      <c r="Z214" s="1606">
        <v>13</v>
      </c>
      <c r="AA214" s="1606">
        <v>0</v>
      </c>
      <c r="AB214" s="1606">
        <v>13</v>
      </c>
      <c r="AC214" s="1606">
        <v>1</v>
      </c>
      <c r="AD214" s="1613">
        <v>1</v>
      </c>
      <c r="AE214" s="1606" t="s">
        <v>1764</v>
      </c>
      <c r="AF214" s="1613" t="str">
        <f t="shared" si="19"/>
        <v/>
      </c>
      <c r="AG214" s="1656">
        <f>IFERROR(IF($AF214&gt;0,VLOOKUP($U214,Tabelle1!$C$188:$L$212,5,0)*$AF214,0),0)</f>
        <v>0</v>
      </c>
      <c r="AH214" s="1656">
        <f t="shared" si="20"/>
        <v>0</v>
      </c>
      <c r="AJ214" t="str">
        <f>IF(Betrieb!$D$9="JA",Mineral!$BW214,Mineral!$BV214)</f>
        <v>Epso Combitop</v>
      </c>
      <c r="AK214" s="1672" t="str">
        <f>IFERROR(INDEX(Liste_Handelsünger[Handelsdünger],_xlfn.AGGREGATE(15,6,(ROW(Liste_Handelsünger[Handelsdünger])-1)/(--(SEARCH(AL$2,Liste_Handelsünger[Handelsdünger])&gt;0)),ROW()-2),1),"")</f>
        <v>Epso Combitop</v>
      </c>
      <c r="AL214" s="1672" t="str">
        <f>IF(($A$3=""),"",IF(COUNTIF(Mineral!$AJ$3:$AJ$324,$A$3),"",$A$3))</f>
        <v/>
      </c>
      <c r="AM214" s="1672" t="str">
        <f>IFERROR(INDEX(Liste_Handelsünger[Handelsdünger],_xlfn.AGGREGATE(15,6,(ROW(Liste_Handelsünger[Handelsdünger])-1)/(--(SEARCH(AN$2,Liste_Handelsünger[Handelsdünger])&gt;0)),ROW()-2),1),"")</f>
        <v>Epso Combitop</v>
      </c>
      <c r="AN214" t="str">
        <f>IF(($A216=""),"",IF(COUNTIF(Mineral!$AJ$3:$AJ$324,$A216),"",$A216))</f>
        <v/>
      </c>
      <c r="AO214" t="str">
        <f>IFERROR(INDEX(Liste_Handelsünger[Handelsdünger],_xlfn.AGGREGATE(15,6,(ROW(Liste_Handelsünger[Handelsdünger])-1)/(--(SEARCH(AP$2,Liste_Handelsünger[Handelsdünger])&gt;0)),ROW()-2),1),"")</f>
        <v>Epso Combitop</v>
      </c>
      <c r="AP214" t="str">
        <f>IF(($A217=""),"",IF(COUNTIF(Mineral!$AJ$3:$AJ$324,$A217),"",$A217))</f>
        <v/>
      </c>
      <c r="AQ214" t="str">
        <f>IFERROR(INDEX(Liste_Handelsünger[Handelsdünger],_xlfn.AGGREGATE(15,6,(ROW(Liste_Handelsünger[Handelsdünger])-1)/(--(SEARCH(AR$2,Liste_Handelsünger[Handelsdünger])&gt;0)),ROW()-2),1),"")</f>
        <v>Epso Combitop</v>
      </c>
      <c r="AR214" t="str">
        <f>IF(($A218=""),"",IF(COUNTIF(Mineral!$AJ$3:$AJ$324,$A218),"",$A218))</f>
        <v/>
      </c>
      <c r="AS214" t="str">
        <f>IFERROR(INDEX(Liste_Handelsünger[Handelsdünger],_xlfn.AGGREGATE(15,6,(ROW(Liste_Handelsünger[Handelsdünger])-1)/(--(SEARCH(AT$2,Liste_Handelsünger[Handelsdünger])&gt;0)),ROW()-2),1),"")</f>
        <v>Epso Combitop</v>
      </c>
      <c r="AT214" t="str">
        <f>IF(($A219=""),"",IF(COUNTIF(Mineral!$AJ$3:$AJ$324,$A219),"",$A219))</f>
        <v/>
      </c>
      <c r="AU214" t="str">
        <f>IFERROR(INDEX(Liste_Handelsünger[Handelsdünger],_xlfn.AGGREGATE(15,6,(ROW(Liste_Handelsünger[Handelsdünger])-1)/(--(SEARCH(AV$2,Liste_Handelsünger[Handelsdünger])&gt;0)),ROW()-2),1),"")</f>
        <v>Epso Combitop</v>
      </c>
      <c r="AV214" t="str">
        <f>IF(($A220=""),"",IF(COUNTIF(Mineral!$AJ$3:$AJ$324,$A220),"",$A220))</f>
        <v/>
      </c>
      <c r="AW214" t="str">
        <f>IFERROR(INDEX(Liste_Handelsünger[Handelsdünger],_xlfn.AGGREGATE(15,6,(ROW(Liste_Handelsünger[Handelsdünger])-1)/(--(SEARCH(AX$2,Liste_Handelsünger[Handelsdünger])&gt;0)),ROW()-2),1),"")</f>
        <v>Epso Combitop</v>
      </c>
      <c r="AX214" t="str">
        <f>IF(($A221=""),"",IF(COUNTIF(Mineral!$AJ$3:$AJ$324,$A221),"",$A221))</f>
        <v/>
      </c>
      <c r="AY214" t="str">
        <f>IFERROR(INDEX(Liste_Handelsünger[Handelsdünger],_xlfn.AGGREGATE(15,6,(ROW(Liste_Handelsünger[Handelsdünger])-1)/(--(SEARCH(AZ$2,Liste_Handelsünger[Handelsdünger])&gt;0)),ROW()-2),1),"")</f>
        <v>Epso Combitop</v>
      </c>
      <c r="AZ214" t="str">
        <f>IF(($A222=""),"",IF(COUNTIF(Mineral!$AJ$3:$AJ$324,$A222),"",$A222))</f>
        <v/>
      </c>
      <c r="BA214" t="str">
        <f>IFERROR(INDEX(Liste_Handelsünger[Handelsdünger],_xlfn.AGGREGATE(15,6,(ROW(Liste_Handelsünger[Handelsdünger])-1)/(--(SEARCH(BB$2,Liste_Handelsünger[Handelsdünger])&gt;0)),ROW()-2),1),"")</f>
        <v>Epso Combitop</v>
      </c>
      <c r="BB214" t="str">
        <f>IF(($A223=""),"",IF(COUNTIF(Mineral!$AJ$3:$AJ$324,$A223),"",$A223))</f>
        <v/>
      </c>
      <c r="BC214" t="str">
        <f>IFERROR(INDEX(Liste_Handelsünger[Handelsdünger],_xlfn.AGGREGATE(15,6,(ROW(Liste_Handelsünger[Handelsdünger])-1)/(--(SEARCH(BD$2,Liste_Handelsünger[Handelsdünger])&gt;0)),ROW()-2),1),"")</f>
        <v>Epso Combitop</v>
      </c>
      <c r="BD214" t="str">
        <f>IF(($A224=""),"",IF(COUNTIF(Mineral!$AJ$3:$AJ$324,$A224),"",$A224))</f>
        <v/>
      </c>
      <c r="BE214" t="str">
        <f>IFERROR(INDEX(Liste_Handelsünger[Handelsdünger],_xlfn.AGGREGATE(15,6,(ROW(Liste_Handelsünger[Handelsdünger])-1)/(--(SEARCH(BF$2,Liste_Handelsünger[Handelsdünger])&gt;0)),ROW()-2),1),"")</f>
        <v>Epso Combitop</v>
      </c>
      <c r="BF214" t="str">
        <f>IF(($A225=""),"",IF(COUNTIF(Mineral!$AJ$3:$AJ$324,$A225),"",$A225))</f>
        <v/>
      </c>
      <c r="BG214" t="str">
        <f>IFERROR(INDEX(Liste_Handelsünger[Handelsdünger],_xlfn.AGGREGATE(15,6,(ROW(Liste_Handelsünger[Handelsdünger])-1)/(--(SEARCH(BH$2,Liste_Handelsünger[Handelsdünger])&gt;0)),ROW()-2),1),"")</f>
        <v>Epso Combitop</v>
      </c>
      <c r="BH214" t="str">
        <f>IF(($A226=""),"",IF(COUNTIF(Mineral!$AJ$3:$AJ$324,$A226),"",$A226))</f>
        <v/>
      </c>
      <c r="BI214" t="str">
        <f>IFERROR(INDEX(Liste_Handelsünger[Handelsdünger],_xlfn.AGGREGATE(15,6,(ROW(Liste_Handelsünger[Handelsdünger])-1)/(--(SEARCH(BJ$2,Liste_Handelsünger[Handelsdünger])&gt;0)),ROW()-2),1),"")</f>
        <v>Epso Combitop</v>
      </c>
      <c r="BJ214" t="str">
        <f>IF(($A227=""),"",IF(COUNTIF(Mineral!$AJ$3:$AJ$324,$A227),"",$A227))</f>
        <v/>
      </c>
      <c r="BK214" t="str">
        <f>IFERROR(INDEX(Liste_Handelsünger[Handelsdünger],_xlfn.AGGREGATE(15,6,(ROW(Liste_Handelsünger[Handelsdünger])-1)/(--(SEARCH(BL$2,Liste_Handelsünger[Handelsdünger])&gt;0)),ROW()-2),1),"")</f>
        <v>Epso Combitop</v>
      </c>
      <c r="BM214" t="str">
        <f>IFERROR(INDEX(Liste_Handelsünger[Handelsdünger],_xlfn.AGGREGATE(15,6,(ROW(Liste_Handelsünger[Handelsdünger])-1)/(--(SEARCH(BN$2,Liste_Handelsünger[Handelsdünger])&gt;0)),ROW()-2),1),"")</f>
        <v>Epso Combitop</v>
      </c>
      <c r="BN214" t="str">
        <f>IF(($A229=""),"",IF(COUNTIF(Mineral!$AJ$3:$AJ$324,$A229),"",$A229))</f>
        <v/>
      </c>
      <c r="BV214" t="s">
        <v>2137</v>
      </c>
      <c r="BW214" t="s">
        <v>2044</v>
      </c>
      <c r="BZ214" s="1602"/>
      <c r="CA214" s="1602"/>
      <c r="CB214" s="1602"/>
    </row>
    <row r="215" spans="19:80" ht="14.25" thickTop="1" thickBot="1">
      <c r="S215" s="1616">
        <v>214</v>
      </c>
      <c r="T215" s="1617" t="s">
        <v>2006</v>
      </c>
      <c r="U215" s="1617" t="s">
        <v>2138</v>
      </c>
      <c r="V215" s="1617" t="s">
        <v>408</v>
      </c>
      <c r="W215" s="1617">
        <v>0</v>
      </c>
      <c r="X215" s="1617">
        <v>0</v>
      </c>
      <c r="Y215" s="1617">
        <v>0</v>
      </c>
      <c r="Z215" s="1617">
        <v>12</v>
      </c>
      <c r="AA215" s="1617">
        <v>0</v>
      </c>
      <c r="AB215" s="1617">
        <v>15</v>
      </c>
      <c r="AC215" s="1617">
        <v>1</v>
      </c>
      <c r="AD215" s="1613">
        <v>1</v>
      </c>
      <c r="AE215" s="1617" t="s">
        <v>1764</v>
      </c>
      <c r="AF215" s="1613" t="str">
        <f t="shared" si="19"/>
        <v/>
      </c>
      <c r="AG215" s="1656">
        <f>IFERROR(IF($AF215&gt;0,VLOOKUP($U215,Tabelle1!$C$188:$L$212,5,0)*$AF215,0),0)</f>
        <v>0</v>
      </c>
      <c r="AH215" s="1656">
        <f t="shared" si="20"/>
        <v>0</v>
      </c>
      <c r="AJ215" t="str">
        <f>IF(Betrieb!$D$9="JA",Mineral!$BW215,Mineral!$BV215)</f>
        <v>Epso Microtop</v>
      </c>
      <c r="AK215" s="1672" t="str">
        <f>IFERROR(INDEX(Liste_Handelsünger[Handelsdünger],_xlfn.AGGREGATE(15,6,(ROW(Liste_Handelsünger[Handelsdünger])-1)/(--(SEARCH(AL$2,Liste_Handelsünger[Handelsdünger])&gt;0)),ROW()-2),1),"")</f>
        <v>Epso Microtop</v>
      </c>
      <c r="AL215" s="1672" t="str">
        <f>IF(($A$3=""),"",IF(COUNTIF(Mineral!$AJ$3:$AJ$324,$A$3),"",$A$3))</f>
        <v/>
      </c>
      <c r="AM215" s="1672" t="str">
        <f>IFERROR(INDEX(Liste_Handelsünger[Handelsdünger],_xlfn.AGGREGATE(15,6,(ROW(Liste_Handelsünger[Handelsdünger])-1)/(--(SEARCH(AN$2,Liste_Handelsünger[Handelsdünger])&gt;0)),ROW()-2),1),"")</f>
        <v>Epso Microtop</v>
      </c>
      <c r="AN215" t="str">
        <f>IF(($A217=""),"",IF(COUNTIF(Mineral!$AJ$3:$AJ$324,$A217),"",$A217))</f>
        <v/>
      </c>
      <c r="AO215" t="str">
        <f>IFERROR(INDEX(Liste_Handelsünger[Handelsdünger],_xlfn.AGGREGATE(15,6,(ROW(Liste_Handelsünger[Handelsdünger])-1)/(--(SEARCH(AP$2,Liste_Handelsünger[Handelsdünger])&gt;0)),ROW()-2),1),"")</f>
        <v>Epso Microtop</v>
      </c>
      <c r="AP215" t="str">
        <f>IF(($A218=""),"",IF(COUNTIF(Mineral!$AJ$3:$AJ$324,$A218),"",$A218))</f>
        <v/>
      </c>
      <c r="AQ215" t="str">
        <f>IFERROR(INDEX(Liste_Handelsünger[Handelsdünger],_xlfn.AGGREGATE(15,6,(ROW(Liste_Handelsünger[Handelsdünger])-1)/(--(SEARCH(AR$2,Liste_Handelsünger[Handelsdünger])&gt;0)),ROW()-2),1),"")</f>
        <v>Epso Microtop</v>
      </c>
      <c r="AR215" t="str">
        <f>IF(($A219=""),"",IF(COUNTIF(Mineral!$AJ$3:$AJ$324,$A219),"",$A219))</f>
        <v/>
      </c>
      <c r="AS215" t="str">
        <f>IFERROR(INDEX(Liste_Handelsünger[Handelsdünger],_xlfn.AGGREGATE(15,6,(ROW(Liste_Handelsünger[Handelsdünger])-1)/(--(SEARCH(AT$2,Liste_Handelsünger[Handelsdünger])&gt;0)),ROW()-2),1),"")</f>
        <v>Epso Microtop</v>
      </c>
      <c r="AT215" t="str">
        <f>IF(($A220=""),"",IF(COUNTIF(Mineral!$AJ$3:$AJ$324,$A220),"",$A220))</f>
        <v/>
      </c>
      <c r="AU215" t="str">
        <f>IFERROR(INDEX(Liste_Handelsünger[Handelsdünger],_xlfn.AGGREGATE(15,6,(ROW(Liste_Handelsünger[Handelsdünger])-1)/(--(SEARCH(AV$2,Liste_Handelsünger[Handelsdünger])&gt;0)),ROW()-2),1),"")</f>
        <v>Epso Microtop</v>
      </c>
      <c r="AV215" t="str">
        <f>IF(($A221=""),"",IF(COUNTIF(Mineral!$AJ$3:$AJ$324,$A221),"",$A221))</f>
        <v/>
      </c>
      <c r="AW215" t="str">
        <f>IFERROR(INDEX(Liste_Handelsünger[Handelsdünger],_xlfn.AGGREGATE(15,6,(ROW(Liste_Handelsünger[Handelsdünger])-1)/(--(SEARCH(AX$2,Liste_Handelsünger[Handelsdünger])&gt;0)),ROW()-2),1),"")</f>
        <v>Epso Microtop</v>
      </c>
      <c r="AX215" t="str">
        <f>IF(($A222=""),"",IF(COUNTIF(Mineral!$AJ$3:$AJ$324,$A222),"",$A222))</f>
        <v/>
      </c>
      <c r="AY215" t="str">
        <f>IFERROR(INDEX(Liste_Handelsünger[Handelsdünger],_xlfn.AGGREGATE(15,6,(ROW(Liste_Handelsünger[Handelsdünger])-1)/(--(SEARCH(AZ$2,Liste_Handelsünger[Handelsdünger])&gt;0)),ROW()-2),1),"")</f>
        <v>Epso Microtop</v>
      </c>
      <c r="AZ215" t="str">
        <f>IF(($A223=""),"",IF(COUNTIF(Mineral!$AJ$3:$AJ$324,$A223),"",$A223))</f>
        <v/>
      </c>
      <c r="BA215" t="str">
        <f>IFERROR(INDEX(Liste_Handelsünger[Handelsdünger],_xlfn.AGGREGATE(15,6,(ROW(Liste_Handelsünger[Handelsdünger])-1)/(--(SEARCH(BB$2,Liste_Handelsünger[Handelsdünger])&gt;0)),ROW()-2),1),"")</f>
        <v>Epso Microtop</v>
      </c>
      <c r="BB215" t="str">
        <f>IF(($A224=""),"",IF(COUNTIF(Mineral!$AJ$3:$AJ$324,$A224),"",$A224))</f>
        <v/>
      </c>
      <c r="BC215" t="str">
        <f>IFERROR(INDEX(Liste_Handelsünger[Handelsdünger],_xlfn.AGGREGATE(15,6,(ROW(Liste_Handelsünger[Handelsdünger])-1)/(--(SEARCH(BD$2,Liste_Handelsünger[Handelsdünger])&gt;0)),ROW()-2),1),"")</f>
        <v>Epso Microtop</v>
      </c>
      <c r="BD215" t="str">
        <f>IF(($A225=""),"",IF(COUNTIF(Mineral!$AJ$3:$AJ$324,$A225),"",$A225))</f>
        <v/>
      </c>
      <c r="BE215" t="str">
        <f>IFERROR(INDEX(Liste_Handelsünger[Handelsdünger],_xlfn.AGGREGATE(15,6,(ROW(Liste_Handelsünger[Handelsdünger])-1)/(--(SEARCH(BF$2,Liste_Handelsünger[Handelsdünger])&gt;0)),ROW()-2),1),"")</f>
        <v>Epso Microtop</v>
      </c>
      <c r="BF215" t="str">
        <f>IF(($A226=""),"",IF(COUNTIF(Mineral!$AJ$3:$AJ$324,$A226),"",$A226))</f>
        <v/>
      </c>
      <c r="BG215" t="str">
        <f>IFERROR(INDEX(Liste_Handelsünger[Handelsdünger],_xlfn.AGGREGATE(15,6,(ROW(Liste_Handelsünger[Handelsdünger])-1)/(--(SEARCH(BH$2,Liste_Handelsünger[Handelsdünger])&gt;0)),ROW()-2),1),"")</f>
        <v>Epso Microtop</v>
      </c>
      <c r="BH215" t="str">
        <f>IF(($A227=""),"",IF(COUNTIF(Mineral!$AJ$3:$AJ$324,$A227),"",$A227))</f>
        <v/>
      </c>
      <c r="BI215" t="str">
        <f>IFERROR(INDEX(Liste_Handelsünger[Handelsdünger],_xlfn.AGGREGATE(15,6,(ROW(Liste_Handelsünger[Handelsdünger])-1)/(--(SEARCH(BJ$2,Liste_Handelsünger[Handelsdünger])&gt;0)),ROW()-2),1),"")</f>
        <v>Epso Microtop</v>
      </c>
      <c r="BJ215" t="str">
        <f>IF(($A228=""),"",IF(COUNTIF(Mineral!$AJ$3:$AJ$324,$A228),"",$A228))</f>
        <v/>
      </c>
      <c r="BK215" t="str">
        <f>IFERROR(INDEX(Liste_Handelsünger[Handelsdünger],_xlfn.AGGREGATE(15,6,(ROW(Liste_Handelsünger[Handelsdünger])-1)/(--(SEARCH(BL$2,Liste_Handelsünger[Handelsdünger])&gt;0)),ROW()-2),1),"")</f>
        <v>Epso Microtop</v>
      </c>
      <c r="BM215" t="str">
        <f>IFERROR(INDEX(Liste_Handelsünger[Handelsdünger],_xlfn.AGGREGATE(15,6,(ROW(Liste_Handelsünger[Handelsdünger])-1)/(--(SEARCH(BN$2,Liste_Handelsünger[Handelsdünger])&gt;0)),ROW()-2),1),"")</f>
        <v>Epso Microtop</v>
      </c>
      <c r="BN215" t="str">
        <f>IF(($A230=""),"",IF(COUNTIF(Mineral!$AJ$3:$AJ$324,$A230),"",$A230))</f>
        <v/>
      </c>
      <c r="BV215" t="s">
        <v>2138</v>
      </c>
      <c r="BW215" t="s">
        <v>2046</v>
      </c>
      <c r="BZ215" s="1602"/>
      <c r="CA215" s="1602"/>
      <c r="CB215" s="1602"/>
    </row>
    <row r="216" spans="19:80" ht="14.25" thickTop="1" thickBot="1">
      <c r="S216" s="1676">
        <v>215</v>
      </c>
      <c r="T216" s="1606" t="s">
        <v>2006</v>
      </c>
      <c r="U216" s="1606" t="s">
        <v>2139</v>
      </c>
      <c r="V216" s="1606" t="s">
        <v>408</v>
      </c>
      <c r="W216" s="1606">
        <v>0</v>
      </c>
      <c r="X216" s="1606">
        <v>0</v>
      </c>
      <c r="Y216" s="1606">
        <v>0</v>
      </c>
      <c r="Z216" s="1606">
        <v>13</v>
      </c>
      <c r="AA216" s="1606">
        <v>0</v>
      </c>
      <c r="AB216" s="1606">
        <v>16</v>
      </c>
      <c r="AC216" s="1606">
        <v>1</v>
      </c>
      <c r="AD216" s="1613">
        <v>1</v>
      </c>
      <c r="AE216" s="1606" t="s">
        <v>1764</v>
      </c>
      <c r="AF216" s="1613" t="str">
        <f t="shared" si="19"/>
        <v/>
      </c>
      <c r="AG216" s="1656">
        <f>IFERROR(IF($AF216&gt;0,VLOOKUP($U216,Tabelle1!$C$188:$L$212,5,0)*$AF216,0),0)</f>
        <v>0</v>
      </c>
      <c r="AH216" s="1656">
        <f t="shared" si="20"/>
        <v>0</v>
      </c>
      <c r="AJ216" t="str">
        <f>IF(Betrieb!$D$9="JA",Mineral!$BW216,Mineral!$BV216)</f>
        <v>Epso Top</v>
      </c>
      <c r="AK216" s="1672" t="str">
        <f>IFERROR(INDEX(Liste_Handelsünger[Handelsdünger],_xlfn.AGGREGATE(15,6,(ROW(Liste_Handelsünger[Handelsdünger])-1)/(--(SEARCH(AL$2,Liste_Handelsünger[Handelsdünger])&gt;0)),ROW()-2),1),"")</f>
        <v>Epso Top</v>
      </c>
      <c r="AL216" s="1672" t="str">
        <f>IF(($A$3=""),"",IF(COUNTIF(Mineral!$AJ$3:$AJ$324,$A$3),"",$A$3))</f>
        <v/>
      </c>
      <c r="AM216" s="1672" t="str">
        <f>IFERROR(INDEX(Liste_Handelsünger[Handelsdünger],_xlfn.AGGREGATE(15,6,(ROW(Liste_Handelsünger[Handelsdünger])-1)/(--(SEARCH(AN$2,Liste_Handelsünger[Handelsdünger])&gt;0)),ROW()-2),1),"")</f>
        <v>Epso Top</v>
      </c>
      <c r="AN216" t="str">
        <f>IF(($A218=""),"",IF(COUNTIF(Mineral!$AJ$3:$AJ$324,$A218),"",$A218))</f>
        <v/>
      </c>
      <c r="AO216" t="str">
        <f>IFERROR(INDEX(Liste_Handelsünger[Handelsdünger],_xlfn.AGGREGATE(15,6,(ROW(Liste_Handelsünger[Handelsdünger])-1)/(--(SEARCH(AP$2,Liste_Handelsünger[Handelsdünger])&gt;0)),ROW()-2),1),"")</f>
        <v>Epso Top</v>
      </c>
      <c r="AP216" t="str">
        <f>IF(($A219=""),"",IF(COUNTIF(Mineral!$AJ$3:$AJ$324,$A219),"",$A219))</f>
        <v/>
      </c>
      <c r="AQ216" t="str">
        <f>IFERROR(INDEX(Liste_Handelsünger[Handelsdünger],_xlfn.AGGREGATE(15,6,(ROW(Liste_Handelsünger[Handelsdünger])-1)/(--(SEARCH(AR$2,Liste_Handelsünger[Handelsdünger])&gt;0)),ROW()-2),1),"")</f>
        <v>Epso Top</v>
      </c>
      <c r="AR216" t="str">
        <f>IF(($A220=""),"",IF(COUNTIF(Mineral!$AJ$3:$AJ$324,$A220),"",$A220))</f>
        <v/>
      </c>
      <c r="AS216" t="str">
        <f>IFERROR(INDEX(Liste_Handelsünger[Handelsdünger],_xlfn.AGGREGATE(15,6,(ROW(Liste_Handelsünger[Handelsdünger])-1)/(--(SEARCH(AT$2,Liste_Handelsünger[Handelsdünger])&gt;0)),ROW()-2),1),"")</f>
        <v>Epso Top</v>
      </c>
      <c r="AT216" t="str">
        <f>IF(($A221=""),"",IF(COUNTIF(Mineral!$AJ$3:$AJ$324,$A221),"",$A221))</f>
        <v/>
      </c>
      <c r="AU216" t="str">
        <f>IFERROR(INDEX(Liste_Handelsünger[Handelsdünger],_xlfn.AGGREGATE(15,6,(ROW(Liste_Handelsünger[Handelsdünger])-1)/(--(SEARCH(AV$2,Liste_Handelsünger[Handelsdünger])&gt;0)),ROW()-2),1),"")</f>
        <v>Epso Top</v>
      </c>
      <c r="AV216" t="str">
        <f>IF(($A222=""),"",IF(COUNTIF(Mineral!$AJ$3:$AJ$324,$A222),"",$A222))</f>
        <v/>
      </c>
      <c r="AW216" t="str">
        <f>IFERROR(INDEX(Liste_Handelsünger[Handelsdünger],_xlfn.AGGREGATE(15,6,(ROW(Liste_Handelsünger[Handelsdünger])-1)/(--(SEARCH(AX$2,Liste_Handelsünger[Handelsdünger])&gt;0)),ROW()-2),1),"")</f>
        <v>Epso Top</v>
      </c>
      <c r="AX216" t="str">
        <f>IF(($A223=""),"",IF(COUNTIF(Mineral!$AJ$3:$AJ$324,$A223),"",$A223))</f>
        <v/>
      </c>
      <c r="AY216" t="str">
        <f>IFERROR(INDEX(Liste_Handelsünger[Handelsdünger],_xlfn.AGGREGATE(15,6,(ROW(Liste_Handelsünger[Handelsdünger])-1)/(--(SEARCH(AZ$2,Liste_Handelsünger[Handelsdünger])&gt;0)),ROW()-2),1),"")</f>
        <v>Epso Top</v>
      </c>
      <c r="AZ216" t="str">
        <f>IF(($A224=""),"",IF(COUNTIF(Mineral!$AJ$3:$AJ$324,$A224),"",$A224))</f>
        <v/>
      </c>
      <c r="BA216" t="str">
        <f>IFERROR(INDEX(Liste_Handelsünger[Handelsdünger],_xlfn.AGGREGATE(15,6,(ROW(Liste_Handelsünger[Handelsdünger])-1)/(--(SEARCH(BB$2,Liste_Handelsünger[Handelsdünger])&gt;0)),ROW()-2),1),"")</f>
        <v>Epso Top</v>
      </c>
      <c r="BB216" t="str">
        <f>IF(($A225=""),"",IF(COUNTIF(Mineral!$AJ$3:$AJ$324,$A225),"",$A225))</f>
        <v/>
      </c>
      <c r="BC216" t="str">
        <f>IFERROR(INDEX(Liste_Handelsünger[Handelsdünger],_xlfn.AGGREGATE(15,6,(ROW(Liste_Handelsünger[Handelsdünger])-1)/(--(SEARCH(BD$2,Liste_Handelsünger[Handelsdünger])&gt;0)),ROW()-2),1),"")</f>
        <v>Epso Top</v>
      </c>
      <c r="BD216" t="str">
        <f>IF(($A226=""),"",IF(COUNTIF(Mineral!$AJ$3:$AJ$324,$A226),"",$A226))</f>
        <v/>
      </c>
      <c r="BE216" t="str">
        <f>IFERROR(INDEX(Liste_Handelsünger[Handelsdünger],_xlfn.AGGREGATE(15,6,(ROW(Liste_Handelsünger[Handelsdünger])-1)/(--(SEARCH(BF$2,Liste_Handelsünger[Handelsdünger])&gt;0)),ROW()-2),1),"")</f>
        <v>Epso Top</v>
      </c>
      <c r="BF216" t="str">
        <f>IF(($A227=""),"",IF(COUNTIF(Mineral!$AJ$3:$AJ$324,$A227),"",$A227))</f>
        <v/>
      </c>
      <c r="BG216" t="str">
        <f>IFERROR(INDEX(Liste_Handelsünger[Handelsdünger],_xlfn.AGGREGATE(15,6,(ROW(Liste_Handelsünger[Handelsdünger])-1)/(--(SEARCH(BH$2,Liste_Handelsünger[Handelsdünger])&gt;0)),ROW()-2),1),"")</f>
        <v>Epso Top</v>
      </c>
      <c r="BH216" t="str">
        <f>IF(($A228=""),"",IF(COUNTIF(Mineral!$AJ$3:$AJ$324,$A228),"",$A228))</f>
        <v/>
      </c>
      <c r="BI216" t="str">
        <f>IFERROR(INDEX(Liste_Handelsünger[Handelsdünger],_xlfn.AGGREGATE(15,6,(ROW(Liste_Handelsünger[Handelsdünger])-1)/(--(SEARCH(BJ$2,Liste_Handelsünger[Handelsdünger])&gt;0)),ROW()-2),1),"")</f>
        <v>Epso Top</v>
      </c>
      <c r="BJ216" t="str">
        <f>IF(($A229=""),"",IF(COUNTIF(Mineral!$AJ$3:$AJ$324,$A229),"",$A229))</f>
        <v/>
      </c>
      <c r="BK216" t="str">
        <f>IFERROR(INDEX(Liste_Handelsünger[Handelsdünger],_xlfn.AGGREGATE(15,6,(ROW(Liste_Handelsünger[Handelsdünger])-1)/(--(SEARCH(BL$2,Liste_Handelsünger[Handelsdünger])&gt;0)),ROW()-2),1),"")</f>
        <v>Epso Top</v>
      </c>
      <c r="BM216" t="str">
        <f>IFERROR(INDEX(Liste_Handelsünger[Handelsdünger],_xlfn.AGGREGATE(15,6,(ROW(Liste_Handelsünger[Handelsdünger])-1)/(--(SEARCH(BN$2,Liste_Handelsünger[Handelsdünger])&gt;0)),ROW()-2),1),"")</f>
        <v>Epso Top</v>
      </c>
      <c r="BN216" t="str">
        <f>IF(($A231=""),"",IF(COUNTIF(Mineral!$AJ$3:$AJ$324,$A231),"",$A231))</f>
        <v/>
      </c>
      <c r="BV216" t="s">
        <v>2139</v>
      </c>
      <c r="BW216" t="s">
        <v>2049</v>
      </c>
      <c r="BZ216" s="1602"/>
      <c r="CA216" s="1602"/>
      <c r="CB216" s="1602"/>
    </row>
    <row r="217" spans="19:80" ht="14.25" thickTop="1" thickBot="1">
      <c r="S217" s="1616">
        <v>216</v>
      </c>
      <c r="T217" s="1617" t="s">
        <v>2006</v>
      </c>
      <c r="U217" s="1617" t="s">
        <v>2140</v>
      </c>
      <c r="V217" s="1617" t="s">
        <v>408</v>
      </c>
      <c r="W217" s="1617">
        <v>0</v>
      </c>
      <c r="X217" s="1617">
        <v>0</v>
      </c>
      <c r="Y217" s="1617">
        <v>0</v>
      </c>
      <c r="Z217" s="1617">
        <v>0</v>
      </c>
      <c r="AA217" s="1617">
        <v>0</v>
      </c>
      <c r="AB217" s="1617">
        <v>0</v>
      </c>
      <c r="AC217" s="1617">
        <v>1</v>
      </c>
      <c r="AD217" s="1613">
        <v>1</v>
      </c>
      <c r="AE217" s="1617" t="s">
        <v>1764</v>
      </c>
      <c r="AF217" s="1613" t="str">
        <f t="shared" si="19"/>
        <v/>
      </c>
      <c r="AG217" s="1656">
        <f>IFERROR(IF($AF217&gt;0,VLOOKUP($U217,Tabelle1!$C$188:$L$212,5,0)*$AF217,0),0)</f>
        <v>0</v>
      </c>
      <c r="AH217" s="1656">
        <f t="shared" si="20"/>
        <v>0</v>
      </c>
      <c r="AJ217" t="str">
        <f>IF(Betrieb!$D$9="JA",Mineral!$BW217,Mineral!$BV217)</f>
        <v>Equisetum Plus</v>
      </c>
      <c r="AK217" s="1672" t="str">
        <f>IFERROR(INDEX(Liste_Handelsünger[Handelsdünger],_xlfn.AGGREGATE(15,6,(ROW(Liste_Handelsünger[Handelsdünger])-1)/(--(SEARCH(AL$2,Liste_Handelsünger[Handelsdünger])&gt;0)),ROW()-2),1),"")</f>
        <v>Equisetum Plus</v>
      </c>
      <c r="AL217" s="1672" t="str">
        <f>IF(($A$3=""),"",IF(COUNTIF(Mineral!$AJ$3:$AJ$324,$A$3),"",$A$3))</f>
        <v/>
      </c>
      <c r="AM217" s="1672" t="str">
        <f>IFERROR(INDEX(Liste_Handelsünger[Handelsdünger],_xlfn.AGGREGATE(15,6,(ROW(Liste_Handelsünger[Handelsdünger])-1)/(--(SEARCH(AN$2,Liste_Handelsünger[Handelsdünger])&gt;0)),ROW()-2),1),"")</f>
        <v>Equisetum Plus</v>
      </c>
      <c r="AN217" t="str">
        <f>IF(($A219=""),"",IF(COUNTIF(Mineral!$AJ$3:$AJ$324,$A219),"",$A219))</f>
        <v/>
      </c>
      <c r="AO217" t="str">
        <f>IFERROR(INDEX(Liste_Handelsünger[Handelsdünger],_xlfn.AGGREGATE(15,6,(ROW(Liste_Handelsünger[Handelsdünger])-1)/(--(SEARCH(AP$2,Liste_Handelsünger[Handelsdünger])&gt;0)),ROW()-2),1),"")</f>
        <v>Equisetum Plus</v>
      </c>
      <c r="AP217" t="str">
        <f>IF(($A220=""),"",IF(COUNTIF(Mineral!$AJ$3:$AJ$324,$A220),"",$A220))</f>
        <v/>
      </c>
      <c r="AQ217" t="str">
        <f>IFERROR(INDEX(Liste_Handelsünger[Handelsdünger],_xlfn.AGGREGATE(15,6,(ROW(Liste_Handelsünger[Handelsdünger])-1)/(--(SEARCH(AR$2,Liste_Handelsünger[Handelsdünger])&gt;0)),ROW()-2),1),"")</f>
        <v>Equisetum Plus</v>
      </c>
      <c r="AR217" t="str">
        <f>IF(($A221=""),"",IF(COUNTIF(Mineral!$AJ$3:$AJ$324,$A221),"",$A221))</f>
        <v/>
      </c>
      <c r="AS217" t="str">
        <f>IFERROR(INDEX(Liste_Handelsünger[Handelsdünger],_xlfn.AGGREGATE(15,6,(ROW(Liste_Handelsünger[Handelsdünger])-1)/(--(SEARCH(AT$2,Liste_Handelsünger[Handelsdünger])&gt;0)),ROW()-2),1),"")</f>
        <v>Equisetum Plus</v>
      </c>
      <c r="AT217" t="str">
        <f>IF(($A222=""),"",IF(COUNTIF(Mineral!$AJ$3:$AJ$324,$A222),"",$A222))</f>
        <v/>
      </c>
      <c r="AU217" t="str">
        <f>IFERROR(INDEX(Liste_Handelsünger[Handelsdünger],_xlfn.AGGREGATE(15,6,(ROW(Liste_Handelsünger[Handelsdünger])-1)/(--(SEARCH(AV$2,Liste_Handelsünger[Handelsdünger])&gt;0)),ROW()-2),1),"")</f>
        <v>Equisetum Plus</v>
      </c>
      <c r="AV217" t="str">
        <f>IF(($A223=""),"",IF(COUNTIF(Mineral!$AJ$3:$AJ$324,$A223),"",$A223))</f>
        <v/>
      </c>
      <c r="AW217" t="str">
        <f>IFERROR(INDEX(Liste_Handelsünger[Handelsdünger],_xlfn.AGGREGATE(15,6,(ROW(Liste_Handelsünger[Handelsdünger])-1)/(--(SEARCH(AX$2,Liste_Handelsünger[Handelsdünger])&gt;0)),ROW()-2),1),"")</f>
        <v>Equisetum Plus</v>
      </c>
      <c r="AX217" t="str">
        <f>IF(($A224=""),"",IF(COUNTIF(Mineral!$AJ$3:$AJ$324,$A224),"",$A224))</f>
        <v/>
      </c>
      <c r="AY217" t="str">
        <f>IFERROR(INDEX(Liste_Handelsünger[Handelsdünger],_xlfn.AGGREGATE(15,6,(ROW(Liste_Handelsünger[Handelsdünger])-1)/(--(SEARCH(AZ$2,Liste_Handelsünger[Handelsdünger])&gt;0)),ROW()-2),1),"")</f>
        <v>Equisetum Plus</v>
      </c>
      <c r="AZ217" t="str">
        <f>IF(($A225=""),"",IF(COUNTIF(Mineral!$AJ$3:$AJ$324,$A225),"",$A225))</f>
        <v/>
      </c>
      <c r="BA217" t="str">
        <f>IFERROR(INDEX(Liste_Handelsünger[Handelsdünger],_xlfn.AGGREGATE(15,6,(ROW(Liste_Handelsünger[Handelsdünger])-1)/(--(SEARCH(BB$2,Liste_Handelsünger[Handelsdünger])&gt;0)),ROW()-2),1),"")</f>
        <v>Equisetum Plus</v>
      </c>
      <c r="BB217" t="str">
        <f>IF(($A226=""),"",IF(COUNTIF(Mineral!$AJ$3:$AJ$324,$A226),"",$A226))</f>
        <v/>
      </c>
      <c r="BC217" t="str">
        <f>IFERROR(INDEX(Liste_Handelsünger[Handelsdünger],_xlfn.AGGREGATE(15,6,(ROW(Liste_Handelsünger[Handelsdünger])-1)/(--(SEARCH(BD$2,Liste_Handelsünger[Handelsdünger])&gt;0)),ROW()-2),1),"")</f>
        <v>Equisetum Plus</v>
      </c>
      <c r="BD217" t="str">
        <f>IF(($A227=""),"",IF(COUNTIF(Mineral!$AJ$3:$AJ$324,$A227),"",$A227))</f>
        <v/>
      </c>
      <c r="BE217" t="str">
        <f>IFERROR(INDEX(Liste_Handelsünger[Handelsdünger],_xlfn.AGGREGATE(15,6,(ROW(Liste_Handelsünger[Handelsdünger])-1)/(--(SEARCH(BF$2,Liste_Handelsünger[Handelsdünger])&gt;0)),ROW()-2),1),"")</f>
        <v>Equisetum Plus</v>
      </c>
      <c r="BF217" t="str">
        <f>IF(($A228=""),"",IF(COUNTIF(Mineral!$AJ$3:$AJ$324,$A228),"",$A228))</f>
        <v/>
      </c>
      <c r="BG217" t="str">
        <f>IFERROR(INDEX(Liste_Handelsünger[Handelsdünger],_xlfn.AGGREGATE(15,6,(ROW(Liste_Handelsünger[Handelsdünger])-1)/(--(SEARCH(BH$2,Liste_Handelsünger[Handelsdünger])&gt;0)),ROW()-2),1),"")</f>
        <v>Equisetum Plus</v>
      </c>
      <c r="BH217" t="str">
        <f>IF(($A229=""),"",IF(COUNTIF(Mineral!$AJ$3:$AJ$324,$A229),"",$A229))</f>
        <v/>
      </c>
      <c r="BI217" t="str">
        <f>IFERROR(INDEX(Liste_Handelsünger[Handelsdünger],_xlfn.AGGREGATE(15,6,(ROW(Liste_Handelsünger[Handelsdünger])-1)/(--(SEARCH(BJ$2,Liste_Handelsünger[Handelsdünger])&gt;0)),ROW()-2),1),"")</f>
        <v>Equisetum Plus</v>
      </c>
      <c r="BJ217" t="str">
        <f>IF(($A230=""),"",IF(COUNTIF(Mineral!$AJ$3:$AJ$324,$A230),"",$A230))</f>
        <v/>
      </c>
      <c r="BK217" t="str">
        <f>IFERROR(INDEX(Liste_Handelsünger[Handelsdünger],_xlfn.AGGREGATE(15,6,(ROW(Liste_Handelsünger[Handelsdünger])-1)/(--(SEARCH(BL$2,Liste_Handelsünger[Handelsdünger])&gt;0)),ROW()-2),1),"")</f>
        <v>Equisetum Plus</v>
      </c>
      <c r="BM217" t="str">
        <f>IFERROR(INDEX(Liste_Handelsünger[Handelsdünger],_xlfn.AGGREGATE(15,6,(ROW(Liste_Handelsünger[Handelsdünger])-1)/(--(SEARCH(BN$2,Liste_Handelsünger[Handelsdünger])&gt;0)),ROW()-2),1),"")</f>
        <v>Equisetum Plus</v>
      </c>
      <c r="BN217" t="str">
        <f>IF(($A232=""),"",IF(COUNTIF(Mineral!$AJ$3:$AJ$324,$A232),"",$A232))</f>
        <v/>
      </c>
      <c r="BV217" t="s">
        <v>2140</v>
      </c>
      <c r="BW217" t="s">
        <v>2051</v>
      </c>
      <c r="BZ217" s="1602"/>
      <c r="CA217" s="1602"/>
      <c r="CB217" s="1602"/>
    </row>
    <row r="218" spans="19:80" ht="14.25" thickTop="1" thickBot="1">
      <c r="S218" s="1676">
        <v>217</v>
      </c>
      <c r="T218" s="1606" t="s">
        <v>2006</v>
      </c>
      <c r="U218" s="1606" t="s">
        <v>2141</v>
      </c>
      <c r="V218" s="1606" t="s">
        <v>408</v>
      </c>
      <c r="W218" s="1606">
        <v>0</v>
      </c>
      <c r="X218" s="1606">
        <v>0</v>
      </c>
      <c r="Y218" s="1606">
        <v>0</v>
      </c>
      <c r="Z218" s="1606">
        <v>20</v>
      </c>
      <c r="AA218" s="1606">
        <v>0</v>
      </c>
      <c r="AB218" s="1606">
        <v>25</v>
      </c>
      <c r="AC218" s="1606">
        <v>1</v>
      </c>
      <c r="AD218" s="1613">
        <v>1</v>
      </c>
      <c r="AE218" s="1606" t="s">
        <v>1764</v>
      </c>
      <c r="AF218" s="1613" t="str">
        <f t="shared" si="19"/>
        <v/>
      </c>
      <c r="AG218" s="1656">
        <f>IFERROR(IF($AF218&gt;0,VLOOKUP($U218,Tabelle1!$C$188:$L$212,5,0)*$AF218,0),0)</f>
        <v>0</v>
      </c>
      <c r="AH218" s="1656">
        <f t="shared" si="20"/>
        <v>0</v>
      </c>
      <c r="AJ218" t="str">
        <f>IF(Betrieb!$D$9="JA",Mineral!$BW218,Mineral!$BV218)</f>
        <v>ESTA Kieserit gran.</v>
      </c>
      <c r="AK218" s="1672" t="str">
        <f>IFERROR(INDEX(Liste_Handelsünger[Handelsdünger],_xlfn.AGGREGATE(15,6,(ROW(Liste_Handelsünger[Handelsdünger])-1)/(--(SEARCH(AL$2,Liste_Handelsünger[Handelsdünger])&gt;0)),ROW()-2),1),"")</f>
        <v>ESTA Kieserit gran.</v>
      </c>
      <c r="AL218" s="1672" t="str">
        <f>IF(($A$3=""),"",IF(COUNTIF(Mineral!$AJ$3:$AJ$324,$A$3),"",$A$3))</f>
        <v/>
      </c>
      <c r="AM218" s="1672" t="str">
        <f>IFERROR(INDEX(Liste_Handelsünger[Handelsdünger],_xlfn.AGGREGATE(15,6,(ROW(Liste_Handelsünger[Handelsdünger])-1)/(--(SEARCH(AN$2,Liste_Handelsünger[Handelsdünger])&gt;0)),ROW()-2),1),"")</f>
        <v>ESTA Kieserit gran.</v>
      </c>
      <c r="AN218" t="str">
        <f>IF(($A220=""),"",IF(COUNTIF(Mineral!$AJ$3:$AJ$324,$A220),"",$A220))</f>
        <v/>
      </c>
      <c r="AO218" t="str">
        <f>IFERROR(INDEX(Liste_Handelsünger[Handelsdünger],_xlfn.AGGREGATE(15,6,(ROW(Liste_Handelsünger[Handelsdünger])-1)/(--(SEARCH(AP$2,Liste_Handelsünger[Handelsdünger])&gt;0)),ROW()-2),1),"")</f>
        <v>ESTA Kieserit gran.</v>
      </c>
      <c r="AP218" t="str">
        <f>IF(($A221=""),"",IF(COUNTIF(Mineral!$AJ$3:$AJ$324,$A221),"",$A221))</f>
        <v/>
      </c>
      <c r="AQ218" t="str">
        <f>IFERROR(INDEX(Liste_Handelsünger[Handelsdünger],_xlfn.AGGREGATE(15,6,(ROW(Liste_Handelsünger[Handelsdünger])-1)/(--(SEARCH(AR$2,Liste_Handelsünger[Handelsdünger])&gt;0)),ROW()-2),1),"")</f>
        <v>ESTA Kieserit gran.</v>
      </c>
      <c r="AR218" t="str">
        <f>IF(($A222=""),"",IF(COUNTIF(Mineral!$AJ$3:$AJ$324,$A222),"",$A222))</f>
        <v/>
      </c>
      <c r="AS218" t="str">
        <f>IFERROR(INDEX(Liste_Handelsünger[Handelsdünger],_xlfn.AGGREGATE(15,6,(ROW(Liste_Handelsünger[Handelsdünger])-1)/(--(SEARCH(AT$2,Liste_Handelsünger[Handelsdünger])&gt;0)),ROW()-2),1),"")</f>
        <v>ESTA Kieserit gran.</v>
      </c>
      <c r="AT218" t="str">
        <f>IF(($A223=""),"",IF(COUNTIF(Mineral!$AJ$3:$AJ$324,$A223),"",$A223))</f>
        <v/>
      </c>
      <c r="AU218" t="str">
        <f>IFERROR(INDEX(Liste_Handelsünger[Handelsdünger],_xlfn.AGGREGATE(15,6,(ROW(Liste_Handelsünger[Handelsdünger])-1)/(--(SEARCH(AV$2,Liste_Handelsünger[Handelsdünger])&gt;0)),ROW()-2),1),"")</f>
        <v>ESTA Kieserit gran.</v>
      </c>
      <c r="AV218" t="str">
        <f>IF(($A224=""),"",IF(COUNTIF(Mineral!$AJ$3:$AJ$324,$A224),"",$A224))</f>
        <v/>
      </c>
      <c r="AW218" t="str">
        <f>IFERROR(INDEX(Liste_Handelsünger[Handelsdünger],_xlfn.AGGREGATE(15,6,(ROW(Liste_Handelsünger[Handelsdünger])-1)/(--(SEARCH(AX$2,Liste_Handelsünger[Handelsdünger])&gt;0)),ROW()-2),1),"")</f>
        <v>ESTA Kieserit gran.</v>
      </c>
      <c r="AX218" t="str">
        <f>IF(($A225=""),"",IF(COUNTIF(Mineral!$AJ$3:$AJ$324,$A225),"",$A225))</f>
        <v/>
      </c>
      <c r="AY218" t="str">
        <f>IFERROR(INDEX(Liste_Handelsünger[Handelsdünger],_xlfn.AGGREGATE(15,6,(ROW(Liste_Handelsünger[Handelsdünger])-1)/(--(SEARCH(AZ$2,Liste_Handelsünger[Handelsdünger])&gt;0)),ROW()-2),1),"")</f>
        <v>ESTA Kieserit gran.</v>
      </c>
      <c r="AZ218" t="str">
        <f>IF(($A226=""),"",IF(COUNTIF(Mineral!$AJ$3:$AJ$324,$A226),"",$A226))</f>
        <v/>
      </c>
      <c r="BA218" t="str">
        <f>IFERROR(INDEX(Liste_Handelsünger[Handelsdünger],_xlfn.AGGREGATE(15,6,(ROW(Liste_Handelsünger[Handelsdünger])-1)/(--(SEARCH(BB$2,Liste_Handelsünger[Handelsdünger])&gt;0)),ROW()-2),1),"")</f>
        <v>ESTA Kieserit gran.</v>
      </c>
      <c r="BB218" t="str">
        <f>IF(($A227=""),"",IF(COUNTIF(Mineral!$AJ$3:$AJ$324,$A227),"",$A227))</f>
        <v/>
      </c>
      <c r="BC218" t="str">
        <f>IFERROR(INDEX(Liste_Handelsünger[Handelsdünger],_xlfn.AGGREGATE(15,6,(ROW(Liste_Handelsünger[Handelsdünger])-1)/(--(SEARCH(BD$2,Liste_Handelsünger[Handelsdünger])&gt;0)),ROW()-2),1),"")</f>
        <v>ESTA Kieserit gran.</v>
      </c>
      <c r="BD218" t="str">
        <f>IF(($A228=""),"",IF(COUNTIF(Mineral!$AJ$3:$AJ$324,$A228),"",$A228))</f>
        <v/>
      </c>
      <c r="BE218" t="str">
        <f>IFERROR(INDEX(Liste_Handelsünger[Handelsdünger],_xlfn.AGGREGATE(15,6,(ROW(Liste_Handelsünger[Handelsdünger])-1)/(--(SEARCH(BF$2,Liste_Handelsünger[Handelsdünger])&gt;0)),ROW()-2),1),"")</f>
        <v>ESTA Kieserit gran.</v>
      </c>
      <c r="BF218" t="str">
        <f>IF(($A229=""),"",IF(COUNTIF(Mineral!$AJ$3:$AJ$324,$A229),"",$A229))</f>
        <v/>
      </c>
      <c r="BG218" t="str">
        <f>IFERROR(INDEX(Liste_Handelsünger[Handelsdünger],_xlfn.AGGREGATE(15,6,(ROW(Liste_Handelsünger[Handelsdünger])-1)/(--(SEARCH(BH$2,Liste_Handelsünger[Handelsdünger])&gt;0)),ROW()-2),1),"")</f>
        <v>ESTA Kieserit gran.</v>
      </c>
      <c r="BH218" t="str">
        <f>IF(($A230=""),"",IF(COUNTIF(Mineral!$AJ$3:$AJ$324,$A230),"",$A230))</f>
        <v/>
      </c>
      <c r="BI218" t="str">
        <f>IFERROR(INDEX(Liste_Handelsünger[Handelsdünger],_xlfn.AGGREGATE(15,6,(ROW(Liste_Handelsünger[Handelsdünger])-1)/(--(SEARCH(BJ$2,Liste_Handelsünger[Handelsdünger])&gt;0)),ROW()-2),1),"")</f>
        <v>ESTA Kieserit gran.</v>
      </c>
      <c r="BJ218" t="str">
        <f>IF(($A231=""),"",IF(COUNTIF(Mineral!$AJ$3:$AJ$324,$A231),"",$A231))</f>
        <v/>
      </c>
      <c r="BK218" t="str">
        <f>IFERROR(INDEX(Liste_Handelsünger[Handelsdünger],_xlfn.AGGREGATE(15,6,(ROW(Liste_Handelsünger[Handelsdünger])-1)/(--(SEARCH(BL$2,Liste_Handelsünger[Handelsdünger])&gt;0)),ROW()-2),1),"")</f>
        <v>ESTA Kieserit gran.</v>
      </c>
      <c r="BM218" t="str">
        <f>IFERROR(INDEX(Liste_Handelsünger[Handelsdünger],_xlfn.AGGREGATE(15,6,(ROW(Liste_Handelsünger[Handelsdünger])-1)/(--(SEARCH(BN$2,Liste_Handelsünger[Handelsdünger])&gt;0)),ROW()-2),1),"")</f>
        <v>ESTA Kieserit gran.</v>
      </c>
      <c r="BN218" t="str">
        <f>IF(($A233=""),"",IF(COUNTIF(Mineral!$AJ$3:$AJ$324,$A233),"",$A233))</f>
        <v/>
      </c>
      <c r="BV218" t="s">
        <v>2141</v>
      </c>
      <c r="BW218" t="s">
        <v>2071</v>
      </c>
      <c r="BZ218" s="1602"/>
      <c r="CA218" s="1602"/>
      <c r="CB218" s="1602"/>
    </row>
    <row r="219" spans="19:80" ht="14.25" thickTop="1" thickBot="1">
      <c r="S219" s="1616">
        <v>218</v>
      </c>
      <c r="T219" s="1617" t="s">
        <v>2006</v>
      </c>
      <c r="U219" s="1617" t="s">
        <v>2142</v>
      </c>
      <c r="V219" s="1617" t="s">
        <v>408</v>
      </c>
      <c r="W219" s="1617">
        <v>0</v>
      </c>
      <c r="X219" s="1617">
        <v>0</v>
      </c>
      <c r="Y219" s="1617">
        <v>0</v>
      </c>
      <c r="Z219" s="1617">
        <v>0</v>
      </c>
      <c r="AA219" s="1617">
        <v>0</v>
      </c>
      <c r="AB219" s="1617">
        <v>0</v>
      </c>
      <c r="AC219" s="1617">
        <v>1</v>
      </c>
      <c r="AD219" s="1613">
        <v>1</v>
      </c>
      <c r="AE219" s="1617" t="s">
        <v>1764</v>
      </c>
      <c r="AF219" s="1613" t="str">
        <f t="shared" si="19"/>
        <v/>
      </c>
      <c r="AG219" s="1656">
        <f>IFERROR(IF($AF219&gt;0,VLOOKUP($U219,Tabelle1!$C$188:$L$212,5,0)*$AF219,0),0)</f>
        <v>0</v>
      </c>
      <c r="AH219" s="1656">
        <f t="shared" si="20"/>
        <v>0</v>
      </c>
      <c r="AJ219" t="str">
        <f>IF(Betrieb!$D$9="JA",Mineral!$BW219,Mineral!$BV219)</f>
        <v>Fermentierter Pflanzenextrakt</v>
      </c>
      <c r="AK219" s="1672" t="str">
        <f>IFERROR(INDEX(Liste_Handelsünger[Handelsdünger],_xlfn.AGGREGATE(15,6,(ROW(Liste_Handelsünger[Handelsdünger])-1)/(--(SEARCH(AL$2,Liste_Handelsünger[Handelsdünger])&gt;0)),ROW()-2),1),"")</f>
        <v>Fermentierter Pflanzenextrakt</v>
      </c>
      <c r="AL219" s="1672" t="str">
        <f>IF(($A$3=""),"",IF(COUNTIF(Mineral!$AJ$3:$AJ$324,$A$3),"",$A$3))</f>
        <v/>
      </c>
      <c r="AM219" s="1672" t="str">
        <f>IFERROR(INDEX(Liste_Handelsünger[Handelsdünger],_xlfn.AGGREGATE(15,6,(ROW(Liste_Handelsünger[Handelsdünger])-1)/(--(SEARCH(AN$2,Liste_Handelsünger[Handelsdünger])&gt;0)),ROW()-2),1),"")</f>
        <v>Fermentierter Pflanzenextrakt</v>
      </c>
      <c r="AN219" t="str">
        <f>IF(($A221=""),"",IF(COUNTIF(Mineral!$AJ$3:$AJ$324,$A221),"",$A221))</f>
        <v/>
      </c>
      <c r="AO219" t="str">
        <f>IFERROR(INDEX(Liste_Handelsünger[Handelsdünger],_xlfn.AGGREGATE(15,6,(ROW(Liste_Handelsünger[Handelsdünger])-1)/(--(SEARCH(AP$2,Liste_Handelsünger[Handelsdünger])&gt;0)),ROW()-2),1),"")</f>
        <v>Fermentierter Pflanzenextrakt</v>
      </c>
      <c r="AP219" t="str">
        <f>IF(($A222=""),"",IF(COUNTIF(Mineral!$AJ$3:$AJ$324,$A222),"",$A222))</f>
        <v/>
      </c>
      <c r="AQ219" t="str">
        <f>IFERROR(INDEX(Liste_Handelsünger[Handelsdünger],_xlfn.AGGREGATE(15,6,(ROW(Liste_Handelsünger[Handelsdünger])-1)/(--(SEARCH(AR$2,Liste_Handelsünger[Handelsdünger])&gt;0)),ROW()-2),1),"")</f>
        <v>Fermentierter Pflanzenextrakt</v>
      </c>
      <c r="AR219" t="str">
        <f>IF(($A223=""),"",IF(COUNTIF(Mineral!$AJ$3:$AJ$324,$A223),"",$A223))</f>
        <v/>
      </c>
      <c r="AS219" t="str">
        <f>IFERROR(INDEX(Liste_Handelsünger[Handelsdünger],_xlfn.AGGREGATE(15,6,(ROW(Liste_Handelsünger[Handelsdünger])-1)/(--(SEARCH(AT$2,Liste_Handelsünger[Handelsdünger])&gt;0)),ROW()-2),1),"")</f>
        <v>Fermentierter Pflanzenextrakt</v>
      </c>
      <c r="AT219" t="str">
        <f>IF(($A224=""),"",IF(COUNTIF(Mineral!$AJ$3:$AJ$324,$A224),"",$A224))</f>
        <v/>
      </c>
      <c r="AU219" t="str">
        <f>IFERROR(INDEX(Liste_Handelsünger[Handelsdünger],_xlfn.AGGREGATE(15,6,(ROW(Liste_Handelsünger[Handelsdünger])-1)/(--(SEARCH(AV$2,Liste_Handelsünger[Handelsdünger])&gt;0)),ROW()-2),1),"")</f>
        <v>Fermentierter Pflanzenextrakt</v>
      </c>
      <c r="AV219" t="str">
        <f>IF(($A225=""),"",IF(COUNTIF(Mineral!$AJ$3:$AJ$324,$A225),"",$A225))</f>
        <v/>
      </c>
      <c r="AW219" t="str">
        <f>IFERROR(INDEX(Liste_Handelsünger[Handelsdünger],_xlfn.AGGREGATE(15,6,(ROW(Liste_Handelsünger[Handelsdünger])-1)/(--(SEARCH(AX$2,Liste_Handelsünger[Handelsdünger])&gt;0)),ROW()-2),1),"")</f>
        <v>Fermentierter Pflanzenextrakt</v>
      </c>
      <c r="AX219" t="str">
        <f>IF(($A226=""),"",IF(COUNTIF(Mineral!$AJ$3:$AJ$324,$A226),"",$A226))</f>
        <v/>
      </c>
      <c r="AY219" t="str">
        <f>IFERROR(INDEX(Liste_Handelsünger[Handelsdünger],_xlfn.AGGREGATE(15,6,(ROW(Liste_Handelsünger[Handelsdünger])-1)/(--(SEARCH(AZ$2,Liste_Handelsünger[Handelsdünger])&gt;0)),ROW()-2),1),"")</f>
        <v>Fermentierter Pflanzenextrakt</v>
      </c>
      <c r="AZ219" t="str">
        <f>IF(($A227=""),"",IF(COUNTIF(Mineral!$AJ$3:$AJ$324,$A227),"",$A227))</f>
        <v/>
      </c>
      <c r="BA219" t="str">
        <f>IFERROR(INDEX(Liste_Handelsünger[Handelsdünger],_xlfn.AGGREGATE(15,6,(ROW(Liste_Handelsünger[Handelsdünger])-1)/(--(SEARCH(BB$2,Liste_Handelsünger[Handelsdünger])&gt;0)),ROW()-2),1),"")</f>
        <v>Fermentierter Pflanzenextrakt</v>
      </c>
      <c r="BB219" t="str">
        <f>IF(($A228=""),"",IF(COUNTIF(Mineral!$AJ$3:$AJ$324,$A228),"",$A228))</f>
        <v/>
      </c>
      <c r="BC219" t="str">
        <f>IFERROR(INDEX(Liste_Handelsünger[Handelsdünger],_xlfn.AGGREGATE(15,6,(ROW(Liste_Handelsünger[Handelsdünger])-1)/(--(SEARCH(BD$2,Liste_Handelsünger[Handelsdünger])&gt;0)),ROW()-2),1),"")</f>
        <v>Fermentierter Pflanzenextrakt</v>
      </c>
      <c r="BD219" t="str">
        <f>IF(($A229=""),"",IF(COUNTIF(Mineral!$AJ$3:$AJ$324,$A229),"",$A229))</f>
        <v/>
      </c>
      <c r="BE219" t="str">
        <f>IFERROR(INDEX(Liste_Handelsünger[Handelsdünger],_xlfn.AGGREGATE(15,6,(ROW(Liste_Handelsünger[Handelsdünger])-1)/(--(SEARCH(BF$2,Liste_Handelsünger[Handelsdünger])&gt;0)),ROW()-2),1),"")</f>
        <v>Fermentierter Pflanzenextrakt</v>
      </c>
      <c r="BF219" t="str">
        <f>IF(($A230=""),"",IF(COUNTIF(Mineral!$AJ$3:$AJ$324,$A230),"",$A230))</f>
        <v/>
      </c>
      <c r="BG219" t="str">
        <f>IFERROR(INDEX(Liste_Handelsünger[Handelsdünger],_xlfn.AGGREGATE(15,6,(ROW(Liste_Handelsünger[Handelsdünger])-1)/(--(SEARCH(BH$2,Liste_Handelsünger[Handelsdünger])&gt;0)),ROW()-2),1),"")</f>
        <v>Fermentierter Pflanzenextrakt</v>
      </c>
      <c r="BH219" t="str">
        <f>IF(($A231=""),"",IF(COUNTIF(Mineral!$AJ$3:$AJ$324,$A231),"",$A231))</f>
        <v/>
      </c>
      <c r="BI219" t="str">
        <f>IFERROR(INDEX(Liste_Handelsünger[Handelsdünger],_xlfn.AGGREGATE(15,6,(ROW(Liste_Handelsünger[Handelsdünger])-1)/(--(SEARCH(BJ$2,Liste_Handelsünger[Handelsdünger])&gt;0)),ROW()-2),1),"")</f>
        <v>Fermentierter Pflanzenextrakt</v>
      </c>
      <c r="BJ219" t="str">
        <f>IF(($A232=""),"",IF(COUNTIF(Mineral!$AJ$3:$AJ$324,$A232),"",$A232))</f>
        <v/>
      </c>
      <c r="BK219" t="str">
        <f>IFERROR(INDEX(Liste_Handelsünger[Handelsdünger],_xlfn.AGGREGATE(15,6,(ROW(Liste_Handelsünger[Handelsdünger])-1)/(--(SEARCH(BL$2,Liste_Handelsünger[Handelsdünger])&gt;0)),ROW()-2),1),"")</f>
        <v>Fermentierter Pflanzenextrakt</v>
      </c>
      <c r="BM219" t="str">
        <f>IFERROR(INDEX(Liste_Handelsünger[Handelsdünger],_xlfn.AGGREGATE(15,6,(ROW(Liste_Handelsünger[Handelsdünger])-1)/(--(SEARCH(BN$2,Liste_Handelsünger[Handelsdünger])&gt;0)),ROW()-2),1),"")</f>
        <v>Fermentierter Pflanzenextrakt</v>
      </c>
      <c r="BN219" t="str">
        <f>IF(($A234=""),"",IF(COUNTIF(Mineral!$AJ$3:$AJ$324,$A234),"",$A234))</f>
        <v/>
      </c>
      <c r="BV219" t="s">
        <v>2142</v>
      </c>
      <c r="BW219" t="s">
        <v>2074</v>
      </c>
      <c r="BZ219" s="1602"/>
      <c r="CA219" s="1602"/>
      <c r="CB219" s="1602"/>
    </row>
    <row r="220" spans="19:80" ht="14.25" thickTop="1" thickBot="1">
      <c r="S220" s="1676">
        <v>219</v>
      </c>
      <c r="T220" s="1606" t="s">
        <v>2006</v>
      </c>
      <c r="U220" s="1606" t="s">
        <v>2143</v>
      </c>
      <c r="V220" s="1606" t="s">
        <v>408</v>
      </c>
      <c r="W220" s="1606">
        <v>0</v>
      </c>
      <c r="X220" s="1606">
        <v>0</v>
      </c>
      <c r="Y220" s="1606">
        <v>0</v>
      </c>
      <c r="Z220" s="1606">
        <v>12.1</v>
      </c>
      <c r="AA220" s="1606">
        <v>0</v>
      </c>
      <c r="AB220" s="1606">
        <v>0</v>
      </c>
      <c r="AC220" s="1606">
        <v>1</v>
      </c>
      <c r="AD220" s="1613">
        <v>1</v>
      </c>
      <c r="AE220" s="1606" t="s">
        <v>1764</v>
      </c>
      <c r="AF220" s="1613" t="str">
        <f t="shared" si="19"/>
        <v/>
      </c>
      <c r="AG220" s="1656">
        <f>IFERROR(IF($AF220&gt;0,VLOOKUP($U220,Tabelle1!$C$188:$L$212,5,0)*$AF220,0),0)</f>
        <v>0</v>
      </c>
      <c r="AH220" s="1656">
        <f t="shared" si="20"/>
        <v>0</v>
      </c>
      <c r="AJ220" t="str">
        <f>IF(Betrieb!$D$9="JA",Mineral!$BW220,Mineral!$BV220)</f>
        <v>Ferrogranul 20</v>
      </c>
      <c r="AK220" s="1672" t="str">
        <f>IFERROR(INDEX(Liste_Handelsünger[Handelsdünger],_xlfn.AGGREGATE(15,6,(ROW(Liste_Handelsünger[Handelsdünger])-1)/(--(SEARCH(AL$2,Liste_Handelsünger[Handelsdünger])&gt;0)),ROW()-2),1),"")</f>
        <v>Ferrogranul 20</v>
      </c>
      <c r="AL220" s="1672" t="str">
        <f>IF(($A$3=""),"",IF(COUNTIF(Mineral!$AJ$3:$AJ$324,$A$3),"",$A$3))</f>
        <v/>
      </c>
      <c r="AM220" s="1672" t="str">
        <f>IFERROR(INDEX(Liste_Handelsünger[Handelsdünger],_xlfn.AGGREGATE(15,6,(ROW(Liste_Handelsünger[Handelsdünger])-1)/(--(SEARCH(AN$2,Liste_Handelsünger[Handelsdünger])&gt;0)),ROW()-2),1),"")</f>
        <v>Ferrogranul 20</v>
      </c>
      <c r="AN220" t="str">
        <f>IF(($A222=""),"",IF(COUNTIF(Mineral!$AJ$3:$AJ$324,$A222),"",$A222))</f>
        <v/>
      </c>
      <c r="AO220" t="str">
        <f>IFERROR(INDEX(Liste_Handelsünger[Handelsdünger],_xlfn.AGGREGATE(15,6,(ROW(Liste_Handelsünger[Handelsdünger])-1)/(--(SEARCH(AP$2,Liste_Handelsünger[Handelsdünger])&gt;0)),ROW()-2),1),"")</f>
        <v>Ferrogranul 20</v>
      </c>
      <c r="AP220" t="str">
        <f>IF(($A223=""),"",IF(COUNTIF(Mineral!$AJ$3:$AJ$324,$A223),"",$A223))</f>
        <v/>
      </c>
      <c r="AQ220" t="str">
        <f>IFERROR(INDEX(Liste_Handelsünger[Handelsdünger],_xlfn.AGGREGATE(15,6,(ROW(Liste_Handelsünger[Handelsdünger])-1)/(--(SEARCH(AR$2,Liste_Handelsünger[Handelsdünger])&gt;0)),ROW()-2),1),"")</f>
        <v>Ferrogranul 20</v>
      </c>
      <c r="AR220" t="str">
        <f>IF(($A224=""),"",IF(COUNTIF(Mineral!$AJ$3:$AJ$324,$A224),"",$A224))</f>
        <v/>
      </c>
      <c r="AS220" t="str">
        <f>IFERROR(INDEX(Liste_Handelsünger[Handelsdünger],_xlfn.AGGREGATE(15,6,(ROW(Liste_Handelsünger[Handelsdünger])-1)/(--(SEARCH(AT$2,Liste_Handelsünger[Handelsdünger])&gt;0)),ROW()-2),1),"")</f>
        <v>Ferrogranul 20</v>
      </c>
      <c r="AT220" t="str">
        <f>IF(($A225=""),"",IF(COUNTIF(Mineral!$AJ$3:$AJ$324,$A225),"",$A225))</f>
        <v/>
      </c>
      <c r="AU220" t="str">
        <f>IFERROR(INDEX(Liste_Handelsünger[Handelsdünger],_xlfn.AGGREGATE(15,6,(ROW(Liste_Handelsünger[Handelsdünger])-1)/(--(SEARCH(AV$2,Liste_Handelsünger[Handelsdünger])&gt;0)),ROW()-2),1),"")</f>
        <v>Ferrogranul 20</v>
      </c>
      <c r="AV220" t="str">
        <f>IF(($A226=""),"",IF(COUNTIF(Mineral!$AJ$3:$AJ$324,$A226),"",$A226))</f>
        <v/>
      </c>
      <c r="AW220" t="str">
        <f>IFERROR(INDEX(Liste_Handelsünger[Handelsdünger],_xlfn.AGGREGATE(15,6,(ROW(Liste_Handelsünger[Handelsdünger])-1)/(--(SEARCH(AX$2,Liste_Handelsünger[Handelsdünger])&gt;0)),ROW()-2),1),"")</f>
        <v>Ferrogranul 20</v>
      </c>
      <c r="AX220" t="str">
        <f>IF(($A227=""),"",IF(COUNTIF(Mineral!$AJ$3:$AJ$324,$A227),"",$A227))</f>
        <v/>
      </c>
      <c r="AY220" t="str">
        <f>IFERROR(INDEX(Liste_Handelsünger[Handelsdünger],_xlfn.AGGREGATE(15,6,(ROW(Liste_Handelsünger[Handelsdünger])-1)/(--(SEARCH(AZ$2,Liste_Handelsünger[Handelsdünger])&gt;0)),ROW()-2),1),"")</f>
        <v>Ferrogranul 20</v>
      </c>
      <c r="AZ220" t="str">
        <f>IF(($A228=""),"",IF(COUNTIF(Mineral!$AJ$3:$AJ$324,$A228),"",$A228))</f>
        <v/>
      </c>
      <c r="BA220" t="str">
        <f>IFERROR(INDEX(Liste_Handelsünger[Handelsdünger],_xlfn.AGGREGATE(15,6,(ROW(Liste_Handelsünger[Handelsdünger])-1)/(--(SEARCH(BB$2,Liste_Handelsünger[Handelsdünger])&gt;0)),ROW()-2),1),"")</f>
        <v>Ferrogranul 20</v>
      </c>
      <c r="BB220" t="str">
        <f>IF(($A229=""),"",IF(COUNTIF(Mineral!$AJ$3:$AJ$324,$A229),"",$A229))</f>
        <v/>
      </c>
      <c r="BC220" t="str">
        <f>IFERROR(INDEX(Liste_Handelsünger[Handelsdünger],_xlfn.AGGREGATE(15,6,(ROW(Liste_Handelsünger[Handelsdünger])-1)/(--(SEARCH(BD$2,Liste_Handelsünger[Handelsdünger])&gt;0)),ROW()-2),1),"")</f>
        <v>Ferrogranul 20</v>
      </c>
      <c r="BD220" t="str">
        <f>IF(($A230=""),"",IF(COUNTIF(Mineral!$AJ$3:$AJ$324,$A230),"",$A230))</f>
        <v/>
      </c>
      <c r="BE220" t="str">
        <f>IFERROR(INDEX(Liste_Handelsünger[Handelsdünger],_xlfn.AGGREGATE(15,6,(ROW(Liste_Handelsünger[Handelsdünger])-1)/(--(SEARCH(BF$2,Liste_Handelsünger[Handelsdünger])&gt;0)),ROW()-2),1),"")</f>
        <v>Ferrogranul 20</v>
      </c>
      <c r="BF220" t="str">
        <f>IF(($A231=""),"",IF(COUNTIF(Mineral!$AJ$3:$AJ$324,$A231),"",$A231))</f>
        <v/>
      </c>
      <c r="BG220" t="str">
        <f>IFERROR(INDEX(Liste_Handelsünger[Handelsdünger],_xlfn.AGGREGATE(15,6,(ROW(Liste_Handelsünger[Handelsdünger])-1)/(--(SEARCH(BH$2,Liste_Handelsünger[Handelsdünger])&gt;0)),ROW()-2),1),"")</f>
        <v>Ferrogranul 20</v>
      </c>
      <c r="BH220" t="str">
        <f>IF(($A232=""),"",IF(COUNTIF(Mineral!$AJ$3:$AJ$324,$A232),"",$A232))</f>
        <v/>
      </c>
      <c r="BI220" t="str">
        <f>IFERROR(INDEX(Liste_Handelsünger[Handelsdünger],_xlfn.AGGREGATE(15,6,(ROW(Liste_Handelsünger[Handelsdünger])-1)/(--(SEARCH(BJ$2,Liste_Handelsünger[Handelsdünger])&gt;0)),ROW()-2),1),"")</f>
        <v>Ferrogranul 20</v>
      </c>
      <c r="BJ220" t="str">
        <f>IF(($A233=""),"",IF(COUNTIF(Mineral!$AJ$3:$AJ$324,$A233),"",$A233))</f>
        <v/>
      </c>
      <c r="BK220" t="str">
        <f>IFERROR(INDEX(Liste_Handelsünger[Handelsdünger],_xlfn.AGGREGATE(15,6,(ROW(Liste_Handelsünger[Handelsdünger])-1)/(--(SEARCH(BL$2,Liste_Handelsünger[Handelsdünger])&gt;0)),ROW()-2),1),"")</f>
        <v>Ferrogranul 20</v>
      </c>
      <c r="BM220" t="str">
        <f>IFERROR(INDEX(Liste_Handelsünger[Handelsdünger],_xlfn.AGGREGATE(15,6,(ROW(Liste_Handelsünger[Handelsdünger])-1)/(--(SEARCH(BN$2,Liste_Handelsünger[Handelsdünger])&gt;0)),ROW()-2),1),"")</f>
        <v>Ferrogranul 20</v>
      </c>
      <c r="BN220" t="str">
        <f>IF(($A235=""),"",IF(COUNTIF(Mineral!$AJ$3:$AJ$324,$A235),"",$A235))</f>
        <v/>
      </c>
      <c r="BV220" t="s">
        <v>2143</v>
      </c>
      <c r="BW220" t="s">
        <v>2075</v>
      </c>
      <c r="BZ220" s="1602"/>
      <c r="CA220" s="1602"/>
      <c r="CB220" s="1602"/>
    </row>
    <row r="221" spans="19:80" ht="14.25" thickTop="1" thickBot="1">
      <c r="S221" s="1616">
        <v>220</v>
      </c>
      <c r="T221" s="1617" t="s">
        <v>2006</v>
      </c>
      <c r="U221" s="1617" t="s">
        <v>2144</v>
      </c>
      <c r="V221" s="1617" t="s">
        <v>408</v>
      </c>
      <c r="W221" s="1617">
        <v>0</v>
      </c>
      <c r="X221" s="1617">
        <v>0</v>
      </c>
      <c r="Y221" s="1617">
        <v>0</v>
      </c>
      <c r="Z221" s="1617">
        <v>0</v>
      </c>
      <c r="AA221" s="1617">
        <v>15</v>
      </c>
      <c r="AB221" s="1617">
        <v>0</v>
      </c>
      <c r="AC221" s="1617">
        <v>1</v>
      </c>
      <c r="AD221" s="1613">
        <v>1</v>
      </c>
      <c r="AE221" s="1617" t="s">
        <v>1764</v>
      </c>
      <c r="AF221" s="1613" t="str">
        <f t="shared" si="19"/>
        <v/>
      </c>
      <c r="AG221" s="1656">
        <f>IFERROR(IF($AF221&gt;0,VLOOKUP($U221,Tabelle1!$C$188:$L$212,5,0)*$AF221,0),0)</f>
        <v>0</v>
      </c>
      <c r="AH221" s="1656">
        <f t="shared" si="20"/>
        <v>0</v>
      </c>
      <c r="AJ221" t="str">
        <f>IF(Betrieb!$D$9="JA",Mineral!$BW221,Mineral!$BV221)</f>
        <v>Fertileader AZUR (Ca)</v>
      </c>
      <c r="AK221" s="1672" t="str">
        <f>IFERROR(INDEX(Liste_Handelsünger[Handelsdünger],_xlfn.AGGREGATE(15,6,(ROW(Liste_Handelsünger[Handelsdünger])-1)/(--(SEARCH(AL$2,Liste_Handelsünger[Handelsdünger])&gt;0)),ROW()-2),1),"")</f>
        <v>Fertileader AZUR (Ca)</v>
      </c>
      <c r="AL221" s="1672" t="str">
        <f>IF(($A$3=""),"",IF(COUNTIF(Mineral!$AJ$3:$AJ$324,$A$3),"",$A$3))</f>
        <v/>
      </c>
      <c r="AM221" s="1672" t="str">
        <f>IFERROR(INDEX(Liste_Handelsünger[Handelsdünger],_xlfn.AGGREGATE(15,6,(ROW(Liste_Handelsünger[Handelsdünger])-1)/(--(SEARCH(AN$2,Liste_Handelsünger[Handelsdünger])&gt;0)),ROW()-2),1),"")</f>
        <v>Fertileader AZUR (Ca)</v>
      </c>
      <c r="AN221" t="str">
        <f>IF(($A223=""),"",IF(COUNTIF(Mineral!$AJ$3:$AJ$324,$A223),"",$A223))</f>
        <v/>
      </c>
      <c r="AO221" t="str">
        <f>IFERROR(INDEX(Liste_Handelsünger[Handelsdünger],_xlfn.AGGREGATE(15,6,(ROW(Liste_Handelsünger[Handelsdünger])-1)/(--(SEARCH(AP$2,Liste_Handelsünger[Handelsdünger])&gt;0)),ROW()-2),1),"")</f>
        <v>Fertileader AZUR (Ca)</v>
      </c>
      <c r="AP221" t="str">
        <f>IF(($A224=""),"",IF(COUNTIF(Mineral!$AJ$3:$AJ$324,$A224),"",$A224))</f>
        <v/>
      </c>
      <c r="AQ221" t="str">
        <f>IFERROR(INDEX(Liste_Handelsünger[Handelsdünger],_xlfn.AGGREGATE(15,6,(ROW(Liste_Handelsünger[Handelsdünger])-1)/(--(SEARCH(AR$2,Liste_Handelsünger[Handelsdünger])&gt;0)),ROW()-2),1),"")</f>
        <v>Fertileader AZUR (Ca)</v>
      </c>
      <c r="AR221" t="str">
        <f>IF(($A225=""),"",IF(COUNTIF(Mineral!$AJ$3:$AJ$324,$A225),"",$A225))</f>
        <v/>
      </c>
      <c r="AS221" t="str">
        <f>IFERROR(INDEX(Liste_Handelsünger[Handelsdünger],_xlfn.AGGREGATE(15,6,(ROW(Liste_Handelsünger[Handelsdünger])-1)/(--(SEARCH(AT$2,Liste_Handelsünger[Handelsdünger])&gt;0)),ROW()-2),1),"")</f>
        <v>Fertileader AZUR (Ca)</v>
      </c>
      <c r="AT221" t="str">
        <f>IF(($A226=""),"",IF(COUNTIF(Mineral!$AJ$3:$AJ$324,$A226),"",$A226))</f>
        <v/>
      </c>
      <c r="AU221" t="str">
        <f>IFERROR(INDEX(Liste_Handelsünger[Handelsdünger],_xlfn.AGGREGATE(15,6,(ROW(Liste_Handelsünger[Handelsdünger])-1)/(--(SEARCH(AV$2,Liste_Handelsünger[Handelsdünger])&gt;0)),ROW()-2),1),"")</f>
        <v>Fertileader AZUR (Ca)</v>
      </c>
      <c r="AV221" t="str">
        <f>IF(($A227=""),"",IF(COUNTIF(Mineral!$AJ$3:$AJ$324,$A227),"",$A227))</f>
        <v/>
      </c>
      <c r="AW221" t="str">
        <f>IFERROR(INDEX(Liste_Handelsünger[Handelsdünger],_xlfn.AGGREGATE(15,6,(ROW(Liste_Handelsünger[Handelsdünger])-1)/(--(SEARCH(AX$2,Liste_Handelsünger[Handelsdünger])&gt;0)),ROW()-2),1),"")</f>
        <v>Fertileader AZUR (Ca)</v>
      </c>
      <c r="AX221" t="str">
        <f>IF(($A228=""),"",IF(COUNTIF(Mineral!$AJ$3:$AJ$324,$A228),"",$A228))</f>
        <v/>
      </c>
      <c r="AY221" t="str">
        <f>IFERROR(INDEX(Liste_Handelsünger[Handelsdünger],_xlfn.AGGREGATE(15,6,(ROW(Liste_Handelsünger[Handelsdünger])-1)/(--(SEARCH(AZ$2,Liste_Handelsünger[Handelsdünger])&gt;0)),ROW()-2),1),"")</f>
        <v>Fertileader AZUR (Ca)</v>
      </c>
      <c r="AZ221" t="str">
        <f>IF(($A229=""),"",IF(COUNTIF(Mineral!$AJ$3:$AJ$324,$A229),"",$A229))</f>
        <v/>
      </c>
      <c r="BA221" t="str">
        <f>IFERROR(INDEX(Liste_Handelsünger[Handelsdünger],_xlfn.AGGREGATE(15,6,(ROW(Liste_Handelsünger[Handelsdünger])-1)/(--(SEARCH(BB$2,Liste_Handelsünger[Handelsdünger])&gt;0)),ROW()-2),1),"")</f>
        <v>Fertileader AZUR (Ca)</v>
      </c>
      <c r="BB221" t="str">
        <f>IF(($A230=""),"",IF(COUNTIF(Mineral!$AJ$3:$AJ$324,$A230),"",$A230))</f>
        <v/>
      </c>
      <c r="BC221" t="str">
        <f>IFERROR(INDEX(Liste_Handelsünger[Handelsdünger],_xlfn.AGGREGATE(15,6,(ROW(Liste_Handelsünger[Handelsdünger])-1)/(--(SEARCH(BD$2,Liste_Handelsünger[Handelsdünger])&gt;0)),ROW()-2),1),"")</f>
        <v>Fertileader AZUR (Ca)</v>
      </c>
      <c r="BD221" t="str">
        <f>IF(($A231=""),"",IF(COUNTIF(Mineral!$AJ$3:$AJ$324,$A231),"",$A231))</f>
        <v/>
      </c>
      <c r="BE221" t="str">
        <f>IFERROR(INDEX(Liste_Handelsünger[Handelsdünger],_xlfn.AGGREGATE(15,6,(ROW(Liste_Handelsünger[Handelsdünger])-1)/(--(SEARCH(BF$2,Liste_Handelsünger[Handelsdünger])&gt;0)),ROW()-2),1),"")</f>
        <v>Fertileader AZUR (Ca)</v>
      </c>
      <c r="BF221" t="str">
        <f>IF(($A232=""),"",IF(COUNTIF(Mineral!$AJ$3:$AJ$324,$A232),"",$A232))</f>
        <v/>
      </c>
      <c r="BG221" t="str">
        <f>IFERROR(INDEX(Liste_Handelsünger[Handelsdünger],_xlfn.AGGREGATE(15,6,(ROW(Liste_Handelsünger[Handelsdünger])-1)/(--(SEARCH(BH$2,Liste_Handelsünger[Handelsdünger])&gt;0)),ROW()-2),1),"")</f>
        <v>Fertileader AZUR (Ca)</v>
      </c>
      <c r="BH221" t="str">
        <f>IF(($A233=""),"",IF(COUNTIF(Mineral!$AJ$3:$AJ$324,$A233),"",$A233))</f>
        <v/>
      </c>
      <c r="BI221" t="str">
        <f>IFERROR(INDEX(Liste_Handelsünger[Handelsdünger],_xlfn.AGGREGATE(15,6,(ROW(Liste_Handelsünger[Handelsdünger])-1)/(--(SEARCH(BJ$2,Liste_Handelsünger[Handelsdünger])&gt;0)),ROW()-2),1),"")</f>
        <v>Fertileader AZUR (Ca)</v>
      </c>
      <c r="BJ221" t="str">
        <f>IF(($A234=""),"",IF(COUNTIF(Mineral!$AJ$3:$AJ$324,$A234),"",$A234))</f>
        <v/>
      </c>
      <c r="BK221" t="str">
        <f>IFERROR(INDEX(Liste_Handelsünger[Handelsdünger],_xlfn.AGGREGATE(15,6,(ROW(Liste_Handelsünger[Handelsdünger])-1)/(--(SEARCH(BL$2,Liste_Handelsünger[Handelsdünger])&gt;0)),ROW()-2),1),"")</f>
        <v>Fertileader AZUR (Ca)</v>
      </c>
      <c r="BM221" t="str">
        <f>IFERROR(INDEX(Liste_Handelsünger[Handelsdünger],_xlfn.AGGREGATE(15,6,(ROW(Liste_Handelsünger[Handelsdünger])-1)/(--(SEARCH(BN$2,Liste_Handelsünger[Handelsdünger])&gt;0)),ROW()-2),1),"")</f>
        <v>Fertileader AZUR (Ca)</v>
      </c>
      <c r="BN221" t="str">
        <f>IF(($A236=""),"",IF(COUNTIF(Mineral!$AJ$3:$AJ$324,$A236),"",$A236))</f>
        <v/>
      </c>
      <c r="BV221" t="s">
        <v>2144</v>
      </c>
      <c r="BW221" t="s">
        <v>2080</v>
      </c>
      <c r="BZ221" s="1602"/>
      <c r="CA221" s="1602"/>
      <c r="CB221" s="1602"/>
    </row>
    <row r="222" spans="19:80" ht="14.25" thickTop="1" thickBot="1">
      <c r="S222" s="1676">
        <v>221</v>
      </c>
      <c r="T222" s="1606" t="s">
        <v>2006</v>
      </c>
      <c r="U222" s="1606" t="s">
        <v>2145</v>
      </c>
      <c r="V222" s="1606" t="s">
        <v>408</v>
      </c>
      <c r="W222" s="1606">
        <v>0</v>
      </c>
      <c r="X222" s="1606">
        <v>0</v>
      </c>
      <c r="Y222" s="1606">
        <v>0</v>
      </c>
      <c r="Z222" s="1606">
        <v>0</v>
      </c>
      <c r="AA222" s="1606">
        <v>0</v>
      </c>
      <c r="AB222" s="1606">
        <v>0</v>
      </c>
      <c r="AC222" s="1606">
        <v>1</v>
      </c>
      <c r="AD222" s="1613">
        <v>1</v>
      </c>
      <c r="AE222" s="1606" t="s">
        <v>1764</v>
      </c>
      <c r="AF222" s="1613" t="str">
        <f t="shared" si="19"/>
        <v/>
      </c>
      <c r="AG222" s="1656">
        <f>IFERROR(IF($AF222&gt;0,VLOOKUP($U222,Tabelle1!$C$188:$L$212,5,0)*$AF222,0),0)</f>
        <v>0</v>
      </c>
      <c r="AH222" s="1656">
        <f t="shared" si="20"/>
        <v>0</v>
      </c>
      <c r="AJ222" t="str">
        <f>IF(Betrieb!$D$9="JA",Mineral!$BW222,Mineral!$BV222)</f>
        <v>Fertileader Gold (BMo)</v>
      </c>
      <c r="AK222" s="1672" t="str">
        <f>IFERROR(INDEX(Liste_Handelsünger[Handelsdünger],_xlfn.AGGREGATE(15,6,(ROW(Liste_Handelsünger[Handelsdünger])-1)/(--(SEARCH(AL$2,Liste_Handelsünger[Handelsdünger])&gt;0)),ROW()-2),1),"")</f>
        <v>Fertileader Gold (BMo)</v>
      </c>
      <c r="AL222" s="1672" t="str">
        <f>IF(($A$3=""),"",IF(COUNTIF(Mineral!$AJ$3:$AJ$324,$A$3),"",$A$3))</f>
        <v/>
      </c>
      <c r="AM222" s="1672" t="str">
        <f>IFERROR(INDEX(Liste_Handelsünger[Handelsdünger],_xlfn.AGGREGATE(15,6,(ROW(Liste_Handelsünger[Handelsdünger])-1)/(--(SEARCH(AN$2,Liste_Handelsünger[Handelsdünger])&gt;0)),ROW()-2),1),"")</f>
        <v>Fertileader Gold (BMo)</v>
      </c>
      <c r="AN222" t="str">
        <f>IF(($A224=""),"",IF(COUNTIF(Mineral!$AJ$3:$AJ$324,$A224),"",$A224))</f>
        <v/>
      </c>
      <c r="AO222" t="str">
        <f>IFERROR(INDEX(Liste_Handelsünger[Handelsdünger],_xlfn.AGGREGATE(15,6,(ROW(Liste_Handelsünger[Handelsdünger])-1)/(--(SEARCH(AP$2,Liste_Handelsünger[Handelsdünger])&gt;0)),ROW()-2),1),"")</f>
        <v>Fertileader Gold (BMo)</v>
      </c>
      <c r="AP222" t="str">
        <f>IF(($A225=""),"",IF(COUNTIF(Mineral!$AJ$3:$AJ$324,$A225),"",$A225))</f>
        <v/>
      </c>
      <c r="AQ222" t="str">
        <f>IFERROR(INDEX(Liste_Handelsünger[Handelsdünger],_xlfn.AGGREGATE(15,6,(ROW(Liste_Handelsünger[Handelsdünger])-1)/(--(SEARCH(AR$2,Liste_Handelsünger[Handelsdünger])&gt;0)),ROW()-2),1),"")</f>
        <v>Fertileader Gold (BMo)</v>
      </c>
      <c r="AR222" t="str">
        <f>IF(($A226=""),"",IF(COUNTIF(Mineral!$AJ$3:$AJ$324,$A226),"",$A226))</f>
        <v/>
      </c>
      <c r="AS222" t="str">
        <f>IFERROR(INDEX(Liste_Handelsünger[Handelsdünger],_xlfn.AGGREGATE(15,6,(ROW(Liste_Handelsünger[Handelsdünger])-1)/(--(SEARCH(AT$2,Liste_Handelsünger[Handelsdünger])&gt;0)),ROW()-2),1),"")</f>
        <v>Fertileader Gold (BMo)</v>
      </c>
      <c r="AT222" t="str">
        <f>IF(($A227=""),"",IF(COUNTIF(Mineral!$AJ$3:$AJ$324,$A227),"",$A227))</f>
        <v/>
      </c>
      <c r="AU222" t="str">
        <f>IFERROR(INDEX(Liste_Handelsünger[Handelsdünger],_xlfn.AGGREGATE(15,6,(ROW(Liste_Handelsünger[Handelsdünger])-1)/(--(SEARCH(AV$2,Liste_Handelsünger[Handelsdünger])&gt;0)),ROW()-2),1),"")</f>
        <v>Fertileader Gold (BMo)</v>
      </c>
      <c r="AV222" t="str">
        <f>IF(($A228=""),"",IF(COUNTIF(Mineral!$AJ$3:$AJ$324,$A228),"",$A228))</f>
        <v/>
      </c>
      <c r="AW222" t="str">
        <f>IFERROR(INDEX(Liste_Handelsünger[Handelsdünger],_xlfn.AGGREGATE(15,6,(ROW(Liste_Handelsünger[Handelsdünger])-1)/(--(SEARCH(AX$2,Liste_Handelsünger[Handelsdünger])&gt;0)),ROW()-2),1),"")</f>
        <v>Fertileader Gold (BMo)</v>
      </c>
      <c r="AX222" t="str">
        <f>IF(($A229=""),"",IF(COUNTIF(Mineral!$AJ$3:$AJ$324,$A229),"",$A229))</f>
        <v/>
      </c>
      <c r="AY222" t="str">
        <f>IFERROR(INDEX(Liste_Handelsünger[Handelsdünger],_xlfn.AGGREGATE(15,6,(ROW(Liste_Handelsünger[Handelsdünger])-1)/(--(SEARCH(AZ$2,Liste_Handelsünger[Handelsdünger])&gt;0)),ROW()-2),1),"")</f>
        <v>Fertileader Gold (BMo)</v>
      </c>
      <c r="AZ222" t="str">
        <f>IF(($A230=""),"",IF(COUNTIF(Mineral!$AJ$3:$AJ$324,$A230),"",$A230))</f>
        <v/>
      </c>
      <c r="BA222" t="str">
        <f>IFERROR(INDEX(Liste_Handelsünger[Handelsdünger],_xlfn.AGGREGATE(15,6,(ROW(Liste_Handelsünger[Handelsdünger])-1)/(--(SEARCH(BB$2,Liste_Handelsünger[Handelsdünger])&gt;0)),ROW()-2),1),"")</f>
        <v>Fertileader Gold (BMo)</v>
      </c>
      <c r="BB222" t="str">
        <f>IF(($A231=""),"",IF(COUNTIF(Mineral!$AJ$3:$AJ$324,$A231),"",$A231))</f>
        <v/>
      </c>
      <c r="BC222" t="str">
        <f>IFERROR(INDEX(Liste_Handelsünger[Handelsdünger],_xlfn.AGGREGATE(15,6,(ROW(Liste_Handelsünger[Handelsdünger])-1)/(--(SEARCH(BD$2,Liste_Handelsünger[Handelsdünger])&gt;0)),ROW()-2),1),"")</f>
        <v>Fertileader Gold (BMo)</v>
      </c>
      <c r="BD222" t="str">
        <f>IF(($A232=""),"",IF(COUNTIF(Mineral!$AJ$3:$AJ$324,$A232),"",$A232))</f>
        <v/>
      </c>
      <c r="BE222" t="str">
        <f>IFERROR(INDEX(Liste_Handelsünger[Handelsdünger],_xlfn.AGGREGATE(15,6,(ROW(Liste_Handelsünger[Handelsdünger])-1)/(--(SEARCH(BF$2,Liste_Handelsünger[Handelsdünger])&gt;0)),ROW()-2),1),"")</f>
        <v>Fertileader Gold (BMo)</v>
      </c>
      <c r="BF222" t="str">
        <f>IF(($A233=""),"",IF(COUNTIF(Mineral!$AJ$3:$AJ$324,$A233),"",$A233))</f>
        <v/>
      </c>
      <c r="BG222" t="str">
        <f>IFERROR(INDEX(Liste_Handelsünger[Handelsdünger],_xlfn.AGGREGATE(15,6,(ROW(Liste_Handelsünger[Handelsdünger])-1)/(--(SEARCH(BH$2,Liste_Handelsünger[Handelsdünger])&gt;0)),ROW()-2),1),"")</f>
        <v>Fertileader Gold (BMo)</v>
      </c>
      <c r="BH222" t="str">
        <f>IF(($A234=""),"",IF(COUNTIF(Mineral!$AJ$3:$AJ$324,$A234),"",$A234))</f>
        <v/>
      </c>
      <c r="BI222" t="str">
        <f>IFERROR(INDEX(Liste_Handelsünger[Handelsdünger],_xlfn.AGGREGATE(15,6,(ROW(Liste_Handelsünger[Handelsdünger])-1)/(--(SEARCH(BJ$2,Liste_Handelsünger[Handelsdünger])&gt;0)),ROW()-2),1),"")</f>
        <v>Fertileader Gold (BMo)</v>
      </c>
      <c r="BJ222" t="str">
        <f>IF(($A235=""),"",IF(COUNTIF(Mineral!$AJ$3:$AJ$324,$A235),"",$A235))</f>
        <v/>
      </c>
      <c r="BK222" t="str">
        <f>IFERROR(INDEX(Liste_Handelsünger[Handelsdünger],_xlfn.AGGREGATE(15,6,(ROW(Liste_Handelsünger[Handelsdünger])-1)/(--(SEARCH(BL$2,Liste_Handelsünger[Handelsdünger])&gt;0)),ROW()-2),1),"")</f>
        <v>Fertileader Gold (BMo)</v>
      </c>
      <c r="BM222" t="str">
        <f>IFERROR(INDEX(Liste_Handelsünger[Handelsdünger],_xlfn.AGGREGATE(15,6,(ROW(Liste_Handelsünger[Handelsdünger])-1)/(--(SEARCH(BN$2,Liste_Handelsünger[Handelsdünger])&gt;0)),ROW()-2),1),"")</f>
        <v>Fertileader Gold (BMo)</v>
      </c>
      <c r="BN222" t="str">
        <f>IF(($A237=""),"",IF(COUNTIF(Mineral!$AJ$3:$AJ$324,$A237),"",$A237))</f>
        <v/>
      </c>
      <c r="BV222" t="s">
        <v>2145</v>
      </c>
      <c r="BW222" t="s">
        <v>2081</v>
      </c>
      <c r="BZ222" s="1602"/>
      <c r="CA222" s="1602"/>
      <c r="CB222" s="1602"/>
    </row>
    <row r="223" spans="19:80" ht="14.25" thickTop="1" thickBot="1">
      <c r="S223" s="1616">
        <v>222</v>
      </c>
      <c r="T223" s="1617" t="s">
        <v>2006</v>
      </c>
      <c r="U223" s="1617" t="s">
        <v>2153</v>
      </c>
      <c r="V223" s="1617" t="s">
        <v>408</v>
      </c>
      <c r="W223" s="1617">
        <v>0</v>
      </c>
      <c r="X223" s="1617">
        <v>0</v>
      </c>
      <c r="Y223" s="1617">
        <v>0</v>
      </c>
      <c r="Z223" s="1617">
        <v>0</v>
      </c>
      <c r="AA223" s="1617">
        <v>52.2</v>
      </c>
      <c r="AB223" s="1617">
        <v>0</v>
      </c>
      <c r="AC223" s="1617">
        <v>1</v>
      </c>
      <c r="AD223" s="1613">
        <v>1</v>
      </c>
      <c r="AE223" s="1617" t="s">
        <v>1764</v>
      </c>
      <c r="AF223" s="1613" t="str">
        <f t="shared" si="19"/>
        <v/>
      </c>
      <c r="AG223" s="1656">
        <f>IFERROR(IF($AF223&gt;0,VLOOKUP($U223,Tabelle1!$C$188:$L$212,5,0)*$AF223,0),0)</f>
        <v>0</v>
      </c>
      <c r="AH223" s="1656">
        <f t="shared" si="20"/>
        <v>0</v>
      </c>
      <c r="AJ223" t="str">
        <f>IF(Betrieb!$D$9="JA",Mineral!$BW223,Mineral!$BV223)</f>
        <v>GreenFit CaCO3 92%</v>
      </c>
      <c r="AK223" s="1672" t="str">
        <f>IFERROR(INDEX(Liste_Handelsünger[Handelsdünger],_xlfn.AGGREGATE(15,6,(ROW(Liste_Handelsünger[Handelsdünger])-1)/(--(SEARCH(AL$2,Liste_Handelsünger[Handelsdünger])&gt;0)),ROW()-2),1),"")</f>
        <v>GreenFit CaCO3 92%</v>
      </c>
      <c r="AL223" s="1672" t="str">
        <f>IF(($A$3=""),"",IF(COUNTIF(Mineral!$AJ$3:$AJ$324,$A$3),"",$A$3))</f>
        <v/>
      </c>
      <c r="AM223" s="1672" t="str">
        <f>IFERROR(INDEX(Liste_Handelsünger[Handelsdünger],_xlfn.AGGREGATE(15,6,(ROW(Liste_Handelsünger[Handelsdünger])-1)/(--(SEARCH(AN$2,Liste_Handelsünger[Handelsdünger])&gt;0)),ROW()-2),1),"")</f>
        <v>GreenFit CaCO3 92%</v>
      </c>
      <c r="AN223" t="str">
        <f>IF(($A225=""),"",IF(COUNTIF(Mineral!$AJ$3:$AJ$324,$A225),"",$A225))</f>
        <v/>
      </c>
      <c r="AO223" t="str">
        <f>IFERROR(INDEX(Liste_Handelsünger[Handelsdünger],_xlfn.AGGREGATE(15,6,(ROW(Liste_Handelsünger[Handelsdünger])-1)/(--(SEARCH(AP$2,Liste_Handelsünger[Handelsdünger])&gt;0)),ROW()-2),1),"")</f>
        <v>GreenFit CaCO3 92%</v>
      </c>
      <c r="AP223" t="str">
        <f>IF(($A226=""),"",IF(COUNTIF(Mineral!$AJ$3:$AJ$324,$A226),"",$A226))</f>
        <v/>
      </c>
      <c r="AQ223" t="str">
        <f>IFERROR(INDEX(Liste_Handelsünger[Handelsdünger],_xlfn.AGGREGATE(15,6,(ROW(Liste_Handelsünger[Handelsdünger])-1)/(--(SEARCH(AR$2,Liste_Handelsünger[Handelsdünger])&gt;0)),ROW()-2),1),"")</f>
        <v>GreenFit CaCO3 92%</v>
      </c>
      <c r="AR223" t="str">
        <f>IF(($A227=""),"",IF(COUNTIF(Mineral!$AJ$3:$AJ$324,$A227),"",$A227))</f>
        <v/>
      </c>
      <c r="AS223" t="str">
        <f>IFERROR(INDEX(Liste_Handelsünger[Handelsdünger],_xlfn.AGGREGATE(15,6,(ROW(Liste_Handelsünger[Handelsdünger])-1)/(--(SEARCH(AT$2,Liste_Handelsünger[Handelsdünger])&gt;0)),ROW()-2),1),"")</f>
        <v>GreenFit CaCO3 92%</v>
      </c>
      <c r="AT223" t="str">
        <f>IF(($A228=""),"",IF(COUNTIF(Mineral!$AJ$3:$AJ$324,$A228),"",$A228))</f>
        <v/>
      </c>
      <c r="AU223" t="str">
        <f>IFERROR(INDEX(Liste_Handelsünger[Handelsdünger],_xlfn.AGGREGATE(15,6,(ROW(Liste_Handelsünger[Handelsdünger])-1)/(--(SEARCH(AV$2,Liste_Handelsünger[Handelsdünger])&gt;0)),ROW()-2),1),"")</f>
        <v>GreenFit CaCO3 92%</v>
      </c>
      <c r="AV223" t="str">
        <f>IF(($A229=""),"",IF(COUNTIF(Mineral!$AJ$3:$AJ$324,$A229),"",$A229))</f>
        <v/>
      </c>
      <c r="AW223" t="str">
        <f>IFERROR(INDEX(Liste_Handelsünger[Handelsdünger],_xlfn.AGGREGATE(15,6,(ROW(Liste_Handelsünger[Handelsdünger])-1)/(--(SEARCH(AX$2,Liste_Handelsünger[Handelsdünger])&gt;0)),ROW()-2),1),"")</f>
        <v>GreenFit CaCO3 92%</v>
      </c>
      <c r="AX223" t="str">
        <f>IF(($A230=""),"",IF(COUNTIF(Mineral!$AJ$3:$AJ$324,$A230),"",$A230))</f>
        <v/>
      </c>
      <c r="AY223" t="str">
        <f>IFERROR(INDEX(Liste_Handelsünger[Handelsdünger],_xlfn.AGGREGATE(15,6,(ROW(Liste_Handelsünger[Handelsdünger])-1)/(--(SEARCH(AZ$2,Liste_Handelsünger[Handelsdünger])&gt;0)),ROW()-2),1),"")</f>
        <v>GreenFit CaCO3 92%</v>
      </c>
      <c r="AZ223" t="str">
        <f>IF(($A231=""),"",IF(COUNTIF(Mineral!$AJ$3:$AJ$324,$A231),"",$A231))</f>
        <v/>
      </c>
      <c r="BA223" t="str">
        <f>IFERROR(INDEX(Liste_Handelsünger[Handelsdünger],_xlfn.AGGREGATE(15,6,(ROW(Liste_Handelsünger[Handelsdünger])-1)/(--(SEARCH(BB$2,Liste_Handelsünger[Handelsdünger])&gt;0)),ROW()-2),1),"")</f>
        <v>GreenFit CaCO3 92%</v>
      </c>
      <c r="BB223" t="str">
        <f>IF(($A232=""),"",IF(COUNTIF(Mineral!$AJ$3:$AJ$324,$A232),"",$A232))</f>
        <v/>
      </c>
      <c r="BC223" t="str">
        <f>IFERROR(INDEX(Liste_Handelsünger[Handelsdünger],_xlfn.AGGREGATE(15,6,(ROW(Liste_Handelsünger[Handelsdünger])-1)/(--(SEARCH(BD$2,Liste_Handelsünger[Handelsdünger])&gt;0)),ROW()-2),1),"")</f>
        <v>GreenFit CaCO3 92%</v>
      </c>
      <c r="BD223" t="str">
        <f>IF(($A233=""),"",IF(COUNTIF(Mineral!$AJ$3:$AJ$324,$A233),"",$A233))</f>
        <v/>
      </c>
      <c r="BE223" t="str">
        <f>IFERROR(INDEX(Liste_Handelsünger[Handelsdünger],_xlfn.AGGREGATE(15,6,(ROW(Liste_Handelsünger[Handelsdünger])-1)/(--(SEARCH(BF$2,Liste_Handelsünger[Handelsdünger])&gt;0)),ROW()-2),1),"")</f>
        <v>GreenFit CaCO3 92%</v>
      </c>
      <c r="BF223" t="str">
        <f>IF(($A234=""),"",IF(COUNTIF(Mineral!$AJ$3:$AJ$324,$A234),"",$A234))</f>
        <v/>
      </c>
      <c r="BG223" t="str">
        <f>IFERROR(INDEX(Liste_Handelsünger[Handelsdünger],_xlfn.AGGREGATE(15,6,(ROW(Liste_Handelsünger[Handelsdünger])-1)/(--(SEARCH(BH$2,Liste_Handelsünger[Handelsdünger])&gt;0)),ROW()-2),1),"")</f>
        <v>GreenFit CaCO3 92%</v>
      </c>
      <c r="BH223" t="str">
        <f>IF(($A235=""),"",IF(COUNTIF(Mineral!$AJ$3:$AJ$324,$A235),"",$A235))</f>
        <v/>
      </c>
      <c r="BI223" t="str">
        <f>IFERROR(INDEX(Liste_Handelsünger[Handelsdünger],_xlfn.AGGREGATE(15,6,(ROW(Liste_Handelsünger[Handelsdünger])-1)/(--(SEARCH(BJ$2,Liste_Handelsünger[Handelsdünger])&gt;0)),ROW()-2),1),"")</f>
        <v>GreenFit CaCO3 92%</v>
      </c>
      <c r="BJ223" t="str">
        <f>IF(($A236=""),"",IF(COUNTIF(Mineral!$AJ$3:$AJ$324,$A236),"",$A236))</f>
        <v/>
      </c>
      <c r="BK223" t="str">
        <f>IFERROR(INDEX(Liste_Handelsünger[Handelsdünger],_xlfn.AGGREGATE(15,6,(ROW(Liste_Handelsünger[Handelsdünger])-1)/(--(SEARCH(BL$2,Liste_Handelsünger[Handelsdünger])&gt;0)),ROW()-2),1),"")</f>
        <v>GreenFit CaCO3 92%</v>
      </c>
      <c r="BM223" t="str">
        <f>IFERROR(INDEX(Liste_Handelsünger[Handelsdünger],_xlfn.AGGREGATE(15,6,(ROW(Liste_Handelsünger[Handelsdünger])-1)/(--(SEARCH(BN$2,Liste_Handelsünger[Handelsdünger])&gt;0)),ROW()-2),1),"")</f>
        <v>GreenFit CaCO3 92%</v>
      </c>
      <c r="BN223" t="str">
        <f>IF(($A238=""),"",IF(COUNTIF(Mineral!$AJ$3:$AJ$324,$A238),"",$A238))</f>
        <v/>
      </c>
      <c r="BV223" t="s">
        <v>2153</v>
      </c>
      <c r="BW223" t="s">
        <v>2084</v>
      </c>
      <c r="BZ223" s="1602"/>
      <c r="CA223" s="1602"/>
      <c r="CB223" s="1602"/>
    </row>
    <row r="224" spans="19:80" ht="14.25" thickTop="1" thickBot="1">
      <c r="S224" s="1676">
        <v>223</v>
      </c>
      <c r="T224" s="1606" t="s">
        <v>2006</v>
      </c>
      <c r="U224" s="1606" t="s">
        <v>2155</v>
      </c>
      <c r="V224" s="1606" t="s">
        <v>408</v>
      </c>
      <c r="W224" s="1606">
        <v>0</v>
      </c>
      <c r="X224" s="1606">
        <v>0</v>
      </c>
      <c r="Y224" s="1606">
        <v>1.77</v>
      </c>
      <c r="Z224" s="1606">
        <v>0</v>
      </c>
      <c r="AA224" s="1606">
        <v>5.19</v>
      </c>
      <c r="AB224" s="1606">
        <v>5.67</v>
      </c>
      <c r="AC224" s="1606">
        <v>1</v>
      </c>
      <c r="AD224" s="1613">
        <v>1</v>
      </c>
      <c r="AE224" s="1606" t="s">
        <v>1764</v>
      </c>
      <c r="AF224" s="1613" t="str">
        <f t="shared" si="19"/>
        <v/>
      </c>
      <c r="AG224" s="1656">
        <f>IFERROR(IF($AF224&gt;0,VLOOKUP($U224,Tabelle1!$C$188:$L$212,5,0)*$AF224,0),0)</f>
        <v>0</v>
      </c>
      <c r="AH224" s="1656">
        <f t="shared" si="20"/>
        <v>0</v>
      </c>
      <c r="AJ224" t="str">
        <f>IF(Betrieb!$D$9="JA",Mineral!$BW224,Mineral!$BV224)</f>
        <v>GÜLLE2000</v>
      </c>
      <c r="AK224" s="1672" t="str">
        <f>IFERROR(INDEX(Liste_Handelsünger[Handelsdünger],_xlfn.AGGREGATE(15,6,(ROW(Liste_Handelsünger[Handelsdünger])-1)/(--(SEARCH(AL$2,Liste_Handelsünger[Handelsdünger])&gt;0)),ROW()-2),1),"")</f>
        <v>GÜLLE2000</v>
      </c>
      <c r="AL224" s="1672" t="str">
        <f>IF(($A$3=""),"",IF(COUNTIF(Mineral!$AJ$3:$AJ$324,$A$3),"",$A$3))</f>
        <v/>
      </c>
      <c r="AM224" s="1672" t="str">
        <f>IFERROR(INDEX(Liste_Handelsünger[Handelsdünger],_xlfn.AGGREGATE(15,6,(ROW(Liste_Handelsünger[Handelsdünger])-1)/(--(SEARCH(AN$2,Liste_Handelsünger[Handelsdünger])&gt;0)),ROW()-2),1),"")</f>
        <v>GÜLLE2000</v>
      </c>
      <c r="AN224" t="str">
        <f>IF(($A226=""),"",IF(COUNTIF(Mineral!$AJ$3:$AJ$324,$A226),"",$A226))</f>
        <v/>
      </c>
      <c r="AO224" t="str">
        <f>IFERROR(INDEX(Liste_Handelsünger[Handelsdünger],_xlfn.AGGREGATE(15,6,(ROW(Liste_Handelsünger[Handelsdünger])-1)/(--(SEARCH(AP$2,Liste_Handelsünger[Handelsdünger])&gt;0)),ROW()-2),1),"")</f>
        <v>GÜLLE2000</v>
      </c>
      <c r="AP224" t="str">
        <f>IF(($A227=""),"",IF(COUNTIF(Mineral!$AJ$3:$AJ$324,$A227),"",$A227))</f>
        <v/>
      </c>
      <c r="AQ224" t="str">
        <f>IFERROR(INDEX(Liste_Handelsünger[Handelsdünger],_xlfn.AGGREGATE(15,6,(ROW(Liste_Handelsünger[Handelsdünger])-1)/(--(SEARCH(AR$2,Liste_Handelsünger[Handelsdünger])&gt;0)),ROW()-2),1),"")</f>
        <v>GÜLLE2000</v>
      </c>
      <c r="AR224" t="str">
        <f>IF(($A228=""),"",IF(COUNTIF(Mineral!$AJ$3:$AJ$324,$A228),"",$A228))</f>
        <v/>
      </c>
      <c r="AS224" t="str">
        <f>IFERROR(INDEX(Liste_Handelsünger[Handelsdünger],_xlfn.AGGREGATE(15,6,(ROW(Liste_Handelsünger[Handelsdünger])-1)/(--(SEARCH(AT$2,Liste_Handelsünger[Handelsdünger])&gt;0)),ROW()-2),1),"")</f>
        <v>GÜLLE2000</v>
      </c>
      <c r="AT224" t="str">
        <f>IF(($A229=""),"",IF(COUNTIF(Mineral!$AJ$3:$AJ$324,$A229),"",$A229))</f>
        <v/>
      </c>
      <c r="AU224" t="str">
        <f>IFERROR(INDEX(Liste_Handelsünger[Handelsdünger],_xlfn.AGGREGATE(15,6,(ROW(Liste_Handelsünger[Handelsdünger])-1)/(--(SEARCH(AV$2,Liste_Handelsünger[Handelsdünger])&gt;0)),ROW()-2),1),"")</f>
        <v>GÜLLE2000</v>
      </c>
      <c r="AV224" t="str">
        <f>IF(($A230=""),"",IF(COUNTIF(Mineral!$AJ$3:$AJ$324,$A230),"",$A230))</f>
        <v/>
      </c>
      <c r="AW224" t="str">
        <f>IFERROR(INDEX(Liste_Handelsünger[Handelsdünger],_xlfn.AGGREGATE(15,6,(ROW(Liste_Handelsünger[Handelsdünger])-1)/(--(SEARCH(AX$2,Liste_Handelsünger[Handelsdünger])&gt;0)),ROW()-2),1),"")</f>
        <v>GÜLLE2000</v>
      </c>
      <c r="AX224" t="str">
        <f>IF(($A231=""),"",IF(COUNTIF(Mineral!$AJ$3:$AJ$324,$A231),"",$A231))</f>
        <v/>
      </c>
      <c r="AY224" t="str">
        <f>IFERROR(INDEX(Liste_Handelsünger[Handelsdünger],_xlfn.AGGREGATE(15,6,(ROW(Liste_Handelsünger[Handelsdünger])-1)/(--(SEARCH(AZ$2,Liste_Handelsünger[Handelsdünger])&gt;0)),ROW()-2),1),"")</f>
        <v>GÜLLE2000</v>
      </c>
      <c r="AZ224" t="str">
        <f>IF(($A232=""),"",IF(COUNTIF(Mineral!$AJ$3:$AJ$324,$A232),"",$A232))</f>
        <v/>
      </c>
      <c r="BA224" t="str">
        <f>IFERROR(INDEX(Liste_Handelsünger[Handelsdünger],_xlfn.AGGREGATE(15,6,(ROW(Liste_Handelsünger[Handelsdünger])-1)/(--(SEARCH(BB$2,Liste_Handelsünger[Handelsdünger])&gt;0)),ROW()-2),1),"")</f>
        <v>GÜLLE2000</v>
      </c>
      <c r="BB224" t="str">
        <f>IF(($A233=""),"",IF(COUNTIF(Mineral!$AJ$3:$AJ$324,$A233),"",$A233))</f>
        <v/>
      </c>
      <c r="BC224" t="str">
        <f>IFERROR(INDEX(Liste_Handelsünger[Handelsdünger],_xlfn.AGGREGATE(15,6,(ROW(Liste_Handelsünger[Handelsdünger])-1)/(--(SEARCH(BD$2,Liste_Handelsünger[Handelsdünger])&gt;0)),ROW()-2),1),"")</f>
        <v>GÜLLE2000</v>
      </c>
      <c r="BD224" t="str">
        <f>IF(($A234=""),"",IF(COUNTIF(Mineral!$AJ$3:$AJ$324,$A234),"",$A234))</f>
        <v/>
      </c>
      <c r="BE224" t="str">
        <f>IFERROR(INDEX(Liste_Handelsünger[Handelsdünger],_xlfn.AGGREGATE(15,6,(ROW(Liste_Handelsünger[Handelsdünger])-1)/(--(SEARCH(BF$2,Liste_Handelsünger[Handelsdünger])&gt;0)),ROW()-2),1),"")</f>
        <v>GÜLLE2000</v>
      </c>
      <c r="BF224" t="str">
        <f>IF(($A235=""),"",IF(COUNTIF(Mineral!$AJ$3:$AJ$324,$A235),"",$A235))</f>
        <v/>
      </c>
      <c r="BG224" t="str">
        <f>IFERROR(INDEX(Liste_Handelsünger[Handelsdünger],_xlfn.AGGREGATE(15,6,(ROW(Liste_Handelsünger[Handelsdünger])-1)/(--(SEARCH(BH$2,Liste_Handelsünger[Handelsdünger])&gt;0)),ROW()-2),1),"")</f>
        <v>GÜLLE2000</v>
      </c>
      <c r="BH224" t="str">
        <f>IF(($A236=""),"",IF(COUNTIF(Mineral!$AJ$3:$AJ$324,$A236),"",$A236))</f>
        <v/>
      </c>
      <c r="BI224" t="str">
        <f>IFERROR(INDEX(Liste_Handelsünger[Handelsdünger],_xlfn.AGGREGATE(15,6,(ROW(Liste_Handelsünger[Handelsdünger])-1)/(--(SEARCH(BJ$2,Liste_Handelsünger[Handelsdünger])&gt;0)),ROW()-2),1),"")</f>
        <v>GÜLLE2000</v>
      </c>
      <c r="BJ224" t="str">
        <f>IF(($A237=""),"",IF(COUNTIF(Mineral!$AJ$3:$AJ$324,$A237),"",$A237))</f>
        <v/>
      </c>
      <c r="BK224" t="str">
        <f>IFERROR(INDEX(Liste_Handelsünger[Handelsdünger],_xlfn.AGGREGATE(15,6,(ROW(Liste_Handelsünger[Handelsdünger])-1)/(--(SEARCH(BL$2,Liste_Handelsünger[Handelsdünger])&gt;0)),ROW()-2),1),"")</f>
        <v>GÜLLE2000</v>
      </c>
      <c r="BM224" t="str">
        <f>IFERROR(INDEX(Liste_Handelsünger[Handelsdünger],_xlfn.AGGREGATE(15,6,(ROW(Liste_Handelsünger[Handelsdünger])-1)/(--(SEARCH(BN$2,Liste_Handelsünger[Handelsdünger])&gt;0)),ROW()-2),1),"")</f>
        <v>GÜLLE2000</v>
      </c>
      <c r="BN224" t="str">
        <f>IF(($A239=""),"",IF(COUNTIF(Mineral!$AJ$3:$AJ$324,$A239),"",$A239))</f>
        <v/>
      </c>
      <c r="BV224" t="s">
        <v>2155</v>
      </c>
      <c r="BW224" t="s">
        <v>2085</v>
      </c>
      <c r="BZ224" s="1602"/>
      <c r="CA224" s="1602"/>
      <c r="CB224" s="1602"/>
    </row>
    <row r="225" spans="19:80" ht="14.25" thickTop="1" thickBot="1">
      <c r="S225" s="1616">
        <v>224</v>
      </c>
      <c r="T225" s="1617" t="s">
        <v>2006</v>
      </c>
      <c r="U225" s="1617" t="s">
        <v>2156</v>
      </c>
      <c r="V225" s="1617" t="s">
        <v>408</v>
      </c>
      <c r="W225" s="1617">
        <v>0</v>
      </c>
      <c r="X225" s="1617">
        <v>0</v>
      </c>
      <c r="Y225" s="1617">
        <v>0</v>
      </c>
      <c r="Z225" s="1617">
        <v>2</v>
      </c>
      <c r="AA225" s="1617">
        <v>48</v>
      </c>
      <c r="AB225" s="1617">
        <v>0</v>
      </c>
      <c r="AC225" s="1617">
        <v>1</v>
      </c>
      <c r="AD225" s="1613">
        <v>1</v>
      </c>
      <c r="AE225" s="1617" t="s">
        <v>1764</v>
      </c>
      <c r="AF225" s="1613" t="str">
        <f t="shared" si="19"/>
        <v/>
      </c>
      <c r="AG225" s="1656">
        <f>IFERROR(IF($AF225&gt;0,VLOOKUP($U225,Tabelle1!$C$188:$L$212,5,0)*$AF225,0),0)</f>
        <v>0</v>
      </c>
      <c r="AH225" s="1656">
        <f t="shared" si="20"/>
        <v>0</v>
      </c>
      <c r="AJ225" t="str">
        <f>IF(Betrieb!$D$9="JA",Mineral!$BW225,Mineral!$BV225)</f>
        <v>Güllekalk</v>
      </c>
      <c r="AK225" s="1672" t="str">
        <f>IFERROR(INDEX(Liste_Handelsünger[Handelsdünger],_xlfn.AGGREGATE(15,6,(ROW(Liste_Handelsünger[Handelsdünger])-1)/(--(SEARCH(AL$2,Liste_Handelsünger[Handelsdünger])&gt;0)),ROW()-2),1),"")</f>
        <v>Güllekalk</v>
      </c>
      <c r="AL225" s="1672" t="str">
        <f>IF(($A$3=""),"",IF(COUNTIF(Mineral!$AJ$3:$AJ$324,$A$3),"",$A$3))</f>
        <v/>
      </c>
      <c r="AM225" s="1672" t="str">
        <f>IFERROR(INDEX(Liste_Handelsünger[Handelsdünger],_xlfn.AGGREGATE(15,6,(ROW(Liste_Handelsünger[Handelsdünger])-1)/(--(SEARCH(AN$2,Liste_Handelsünger[Handelsdünger])&gt;0)),ROW()-2),1),"")</f>
        <v>Güllekalk</v>
      </c>
      <c r="AN225" t="str">
        <f>IF(($A227=""),"",IF(COUNTIF(Mineral!$AJ$3:$AJ$324,$A227),"",$A227))</f>
        <v/>
      </c>
      <c r="AO225" t="str">
        <f>IFERROR(INDEX(Liste_Handelsünger[Handelsdünger],_xlfn.AGGREGATE(15,6,(ROW(Liste_Handelsünger[Handelsdünger])-1)/(--(SEARCH(AP$2,Liste_Handelsünger[Handelsdünger])&gt;0)),ROW()-2),1),"")</f>
        <v>Güllekalk</v>
      </c>
      <c r="AP225" t="str">
        <f>IF(($A228=""),"",IF(COUNTIF(Mineral!$AJ$3:$AJ$324,$A228),"",$A228))</f>
        <v/>
      </c>
      <c r="AQ225" t="str">
        <f>IFERROR(INDEX(Liste_Handelsünger[Handelsdünger],_xlfn.AGGREGATE(15,6,(ROW(Liste_Handelsünger[Handelsdünger])-1)/(--(SEARCH(AR$2,Liste_Handelsünger[Handelsdünger])&gt;0)),ROW()-2),1),"")</f>
        <v>Güllekalk</v>
      </c>
      <c r="AR225" t="str">
        <f>IF(($A229=""),"",IF(COUNTIF(Mineral!$AJ$3:$AJ$324,$A229),"",$A229))</f>
        <v/>
      </c>
      <c r="AS225" t="str">
        <f>IFERROR(INDEX(Liste_Handelsünger[Handelsdünger],_xlfn.AGGREGATE(15,6,(ROW(Liste_Handelsünger[Handelsdünger])-1)/(--(SEARCH(AT$2,Liste_Handelsünger[Handelsdünger])&gt;0)),ROW()-2),1),"")</f>
        <v>Güllekalk</v>
      </c>
      <c r="AT225" t="str">
        <f>IF(($A230=""),"",IF(COUNTIF(Mineral!$AJ$3:$AJ$324,$A230),"",$A230))</f>
        <v/>
      </c>
      <c r="AU225" t="str">
        <f>IFERROR(INDEX(Liste_Handelsünger[Handelsdünger],_xlfn.AGGREGATE(15,6,(ROW(Liste_Handelsünger[Handelsdünger])-1)/(--(SEARCH(AV$2,Liste_Handelsünger[Handelsdünger])&gt;0)),ROW()-2),1),"")</f>
        <v>Güllekalk</v>
      </c>
      <c r="AV225" t="str">
        <f>IF(($A231=""),"",IF(COUNTIF(Mineral!$AJ$3:$AJ$324,$A231),"",$A231))</f>
        <v/>
      </c>
      <c r="AW225" t="str">
        <f>IFERROR(INDEX(Liste_Handelsünger[Handelsdünger],_xlfn.AGGREGATE(15,6,(ROW(Liste_Handelsünger[Handelsdünger])-1)/(--(SEARCH(AX$2,Liste_Handelsünger[Handelsdünger])&gt;0)),ROW()-2),1),"")</f>
        <v>Güllekalk</v>
      </c>
      <c r="AX225" t="str">
        <f>IF(($A232=""),"",IF(COUNTIF(Mineral!$AJ$3:$AJ$324,$A232),"",$A232))</f>
        <v/>
      </c>
      <c r="AY225" t="str">
        <f>IFERROR(INDEX(Liste_Handelsünger[Handelsdünger],_xlfn.AGGREGATE(15,6,(ROW(Liste_Handelsünger[Handelsdünger])-1)/(--(SEARCH(AZ$2,Liste_Handelsünger[Handelsdünger])&gt;0)),ROW()-2),1),"")</f>
        <v>Güllekalk</v>
      </c>
      <c r="AZ225" t="str">
        <f>IF(($A233=""),"",IF(COUNTIF(Mineral!$AJ$3:$AJ$324,$A233),"",$A233))</f>
        <v/>
      </c>
      <c r="BA225" t="str">
        <f>IFERROR(INDEX(Liste_Handelsünger[Handelsdünger],_xlfn.AGGREGATE(15,6,(ROW(Liste_Handelsünger[Handelsdünger])-1)/(--(SEARCH(BB$2,Liste_Handelsünger[Handelsdünger])&gt;0)),ROW()-2),1),"")</f>
        <v>Güllekalk</v>
      </c>
      <c r="BB225" t="str">
        <f>IF(($A234=""),"",IF(COUNTIF(Mineral!$AJ$3:$AJ$324,$A234),"",$A234))</f>
        <v/>
      </c>
      <c r="BC225" t="str">
        <f>IFERROR(INDEX(Liste_Handelsünger[Handelsdünger],_xlfn.AGGREGATE(15,6,(ROW(Liste_Handelsünger[Handelsdünger])-1)/(--(SEARCH(BD$2,Liste_Handelsünger[Handelsdünger])&gt;0)),ROW()-2),1),"")</f>
        <v>Güllekalk</v>
      </c>
      <c r="BD225" t="str">
        <f>IF(($A235=""),"",IF(COUNTIF(Mineral!$AJ$3:$AJ$324,$A235),"",$A235))</f>
        <v/>
      </c>
      <c r="BE225" t="str">
        <f>IFERROR(INDEX(Liste_Handelsünger[Handelsdünger],_xlfn.AGGREGATE(15,6,(ROW(Liste_Handelsünger[Handelsdünger])-1)/(--(SEARCH(BF$2,Liste_Handelsünger[Handelsdünger])&gt;0)),ROW()-2),1),"")</f>
        <v>Güllekalk</v>
      </c>
      <c r="BF225" t="str">
        <f>IF(($A236=""),"",IF(COUNTIF(Mineral!$AJ$3:$AJ$324,$A236),"",$A236))</f>
        <v/>
      </c>
      <c r="BG225" t="str">
        <f>IFERROR(INDEX(Liste_Handelsünger[Handelsdünger],_xlfn.AGGREGATE(15,6,(ROW(Liste_Handelsünger[Handelsdünger])-1)/(--(SEARCH(BH$2,Liste_Handelsünger[Handelsdünger])&gt;0)),ROW()-2),1),"")</f>
        <v>Güllekalk</v>
      </c>
      <c r="BH225" t="str">
        <f>IF(($A237=""),"",IF(COUNTIF(Mineral!$AJ$3:$AJ$324,$A237),"",$A237))</f>
        <v/>
      </c>
      <c r="BI225" t="str">
        <f>IFERROR(INDEX(Liste_Handelsünger[Handelsdünger],_xlfn.AGGREGATE(15,6,(ROW(Liste_Handelsünger[Handelsdünger])-1)/(--(SEARCH(BJ$2,Liste_Handelsünger[Handelsdünger])&gt;0)),ROW()-2),1),"")</f>
        <v>Güllekalk</v>
      </c>
      <c r="BJ225" t="str">
        <f>IF(($A238=""),"",IF(COUNTIF(Mineral!$AJ$3:$AJ$324,$A238),"",$A238))</f>
        <v/>
      </c>
      <c r="BK225" t="str">
        <f>IFERROR(INDEX(Liste_Handelsünger[Handelsdünger],_xlfn.AGGREGATE(15,6,(ROW(Liste_Handelsünger[Handelsdünger])-1)/(--(SEARCH(BL$2,Liste_Handelsünger[Handelsdünger])&gt;0)),ROW()-2),1),"")</f>
        <v>Güllekalk</v>
      </c>
      <c r="BM225" t="str">
        <f>IFERROR(INDEX(Liste_Handelsünger[Handelsdünger],_xlfn.AGGREGATE(15,6,(ROW(Liste_Handelsünger[Handelsdünger])-1)/(--(SEARCH(BN$2,Liste_Handelsünger[Handelsdünger])&gt;0)),ROW()-2),1),"")</f>
        <v>Güllekalk</v>
      </c>
      <c r="BN225" t="str">
        <f>IF(($A240=""),"",IF(COUNTIF(Mineral!$AJ$3:$AJ$324,$A240),"",$A240))</f>
        <v/>
      </c>
      <c r="BV225" t="s">
        <v>2156</v>
      </c>
      <c r="BW225" t="s">
        <v>2086</v>
      </c>
      <c r="BZ225" s="1602"/>
      <c r="CA225" s="1602"/>
      <c r="CB225" s="1602"/>
    </row>
    <row r="226" spans="19:80" ht="14.25" thickTop="1" thickBot="1">
      <c r="S226" s="1676">
        <v>225</v>
      </c>
      <c r="T226" s="1606" t="s">
        <v>2006</v>
      </c>
      <c r="U226" s="1606" t="s">
        <v>2163</v>
      </c>
      <c r="V226" s="1606" t="s">
        <v>408</v>
      </c>
      <c r="W226" s="1606">
        <v>0</v>
      </c>
      <c r="X226" s="1606">
        <v>0</v>
      </c>
      <c r="Y226" s="1606">
        <v>0</v>
      </c>
      <c r="Z226" s="1606">
        <v>0</v>
      </c>
      <c r="AA226" s="1606">
        <v>0</v>
      </c>
      <c r="AB226" s="1606">
        <v>0</v>
      </c>
      <c r="AC226" s="1606">
        <v>1</v>
      </c>
      <c r="AD226" s="1613">
        <v>1</v>
      </c>
      <c r="AE226" s="1606" t="s">
        <v>1764</v>
      </c>
      <c r="AF226" s="1613" t="str">
        <f t="shared" si="19"/>
        <v/>
      </c>
      <c r="AG226" s="1656">
        <f>IFERROR(IF($AF226&gt;0,VLOOKUP($U226,Tabelle1!$C$188:$L$212,5,0)*$AF226,0),0)</f>
        <v>0</v>
      </c>
      <c r="AH226" s="1656">
        <f t="shared" si="20"/>
        <v>0</v>
      </c>
      <c r="AJ226" t="str">
        <f>IF(Betrieb!$D$9="JA",Mineral!$BW226,Mineral!$BV226)</f>
        <v>IPUSagro B100, 110</v>
      </c>
      <c r="AK226" s="1672" t="str">
        <f>IFERROR(INDEX(Liste_Handelsünger[Handelsdünger],_xlfn.AGGREGATE(15,6,(ROW(Liste_Handelsünger[Handelsdünger])-1)/(--(SEARCH(AL$2,Liste_Handelsünger[Handelsdünger])&gt;0)),ROW()-2),1),"")</f>
        <v>IPUSagro B100, 110</v>
      </c>
      <c r="AL226" s="1672" t="str">
        <f>IF(($A$3=""),"",IF(COUNTIF(Mineral!$AJ$3:$AJ$324,$A$3),"",$A$3))</f>
        <v/>
      </c>
      <c r="AM226" s="1672" t="str">
        <f>IFERROR(INDEX(Liste_Handelsünger[Handelsdünger],_xlfn.AGGREGATE(15,6,(ROW(Liste_Handelsünger[Handelsdünger])-1)/(--(SEARCH(AN$2,Liste_Handelsünger[Handelsdünger])&gt;0)),ROW()-2),1),"")</f>
        <v>IPUSagro B100, 110</v>
      </c>
      <c r="AN226" t="str">
        <f>IF(($A228=""),"",IF(COUNTIF(Mineral!$AJ$3:$AJ$324,$A228),"",$A228))</f>
        <v/>
      </c>
      <c r="AO226" t="str">
        <f>IFERROR(INDEX(Liste_Handelsünger[Handelsdünger],_xlfn.AGGREGATE(15,6,(ROW(Liste_Handelsünger[Handelsdünger])-1)/(--(SEARCH(AP$2,Liste_Handelsünger[Handelsdünger])&gt;0)),ROW()-2),1),"")</f>
        <v>IPUSagro B100, 110</v>
      </c>
      <c r="AP226" t="str">
        <f>IF(($A229=""),"",IF(COUNTIF(Mineral!$AJ$3:$AJ$324,$A229),"",$A229))</f>
        <v/>
      </c>
      <c r="AQ226" t="str">
        <f>IFERROR(INDEX(Liste_Handelsünger[Handelsdünger],_xlfn.AGGREGATE(15,6,(ROW(Liste_Handelsünger[Handelsdünger])-1)/(--(SEARCH(AR$2,Liste_Handelsünger[Handelsdünger])&gt;0)),ROW()-2),1),"")</f>
        <v>IPUSagro B100, 110</v>
      </c>
      <c r="AR226" t="str">
        <f>IF(($A230=""),"",IF(COUNTIF(Mineral!$AJ$3:$AJ$324,$A230),"",$A230))</f>
        <v/>
      </c>
      <c r="AS226" t="str">
        <f>IFERROR(INDEX(Liste_Handelsünger[Handelsdünger],_xlfn.AGGREGATE(15,6,(ROW(Liste_Handelsünger[Handelsdünger])-1)/(--(SEARCH(AT$2,Liste_Handelsünger[Handelsdünger])&gt;0)),ROW()-2),1),"")</f>
        <v>IPUSagro B100, 110</v>
      </c>
      <c r="AT226" t="str">
        <f>IF(($A231=""),"",IF(COUNTIF(Mineral!$AJ$3:$AJ$324,$A231),"",$A231))</f>
        <v/>
      </c>
      <c r="AU226" t="str">
        <f>IFERROR(INDEX(Liste_Handelsünger[Handelsdünger],_xlfn.AGGREGATE(15,6,(ROW(Liste_Handelsünger[Handelsdünger])-1)/(--(SEARCH(AV$2,Liste_Handelsünger[Handelsdünger])&gt;0)),ROW()-2),1),"")</f>
        <v>IPUSagro B100, 110</v>
      </c>
      <c r="AV226" t="str">
        <f>IF(($A232=""),"",IF(COUNTIF(Mineral!$AJ$3:$AJ$324,$A232),"",$A232))</f>
        <v/>
      </c>
      <c r="AW226" t="str">
        <f>IFERROR(INDEX(Liste_Handelsünger[Handelsdünger],_xlfn.AGGREGATE(15,6,(ROW(Liste_Handelsünger[Handelsdünger])-1)/(--(SEARCH(AX$2,Liste_Handelsünger[Handelsdünger])&gt;0)),ROW()-2),1),"")</f>
        <v>IPUSagro B100, 110</v>
      </c>
      <c r="AX226" t="str">
        <f>IF(($A233=""),"",IF(COUNTIF(Mineral!$AJ$3:$AJ$324,$A233),"",$A233))</f>
        <v/>
      </c>
      <c r="AY226" t="str">
        <f>IFERROR(INDEX(Liste_Handelsünger[Handelsdünger],_xlfn.AGGREGATE(15,6,(ROW(Liste_Handelsünger[Handelsdünger])-1)/(--(SEARCH(AZ$2,Liste_Handelsünger[Handelsdünger])&gt;0)),ROW()-2),1),"")</f>
        <v>IPUSagro B100, 110</v>
      </c>
      <c r="AZ226" t="str">
        <f>IF(($A234=""),"",IF(COUNTIF(Mineral!$AJ$3:$AJ$324,$A234),"",$A234))</f>
        <v/>
      </c>
      <c r="BA226" t="str">
        <f>IFERROR(INDEX(Liste_Handelsünger[Handelsdünger],_xlfn.AGGREGATE(15,6,(ROW(Liste_Handelsünger[Handelsdünger])-1)/(--(SEARCH(BB$2,Liste_Handelsünger[Handelsdünger])&gt;0)),ROW()-2),1),"")</f>
        <v>IPUSagro B100, 110</v>
      </c>
      <c r="BB226" t="str">
        <f>IF(($A235=""),"",IF(COUNTIF(Mineral!$AJ$3:$AJ$324,$A235),"",$A235))</f>
        <v/>
      </c>
      <c r="BC226" t="str">
        <f>IFERROR(INDEX(Liste_Handelsünger[Handelsdünger],_xlfn.AGGREGATE(15,6,(ROW(Liste_Handelsünger[Handelsdünger])-1)/(--(SEARCH(BD$2,Liste_Handelsünger[Handelsdünger])&gt;0)),ROW()-2),1),"")</f>
        <v>IPUSagro B100, 110</v>
      </c>
      <c r="BD226" t="str">
        <f>IF(($A236=""),"",IF(COUNTIF(Mineral!$AJ$3:$AJ$324,$A236),"",$A236))</f>
        <v/>
      </c>
      <c r="BE226" t="str">
        <f>IFERROR(INDEX(Liste_Handelsünger[Handelsdünger],_xlfn.AGGREGATE(15,6,(ROW(Liste_Handelsünger[Handelsdünger])-1)/(--(SEARCH(BF$2,Liste_Handelsünger[Handelsdünger])&gt;0)),ROW()-2),1),"")</f>
        <v>IPUSagro B100, 110</v>
      </c>
      <c r="BF226" t="str">
        <f>IF(($A237=""),"",IF(COUNTIF(Mineral!$AJ$3:$AJ$324,$A237),"",$A237))</f>
        <v/>
      </c>
      <c r="BG226" t="str">
        <f>IFERROR(INDEX(Liste_Handelsünger[Handelsdünger],_xlfn.AGGREGATE(15,6,(ROW(Liste_Handelsünger[Handelsdünger])-1)/(--(SEARCH(BH$2,Liste_Handelsünger[Handelsdünger])&gt;0)),ROW()-2),1),"")</f>
        <v>IPUSagro B100, 110</v>
      </c>
      <c r="BH226" t="str">
        <f>IF(($A238=""),"",IF(COUNTIF(Mineral!$AJ$3:$AJ$324,$A238),"",$A238))</f>
        <v/>
      </c>
      <c r="BI226" t="str">
        <f>IFERROR(INDEX(Liste_Handelsünger[Handelsdünger],_xlfn.AGGREGATE(15,6,(ROW(Liste_Handelsünger[Handelsdünger])-1)/(--(SEARCH(BJ$2,Liste_Handelsünger[Handelsdünger])&gt;0)),ROW()-2),1),"")</f>
        <v>IPUSagro B100, 110</v>
      </c>
      <c r="BJ226" t="str">
        <f>IF(($A239=""),"",IF(COUNTIF(Mineral!$AJ$3:$AJ$324,$A239),"",$A239))</f>
        <v/>
      </c>
      <c r="BK226" t="str">
        <f>IFERROR(INDEX(Liste_Handelsünger[Handelsdünger],_xlfn.AGGREGATE(15,6,(ROW(Liste_Handelsünger[Handelsdünger])-1)/(--(SEARCH(BL$2,Liste_Handelsünger[Handelsdünger])&gt;0)),ROW()-2),1),"")</f>
        <v>IPUSagro B100, 110</v>
      </c>
      <c r="BM226" t="str">
        <f>IFERROR(INDEX(Liste_Handelsünger[Handelsdünger],_xlfn.AGGREGATE(15,6,(ROW(Liste_Handelsünger[Handelsdünger])-1)/(--(SEARCH(BN$2,Liste_Handelsünger[Handelsdünger])&gt;0)),ROW()-2),1),"")</f>
        <v>IPUSagro B100, 110</v>
      </c>
      <c r="BN226" t="str">
        <f>IF(($A241=""),"",IF(COUNTIF(Mineral!$AJ$3:$AJ$324,$A241),"",$A241))</f>
        <v/>
      </c>
      <c r="BV226" t="s">
        <v>2163</v>
      </c>
      <c r="BW226" t="s">
        <v>2087</v>
      </c>
      <c r="BZ226" s="1602"/>
      <c r="CA226" s="1602"/>
      <c r="CB226" s="1602"/>
    </row>
    <row r="227" spans="19:80" ht="14.25" thickTop="1" thickBot="1">
      <c r="S227" s="1616">
        <v>226</v>
      </c>
      <c r="T227" s="1617" t="s">
        <v>2006</v>
      </c>
      <c r="U227" s="1617" t="s">
        <v>2164</v>
      </c>
      <c r="V227" s="1617" t="s">
        <v>408</v>
      </c>
      <c r="W227" s="1617">
        <v>0</v>
      </c>
      <c r="X227" s="1617">
        <v>0</v>
      </c>
      <c r="Y227" s="1617">
        <v>0</v>
      </c>
      <c r="Z227" s="1617">
        <v>0</v>
      </c>
      <c r="AA227" s="1617">
        <v>0</v>
      </c>
      <c r="AB227" s="1617">
        <v>0</v>
      </c>
      <c r="AC227" s="1617">
        <v>1</v>
      </c>
      <c r="AD227" s="1613">
        <v>1</v>
      </c>
      <c r="AE227" s="1617" t="s">
        <v>1764</v>
      </c>
      <c r="AF227" s="1613" t="str">
        <f t="shared" si="19"/>
        <v/>
      </c>
      <c r="AG227" s="1656">
        <f>IFERROR(IF($AF227&gt;0,VLOOKUP($U227,Tabelle1!$C$188:$L$212,5,0)*$AF227,0),0)</f>
        <v>0</v>
      </c>
      <c r="AH227" s="1656">
        <f t="shared" si="20"/>
        <v>0</v>
      </c>
      <c r="AJ227" t="str">
        <f>IF(Betrieb!$D$9="JA",Mineral!$BW227,Mineral!$BV227)</f>
        <v>IPUSagro L 900</v>
      </c>
      <c r="AK227" s="1672" t="str">
        <f>IFERROR(INDEX(Liste_Handelsünger[Handelsdünger],_xlfn.AGGREGATE(15,6,(ROW(Liste_Handelsünger[Handelsdünger])-1)/(--(SEARCH(AL$2,Liste_Handelsünger[Handelsdünger])&gt;0)),ROW()-2),1),"")</f>
        <v>IPUSagro L 900</v>
      </c>
      <c r="AL227" s="1672" t="str">
        <f>IF(($A$3=""),"",IF(COUNTIF(Mineral!$AJ$3:$AJ$324,$A$3),"",$A$3))</f>
        <v/>
      </c>
      <c r="AM227" s="1672" t="str">
        <f>IFERROR(INDEX(Liste_Handelsünger[Handelsdünger],_xlfn.AGGREGATE(15,6,(ROW(Liste_Handelsünger[Handelsdünger])-1)/(--(SEARCH(AN$2,Liste_Handelsünger[Handelsdünger])&gt;0)),ROW()-2),1),"")</f>
        <v>IPUSagro L 900</v>
      </c>
      <c r="AN227" t="str">
        <f>IF(($A229=""),"",IF(COUNTIF(Mineral!$AJ$3:$AJ$324,$A229),"",$A229))</f>
        <v/>
      </c>
      <c r="AO227" t="str">
        <f>IFERROR(INDEX(Liste_Handelsünger[Handelsdünger],_xlfn.AGGREGATE(15,6,(ROW(Liste_Handelsünger[Handelsdünger])-1)/(--(SEARCH(AP$2,Liste_Handelsünger[Handelsdünger])&gt;0)),ROW()-2),1),"")</f>
        <v>IPUSagro L 900</v>
      </c>
      <c r="AP227" t="str">
        <f>IF(($A230=""),"",IF(COUNTIF(Mineral!$AJ$3:$AJ$324,$A230),"",$A230))</f>
        <v/>
      </c>
      <c r="AQ227" t="str">
        <f>IFERROR(INDEX(Liste_Handelsünger[Handelsdünger],_xlfn.AGGREGATE(15,6,(ROW(Liste_Handelsünger[Handelsdünger])-1)/(--(SEARCH(AR$2,Liste_Handelsünger[Handelsdünger])&gt;0)),ROW()-2),1),"")</f>
        <v>IPUSagro L 900</v>
      </c>
      <c r="AR227" t="str">
        <f>IF(($A231=""),"",IF(COUNTIF(Mineral!$AJ$3:$AJ$324,$A231),"",$A231))</f>
        <v/>
      </c>
      <c r="AS227" t="str">
        <f>IFERROR(INDEX(Liste_Handelsünger[Handelsdünger],_xlfn.AGGREGATE(15,6,(ROW(Liste_Handelsünger[Handelsdünger])-1)/(--(SEARCH(AT$2,Liste_Handelsünger[Handelsdünger])&gt;0)),ROW()-2),1),"")</f>
        <v>IPUSagro L 900</v>
      </c>
      <c r="AT227" t="str">
        <f>IF(($A232=""),"",IF(COUNTIF(Mineral!$AJ$3:$AJ$324,$A232),"",$A232))</f>
        <v/>
      </c>
      <c r="AU227" t="str">
        <f>IFERROR(INDEX(Liste_Handelsünger[Handelsdünger],_xlfn.AGGREGATE(15,6,(ROW(Liste_Handelsünger[Handelsdünger])-1)/(--(SEARCH(AV$2,Liste_Handelsünger[Handelsdünger])&gt;0)),ROW()-2),1),"")</f>
        <v>IPUSagro L 900</v>
      </c>
      <c r="AV227" t="str">
        <f>IF(($A233=""),"",IF(COUNTIF(Mineral!$AJ$3:$AJ$324,$A233),"",$A233))</f>
        <v/>
      </c>
      <c r="AW227" t="str">
        <f>IFERROR(INDEX(Liste_Handelsünger[Handelsdünger],_xlfn.AGGREGATE(15,6,(ROW(Liste_Handelsünger[Handelsdünger])-1)/(--(SEARCH(AX$2,Liste_Handelsünger[Handelsdünger])&gt;0)),ROW()-2),1),"")</f>
        <v>IPUSagro L 900</v>
      </c>
      <c r="AX227" t="str">
        <f>IF(($A234=""),"",IF(COUNTIF(Mineral!$AJ$3:$AJ$324,$A234),"",$A234))</f>
        <v/>
      </c>
      <c r="AY227" t="str">
        <f>IFERROR(INDEX(Liste_Handelsünger[Handelsdünger],_xlfn.AGGREGATE(15,6,(ROW(Liste_Handelsünger[Handelsdünger])-1)/(--(SEARCH(AZ$2,Liste_Handelsünger[Handelsdünger])&gt;0)),ROW()-2),1),"")</f>
        <v>IPUSagro L 900</v>
      </c>
      <c r="AZ227" t="str">
        <f>IF(($A235=""),"",IF(COUNTIF(Mineral!$AJ$3:$AJ$324,$A235),"",$A235))</f>
        <v/>
      </c>
      <c r="BA227" t="str">
        <f>IFERROR(INDEX(Liste_Handelsünger[Handelsdünger],_xlfn.AGGREGATE(15,6,(ROW(Liste_Handelsünger[Handelsdünger])-1)/(--(SEARCH(BB$2,Liste_Handelsünger[Handelsdünger])&gt;0)),ROW()-2),1),"")</f>
        <v>IPUSagro L 900</v>
      </c>
      <c r="BB227" t="str">
        <f>IF(($A236=""),"",IF(COUNTIF(Mineral!$AJ$3:$AJ$324,$A236),"",$A236))</f>
        <v/>
      </c>
      <c r="BC227" t="str">
        <f>IFERROR(INDEX(Liste_Handelsünger[Handelsdünger],_xlfn.AGGREGATE(15,6,(ROW(Liste_Handelsünger[Handelsdünger])-1)/(--(SEARCH(BD$2,Liste_Handelsünger[Handelsdünger])&gt;0)),ROW()-2),1),"")</f>
        <v>IPUSagro L 900</v>
      </c>
      <c r="BD227" t="str">
        <f>IF(($A237=""),"",IF(COUNTIF(Mineral!$AJ$3:$AJ$324,$A237),"",$A237))</f>
        <v/>
      </c>
      <c r="BE227" t="str">
        <f>IFERROR(INDEX(Liste_Handelsünger[Handelsdünger],_xlfn.AGGREGATE(15,6,(ROW(Liste_Handelsünger[Handelsdünger])-1)/(--(SEARCH(BF$2,Liste_Handelsünger[Handelsdünger])&gt;0)),ROW()-2),1),"")</f>
        <v>IPUSagro L 900</v>
      </c>
      <c r="BF227" t="str">
        <f>IF(($A238=""),"",IF(COUNTIF(Mineral!$AJ$3:$AJ$324,$A238),"",$A238))</f>
        <v/>
      </c>
      <c r="BG227" t="str">
        <f>IFERROR(INDEX(Liste_Handelsünger[Handelsdünger],_xlfn.AGGREGATE(15,6,(ROW(Liste_Handelsünger[Handelsdünger])-1)/(--(SEARCH(BH$2,Liste_Handelsünger[Handelsdünger])&gt;0)),ROW()-2),1),"")</f>
        <v>IPUSagro L 900</v>
      </c>
      <c r="BH227" t="str">
        <f>IF(($A239=""),"",IF(COUNTIF(Mineral!$AJ$3:$AJ$324,$A239),"",$A239))</f>
        <v/>
      </c>
      <c r="BI227" t="str">
        <f>IFERROR(INDEX(Liste_Handelsünger[Handelsdünger],_xlfn.AGGREGATE(15,6,(ROW(Liste_Handelsünger[Handelsdünger])-1)/(--(SEARCH(BJ$2,Liste_Handelsünger[Handelsdünger])&gt;0)),ROW()-2),1),"")</f>
        <v>IPUSagro L 900</v>
      </c>
      <c r="BJ227" t="str">
        <f>IF(($A240=""),"",IF(COUNTIF(Mineral!$AJ$3:$AJ$324,$A240),"",$A240))</f>
        <v/>
      </c>
      <c r="BK227" t="str">
        <f>IFERROR(INDEX(Liste_Handelsünger[Handelsdünger],_xlfn.AGGREGATE(15,6,(ROW(Liste_Handelsünger[Handelsdünger])-1)/(--(SEARCH(BL$2,Liste_Handelsünger[Handelsdünger])&gt;0)),ROW()-2),1),"")</f>
        <v>IPUSagro L 900</v>
      </c>
      <c r="BM227" t="str">
        <f>IFERROR(INDEX(Liste_Handelsünger[Handelsdünger],_xlfn.AGGREGATE(15,6,(ROW(Liste_Handelsünger[Handelsdünger])-1)/(--(SEARCH(BN$2,Liste_Handelsünger[Handelsdünger])&gt;0)),ROW()-2),1),"")</f>
        <v>IPUSagro L 900</v>
      </c>
      <c r="BN227" t="str">
        <f>IF(($A242=""),"",IF(COUNTIF(Mineral!$AJ$3:$AJ$324,$A242),"",$A242))</f>
        <v/>
      </c>
      <c r="BV227" t="s">
        <v>2164</v>
      </c>
      <c r="BW227" t="s">
        <v>2089</v>
      </c>
      <c r="BZ227" s="1602"/>
      <c r="CA227" s="1602"/>
      <c r="CB227" s="1602"/>
    </row>
    <row r="228" spans="19:80" ht="14.25" thickTop="1" thickBot="1">
      <c r="S228" s="1676">
        <v>227</v>
      </c>
      <c r="T228" s="1606" t="s">
        <v>2006</v>
      </c>
      <c r="U228" s="1606" t="s">
        <v>2165</v>
      </c>
      <c r="V228" s="1606" t="s">
        <v>408</v>
      </c>
      <c r="W228" s="1606">
        <v>0</v>
      </c>
      <c r="X228" s="1606">
        <v>0</v>
      </c>
      <c r="Y228" s="1606">
        <v>0</v>
      </c>
      <c r="Z228" s="1606">
        <v>0</v>
      </c>
      <c r="AA228" s="1606">
        <v>45.5</v>
      </c>
      <c r="AB228" s="1606">
        <v>4.5</v>
      </c>
      <c r="AC228" s="1606">
        <v>1</v>
      </c>
      <c r="AD228" s="1613">
        <v>1</v>
      </c>
      <c r="AE228" s="1606" t="s">
        <v>1764</v>
      </c>
      <c r="AF228" s="1613" t="str">
        <f t="shared" si="19"/>
        <v/>
      </c>
      <c r="AG228" s="1656">
        <f>IFERROR(IF($AF228&gt;0,VLOOKUP($U228,Tabelle1!$C$188:$L$212,5,0)*$AF228,0),0)</f>
        <v>0</v>
      </c>
      <c r="AH228" s="1656">
        <f t="shared" si="20"/>
        <v>0</v>
      </c>
      <c r="AJ228" t="str">
        <f>IF(Betrieb!$D$9="JA",Mineral!$BW228,Mineral!$BV228)</f>
        <v>IPUSagro Quattro P 400</v>
      </c>
      <c r="AK228" s="1672" t="str">
        <f>IFERROR(INDEX(Liste_Handelsünger[Handelsdünger],_xlfn.AGGREGATE(15,6,(ROW(Liste_Handelsünger[Handelsdünger])-1)/(--(SEARCH(AL$2,Liste_Handelsünger[Handelsdünger])&gt;0)),ROW()-2),1),"")</f>
        <v>IPUSagro Quattro P 400</v>
      </c>
      <c r="AL228" s="1672" t="str">
        <f>IF(($A$3=""),"",IF(COUNTIF(Mineral!$AJ$3:$AJ$324,$A$3),"",$A$3))</f>
        <v/>
      </c>
      <c r="AM228" s="1672" t="str">
        <f>IFERROR(INDEX(Liste_Handelsünger[Handelsdünger],_xlfn.AGGREGATE(15,6,(ROW(Liste_Handelsünger[Handelsdünger])-1)/(--(SEARCH(AN$2,Liste_Handelsünger[Handelsdünger])&gt;0)),ROW()-2),1),"")</f>
        <v>IPUSagro Quattro P 400</v>
      </c>
      <c r="AN228" t="str">
        <f>IF(($A230=""),"",IF(COUNTIF(Mineral!$AJ$3:$AJ$324,$A230),"",$A230))</f>
        <v/>
      </c>
      <c r="AO228" t="str">
        <f>IFERROR(INDEX(Liste_Handelsünger[Handelsdünger],_xlfn.AGGREGATE(15,6,(ROW(Liste_Handelsünger[Handelsdünger])-1)/(--(SEARCH(AP$2,Liste_Handelsünger[Handelsdünger])&gt;0)),ROW()-2),1),"")</f>
        <v>IPUSagro Quattro P 400</v>
      </c>
      <c r="AP228" t="str">
        <f>IF(($A231=""),"",IF(COUNTIF(Mineral!$AJ$3:$AJ$324,$A231),"",$A231))</f>
        <v/>
      </c>
      <c r="AQ228" t="str">
        <f>IFERROR(INDEX(Liste_Handelsünger[Handelsdünger],_xlfn.AGGREGATE(15,6,(ROW(Liste_Handelsünger[Handelsdünger])-1)/(--(SEARCH(AR$2,Liste_Handelsünger[Handelsdünger])&gt;0)),ROW()-2),1),"")</f>
        <v>IPUSagro Quattro P 400</v>
      </c>
      <c r="AR228" t="str">
        <f>IF(($A232=""),"",IF(COUNTIF(Mineral!$AJ$3:$AJ$324,$A232),"",$A232))</f>
        <v/>
      </c>
      <c r="AS228" t="str">
        <f>IFERROR(INDEX(Liste_Handelsünger[Handelsdünger],_xlfn.AGGREGATE(15,6,(ROW(Liste_Handelsünger[Handelsdünger])-1)/(--(SEARCH(AT$2,Liste_Handelsünger[Handelsdünger])&gt;0)),ROW()-2),1),"")</f>
        <v>IPUSagro Quattro P 400</v>
      </c>
      <c r="AT228" t="str">
        <f>IF(($A233=""),"",IF(COUNTIF(Mineral!$AJ$3:$AJ$324,$A233),"",$A233))</f>
        <v/>
      </c>
      <c r="AU228" t="str">
        <f>IFERROR(INDEX(Liste_Handelsünger[Handelsdünger],_xlfn.AGGREGATE(15,6,(ROW(Liste_Handelsünger[Handelsdünger])-1)/(--(SEARCH(AV$2,Liste_Handelsünger[Handelsdünger])&gt;0)),ROW()-2),1),"")</f>
        <v>IPUSagro Quattro P 400</v>
      </c>
      <c r="AV228" t="str">
        <f>IF(($A234=""),"",IF(COUNTIF(Mineral!$AJ$3:$AJ$324,$A234),"",$A234))</f>
        <v/>
      </c>
      <c r="AW228" t="str">
        <f>IFERROR(INDEX(Liste_Handelsünger[Handelsdünger],_xlfn.AGGREGATE(15,6,(ROW(Liste_Handelsünger[Handelsdünger])-1)/(--(SEARCH(AX$2,Liste_Handelsünger[Handelsdünger])&gt;0)),ROW()-2),1),"")</f>
        <v>IPUSagro Quattro P 400</v>
      </c>
      <c r="AX228" t="str">
        <f>IF(($A235=""),"",IF(COUNTIF(Mineral!$AJ$3:$AJ$324,$A235),"",$A235))</f>
        <v/>
      </c>
      <c r="AY228" t="str">
        <f>IFERROR(INDEX(Liste_Handelsünger[Handelsdünger],_xlfn.AGGREGATE(15,6,(ROW(Liste_Handelsünger[Handelsdünger])-1)/(--(SEARCH(AZ$2,Liste_Handelsünger[Handelsdünger])&gt;0)),ROW()-2),1),"")</f>
        <v>IPUSagro Quattro P 400</v>
      </c>
      <c r="AZ228" t="str">
        <f>IF(($A236=""),"",IF(COUNTIF(Mineral!$AJ$3:$AJ$324,$A236),"",$A236))</f>
        <v/>
      </c>
      <c r="BA228" t="str">
        <f>IFERROR(INDEX(Liste_Handelsünger[Handelsdünger],_xlfn.AGGREGATE(15,6,(ROW(Liste_Handelsünger[Handelsdünger])-1)/(--(SEARCH(BB$2,Liste_Handelsünger[Handelsdünger])&gt;0)),ROW()-2),1),"")</f>
        <v>IPUSagro Quattro P 400</v>
      </c>
      <c r="BB228" t="str">
        <f>IF(($A237=""),"",IF(COUNTIF(Mineral!$AJ$3:$AJ$324,$A237),"",$A237))</f>
        <v/>
      </c>
      <c r="BC228" t="str">
        <f>IFERROR(INDEX(Liste_Handelsünger[Handelsdünger],_xlfn.AGGREGATE(15,6,(ROW(Liste_Handelsünger[Handelsdünger])-1)/(--(SEARCH(BD$2,Liste_Handelsünger[Handelsdünger])&gt;0)),ROW()-2),1),"")</f>
        <v>IPUSagro Quattro P 400</v>
      </c>
      <c r="BD228" t="str">
        <f>IF(($A238=""),"",IF(COUNTIF(Mineral!$AJ$3:$AJ$324,$A238),"",$A238))</f>
        <v/>
      </c>
      <c r="BE228" t="str">
        <f>IFERROR(INDEX(Liste_Handelsünger[Handelsdünger],_xlfn.AGGREGATE(15,6,(ROW(Liste_Handelsünger[Handelsdünger])-1)/(--(SEARCH(BF$2,Liste_Handelsünger[Handelsdünger])&gt;0)),ROW()-2),1),"")</f>
        <v>IPUSagro Quattro P 400</v>
      </c>
      <c r="BF228" t="str">
        <f>IF(($A239=""),"",IF(COUNTIF(Mineral!$AJ$3:$AJ$324,$A239),"",$A239))</f>
        <v/>
      </c>
      <c r="BG228" t="str">
        <f>IFERROR(INDEX(Liste_Handelsünger[Handelsdünger],_xlfn.AGGREGATE(15,6,(ROW(Liste_Handelsünger[Handelsdünger])-1)/(--(SEARCH(BH$2,Liste_Handelsünger[Handelsdünger])&gt;0)),ROW()-2),1),"")</f>
        <v>IPUSagro Quattro P 400</v>
      </c>
      <c r="BH228" t="str">
        <f>IF(($A240=""),"",IF(COUNTIF(Mineral!$AJ$3:$AJ$324,$A240),"",$A240))</f>
        <v/>
      </c>
      <c r="BI228" t="str">
        <f>IFERROR(INDEX(Liste_Handelsünger[Handelsdünger],_xlfn.AGGREGATE(15,6,(ROW(Liste_Handelsünger[Handelsdünger])-1)/(--(SEARCH(BJ$2,Liste_Handelsünger[Handelsdünger])&gt;0)),ROW()-2),1),"")</f>
        <v>IPUSagro Quattro P 400</v>
      </c>
      <c r="BJ228" t="str">
        <f>IF(($A241=""),"",IF(COUNTIF(Mineral!$AJ$3:$AJ$324,$A241),"",$A241))</f>
        <v/>
      </c>
      <c r="BK228" t="str">
        <f>IFERROR(INDEX(Liste_Handelsünger[Handelsdünger],_xlfn.AGGREGATE(15,6,(ROW(Liste_Handelsünger[Handelsdünger])-1)/(--(SEARCH(BL$2,Liste_Handelsünger[Handelsdünger])&gt;0)),ROW()-2),1),"")</f>
        <v>IPUSagro Quattro P 400</v>
      </c>
      <c r="BM228" t="str">
        <f>IFERROR(INDEX(Liste_Handelsünger[Handelsdünger],_xlfn.AGGREGATE(15,6,(ROW(Liste_Handelsünger[Handelsdünger])-1)/(--(SEARCH(BN$2,Liste_Handelsünger[Handelsdünger])&gt;0)),ROW()-2),1),"")</f>
        <v>IPUSagro Quattro P 400</v>
      </c>
      <c r="BN228" t="str">
        <f>IF(($A243=""),"",IF(COUNTIF(Mineral!$AJ$3:$AJ$324,$A243),"",$A243))</f>
        <v/>
      </c>
      <c r="BV228" t="s">
        <v>2165</v>
      </c>
      <c r="BW228" t="s">
        <v>2096</v>
      </c>
      <c r="BZ228" s="1602"/>
      <c r="CA228" s="1602"/>
      <c r="CB228" s="1602"/>
    </row>
    <row r="229" spans="19:80" ht="14.25" thickTop="1" thickBot="1">
      <c r="S229" s="1616">
        <v>228</v>
      </c>
      <c r="T229" s="1617" t="s">
        <v>2006</v>
      </c>
      <c r="U229" s="1617" t="s">
        <v>2166</v>
      </c>
      <c r="V229" s="1617" t="s">
        <v>408</v>
      </c>
      <c r="W229" s="1617">
        <v>0</v>
      </c>
      <c r="X229" s="1617">
        <v>0</v>
      </c>
      <c r="Y229" s="1617">
        <v>0</v>
      </c>
      <c r="Z229" s="1617">
        <v>0</v>
      </c>
      <c r="AA229" s="1617">
        <v>0</v>
      </c>
      <c r="AB229" s="1617">
        <v>0</v>
      </c>
      <c r="AC229" s="1617">
        <v>1</v>
      </c>
      <c r="AD229" s="1613">
        <v>1</v>
      </c>
      <c r="AE229" s="1617" t="s">
        <v>1764</v>
      </c>
      <c r="AF229" s="1613" t="str">
        <f t="shared" si="19"/>
        <v/>
      </c>
      <c r="AG229" s="1656">
        <f>IFERROR(IF($AF229&gt;0,VLOOKUP($U229,Tabelle1!$C$188:$L$212,5,0)*$AF229,0),0)</f>
        <v>0</v>
      </c>
      <c r="AH229" s="1656">
        <f t="shared" si="20"/>
        <v>0</v>
      </c>
      <c r="AJ229" t="str">
        <f>IF(Betrieb!$D$9="JA",Mineral!$BW229,Mineral!$BV229)</f>
        <v>K&amp;A Decide</v>
      </c>
      <c r="AK229" s="1672" t="str">
        <f>IFERROR(INDEX(Liste_Handelsünger[Handelsdünger],_xlfn.AGGREGATE(15,6,(ROW(Liste_Handelsünger[Handelsdünger])-1)/(--(SEARCH(AL$2,Liste_Handelsünger[Handelsdünger])&gt;0)),ROW()-2),1),"")</f>
        <v>K&amp;A Decide</v>
      </c>
      <c r="AL229" s="1672" t="str">
        <f>IF(($A$3=""),"",IF(COUNTIF(Mineral!$AJ$3:$AJ$324,$A$3),"",$A$3))</f>
        <v/>
      </c>
      <c r="AM229" s="1672" t="str">
        <f>IFERROR(INDEX(Liste_Handelsünger[Handelsdünger],_xlfn.AGGREGATE(15,6,(ROW(Liste_Handelsünger[Handelsdünger])-1)/(--(SEARCH(AN$2,Liste_Handelsünger[Handelsdünger])&gt;0)),ROW()-2),1),"")</f>
        <v>K&amp;A Decide</v>
      </c>
      <c r="AN229" t="str">
        <f>IF(($A231=""),"",IF(COUNTIF(Mineral!$AJ$3:$AJ$324,$A231),"",$A231))</f>
        <v/>
      </c>
      <c r="AO229" t="str">
        <f>IFERROR(INDEX(Liste_Handelsünger[Handelsdünger],_xlfn.AGGREGATE(15,6,(ROW(Liste_Handelsünger[Handelsdünger])-1)/(--(SEARCH(AP$2,Liste_Handelsünger[Handelsdünger])&gt;0)),ROW()-2),1),"")</f>
        <v>K&amp;A Decide</v>
      </c>
      <c r="AP229" t="str">
        <f>IF(($A232=""),"",IF(COUNTIF(Mineral!$AJ$3:$AJ$324,$A232),"",$A232))</f>
        <v/>
      </c>
      <c r="AQ229" t="str">
        <f>IFERROR(INDEX(Liste_Handelsünger[Handelsdünger],_xlfn.AGGREGATE(15,6,(ROW(Liste_Handelsünger[Handelsdünger])-1)/(--(SEARCH(AR$2,Liste_Handelsünger[Handelsdünger])&gt;0)),ROW()-2),1),"")</f>
        <v>K&amp;A Decide</v>
      </c>
      <c r="AR229" t="str">
        <f>IF(($A233=""),"",IF(COUNTIF(Mineral!$AJ$3:$AJ$324,$A233),"",$A233))</f>
        <v/>
      </c>
      <c r="AS229" t="str">
        <f>IFERROR(INDEX(Liste_Handelsünger[Handelsdünger],_xlfn.AGGREGATE(15,6,(ROW(Liste_Handelsünger[Handelsdünger])-1)/(--(SEARCH(AT$2,Liste_Handelsünger[Handelsdünger])&gt;0)),ROW()-2),1),"")</f>
        <v>K&amp;A Decide</v>
      </c>
      <c r="AT229" t="str">
        <f>IF(($A234=""),"",IF(COUNTIF(Mineral!$AJ$3:$AJ$324,$A234),"",$A234))</f>
        <v/>
      </c>
      <c r="AU229" t="str">
        <f>IFERROR(INDEX(Liste_Handelsünger[Handelsdünger],_xlfn.AGGREGATE(15,6,(ROW(Liste_Handelsünger[Handelsdünger])-1)/(--(SEARCH(AV$2,Liste_Handelsünger[Handelsdünger])&gt;0)),ROW()-2),1),"")</f>
        <v>K&amp;A Decide</v>
      </c>
      <c r="AV229" t="str">
        <f>IF(($A235=""),"",IF(COUNTIF(Mineral!$AJ$3:$AJ$324,$A235),"",$A235))</f>
        <v/>
      </c>
      <c r="AW229" t="str">
        <f>IFERROR(INDEX(Liste_Handelsünger[Handelsdünger],_xlfn.AGGREGATE(15,6,(ROW(Liste_Handelsünger[Handelsdünger])-1)/(--(SEARCH(AX$2,Liste_Handelsünger[Handelsdünger])&gt;0)),ROW()-2),1),"")</f>
        <v>K&amp;A Decide</v>
      </c>
      <c r="AX229" t="str">
        <f>IF(($A236=""),"",IF(COUNTIF(Mineral!$AJ$3:$AJ$324,$A236),"",$A236))</f>
        <v/>
      </c>
      <c r="AY229" t="str">
        <f>IFERROR(INDEX(Liste_Handelsünger[Handelsdünger],_xlfn.AGGREGATE(15,6,(ROW(Liste_Handelsünger[Handelsdünger])-1)/(--(SEARCH(AZ$2,Liste_Handelsünger[Handelsdünger])&gt;0)),ROW()-2),1),"")</f>
        <v>K&amp;A Decide</v>
      </c>
      <c r="AZ229" t="str">
        <f>IF(($A237=""),"",IF(COUNTIF(Mineral!$AJ$3:$AJ$324,$A237),"",$A237))</f>
        <v/>
      </c>
      <c r="BA229" t="str">
        <f>IFERROR(INDEX(Liste_Handelsünger[Handelsdünger],_xlfn.AGGREGATE(15,6,(ROW(Liste_Handelsünger[Handelsdünger])-1)/(--(SEARCH(BB$2,Liste_Handelsünger[Handelsdünger])&gt;0)),ROW()-2),1),"")</f>
        <v>K&amp;A Decide</v>
      </c>
      <c r="BB229" t="str">
        <f>IF(($A238=""),"",IF(COUNTIF(Mineral!$AJ$3:$AJ$324,$A238),"",$A238))</f>
        <v/>
      </c>
      <c r="BC229" t="str">
        <f>IFERROR(INDEX(Liste_Handelsünger[Handelsdünger],_xlfn.AGGREGATE(15,6,(ROW(Liste_Handelsünger[Handelsdünger])-1)/(--(SEARCH(BD$2,Liste_Handelsünger[Handelsdünger])&gt;0)),ROW()-2),1),"")</f>
        <v>K&amp;A Decide</v>
      </c>
      <c r="BD229" t="str">
        <f>IF(($A239=""),"",IF(COUNTIF(Mineral!$AJ$3:$AJ$324,$A239),"",$A239))</f>
        <v/>
      </c>
      <c r="BE229" t="str">
        <f>IFERROR(INDEX(Liste_Handelsünger[Handelsdünger],_xlfn.AGGREGATE(15,6,(ROW(Liste_Handelsünger[Handelsdünger])-1)/(--(SEARCH(BF$2,Liste_Handelsünger[Handelsdünger])&gt;0)),ROW()-2),1),"")</f>
        <v>K&amp;A Decide</v>
      </c>
      <c r="BF229" t="str">
        <f>IF(($A240=""),"",IF(COUNTIF(Mineral!$AJ$3:$AJ$324,$A240),"",$A240))</f>
        <v/>
      </c>
      <c r="BG229" t="str">
        <f>IFERROR(INDEX(Liste_Handelsünger[Handelsdünger],_xlfn.AGGREGATE(15,6,(ROW(Liste_Handelsünger[Handelsdünger])-1)/(--(SEARCH(BH$2,Liste_Handelsünger[Handelsdünger])&gt;0)),ROW()-2),1),"")</f>
        <v>K&amp;A Decide</v>
      </c>
      <c r="BH229" t="str">
        <f>IF(($A241=""),"",IF(COUNTIF(Mineral!$AJ$3:$AJ$324,$A241),"",$A241))</f>
        <v/>
      </c>
      <c r="BI229" t="str">
        <f>IFERROR(INDEX(Liste_Handelsünger[Handelsdünger],_xlfn.AGGREGATE(15,6,(ROW(Liste_Handelsünger[Handelsdünger])-1)/(--(SEARCH(BJ$2,Liste_Handelsünger[Handelsdünger])&gt;0)),ROW()-2),1),"")</f>
        <v>K&amp;A Decide</v>
      </c>
      <c r="BJ229" t="str">
        <f>IF(($A242=""),"",IF(COUNTIF(Mineral!$AJ$3:$AJ$324,$A242),"",$A242))</f>
        <v/>
      </c>
      <c r="BK229" t="str">
        <f>IFERROR(INDEX(Liste_Handelsünger[Handelsdünger],_xlfn.AGGREGATE(15,6,(ROW(Liste_Handelsünger[Handelsdünger])-1)/(--(SEARCH(BL$2,Liste_Handelsünger[Handelsdünger])&gt;0)),ROW()-2),1),"")</f>
        <v>K&amp;A Decide</v>
      </c>
      <c r="BM229" t="str">
        <f>IFERROR(INDEX(Liste_Handelsünger[Handelsdünger],_xlfn.AGGREGATE(15,6,(ROW(Liste_Handelsünger[Handelsdünger])-1)/(--(SEARCH(BN$2,Liste_Handelsünger[Handelsdünger])&gt;0)),ROW()-2),1),"")</f>
        <v>K&amp;A Decide</v>
      </c>
      <c r="BN229" t="str">
        <f>IF(($A244=""),"",IF(COUNTIF(Mineral!$AJ$3:$AJ$324,$A244),"",$A244))</f>
        <v/>
      </c>
      <c r="BV229" t="s">
        <v>2166</v>
      </c>
      <c r="BW229" t="s">
        <v>2097</v>
      </c>
      <c r="BZ229" s="1602"/>
      <c r="CA229" s="1602"/>
      <c r="CB229" s="1602"/>
    </row>
    <row r="230" spans="19:80" ht="14.25" thickTop="1" thickBot="1">
      <c r="S230" s="1676">
        <v>229</v>
      </c>
      <c r="T230" s="1606" t="s">
        <v>2006</v>
      </c>
      <c r="U230" s="1606" t="s">
        <v>2167</v>
      </c>
      <c r="V230" s="1606" t="s">
        <v>408</v>
      </c>
      <c r="W230" s="1606">
        <v>0</v>
      </c>
      <c r="X230" s="1606">
        <v>0</v>
      </c>
      <c r="Y230" s="1606">
        <v>0</v>
      </c>
      <c r="Z230" s="1606">
        <v>0</v>
      </c>
      <c r="AA230" s="1606">
        <v>0</v>
      </c>
      <c r="AB230" s="1606">
        <v>0</v>
      </c>
      <c r="AC230" s="1606">
        <v>1</v>
      </c>
      <c r="AD230" s="1613">
        <v>1</v>
      </c>
      <c r="AE230" s="1606" t="s">
        <v>1764</v>
      </c>
      <c r="AF230" s="1613" t="str">
        <f t="shared" si="19"/>
        <v/>
      </c>
      <c r="AG230" s="1656">
        <f>IFERROR(IF($AF230&gt;0,VLOOKUP($U230,Tabelle1!$C$188:$L$212,5,0)*$AF230,0),0)</f>
        <v>0</v>
      </c>
      <c r="AH230" s="1656">
        <f t="shared" si="20"/>
        <v>0</v>
      </c>
      <c r="AJ230" t="str">
        <f>IF(Betrieb!$D$9="JA",Mineral!$BW230,Mineral!$BV230)</f>
        <v>K&amp;A Frontiere</v>
      </c>
      <c r="AK230" s="1672" t="str">
        <f>IFERROR(INDEX(Liste_Handelsünger[Handelsdünger],_xlfn.AGGREGATE(15,6,(ROW(Liste_Handelsünger[Handelsdünger])-1)/(--(SEARCH(AL$2,Liste_Handelsünger[Handelsdünger])&gt;0)),ROW()-2),1),"")</f>
        <v>K&amp;A Frontiere</v>
      </c>
      <c r="AL230" s="1672" t="str">
        <f>IF(($A$3=""),"",IF(COUNTIF(Mineral!$AJ$3:$AJ$324,$A$3),"",$A$3))</f>
        <v/>
      </c>
      <c r="AM230" s="1672" t="str">
        <f>IFERROR(INDEX(Liste_Handelsünger[Handelsdünger],_xlfn.AGGREGATE(15,6,(ROW(Liste_Handelsünger[Handelsdünger])-1)/(--(SEARCH(AN$2,Liste_Handelsünger[Handelsdünger])&gt;0)),ROW()-2),1),"")</f>
        <v>K&amp;A Frontiere</v>
      </c>
      <c r="AN230" t="str">
        <f>IF(($A232=""),"",IF(COUNTIF(Mineral!$AJ$3:$AJ$324,$A232),"",$A232))</f>
        <v/>
      </c>
      <c r="AO230" t="str">
        <f>IFERROR(INDEX(Liste_Handelsünger[Handelsdünger],_xlfn.AGGREGATE(15,6,(ROW(Liste_Handelsünger[Handelsdünger])-1)/(--(SEARCH(AP$2,Liste_Handelsünger[Handelsdünger])&gt;0)),ROW()-2),1),"")</f>
        <v>K&amp;A Frontiere</v>
      </c>
      <c r="AP230" t="str">
        <f>IF(($A233=""),"",IF(COUNTIF(Mineral!$AJ$3:$AJ$324,$A233),"",$A233))</f>
        <v/>
      </c>
      <c r="AQ230" t="str">
        <f>IFERROR(INDEX(Liste_Handelsünger[Handelsdünger],_xlfn.AGGREGATE(15,6,(ROW(Liste_Handelsünger[Handelsdünger])-1)/(--(SEARCH(AR$2,Liste_Handelsünger[Handelsdünger])&gt;0)),ROW()-2),1),"")</f>
        <v>K&amp;A Frontiere</v>
      </c>
      <c r="AR230" t="str">
        <f>IF(($A234=""),"",IF(COUNTIF(Mineral!$AJ$3:$AJ$324,$A234),"",$A234))</f>
        <v/>
      </c>
      <c r="AS230" t="str">
        <f>IFERROR(INDEX(Liste_Handelsünger[Handelsdünger],_xlfn.AGGREGATE(15,6,(ROW(Liste_Handelsünger[Handelsdünger])-1)/(--(SEARCH(AT$2,Liste_Handelsünger[Handelsdünger])&gt;0)),ROW()-2),1),"")</f>
        <v>K&amp;A Frontiere</v>
      </c>
      <c r="AT230" t="str">
        <f>IF(($A235=""),"",IF(COUNTIF(Mineral!$AJ$3:$AJ$324,$A235),"",$A235))</f>
        <v/>
      </c>
      <c r="AU230" t="str">
        <f>IFERROR(INDEX(Liste_Handelsünger[Handelsdünger],_xlfn.AGGREGATE(15,6,(ROW(Liste_Handelsünger[Handelsdünger])-1)/(--(SEARCH(AV$2,Liste_Handelsünger[Handelsdünger])&gt;0)),ROW()-2),1),"")</f>
        <v>K&amp;A Frontiere</v>
      </c>
      <c r="AV230" t="str">
        <f>IF(($A236=""),"",IF(COUNTIF(Mineral!$AJ$3:$AJ$324,$A236),"",$A236))</f>
        <v/>
      </c>
      <c r="AW230" t="str">
        <f>IFERROR(INDEX(Liste_Handelsünger[Handelsdünger],_xlfn.AGGREGATE(15,6,(ROW(Liste_Handelsünger[Handelsdünger])-1)/(--(SEARCH(AX$2,Liste_Handelsünger[Handelsdünger])&gt;0)),ROW()-2),1),"")</f>
        <v>K&amp;A Frontiere</v>
      </c>
      <c r="AX230" t="str">
        <f>IF(($A237=""),"",IF(COUNTIF(Mineral!$AJ$3:$AJ$324,$A237),"",$A237))</f>
        <v/>
      </c>
      <c r="AY230" t="str">
        <f>IFERROR(INDEX(Liste_Handelsünger[Handelsdünger],_xlfn.AGGREGATE(15,6,(ROW(Liste_Handelsünger[Handelsdünger])-1)/(--(SEARCH(AZ$2,Liste_Handelsünger[Handelsdünger])&gt;0)),ROW()-2),1),"")</f>
        <v>K&amp;A Frontiere</v>
      </c>
      <c r="AZ230" t="str">
        <f>IF(($A238=""),"",IF(COUNTIF(Mineral!$AJ$3:$AJ$324,$A238),"",$A238))</f>
        <v/>
      </c>
      <c r="BA230" t="str">
        <f>IFERROR(INDEX(Liste_Handelsünger[Handelsdünger],_xlfn.AGGREGATE(15,6,(ROW(Liste_Handelsünger[Handelsdünger])-1)/(--(SEARCH(BB$2,Liste_Handelsünger[Handelsdünger])&gt;0)),ROW()-2),1),"")</f>
        <v>K&amp;A Frontiere</v>
      </c>
      <c r="BB230" t="str">
        <f>IF(($A239=""),"",IF(COUNTIF(Mineral!$AJ$3:$AJ$324,$A239),"",$A239))</f>
        <v/>
      </c>
      <c r="BC230" t="str">
        <f>IFERROR(INDEX(Liste_Handelsünger[Handelsdünger],_xlfn.AGGREGATE(15,6,(ROW(Liste_Handelsünger[Handelsdünger])-1)/(--(SEARCH(BD$2,Liste_Handelsünger[Handelsdünger])&gt;0)),ROW()-2),1),"")</f>
        <v>K&amp;A Frontiere</v>
      </c>
      <c r="BD230" t="str">
        <f>IF(($A240=""),"",IF(COUNTIF(Mineral!$AJ$3:$AJ$324,$A240),"",$A240))</f>
        <v/>
      </c>
      <c r="BE230" t="str">
        <f>IFERROR(INDEX(Liste_Handelsünger[Handelsdünger],_xlfn.AGGREGATE(15,6,(ROW(Liste_Handelsünger[Handelsdünger])-1)/(--(SEARCH(BF$2,Liste_Handelsünger[Handelsdünger])&gt;0)),ROW()-2),1),"")</f>
        <v>K&amp;A Frontiere</v>
      </c>
      <c r="BF230" t="str">
        <f>IF(($A241=""),"",IF(COUNTIF(Mineral!$AJ$3:$AJ$324,$A241),"",$A241))</f>
        <v/>
      </c>
      <c r="BG230" t="str">
        <f>IFERROR(INDEX(Liste_Handelsünger[Handelsdünger],_xlfn.AGGREGATE(15,6,(ROW(Liste_Handelsünger[Handelsdünger])-1)/(--(SEARCH(BH$2,Liste_Handelsünger[Handelsdünger])&gt;0)),ROW()-2),1),"")</f>
        <v>K&amp;A Frontiere</v>
      </c>
      <c r="BH230" t="str">
        <f>IF(($A242=""),"",IF(COUNTIF(Mineral!$AJ$3:$AJ$324,$A242),"",$A242))</f>
        <v/>
      </c>
      <c r="BI230" t="str">
        <f>IFERROR(INDEX(Liste_Handelsünger[Handelsdünger],_xlfn.AGGREGATE(15,6,(ROW(Liste_Handelsünger[Handelsdünger])-1)/(--(SEARCH(BJ$2,Liste_Handelsünger[Handelsdünger])&gt;0)),ROW()-2),1),"")</f>
        <v>K&amp;A Frontiere</v>
      </c>
      <c r="BJ230" t="str">
        <f>IF(($A243=""),"",IF(COUNTIF(Mineral!$AJ$3:$AJ$324,$A243),"",$A243))</f>
        <v/>
      </c>
      <c r="BK230" t="str">
        <f>IFERROR(INDEX(Liste_Handelsünger[Handelsdünger],_xlfn.AGGREGATE(15,6,(ROW(Liste_Handelsünger[Handelsdünger])-1)/(--(SEARCH(BL$2,Liste_Handelsünger[Handelsdünger])&gt;0)),ROW()-2),1),"")</f>
        <v>K&amp;A Frontiere</v>
      </c>
      <c r="BM230" t="str">
        <f>IFERROR(INDEX(Liste_Handelsünger[Handelsdünger],_xlfn.AGGREGATE(15,6,(ROW(Liste_Handelsünger[Handelsdünger])-1)/(--(SEARCH(BN$2,Liste_Handelsünger[Handelsdünger])&gt;0)),ROW()-2),1),"")</f>
        <v>K&amp;A Frontiere</v>
      </c>
      <c r="BN230" t="str">
        <f>IF(($A245=""),"",IF(COUNTIF(Mineral!$AJ$3:$AJ$324,$A245),"",$A245))</f>
        <v/>
      </c>
      <c r="BV230" t="s">
        <v>2167</v>
      </c>
      <c r="BW230" t="s">
        <v>2098</v>
      </c>
      <c r="BZ230" s="1602"/>
      <c r="CA230" s="1602"/>
      <c r="CB230" s="1602"/>
    </row>
    <row r="231" spans="19:80" ht="14.25" thickTop="1" thickBot="1">
      <c r="S231" s="1616">
        <v>230</v>
      </c>
      <c r="T231" s="1617" t="s">
        <v>2006</v>
      </c>
      <c r="U231" s="1617" t="s">
        <v>2173</v>
      </c>
      <c r="V231" s="1617" t="s">
        <v>408</v>
      </c>
      <c r="W231" s="1617">
        <v>0</v>
      </c>
      <c r="X231" s="1617">
        <v>0</v>
      </c>
      <c r="Y231" s="1617">
        <v>50</v>
      </c>
      <c r="Z231" s="1617">
        <v>18</v>
      </c>
      <c r="AA231" s="1617">
        <v>0</v>
      </c>
      <c r="AB231" s="1617">
        <v>0</v>
      </c>
      <c r="AC231" s="1617">
        <v>1</v>
      </c>
      <c r="AD231" s="1613">
        <v>1</v>
      </c>
      <c r="AE231" s="1617" t="s">
        <v>1764</v>
      </c>
      <c r="AF231" s="1613" t="str">
        <f t="shared" si="19"/>
        <v/>
      </c>
      <c r="AG231" s="1656">
        <f>IFERROR(IF($AF231&gt;0,VLOOKUP($U231,Tabelle1!$C$188:$L$212,5,0)*$AF231,0),0)</f>
        <v>0</v>
      </c>
      <c r="AH231" s="1656">
        <f t="shared" si="20"/>
        <v>0</v>
      </c>
      <c r="AJ231" t="str">
        <f>IF(Betrieb!$D$9="JA",Mineral!$BW231,Mineral!$BV231)</f>
        <v>Kalisop 50%</v>
      </c>
      <c r="AK231" s="1672" t="str">
        <f>IFERROR(INDEX(Liste_Handelsünger[Handelsdünger],_xlfn.AGGREGATE(15,6,(ROW(Liste_Handelsünger[Handelsdünger])-1)/(--(SEARCH(AL$2,Liste_Handelsünger[Handelsdünger])&gt;0)),ROW()-2),1),"")</f>
        <v>Kalisop 50%</v>
      </c>
      <c r="AL231" s="1672" t="str">
        <f>IF(($A$3=""),"",IF(COUNTIF(Mineral!$AJ$3:$AJ$324,$A$3),"",$A$3))</f>
        <v/>
      </c>
      <c r="AM231" s="1672" t="str">
        <f>IFERROR(INDEX(Liste_Handelsünger[Handelsdünger],_xlfn.AGGREGATE(15,6,(ROW(Liste_Handelsünger[Handelsdünger])-1)/(--(SEARCH(AN$2,Liste_Handelsünger[Handelsdünger])&gt;0)),ROW()-2),1),"")</f>
        <v>Kalisop 50%</v>
      </c>
      <c r="AN231" t="str">
        <f>IF(($A233=""),"",IF(COUNTIF(Mineral!$AJ$3:$AJ$324,$A233),"",$A233))</f>
        <v/>
      </c>
      <c r="AO231" t="str">
        <f>IFERROR(INDEX(Liste_Handelsünger[Handelsdünger],_xlfn.AGGREGATE(15,6,(ROW(Liste_Handelsünger[Handelsdünger])-1)/(--(SEARCH(AP$2,Liste_Handelsünger[Handelsdünger])&gt;0)),ROW()-2),1),"")</f>
        <v>Kalisop 50%</v>
      </c>
      <c r="AP231" t="str">
        <f>IF(($A234=""),"",IF(COUNTIF(Mineral!$AJ$3:$AJ$324,$A234),"",$A234))</f>
        <v/>
      </c>
      <c r="AQ231" t="str">
        <f>IFERROR(INDEX(Liste_Handelsünger[Handelsdünger],_xlfn.AGGREGATE(15,6,(ROW(Liste_Handelsünger[Handelsdünger])-1)/(--(SEARCH(AR$2,Liste_Handelsünger[Handelsdünger])&gt;0)),ROW()-2),1),"")</f>
        <v>Kalisop 50%</v>
      </c>
      <c r="AR231" t="str">
        <f>IF(($A235=""),"",IF(COUNTIF(Mineral!$AJ$3:$AJ$324,$A235),"",$A235))</f>
        <v/>
      </c>
      <c r="AS231" t="str">
        <f>IFERROR(INDEX(Liste_Handelsünger[Handelsdünger],_xlfn.AGGREGATE(15,6,(ROW(Liste_Handelsünger[Handelsdünger])-1)/(--(SEARCH(AT$2,Liste_Handelsünger[Handelsdünger])&gt;0)),ROW()-2),1),"")</f>
        <v>Kalisop 50%</v>
      </c>
      <c r="AT231" t="str">
        <f>IF(($A236=""),"",IF(COUNTIF(Mineral!$AJ$3:$AJ$324,$A236),"",$A236))</f>
        <v/>
      </c>
      <c r="AU231" t="str">
        <f>IFERROR(INDEX(Liste_Handelsünger[Handelsdünger],_xlfn.AGGREGATE(15,6,(ROW(Liste_Handelsünger[Handelsdünger])-1)/(--(SEARCH(AV$2,Liste_Handelsünger[Handelsdünger])&gt;0)),ROW()-2),1),"")</f>
        <v>Kalisop 50%</v>
      </c>
      <c r="AV231" t="str">
        <f>IF(($A237=""),"",IF(COUNTIF(Mineral!$AJ$3:$AJ$324,$A237),"",$A237))</f>
        <v/>
      </c>
      <c r="AW231" t="str">
        <f>IFERROR(INDEX(Liste_Handelsünger[Handelsdünger],_xlfn.AGGREGATE(15,6,(ROW(Liste_Handelsünger[Handelsdünger])-1)/(--(SEARCH(AX$2,Liste_Handelsünger[Handelsdünger])&gt;0)),ROW()-2),1),"")</f>
        <v>Kalisop 50%</v>
      </c>
      <c r="AX231" t="str">
        <f>IF(($A238=""),"",IF(COUNTIF(Mineral!$AJ$3:$AJ$324,$A238),"",$A238))</f>
        <v/>
      </c>
      <c r="AY231" t="str">
        <f>IFERROR(INDEX(Liste_Handelsünger[Handelsdünger],_xlfn.AGGREGATE(15,6,(ROW(Liste_Handelsünger[Handelsdünger])-1)/(--(SEARCH(AZ$2,Liste_Handelsünger[Handelsdünger])&gt;0)),ROW()-2),1),"")</f>
        <v>Kalisop 50%</v>
      </c>
      <c r="AZ231" t="str">
        <f>IF(($A239=""),"",IF(COUNTIF(Mineral!$AJ$3:$AJ$324,$A239),"",$A239))</f>
        <v/>
      </c>
      <c r="BA231" t="str">
        <f>IFERROR(INDEX(Liste_Handelsünger[Handelsdünger],_xlfn.AGGREGATE(15,6,(ROW(Liste_Handelsünger[Handelsdünger])-1)/(--(SEARCH(BB$2,Liste_Handelsünger[Handelsdünger])&gt;0)),ROW()-2),1),"")</f>
        <v>Kalisop 50%</v>
      </c>
      <c r="BB231" t="str">
        <f>IF(($A240=""),"",IF(COUNTIF(Mineral!$AJ$3:$AJ$324,$A240),"",$A240))</f>
        <v/>
      </c>
      <c r="BC231" t="str">
        <f>IFERROR(INDEX(Liste_Handelsünger[Handelsdünger],_xlfn.AGGREGATE(15,6,(ROW(Liste_Handelsünger[Handelsdünger])-1)/(--(SEARCH(BD$2,Liste_Handelsünger[Handelsdünger])&gt;0)),ROW()-2),1),"")</f>
        <v>Kalisop 50%</v>
      </c>
      <c r="BD231" t="str">
        <f>IF(($A241=""),"",IF(COUNTIF(Mineral!$AJ$3:$AJ$324,$A241),"",$A241))</f>
        <v/>
      </c>
      <c r="BE231" t="str">
        <f>IFERROR(INDEX(Liste_Handelsünger[Handelsdünger],_xlfn.AGGREGATE(15,6,(ROW(Liste_Handelsünger[Handelsdünger])-1)/(--(SEARCH(BF$2,Liste_Handelsünger[Handelsdünger])&gt;0)),ROW()-2),1),"")</f>
        <v>Kalisop 50%</v>
      </c>
      <c r="BF231" t="str">
        <f>IF(($A242=""),"",IF(COUNTIF(Mineral!$AJ$3:$AJ$324,$A242),"",$A242))</f>
        <v/>
      </c>
      <c r="BG231" t="str">
        <f>IFERROR(INDEX(Liste_Handelsünger[Handelsdünger],_xlfn.AGGREGATE(15,6,(ROW(Liste_Handelsünger[Handelsdünger])-1)/(--(SEARCH(BH$2,Liste_Handelsünger[Handelsdünger])&gt;0)),ROW()-2),1),"")</f>
        <v>Kalisop 50%</v>
      </c>
      <c r="BH231" t="str">
        <f>IF(($A243=""),"",IF(COUNTIF(Mineral!$AJ$3:$AJ$324,$A243),"",$A243))</f>
        <v/>
      </c>
      <c r="BI231" t="str">
        <f>IFERROR(INDEX(Liste_Handelsünger[Handelsdünger],_xlfn.AGGREGATE(15,6,(ROW(Liste_Handelsünger[Handelsdünger])-1)/(--(SEARCH(BJ$2,Liste_Handelsünger[Handelsdünger])&gt;0)),ROW()-2),1),"")</f>
        <v>Kalisop 50%</v>
      </c>
      <c r="BJ231" t="str">
        <f>IF(($A244=""),"",IF(COUNTIF(Mineral!$AJ$3:$AJ$324,$A244),"",$A244))</f>
        <v/>
      </c>
      <c r="BK231" t="str">
        <f>IFERROR(INDEX(Liste_Handelsünger[Handelsdünger],_xlfn.AGGREGATE(15,6,(ROW(Liste_Handelsünger[Handelsdünger])-1)/(--(SEARCH(BL$2,Liste_Handelsünger[Handelsdünger])&gt;0)),ROW()-2),1),"")</f>
        <v>Kalisop 50%</v>
      </c>
      <c r="BM231" t="str">
        <f>IFERROR(INDEX(Liste_Handelsünger[Handelsdünger],_xlfn.AGGREGATE(15,6,(ROW(Liste_Handelsünger[Handelsdünger])-1)/(--(SEARCH(BN$2,Liste_Handelsünger[Handelsdünger])&gt;0)),ROW()-2),1),"")</f>
        <v>Kalisop 50%</v>
      </c>
      <c r="BN231" t="str">
        <f>IF(($A246=""),"",IF(COUNTIF(Mineral!$AJ$3:$AJ$324,$A246),"",$A246))</f>
        <v/>
      </c>
      <c r="BV231" t="s">
        <v>2173</v>
      </c>
      <c r="BW231" t="s">
        <v>2099</v>
      </c>
      <c r="BZ231" s="1602"/>
      <c r="CA231" s="1602"/>
      <c r="CB231" s="1602"/>
    </row>
    <row r="232" spans="19:80" ht="14.25" thickTop="1" thickBot="1">
      <c r="S232" s="1676">
        <v>231</v>
      </c>
      <c r="T232" s="1606" t="s">
        <v>2006</v>
      </c>
      <c r="U232" s="1606" t="s">
        <v>2177</v>
      </c>
      <c r="V232" s="1606" t="s">
        <v>408</v>
      </c>
      <c r="W232" s="1606">
        <v>0</v>
      </c>
      <c r="X232" s="1606">
        <v>5</v>
      </c>
      <c r="Y232" s="1606">
        <v>0</v>
      </c>
      <c r="Z232" s="1606">
        <v>0</v>
      </c>
      <c r="AA232" s="1606">
        <v>48</v>
      </c>
      <c r="AB232" s="1606">
        <v>7.17</v>
      </c>
      <c r="AC232" s="1606">
        <v>1</v>
      </c>
      <c r="AD232" s="1613">
        <v>1</v>
      </c>
      <c r="AE232" s="1606" t="s">
        <v>1764</v>
      </c>
      <c r="AF232" s="1613" t="str">
        <f t="shared" si="19"/>
        <v/>
      </c>
      <c r="AG232" s="1656">
        <f>IFERROR(IF($AF232&gt;0,VLOOKUP($U232,Tabelle1!$C$188:$L$212,5,0)*$AF232,0),0)</f>
        <v>0</v>
      </c>
      <c r="AH232" s="1656">
        <f t="shared" si="20"/>
        <v>0</v>
      </c>
      <c r="AJ232" t="str">
        <f>IF(Betrieb!$D$9="JA",Mineral!$BW232,Mineral!$BV232)</f>
        <v>KaPhos</v>
      </c>
      <c r="AK232" s="1672" t="str">
        <f>IFERROR(INDEX(Liste_Handelsünger[Handelsdünger],_xlfn.AGGREGATE(15,6,(ROW(Liste_Handelsünger[Handelsdünger])-1)/(--(SEARCH(AL$2,Liste_Handelsünger[Handelsdünger])&gt;0)),ROW()-2),1),"")</f>
        <v>KaPhos</v>
      </c>
      <c r="AL232" s="1672" t="str">
        <f>IF(($A$3=""),"",IF(COUNTIF(Mineral!$AJ$3:$AJ$324,$A$3),"",$A$3))</f>
        <v/>
      </c>
      <c r="AM232" s="1672" t="str">
        <f>IFERROR(INDEX(Liste_Handelsünger[Handelsdünger],_xlfn.AGGREGATE(15,6,(ROW(Liste_Handelsünger[Handelsdünger])-1)/(--(SEARCH(AN$2,Liste_Handelsünger[Handelsdünger])&gt;0)),ROW()-2),1),"")</f>
        <v>KaPhos</v>
      </c>
      <c r="AN232" t="str">
        <f>IF(($A234=""),"",IF(COUNTIF(Mineral!$AJ$3:$AJ$324,$A234),"",$A234))</f>
        <v/>
      </c>
      <c r="AO232" t="str">
        <f>IFERROR(INDEX(Liste_Handelsünger[Handelsdünger],_xlfn.AGGREGATE(15,6,(ROW(Liste_Handelsünger[Handelsdünger])-1)/(--(SEARCH(AP$2,Liste_Handelsünger[Handelsdünger])&gt;0)),ROW()-2),1),"")</f>
        <v>KaPhos</v>
      </c>
      <c r="AP232" t="str">
        <f>IF(($A235=""),"",IF(COUNTIF(Mineral!$AJ$3:$AJ$324,$A235),"",$A235))</f>
        <v/>
      </c>
      <c r="AQ232" t="str">
        <f>IFERROR(INDEX(Liste_Handelsünger[Handelsdünger],_xlfn.AGGREGATE(15,6,(ROW(Liste_Handelsünger[Handelsdünger])-1)/(--(SEARCH(AR$2,Liste_Handelsünger[Handelsdünger])&gt;0)),ROW()-2),1),"")</f>
        <v>KaPhos</v>
      </c>
      <c r="AR232" t="str">
        <f>IF(($A236=""),"",IF(COUNTIF(Mineral!$AJ$3:$AJ$324,$A236),"",$A236))</f>
        <v/>
      </c>
      <c r="AS232" t="str">
        <f>IFERROR(INDEX(Liste_Handelsünger[Handelsdünger],_xlfn.AGGREGATE(15,6,(ROW(Liste_Handelsünger[Handelsdünger])-1)/(--(SEARCH(AT$2,Liste_Handelsünger[Handelsdünger])&gt;0)),ROW()-2),1),"")</f>
        <v>KaPhos</v>
      </c>
      <c r="AT232" t="str">
        <f>IF(($A237=""),"",IF(COUNTIF(Mineral!$AJ$3:$AJ$324,$A237),"",$A237))</f>
        <v/>
      </c>
      <c r="AU232" t="str">
        <f>IFERROR(INDEX(Liste_Handelsünger[Handelsdünger],_xlfn.AGGREGATE(15,6,(ROW(Liste_Handelsünger[Handelsdünger])-1)/(--(SEARCH(AV$2,Liste_Handelsünger[Handelsdünger])&gt;0)),ROW()-2),1),"")</f>
        <v>KaPhos</v>
      </c>
      <c r="AV232" t="str">
        <f>IF(($A238=""),"",IF(COUNTIF(Mineral!$AJ$3:$AJ$324,$A238),"",$A238))</f>
        <v/>
      </c>
      <c r="AW232" t="str">
        <f>IFERROR(INDEX(Liste_Handelsünger[Handelsdünger],_xlfn.AGGREGATE(15,6,(ROW(Liste_Handelsünger[Handelsdünger])-1)/(--(SEARCH(AX$2,Liste_Handelsünger[Handelsdünger])&gt;0)),ROW()-2),1),"")</f>
        <v>KaPhos</v>
      </c>
      <c r="AX232" t="str">
        <f>IF(($A239=""),"",IF(COUNTIF(Mineral!$AJ$3:$AJ$324,$A239),"",$A239))</f>
        <v/>
      </c>
      <c r="AY232" t="str">
        <f>IFERROR(INDEX(Liste_Handelsünger[Handelsdünger],_xlfn.AGGREGATE(15,6,(ROW(Liste_Handelsünger[Handelsdünger])-1)/(--(SEARCH(AZ$2,Liste_Handelsünger[Handelsdünger])&gt;0)),ROW()-2),1),"")</f>
        <v>KaPhos</v>
      </c>
      <c r="AZ232" t="str">
        <f>IF(($A240=""),"",IF(COUNTIF(Mineral!$AJ$3:$AJ$324,$A240),"",$A240))</f>
        <v/>
      </c>
      <c r="BA232" t="str">
        <f>IFERROR(INDEX(Liste_Handelsünger[Handelsdünger],_xlfn.AGGREGATE(15,6,(ROW(Liste_Handelsünger[Handelsdünger])-1)/(--(SEARCH(BB$2,Liste_Handelsünger[Handelsdünger])&gt;0)),ROW()-2),1),"")</f>
        <v>KaPhos</v>
      </c>
      <c r="BB232" t="str">
        <f>IF(($A241=""),"",IF(COUNTIF(Mineral!$AJ$3:$AJ$324,$A241),"",$A241))</f>
        <v/>
      </c>
      <c r="BC232" t="str">
        <f>IFERROR(INDEX(Liste_Handelsünger[Handelsdünger],_xlfn.AGGREGATE(15,6,(ROW(Liste_Handelsünger[Handelsdünger])-1)/(--(SEARCH(BD$2,Liste_Handelsünger[Handelsdünger])&gt;0)),ROW()-2),1),"")</f>
        <v>KaPhos</v>
      </c>
      <c r="BD232" t="str">
        <f>IF(($A242=""),"",IF(COUNTIF(Mineral!$AJ$3:$AJ$324,$A242),"",$A242))</f>
        <v/>
      </c>
      <c r="BE232" t="str">
        <f>IFERROR(INDEX(Liste_Handelsünger[Handelsdünger],_xlfn.AGGREGATE(15,6,(ROW(Liste_Handelsünger[Handelsdünger])-1)/(--(SEARCH(BF$2,Liste_Handelsünger[Handelsdünger])&gt;0)),ROW()-2),1),"")</f>
        <v>KaPhos</v>
      </c>
      <c r="BF232" t="str">
        <f>IF(($A243=""),"",IF(COUNTIF(Mineral!$AJ$3:$AJ$324,$A243),"",$A243))</f>
        <v/>
      </c>
      <c r="BG232" t="str">
        <f>IFERROR(INDEX(Liste_Handelsünger[Handelsdünger],_xlfn.AGGREGATE(15,6,(ROW(Liste_Handelsünger[Handelsdünger])-1)/(--(SEARCH(BH$2,Liste_Handelsünger[Handelsdünger])&gt;0)),ROW()-2),1),"")</f>
        <v>KaPhos</v>
      </c>
      <c r="BH232" t="str">
        <f>IF(($A244=""),"",IF(COUNTIF(Mineral!$AJ$3:$AJ$324,$A244),"",$A244))</f>
        <v/>
      </c>
      <c r="BI232" t="str">
        <f>IFERROR(INDEX(Liste_Handelsünger[Handelsdünger],_xlfn.AGGREGATE(15,6,(ROW(Liste_Handelsünger[Handelsdünger])-1)/(--(SEARCH(BJ$2,Liste_Handelsünger[Handelsdünger])&gt;0)),ROW()-2),1),"")</f>
        <v>KaPhos</v>
      </c>
      <c r="BJ232" t="str">
        <f>IF(($A245=""),"",IF(COUNTIF(Mineral!$AJ$3:$AJ$324,$A245),"",$A245))</f>
        <v/>
      </c>
      <c r="BK232" t="str">
        <f>IFERROR(INDEX(Liste_Handelsünger[Handelsdünger],_xlfn.AGGREGATE(15,6,(ROW(Liste_Handelsünger[Handelsdünger])-1)/(--(SEARCH(BL$2,Liste_Handelsünger[Handelsdünger])&gt;0)),ROW()-2),1),"")</f>
        <v>KaPhos</v>
      </c>
      <c r="BM232" t="str">
        <f>IFERROR(INDEX(Liste_Handelsünger[Handelsdünger],_xlfn.AGGREGATE(15,6,(ROW(Liste_Handelsünger[Handelsdünger])-1)/(--(SEARCH(BN$2,Liste_Handelsünger[Handelsdünger])&gt;0)),ROW()-2),1),"")</f>
        <v>KaPhos</v>
      </c>
      <c r="BN232" t="str">
        <f>IF(($A247=""),"",IF(COUNTIF(Mineral!$AJ$3:$AJ$324,$A247),"",$A247))</f>
        <v/>
      </c>
      <c r="BV232" t="s">
        <v>2177</v>
      </c>
      <c r="BW232" t="s">
        <v>2100</v>
      </c>
      <c r="BZ232" s="1602"/>
      <c r="CA232" s="1602"/>
      <c r="CB232" s="1602"/>
    </row>
    <row r="233" spans="19:80" ht="14.25" thickTop="1" thickBot="1">
      <c r="S233" s="1616">
        <v>232</v>
      </c>
      <c r="T233" s="1617" t="s">
        <v>2006</v>
      </c>
      <c r="U233" s="1617" t="s">
        <v>2178</v>
      </c>
      <c r="V233" s="1617" t="s">
        <v>408</v>
      </c>
      <c r="W233" s="1617">
        <v>0</v>
      </c>
      <c r="X233" s="1617">
        <v>0</v>
      </c>
      <c r="Y233" s="1617">
        <v>0</v>
      </c>
      <c r="Z233" s="1617">
        <v>0</v>
      </c>
      <c r="AA233" s="1617">
        <v>52.300000000000004</v>
      </c>
      <c r="AB233" s="1617">
        <v>0.8</v>
      </c>
      <c r="AC233" s="1617">
        <v>1</v>
      </c>
      <c r="AD233" s="1613">
        <v>1</v>
      </c>
      <c r="AE233" s="1617" t="s">
        <v>1764</v>
      </c>
      <c r="AF233" s="1613" t="str">
        <f t="shared" si="19"/>
        <v/>
      </c>
      <c r="AG233" s="1656">
        <f>IFERROR(IF($AF233&gt;0,VLOOKUP($U233,Tabelle1!$C$188:$L$212,5,0)*$AF233,0),0)</f>
        <v>0</v>
      </c>
      <c r="AH233" s="1656">
        <f t="shared" si="20"/>
        <v>0</v>
      </c>
      <c r="AJ233" t="str">
        <f>IF(Betrieb!$D$9="JA",Mineral!$BW233,Mineral!$BV233)</f>
        <v>KM 8000</v>
      </c>
      <c r="AK233" s="1672" t="str">
        <f>IFERROR(INDEX(Liste_Handelsünger[Handelsdünger],_xlfn.AGGREGATE(15,6,(ROW(Liste_Handelsünger[Handelsdünger])-1)/(--(SEARCH(AL$2,Liste_Handelsünger[Handelsdünger])&gt;0)),ROW()-2),1),"")</f>
        <v>KM 8000</v>
      </c>
      <c r="AL233" s="1672" t="str">
        <f>IF(($A$3=""),"",IF(COUNTIF(Mineral!$AJ$3:$AJ$324,$A$3),"",$A$3))</f>
        <v/>
      </c>
      <c r="AM233" s="1672" t="str">
        <f>IFERROR(INDEX(Liste_Handelsünger[Handelsdünger],_xlfn.AGGREGATE(15,6,(ROW(Liste_Handelsünger[Handelsdünger])-1)/(--(SEARCH(AN$2,Liste_Handelsünger[Handelsdünger])&gt;0)),ROW()-2),1),"")</f>
        <v>KM 8000</v>
      </c>
      <c r="AN233" t="str">
        <f>IF(($A235=""),"",IF(COUNTIF(Mineral!$AJ$3:$AJ$324,$A235),"",$A235))</f>
        <v/>
      </c>
      <c r="AO233" t="str">
        <f>IFERROR(INDEX(Liste_Handelsünger[Handelsdünger],_xlfn.AGGREGATE(15,6,(ROW(Liste_Handelsünger[Handelsdünger])-1)/(--(SEARCH(AP$2,Liste_Handelsünger[Handelsdünger])&gt;0)),ROW()-2),1),"")</f>
        <v>KM 8000</v>
      </c>
      <c r="AP233" t="str">
        <f>IF(($A236=""),"",IF(COUNTIF(Mineral!$AJ$3:$AJ$324,$A236),"",$A236))</f>
        <v/>
      </c>
      <c r="AQ233" t="str">
        <f>IFERROR(INDEX(Liste_Handelsünger[Handelsdünger],_xlfn.AGGREGATE(15,6,(ROW(Liste_Handelsünger[Handelsdünger])-1)/(--(SEARCH(AR$2,Liste_Handelsünger[Handelsdünger])&gt;0)),ROW()-2),1),"")</f>
        <v>KM 8000</v>
      </c>
      <c r="AR233" t="str">
        <f>IF(($A237=""),"",IF(COUNTIF(Mineral!$AJ$3:$AJ$324,$A237),"",$A237))</f>
        <v/>
      </c>
      <c r="AS233" t="str">
        <f>IFERROR(INDEX(Liste_Handelsünger[Handelsdünger],_xlfn.AGGREGATE(15,6,(ROW(Liste_Handelsünger[Handelsdünger])-1)/(--(SEARCH(AT$2,Liste_Handelsünger[Handelsdünger])&gt;0)),ROW()-2),1),"")</f>
        <v>KM 8000</v>
      </c>
      <c r="AT233" t="str">
        <f>IF(($A238=""),"",IF(COUNTIF(Mineral!$AJ$3:$AJ$324,$A238),"",$A238))</f>
        <v/>
      </c>
      <c r="AU233" t="str">
        <f>IFERROR(INDEX(Liste_Handelsünger[Handelsdünger],_xlfn.AGGREGATE(15,6,(ROW(Liste_Handelsünger[Handelsdünger])-1)/(--(SEARCH(AV$2,Liste_Handelsünger[Handelsdünger])&gt;0)),ROW()-2),1),"")</f>
        <v>KM 8000</v>
      </c>
      <c r="AV233" t="str">
        <f>IF(($A239=""),"",IF(COUNTIF(Mineral!$AJ$3:$AJ$324,$A239),"",$A239))</f>
        <v/>
      </c>
      <c r="AW233" t="str">
        <f>IFERROR(INDEX(Liste_Handelsünger[Handelsdünger],_xlfn.AGGREGATE(15,6,(ROW(Liste_Handelsünger[Handelsdünger])-1)/(--(SEARCH(AX$2,Liste_Handelsünger[Handelsdünger])&gt;0)),ROW()-2),1),"")</f>
        <v>KM 8000</v>
      </c>
      <c r="AX233" t="str">
        <f>IF(($A240=""),"",IF(COUNTIF(Mineral!$AJ$3:$AJ$324,$A240),"",$A240))</f>
        <v/>
      </c>
      <c r="AY233" t="str">
        <f>IFERROR(INDEX(Liste_Handelsünger[Handelsdünger],_xlfn.AGGREGATE(15,6,(ROW(Liste_Handelsünger[Handelsdünger])-1)/(--(SEARCH(AZ$2,Liste_Handelsünger[Handelsdünger])&gt;0)),ROW()-2),1),"")</f>
        <v>KM 8000</v>
      </c>
      <c r="AZ233" t="str">
        <f>IF(($A241=""),"",IF(COUNTIF(Mineral!$AJ$3:$AJ$324,$A241),"",$A241))</f>
        <v/>
      </c>
      <c r="BA233" t="str">
        <f>IFERROR(INDEX(Liste_Handelsünger[Handelsdünger],_xlfn.AGGREGATE(15,6,(ROW(Liste_Handelsünger[Handelsdünger])-1)/(--(SEARCH(BB$2,Liste_Handelsünger[Handelsdünger])&gt;0)),ROW()-2),1),"")</f>
        <v>KM 8000</v>
      </c>
      <c r="BB233" t="str">
        <f>IF(($A242=""),"",IF(COUNTIF(Mineral!$AJ$3:$AJ$324,$A242),"",$A242))</f>
        <v/>
      </c>
      <c r="BC233" t="str">
        <f>IFERROR(INDEX(Liste_Handelsünger[Handelsdünger],_xlfn.AGGREGATE(15,6,(ROW(Liste_Handelsünger[Handelsdünger])-1)/(--(SEARCH(BD$2,Liste_Handelsünger[Handelsdünger])&gt;0)),ROW()-2),1),"")</f>
        <v>KM 8000</v>
      </c>
      <c r="BD233" t="str">
        <f>IF(($A243=""),"",IF(COUNTIF(Mineral!$AJ$3:$AJ$324,$A243),"",$A243))</f>
        <v/>
      </c>
      <c r="BE233" t="str">
        <f>IFERROR(INDEX(Liste_Handelsünger[Handelsdünger],_xlfn.AGGREGATE(15,6,(ROW(Liste_Handelsünger[Handelsdünger])-1)/(--(SEARCH(BF$2,Liste_Handelsünger[Handelsdünger])&gt;0)),ROW()-2),1),"")</f>
        <v>KM 8000</v>
      </c>
      <c r="BF233" t="str">
        <f>IF(($A244=""),"",IF(COUNTIF(Mineral!$AJ$3:$AJ$324,$A244),"",$A244))</f>
        <v/>
      </c>
      <c r="BG233" t="str">
        <f>IFERROR(INDEX(Liste_Handelsünger[Handelsdünger],_xlfn.AGGREGATE(15,6,(ROW(Liste_Handelsünger[Handelsdünger])-1)/(--(SEARCH(BH$2,Liste_Handelsünger[Handelsdünger])&gt;0)),ROW()-2),1),"")</f>
        <v>KM 8000</v>
      </c>
      <c r="BH233" t="str">
        <f>IF(($A245=""),"",IF(COUNTIF(Mineral!$AJ$3:$AJ$324,$A245),"",$A245))</f>
        <v/>
      </c>
      <c r="BI233" t="str">
        <f>IFERROR(INDEX(Liste_Handelsünger[Handelsdünger],_xlfn.AGGREGATE(15,6,(ROW(Liste_Handelsünger[Handelsdünger])-1)/(--(SEARCH(BJ$2,Liste_Handelsünger[Handelsdünger])&gt;0)),ROW()-2),1),"")</f>
        <v>KM 8000</v>
      </c>
      <c r="BJ233" t="str">
        <f>IF(($A246=""),"",IF(COUNTIF(Mineral!$AJ$3:$AJ$324,$A246),"",$A246))</f>
        <v/>
      </c>
      <c r="BK233" t="str">
        <f>IFERROR(INDEX(Liste_Handelsünger[Handelsdünger],_xlfn.AGGREGATE(15,6,(ROW(Liste_Handelsünger[Handelsdünger])-1)/(--(SEARCH(BL$2,Liste_Handelsünger[Handelsdünger])&gt;0)),ROW()-2),1),"")</f>
        <v>KM 8000</v>
      </c>
      <c r="BM233" t="str">
        <f>IFERROR(INDEX(Liste_Handelsünger[Handelsdünger],_xlfn.AGGREGATE(15,6,(ROW(Liste_Handelsünger[Handelsdünger])-1)/(--(SEARCH(BN$2,Liste_Handelsünger[Handelsdünger])&gt;0)),ROW()-2),1),"")</f>
        <v>KM 8000</v>
      </c>
      <c r="BN233" t="str">
        <f>IF(($A248=""),"",IF(COUNTIF(Mineral!$AJ$3:$AJ$324,$A248),"",$A248))</f>
        <v/>
      </c>
      <c r="BV233" t="s">
        <v>2178</v>
      </c>
      <c r="BW233" t="s">
        <v>2102</v>
      </c>
      <c r="BZ233" s="1602"/>
      <c r="CA233" s="1602"/>
      <c r="CB233" s="1602"/>
    </row>
    <row r="234" spans="19:80" ht="14.25" thickTop="1" thickBot="1">
      <c r="S234" s="1676">
        <v>233</v>
      </c>
      <c r="T234" s="1606" t="s">
        <v>2006</v>
      </c>
      <c r="U234" s="1606" t="s">
        <v>2179</v>
      </c>
      <c r="V234" s="1606" t="s">
        <v>408</v>
      </c>
      <c r="W234" s="1606">
        <v>0</v>
      </c>
      <c r="X234" s="1606">
        <v>0</v>
      </c>
      <c r="Y234" s="1606">
        <v>0</v>
      </c>
      <c r="Z234" s="1606">
        <v>0</v>
      </c>
      <c r="AA234" s="1606">
        <v>54</v>
      </c>
      <c r="AB234" s="1606">
        <v>0</v>
      </c>
      <c r="AC234" s="1606">
        <v>1</v>
      </c>
      <c r="AD234" s="1613">
        <v>1</v>
      </c>
      <c r="AE234" s="1606" t="s">
        <v>1764</v>
      </c>
      <c r="AF234" s="1613" t="str">
        <f t="shared" si="19"/>
        <v/>
      </c>
      <c r="AG234" s="1656">
        <f>IFERROR(IF($AF234&gt;0,VLOOKUP($U234,Tabelle1!$C$188:$L$212,5,0)*$AF234,0),0)</f>
        <v>0</v>
      </c>
      <c r="AH234" s="1656">
        <f t="shared" si="20"/>
        <v>0</v>
      </c>
      <c r="AJ234" t="str">
        <f>IF(Betrieb!$D$9="JA",Mineral!$BW234,Mineral!$BV234)</f>
        <v>Kohlensaurer Kalk</v>
      </c>
      <c r="AK234" s="1672" t="str">
        <f>IFERROR(INDEX(Liste_Handelsünger[Handelsdünger],_xlfn.AGGREGATE(15,6,(ROW(Liste_Handelsünger[Handelsdünger])-1)/(--(SEARCH(AL$2,Liste_Handelsünger[Handelsdünger])&gt;0)),ROW()-2),1),"")</f>
        <v>Kohlensaurer Kalk</v>
      </c>
      <c r="AL234" s="1672" t="str">
        <f>IF(($A$3=""),"",IF(COUNTIF(Mineral!$AJ$3:$AJ$324,$A$3),"",$A$3))</f>
        <v/>
      </c>
      <c r="AM234" s="1672" t="str">
        <f>IFERROR(INDEX(Liste_Handelsünger[Handelsdünger],_xlfn.AGGREGATE(15,6,(ROW(Liste_Handelsünger[Handelsdünger])-1)/(--(SEARCH(AN$2,Liste_Handelsünger[Handelsdünger])&gt;0)),ROW()-2),1),"")</f>
        <v>Kohlensaurer Kalk</v>
      </c>
      <c r="AN234" t="str">
        <f>IF(($A236=""),"",IF(COUNTIF(Mineral!$AJ$3:$AJ$324,$A236),"",$A236))</f>
        <v/>
      </c>
      <c r="AO234" t="str">
        <f>IFERROR(INDEX(Liste_Handelsünger[Handelsdünger],_xlfn.AGGREGATE(15,6,(ROW(Liste_Handelsünger[Handelsdünger])-1)/(--(SEARCH(AP$2,Liste_Handelsünger[Handelsdünger])&gt;0)),ROW()-2),1),"")</f>
        <v>Kohlensaurer Kalk</v>
      </c>
      <c r="AP234" t="str">
        <f>IF(($A237=""),"",IF(COUNTIF(Mineral!$AJ$3:$AJ$324,$A237),"",$A237))</f>
        <v/>
      </c>
      <c r="AQ234" t="str">
        <f>IFERROR(INDEX(Liste_Handelsünger[Handelsdünger],_xlfn.AGGREGATE(15,6,(ROW(Liste_Handelsünger[Handelsdünger])-1)/(--(SEARCH(AR$2,Liste_Handelsünger[Handelsdünger])&gt;0)),ROW()-2),1),"")</f>
        <v>Kohlensaurer Kalk</v>
      </c>
      <c r="AR234" t="str">
        <f>IF(($A238=""),"",IF(COUNTIF(Mineral!$AJ$3:$AJ$324,$A238),"",$A238))</f>
        <v/>
      </c>
      <c r="AS234" t="str">
        <f>IFERROR(INDEX(Liste_Handelsünger[Handelsdünger],_xlfn.AGGREGATE(15,6,(ROW(Liste_Handelsünger[Handelsdünger])-1)/(--(SEARCH(AT$2,Liste_Handelsünger[Handelsdünger])&gt;0)),ROW()-2),1),"")</f>
        <v>Kohlensaurer Kalk</v>
      </c>
      <c r="AT234" t="str">
        <f>IF(($A239=""),"",IF(COUNTIF(Mineral!$AJ$3:$AJ$324,$A239),"",$A239))</f>
        <v/>
      </c>
      <c r="AU234" t="str">
        <f>IFERROR(INDEX(Liste_Handelsünger[Handelsdünger],_xlfn.AGGREGATE(15,6,(ROW(Liste_Handelsünger[Handelsdünger])-1)/(--(SEARCH(AV$2,Liste_Handelsünger[Handelsdünger])&gt;0)),ROW()-2),1),"")</f>
        <v>Kohlensaurer Kalk</v>
      </c>
      <c r="AV234" t="str">
        <f>IF(($A240=""),"",IF(COUNTIF(Mineral!$AJ$3:$AJ$324,$A240),"",$A240))</f>
        <v/>
      </c>
      <c r="AW234" t="str">
        <f>IFERROR(INDEX(Liste_Handelsünger[Handelsdünger],_xlfn.AGGREGATE(15,6,(ROW(Liste_Handelsünger[Handelsdünger])-1)/(--(SEARCH(AX$2,Liste_Handelsünger[Handelsdünger])&gt;0)),ROW()-2),1),"")</f>
        <v>Kohlensaurer Kalk</v>
      </c>
      <c r="AX234" t="str">
        <f>IF(($A241=""),"",IF(COUNTIF(Mineral!$AJ$3:$AJ$324,$A241),"",$A241))</f>
        <v/>
      </c>
      <c r="AY234" t="str">
        <f>IFERROR(INDEX(Liste_Handelsünger[Handelsdünger],_xlfn.AGGREGATE(15,6,(ROW(Liste_Handelsünger[Handelsdünger])-1)/(--(SEARCH(AZ$2,Liste_Handelsünger[Handelsdünger])&gt;0)),ROW()-2),1),"")</f>
        <v>Kohlensaurer Kalk</v>
      </c>
      <c r="AZ234" t="str">
        <f>IF(($A242=""),"",IF(COUNTIF(Mineral!$AJ$3:$AJ$324,$A242),"",$A242))</f>
        <v/>
      </c>
      <c r="BA234" t="str">
        <f>IFERROR(INDEX(Liste_Handelsünger[Handelsdünger],_xlfn.AGGREGATE(15,6,(ROW(Liste_Handelsünger[Handelsdünger])-1)/(--(SEARCH(BB$2,Liste_Handelsünger[Handelsdünger])&gt;0)),ROW()-2),1),"")</f>
        <v>Kohlensaurer Kalk</v>
      </c>
      <c r="BB234" t="str">
        <f>IF(($A243=""),"",IF(COUNTIF(Mineral!$AJ$3:$AJ$324,$A243),"",$A243))</f>
        <v/>
      </c>
      <c r="BC234" t="str">
        <f>IFERROR(INDEX(Liste_Handelsünger[Handelsdünger],_xlfn.AGGREGATE(15,6,(ROW(Liste_Handelsünger[Handelsdünger])-1)/(--(SEARCH(BD$2,Liste_Handelsünger[Handelsdünger])&gt;0)),ROW()-2),1),"")</f>
        <v>Kohlensaurer Kalk</v>
      </c>
      <c r="BD234" t="str">
        <f>IF(($A244=""),"",IF(COUNTIF(Mineral!$AJ$3:$AJ$324,$A244),"",$A244))</f>
        <v/>
      </c>
      <c r="BE234" t="str">
        <f>IFERROR(INDEX(Liste_Handelsünger[Handelsdünger],_xlfn.AGGREGATE(15,6,(ROW(Liste_Handelsünger[Handelsdünger])-1)/(--(SEARCH(BF$2,Liste_Handelsünger[Handelsdünger])&gt;0)),ROW()-2),1),"")</f>
        <v>Kohlensaurer Kalk</v>
      </c>
      <c r="BF234" t="str">
        <f>IF(($A245=""),"",IF(COUNTIF(Mineral!$AJ$3:$AJ$324,$A245),"",$A245))</f>
        <v/>
      </c>
      <c r="BG234" t="str">
        <f>IFERROR(INDEX(Liste_Handelsünger[Handelsdünger],_xlfn.AGGREGATE(15,6,(ROW(Liste_Handelsünger[Handelsdünger])-1)/(--(SEARCH(BH$2,Liste_Handelsünger[Handelsdünger])&gt;0)),ROW()-2),1),"")</f>
        <v>Kohlensaurer Kalk</v>
      </c>
      <c r="BH234" t="str">
        <f>IF(($A246=""),"",IF(COUNTIF(Mineral!$AJ$3:$AJ$324,$A246),"",$A246))</f>
        <v/>
      </c>
      <c r="BI234" t="str">
        <f>IFERROR(INDEX(Liste_Handelsünger[Handelsdünger],_xlfn.AGGREGATE(15,6,(ROW(Liste_Handelsünger[Handelsdünger])-1)/(--(SEARCH(BJ$2,Liste_Handelsünger[Handelsdünger])&gt;0)),ROW()-2),1),"")</f>
        <v>Kohlensaurer Kalk</v>
      </c>
      <c r="BJ234" t="str">
        <f>IF(($A247=""),"",IF(COUNTIF(Mineral!$AJ$3:$AJ$324,$A247),"",$A247))</f>
        <v/>
      </c>
      <c r="BK234" t="str">
        <f>IFERROR(INDEX(Liste_Handelsünger[Handelsdünger],_xlfn.AGGREGATE(15,6,(ROW(Liste_Handelsünger[Handelsdünger])-1)/(--(SEARCH(BL$2,Liste_Handelsünger[Handelsdünger])&gt;0)),ROW()-2),1),"")</f>
        <v>Kohlensaurer Kalk</v>
      </c>
      <c r="BM234" t="str">
        <f>IFERROR(INDEX(Liste_Handelsünger[Handelsdünger],_xlfn.AGGREGATE(15,6,(ROW(Liste_Handelsünger[Handelsdünger])-1)/(--(SEARCH(BN$2,Liste_Handelsünger[Handelsdünger])&gt;0)),ROW()-2),1),"")</f>
        <v>Kohlensaurer Kalk</v>
      </c>
      <c r="BN234" t="str">
        <f>IF(($A249=""),"",IF(COUNTIF(Mineral!$AJ$3:$AJ$324,$A249),"",$A249))</f>
        <v/>
      </c>
      <c r="BV234" t="s">
        <v>2179</v>
      </c>
      <c r="BW234" t="s">
        <v>2103</v>
      </c>
      <c r="BZ234" s="1602"/>
      <c r="CA234" s="1602"/>
      <c r="CB234" s="1602"/>
    </row>
    <row r="235" spans="19:80" ht="14.25" thickTop="1" thickBot="1">
      <c r="S235" s="1616">
        <v>234</v>
      </c>
      <c r="T235" s="1617" t="s">
        <v>2006</v>
      </c>
      <c r="U235" s="1617" t="s">
        <v>2180</v>
      </c>
      <c r="V235" s="1617" t="s">
        <v>408</v>
      </c>
      <c r="W235" s="1617">
        <v>0</v>
      </c>
      <c r="X235" s="1617">
        <v>0</v>
      </c>
      <c r="Y235" s="1617">
        <v>0</v>
      </c>
      <c r="Z235" s="1617">
        <v>0</v>
      </c>
      <c r="AA235" s="1617">
        <v>53</v>
      </c>
      <c r="AB235" s="1617">
        <v>14</v>
      </c>
      <c r="AC235" s="1617">
        <v>1</v>
      </c>
      <c r="AD235" s="1613">
        <v>1</v>
      </c>
      <c r="AE235" s="1617" t="s">
        <v>1764</v>
      </c>
      <c r="AF235" s="1613" t="str">
        <f t="shared" si="19"/>
        <v/>
      </c>
      <c r="AG235" s="1656">
        <f>IFERROR(IF($AF235&gt;0,VLOOKUP($U235,Tabelle1!$C$188:$L$212,5,0)*$AF235,0),0)</f>
        <v>0</v>
      </c>
      <c r="AH235" s="1656">
        <f t="shared" si="20"/>
        <v>0</v>
      </c>
      <c r="AJ235" t="str">
        <f>IF(Betrieb!$D$9="JA",Mineral!$BW235,Mineral!$BV235)</f>
        <v>Kohlensaurer Magnesiumkalk</v>
      </c>
      <c r="AK235" s="1672" t="str">
        <f>IFERROR(INDEX(Liste_Handelsünger[Handelsdünger],_xlfn.AGGREGATE(15,6,(ROW(Liste_Handelsünger[Handelsdünger])-1)/(--(SEARCH(AL$2,Liste_Handelsünger[Handelsdünger])&gt;0)),ROW()-2),1),"")</f>
        <v>Kohlensaurer Magnesiumkalk</v>
      </c>
      <c r="AL235" s="1672" t="str">
        <f>IF(($A$3=""),"",IF(COUNTIF(Mineral!$AJ$3:$AJ$324,$A$3),"",$A$3))</f>
        <v/>
      </c>
      <c r="AM235" s="1672" t="str">
        <f>IFERROR(INDEX(Liste_Handelsünger[Handelsdünger],_xlfn.AGGREGATE(15,6,(ROW(Liste_Handelsünger[Handelsdünger])-1)/(--(SEARCH(AN$2,Liste_Handelsünger[Handelsdünger])&gt;0)),ROW()-2),1),"")</f>
        <v>Kohlensaurer Magnesiumkalk</v>
      </c>
      <c r="AN235" t="str">
        <f>IF(($A237=""),"",IF(COUNTIF(Mineral!$AJ$3:$AJ$324,$A237),"",$A237))</f>
        <v/>
      </c>
      <c r="AO235" t="str">
        <f>IFERROR(INDEX(Liste_Handelsünger[Handelsdünger],_xlfn.AGGREGATE(15,6,(ROW(Liste_Handelsünger[Handelsdünger])-1)/(--(SEARCH(AP$2,Liste_Handelsünger[Handelsdünger])&gt;0)),ROW()-2),1),"")</f>
        <v>Kohlensaurer Magnesiumkalk</v>
      </c>
      <c r="AP235" t="str">
        <f>IF(($A238=""),"",IF(COUNTIF(Mineral!$AJ$3:$AJ$324,$A238),"",$A238))</f>
        <v/>
      </c>
      <c r="AQ235" t="str">
        <f>IFERROR(INDEX(Liste_Handelsünger[Handelsdünger],_xlfn.AGGREGATE(15,6,(ROW(Liste_Handelsünger[Handelsdünger])-1)/(--(SEARCH(AR$2,Liste_Handelsünger[Handelsdünger])&gt;0)),ROW()-2),1),"")</f>
        <v>Kohlensaurer Magnesiumkalk</v>
      </c>
      <c r="AR235" t="str">
        <f>IF(($A239=""),"",IF(COUNTIF(Mineral!$AJ$3:$AJ$324,$A239),"",$A239))</f>
        <v/>
      </c>
      <c r="AS235" t="str">
        <f>IFERROR(INDEX(Liste_Handelsünger[Handelsdünger],_xlfn.AGGREGATE(15,6,(ROW(Liste_Handelsünger[Handelsdünger])-1)/(--(SEARCH(AT$2,Liste_Handelsünger[Handelsdünger])&gt;0)),ROW()-2),1),"")</f>
        <v>Kohlensaurer Magnesiumkalk</v>
      </c>
      <c r="AT235" t="str">
        <f>IF(($A240=""),"",IF(COUNTIF(Mineral!$AJ$3:$AJ$324,$A240),"",$A240))</f>
        <v/>
      </c>
      <c r="AU235" t="str">
        <f>IFERROR(INDEX(Liste_Handelsünger[Handelsdünger],_xlfn.AGGREGATE(15,6,(ROW(Liste_Handelsünger[Handelsdünger])-1)/(--(SEARCH(AV$2,Liste_Handelsünger[Handelsdünger])&gt;0)),ROW()-2),1),"")</f>
        <v>Kohlensaurer Magnesiumkalk</v>
      </c>
      <c r="AV235" t="str">
        <f>IF(($A241=""),"",IF(COUNTIF(Mineral!$AJ$3:$AJ$324,$A241),"",$A241))</f>
        <v/>
      </c>
      <c r="AW235" t="str">
        <f>IFERROR(INDEX(Liste_Handelsünger[Handelsdünger],_xlfn.AGGREGATE(15,6,(ROW(Liste_Handelsünger[Handelsdünger])-1)/(--(SEARCH(AX$2,Liste_Handelsünger[Handelsdünger])&gt;0)),ROW()-2),1),"")</f>
        <v>Kohlensaurer Magnesiumkalk</v>
      </c>
      <c r="AX235" t="str">
        <f>IF(($A242=""),"",IF(COUNTIF(Mineral!$AJ$3:$AJ$324,$A242),"",$A242))</f>
        <v/>
      </c>
      <c r="AY235" t="str">
        <f>IFERROR(INDEX(Liste_Handelsünger[Handelsdünger],_xlfn.AGGREGATE(15,6,(ROW(Liste_Handelsünger[Handelsdünger])-1)/(--(SEARCH(AZ$2,Liste_Handelsünger[Handelsdünger])&gt;0)),ROW()-2),1),"")</f>
        <v>Kohlensaurer Magnesiumkalk</v>
      </c>
      <c r="AZ235" t="str">
        <f>IF(($A243=""),"",IF(COUNTIF(Mineral!$AJ$3:$AJ$324,$A243),"",$A243))</f>
        <v/>
      </c>
      <c r="BA235" t="str">
        <f>IFERROR(INDEX(Liste_Handelsünger[Handelsdünger],_xlfn.AGGREGATE(15,6,(ROW(Liste_Handelsünger[Handelsdünger])-1)/(--(SEARCH(BB$2,Liste_Handelsünger[Handelsdünger])&gt;0)),ROW()-2),1),"")</f>
        <v>Kohlensaurer Magnesiumkalk</v>
      </c>
      <c r="BB235" t="str">
        <f>IF(($A244=""),"",IF(COUNTIF(Mineral!$AJ$3:$AJ$324,$A244),"",$A244))</f>
        <v/>
      </c>
      <c r="BC235" t="str">
        <f>IFERROR(INDEX(Liste_Handelsünger[Handelsdünger],_xlfn.AGGREGATE(15,6,(ROW(Liste_Handelsünger[Handelsdünger])-1)/(--(SEARCH(BD$2,Liste_Handelsünger[Handelsdünger])&gt;0)),ROW()-2),1),"")</f>
        <v>Kohlensaurer Magnesiumkalk</v>
      </c>
      <c r="BD235" t="str">
        <f>IF(($A245=""),"",IF(COUNTIF(Mineral!$AJ$3:$AJ$324,$A245),"",$A245))</f>
        <v/>
      </c>
      <c r="BE235" t="str">
        <f>IFERROR(INDEX(Liste_Handelsünger[Handelsdünger],_xlfn.AGGREGATE(15,6,(ROW(Liste_Handelsünger[Handelsdünger])-1)/(--(SEARCH(BF$2,Liste_Handelsünger[Handelsdünger])&gt;0)),ROW()-2),1),"")</f>
        <v>Kohlensaurer Magnesiumkalk</v>
      </c>
      <c r="BF235" t="str">
        <f>IF(($A246=""),"",IF(COUNTIF(Mineral!$AJ$3:$AJ$324,$A246),"",$A246))</f>
        <v/>
      </c>
      <c r="BG235" t="str">
        <f>IFERROR(INDEX(Liste_Handelsünger[Handelsdünger],_xlfn.AGGREGATE(15,6,(ROW(Liste_Handelsünger[Handelsdünger])-1)/(--(SEARCH(BH$2,Liste_Handelsünger[Handelsdünger])&gt;0)),ROW()-2),1),"")</f>
        <v>Kohlensaurer Magnesiumkalk</v>
      </c>
      <c r="BH235" t="str">
        <f>IF(($A247=""),"",IF(COUNTIF(Mineral!$AJ$3:$AJ$324,$A247),"",$A247))</f>
        <v/>
      </c>
      <c r="BI235" t="str">
        <f>IFERROR(INDEX(Liste_Handelsünger[Handelsdünger],_xlfn.AGGREGATE(15,6,(ROW(Liste_Handelsünger[Handelsdünger])-1)/(--(SEARCH(BJ$2,Liste_Handelsünger[Handelsdünger])&gt;0)),ROW()-2),1),"")</f>
        <v>Kohlensaurer Magnesiumkalk</v>
      </c>
      <c r="BJ235" t="str">
        <f>IF(($A248=""),"",IF(COUNTIF(Mineral!$AJ$3:$AJ$324,$A248),"",$A248))</f>
        <v/>
      </c>
      <c r="BK235" t="str">
        <f>IFERROR(INDEX(Liste_Handelsünger[Handelsdünger],_xlfn.AGGREGATE(15,6,(ROW(Liste_Handelsünger[Handelsdünger])-1)/(--(SEARCH(BL$2,Liste_Handelsünger[Handelsdünger])&gt;0)),ROW()-2),1),"")</f>
        <v>Kohlensaurer Magnesiumkalk</v>
      </c>
      <c r="BM235" t="str">
        <f>IFERROR(INDEX(Liste_Handelsünger[Handelsdünger],_xlfn.AGGREGATE(15,6,(ROW(Liste_Handelsünger[Handelsdünger])-1)/(--(SEARCH(BN$2,Liste_Handelsünger[Handelsdünger])&gt;0)),ROW()-2),1),"")</f>
        <v>Kohlensaurer Magnesiumkalk</v>
      </c>
      <c r="BN235" t="str">
        <f>IF(($A250=""),"",IF(COUNTIF(Mineral!$AJ$3:$AJ$324,$A250),"",$A250))</f>
        <v/>
      </c>
      <c r="BV235" t="s">
        <v>2180</v>
      </c>
      <c r="BW235" t="s">
        <v>2104</v>
      </c>
      <c r="BZ235" s="1602"/>
      <c r="CA235" s="1602"/>
      <c r="CB235" s="1602"/>
    </row>
    <row r="236" spans="19:80" ht="14.25" thickTop="1" thickBot="1">
      <c r="S236" s="1676">
        <v>235</v>
      </c>
      <c r="T236" s="1606" t="s">
        <v>2006</v>
      </c>
      <c r="U236" s="1606" t="s">
        <v>2181</v>
      </c>
      <c r="V236" s="1606" t="s">
        <v>408</v>
      </c>
      <c r="W236" s="1606">
        <v>0</v>
      </c>
      <c r="X236" s="1606">
        <v>0</v>
      </c>
      <c r="Y236" s="1606">
        <v>0</v>
      </c>
      <c r="Z236" s="1606">
        <v>2</v>
      </c>
      <c r="AA236" s="1606">
        <v>47</v>
      </c>
      <c r="AB236" s="1606">
        <v>7</v>
      </c>
      <c r="AC236" s="1606">
        <v>1</v>
      </c>
      <c r="AD236" s="1613">
        <v>1</v>
      </c>
      <c r="AE236" s="1606" t="s">
        <v>1764</v>
      </c>
      <c r="AF236" s="1613" t="str">
        <f t="shared" si="19"/>
        <v/>
      </c>
      <c r="AG236" s="1656">
        <f>IFERROR(IF($AF236&gt;0,VLOOKUP($U236,Tabelle1!$C$188:$L$212,5,0)*$AF236,0),0)</f>
        <v>0</v>
      </c>
      <c r="AH236" s="1656">
        <f t="shared" si="20"/>
        <v>0</v>
      </c>
      <c r="AJ236" t="str">
        <f>IF(Betrieb!$D$9="JA",Mineral!$BW236,Mineral!$BV236)</f>
        <v>Kohlensaurer Magnesiumkalk (S)</v>
      </c>
      <c r="AK236" s="1672" t="str">
        <f>IFERROR(INDEX(Liste_Handelsünger[Handelsdünger],_xlfn.AGGREGATE(15,6,(ROW(Liste_Handelsünger[Handelsdünger])-1)/(--(SEARCH(AL$2,Liste_Handelsünger[Handelsdünger])&gt;0)),ROW()-2),1),"")</f>
        <v>Kohlensaurer Magnesiumkalk (S)</v>
      </c>
      <c r="AL236" s="1672" t="str">
        <f>IF(($A$3=""),"",IF(COUNTIF(Mineral!$AJ$3:$AJ$324,$A$3),"",$A$3))</f>
        <v/>
      </c>
      <c r="AM236" s="1672" t="str">
        <f>IFERROR(INDEX(Liste_Handelsünger[Handelsdünger],_xlfn.AGGREGATE(15,6,(ROW(Liste_Handelsünger[Handelsdünger])-1)/(--(SEARCH(AN$2,Liste_Handelsünger[Handelsdünger])&gt;0)),ROW()-2),1),"")</f>
        <v>Kohlensaurer Magnesiumkalk (S)</v>
      </c>
      <c r="AN236" t="str">
        <f>IF(($A238=""),"",IF(COUNTIF(Mineral!$AJ$3:$AJ$324,$A238),"",$A238))</f>
        <v/>
      </c>
      <c r="AO236" t="str">
        <f>IFERROR(INDEX(Liste_Handelsünger[Handelsdünger],_xlfn.AGGREGATE(15,6,(ROW(Liste_Handelsünger[Handelsdünger])-1)/(--(SEARCH(AP$2,Liste_Handelsünger[Handelsdünger])&gt;0)),ROW()-2),1),"")</f>
        <v>Kohlensaurer Magnesiumkalk (S)</v>
      </c>
      <c r="AP236" t="str">
        <f>IF(($A239=""),"",IF(COUNTIF(Mineral!$AJ$3:$AJ$324,$A239),"",$A239))</f>
        <v/>
      </c>
      <c r="AQ236" t="str">
        <f>IFERROR(INDEX(Liste_Handelsünger[Handelsdünger],_xlfn.AGGREGATE(15,6,(ROW(Liste_Handelsünger[Handelsdünger])-1)/(--(SEARCH(AR$2,Liste_Handelsünger[Handelsdünger])&gt;0)),ROW()-2),1),"")</f>
        <v>Kohlensaurer Magnesiumkalk (S)</v>
      </c>
      <c r="AR236" t="str">
        <f>IF(($A240=""),"",IF(COUNTIF(Mineral!$AJ$3:$AJ$324,$A240),"",$A240))</f>
        <v/>
      </c>
      <c r="AS236" t="str">
        <f>IFERROR(INDEX(Liste_Handelsünger[Handelsdünger],_xlfn.AGGREGATE(15,6,(ROW(Liste_Handelsünger[Handelsdünger])-1)/(--(SEARCH(AT$2,Liste_Handelsünger[Handelsdünger])&gt;0)),ROW()-2),1),"")</f>
        <v>Kohlensaurer Magnesiumkalk (S)</v>
      </c>
      <c r="AT236" t="str">
        <f>IF(($A241=""),"",IF(COUNTIF(Mineral!$AJ$3:$AJ$324,$A241),"",$A241))</f>
        <v/>
      </c>
      <c r="AU236" t="str">
        <f>IFERROR(INDEX(Liste_Handelsünger[Handelsdünger],_xlfn.AGGREGATE(15,6,(ROW(Liste_Handelsünger[Handelsdünger])-1)/(--(SEARCH(AV$2,Liste_Handelsünger[Handelsdünger])&gt;0)),ROW()-2),1),"")</f>
        <v>Kohlensaurer Magnesiumkalk (S)</v>
      </c>
      <c r="AV236" t="str">
        <f>IF(($A242=""),"",IF(COUNTIF(Mineral!$AJ$3:$AJ$324,$A242),"",$A242))</f>
        <v/>
      </c>
      <c r="AW236" t="str">
        <f>IFERROR(INDEX(Liste_Handelsünger[Handelsdünger],_xlfn.AGGREGATE(15,6,(ROW(Liste_Handelsünger[Handelsdünger])-1)/(--(SEARCH(AX$2,Liste_Handelsünger[Handelsdünger])&gt;0)),ROW()-2),1),"")</f>
        <v>Kohlensaurer Magnesiumkalk (S)</v>
      </c>
      <c r="AX236" t="str">
        <f>IF(($A243=""),"",IF(COUNTIF(Mineral!$AJ$3:$AJ$324,$A243),"",$A243))</f>
        <v/>
      </c>
      <c r="AY236" t="str">
        <f>IFERROR(INDEX(Liste_Handelsünger[Handelsdünger],_xlfn.AGGREGATE(15,6,(ROW(Liste_Handelsünger[Handelsdünger])-1)/(--(SEARCH(AZ$2,Liste_Handelsünger[Handelsdünger])&gt;0)),ROW()-2),1),"")</f>
        <v>Kohlensaurer Magnesiumkalk (S)</v>
      </c>
      <c r="AZ236" t="str">
        <f>IF(($A244=""),"",IF(COUNTIF(Mineral!$AJ$3:$AJ$324,$A244),"",$A244))</f>
        <v/>
      </c>
      <c r="BA236" t="str">
        <f>IFERROR(INDEX(Liste_Handelsünger[Handelsdünger],_xlfn.AGGREGATE(15,6,(ROW(Liste_Handelsünger[Handelsdünger])-1)/(--(SEARCH(BB$2,Liste_Handelsünger[Handelsdünger])&gt;0)),ROW()-2),1),"")</f>
        <v>Kohlensaurer Magnesiumkalk (S)</v>
      </c>
      <c r="BB236" t="str">
        <f>IF(($A245=""),"",IF(COUNTIF(Mineral!$AJ$3:$AJ$324,$A245),"",$A245))</f>
        <v/>
      </c>
      <c r="BC236" t="str">
        <f>IFERROR(INDEX(Liste_Handelsünger[Handelsdünger],_xlfn.AGGREGATE(15,6,(ROW(Liste_Handelsünger[Handelsdünger])-1)/(--(SEARCH(BD$2,Liste_Handelsünger[Handelsdünger])&gt;0)),ROW()-2),1),"")</f>
        <v>Kohlensaurer Magnesiumkalk (S)</v>
      </c>
      <c r="BD236" t="str">
        <f>IF(($A246=""),"",IF(COUNTIF(Mineral!$AJ$3:$AJ$324,$A246),"",$A246))</f>
        <v/>
      </c>
      <c r="BE236" t="str">
        <f>IFERROR(INDEX(Liste_Handelsünger[Handelsdünger],_xlfn.AGGREGATE(15,6,(ROW(Liste_Handelsünger[Handelsdünger])-1)/(--(SEARCH(BF$2,Liste_Handelsünger[Handelsdünger])&gt;0)),ROW()-2),1),"")</f>
        <v>Kohlensaurer Magnesiumkalk (S)</v>
      </c>
      <c r="BF236" t="str">
        <f>IF(($A247=""),"",IF(COUNTIF(Mineral!$AJ$3:$AJ$324,$A247),"",$A247))</f>
        <v/>
      </c>
      <c r="BG236" t="str">
        <f>IFERROR(INDEX(Liste_Handelsünger[Handelsdünger],_xlfn.AGGREGATE(15,6,(ROW(Liste_Handelsünger[Handelsdünger])-1)/(--(SEARCH(BH$2,Liste_Handelsünger[Handelsdünger])&gt;0)),ROW()-2),1),"")</f>
        <v>Kohlensaurer Magnesiumkalk (S)</v>
      </c>
      <c r="BH236" t="str">
        <f>IF(($A248=""),"",IF(COUNTIF(Mineral!$AJ$3:$AJ$324,$A248),"",$A248))</f>
        <v/>
      </c>
      <c r="BI236" t="str">
        <f>IFERROR(INDEX(Liste_Handelsünger[Handelsdünger],_xlfn.AGGREGATE(15,6,(ROW(Liste_Handelsünger[Handelsdünger])-1)/(--(SEARCH(BJ$2,Liste_Handelsünger[Handelsdünger])&gt;0)),ROW()-2),1),"")</f>
        <v>Kohlensaurer Magnesiumkalk (S)</v>
      </c>
      <c r="BJ236" t="str">
        <f>IF(($A249=""),"",IF(COUNTIF(Mineral!$AJ$3:$AJ$324,$A249),"",$A249))</f>
        <v/>
      </c>
      <c r="BK236" t="str">
        <f>IFERROR(INDEX(Liste_Handelsünger[Handelsdünger],_xlfn.AGGREGATE(15,6,(ROW(Liste_Handelsünger[Handelsdünger])-1)/(--(SEARCH(BL$2,Liste_Handelsünger[Handelsdünger])&gt;0)),ROW()-2),1),"")</f>
        <v>Kohlensaurer Magnesiumkalk (S)</v>
      </c>
      <c r="BM236" t="str">
        <f>IFERROR(INDEX(Liste_Handelsünger[Handelsdünger],_xlfn.AGGREGATE(15,6,(ROW(Liste_Handelsünger[Handelsdünger])-1)/(--(SEARCH(BN$2,Liste_Handelsünger[Handelsdünger])&gt;0)),ROW()-2),1),"")</f>
        <v>Kohlensaurer Magnesiumkalk (S)</v>
      </c>
      <c r="BN236" t="str">
        <f>IF(($A251=""),"",IF(COUNTIF(Mineral!$AJ$3:$AJ$324,$A251),"",$A251))</f>
        <v/>
      </c>
      <c r="BV236" t="s">
        <v>2181</v>
      </c>
      <c r="BW236" t="s">
        <v>2106</v>
      </c>
      <c r="BZ236" s="1602"/>
      <c r="CA236" s="1602"/>
      <c r="CB236" s="1602"/>
    </row>
    <row r="237" spans="19:80" ht="14.25" thickTop="1" thickBot="1">
      <c r="S237" s="1616">
        <v>236</v>
      </c>
      <c r="T237" s="1617" t="s">
        <v>2006</v>
      </c>
      <c r="U237" s="1617" t="s">
        <v>2182</v>
      </c>
      <c r="V237" s="1617" t="s">
        <v>408</v>
      </c>
      <c r="W237" s="1617">
        <v>0</v>
      </c>
      <c r="X237" s="1617">
        <v>0</v>
      </c>
      <c r="Y237" s="1617">
        <v>0</v>
      </c>
      <c r="Z237" s="1617">
        <v>0</v>
      </c>
      <c r="AA237" s="1617">
        <v>32</v>
      </c>
      <c r="AB237" s="1617">
        <v>19</v>
      </c>
      <c r="AC237" s="1617">
        <v>1</v>
      </c>
      <c r="AD237" s="1613">
        <v>1</v>
      </c>
      <c r="AE237" s="1617" t="s">
        <v>1764</v>
      </c>
      <c r="AF237" s="1613" t="str">
        <f t="shared" si="19"/>
        <v/>
      </c>
      <c r="AG237" s="1656">
        <f>IFERROR(IF($AF237&gt;0,VLOOKUP($U237,Tabelle1!$C$188:$L$212,5,0)*$AF237,0),0)</f>
        <v>0</v>
      </c>
      <c r="AH237" s="1656">
        <f t="shared" si="20"/>
        <v>0</v>
      </c>
      <c r="AJ237" t="str">
        <f>IF(Betrieb!$D$9="JA",Mineral!$BW237,Mineral!$BV237)</f>
        <v>Kohlensaurer Magnesiumkalk, Dolomitkalk</v>
      </c>
      <c r="AK237" s="1672" t="str">
        <f>IFERROR(INDEX(Liste_Handelsünger[Handelsdünger],_xlfn.AGGREGATE(15,6,(ROW(Liste_Handelsünger[Handelsdünger])-1)/(--(SEARCH(AL$2,Liste_Handelsünger[Handelsdünger])&gt;0)),ROW()-2),1),"")</f>
        <v>Kohlensaurer Magnesiumkalk, Dolomitkalk</v>
      </c>
      <c r="AL237" s="1672" t="str">
        <f>IF(($A$3=""),"",IF(COUNTIF(Mineral!$AJ$3:$AJ$324,$A$3),"",$A$3))</f>
        <v/>
      </c>
      <c r="AM237" s="1672" t="str">
        <f>IFERROR(INDEX(Liste_Handelsünger[Handelsdünger],_xlfn.AGGREGATE(15,6,(ROW(Liste_Handelsünger[Handelsdünger])-1)/(--(SEARCH(AN$2,Liste_Handelsünger[Handelsdünger])&gt;0)),ROW()-2),1),"")</f>
        <v>Kohlensaurer Magnesiumkalk, Dolomitkalk</v>
      </c>
      <c r="AN237" t="str">
        <f>IF(($A239=""),"",IF(COUNTIF(Mineral!$AJ$3:$AJ$324,$A239),"",$A239))</f>
        <v/>
      </c>
      <c r="AO237" t="str">
        <f>IFERROR(INDEX(Liste_Handelsünger[Handelsdünger],_xlfn.AGGREGATE(15,6,(ROW(Liste_Handelsünger[Handelsdünger])-1)/(--(SEARCH(AP$2,Liste_Handelsünger[Handelsdünger])&gt;0)),ROW()-2),1),"")</f>
        <v>Kohlensaurer Magnesiumkalk, Dolomitkalk</v>
      </c>
      <c r="AP237" t="str">
        <f>IF(($A240=""),"",IF(COUNTIF(Mineral!$AJ$3:$AJ$324,$A240),"",$A240))</f>
        <v/>
      </c>
      <c r="AQ237" t="str">
        <f>IFERROR(INDEX(Liste_Handelsünger[Handelsdünger],_xlfn.AGGREGATE(15,6,(ROW(Liste_Handelsünger[Handelsdünger])-1)/(--(SEARCH(AR$2,Liste_Handelsünger[Handelsdünger])&gt;0)),ROW()-2),1),"")</f>
        <v>Kohlensaurer Magnesiumkalk, Dolomitkalk</v>
      </c>
      <c r="AR237" t="str">
        <f>IF(($A241=""),"",IF(COUNTIF(Mineral!$AJ$3:$AJ$324,$A241),"",$A241))</f>
        <v/>
      </c>
      <c r="AS237" t="str">
        <f>IFERROR(INDEX(Liste_Handelsünger[Handelsdünger],_xlfn.AGGREGATE(15,6,(ROW(Liste_Handelsünger[Handelsdünger])-1)/(--(SEARCH(AT$2,Liste_Handelsünger[Handelsdünger])&gt;0)),ROW()-2),1),"")</f>
        <v>Kohlensaurer Magnesiumkalk, Dolomitkalk</v>
      </c>
      <c r="AT237" t="str">
        <f>IF(($A242=""),"",IF(COUNTIF(Mineral!$AJ$3:$AJ$324,$A242),"",$A242))</f>
        <v/>
      </c>
      <c r="AU237" t="str">
        <f>IFERROR(INDEX(Liste_Handelsünger[Handelsdünger],_xlfn.AGGREGATE(15,6,(ROW(Liste_Handelsünger[Handelsdünger])-1)/(--(SEARCH(AV$2,Liste_Handelsünger[Handelsdünger])&gt;0)),ROW()-2),1),"")</f>
        <v>Kohlensaurer Magnesiumkalk, Dolomitkalk</v>
      </c>
      <c r="AV237" t="str">
        <f>IF(($A243=""),"",IF(COUNTIF(Mineral!$AJ$3:$AJ$324,$A243),"",$A243))</f>
        <v/>
      </c>
      <c r="AW237" t="str">
        <f>IFERROR(INDEX(Liste_Handelsünger[Handelsdünger],_xlfn.AGGREGATE(15,6,(ROW(Liste_Handelsünger[Handelsdünger])-1)/(--(SEARCH(AX$2,Liste_Handelsünger[Handelsdünger])&gt;0)),ROW()-2),1),"")</f>
        <v>Kohlensaurer Magnesiumkalk, Dolomitkalk</v>
      </c>
      <c r="AX237" t="str">
        <f>IF(($A244=""),"",IF(COUNTIF(Mineral!$AJ$3:$AJ$324,$A244),"",$A244))</f>
        <v/>
      </c>
      <c r="AY237" t="str">
        <f>IFERROR(INDEX(Liste_Handelsünger[Handelsdünger],_xlfn.AGGREGATE(15,6,(ROW(Liste_Handelsünger[Handelsdünger])-1)/(--(SEARCH(AZ$2,Liste_Handelsünger[Handelsdünger])&gt;0)),ROW()-2),1),"")</f>
        <v>Kohlensaurer Magnesiumkalk, Dolomitkalk</v>
      </c>
      <c r="AZ237" t="str">
        <f>IF(($A245=""),"",IF(COUNTIF(Mineral!$AJ$3:$AJ$324,$A245),"",$A245))</f>
        <v/>
      </c>
      <c r="BA237" t="str">
        <f>IFERROR(INDEX(Liste_Handelsünger[Handelsdünger],_xlfn.AGGREGATE(15,6,(ROW(Liste_Handelsünger[Handelsdünger])-1)/(--(SEARCH(BB$2,Liste_Handelsünger[Handelsdünger])&gt;0)),ROW()-2),1),"")</f>
        <v>Kohlensaurer Magnesiumkalk, Dolomitkalk</v>
      </c>
      <c r="BB237" t="str">
        <f>IF(($A246=""),"",IF(COUNTIF(Mineral!$AJ$3:$AJ$324,$A246),"",$A246))</f>
        <v/>
      </c>
      <c r="BC237" t="str">
        <f>IFERROR(INDEX(Liste_Handelsünger[Handelsdünger],_xlfn.AGGREGATE(15,6,(ROW(Liste_Handelsünger[Handelsdünger])-1)/(--(SEARCH(BD$2,Liste_Handelsünger[Handelsdünger])&gt;0)),ROW()-2),1),"")</f>
        <v>Kohlensaurer Magnesiumkalk, Dolomitkalk</v>
      </c>
      <c r="BD237" t="str">
        <f>IF(($A247=""),"",IF(COUNTIF(Mineral!$AJ$3:$AJ$324,$A247),"",$A247))</f>
        <v/>
      </c>
      <c r="BE237" t="str">
        <f>IFERROR(INDEX(Liste_Handelsünger[Handelsdünger],_xlfn.AGGREGATE(15,6,(ROW(Liste_Handelsünger[Handelsdünger])-1)/(--(SEARCH(BF$2,Liste_Handelsünger[Handelsdünger])&gt;0)),ROW()-2),1),"")</f>
        <v>Kohlensaurer Magnesiumkalk, Dolomitkalk</v>
      </c>
      <c r="BF237" t="str">
        <f>IF(($A248=""),"",IF(COUNTIF(Mineral!$AJ$3:$AJ$324,$A248),"",$A248))</f>
        <v/>
      </c>
      <c r="BG237" t="str">
        <f>IFERROR(INDEX(Liste_Handelsünger[Handelsdünger],_xlfn.AGGREGATE(15,6,(ROW(Liste_Handelsünger[Handelsdünger])-1)/(--(SEARCH(BH$2,Liste_Handelsünger[Handelsdünger])&gt;0)),ROW()-2),1),"")</f>
        <v>Kohlensaurer Magnesiumkalk, Dolomitkalk</v>
      </c>
      <c r="BH237" t="str">
        <f>IF(($A249=""),"",IF(COUNTIF(Mineral!$AJ$3:$AJ$324,$A249),"",$A249))</f>
        <v/>
      </c>
      <c r="BI237" t="str">
        <f>IFERROR(INDEX(Liste_Handelsünger[Handelsdünger],_xlfn.AGGREGATE(15,6,(ROW(Liste_Handelsünger[Handelsdünger])-1)/(--(SEARCH(BJ$2,Liste_Handelsünger[Handelsdünger])&gt;0)),ROW()-2),1),"")</f>
        <v>Kohlensaurer Magnesiumkalk, Dolomitkalk</v>
      </c>
      <c r="BJ237" t="str">
        <f>IF(($A250=""),"",IF(COUNTIF(Mineral!$AJ$3:$AJ$324,$A250),"",$A250))</f>
        <v/>
      </c>
      <c r="BK237" t="str">
        <f>IFERROR(INDEX(Liste_Handelsünger[Handelsdünger],_xlfn.AGGREGATE(15,6,(ROW(Liste_Handelsünger[Handelsdünger])-1)/(--(SEARCH(BL$2,Liste_Handelsünger[Handelsdünger])&gt;0)),ROW()-2),1),"")</f>
        <v>Kohlensaurer Magnesiumkalk, Dolomitkalk</v>
      </c>
      <c r="BM237" t="str">
        <f>IFERROR(INDEX(Liste_Handelsünger[Handelsdünger],_xlfn.AGGREGATE(15,6,(ROW(Liste_Handelsünger[Handelsdünger])-1)/(--(SEARCH(BN$2,Liste_Handelsünger[Handelsdünger])&gt;0)),ROW()-2),1),"")</f>
        <v>Kohlensaurer Magnesiumkalk, Dolomitkalk</v>
      </c>
      <c r="BN237" t="str">
        <f>IF(($A252=""),"",IF(COUNTIF(Mineral!$AJ$3:$AJ$324,$A252),"",$A252))</f>
        <v/>
      </c>
      <c r="BV237" t="s">
        <v>2182</v>
      </c>
      <c r="BW237" t="s">
        <v>2107</v>
      </c>
      <c r="BZ237" s="1602"/>
      <c r="CA237" s="1602"/>
      <c r="CB237" s="1602"/>
    </row>
    <row r="238" spans="19:80" ht="14.25" thickTop="1" thickBot="1">
      <c r="S238" s="1676">
        <v>237</v>
      </c>
      <c r="T238" s="1606" t="s">
        <v>2006</v>
      </c>
      <c r="U238" s="1606" t="s">
        <v>2183</v>
      </c>
      <c r="V238" s="1606" t="s">
        <v>408</v>
      </c>
      <c r="W238" s="1606">
        <v>0</v>
      </c>
      <c r="X238" s="1606">
        <v>0</v>
      </c>
      <c r="Y238" s="1606">
        <v>0</v>
      </c>
      <c r="Z238" s="1606">
        <v>0</v>
      </c>
      <c r="AA238" s="1606">
        <v>53</v>
      </c>
      <c r="AB238" s="1606">
        <v>0</v>
      </c>
      <c r="AC238" s="1606">
        <v>1</v>
      </c>
      <c r="AD238" s="1613">
        <v>1</v>
      </c>
      <c r="AE238" s="1606" t="s">
        <v>1764</v>
      </c>
      <c r="AF238" s="1613" t="str">
        <f t="shared" si="19"/>
        <v/>
      </c>
      <c r="AG238" s="1656">
        <f>IFERROR(IF($AF238&gt;0,VLOOKUP($U238,Tabelle1!$C$188:$L$212,5,0)*$AF238,0),0)</f>
        <v>0</v>
      </c>
      <c r="AH238" s="1656">
        <f t="shared" si="20"/>
        <v>0</v>
      </c>
      <c r="AJ238" t="str">
        <f>IF(Betrieb!$D$9="JA",Mineral!$BW238,Mineral!$BV238)</f>
        <v>KOKA = Kohlensaurer Kalk</v>
      </c>
      <c r="AK238" s="1672" t="str">
        <f>IFERROR(INDEX(Liste_Handelsünger[Handelsdünger],_xlfn.AGGREGATE(15,6,(ROW(Liste_Handelsünger[Handelsdünger])-1)/(--(SEARCH(AL$2,Liste_Handelsünger[Handelsdünger])&gt;0)),ROW()-2),1),"")</f>
        <v>KOKA = Kohlensaurer Kalk</v>
      </c>
      <c r="AL238" s="1672" t="str">
        <f>IF(($A$3=""),"",IF(COUNTIF(Mineral!$AJ$3:$AJ$324,$A$3),"",$A$3))</f>
        <v/>
      </c>
      <c r="AM238" s="1672" t="str">
        <f>IFERROR(INDEX(Liste_Handelsünger[Handelsdünger],_xlfn.AGGREGATE(15,6,(ROW(Liste_Handelsünger[Handelsdünger])-1)/(--(SEARCH(AN$2,Liste_Handelsünger[Handelsdünger])&gt;0)),ROW()-2),1),"")</f>
        <v>KOKA = Kohlensaurer Kalk</v>
      </c>
      <c r="AN238" t="str">
        <f>IF(($A240=""),"",IF(COUNTIF(Mineral!$AJ$3:$AJ$324,$A240),"",$A240))</f>
        <v/>
      </c>
      <c r="AO238" t="str">
        <f>IFERROR(INDEX(Liste_Handelsünger[Handelsdünger],_xlfn.AGGREGATE(15,6,(ROW(Liste_Handelsünger[Handelsdünger])-1)/(--(SEARCH(AP$2,Liste_Handelsünger[Handelsdünger])&gt;0)),ROW()-2),1),"")</f>
        <v>KOKA = Kohlensaurer Kalk</v>
      </c>
      <c r="AP238" t="str">
        <f>IF(($A241=""),"",IF(COUNTIF(Mineral!$AJ$3:$AJ$324,$A241),"",$A241))</f>
        <v/>
      </c>
      <c r="AQ238" t="str">
        <f>IFERROR(INDEX(Liste_Handelsünger[Handelsdünger],_xlfn.AGGREGATE(15,6,(ROW(Liste_Handelsünger[Handelsdünger])-1)/(--(SEARCH(AR$2,Liste_Handelsünger[Handelsdünger])&gt;0)),ROW()-2),1),"")</f>
        <v>KOKA = Kohlensaurer Kalk</v>
      </c>
      <c r="AR238" t="str">
        <f>IF(($A242=""),"",IF(COUNTIF(Mineral!$AJ$3:$AJ$324,$A242),"",$A242))</f>
        <v/>
      </c>
      <c r="AS238" t="str">
        <f>IFERROR(INDEX(Liste_Handelsünger[Handelsdünger],_xlfn.AGGREGATE(15,6,(ROW(Liste_Handelsünger[Handelsdünger])-1)/(--(SEARCH(AT$2,Liste_Handelsünger[Handelsdünger])&gt;0)),ROW()-2),1),"")</f>
        <v>KOKA = Kohlensaurer Kalk</v>
      </c>
      <c r="AT238" t="str">
        <f>IF(($A243=""),"",IF(COUNTIF(Mineral!$AJ$3:$AJ$324,$A243),"",$A243))</f>
        <v/>
      </c>
      <c r="AU238" t="str">
        <f>IFERROR(INDEX(Liste_Handelsünger[Handelsdünger],_xlfn.AGGREGATE(15,6,(ROW(Liste_Handelsünger[Handelsdünger])-1)/(--(SEARCH(AV$2,Liste_Handelsünger[Handelsdünger])&gt;0)),ROW()-2),1),"")</f>
        <v>KOKA = Kohlensaurer Kalk</v>
      </c>
      <c r="AV238" t="str">
        <f>IF(($A244=""),"",IF(COUNTIF(Mineral!$AJ$3:$AJ$324,$A244),"",$A244))</f>
        <v/>
      </c>
      <c r="AW238" t="str">
        <f>IFERROR(INDEX(Liste_Handelsünger[Handelsdünger],_xlfn.AGGREGATE(15,6,(ROW(Liste_Handelsünger[Handelsdünger])-1)/(--(SEARCH(AX$2,Liste_Handelsünger[Handelsdünger])&gt;0)),ROW()-2),1),"")</f>
        <v>KOKA = Kohlensaurer Kalk</v>
      </c>
      <c r="AX238" t="str">
        <f>IF(($A245=""),"",IF(COUNTIF(Mineral!$AJ$3:$AJ$324,$A245),"",$A245))</f>
        <v/>
      </c>
      <c r="AY238" t="str">
        <f>IFERROR(INDEX(Liste_Handelsünger[Handelsdünger],_xlfn.AGGREGATE(15,6,(ROW(Liste_Handelsünger[Handelsdünger])-1)/(--(SEARCH(AZ$2,Liste_Handelsünger[Handelsdünger])&gt;0)),ROW()-2),1),"")</f>
        <v>KOKA = Kohlensaurer Kalk</v>
      </c>
      <c r="AZ238" t="str">
        <f>IF(($A246=""),"",IF(COUNTIF(Mineral!$AJ$3:$AJ$324,$A246),"",$A246))</f>
        <v/>
      </c>
      <c r="BA238" t="str">
        <f>IFERROR(INDEX(Liste_Handelsünger[Handelsdünger],_xlfn.AGGREGATE(15,6,(ROW(Liste_Handelsünger[Handelsdünger])-1)/(--(SEARCH(BB$2,Liste_Handelsünger[Handelsdünger])&gt;0)),ROW()-2),1),"")</f>
        <v>KOKA = Kohlensaurer Kalk</v>
      </c>
      <c r="BB238" t="str">
        <f>IF(($A247=""),"",IF(COUNTIF(Mineral!$AJ$3:$AJ$324,$A247),"",$A247))</f>
        <v/>
      </c>
      <c r="BC238" t="str">
        <f>IFERROR(INDEX(Liste_Handelsünger[Handelsdünger],_xlfn.AGGREGATE(15,6,(ROW(Liste_Handelsünger[Handelsdünger])-1)/(--(SEARCH(BD$2,Liste_Handelsünger[Handelsdünger])&gt;0)),ROW()-2),1),"")</f>
        <v>KOKA = Kohlensaurer Kalk</v>
      </c>
      <c r="BD238" t="str">
        <f>IF(($A248=""),"",IF(COUNTIF(Mineral!$AJ$3:$AJ$324,$A248),"",$A248))</f>
        <v/>
      </c>
      <c r="BE238" t="str">
        <f>IFERROR(INDEX(Liste_Handelsünger[Handelsdünger],_xlfn.AGGREGATE(15,6,(ROW(Liste_Handelsünger[Handelsdünger])-1)/(--(SEARCH(BF$2,Liste_Handelsünger[Handelsdünger])&gt;0)),ROW()-2),1),"")</f>
        <v>KOKA = Kohlensaurer Kalk</v>
      </c>
      <c r="BF238" t="str">
        <f>IF(($A249=""),"",IF(COUNTIF(Mineral!$AJ$3:$AJ$324,$A249),"",$A249))</f>
        <v/>
      </c>
      <c r="BG238" t="str">
        <f>IFERROR(INDEX(Liste_Handelsünger[Handelsdünger],_xlfn.AGGREGATE(15,6,(ROW(Liste_Handelsünger[Handelsdünger])-1)/(--(SEARCH(BH$2,Liste_Handelsünger[Handelsdünger])&gt;0)),ROW()-2),1),"")</f>
        <v>KOKA = Kohlensaurer Kalk</v>
      </c>
      <c r="BH238" t="str">
        <f>IF(($A250=""),"",IF(COUNTIF(Mineral!$AJ$3:$AJ$324,$A250),"",$A250))</f>
        <v/>
      </c>
      <c r="BI238" t="str">
        <f>IFERROR(INDEX(Liste_Handelsünger[Handelsdünger],_xlfn.AGGREGATE(15,6,(ROW(Liste_Handelsünger[Handelsdünger])-1)/(--(SEARCH(BJ$2,Liste_Handelsünger[Handelsdünger])&gt;0)),ROW()-2),1),"")</f>
        <v>KOKA = Kohlensaurer Kalk</v>
      </c>
      <c r="BJ238" t="str">
        <f>IF(($A251=""),"",IF(COUNTIF(Mineral!$AJ$3:$AJ$324,$A251),"",$A251))</f>
        <v/>
      </c>
      <c r="BK238" t="str">
        <f>IFERROR(INDEX(Liste_Handelsünger[Handelsdünger],_xlfn.AGGREGATE(15,6,(ROW(Liste_Handelsünger[Handelsdünger])-1)/(--(SEARCH(BL$2,Liste_Handelsünger[Handelsdünger])&gt;0)),ROW()-2),1),"")</f>
        <v>KOKA = Kohlensaurer Kalk</v>
      </c>
      <c r="BM238" t="str">
        <f>IFERROR(INDEX(Liste_Handelsünger[Handelsdünger],_xlfn.AGGREGATE(15,6,(ROW(Liste_Handelsünger[Handelsdünger])-1)/(--(SEARCH(BN$2,Liste_Handelsünger[Handelsdünger])&gt;0)),ROW()-2),1),"")</f>
        <v>KOKA = Kohlensaurer Kalk</v>
      </c>
      <c r="BN238" t="str">
        <f>IF(($A253=""),"",IF(COUNTIF(Mineral!$AJ$3:$AJ$324,$A253),"",$A253))</f>
        <v/>
      </c>
      <c r="BV238" t="s">
        <v>2183</v>
      </c>
      <c r="BW238" t="s">
        <v>2108</v>
      </c>
      <c r="BZ238" s="1602"/>
      <c r="CA238" s="1602"/>
      <c r="CB238" s="1602"/>
    </row>
    <row r="239" spans="19:80" ht="14.25" thickTop="1" thickBot="1">
      <c r="S239" s="1616">
        <v>238</v>
      </c>
      <c r="T239" s="1617" t="s">
        <v>2006</v>
      </c>
      <c r="U239" s="1617" t="s">
        <v>2184</v>
      </c>
      <c r="V239" s="1617" t="s">
        <v>408</v>
      </c>
      <c r="W239" s="1617">
        <v>0</v>
      </c>
      <c r="X239" s="1617">
        <v>0</v>
      </c>
      <c r="Y239" s="1617">
        <v>0</v>
      </c>
      <c r="Z239" s="1617">
        <v>0</v>
      </c>
      <c r="AA239" s="1617">
        <v>53</v>
      </c>
      <c r="AB239" s="1617">
        <v>10</v>
      </c>
      <c r="AC239" s="1617">
        <v>1</v>
      </c>
      <c r="AD239" s="1613">
        <v>1</v>
      </c>
      <c r="AE239" s="1617" t="s">
        <v>1764</v>
      </c>
      <c r="AF239" s="1613" t="str">
        <f t="shared" si="19"/>
        <v/>
      </c>
      <c r="AG239" s="1656">
        <f>IFERROR(IF($AF239&gt;0,VLOOKUP($U239,Tabelle1!$C$188:$L$212,5,0)*$AF239,0),0)</f>
        <v>0</v>
      </c>
      <c r="AH239" s="1656">
        <f t="shared" si="20"/>
        <v>0</v>
      </c>
      <c r="AJ239" t="str">
        <f>IF(Betrieb!$D$9="JA",Mineral!$BW239,Mineral!$BV239)</f>
        <v>KOKA Mg = Kohlensaurer Magnesiumkalk</v>
      </c>
      <c r="AK239" s="1672" t="str">
        <f>IFERROR(INDEX(Liste_Handelsünger[Handelsdünger],_xlfn.AGGREGATE(15,6,(ROW(Liste_Handelsünger[Handelsdünger])-1)/(--(SEARCH(AL$2,Liste_Handelsünger[Handelsdünger])&gt;0)),ROW()-2),1),"")</f>
        <v>KOKA Mg = Kohlensaurer Magnesiumkalk</v>
      </c>
      <c r="AL239" s="1672" t="str">
        <f>IF(($A$3=""),"",IF(COUNTIF(Mineral!$AJ$3:$AJ$324,$A$3),"",$A$3))</f>
        <v/>
      </c>
      <c r="AM239" s="1672" t="str">
        <f>IFERROR(INDEX(Liste_Handelsünger[Handelsdünger],_xlfn.AGGREGATE(15,6,(ROW(Liste_Handelsünger[Handelsdünger])-1)/(--(SEARCH(AN$2,Liste_Handelsünger[Handelsdünger])&gt;0)),ROW()-2),1),"")</f>
        <v>KOKA Mg = Kohlensaurer Magnesiumkalk</v>
      </c>
      <c r="AN239" t="str">
        <f>IF(($A241=""),"",IF(COUNTIF(Mineral!$AJ$3:$AJ$324,$A241),"",$A241))</f>
        <v/>
      </c>
      <c r="AO239" t="str">
        <f>IFERROR(INDEX(Liste_Handelsünger[Handelsdünger],_xlfn.AGGREGATE(15,6,(ROW(Liste_Handelsünger[Handelsdünger])-1)/(--(SEARCH(AP$2,Liste_Handelsünger[Handelsdünger])&gt;0)),ROW()-2),1),"")</f>
        <v>KOKA Mg = Kohlensaurer Magnesiumkalk</v>
      </c>
      <c r="AP239" t="str">
        <f>IF(($A242=""),"",IF(COUNTIF(Mineral!$AJ$3:$AJ$324,$A242),"",$A242))</f>
        <v/>
      </c>
      <c r="AQ239" t="str">
        <f>IFERROR(INDEX(Liste_Handelsünger[Handelsdünger],_xlfn.AGGREGATE(15,6,(ROW(Liste_Handelsünger[Handelsdünger])-1)/(--(SEARCH(AR$2,Liste_Handelsünger[Handelsdünger])&gt;0)),ROW()-2),1),"")</f>
        <v>KOKA Mg = Kohlensaurer Magnesiumkalk</v>
      </c>
      <c r="AR239" t="str">
        <f>IF(($A243=""),"",IF(COUNTIF(Mineral!$AJ$3:$AJ$324,$A243),"",$A243))</f>
        <v/>
      </c>
      <c r="AS239" t="str">
        <f>IFERROR(INDEX(Liste_Handelsünger[Handelsdünger],_xlfn.AGGREGATE(15,6,(ROW(Liste_Handelsünger[Handelsdünger])-1)/(--(SEARCH(AT$2,Liste_Handelsünger[Handelsdünger])&gt;0)),ROW()-2),1),"")</f>
        <v>KOKA Mg = Kohlensaurer Magnesiumkalk</v>
      </c>
      <c r="AT239" t="str">
        <f>IF(($A244=""),"",IF(COUNTIF(Mineral!$AJ$3:$AJ$324,$A244),"",$A244))</f>
        <v/>
      </c>
      <c r="AU239" t="str">
        <f>IFERROR(INDEX(Liste_Handelsünger[Handelsdünger],_xlfn.AGGREGATE(15,6,(ROW(Liste_Handelsünger[Handelsdünger])-1)/(--(SEARCH(AV$2,Liste_Handelsünger[Handelsdünger])&gt;0)),ROW()-2),1),"")</f>
        <v>KOKA Mg = Kohlensaurer Magnesiumkalk</v>
      </c>
      <c r="AV239" t="str">
        <f>IF(($A245=""),"",IF(COUNTIF(Mineral!$AJ$3:$AJ$324,$A245),"",$A245))</f>
        <v/>
      </c>
      <c r="AW239" t="str">
        <f>IFERROR(INDEX(Liste_Handelsünger[Handelsdünger],_xlfn.AGGREGATE(15,6,(ROW(Liste_Handelsünger[Handelsdünger])-1)/(--(SEARCH(AX$2,Liste_Handelsünger[Handelsdünger])&gt;0)),ROW()-2),1),"")</f>
        <v>KOKA Mg = Kohlensaurer Magnesiumkalk</v>
      </c>
      <c r="AX239" t="str">
        <f>IF(($A246=""),"",IF(COUNTIF(Mineral!$AJ$3:$AJ$324,$A246),"",$A246))</f>
        <v/>
      </c>
      <c r="AY239" t="str">
        <f>IFERROR(INDEX(Liste_Handelsünger[Handelsdünger],_xlfn.AGGREGATE(15,6,(ROW(Liste_Handelsünger[Handelsdünger])-1)/(--(SEARCH(AZ$2,Liste_Handelsünger[Handelsdünger])&gt;0)),ROW()-2),1),"")</f>
        <v>KOKA Mg = Kohlensaurer Magnesiumkalk</v>
      </c>
      <c r="AZ239" t="str">
        <f>IF(($A247=""),"",IF(COUNTIF(Mineral!$AJ$3:$AJ$324,$A247),"",$A247))</f>
        <v/>
      </c>
      <c r="BA239" t="str">
        <f>IFERROR(INDEX(Liste_Handelsünger[Handelsdünger],_xlfn.AGGREGATE(15,6,(ROW(Liste_Handelsünger[Handelsdünger])-1)/(--(SEARCH(BB$2,Liste_Handelsünger[Handelsdünger])&gt;0)),ROW()-2),1),"")</f>
        <v>KOKA Mg = Kohlensaurer Magnesiumkalk</v>
      </c>
      <c r="BB239" t="str">
        <f>IF(($A248=""),"",IF(COUNTIF(Mineral!$AJ$3:$AJ$324,$A248),"",$A248))</f>
        <v/>
      </c>
      <c r="BC239" t="str">
        <f>IFERROR(INDEX(Liste_Handelsünger[Handelsdünger],_xlfn.AGGREGATE(15,6,(ROW(Liste_Handelsünger[Handelsdünger])-1)/(--(SEARCH(BD$2,Liste_Handelsünger[Handelsdünger])&gt;0)),ROW()-2),1),"")</f>
        <v>KOKA Mg = Kohlensaurer Magnesiumkalk</v>
      </c>
      <c r="BD239" t="str">
        <f>IF(($A249=""),"",IF(COUNTIF(Mineral!$AJ$3:$AJ$324,$A249),"",$A249))</f>
        <v/>
      </c>
      <c r="BE239" t="str">
        <f>IFERROR(INDEX(Liste_Handelsünger[Handelsdünger],_xlfn.AGGREGATE(15,6,(ROW(Liste_Handelsünger[Handelsdünger])-1)/(--(SEARCH(BF$2,Liste_Handelsünger[Handelsdünger])&gt;0)),ROW()-2),1),"")</f>
        <v>KOKA Mg = Kohlensaurer Magnesiumkalk</v>
      </c>
      <c r="BF239" t="str">
        <f>IF(($A250=""),"",IF(COUNTIF(Mineral!$AJ$3:$AJ$324,$A250),"",$A250))</f>
        <v/>
      </c>
      <c r="BG239" t="str">
        <f>IFERROR(INDEX(Liste_Handelsünger[Handelsdünger],_xlfn.AGGREGATE(15,6,(ROW(Liste_Handelsünger[Handelsdünger])-1)/(--(SEARCH(BH$2,Liste_Handelsünger[Handelsdünger])&gt;0)),ROW()-2),1),"")</f>
        <v>KOKA Mg = Kohlensaurer Magnesiumkalk</v>
      </c>
      <c r="BH239" t="str">
        <f>IF(($A251=""),"",IF(COUNTIF(Mineral!$AJ$3:$AJ$324,$A251),"",$A251))</f>
        <v/>
      </c>
      <c r="BI239" t="str">
        <f>IFERROR(INDEX(Liste_Handelsünger[Handelsdünger],_xlfn.AGGREGATE(15,6,(ROW(Liste_Handelsünger[Handelsdünger])-1)/(--(SEARCH(BJ$2,Liste_Handelsünger[Handelsdünger])&gt;0)),ROW()-2),1),"")</f>
        <v>KOKA Mg = Kohlensaurer Magnesiumkalk</v>
      </c>
      <c r="BJ239" t="str">
        <f>IF(($A252=""),"",IF(COUNTIF(Mineral!$AJ$3:$AJ$324,$A252),"",$A252))</f>
        <v/>
      </c>
      <c r="BK239" t="str">
        <f>IFERROR(INDEX(Liste_Handelsünger[Handelsdünger],_xlfn.AGGREGATE(15,6,(ROW(Liste_Handelsünger[Handelsdünger])-1)/(--(SEARCH(BL$2,Liste_Handelsünger[Handelsdünger])&gt;0)),ROW()-2),1),"")</f>
        <v>KOKA Mg = Kohlensaurer Magnesiumkalk</v>
      </c>
      <c r="BM239" t="str">
        <f>IFERROR(INDEX(Liste_Handelsünger[Handelsdünger],_xlfn.AGGREGATE(15,6,(ROW(Liste_Handelsünger[Handelsdünger])-1)/(--(SEARCH(BN$2,Liste_Handelsünger[Handelsdünger])&gt;0)),ROW()-2),1),"")</f>
        <v>KOKA Mg = Kohlensaurer Magnesiumkalk</v>
      </c>
      <c r="BN239" t="str">
        <f>IF(($A254=""),"",IF(COUNTIF(Mineral!$AJ$3:$AJ$324,$A254),"",$A254))</f>
        <v/>
      </c>
      <c r="BV239" t="s">
        <v>2184</v>
      </c>
      <c r="BW239" t="s">
        <v>2110</v>
      </c>
      <c r="BZ239" s="1602"/>
      <c r="CA239" s="1602"/>
      <c r="CB239" s="1602"/>
    </row>
    <row r="240" spans="19:80" ht="14.25" thickTop="1" thickBot="1">
      <c r="S240" s="1676">
        <v>239</v>
      </c>
      <c r="T240" s="1606" t="s">
        <v>2006</v>
      </c>
      <c r="U240" s="1606" t="s">
        <v>2185</v>
      </c>
      <c r="V240" s="1606" t="s">
        <v>408</v>
      </c>
      <c r="W240" s="1606">
        <v>0</v>
      </c>
      <c r="X240" s="1606">
        <v>0</v>
      </c>
      <c r="Y240" s="1606">
        <v>0</v>
      </c>
      <c r="Z240" s="1606">
        <v>0</v>
      </c>
      <c r="AA240" s="1606">
        <v>0</v>
      </c>
      <c r="AB240" s="1606">
        <v>0</v>
      </c>
      <c r="AC240" s="1606">
        <v>1</v>
      </c>
      <c r="AD240" s="1613">
        <v>1</v>
      </c>
      <c r="AE240" s="1606" t="s">
        <v>1764</v>
      </c>
      <c r="AF240" s="1613" t="str">
        <f t="shared" si="19"/>
        <v/>
      </c>
      <c r="AG240" s="1656">
        <f>IFERROR(IF($AF240&gt;0,VLOOKUP($U240,Tabelle1!$C$188:$L$212,5,0)*$AF240,0),0)</f>
        <v>0</v>
      </c>
      <c r="AH240" s="1656">
        <f t="shared" si="20"/>
        <v>0</v>
      </c>
      <c r="AJ240" t="str">
        <f>IF(Betrieb!$D$9="JA",Mineral!$BW240,Mineral!$BV240)</f>
        <v>KomBioflor®-b</v>
      </c>
      <c r="AK240" s="1672" t="str">
        <f>IFERROR(INDEX(Liste_Handelsünger[Handelsdünger],_xlfn.AGGREGATE(15,6,(ROW(Liste_Handelsünger[Handelsdünger])-1)/(--(SEARCH(AL$2,Liste_Handelsünger[Handelsdünger])&gt;0)),ROW()-2),1),"")</f>
        <v>KomBioflor®-b</v>
      </c>
      <c r="AL240" s="1672" t="str">
        <f>IF(($A$3=""),"",IF(COUNTIF(Mineral!$AJ$3:$AJ$324,$A$3),"",$A$3))</f>
        <v/>
      </c>
      <c r="AM240" s="1672" t="str">
        <f>IFERROR(INDEX(Liste_Handelsünger[Handelsdünger],_xlfn.AGGREGATE(15,6,(ROW(Liste_Handelsünger[Handelsdünger])-1)/(--(SEARCH(AN$2,Liste_Handelsünger[Handelsdünger])&gt;0)),ROW()-2),1),"")</f>
        <v>KomBioflor®-b</v>
      </c>
      <c r="AN240" t="str">
        <f>IF(($A242=""),"",IF(COUNTIF(Mineral!$AJ$3:$AJ$324,$A242),"",$A242))</f>
        <v/>
      </c>
      <c r="AO240" t="str">
        <f>IFERROR(INDEX(Liste_Handelsünger[Handelsdünger],_xlfn.AGGREGATE(15,6,(ROW(Liste_Handelsünger[Handelsdünger])-1)/(--(SEARCH(AP$2,Liste_Handelsünger[Handelsdünger])&gt;0)),ROW()-2),1),"")</f>
        <v>KomBioflor®-b</v>
      </c>
      <c r="AP240" t="str">
        <f>IF(($A243=""),"",IF(COUNTIF(Mineral!$AJ$3:$AJ$324,$A243),"",$A243))</f>
        <v/>
      </c>
      <c r="AQ240" t="str">
        <f>IFERROR(INDEX(Liste_Handelsünger[Handelsdünger],_xlfn.AGGREGATE(15,6,(ROW(Liste_Handelsünger[Handelsdünger])-1)/(--(SEARCH(AR$2,Liste_Handelsünger[Handelsdünger])&gt;0)),ROW()-2),1),"")</f>
        <v>KomBioflor®-b</v>
      </c>
      <c r="AR240" t="str">
        <f>IF(($A244=""),"",IF(COUNTIF(Mineral!$AJ$3:$AJ$324,$A244),"",$A244))</f>
        <v/>
      </c>
      <c r="AS240" t="str">
        <f>IFERROR(INDEX(Liste_Handelsünger[Handelsdünger],_xlfn.AGGREGATE(15,6,(ROW(Liste_Handelsünger[Handelsdünger])-1)/(--(SEARCH(AT$2,Liste_Handelsünger[Handelsdünger])&gt;0)),ROW()-2),1),"")</f>
        <v>KomBioflor®-b</v>
      </c>
      <c r="AT240" t="str">
        <f>IF(($A245=""),"",IF(COUNTIF(Mineral!$AJ$3:$AJ$324,$A245),"",$A245))</f>
        <v/>
      </c>
      <c r="AU240" t="str">
        <f>IFERROR(INDEX(Liste_Handelsünger[Handelsdünger],_xlfn.AGGREGATE(15,6,(ROW(Liste_Handelsünger[Handelsdünger])-1)/(--(SEARCH(AV$2,Liste_Handelsünger[Handelsdünger])&gt;0)),ROW()-2),1),"")</f>
        <v>KomBioflor®-b</v>
      </c>
      <c r="AV240" t="str">
        <f>IF(($A246=""),"",IF(COUNTIF(Mineral!$AJ$3:$AJ$324,$A246),"",$A246))</f>
        <v/>
      </c>
      <c r="AW240" t="str">
        <f>IFERROR(INDEX(Liste_Handelsünger[Handelsdünger],_xlfn.AGGREGATE(15,6,(ROW(Liste_Handelsünger[Handelsdünger])-1)/(--(SEARCH(AX$2,Liste_Handelsünger[Handelsdünger])&gt;0)),ROW()-2),1),"")</f>
        <v>KomBioflor®-b</v>
      </c>
      <c r="AX240" t="str">
        <f>IF(($A247=""),"",IF(COUNTIF(Mineral!$AJ$3:$AJ$324,$A247),"",$A247))</f>
        <v/>
      </c>
      <c r="AY240" t="str">
        <f>IFERROR(INDEX(Liste_Handelsünger[Handelsdünger],_xlfn.AGGREGATE(15,6,(ROW(Liste_Handelsünger[Handelsdünger])-1)/(--(SEARCH(AZ$2,Liste_Handelsünger[Handelsdünger])&gt;0)),ROW()-2),1),"")</f>
        <v>KomBioflor®-b</v>
      </c>
      <c r="AZ240" t="str">
        <f>IF(($A248=""),"",IF(COUNTIF(Mineral!$AJ$3:$AJ$324,$A248),"",$A248))</f>
        <v/>
      </c>
      <c r="BA240" t="str">
        <f>IFERROR(INDEX(Liste_Handelsünger[Handelsdünger],_xlfn.AGGREGATE(15,6,(ROW(Liste_Handelsünger[Handelsdünger])-1)/(--(SEARCH(BB$2,Liste_Handelsünger[Handelsdünger])&gt;0)),ROW()-2),1),"")</f>
        <v>KomBioflor®-b</v>
      </c>
      <c r="BB240" t="str">
        <f>IF(($A249=""),"",IF(COUNTIF(Mineral!$AJ$3:$AJ$324,$A249),"",$A249))</f>
        <v/>
      </c>
      <c r="BC240" t="str">
        <f>IFERROR(INDEX(Liste_Handelsünger[Handelsdünger],_xlfn.AGGREGATE(15,6,(ROW(Liste_Handelsünger[Handelsdünger])-1)/(--(SEARCH(BD$2,Liste_Handelsünger[Handelsdünger])&gt;0)),ROW()-2),1),"")</f>
        <v>KomBioflor®-b</v>
      </c>
      <c r="BD240" t="str">
        <f>IF(($A250=""),"",IF(COUNTIF(Mineral!$AJ$3:$AJ$324,$A250),"",$A250))</f>
        <v/>
      </c>
      <c r="BE240" t="str">
        <f>IFERROR(INDEX(Liste_Handelsünger[Handelsdünger],_xlfn.AGGREGATE(15,6,(ROW(Liste_Handelsünger[Handelsdünger])-1)/(--(SEARCH(BF$2,Liste_Handelsünger[Handelsdünger])&gt;0)),ROW()-2),1),"")</f>
        <v>KomBioflor®-b</v>
      </c>
      <c r="BF240" t="str">
        <f>IF(($A251=""),"",IF(COUNTIF(Mineral!$AJ$3:$AJ$324,$A251),"",$A251))</f>
        <v/>
      </c>
      <c r="BG240" t="str">
        <f>IFERROR(INDEX(Liste_Handelsünger[Handelsdünger],_xlfn.AGGREGATE(15,6,(ROW(Liste_Handelsünger[Handelsdünger])-1)/(--(SEARCH(BH$2,Liste_Handelsünger[Handelsdünger])&gt;0)),ROW()-2),1),"")</f>
        <v>KomBioflor®-b</v>
      </c>
      <c r="BH240" t="str">
        <f>IF(($A252=""),"",IF(COUNTIF(Mineral!$AJ$3:$AJ$324,$A252),"",$A252))</f>
        <v/>
      </c>
      <c r="BI240" t="str">
        <f>IFERROR(INDEX(Liste_Handelsünger[Handelsdünger],_xlfn.AGGREGATE(15,6,(ROW(Liste_Handelsünger[Handelsdünger])-1)/(--(SEARCH(BJ$2,Liste_Handelsünger[Handelsdünger])&gt;0)),ROW()-2),1),"")</f>
        <v>KomBioflor®-b</v>
      </c>
      <c r="BJ240" t="str">
        <f>IF(($A253=""),"",IF(COUNTIF(Mineral!$AJ$3:$AJ$324,$A253),"",$A253))</f>
        <v/>
      </c>
      <c r="BK240" t="str">
        <f>IFERROR(INDEX(Liste_Handelsünger[Handelsdünger],_xlfn.AGGREGATE(15,6,(ROW(Liste_Handelsünger[Handelsdünger])-1)/(--(SEARCH(BL$2,Liste_Handelsünger[Handelsdünger])&gt;0)),ROW()-2),1),"")</f>
        <v>KomBioflor®-b</v>
      </c>
      <c r="BM240" t="str">
        <f>IFERROR(INDEX(Liste_Handelsünger[Handelsdünger],_xlfn.AGGREGATE(15,6,(ROW(Liste_Handelsünger[Handelsdünger])-1)/(--(SEARCH(BN$2,Liste_Handelsünger[Handelsdünger])&gt;0)),ROW()-2),1),"")</f>
        <v>KomBioflor®-b</v>
      </c>
      <c r="BN240" t="str">
        <f>IF(($A255=""),"",IF(COUNTIF(Mineral!$AJ$3:$AJ$324,$A255),"",$A255))</f>
        <v/>
      </c>
      <c r="BV240" t="s">
        <v>2185</v>
      </c>
      <c r="BW240" t="s">
        <v>2111</v>
      </c>
      <c r="BZ240" s="1602"/>
      <c r="CA240" s="1602"/>
      <c r="CB240" s="1602"/>
    </row>
    <row r="241" spans="19:80" ht="14.25" thickTop="1" thickBot="1">
      <c r="S241" s="1616">
        <v>240</v>
      </c>
      <c r="T241" s="1617" t="s">
        <v>2006</v>
      </c>
      <c r="U241" s="1617" t="s">
        <v>2186</v>
      </c>
      <c r="V241" s="1617" t="s">
        <v>408</v>
      </c>
      <c r="W241" s="1617">
        <v>0</v>
      </c>
      <c r="X241" s="1617">
        <v>0</v>
      </c>
      <c r="Y241" s="1617">
        <v>1.77</v>
      </c>
      <c r="Z241" s="1617">
        <v>0</v>
      </c>
      <c r="AA241" s="1617">
        <v>5.8999999999999995</v>
      </c>
      <c r="AB241" s="1617">
        <v>5.67</v>
      </c>
      <c r="AC241" s="1617">
        <v>1</v>
      </c>
      <c r="AD241" s="1613">
        <v>1</v>
      </c>
      <c r="AE241" s="1617" t="s">
        <v>1764</v>
      </c>
      <c r="AF241" s="1613" t="str">
        <f t="shared" si="19"/>
        <v/>
      </c>
      <c r="AG241" s="1656">
        <f>IFERROR(IF($AF241&gt;0,VLOOKUP($U241,Tabelle1!$C$188:$L$212,5,0)*$AF241,0),0)</f>
        <v>0</v>
      </c>
      <c r="AH241" s="1656">
        <f t="shared" si="20"/>
        <v>0</v>
      </c>
      <c r="AJ241" t="str">
        <f>IF(Betrieb!$D$9="JA",Mineral!$BW241,Mineral!$BV241)</f>
        <v>KOMPOST2000</v>
      </c>
      <c r="AK241" s="1672" t="str">
        <f>IFERROR(INDEX(Liste_Handelsünger[Handelsdünger],_xlfn.AGGREGATE(15,6,(ROW(Liste_Handelsünger[Handelsdünger])-1)/(--(SEARCH(AL$2,Liste_Handelsünger[Handelsdünger])&gt;0)),ROW()-2),1),"")</f>
        <v>KOMPOST2000</v>
      </c>
      <c r="AL241" s="1672" t="str">
        <f>IF(($A$3=""),"",IF(COUNTIF(Mineral!$AJ$3:$AJ$324,$A$3),"",$A$3))</f>
        <v/>
      </c>
      <c r="AM241" s="1672" t="str">
        <f>IFERROR(INDEX(Liste_Handelsünger[Handelsdünger],_xlfn.AGGREGATE(15,6,(ROW(Liste_Handelsünger[Handelsdünger])-1)/(--(SEARCH(AN$2,Liste_Handelsünger[Handelsdünger])&gt;0)),ROW()-2),1),"")</f>
        <v>KOMPOST2000</v>
      </c>
      <c r="AN241" t="str">
        <f>IF(($A243=""),"",IF(COUNTIF(Mineral!$AJ$3:$AJ$324,$A243),"",$A243))</f>
        <v/>
      </c>
      <c r="AO241" t="str">
        <f>IFERROR(INDEX(Liste_Handelsünger[Handelsdünger],_xlfn.AGGREGATE(15,6,(ROW(Liste_Handelsünger[Handelsdünger])-1)/(--(SEARCH(AP$2,Liste_Handelsünger[Handelsdünger])&gt;0)),ROW()-2),1),"")</f>
        <v>KOMPOST2000</v>
      </c>
      <c r="AP241" t="str">
        <f>IF(($A244=""),"",IF(COUNTIF(Mineral!$AJ$3:$AJ$324,$A244),"",$A244))</f>
        <v/>
      </c>
      <c r="AQ241" t="str">
        <f>IFERROR(INDEX(Liste_Handelsünger[Handelsdünger],_xlfn.AGGREGATE(15,6,(ROW(Liste_Handelsünger[Handelsdünger])-1)/(--(SEARCH(AR$2,Liste_Handelsünger[Handelsdünger])&gt;0)),ROW()-2),1),"")</f>
        <v>KOMPOST2000</v>
      </c>
      <c r="AR241" t="str">
        <f>IF(($A245=""),"",IF(COUNTIF(Mineral!$AJ$3:$AJ$324,$A245),"",$A245))</f>
        <v/>
      </c>
      <c r="AS241" t="str">
        <f>IFERROR(INDEX(Liste_Handelsünger[Handelsdünger],_xlfn.AGGREGATE(15,6,(ROW(Liste_Handelsünger[Handelsdünger])-1)/(--(SEARCH(AT$2,Liste_Handelsünger[Handelsdünger])&gt;0)),ROW()-2),1),"")</f>
        <v>KOMPOST2000</v>
      </c>
      <c r="AT241" t="str">
        <f>IF(($A246=""),"",IF(COUNTIF(Mineral!$AJ$3:$AJ$324,$A246),"",$A246))</f>
        <v/>
      </c>
      <c r="AU241" t="str">
        <f>IFERROR(INDEX(Liste_Handelsünger[Handelsdünger],_xlfn.AGGREGATE(15,6,(ROW(Liste_Handelsünger[Handelsdünger])-1)/(--(SEARCH(AV$2,Liste_Handelsünger[Handelsdünger])&gt;0)),ROW()-2),1),"")</f>
        <v>KOMPOST2000</v>
      </c>
      <c r="AV241" t="str">
        <f>IF(($A247=""),"",IF(COUNTIF(Mineral!$AJ$3:$AJ$324,$A247),"",$A247))</f>
        <v/>
      </c>
      <c r="AW241" t="str">
        <f>IFERROR(INDEX(Liste_Handelsünger[Handelsdünger],_xlfn.AGGREGATE(15,6,(ROW(Liste_Handelsünger[Handelsdünger])-1)/(--(SEARCH(AX$2,Liste_Handelsünger[Handelsdünger])&gt;0)),ROW()-2),1),"")</f>
        <v>KOMPOST2000</v>
      </c>
      <c r="AX241" t="str">
        <f>IF(($A248=""),"",IF(COUNTIF(Mineral!$AJ$3:$AJ$324,$A248),"",$A248))</f>
        <v/>
      </c>
      <c r="AY241" t="str">
        <f>IFERROR(INDEX(Liste_Handelsünger[Handelsdünger],_xlfn.AGGREGATE(15,6,(ROW(Liste_Handelsünger[Handelsdünger])-1)/(--(SEARCH(AZ$2,Liste_Handelsünger[Handelsdünger])&gt;0)),ROW()-2),1),"")</f>
        <v>KOMPOST2000</v>
      </c>
      <c r="AZ241" t="str">
        <f>IF(($A249=""),"",IF(COUNTIF(Mineral!$AJ$3:$AJ$324,$A249),"",$A249))</f>
        <v/>
      </c>
      <c r="BA241" t="str">
        <f>IFERROR(INDEX(Liste_Handelsünger[Handelsdünger],_xlfn.AGGREGATE(15,6,(ROW(Liste_Handelsünger[Handelsdünger])-1)/(--(SEARCH(BB$2,Liste_Handelsünger[Handelsdünger])&gt;0)),ROW()-2),1),"")</f>
        <v>KOMPOST2000</v>
      </c>
      <c r="BB241" t="str">
        <f>IF(($A250=""),"",IF(COUNTIF(Mineral!$AJ$3:$AJ$324,$A250),"",$A250))</f>
        <v/>
      </c>
      <c r="BC241" t="str">
        <f>IFERROR(INDEX(Liste_Handelsünger[Handelsdünger],_xlfn.AGGREGATE(15,6,(ROW(Liste_Handelsünger[Handelsdünger])-1)/(--(SEARCH(BD$2,Liste_Handelsünger[Handelsdünger])&gt;0)),ROW()-2),1),"")</f>
        <v>KOMPOST2000</v>
      </c>
      <c r="BD241" t="str">
        <f>IF(($A251=""),"",IF(COUNTIF(Mineral!$AJ$3:$AJ$324,$A251),"",$A251))</f>
        <v/>
      </c>
      <c r="BE241" t="str">
        <f>IFERROR(INDEX(Liste_Handelsünger[Handelsdünger],_xlfn.AGGREGATE(15,6,(ROW(Liste_Handelsünger[Handelsdünger])-1)/(--(SEARCH(BF$2,Liste_Handelsünger[Handelsdünger])&gt;0)),ROW()-2),1),"")</f>
        <v>KOMPOST2000</v>
      </c>
      <c r="BF241" t="str">
        <f>IF(($A252=""),"",IF(COUNTIF(Mineral!$AJ$3:$AJ$324,$A252),"",$A252))</f>
        <v/>
      </c>
      <c r="BG241" t="str">
        <f>IFERROR(INDEX(Liste_Handelsünger[Handelsdünger],_xlfn.AGGREGATE(15,6,(ROW(Liste_Handelsünger[Handelsdünger])-1)/(--(SEARCH(BH$2,Liste_Handelsünger[Handelsdünger])&gt;0)),ROW()-2),1),"")</f>
        <v>KOMPOST2000</v>
      </c>
      <c r="BH241" t="str">
        <f>IF(($A253=""),"",IF(COUNTIF(Mineral!$AJ$3:$AJ$324,$A253),"",$A253))</f>
        <v/>
      </c>
      <c r="BI241" t="str">
        <f>IFERROR(INDEX(Liste_Handelsünger[Handelsdünger],_xlfn.AGGREGATE(15,6,(ROW(Liste_Handelsünger[Handelsdünger])-1)/(--(SEARCH(BJ$2,Liste_Handelsünger[Handelsdünger])&gt;0)),ROW()-2),1),"")</f>
        <v>KOMPOST2000</v>
      </c>
      <c r="BJ241" t="str">
        <f>IF(($A254=""),"",IF(COUNTIF(Mineral!$AJ$3:$AJ$324,$A254),"",$A254))</f>
        <v/>
      </c>
      <c r="BK241" t="str">
        <f>IFERROR(INDEX(Liste_Handelsünger[Handelsdünger],_xlfn.AGGREGATE(15,6,(ROW(Liste_Handelsünger[Handelsdünger])-1)/(--(SEARCH(BL$2,Liste_Handelsünger[Handelsdünger])&gt;0)),ROW()-2),1),"")</f>
        <v>KOMPOST2000</v>
      </c>
      <c r="BM241" t="str">
        <f>IFERROR(INDEX(Liste_Handelsünger[Handelsdünger],_xlfn.AGGREGATE(15,6,(ROW(Liste_Handelsünger[Handelsdünger])-1)/(--(SEARCH(BN$2,Liste_Handelsünger[Handelsdünger])&gt;0)),ROW()-2),1),"")</f>
        <v>KOMPOST2000</v>
      </c>
      <c r="BN241" t="str">
        <f>IF(($A256=""),"",IF(COUNTIF(Mineral!$AJ$3:$AJ$324,$A256),"",$A256))</f>
        <v/>
      </c>
      <c r="BV241" t="s">
        <v>2186</v>
      </c>
      <c r="BW241" t="s">
        <v>2112</v>
      </c>
      <c r="BZ241" s="1602"/>
      <c r="CA241" s="1602"/>
      <c r="CB241" s="1602"/>
    </row>
    <row r="242" spans="19:80" ht="14.25" thickTop="1" thickBot="1">
      <c r="S242" s="1676">
        <v>241</v>
      </c>
      <c r="T242" s="1606" t="s">
        <v>2006</v>
      </c>
      <c r="U242" s="1606" t="s">
        <v>2189</v>
      </c>
      <c r="V242" s="1606" t="s">
        <v>408</v>
      </c>
      <c r="W242" s="1606">
        <v>0</v>
      </c>
      <c r="X242" s="1606">
        <v>0</v>
      </c>
      <c r="Y242" s="1606">
        <v>0</v>
      </c>
      <c r="Z242" s="1606">
        <v>12.8</v>
      </c>
      <c r="AA242" s="1606">
        <v>0</v>
      </c>
      <c r="AB242" s="1606">
        <v>0</v>
      </c>
      <c r="AC242" s="1606">
        <v>1</v>
      </c>
      <c r="AD242" s="1613">
        <v>1</v>
      </c>
      <c r="AE242" s="1606" t="s">
        <v>1764</v>
      </c>
      <c r="AF242" s="1613" t="str">
        <f t="shared" si="19"/>
        <v/>
      </c>
      <c r="AG242" s="1656">
        <f>IFERROR(IF($AF242&gt;0,VLOOKUP($U242,Tabelle1!$C$188:$L$212,5,0)*$AF242,0),0)</f>
        <v>0</v>
      </c>
      <c r="AH242" s="1656">
        <f t="shared" si="20"/>
        <v>0</v>
      </c>
      <c r="AJ242" t="str">
        <f>IF(Betrieb!$D$9="JA",Mineral!$BW242,Mineral!$BV242)</f>
        <v>Kupfersulfat</v>
      </c>
      <c r="AK242" s="1672" t="str">
        <f>IFERROR(INDEX(Liste_Handelsünger[Handelsdünger],_xlfn.AGGREGATE(15,6,(ROW(Liste_Handelsünger[Handelsdünger])-1)/(--(SEARCH(AL$2,Liste_Handelsünger[Handelsdünger])&gt;0)),ROW()-2),1),"")</f>
        <v>Kupfersulfat</v>
      </c>
      <c r="AL242" s="1672" t="str">
        <f>IF(($A$3=""),"",IF(COUNTIF(Mineral!$AJ$3:$AJ$324,$A$3),"",$A$3))</f>
        <v/>
      </c>
      <c r="AM242" s="1672" t="str">
        <f>IFERROR(INDEX(Liste_Handelsünger[Handelsdünger],_xlfn.AGGREGATE(15,6,(ROW(Liste_Handelsünger[Handelsdünger])-1)/(--(SEARCH(AN$2,Liste_Handelsünger[Handelsdünger])&gt;0)),ROW()-2),1),"")</f>
        <v>Kupfersulfat</v>
      </c>
      <c r="AN242" t="str">
        <f>IF(($A244=""),"",IF(COUNTIF(Mineral!$AJ$3:$AJ$324,$A244),"",$A244))</f>
        <v/>
      </c>
      <c r="AO242" t="str">
        <f>IFERROR(INDEX(Liste_Handelsünger[Handelsdünger],_xlfn.AGGREGATE(15,6,(ROW(Liste_Handelsünger[Handelsdünger])-1)/(--(SEARCH(AP$2,Liste_Handelsünger[Handelsdünger])&gt;0)),ROW()-2),1),"")</f>
        <v>Kupfersulfat</v>
      </c>
      <c r="AP242" t="str">
        <f>IF(($A245=""),"",IF(COUNTIF(Mineral!$AJ$3:$AJ$324,$A245),"",$A245))</f>
        <v/>
      </c>
      <c r="AQ242" t="str">
        <f>IFERROR(INDEX(Liste_Handelsünger[Handelsdünger],_xlfn.AGGREGATE(15,6,(ROW(Liste_Handelsünger[Handelsdünger])-1)/(--(SEARCH(AR$2,Liste_Handelsünger[Handelsdünger])&gt;0)),ROW()-2),1),"")</f>
        <v>Kupfersulfat</v>
      </c>
      <c r="AR242" t="str">
        <f>IF(($A246=""),"",IF(COUNTIF(Mineral!$AJ$3:$AJ$324,$A246),"",$A246))</f>
        <v/>
      </c>
      <c r="AS242" t="str">
        <f>IFERROR(INDEX(Liste_Handelsünger[Handelsdünger],_xlfn.AGGREGATE(15,6,(ROW(Liste_Handelsünger[Handelsdünger])-1)/(--(SEARCH(AT$2,Liste_Handelsünger[Handelsdünger])&gt;0)),ROW()-2),1),"")</f>
        <v>Kupfersulfat</v>
      </c>
      <c r="AT242" t="str">
        <f>IF(($A247=""),"",IF(COUNTIF(Mineral!$AJ$3:$AJ$324,$A247),"",$A247))</f>
        <v/>
      </c>
      <c r="AU242" t="str">
        <f>IFERROR(INDEX(Liste_Handelsünger[Handelsdünger],_xlfn.AGGREGATE(15,6,(ROW(Liste_Handelsünger[Handelsdünger])-1)/(--(SEARCH(AV$2,Liste_Handelsünger[Handelsdünger])&gt;0)),ROW()-2),1),"")</f>
        <v>Kupfersulfat</v>
      </c>
      <c r="AV242" t="str">
        <f>IF(($A248=""),"",IF(COUNTIF(Mineral!$AJ$3:$AJ$324,$A248),"",$A248))</f>
        <v/>
      </c>
      <c r="AW242" t="str">
        <f>IFERROR(INDEX(Liste_Handelsünger[Handelsdünger],_xlfn.AGGREGATE(15,6,(ROW(Liste_Handelsünger[Handelsdünger])-1)/(--(SEARCH(AX$2,Liste_Handelsünger[Handelsdünger])&gt;0)),ROW()-2),1),"")</f>
        <v>Kupfersulfat</v>
      </c>
      <c r="AX242" t="str">
        <f>IF(($A249=""),"",IF(COUNTIF(Mineral!$AJ$3:$AJ$324,$A249),"",$A249))</f>
        <v/>
      </c>
      <c r="AY242" t="str">
        <f>IFERROR(INDEX(Liste_Handelsünger[Handelsdünger],_xlfn.AGGREGATE(15,6,(ROW(Liste_Handelsünger[Handelsdünger])-1)/(--(SEARCH(AZ$2,Liste_Handelsünger[Handelsdünger])&gt;0)),ROW()-2),1),"")</f>
        <v>Kupfersulfat</v>
      </c>
      <c r="AZ242" t="str">
        <f>IF(($A250=""),"",IF(COUNTIF(Mineral!$AJ$3:$AJ$324,$A250),"",$A250))</f>
        <v/>
      </c>
      <c r="BA242" t="str">
        <f>IFERROR(INDEX(Liste_Handelsünger[Handelsdünger],_xlfn.AGGREGATE(15,6,(ROW(Liste_Handelsünger[Handelsdünger])-1)/(--(SEARCH(BB$2,Liste_Handelsünger[Handelsdünger])&gt;0)),ROW()-2),1),"")</f>
        <v>Kupfersulfat</v>
      </c>
      <c r="BB242" t="str">
        <f>IF(($A251=""),"",IF(COUNTIF(Mineral!$AJ$3:$AJ$324,$A251),"",$A251))</f>
        <v/>
      </c>
      <c r="BC242" t="str">
        <f>IFERROR(INDEX(Liste_Handelsünger[Handelsdünger],_xlfn.AGGREGATE(15,6,(ROW(Liste_Handelsünger[Handelsdünger])-1)/(--(SEARCH(BD$2,Liste_Handelsünger[Handelsdünger])&gt;0)),ROW()-2),1),"")</f>
        <v>Kupfersulfat</v>
      </c>
      <c r="BD242" t="str">
        <f>IF(($A252=""),"",IF(COUNTIF(Mineral!$AJ$3:$AJ$324,$A252),"",$A252))</f>
        <v/>
      </c>
      <c r="BE242" t="str">
        <f>IFERROR(INDEX(Liste_Handelsünger[Handelsdünger],_xlfn.AGGREGATE(15,6,(ROW(Liste_Handelsünger[Handelsdünger])-1)/(--(SEARCH(BF$2,Liste_Handelsünger[Handelsdünger])&gt;0)),ROW()-2),1),"")</f>
        <v>Kupfersulfat</v>
      </c>
      <c r="BF242" t="str">
        <f>IF(($A253=""),"",IF(COUNTIF(Mineral!$AJ$3:$AJ$324,$A253),"",$A253))</f>
        <v/>
      </c>
      <c r="BG242" t="str">
        <f>IFERROR(INDEX(Liste_Handelsünger[Handelsdünger],_xlfn.AGGREGATE(15,6,(ROW(Liste_Handelsünger[Handelsdünger])-1)/(--(SEARCH(BH$2,Liste_Handelsünger[Handelsdünger])&gt;0)),ROW()-2),1),"")</f>
        <v>Kupfersulfat</v>
      </c>
      <c r="BH242" t="str">
        <f>IF(($A254=""),"",IF(COUNTIF(Mineral!$AJ$3:$AJ$324,$A254),"",$A254))</f>
        <v/>
      </c>
      <c r="BI242" t="str">
        <f>IFERROR(INDEX(Liste_Handelsünger[Handelsdünger],_xlfn.AGGREGATE(15,6,(ROW(Liste_Handelsünger[Handelsdünger])-1)/(--(SEARCH(BJ$2,Liste_Handelsünger[Handelsdünger])&gt;0)),ROW()-2),1),"")</f>
        <v>Kupfersulfat</v>
      </c>
      <c r="BJ242" t="str">
        <f>IF(($A255=""),"",IF(COUNTIF(Mineral!$AJ$3:$AJ$324,$A255),"",$A255))</f>
        <v/>
      </c>
      <c r="BK242" t="str">
        <f>IFERROR(INDEX(Liste_Handelsünger[Handelsdünger],_xlfn.AGGREGATE(15,6,(ROW(Liste_Handelsünger[Handelsdünger])-1)/(--(SEARCH(BL$2,Liste_Handelsünger[Handelsdünger])&gt;0)),ROW()-2),1),"")</f>
        <v>Kupfersulfat</v>
      </c>
      <c r="BM242" t="str">
        <f>IFERROR(INDEX(Liste_Handelsünger[Handelsdünger],_xlfn.AGGREGATE(15,6,(ROW(Liste_Handelsünger[Handelsdünger])-1)/(--(SEARCH(BN$2,Liste_Handelsünger[Handelsdünger])&gt;0)),ROW()-2),1),"")</f>
        <v>Kupfersulfat</v>
      </c>
      <c r="BN242" t="str">
        <f>IF(($A257=""),"",IF(COUNTIF(Mineral!$AJ$3:$AJ$324,$A257),"",$A257))</f>
        <v/>
      </c>
      <c r="BV242" t="s">
        <v>2189</v>
      </c>
      <c r="BW242" t="s">
        <v>2113</v>
      </c>
      <c r="BZ242" s="1602"/>
      <c r="CA242" s="1602"/>
      <c r="CB242" s="1602"/>
    </row>
    <row r="243" spans="19:80" ht="14.25" thickTop="1" thickBot="1">
      <c r="S243" s="1616">
        <v>242</v>
      </c>
      <c r="T243" s="1617" t="s">
        <v>2006</v>
      </c>
      <c r="U243" s="1617" t="s">
        <v>2190</v>
      </c>
      <c r="V243" s="1617" t="s">
        <v>408</v>
      </c>
      <c r="W243" s="1617">
        <v>0</v>
      </c>
      <c r="X243" s="1617">
        <v>0</v>
      </c>
      <c r="Y243" s="1617">
        <v>0</v>
      </c>
      <c r="Z243" s="1617">
        <v>0</v>
      </c>
      <c r="AA243" s="1617">
        <v>0</v>
      </c>
      <c r="AB243" s="1617">
        <v>0</v>
      </c>
      <c r="AC243" s="1617">
        <v>1</v>
      </c>
      <c r="AD243" s="1613">
        <v>1</v>
      </c>
      <c r="AE243" s="1617" t="s">
        <v>1764</v>
      </c>
      <c r="AF243" s="1613" t="str">
        <f t="shared" si="19"/>
        <v/>
      </c>
      <c r="AG243" s="1656">
        <f>IFERROR(IF($AF243&gt;0,VLOOKUP($U243,Tabelle1!$C$188:$L$212,5,0)*$AF243,0),0)</f>
        <v>0</v>
      </c>
      <c r="AH243" s="1656">
        <f t="shared" si="20"/>
        <v>0</v>
      </c>
      <c r="AJ243" t="str">
        <f>IF(Betrieb!$D$9="JA",Mineral!$BW243,Mineral!$BV243)</f>
        <v>Lebosol Bor</v>
      </c>
      <c r="AK243" s="1672" t="str">
        <f>IFERROR(INDEX(Liste_Handelsünger[Handelsdünger],_xlfn.AGGREGATE(15,6,(ROW(Liste_Handelsünger[Handelsdünger])-1)/(--(SEARCH(AL$2,Liste_Handelsünger[Handelsdünger])&gt;0)),ROW()-2),1),"")</f>
        <v>Lebosol Bor</v>
      </c>
      <c r="AL243" s="1672" t="str">
        <f>IF(($A$3=""),"",IF(COUNTIF(Mineral!$AJ$3:$AJ$324,$A$3),"",$A$3))</f>
        <v/>
      </c>
      <c r="AM243" s="1672" t="str">
        <f>IFERROR(INDEX(Liste_Handelsünger[Handelsdünger],_xlfn.AGGREGATE(15,6,(ROW(Liste_Handelsünger[Handelsdünger])-1)/(--(SEARCH(AN$2,Liste_Handelsünger[Handelsdünger])&gt;0)),ROW()-2),1),"")</f>
        <v>Lebosol Bor</v>
      </c>
      <c r="AN243" t="str">
        <f>IF(($A245=""),"",IF(COUNTIF(Mineral!$AJ$3:$AJ$324,$A245),"",$A245))</f>
        <v/>
      </c>
      <c r="AO243" t="str">
        <f>IFERROR(INDEX(Liste_Handelsünger[Handelsdünger],_xlfn.AGGREGATE(15,6,(ROW(Liste_Handelsünger[Handelsdünger])-1)/(--(SEARCH(AP$2,Liste_Handelsünger[Handelsdünger])&gt;0)),ROW()-2),1),"")</f>
        <v>Lebosol Bor</v>
      </c>
      <c r="AP243" t="str">
        <f>IF(($A246=""),"",IF(COUNTIF(Mineral!$AJ$3:$AJ$324,$A246),"",$A246))</f>
        <v/>
      </c>
      <c r="AQ243" t="str">
        <f>IFERROR(INDEX(Liste_Handelsünger[Handelsdünger],_xlfn.AGGREGATE(15,6,(ROW(Liste_Handelsünger[Handelsdünger])-1)/(--(SEARCH(AR$2,Liste_Handelsünger[Handelsdünger])&gt;0)),ROW()-2),1),"")</f>
        <v>Lebosol Bor</v>
      </c>
      <c r="AR243" t="str">
        <f>IF(($A247=""),"",IF(COUNTIF(Mineral!$AJ$3:$AJ$324,$A247),"",$A247))</f>
        <v/>
      </c>
      <c r="AS243" t="str">
        <f>IFERROR(INDEX(Liste_Handelsünger[Handelsdünger],_xlfn.AGGREGATE(15,6,(ROW(Liste_Handelsünger[Handelsdünger])-1)/(--(SEARCH(AT$2,Liste_Handelsünger[Handelsdünger])&gt;0)),ROW()-2),1),"")</f>
        <v>Lebosol Bor</v>
      </c>
      <c r="AT243" t="str">
        <f>IF(($A248=""),"",IF(COUNTIF(Mineral!$AJ$3:$AJ$324,$A248),"",$A248))</f>
        <v/>
      </c>
      <c r="AU243" t="str">
        <f>IFERROR(INDEX(Liste_Handelsünger[Handelsdünger],_xlfn.AGGREGATE(15,6,(ROW(Liste_Handelsünger[Handelsdünger])-1)/(--(SEARCH(AV$2,Liste_Handelsünger[Handelsdünger])&gt;0)),ROW()-2),1),"")</f>
        <v>Lebosol Bor</v>
      </c>
      <c r="AV243" t="str">
        <f>IF(($A249=""),"",IF(COUNTIF(Mineral!$AJ$3:$AJ$324,$A249),"",$A249))</f>
        <v/>
      </c>
      <c r="AW243" t="str">
        <f>IFERROR(INDEX(Liste_Handelsünger[Handelsdünger],_xlfn.AGGREGATE(15,6,(ROW(Liste_Handelsünger[Handelsdünger])-1)/(--(SEARCH(AX$2,Liste_Handelsünger[Handelsdünger])&gt;0)),ROW()-2),1),"")</f>
        <v>Lebosol Bor</v>
      </c>
      <c r="AX243" t="str">
        <f>IF(($A250=""),"",IF(COUNTIF(Mineral!$AJ$3:$AJ$324,$A250),"",$A250))</f>
        <v/>
      </c>
      <c r="AY243" t="str">
        <f>IFERROR(INDEX(Liste_Handelsünger[Handelsdünger],_xlfn.AGGREGATE(15,6,(ROW(Liste_Handelsünger[Handelsdünger])-1)/(--(SEARCH(AZ$2,Liste_Handelsünger[Handelsdünger])&gt;0)),ROW()-2),1),"")</f>
        <v>Lebosol Bor</v>
      </c>
      <c r="AZ243" t="str">
        <f>IF(($A251=""),"",IF(COUNTIF(Mineral!$AJ$3:$AJ$324,$A251),"",$A251))</f>
        <v/>
      </c>
      <c r="BA243" t="str">
        <f>IFERROR(INDEX(Liste_Handelsünger[Handelsdünger],_xlfn.AGGREGATE(15,6,(ROW(Liste_Handelsünger[Handelsdünger])-1)/(--(SEARCH(BB$2,Liste_Handelsünger[Handelsdünger])&gt;0)),ROW()-2),1),"")</f>
        <v>Lebosol Bor</v>
      </c>
      <c r="BB243" t="str">
        <f>IF(($A252=""),"",IF(COUNTIF(Mineral!$AJ$3:$AJ$324,$A252),"",$A252))</f>
        <v/>
      </c>
      <c r="BC243" t="str">
        <f>IFERROR(INDEX(Liste_Handelsünger[Handelsdünger],_xlfn.AGGREGATE(15,6,(ROW(Liste_Handelsünger[Handelsdünger])-1)/(--(SEARCH(BD$2,Liste_Handelsünger[Handelsdünger])&gt;0)),ROW()-2),1),"")</f>
        <v>Lebosol Bor</v>
      </c>
      <c r="BD243" t="str">
        <f>IF(($A253=""),"",IF(COUNTIF(Mineral!$AJ$3:$AJ$324,$A253),"",$A253))</f>
        <v/>
      </c>
      <c r="BE243" t="str">
        <f>IFERROR(INDEX(Liste_Handelsünger[Handelsdünger],_xlfn.AGGREGATE(15,6,(ROW(Liste_Handelsünger[Handelsdünger])-1)/(--(SEARCH(BF$2,Liste_Handelsünger[Handelsdünger])&gt;0)),ROW()-2),1),"")</f>
        <v>Lebosol Bor</v>
      </c>
      <c r="BF243" t="str">
        <f>IF(($A254=""),"",IF(COUNTIF(Mineral!$AJ$3:$AJ$324,$A254),"",$A254))</f>
        <v/>
      </c>
      <c r="BG243" t="str">
        <f>IFERROR(INDEX(Liste_Handelsünger[Handelsdünger],_xlfn.AGGREGATE(15,6,(ROW(Liste_Handelsünger[Handelsdünger])-1)/(--(SEARCH(BH$2,Liste_Handelsünger[Handelsdünger])&gt;0)),ROW()-2),1),"")</f>
        <v>Lebosol Bor</v>
      </c>
      <c r="BH243" t="str">
        <f>IF(($A255=""),"",IF(COUNTIF(Mineral!$AJ$3:$AJ$324,$A255),"",$A255))</f>
        <v/>
      </c>
      <c r="BI243" t="str">
        <f>IFERROR(INDEX(Liste_Handelsünger[Handelsdünger],_xlfn.AGGREGATE(15,6,(ROW(Liste_Handelsünger[Handelsdünger])-1)/(--(SEARCH(BJ$2,Liste_Handelsünger[Handelsdünger])&gt;0)),ROW()-2),1),"")</f>
        <v>Lebosol Bor</v>
      </c>
      <c r="BJ243" t="str">
        <f>IF(($A256=""),"",IF(COUNTIF(Mineral!$AJ$3:$AJ$324,$A256),"",$A256))</f>
        <v/>
      </c>
      <c r="BK243" t="str">
        <f>IFERROR(INDEX(Liste_Handelsünger[Handelsdünger],_xlfn.AGGREGATE(15,6,(ROW(Liste_Handelsünger[Handelsdünger])-1)/(--(SEARCH(BL$2,Liste_Handelsünger[Handelsdünger])&gt;0)),ROW()-2),1),"")</f>
        <v>Lebosol Bor</v>
      </c>
      <c r="BM243" t="str">
        <f>IFERROR(INDEX(Liste_Handelsünger[Handelsdünger],_xlfn.AGGREGATE(15,6,(ROW(Liste_Handelsünger[Handelsdünger])-1)/(--(SEARCH(BN$2,Liste_Handelsünger[Handelsdünger])&gt;0)),ROW()-2),1),"")</f>
        <v>Lebosol Bor</v>
      </c>
      <c r="BN243" t="str">
        <f>IF(($A258=""),"",IF(COUNTIF(Mineral!$AJ$3:$AJ$324,$A258),"",$A258))</f>
        <v/>
      </c>
      <c r="BV243" t="s">
        <v>2190</v>
      </c>
      <c r="BW243" t="s">
        <v>2114</v>
      </c>
      <c r="BZ243" s="1602"/>
      <c r="CA243" s="1602"/>
      <c r="CB243" s="1602"/>
    </row>
    <row r="244" spans="19:80" ht="14.25" thickTop="1" thickBot="1">
      <c r="S244" s="1676">
        <v>243</v>
      </c>
      <c r="T244" s="1606" t="s">
        <v>2006</v>
      </c>
      <c r="U244" s="1606" t="s">
        <v>2191</v>
      </c>
      <c r="V244" s="1606" t="s">
        <v>408</v>
      </c>
      <c r="W244" s="1606">
        <v>0</v>
      </c>
      <c r="X244" s="1606">
        <v>0</v>
      </c>
      <c r="Y244" s="1606">
        <v>0</v>
      </c>
      <c r="Z244" s="1606">
        <v>0</v>
      </c>
      <c r="AA244" s="1606">
        <v>0</v>
      </c>
      <c r="AB244" s="1606">
        <v>25</v>
      </c>
      <c r="AC244" s="1606">
        <v>1</v>
      </c>
      <c r="AD244" s="1613">
        <v>1</v>
      </c>
      <c r="AE244" s="1606" t="s">
        <v>1764</v>
      </c>
      <c r="AF244" s="1613" t="str">
        <f t="shared" si="19"/>
        <v/>
      </c>
      <c r="AG244" s="1656">
        <f>IFERROR(IF($AF244&gt;0,VLOOKUP($U244,Tabelle1!$C$188:$L$212,5,0)*$AF244,0),0)</f>
        <v>0</v>
      </c>
      <c r="AH244" s="1656">
        <f t="shared" si="20"/>
        <v>0</v>
      </c>
      <c r="AJ244" t="str">
        <f>IF(Betrieb!$D$9="JA",Mineral!$BW244,Mineral!$BV244)</f>
        <v>Lebosol®-Magnesium 400 SC</v>
      </c>
      <c r="AK244" s="1672" t="str">
        <f>IFERROR(INDEX(Liste_Handelsünger[Handelsdünger],_xlfn.AGGREGATE(15,6,(ROW(Liste_Handelsünger[Handelsdünger])-1)/(--(SEARCH(AL$2,Liste_Handelsünger[Handelsdünger])&gt;0)),ROW()-2),1),"")</f>
        <v>Lebosol®-Magnesium 400 SC</v>
      </c>
      <c r="AL244" s="1672" t="str">
        <f>IF(($A$3=""),"",IF(COUNTIF(Mineral!$AJ$3:$AJ$324,$A$3),"",$A$3))</f>
        <v/>
      </c>
      <c r="AM244" s="1672" t="str">
        <f>IFERROR(INDEX(Liste_Handelsünger[Handelsdünger],_xlfn.AGGREGATE(15,6,(ROW(Liste_Handelsünger[Handelsdünger])-1)/(--(SEARCH(AN$2,Liste_Handelsünger[Handelsdünger])&gt;0)),ROW()-2),1),"")</f>
        <v>Lebosol®-Magnesium 400 SC</v>
      </c>
      <c r="AN244" t="str">
        <f>IF(($A246=""),"",IF(COUNTIF(Mineral!$AJ$3:$AJ$324,$A246),"",$A246))</f>
        <v/>
      </c>
      <c r="AO244" t="str">
        <f>IFERROR(INDEX(Liste_Handelsünger[Handelsdünger],_xlfn.AGGREGATE(15,6,(ROW(Liste_Handelsünger[Handelsdünger])-1)/(--(SEARCH(AP$2,Liste_Handelsünger[Handelsdünger])&gt;0)),ROW()-2),1),"")</f>
        <v>Lebosol®-Magnesium 400 SC</v>
      </c>
      <c r="AP244" t="str">
        <f>IF(($A247=""),"",IF(COUNTIF(Mineral!$AJ$3:$AJ$324,$A247),"",$A247))</f>
        <v/>
      </c>
      <c r="AQ244" t="str">
        <f>IFERROR(INDEX(Liste_Handelsünger[Handelsdünger],_xlfn.AGGREGATE(15,6,(ROW(Liste_Handelsünger[Handelsdünger])-1)/(--(SEARCH(AR$2,Liste_Handelsünger[Handelsdünger])&gt;0)),ROW()-2),1),"")</f>
        <v>Lebosol®-Magnesium 400 SC</v>
      </c>
      <c r="AR244" t="str">
        <f>IF(($A248=""),"",IF(COUNTIF(Mineral!$AJ$3:$AJ$324,$A248),"",$A248))</f>
        <v/>
      </c>
      <c r="AS244" t="str">
        <f>IFERROR(INDEX(Liste_Handelsünger[Handelsdünger],_xlfn.AGGREGATE(15,6,(ROW(Liste_Handelsünger[Handelsdünger])-1)/(--(SEARCH(AT$2,Liste_Handelsünger[Handelsdünger])&gt;0)),ROW()-2),1),"")</f>
        <v>Lebosol®-Magnesium 400 SC</v>
      </c>
      <c r="AT244" t="str">
        <f>IF(($A249=""),"",IF(COUNTIF(Mineral!$AJ$3:$AJ$324,$A249),"",$A249))</f>
        <v/>
      </c>
      <c r="AU244" t="str">
        <f>IFERROR(INDEX(Liste_Handelsünger[Handelsdünger],_xlfn.AGGREGATE(15,6,(ROW(Liste_Handelsünger[Handelsdünger])-1)/(--(SEARCH(AV$2,Liste_Handelsünger[Handelsdünger])&gt;0)),ROW()-2),1),"")</f>
        <v>Lebosol®-Magnesium 400 SC</v>
      </c>
      <c r="AV244" t="str">
        <f>IF(($A250=""),"",IF(COUNTIF(Mineral!$AJ$3:$AJ$324,$A250),"",$A250))</f>
        <v/>
      </c>
      <c r="AW244" t="str">
        <f>IFERROR(INDEX(Liste_Handelsünger[Handelsdünger],_xlfn.AGGREGATE(15,6,(ROW(Liste_Handelsünger[Handelsdünger])-1)/(--(SEARCH(AX$2,Liste_Handelsünger[Handelsdünger])&gt;0)),ROW()-2),1),"")</f>
        <v>Lebosol®-Magnesium 400 SC</v>
      </c>
      <c r="AX244" t="str">
        <f>IF(($A251=""),"",IF(COUNTIF(Mineral!$AJ$3:$AJ$324,$A251),"",$A251))</f>
        <v/>
      </c>
      <c r="AY244" t="str">
        <f>IFERROR(INDEX(Liste_Handelsünger[Handelsdünger],_xlfn.AGGREGATE(15,6,(ROW(Liste_Handelsünger[Handelsdünger])-1)/(--(SEARCH(AZ$2,Liste_Handelsünger[Handelsdünger])&gt;0)),ROW()-2),1),"")</f>
        <v>Lebosol®-Magnesium 400 SC</v>
      </c>
      <c r="AZ244" t="str">
        <f>IF(($A252=""),"",IF(COUNTIF(Mineral!$AJ$3:$AJ$324,$A252),"",$A252))</f>
        <v/>
      </c>
      <c r="BA244" t="str">
        <f>IFERROR(INDEX(Liste_Handelsünger[Handelsdünger],_xlfn.AGGREGATE(15,6,(ROW(Liste_Handelsünger[Handelsdünger])-1)/(--(SEARCH(BB$2,Liste_Handelsünger[Handelsdünger])&gt;0)),ROW()-2),1),"")</f>
        <v>Lebosol®-Magnesium 400 SC</v>
      </c>
      <c r="BB244" t="str">
        <f>IF(($A253=""),"",IF(COUNTIF(Mineral!$AJ$3:$AJ$324,$A253),"",$A253))</f>
        <v/>
      </c>
      <c r="BC244" t="str">
        <f>IFERROR(INDEX(Liste_Handelsünger[Handelsdünger],_xlfn.AGGREGATE(15,6,(ROW(Liste_Handelsünger[Handelsdünger])-1)/(--(SEARCH(BD$2,Liste_Handelsünger[Handelsdünger])&gt;0)),ROW()-2),1),"")</f>
        <v>Lebosol®-Magnesium 400 SC</v>
      </c>
      <c r="BD244" t="str">
        <f>IF(($A254=""),"",IF(COUNTIF(Mineral!$AJ$3:$AJ$324,$A254),"",$A254))</f>
        <v/>
      </c>
      <c r="BE244" t="str">
        <f>IFERROR(INDEX(Liste_Handelsünger[Handelsdünger],_xlfn.AGGREGATE(15,6,(ROW(Liste_Handelsünger[Handelsdünger])-1)/(--(SEARCH(BF$2,Liste_Handelsünger[Handelsdünger])&gt;0)),ROW()-2),1),"")</f>
        <v>Lebosol®-Magnesium 400 SC</v>
      </c>
      <c r="BF244" t="str">
        <f>IF(($A255=""),"",IF(COUNTIF(Mineral!$AJ$3:$AJ$324,$A255),"",$A255))</f>
        <v/>
      </c>
      <c r="BG244" t="str">
        <f>IFERROR(INDEX(Liste_Handelsünger[Handelsdünger],_xlfn.AGGREGATE(15,6,(ROW(Liste_Handelsünger[Handelsdünger])-1)/(--(SEARCH(BH$2,Liste_Handelsünger[Handelsdünger])&gt;0)),ROW()-2),1),"")</f>
        <v>Lebosol®-Magnesium 400 SC</v>
      </c>
      <c r="BH244" t="str">
        <f>IF(($A256=""),"",IF(COUNTIF(Mineral!$AJ$3:$AJ$324,$A256),"",$A256))</f>
        <v/>
      </c>
      <c r="BI244" t="str">
        <f>IFERROR(INDEX(Liste_Handelsünger[Handelsdünger],_xlfn.AGGREGATE(15,6,(ROW(Liste_Handelsünger[Handelsdünger])-1)/(--(SEARCH(BJ$2,Liste_Handelsünger[Handelsdünger])&gt;0)),ROW()-2),1),"")</f>
        <v>Lebosol®-Magnesium 400 SC</v>
      </c>
      <c r="BJ244" t="str">
        <f>IF(($A257=""),"",IF(COUNTIF(Mineral!$AJ$3:$AJ$324,$A257),"",$A257))</f>
        <v/>
      </c>
      <c r="BK244" t="str">
        <f>IFERROR(INDEX(Liste_Handelsünger[Handelsdünger],_xlfn.AGGREGATE(15,6,(ROW(Liste_Handelsünger[Handelsdünger])-1)/(--(SEARCH(BL$2,Liste_Handelsünger[Handelsdünger])&gt;0)),ROW()-2),1),"")</f>
        <v>Lebosol®-Magnesium 400 SC</v>
      </c>
      <c r="BM244" t="str">
        <f>IFERROR(INDEX(Liste_Handelsünger[Handelsdünger],_xlfn.AGGREGATE(15,6,(ROW(Liste_Handelsünger[Handelsdünger])-1)/(--(SEARCH(BN$2,Liste_Handelsünger[Handelsdünger])&gt;0)),ROW()-2),1),"")</f>
        <v>Lebosol®-Magnesium 400 SC</v>
      </c>
      <c r="BN244" t="str">
        <f>IF(($A259=""),"",IF(COUNTIF(Mineral!$AJ$3:$AJ$324,$A259),"",$A259))</f>
        <v/>
      </c>
      <c r="BV244" t="s">
        <v>2191</v>
      </c>
      <c r="BW244" t="s">
        <v>2115</v>
      </c>
      <c r="BZ244" s="1602"/>
      <c r="CA244" s="1602"/>
      <c r="CB244" s="1602"/>
    </row>
    <row r="245" spans="19:80" ht="14.25" thickTop="1" thickBot="1">
      <c r="S245" s="1616">
        <v>244</v>
      </c>
      <c r="T245" s="1617" t="s">
        <v>2006</v>
      </c>
      <c r="U245" s="1617" t="s">
        <v>2192</v>
      </c>
      <c r="V245" s="1617" t="s">
        <v>408</v>
      </c>
      <c r="W245" s="1617">
        <v>0</v>
      </c>
      <c r="X245" s="1617">
        <v>0</v>
      </c>
      <c r="Y245" s="1617">
        <v>0</v>
      </c>
      <c r="Z245" s="1617">
        <v>0</v>
      </c>
      <c r="AA245" s="1617">
        <v>0</v>
      </c>
      <c r="AB245" s="1617">
        <v>0</v>
      </c>
      <c r="AC245" s="1617">
        <v>1</v>
      </c>
      <c r="AD245" s="1613">
        <v>1</v>
      </c>
      <c r="AE245" s="1617" t="s">
        <v>1764</v>
      </c>
      <c r="AF245" s="1613" t="str">
        <f t="shared" si="19"/>
        <v/>
      </c>
      <c r="AG245" s="1656">
        <f>IFERROR(IF($AF245&gt;0,VLOOKUP($U245,Tabelle1!$C$188:$L$212,5,0)*$AF245,0),0)</f>
        <v>0</v>
      </c>
      <c r="AH245" s="1656">
        <f t="shared" si="20"/>
        <v>0</v>
      </c>
      <c r="AJ245" t="str">
        <f>IF(Betrieb!$D$9="JA",Mineral!$BW245,Mineral!$BV245)</f>
        <v>Lebosol®-Molybdän</v>
      </c>
      <c r="AK245" s="1672" t="str">
        <f>IFERROR(INDEX(Liste_Handelsünger[Handelsdünger],_xlfn.AGGREGATE(15,6,(ROW(Liste_Handelsünger[Handelsdünger])-1)/(--(SEARCH(AL$2,Liste_Handelsünger[Handelsdünger])&gt;0)),ROW()-2),1),"")</f>
        <v>Lebosol®-Molybdän</v>
      </c>
      <c r="AL245" s="1672" t="str">
        <f>IF(($A$3=""),"",IF(COUNTIF(Mineral!$AJ$3:$AJ$324,$A$3),"",$A$3))</f>
        <v/>
      </c>
      <c r="AM245" s="1672" t="str">
        <f>IFERROR(INDEX(Liste_Handelsünger[Handelsdünger],_xlfn.AGGREGATE(15,6,(ROW(Liste_Handelsünger[Handelsdünger])-1)/(--(SEARCH(AN$2,Liste_Handelsünger[Handelsdünger])&gt;0)),ROW()-2),1),"")</f>
        <v>Lebosol®-Molybdän</v>
      </c>
      <c r="AN245" t="str">
        <f>IF(($A247=""),"",IF(COUNTIF(Mineral!$AJ$3:$AJ$324,$A247),"",$A247))</f>
        <v/>
      </c>
      <c r="AO245" t="str">
        <f>IFERROR(INDEX(Liste_Handelsünger[Handelsdünger],_xlfn.AGGREGATE(15,6,(ROW(Liste_Handelsünger[Handelsdünger])-1)/(--(SEARCH(AP$2,Liste_Handelsünger[Handelsdünger])&gt;0)),ROW()-2),1),"")</f>
        <v>Lebosol®-Molybdän</v>
      </c>
      <c r="AP245" t="str">
        <f>IF(($A248=""),"",IF(COUNTIF(Mineral!$AJ$3:$AJ$324,$A248),"",$A248))</f>
        <v/>
      </c>
      <c r="AQ245" t="str">
        <f>IFERROR(INDEX(Liste_Handelsünger[Handelsdünger],_xlfn.AGGREGATE(15,6,(ROW(Liste_Handelsünger[Handelsdünger])-1)/(--(SEARCH(AR$2,Liste_Handelsünger[Handelsdünger])&gt;0)),ROW()-2),1),"")</f>
        <v>Lebosol®-Molybdän</v>
      </c>
      <c r="AR245" t="str">
        <f>IF(($A249=""),"",IF(COUNTIF(Mineral!$AJ$3:$AJ$324,$A249),"",$A249))</f>
        <v/>
      </c>
      <c r="AS245" t="str">
        <f>IFERROR(INDEX(Liste_Handelsünger[Handelsdünger],_xlfn.AGGREGATE(15,6,(ROW(Liste_Handelsünger[Handelsdünger])-1)/(--(SEARCH(AT$2,Liste_Handelsünger[Handelsdünger])&gt;0)),ROW()-2),1),"")</f>
        <v>Lebosol®-Molybdän</v>
      </c>
      <c r="AT245" t="str">
        <f>IF(($A250=""),"",IF(COUNTIF(Mineral!$AJ$3:$AJ$324,$A250),"",$A250))</f>
        <v/>
      </c>
      <c r="AU245" t="str">
        <f>IFERROR(INDEX(Liste_Handelsünger[Handelsdünger],_xlfn.AGGREGATE(15,6,(ROW(Liste_Handelsünger[Handelsdünger])-1)/(--(SEARCH(AV$2,Liste_Handelsünger[Handelsdünger])&gt;0)),ROW()-2),1),"")</f>
        <v>Lebosol®-Molybdän</v>
      </c>
      <c r="AV245" t="str">
        <f>IF(($A251=""),"",IF(COUNTIF(Mineral!$AJ$3:$AJ$324,$A251),"",$A251))</f>
        <v/>
      </c>
      <c r="AW245" t="str">
        <f>IFERROR(INDEX(Liste_Handelsünger[Handelsdünger],_xlfn.AGGREGATE(15,6,(ROW(Liste_Handelsünger[Handelsdünger])-1)/(--(SEARCH(AX$2,Liste_Handelsünger[Handelsdünger])&gt;0)),ROW()-2),1),"")</f>
        <v>Lebosol®-Molybdän</v>
      </c>
      <c r="AX245" t="str">
        <f>IF(($A252=""),"",IF(COUNTIF(Mineral!$AJ$3:$AJ$324,$A252),"",$A252))</f>
        <v/>
      </c>
      <c r="AY245" t="str">
        <f>IFERROR(INDEX(Liste_Handelsünger[Handelsdünger],_xlfn.AGGREGATE(15,6,(ROW(Liste_Handelsünger[Handelsdünger])-1)/(--(SEARCH(AZ$2,Liste_Handelsünger[Handelsdünger])&gt;0)),ROW()-2),1),"")</f>
        <v>Lebosol®-Molybdän</v>
      </c>
      <c r="AZ245" t="str">
        <f>IF(($A253=""),"",IF(COUNTIF(Mineral!$AJ$3:$AJ$324,$A253),"",$A253))</f>
        <v/>
      </c>
      <c r="BA245" t="str">
        <f>IFERROR(INDEX(Liste_Handelsünger[Handelsdünger],_xlfn.AGGREGATE(15,6,(ROW(Liste_Handelsünger[Handelsdünger])-1)/(--(SEARCH(BB$2,Liste_Handelsünger[Handelsdünger])&gt;0)),ROW()-2),1),"")</f>
        <v>Lebosol®-Molybdän</v>
      </c>
      <c r="BB245" t="str">
        <f>IF(($A254=""),"",IF(COUNTIF(Mineral!$AJ$3:$AJ$324,$A254),"",$A254))</f>
        <v/>
      </c>
      <c r="BC245" t="str">
        <f>IFERROR(INDEX(Liste_Handelsünger[Handelsdünger],_xlfn.AGGREGATE(15,6,(ROW(Liste_Handelsünger[Handelsdünger])-1)/(--(SEARCH(BD$2,Liste_Handelsünger[Handelsdünger])&gt;0)),ROW()-2),1),"")</f>
        <v>Lebosol®-Molybdän</v>
      </c>
      <c r="BD245" t="str">
        <f>IF(($A255=""),"",IF(COUNTIF(Mineral!$AJ$3:$AJ$324,$A255),"",$A255))</f>
        <v/>
      </c>
      <c r="BE245" t="str">
        <f>IFERROR(INDEX(Liste_Handelsünger[Handelsdünger],_xlfn.AGGREGATE(15,6,(ROW(Liste_Handelsünger[Handelsdünger])-1)/(--(SEARCH(BF$2,Liste_Handelsünger[Handelsdünger])&gt;0)),ROW()-2),1),"")</f>
        <v>Lebosol®-Molybdän</v>
      </c>
      <c r="BF245" t="str">
        <f>IF(($A256=""),"",IF(COUNTIF(Mineral!$AJ$3:$AJ$324,$A256),"",$A256))</f>
        <v/>
      </c>
      <c r="BG245" t="str">
        <f>IFERROR(INDEX(Liste_Handelsünger[Handelsdünger],_xlfn.AGGREGATE(15,6,(ROW(Liste_Handelsünger[Handelsdünger])-1)/(--(SEARCH(BH$2,Liste_Handelsünger[Handelsdünger])&gt;0)),ROW()-2),1),"")</f>
        <v>Lebosol®-Molybdän</v>
      </c>
      <c r="BH245" t="str">
        <f>IF(($A257=""),"",IF(COUNTIF(Mineral!$AJ$3:$AJ$324,$A257),"",$A257))</f>
        <v/>
      </c>
      <c r="BI245" t="str">
        <f>IFERROR(INDEX(Liste_Handelsünger[Handelsdünger],_xlfn.AGGREGATE(15,6,(ROW(Liste_Handelsünger[Handelsdünger])-1)/(--(SEARCH(BJ$2,Liste_Handelsünger[Handelsdünger])&gt;0)),ROW()-2),1),"")</f>
        <v>Lebosol®-Molybdän</v>
      </c>
      <c r="BJ245" t="str">
        <f>IF(($A258=""),"",IF(COUNTIF(Mineral!$AJ$3:$AJ$324,$A258),"",$A258))</f>
        <v/>
      </c>
      <c r="BK245" t="str">
        <f>IFERROR(INDEX(Liste_Handelsünger[Handelsdünger],_xlfn.AGGREGATE(15,6,(ROW(Liste_Handelsünger[Handelsdünger])-1)/(--(SEARCH(BL$2,Liste_Handelsünger[Handelsdünger])&gt;0)),ROW()-2),1),"")</f>
        <v>Lebosol®-Molybdän</v>
      </c>
      <c r="BM245" t="str">
        <f>IFERROR(INDEX(Liste_Handelsünger[Handelsdünger],_xlfn.AGGREGATE(15,6,(ROW(Liste_Handelsünger[Handelsdünger])-1)/(--(SEARCH(BN$2,Liste_Handelsünger[Handelsdünger])&gt;0)),ROW()-2),1),"")</f>
        <v>Lebosol®-Molybdän</v>
      </c>
      <c r="BN245" t="str">
        <f>IF(($A260=""),"",IF(COUNTIF(Mineral!$AJ$3:$AJ$324,$A260),"",$A260))</f>
        <v/>
      </c>
      <c r="BV245" t="s">
        <v>2192</v>
      </c>
      <c r="BW245" t="s">
        <v>2116</v>
      </c>
      <c r="BZ245" s="1602"/>
      <c r="CA245" s="1602"/>
      <c r="CB245" s="1602"/>
    </row>
    <row r="246" spans="19:80" ht="14.25" thickTop="1" thickBot="1">
      <c r="S246" s="1676">
        <v>245</v>
      </c>
      <c r="T246" s="1606" t="s">
        <v>2006</v>
      </c>
      <c r="U246" s="1606" t="s">
        <v>2193</v>
      </c>
      <c r="V246" s="1606" t="s">
        <v>408</v>
      </c>
      <c r="W246" s="1606">
        <v>0</v>
      </c>
      <c r="X246" s="1606">
        <v>0</v>
      </c>
      <c r="Y246" s="1606">
        <v>0</v>
      </c>
      <c r="Z246" s="1606">
        <v>0</v>
      </c>
      <c r="AA246" s="1606">
        <v>0</v>
      </c>
      <c r="AB246" s="1606">
        <v>0</v>
      </c>
      <c r="AC246" s="1606">
        <v>1</v>
      </c>
      <c r="AD246" s="1613">
        <v>1</v>
      </c>
      <c r="AE246" s="1606" t="s">
        <v>1764</v>
      </c>
      <c r="AF246" s="1613" t="str">
        <f t="shared" si="19"/>
        <v/>
      </c>
      <c r="AG246" s="1656">
        <f>IFERROR(IF($AF246&gt;0,VLOOKUP($U246,Tabelle1!$C$188:$L$212,5,0)*$AF246,0),0)</f>
        <v>0</v>
      </c>
      <c r="AH246" s="1656">
        <f t="shared" si="20"/>
        <v>0</v>
      </c>
      <c r="AJ246" t="str">
        <f>IF(Betrieb!$D$9="JA",Mineral!$BW246,Mineral!$BV246)</f>
        <v>Lebosol®-Zink 700 SC</v>
      </c>
      <c r="AK246" s="1672" t="str">
        <f>IFERROR(INDEX(Liste_Handelsünger[Handelsdünger],_xlfn.AGGREGATE(15,6,(ROW(Liste_Handelsünger[Handelsdünger])-1)/(--(SEARCH(AL$2,Liste_Handelsünger[Handelsdünger])&gt;0)),ROW()-2),1),"")</f>
        <v>Lebosol®-Zink 700 SC</v>
      </c>
      <c r="AL246" s="1672" t="str">
        <f>IF(($A$3=""),"",IF(COUNTIF(Mineral!$AJ$3:$AJ$324,$A$3),"",$A$3))</f>
        <v/>
      </c>
      <c r="AM246" s="1672" t="str">
        <f>IFERROR(INDEX(Liste_Handelsünger[Handelsdünger],_xlfn.AGGREGATE(15,6,(ROW(Liste_Handelsünger[Handelsdünger])-1)/(--(SEARCH(AN$2,Liste_Handelsünger[Handelsdünger])&gt;0)),ROW()-2),1),"")</f>
        <v>Lebosol®-Zink 700 SC</v>
      </c>
      <c r="AN246" t="str">
        <f>IF(($A248=""),"",IF(COUNTIF(Mineral!$AJ$3:$AJ$324,$A248),"",$A248))</f>
        <v/>
      </c>
      <c r="AO246" t="str">
        <f>IFERROR(INDEX(Liste_Handelsünger[Handelsdünger],_xlfn.AGGREGATE(15,6,(ROW(Liste_Handelsünger[Handelsdünger])-1)/(--(SEARCH(AP$2,Liste_Handelsünger[Handelsdünger])&gt;0)),ROW()-2),1),"")</f>
        <v>Lebosol®-Zink 700 SC</v>
      </c>
      <c r="AP246" t="str">
        <f>IF(($A249=""),"",IF(COUNTIF(Mineral!$AJ$3:$AJ$324,$A249),"",$A249))</f>
        <v/>
      </c>
      <c r="AQ246" t="str">
        <f>IFERROR(INDEX(Liste_Handelsünger[Handelsdünger],_xlfn.AGGREGATE(15,6,(ROW(Liste_Handelsünger[Handelsdünger])-1)/(--(SEARCH(AR$2,Liste_Handelsünger[Handelsdünger])&gt;0)),ROW()-2),1),"")</f>
        <v>Lebosol®-Zink 700 SC</v>
      </c>
      <c r="AR246" t="str">
        <f>IF(($A250=""),"",IF(COUNTIF(Mineral!$AJ$3:$AJ$324,$A250),"",$A250))</f>
        <v/>
      </c>
      <c r="AS246" t="str">
        <f>IFERROR(INDEX(Liste_Handelsünger[Handelsdünger],_xlfn.AGGREGATE(15,6,(ROW(Liste_Handelsünger[Handelsdünger])-1)/(--(SEARCH(AT$2,Liste_Handelsünger[Handelsdünger])&gt;0)),ROW()-2),1),"")</f>
        <v>Lebosol®-Zink 700 SC</v>
      </c>
      <c r="AT246" t="str">
        <f>IF(($A251=""),"",IF(COUNTIF(Mineral!$AJ$3:$AJ$324,$A251),"",$A251))</f>
        <v/>
      </c>
      <c r="AU246" t="str">
        <f>IFERROR(INDEX(Liste_Handelsünger[Handelsdünger],_xlfn.AGGREGATE(15,6,(ROW(Liste_Handelsünger[Handelsdünger])-1)/(--(SEARCH(AV$2,Liste_Handelsünger[Handelsdünger])&gt;0)),ROW()-2),1),"")</f>
        <v>Lebosol®-Zink 700 SC</v>
      </c>
      <c r="AV246" t="str">
        <f>IF(($A252=""),"",IF(COUNTIF(Mineral!$AJ$3:$AJ$324,$A252),"",$A252))</f>
        <v/>
      </c>
      <c r="AW246" t="str">
        <f>IFERROR(INDEX(Liste_Handelsünger[Handelsdünger],_xlfn.AGGREGATE(15,6,(ROW(Liste_Handelsünger[Handelsdünger])-1)/(--(SEARCH(AX$2,Liste_Handelsünger[Handelsdünger])&gt;0)),ROW()-2),1),"")</f>
        <v>Lebosol®-Zink 700 SC</v>
      </c>
      <c r="AX246" t="str">
        <f>IF(($A253=""),"",IF(COUNTIF(Mineral!$AJ$3:$AJ$324,$A253),"",$A253))</f>
        <v/>
      </c>
      <c r="AY246" t="str">
        <f>IFERROR(INDEX(Liste_Handelsünger[Handelsdünger],_xlfn.AGGREGATE(15,6,(ROW(Liste_Handelsünger[Handelsdünger])-1)/(--(SEARCH(AZ$2,Liste_Handelsünger[Handelsdünger])&gt;0)),ROW()-2),1),"")</f>
        <v>Lebosol®-Zink 700 SC</v>
      </c>
      <c r="AZ246" t="str">
        <f>IF(($A254=""),"",IF(COUNTIF(Mineral!$AJ$3:$AJ$324,$A254),"",$A254))</f>
        <v/>
      </c>
      <c r="BA246" t="str">
        <f>IFERROR(INDEX(Liste_Handelsünger[Handelsdünger],_xlfn.AGGREGATE(15,6,(ROW(Liste_Handelsünger[Handelsdünger])-1)/(--(SEARCH(BB$2,Liste_Handelsünger[Handelsdünger])&gt;0)),ROW()-2),1),"")</f>
        <v>Lebosol®-Zink 700 SC</v>
      </c>
      <c r="BB246" t="str">
        <f>IF(($A255=""),"",IF(COUNTIF(Mineral!$AJ$3:$AJ$324,$A255),"",$A255))</f>
        <v/>
      </c>
      <c r="BC246" t="str">
        <f>IFERROR(INDEX(Liste_Handelsünger[Handelsdünger],_xlfn.AGGREGATE(15,6,(ROW(Liste_Handelsünger[Handelsdünger])-1)/(--(SEARCH(BD$2,Liste_Handelsünger[Handelsdünger])&gt;0)),ROW()-2),1),"")</f>
        <v>Lebosol®-Zink 700 SC</v>
      </c>
      <c r="BD246" t="str">
        <f>IF(($A256=""),"",IF(COUNTIF(Mineral!$AJ$3:$AJ$324,$A256),"",$A256))</f>
        <v/>
      </c>
      <c r="BE246" t="str">
        <f>IFERROR(INDEX(Liste_Handelsünger[Handelsdünger],_xlfn.AGGREGATE(15,6,(ROW(Liste_Handelsünger[Handelsdünger])-1)/(--(SEARCH(BF$2,Liste_Handelsünger[Handelsdünger])&gt;0)),ROW()-2),1),"")</f>
        <v>Lebosol®-Zink 700 SC</v>
      </c>
      <c r="BF246" t="str">
        <f>IF(($A257=""),"",IF(COUNTIF(Mineral!$AJ$3:$AJ$324,$A257),"",$A257))</f>
        <v/>
      </c>
      <c r="BG246" t="str">
        <f>IFERROR(INDEX(Liste_Handelsünger[Handelsdünger],_xlfn.AGGREGATE(15,6,(ROW(Liste_Handelsünger[Handelsdünger])-1)/(--(SEARCH(BH$2,Liste_Handelsünger[Handelsdünger])&gt;0)),ROW()-2),1),"")</f>
        <v>Lebosol®-Zink 700 SC</v>
      </c>
      <c r="BH246" t="str">
        <f>IF(($A258=""),"",IF(COUNTIF(Mineral!$AJ$3:$AJ$324,$A258),"",$A258))</f>
        <v/>
      </c>
      <c r="BI246" t="str">
        <f>IFERROR(INDEX(Liste_Handelsünger[Handelsdünger],_xlfn.AGGREGATE(15,6,(ROW(Liste_Handelsünger[Handelsdünger])-1)/(--(SEARCH(BJ$2,Liste_Handelsünger[Handelsdünger])&gt;0)),ROW()-2),1),"")</f>
        <v>Lebosol®-Zink 700 SC</v>
      </c>
      <c r="BJ246" t="str">
        <f>IF(($A259=""),"",IF(COUNTIF(Mineral!$AJ$3:$AJ$324,$A259),"",$A259))</f>
        <v/>
      </c>
      <c r="BK246" t="str">
        <f>IFERROR(INDEX(Liste_Handelsünger[Handelsdünger],_xlfn.AGGREGATE(15,6,(ROW(Liste_Handelsünger[Handelsdünger])-1)/(--(SEARCH(BL$2,Liste_Handelsünger[Handelsdünger])&gt;0)),ROW()-2),1),"")</f>
        <v>Lebosol®-Zink 700 SC</v>
      </c>
      <c r="BM246" t="str">
        <f>IFERROR(INDEX(Liste_Handelsünger[Handelsdünger],_xlfn.AGGREGATE(15,6,(ROW(Liste_Handelsünger[Handelsdünger])-1)/(--(SEARCH(BN$2,Liste_Handelsünger[Handelsdünger])&gt;0)),ROW()-2),1),"")</f>
        <v>Lebosol®-Zink 700 SC</v>
      </c>
      <c r="BN246" t="str">
        <f>IF(($A261=""),"",IF(COUNTIF(Mineral!$AJ$3:$AJ$324,$A261),"",$A261))</f>
        <v/>
      </c>
      <c r="BV246" t="s">
        <v>2193</v>
      </c>
      <c r="BW246" t="s">
        <v>2121</v>
      </c>
      <c r="BZ246" s="1602"/>
      <c r="CA246" s="1602"/>
      <c r="CB246" s="1602"/>
    </row>
    <row r="247" spans="19:80" ht="14.25" thickTop="1" thickBot="1">
      <c r="S247" s="1616">
        <v>246</v>
      </c>
      <c r="T247" s="1617" t="s">
        <v>2006</v>
      </c>
      <c r="U247" s="1617" t="s">
        <v>2194</v>
      </c>
      <c r="V247" s="1617" t="s">
        <v>408</v>
      </c>
      <c r="W247" s="1617">
        <v>0</v>
      </c>
      <c r="X247" s="1617">
        <v>0</v>
      </c>
      <c r="Y247" s="1617">
        <v>2.5</v>
      </c>
      <c r="Z247" s="1617">
        <v>0</v>
      </c>
      <c r="AA247" s="1617">
        <v>4.5</v>
      </c>
      <c r="AB247" s="1617">
        <v>0</v>
      </c>
      <c r="AC247" s="1617">
        <v>1</v>
      </c>
      <c r="AD247" s="1613">
        <v>1</v>
      </c>
      <c r="AE247" s="1617" t="s">
        <v>1764</v>
      </c>
      <c r="AF247" s="1613" t="str">
        <f t="shared" si="19"/>
        <v/>
      </c>
      <c r="AG247" s="1656">
        <f>IFERROR(IF($AF247&gt;0,VLOOKUP($U247,Tabelle1!$C$188:$L$212,5,0)*$AF247,0),0)</f>
        <v>0</v>
      </c>
      <c r="AH247" s="1656">
        <f t="shared" si="20"/>
        <v>0</v>
      </c>
      <c r="AJ247" t="str">
        <f>IF(Betrieb!$D$9="JA",Mineral!$BW247,Mineral!$BV247)</f>
        <v>LithoSoil</v>
      </c>
      <c r="AK247" s="1672" t="str">
        <f>IFERROR(INDEX(Liste_Handelsünger[Handelsdünger],_xlfn.AGGREGATE(15,6,(ROW(Liste_Handelsünger[Handelsdünger])-1)/(--(SEARCH(AL$2,Liste_Handelsünger[Handelsdünger])&gt;0)),ROW()-2),1),"")</f>
        <v>LithoSoil</v>
      </c>
      <c r="AL247" s="1672" t="str">
        <f>IF(($A$3=""),"",IF(COUNTIF(Mineral!$AJ$3:$AJ$324,$A$3),"",$A$3))</f>
        <v/>
      </c>
      <c r="AM247" s="1672" t="str">
        <f>IFERROR(INDEX(Liste_Handelsünger[Handelsdünger],_xlfn.AGGREGATE(15,6,(ROW(Liste_Handelsünger[Handelsdünger])-1)/(--(SEARCH(AN$2,Liste_Handelsünger[Handelsdünger])&gt;0)),ROW()-2),1),"")</f>
        <v>LithoSoil</v>
      </c>
      <c r="AN247" t="str">
        <f>IF(($A249=""),"",IF(COUNTIF(Mineral!$AJ$3:$AJ$324,$A249),"",$A249))</f>
        <v/>
      </c>
      <c r="AO247" t="str">
        <f>IFERROR(INDEX(Liste_Handelsünger[Handelsdünger],_xlfn.AGGREGATE(15,6,(ROW(Liste_Handelsünger[Handelsdünger])-1)/(--(SEARCH(AP$2,Liste_Handelsünger[Handelsdünger])&gt;0)),ROW()-2),1),"")</f>
        <v>LithoSoil</v>
      </c>
      <c r="AP247" t="str">
        <f>IF(($A250=""),"",IF(COUNTIF(Mineral!$AJ$3:$AJ$324,$A250),"",$A250))</f>
        <v/>
      </c>
      <c r="AQ247" t="str">
        <f>IFERROR(INDEX(Liste_Handelsünger[Handelsdünger],_xlfn.AGGREGATE(15,6,(ROW(Liste_Handelsünger[Handelsdünger])-1)/(--(SEARCH(AR$2,Liste_Handelsünger[Handelsdünger])&gt;0)),ROW()-2),1),"")</f>
        <v>LithoSoil</v>
      </c>
      <c r="AR247" t="str">
        <f>IF(($A251=""),"",IF(COUNTIF(Mineral!$AJ$3:$AJ$324,$A251),"",$A251))</f>
        <v/>
      </c>
      <c r="AS247" t="str">
        <f>IFERROR(INDEX(Liste_Handelsünger[Handelsdünger],_xlfn.AGGREGATE(15,6,(ROW(Liste_Handelsünger[Handelsdünger])-1)/(--(SEARCH(AT$2,Liste_Handelsünger[Handelsdünger])&gt;0)),ROW()-2),1),"")</f>
        <v>LithoSoil</v>
      </c>
      <c r="AT247" t="str">
        <f>IF(($A252=""),"",IF(COUNTIF(Mineral!$AJ$3:$AJ$324,$A252),"",$A252))</f>
        <v/>
      </c>
      <c r="AU247" t="str">
        <f>IFERROR(INDEX(Liste_Handelsünger[Handelsdünger],_xlfn.AGGREGATE(15,6,(ROW(Liste_Handelsünger[Handelsdünger])-1)/(--(SEARCH(AV$2,Liste_Handelsünger[Handelsdünger])&gt;0)),ROW()-2),1),"")</f>
        <v>LithoSoil</v>
      </c>
      <c r="AV247" t="str">
        <f>IF(($A253=""),"",IF(COUNTIF(Mineral!$AJ$3:$AJ$324,$A253),"",$A253))</f>
        <v/>
      </c>
      <c r="AW247" t="str">
        <f>IFERROR(INDEX(Liste_Handelsünger[Handelsdünger],_xlfn.AGGREGATE(15,6,(ROW(Liste_Handelsünger[Handelsdünger])-1)/(--(SEARCH(AX$2,Liste_Handelsünger[Handelsdünger])&gt;0)),ROW()-2),1),"")</f>
        <v>LithoSoil</v>
      </c>
      <c r="AX247" t="str">
        <f>IF(($A254=""),"",IF(COUNTIF(Mineral!$AJ$3:$AJ$324,$A254),"",$A254))</f>
        <v/>
      </c>
      <c r="AY247" t="str">
        <f>IFERROR(INDEX(Liste_Handelsünger[Handelsdünger],_xlfn.AGGREGATE(15,6,(ROW(Liste_Handelsünger[Handelsdünger])-1)/(--(SEARCH(AZ$2,Liste_Handelsünger[Handelsdünger])&gt;0)),ROW()-2),1),"")</f>
        <v>LithoSoil</v>
      </c>
      <c r="AZ247" t="str">
        <f>IF(($A255=""),"",IF(COUNTIF(Mineral!$AJ$3:$AJ$324,$A255),"",$A255))</f>
        <v/>
      </c>
      <c r="BA247" t="str">
        <f>IFERROR(INDEX(Liste_Handelsünger[Handelsdünger],_xlfn.AGGREGATE(15,6,(ROW(Liste_Handelsünger[Handelsdünger])-1)/(--(SEARCH(BB$2,Liste_Handelsünger[Handelsdünger])&gt;0)),ROW()-2),1),"")</f>
        <v>LithoSoil</v>
      </c>
      <c r="BB247" t="str">
        <f>IF(($A256=""),"",IF(COUNTIF(Mineral!$AJ$3:$AJ$324,$A256),"",$A256))</f>
        <v/>
      </c>
      <c r="BC247" t="str">
        <f>IFERROR(INDEX(Liste_Handelsünger[Handelsdünger],_xlfn.AGGREGATE(15,6,(ROW(Liste_Handelsünger[Handelsdünger])-1)/(--(SEARCH(BD$2,Liste_Handelsünger[Handelsdünger])&gt;0)),ROW()-2),1),"")</f>
        <v>LithoSoil</v>
      </c>
      <c r="BD247" t="str">
        <f>IF(($A257=""),"",IF(COUNTIF(Mineral!$AJ$3:$AJ$324,$A257),"",$A257))</f>
        <v/>
      </c>
      <c r="BE247" t="str">
        <f>IFERROR(INDEX(Liste_Handelsünger[Handelsdünger],_xlfn.AGGREGATE(15,6,(ROW(Liste_Handelsünger[Handelsdünger])-1)/(--(SEARCH(BF$2,Liste_Handelsünger[Handelsdünger])&gt;0)),ROW()-2),1),"")</f>
        <v>LithoSoil</v>
      </c>
      <c r="BF247" t="str">
        <f>IF(($A258=""),"",IF(COUNTIF(Mineral!$AJ$3:$AJ$324,$A258),"",$A258))</f>
        <v/>
      </c>
      <c r="BG247" t="str">
        <f>IFERROR(INDEX(Liste_Handelsünger[Handelsdünger],_xlfn.AGGREGATE(15,6,(ROW(Liste_Handelsünger[Handelsdünger])-1)/(--(SEARCH(BH$2,Liste_Handelsünger[Handelsdünger])&gt;0)),ROW()-2),1),"")</f>
        <v>LithoSoil</v>
      </c>
      <c r="BH247" t="str">
        <f>IF(($A259=""),"",IF(COUNTIF(Mineral!$AJ$3:$AJ$324,$A259),"",$A259))</f>
        <v/>
      </c>
      <c r="BI247" t="str">
        <f>IFERROR(INDEX(Liste_Handelsünger[Handelsdünger],_xlfn.AGGREGATE(15,6,(ROW(Liste_Handelsünger[Handelsdünger])-1)/(--(SEARCH(BJ$2,Liste_Handelsünger[Handelsdünger])&gt;0)),ROW()-2),1),"")</f>
        <v>LithoSoil</v>
      </c>
      <c r="BJ247" t="str">
        <f>IF(($A260=""),"",IF(COUNTIF(Mineral!$AJ$3:$AJ$324,$A260),"",$A260))</f>
        <v/>
      </c>
      <c r="BK247" t="str">
        <f>IFERROR(INDEX(Liste_Handelsünger[Handelsdünger],_xlfn.AGGREGATE(15,6,(ROW(Liste_Handelsünger[Handelsdünger])-1)/(--(SEARCH(BL$2,Liste_Handelsünger[Handelsdünger])&gt;0)),ROW()-2),1),"")</f>
        <v>LithoSoil</v>
      </c>
      <c r="BM247" t="str">
        <f>IFERROR(INDEX(Liste_Handelsünger[Handelsdünger],_xlfn.AGGREGATE(15,6,(ROW(Liste_Handelsünger[Handelsdünger])-1)/(--(SEARCH(BN$2,Liste_Handelsünger[Handelsdünger])&gt;0)),ROW()-2),1),"")</f>
        <v>LithoSoil</v>
      </c>
      <c r="BN247" t="str">
        <f>IF(($A262=""),"",IF(COUNTIF(Mineral!$AJ$3:$AJ$324,$A262),"",$A262))</f>
        <v/>
      </c>
      <c r="BV247" t="s">
        <v>2194</v>
      </c>
      <c r="BW247" t="s">
        <v>2122</v>
      </c>
      <c r="BZ247" s="1602"/>
      <c r="CA247" s="1602"/>
      <c r="CB247" s="1602"/>
    </row>
    <row r="248" spans="19:80" ht="14.25" thickTop="1" thickBot="1">
      <c r="S248" s="1676">
        <v>247</v>
      </c>
      <c r="T248" s="1606" t="s">
        <v>2006</v>
      </c>
      <c r="U248" s="1606" t="s">
        <v>2199</v>
      </c>
      <c r="V248" s="1606" t="s">
        <v>408</v>
      </c>
      <c r="W248" s="1606">
        <v>0</v>
      </c>
      <c r="X248" s="1606">
        <v>0</v>
      </c>
      <c r="Y248" s="1606">
        <v>0</v>
      </c>
      <c r="Z248" s="1606">
        <v>0</v>
      </c>
      <c r="AA248" s="1606">
        <v>0.6</v>
      </c>
      <c r="AB248" s="1606">
        <v>25</v>
      </c>
      <c r="AC248" s="1606">
        <v>1</v>
      </c>
      <c r="AD248" s="1613">
        <v>1</v>
      </c>
      <c r="AE248" s="1606" t="s">
        <v>1764</v>
      </c>
      <c r="AF248" s="1613" t="str">
        <f t="shared" si="19"/>
        <v/>
      </c>
      <c r="AG248" s="1656">
        <f>IFERROR(IF($AF248&gt;0,VLOOKUP($U248,Tabelle1!$C$188:$L$212,5,0)*$AF248,0),0)</f>
        <v>0</v>
      </c>
      <c r="AH248" s="1656">
        <f t="shared" si="20"/>
        <v>0</v>
      </c>
      <c r="AJ248" t="str">
        <f>IF(Betrieb!$D$9="JA",Mineral!$BW248,Mineral!$BV248)</f>
        <v>Magnisol</v>
      </c>
      <c r="AK248" s="1672" t="str">
        <f>IFERROR(INDEX(Liste_Handelsünger[Handelsdünger],_xlfn.AGGREGATE(15,6,(ROW(Liste_Handelsünger[Handelsdünger])-1)/(--(SEARCH(AL$2,Liste_Handelsünger[Handelsdünger])&gt;0)),ROW()-2),1),"")</f>
        <v>Magnisol</v>
      </c>
      <c r="AL248" s="1672" t="str">
        <f>IF(($A$3=""),"",IF(COUNTIF(Mineral!$AJ$3:$AJ$324,$A$3),"",$A$3))</f>
        <v/>
      </c>
      <c r="AM248" s="1672" t="str">
        <f>IFERROR(INDEX(Liste_Handelsünger[Handelsdünger],_xlfn.AGGREGATE(15,6,(ROW(Liste_Handelsünger[Handelsdünger])-1)/(--(SEARCH(AN$2,Liste_Handelsünger[Handelsdünger])&gt;0)),ROW()-2),1),"")</f>
        <v>Magnisol</v>
      </c>
      <c r="AN248" t="str">
        <f>IF(($A250=""),"",IF(COUNTIF(Mineral!$AJ$3:$AJ$324,$A250),"",$A250))</f>
        <v/>
      </c>
      <c r="AO248" t="str">
        <f>IFERROR(INDEX(Liste_Handelsünger[Handelsdünger],_xlfn.AGGREGATE(15,6,(ROW(Liste_Handelsünger[Handelsdünger])-1)/(--(SEARCH(AP$2,Liste_Handelsünger[Handelsdünger])&gt;0)),ROW()-2),1),"")</f>
        <v>Magnisol</v>
      </c>
      <c r="AP248" t="str">
        <f>IF(($A251=""),"",IF(COUNTIF(Mineral!$AJ$3:$AJ$324,$A251),"",$A251))</f>
        <v/>
      </c>
      <c r="AQ248" t="str">
        <f>IFERROR(INDEX(Liste_Handelsünger[Handelsdünger],_xlfn.AGGREGATE(15,6,(ROW(Liste_Handelsünger[Handelsdünger])-1)/(--(SEARCH(AR$2,Liste_Handelsünger[Handelsdünger])&gt;0)),ROW()-2),1),"")</f>
        <v>Magnisol</v>
      </c>
      <c r="AR248" t="str">
        <f>IF(($A252=""),"",IF(COUNTIF(Mineral!$AJ$3:$AJ$324,$A252),"",$A252))</f>
        <v/>
      </c>
      <c r="AS248" t="str">
        <f>IFERROR(INDEX(Liste_Handelsünger[Handelsdünger],_xlfn.AGGREGATE(15,6,(ROW(Liste_Handelsünger[Handelsdünger])-1)/(--(SEARCH(AT$2,Liste_Handelsünger[Handelsdünger])&gt;0)),ROW()-2),1),"")</f>
        <v>Magnisol</v>
      </c>
      <c r="AT248" t="str">
        <f>IF(($A253=""),"",IF(COUNTIF(Mineral!$AJ$3:$AJ$324,$A253),"",$A253))</f>
        <v/>
      </c>
      <c r="AU248" t="str">
        <f>IFERROR(INDEX(Liste_Handelsünger[Handelsdünger],_xlfn.AGGREGATE(15,6,(ROW(Liste_Handelsünger[Handelsdünger])-1)/(--(SEARCH(AV$2,Liste_Handelsünger[Handelsdünger])&gt;0)),ROW()-2),1),"")</f>
        <v>Magnisol</v>
      </c>
      <c r="AV248" t="str">
        <f>IF(($A254=""),"",IF(COUNTIF(Mineral!$AJ$3:$AJ$324,$A254),"",$A254))</f>
        <v/>
      </c>
      <c r="AW248" t="str">
        <f>IFERROR(INDEX(Liste_Handelsünger[Handelsdünger],_xlfn.AGGREGATE(15,6,(ROW(Liste_Handelsünger[Handelsdünger])-1)/(--(SEARCH(AX$2,Liste_Handelsünger[Handelsdünger])&gt;0)),ROW()-2),1),"")</f>
        <v>Magnisol</v>
      </c>
      <c r="AX248" t="str">
        <f>IF(($A255=""),"",IF(COUNTIF(Mineral!$AJ$3:$AJ$324,$A255),"",$A255))</f>
        <v/>
      </c>
      <c r="AY248" t="str">
        <f>IFERROR(INDEX(Liste_Handelsünger[Handelsdünger],_xlfn.AGGREGATE(15,6,(ROW(Liste_Handelsünger[Handelsdünger])-1)/(--(SEARCH(AZ$2,Liste_Handelsünger[Handelsdünger])&gt;0)),ROW()-2),1),"")</f>
        <v>Magnisol</v>
      </c>
      <c r="AZ248" t="str">
        <f>IF(($A256=""),"",IF(COUNTIF(Mineral!$AJ$3:$AJ$324,$A256),"",$A256))</f>
        <v/>
      </c>
      <c r="BA248" t="str">
        <f>IFERROR(INDEX(Liste_Handelsünger[Handelsdünger],_xlfn.AGGREGATE(15,6,(ROW(Liste_Handelsünger[Handelsdünger])-1)/(--(SEARCH(BB$2,Liste_Handelsünger[Handelsdünger])&gt;0)),ROW()-2),1),"")</f>
        <v>Magnisol</v>
      </c>
      <c r="BB248" t="str">
        <f>IF(($A257=""),"",IF(COUNTIF(Mineral!$AJ$3:$AJ$324,$A257),"",$A257))</f>
        <v/>
      </c>
      <c r="BC248" t="str">
        <f>IFERROR(INDEX(Liste_Handelsünger[Handelsdünger],_xlfn.AGGREGATE(15,6,(ROW(Liste_Handelsünger[Handelsdünger])-1)/(--(SEARCH(BD$2,Liste_Handelsünger[Handelsdünger])&gt;0)),ROW()-2),1),"")</f>
        <v>Magnisol</v>
      </c>
      <c r="BD248" t="str">
        <f>IF(($A258=""),"",IF(COUNTIF(Mineral!$AJ$3:$AJ$324,$A258),"",$A258))</f>
        <v/>
      </c>
      <c r="BE248" t="str">
        <f>IFERROR(INDEX(Liste_Handelsünger[Handelsdünger],_xlfn.AGGREGATE(15,6,(ROW(Liste_Handelsünger[Handelsdünger])-1)/(--(SEARCH(BF$2,Liste_Handelsünger[Handelsdünger])&gt;0)),ROW()-2),1),"")</f>
        <v>Magnisol</v>
      </c>
      <c r="BF248" t="str">
        <f>IF(($A259=""),"",IF(COUNTIF(Mineral!$AJ$3:$AJ$324,$A259),"",$A259))</f>
        <v/>
      </c>
      <c r="BG248" t="str">
        <f>IFERROR(INDEX(Liste_Handelsünger[Handelsdünger],_xlfn.AGGREGATE(15,6,(ROW(Liste_Handelsünger[Handelsdünger])-1)/(--(SEARCH(BH$2,Liste_Handelsünger[Handelsdünger])&gt;0)),ROW()-2),1),"")</f>
        <v>Magnisol</v>
      </c>
      <c r="BH248" t="str">
        <f>IF(($A260=""),"",IF(COUNTIF(Mineral!$AJ$3:$AJ$324,$A260),"",$A260))</f>
        <v/>
      </c>
      <c r="BI248" t="str">
        <f>IFERROR(INDEX(Liste_Handelsünger[Handelsdünger],_xlfn.AGGREGATE(15,6,(ROW(Liste_Handelsünger[Handelsdünger])-1)/(--(SEARCH(BJ$2,Liste_Handelsünger[Handelsdünger])&gt;0)),ROW()-2),1),"")</f>
        <v>Magnisol</v>
      </c>
      <c r="BJ248" t="str">
        <f>IF(($A261=""),"",IF(COUNTIF(Mineral!$AJ$3:$AJ$324,$A261),"",$A261))</f>
        <v/>
      </c>
      <c r="BK248" t="str">
        <f>IFERROR(INDEX(Liste_Handelsünger[Handelsdünger],_xlfn.AGGREGATE(15,6,(ROW(Liste_Handelsünger[Handelsdünger])-1)/(--(SEARCH(BL$2,Liste_Handelsünger[Handelsdünger])&gt;0)),ROW()-2),1),"")</f>
        <v>Magnisol</v>
      </c>
      <c r="BM248" t="str">
        <f>IFERROR(INDEX(Liste_Handelsünger[Handelsdünger],_xlfn.AGGREGATE(15,6,(ROW(Liste_Handelsünger[Handelsdünger])-1)/(--(SEARCH(BN$2,Liste_Handelsünger[Handelsdünger])&gt;0)),ROW()-2),1),"")</f>
        <v>Magnisol</v>
      </c>
      <c r="BN248" t="str">
        <f>IF(($A263=""),"",IF(COUNTIF(Mineral!$AJ$3:$AJ$324,$A263),"",$A263))</f>
        <v/>
      </c>
      <c r="BV248" t="s">
        <v>2199</v>
      </c>
      <c r="BW248" t="s">
        <v>2123</v>
      </c>
      <c r="BZ248" s="1602"/>
      <c r="CA248" s="1602"/>
      <c r="CB248" s="1602"/>
    </row>
    <row r="249" spans="19:80" ht="14.25" thickTop="1" thickBot="1">
      <c r="S249" s="1616">
        <v>248</v>
      </c>
      <c r="T249" s="1617" t="s">
        <v>2006</v>
      </c>
      <c r="U249" s="1617" t="s">
        <v>2200</v>
      </c>
      <c r="V249" s="1617" t="s">
        <v>408</v>
      </c>
      <c r="W249" s="1617">
        <v>4</v>
      </c>
      <c r="X249" s="1617">
        <v>0.8</v>
      </c>
      <c r="Y249" s="1617">
        <v>5</v>
      </c>
      <c r="Z249" s="1617">
        <v>3</v>
      </c>
      <c r="AA249" s="1617">
        <v>0</v>
      </c>
      <c r="AB249" s="1617">
        <v>0</v>
      </c>
      <c r="AC249" s="1617">
        <v>0.7</v>
      </c>
      <c r="AD249" s="1613">
        <v>0.87</v>
      </c>
      <c r="AE249" s="1617" t="s">
        <v>2037</v>
      </c>
      <c r="AF249" s="1613" t="str">
        <f t="shared" si="19"/>
        <v/>
      </c>
      <c r="AG249" s="1656">
        <f>IFERROR(IF($AF249&gt;0,VLOOKUP($U249,Tabelle1!$C$188:$L$212,5,0)*$AF249,0),0)</f>
        <v>0</v>
      </c>
      <c r="AH249" s="1656">
        <f t="shared" si="20"/>
        <v>0</v>
      </c>
      <c r="AJ249" t="str">
        <f>IF(Betrieb!$D$9="JA",Mineral!$BW249,Mineral!$BV249)</f>
        <v>Maltaflor Bio Spezial</v>
      </c>
      <c r="AK249" s="1672" t="str">
        <f>IFERROR(INDEX(Liste_Handelsünger[Handelsdünger],_xlfn.AGGREGATE(15,6,(ROW(Liste_Handelsünger[Handelsdünger])-1)/(--(SEARCH(AL$2,Liste_Handelsünger[Handelsdünger])&gt;0)),ROW()-2),1),"")</f>
        <v>Maltaflor Bio Spezial</v>
      </c>
      <c r="AL249" s="1672" t="str">
        <f>IF(($A$3=""),"",IF(COUNTIF(Mineral!$AJ$3:$AJ$324,$A$3),"",$A$3))</f>
        <v/>
      </c>
      <c r="AM249" s="1672" t="str">
        <f>IFERROR(INDEX(Liste_Handelsünger[Handelsdünger],_xlfn.AGGREGATE(15,6,(ROW(Liste_Handelsünger[Handelsdünger])-1)/(--(SEARCH(AN$2,Liste_Handelsünger[Handelsdünger])&gt;0)),ROW()-2),1),"")</f>
        <v>Maltaflor Bio Spezial</v>
      </c>
      <c r="AN249" t="str">
        <f>IF(($A251=""),"",IF(COUNTIF(Mineral!$AJ$3:$AJ$324,$A251),"",$A251))</f>
        <v/>
      </c>
      <c r="AO249" t="str">
        <f>IFERROR(INDEX(Liste_Handelsünger[Handelsdünger],_xlfn.AGGREGATE(15,6,(ROW(Liste_Handelsünger[Handelsdünger])-1)/(--(SEARCH(AP$2,Liste_Handelsünger[Handelsdünger])&gt;0)),ROW()-2),1),"")</f>
        <v>Maltaflor Bio Spezial</v>
      </c>
      <c r="AP249" t="str">
        <f>IF(($A252=""),"",IF(COUNTIF(Mineral!$AJ$3:$AJ$324,$A252),"",$A252))</f>
        <v/>
      </c>
      <c r="AQ249" t="str">
        <f>IFERROR(INDEX(Liste_Handelsünger[Handelsdünger],_xlfn.AGGREGATE(15,6,(ROW(Liste_Handelsünger[Handelsdünger])-1)/(--(SEARCH(AR$2,Liste_Handelsünger[Handelsdünger])&gt;0)),ROW()-2),1),"")</f>
        <v>Maltaflor Bio Spezial</v>
      </c>
      <c r="AR249" t="str">
        <f>IF(($A253=""),"",IF(COUNTIF(Mineral!$AJ$3:$AJ$324,$A253),"",$A253))</f>
        <v/>
      </c>
      <c r="AS249" t="str">
        <f>IFERROR(INDEX(Liste_Handelsünger[Handelsdünger],_xlfn.AGGREGATE(15,6,(ROW(Liste_Handelsünger[Handelsdünger])-1)/(--(SEARCH(AT$2,Liste_Handelsünger[Handelsdünger])&gt;0)),ROW()-2),1),"")</f>
        <v>Maltaflor Bio Spezial</v>
      </c>
      <c r="AT249" t="str">
        <f>IF(($A254=""),"",IF(COUNTIF(Mineral!$AJ$3:$AJ$324,$A254),"",$A254))</f>
        <v/>
      </c>
      <c r="AU249" t="str">
        <f>IFERROR(INDEX(Liste_Handelsünger[Handelsdünger],_xlfn.AGGREGATE(15,6,(ROW(Liste_Handelsünger[Handelsdünger])-1)/(--(SEARCH(AV$2,Liste_Handelsünger[Handelsdünger])&gt;0)),ROW()-2),1),"")</f>
        <v>Maltaflor Bio Spezial</v>
      </c>
      <c r="AV249" t="str">
        <f>IF(($A255=""),"",IF(COUNTIF(Mineral!$AJ$3:$AJ$324,$A255),"",$A255))</f>
        <v/>
      </c>
      <c r="AW249" t="str">
        <f>IFERROR(INDEX(Liste_Handelsünger[Handelsdünger],_xlfn.AGGREGATE(15,6,(ROW(Liste_Handelsünger[Handelsdünger])-1)/(--(SEARCH(AX$2,Liste_Handelsünger[Handelsdünger])&gt;0)),ROW()-2),1),"")</f>
        <v>Maltaflor Bio Spezial</v>
      </c>
      <c r="AX249" t="str">
        <f>IF(($A256=""),"",IF(COUNTIF(Mineral!$AJ$3:$AJ$324,$A256),"",$A256))</f>
        <v/>
      </c>
      <c r="AY249" t="str">
        <f>IFERROR(INDEX(Liste_Handelsünger[Handelsdünger],_xlfn.AGGREGATE(15,6,(ROW(Liste_Handelsünger[Handelsdünger])-1)/(--(SEARCH(AZ$2,Liste_Handelsünger[Handelsdünger])&gt;0)),ROW()-2),1),"")</f>
        <v>Maltaflor Bio Spezial</v>
      </c>
      <c r="AZ249" t="str">
        <f>IF(($A257=""),"",IF(COUNTIF(Mineral!$AJ$3:$AJ$324,$A257),"",$A257))</f>
        <v/>
      </c>
      <c r="BA249" t="str">
        <f>IFERROR(INDEX(Liste_Handelsünger[Handelsdünger],_xlfn.AGGREGATE(15,6,(ROW(Liste_Handelsünger[Handelsdünger])-1)/(--(SEARCH(BB$2,Liste_Handelsünger[Handelsdünger])&gt;0)),ROW()-2),1),"")</f>
        <v>Maltaflor Bio Spezial</v>
      </c>
      <c r="BB249" t="str">
        <f>IF(($A258=""),"",IF(COUNTIF(Mineral!$AJ$3:$AJ$324,$A258),"",$A258))</f>
        <v/>
      </c>
      <c r="BC249" t="str">
        <f>IFERROR(INDEX(Liste_Handelsünger[Handelsdünger],_xlfn.AGGREGATE(15,6,(ROW(Liste_Handelsünger[Handelsdünger])-1)/(--(SEARCH(BD$2,Liste_Handelsünger[Handelsdünger])&gt;0)),ROW()-2),1),"")</f>
        <v>Maltaflor Bio Spezial</v>
      </c>
      <c r="BD249" t="str">
        <f>IF(($A259=""),"",IF(COUNTIF(Mineral!$AJ$3:$AJ$324,$A259),"",$A259))</f>
        <v/>
      </c>
      <c r="BE249" t="str">
        <f>IFERROR(INDEX(Liste_Handelsünger[Handelsdünger],_xlfn.AGGREGATE(15,6,(ROW(Liste_Handelsünger[Handelsdünger])-1)/(--(SEARCH(BF$2,Liste_Handelsünger[Handelsdünger])&gt;0)),ROW()-2),1),"")</f>
        <v>Maltaflor Bio Spezial</v>
      </c>
      <c r="BF249" t="str">
        <f>IF(($A260=""),"",IF(COUNTIF(Mineral!$AJ$3:$AJ$324,$A260),"",$A260))</f>
        <v/>
      </c>
      <c r="BG249" t="str">
        <f>IFERROR(INDEX(Liste_Handelsünger[Handelsdünger],_xlfn.AGGREGATE(15,6,(ROW(Liste_Handelsünger[Handelsdünger])-1)/(--(SEARCH(BH$2,Liste_Handelsünger[Handelsdünger])&gt;0)),ROW()-2),1),"")</f>
        <v>Maltaflor Bio Spezial</v>
      </c>
      <c r="BH249" t="str">
        <f>IF(($A261=""),"",IF(COUNTIF(Mineral!$AJ$3:$AJ$324,$A261),"",$A261))</f>
        <v/>
      </c>
      <c r="BI249" t="str">
        <f>IFERROR(INDEX(Liste_Handelsünger[Handelsdünger],_xlfn.AGGREGATE(15,6,(ROW(Liste_Handelsünger[Handelsdünger])-1)/(--(SEARCH(BJ$2,Liste_Handelsünger[Handelsdünger])&gt;0)),ROW()-2),1),"")</f>
        <v>Maltaflor Bio Spezial</v>
      </c>
      <c r="BJ249" t="str">
        <f>IF(($A262=""),"",IF(COUNTIF(Mineral!$AJ$3:$AJ$324,$A262),"",$A262))</f>
        <v/>
      </c>
      <c r="BK249" t="str">
        <f>IFERROR(INDEX(Liste_Handelsünger[Handelsdünger],_xlfn.AGGREGATE(15,6,(ROW(Liste_Handelsünger[Handelsdünger])-1)/(--(SEARCH(BL$2,Liste_Handelsünger[Handelsdünger])&gt;0)),ROW()-2),1),"")</f>
        <v>Maltaflor Bio Spezial</v>
      </c>
      <c r="BM249" t="str">
        <f>IFERROR(INDEX(Liste_Handelsünger[Handelsdünger],_xlfn.AGGREGATE(15,6,(ROW(Liste_Handelsünger[Handelsdünger])-1)/(--(SEARCH(BN$2,Liste_Handelsünger[Handelsdünger])&gt;0)),ROW()-2),1),"")</f>
        <v>Maltaflor Bio Spezial</v>
      </c>
      <c r="BN249" t="str">
        <f>IF(($A264=""),"",IF(COUNTIF(Mineral!$AJ$3:$AJ$324,$A264),"",$A264))</f>
        <v/>
      </c>
      <c r="BV249" t="s">
        <v>2200</v>
      </c>
      <c r="BW249" t="s">
        <v>2124</v>
      </c>
      <c r="BZ249" s="1602"/>
      <c r="CA249" s="1602"/>
      <c r="CB249" s="1602"/>
    </row>
    <row r="250" spans="19:80" ht="14.25" thickTop="1" thickBot="1">
      <c r="S250" s="1676">
        <v>249</v>
      </c>
      <c r="T250" s="1606" t="s">
        <v>2006</v>
      </c>
      <c r="U250" s="1606" t="s">
        <v>2201</v>
      </c>
      <c r="V250" s="1606" t="s">
        <v>408</v>
      </c>
      <c r="W250" s="1606">
        <v>3</v>
      </c>
      <c r="X250" s="1606">
        <v>0.6</v>
      </c>
      <c r="Y250" s="1606">
        <v>4</v>
      </c>
      <c r="Z250" s="1606">
        <v>2</v>
      </c>
      <c r="AA250" s="1606">
        <v>0</v>
      </c>
      <c r="AB250" s="1606">
        <v>0</v>
      </c>
      <c r="AC250" s="1606">
        <v>0.7</v>
      </c>
      <c r="AD250" s="1613">
        <v>0.87</v>
      </c>
      <c r="AE250" s="1606" t="s">
        <v>2037</v>
      </c>
      <c r="AF250" s="1613" t="str">
        <f t="shared" si="19"/>
        <v/>
      </c>
      <c r="AG250" s="1656">
        <f>IFERROR(IF($AF250&gt;0,VLOOKUP($U250,Tabelle1!$C$188:$L$212,5,0)*$AF250,0),0)</f>
        <v>0</v>
      </c>
      <c r="AH250" s="1656">
        <f t="shared" si="20"/>
        <v>0</v>
      </c>
      <c r="AJ250" t="str">
        <f>IF(Betrieb!$D$9="JA",Mineral!$BW250,Mineral!$BV250)</f>
        <v>Maltaflor Bio Symbio</v>
      </c>
      <c r="AK250" s="1672" t="str">
        <f>IFERROR(INDEX(Liste_Handelsünger[Handelsdünger],_xlfn.AGGREGATE(15,6,(ROW(Liste_Handelsünger[Handelsdünger])-1)/(--(SEARCH(AL$2,Liste_Handelsünger[Handelsdünger])&gt;0)),ROW()-2),1),"")</f>
        <v>Maltaflor Bio Symbio</v>
      </c>
      <c r="AL250" s="1672" t="str">
        <f>IF(($A$3=""),"",IF(COUNTIF(Mineral!$AJ$3:$AJ$324,$A$3),"",$A$3))</f>
        <v/>
      </c>
      <c r="AM250" s="1672" t="str">
        <f>IFERROR(INDEX(Liste_Handelsünger[Handelsdünger],_xlfn.AGGREGATE(15,6,(ROW(Liste_Handelsünger[Handelsdünger])-1)/(--(SEARCH(AN$2,Liste_Handelsünger[Handelsdünger])&gt;0)),ROW()-2),1),"")</f>
        <v>Maltaflor Bio Symbio</v>
      </c>
      <c r="AN250" t="str">
        <f>IF(($A252=""),"",IF(COUNTIF(Mineral!$AJ$3:$AJ$324,$A252),"",$A252))</f>
        <v/>
      </c>
      <c r="AO250" t="str">
        <f>IFERROR(INDEX(Liste_Handelsünger[Handelsdünger],_xlfn.AGGREGATE(15,6,(ROW(Liste_Handelsünger[Handelsdünger])-1)/(--(SEARCH(AP$2,Liste_Handelsünger[Handelsdünger])&gt;0)),ROW()-2),1),"")</f>
        <v>Maltaflor Bio Symbio</v>
      </c>
      <c r="AP250" t="str">
        <f>IF(($A253=""),"",IF(COUNTIF(Mineral!$AJ$3:$AJ$324,$A253),"",$A253))</f>
        <v/>
      </c>
      <c r="AQ250" t="str">
        <f>IFERROR(INDEX(Liste_Handelsünger[Handelsdünger],_xlfn.AGGREGATE(15,6,(ROW(Liste_Handelsünger[Handelsdünger])-1)/(--(SEARCH(AR$2,Liste_Handelsünger[Handelsdünger])&gt;0)),ROW()-2),1),"")</f>
        <v>Maltaflor Bio Symbio</v>
      </c>
      <c r="AR250" t="str">
        <f>IF(($A254=""),"",IF(COUNTIF(Mineral!$AJ$3:$AJ$324,$A254),"",$A254))</f>
        <v/>
      </c>
      <c r="AS250" t="str">
        <f>IFERROR(INDEX(Liste_Handelsünger[Handelsdünger],_xlfn.AGGREGATE(15,6,(ROW(Liste_Handelsünger[Handelsdünger])-1)/(--(SEARCH(AT$2,Liste_Handelsünger[Handelsdünger])&gt;0)),ROW()-2),1),"")</f>
        <v>Maltaflor Bio Symbio</v>
      </c>
      <c r="AT250" t="str">
        <f>IF(($A255=""),"",IF(COUNTIF(Mineral!$AJ$3:$AJ$324,$A255),"",$A255))</f>
        <v/>
      </c>
      <c r="AU250" t="str">
        <f>IFERROR(INDEX(Liste_Handelsünger[Handelsdünger],_xlfn.AGGREGATE(15,6,(ROW(Liste_Handelsünger[Handelsdünger])-1)/(--(SEARCH(AV$2,Liste_Handelsünger[Handelsdünger])&gt;0)),ROW()-2),1),"")</f>
        <v>Maltaflor Bio Symbio</v>
      </c>
      <c r="AV250" t="str">
        <f>IF(($A256=""),"",IF(COUNTIF(Mineral!$AJ$3:$AJ$324,$A256),"",$A256))</f>
        <v/>
      </c>
      <c r="AW250" t="str">
        <f>IFERROR(INDEX(Liste_Handelsünger[Handelsdünger],_xlfn.AGGREGATE(15,6,(ROW(Liste_Handelsünger[Handelsdünger])-1)/(--(SEARCH(AX$2,Liste_Handelsünger[Handelsdünger])&gt;0)),ROW()-2),1),"")</f>
        <v>Maltaflor Bio Symbio</v>
      </c>
      <c r="AX250" t="str">
        <f>IF(($A257=""),"",IF(COUNTIF(Mineral!$AJ$3:$AJ$324,$A257),"",$A257))</f>
        <v/>
      </c>
      <c r="AY250" t="str">
        <f>IFERROR(INDEX(Liste_Handelsünger[Handelsdünger],_xlfn.AGGREGATE(15,6,(ROW(Liste_Handelsünger[Handelsdünger])-1)/(--(SEARCH(AZ$2,Liste_Handelsünger[Handelsdünger])&gt;0)),ROW()-2),1),"")</f>
        <v>Maltaflor Bio Symbio</v>
      </c>
      <c r="AZ250" t="str">
        <f>IF(($A258=""),"",IF(COUNTIF(Mineral!$AJ$3:$AJ$324,$A258),"",$A258))</f>
        <v/>
      </c>
      <c r="BA250" t="str">
        <f>IFERROR(INDEX(Liste_Handelsünger[Handelsdünger],_xlfn.AGGREGATE(15,6,(ROW(Liste_Handelsünger[Handelsdünger])-1)/(--(SEARCH(BB$2,Liste_Handelsünger[Handelsdünger])&gt;0)),ROW()-2),1),"")</f>
        <v>Maltaflor Bio Symbio</v>
      </c>
      <c r="BB250" t="str">
        <f>IF(($A259=""),"",IF(COUNTIF(Mineral!$AJ$3:$AJ$324,$A259),"",$A259))</f>
        <v/>
      </c>
      <c r="BC250" t="str">
        <f>IFERROR(INDEX(Liste_Handelsünger[Handelsdünger],_xlfn.AGGREGATE(15,6,(ROW(Liste_Handelsünger[Handelsdünger])-1)/(--(SEARCH(BD$2,Liste_Handelsünger[Handelsdünger])&gt;0)),ROW()-2),1),"")</f>
        <v>Maltaflor Bio Symbio</v>
      </c>
      <c r="BD250" t="str">
        <f>IF(($A260=""),"",IF(COUNTIF(Mineral!$AJ$3:$AJ$324,$A260),"",$A260))</f>
        <v/>
      </c>
      <c r="BE250" t="str">
        <f>IFERROR(INDEX(Liste_Handelsünger[Handelsdünger],_xlfn.AGGREGATE(15,6,(ROW(Liste_Handelsünger[Handelsdünger])-1)/(--(SEARCH(BF$2,Liste_Handelsünger[Handelsdünger])&gt;0)),ROW()-2),1),"")</f>
        <v>Maltaflor Bio Symbio</v>
      </c>
      <c r="BF250" t="str">
        <f>IF(($A261=""),"",IF(COUNTIF(Mineral!$AJ$3:$AJ$324,$A261),"",$A261))</f>
        <v/>
      </c>
      <c r="BG250" t="str">
        <f>IFERROR(INDEX(Liste_Handelsünger[Handelsdünger],_xlfn.AGGREGATE(15,6,(ROW(Liste_Handelsünger[Handelsdünger])-1)/(--(SEARCH(BH$2,Liste_Handelsünger[Handelsdünger])&gt;0)),ROW()-2),1),"")</f>
        <v>Maltaflor Bio Symbio</v>
      </c>
      <c r="BH250" t="str">
        <f>IF(($A262=""),"",IF(COUNTIF(Mineral!$AJ$3:$AJ$324,$A262),"",$A262))</f>
        <v/>
      </c>
      <c r="BI250" t="str">
        <f>IFERROR(INDEX(Liste_Handelsünger[Handelsdünger],_xlfn.AGGREGATE(15,6,(ROW(Liste_Handelsünger[Handelsdünger])-1)/(--(SEARCH(BJ$2,Liste_Handelsünger[Handelsdünger])&gt;0)),ROW()-2),1),"")</f>
        <v>Maltaflor Bio Symbio</v>
      </c>
      <c r="BJ250" t="str">
        <f>IF(($A263=""),"",IF(COUNTIF(Mineral!$AJ$3:$AJ$324,$A263),"",$A263))</f>
        <v/>
      </c>
      <c r="BK250" t="str">
        <f>IFERROR(INDEX(Liste_Handelsünger[Handelsdünger],_xlfn.AGGREGATE(15,6,(ROW(Liste_Handelsünger[Handelsdünger])-1)/(--(SEARCH(BL$2,Liste_Handelsünger[Handelsdünger])&gt;0)),ROW()-2),1),"")</f>
        <v>Maltaflor Bio Symbio</v>
      </c>
      <c r="BM250" t="str">
        <f>IFERROR(INDEX(Liste_Handelsünger[Handelsdünger],_xlfn.AGGREGATE(15,6,(ROW(Liste_Handelsünger[Handelsdünger])-1)/(--(SEARCH(BN$2,Liste_Handelsünger[Handelsdünger])&gt;0)),ROW()-2),1),"")</f>
        <v>Maltaflor Bio Symbio</v>
      </c>
      <c r="BN250" t="str">
        <f>IF(($A265=""),"",IF(COUNTIF(Mineral!$AJ$3:$AJ$324,$A265),"",$A265))</f>
        <v/>
      </c>
      <c r="BV250" t="s">
        <v>2201</v>
      </c>
      <c r="BW250" t="s">
        <v>2127</v>
      </c>
      <c r="BZ250" s="1602"/>
      <c r="CA250" s="1602"/>
      <c r="CB250" s="1602"/>
    </row>
    <row r="251" spans="19:80" ht="14.25" thickTop="1" thickBot="1">
      <c r="S251" s="1616">
        <v>250</v>
      </c>
      <c r="T251" s="1617" t="s">
        <v>2006</v>
      </c>
      <c r="U251" s="1617" t="s">
        <v>2203</v>
      </c>
      <c r="V251" s="1617" t="s">
        <v>408</v>
      </c>
      <c r="W251" s="1617">
        <v>0</v>
      </c>
      <c r="X251" s="1617">
        <v>0</v>
      </c>
      <c r="Y251" s="1617">
        <v>0</v>
      </c>
      <c r="Z251" s="1617">
        <v>0</v>
      </c>
      <c r="AA251" s="1617">
        <v>0</v>
      </c>
      <c r="AB251" s="1617">
        <v>0</v>
      </c>
      <c r="AC251" s="1617">
        <v>1</v>
      </c>
      <c r="AD251" s="1613">
        <v>1</v>
      </c>
      <c r="AE251" s="1617" t="s">
        <v>1764</v>
      </c>
      <c r="AF251" s="1613" t="str">
        <f t="shared" si="19"/>
        <v/>
      </c>
      <c r="AG251" s="1656">
        <f>IFERROR(IF($AF251&gt;0,VLOOKUP($U251,Tabelle1!$C$188:$L$212,5,0)*$AF251,0),0)</f>
        <v>0</v>
      </c>
      <c r="AH251" s="1656">
        <f t="shared" si="20"/>
        <v>0</v>
      </c>
      <c r="AJ251" t="str">
        <f>IF(Betrieb!$D$9="JA",Mineral!$BW251,Mineral!$BV251)</f>
        <v>Mangansulfat</v>
      </c>
      <c r="AK251" s="1672" t="str">
        <f>IFERROR(INDEX(Liste_Handelsünger[Handelsdünger],_xlfn.AGGREGATE(15,6,(ROW(Liste_Handelsünger[Handelsdünger])-1)/(--(SEARCH(AL$2,Liste_Handelsünger[Handelsdünger])&gt;0)),ROW()-2),1),"")</f>
        <v>Mangansulfat</v>
      </c>
      <c r="AL251" s="1672" t="str">
        <f>IF(($A$3=""),"",IF(COUNTIF(Mineral!$AJ$3:$AJ$324,$A$3),"",$A$3))</f>
        <v/>
      </c>
      <c r="AM251" s="1672" t="str">
        <f>IFERROR(INDEX(Liste_Handelsünger[Handelsdünger],_xlfn.AGGREGATE(15,6,(ROW(Liste_Handelsünger[Handelsdünger])-1)/(--(SEARCH(AN$2,Liste_Handelsünger[Handelsdünger])&gt;0)),ROW()-2),1),"")</f>
        <v>Mangansulfat</v>
      </c>
      <c r="AN251" t="str">
        <f>IF(($A253=""),"",IF(COUNTIF(Mineral!$AJ$3:$AJ$324,$A253),"",$A253))</f>
        <v/>
      </c>
      <c r="AO251" t="str">
        <f>IFERROR(INDEX(Liste_Handelsünger[Handelsdünger],_xlfn.AGGREGATE(15,6,(ROW(Liste_Handelsünger[Handelsdünger])-1)/(--(SEARCH(AP$2,Liste_Handelsünger[Handelsdünger])&gt;0)),ROW()-2),1),"")</f>
        <v>Mangansulfat</v>
      </c>
      <c r="AP251" t="str">
        <f>IF(($A254=""),"",IF(COUNTIF(Mineral!$AJ$3:$AJ$324,$A254),"",$A254))</f>
        <v/>
      </c>
      <c r="AQ251" t="str">
        <f>IFERROR(INDEX(Liste_Handelsünger[Handelsdünger],_xlfn.AGGREGATE(15,6,(ROW(Liste_Handelsünger[Handelsdünger])-1)/(--(SEARCH(AR$2,Liste_Handelsünger[Handelsdünger])&gt;0)),ROW()-2),1),"")</f>
        <v>Mangansulfat</v>
      </c>
      <c r="AR251" t="str">
        <f>IF(($A255=""),"",IF(COUNTIF(Mineral!$AJ$3:$AJ$324,$A255),"",$A255))</f>
        <v/>
      </c>
      <c r="AS251" t="str">
        <f>IFERROR(INDEX(Liste_Handelsünger[Handelsdünger],_xlfn.AGGREGATE(15,6,(ROW(Liste_Handelsünger[Handelsdünger])-1)/(--(SEARCH(AT$2,Liste_Handelsünger[Handelsdünger])&gt;0)),ROW()-2),1),"")</f>
        <v>Mangansulfat</v>
      </c>
      <c r="AT251" t="str">
        <f>IF(($A256=""),"",IF(COUNTIF(Mineral!$AJ$3:$AJ$324,$A256),"",$A256))</f>
        <v/>
      </c>
      <c r="AU251" t="str">
        <f>IFERROR(INDEX(Liste_Handelsünger[Handelsdünger],_xlfn.AGGREGATE(15,6,(ROW(Liste_Handelsünger[Handelsdünger])-1)/(--(SEARCH(AV$2,Liste_Handelsünger[Handelsdünger])&gt;0)),ROW()-2),1),"")</f>
        <v>Mangansulfat</v>
      </c>
      <c r="AV251" t="str">
        <f>IF(($A257=""),"",IF(COUNTIF(Mineral!$AJ$3:$AJ$324,$A257),"",$A257))</f>
        <v/>
      </c>
      <c r="AW251" t="str">
        <f>IFERROR(INDEX(Liste_Handelsünger[Handelsdünger],_xlfn.AGGREGATE(15,6,(ROW(Liste_Handelsünger[Handelsdünger])-1)/(--(SEARCH(AX$2,Liste_Handelsünger[Handelsdünger])&gt;0)),ROW()-2),1),"")</f>
        <v>Mangansulfat</v>
      </c>
      <c r="AX251" t="str">
        <f>IF(($A258=""),"",IF(COUNTIF(Mineral!$AJ$3:$AJ$324,$A258),"",$A258))</f>
        <v/>
      </c>
      <c r="AY251" t="str">
        <f>IFERROR(INDEX(Liste_Handelsünger[Handelsdünger],_xlfn.AGGREGATE(15,6,(ROW(Liste_Handelsünger[Handelsdünger])-1)/(--(SEARCH(AZ$2,Liste_Handelsünger[Handelsdünger])&gt;0)),ROW()-2),1),"")</f>
        <v>Mangansulfat</v>
      </c>
      <c r="AZ251" t="str">
        <f>IF(($A259=""),"",IF(COUNTIF(Mineral!$AJ$3:$AJ$324,$A259),"",$A259))</f>
        <v/>
      </c>
      <c r="BA251" t="str">
        <f>IFERROR(INDEX(Liste_Handelsünger[Handelsdünger],_xlfn.AGGREGATE(15,6,(ROW(Liste_Handelsünger[Handelsdünger])-1)/(--(SEARCH(BB$2,Liste_Handelsünger[Handelsdünger])&gt;0)),ROW()-2),1),"")</f>
        <v>Mangansulfat</v>
      </c>
      <c r="BB251" t="str">
        <f>IF(($A260=""),"",IF(COUNTIF(Mineral!$AJ$3:$AJ$324,$A260),"",$A260))</f>
        <v/>
      </c>
      <c r="BC251" t="str">
        <f>IFERROR(INDEX(Liste_Handelsünger[Handelsdünger],_xlfn.AGGREGATE(15,6,(ROW(Liste_Handelsünger[Handelsdünger])-1)/(--(SEARCH(BD$2,Liste_Handelsünger[Handelsdünger])&gt;0)),ROW()-2),1),"")</f>
        <v>Mangansulfat</v>
      </c>
      <c r="BD251" t="str">
        <f>IF(($A261=""),"",IF(COUNTIF(Mineral!$AJ$3:$AJ$324,$A261),"",$A261))</f>
        <v/>
      </c>
      <c r="BE251" t="str">
        <f>IFERROR(INDEX(Liste_Handelsünger[Handelsdünger],_xlfn.AGGREGATE(15,6,(ROW(Liste_Handelsünger[Handelsdünger])-1)/(--(SEARCH(BF$2,Liste_Handelsünger[Handelsdünger])&gt;0)),ROW()-2),1),"")</f>
        <v>Mangansulfat</v>
      </c>
      <c r="BF251" t="str">
        <f>IF(($A262=""),"",IF(COUNTIF(Mineral!$AJ$3:$AJ$324,$A262),"",$A262))</f>
        <v/>
      </c>
      <c r="BG251" t="str">
        <f>IFERROR(INDEX(Liste_Handelsünger[Handelsdünger],_xlfn.AGGREGATE(15,6,(ROW(Liste_Handelsünger[Handelsdünger])-1)/(--(SEARCH(BH$2,Liste_Handelsünger[Handelsdünger])&gt;0)),ROW()-2),1),"")</f>
        <v>Mangansulfat</v>
      </c>
      <c r="BH251" t="str">
        <f>IF(($A263=""),"",IF(COUNTIF(Mineral!$AJ$3:$AJ$324,$A263),"",$A263))</f>
        <v/>
      </c>
      <c r="BI251" t="str">
        <f>IFERROR(INDEX(Liste_Handelsünger[Handelsdünger],_xlfn.AGGREGATE(15,6,(ROW(Liste_Handelsünger[Handelsdünger])-1)/(--(SEARCH(BJ$2,Liste_Handelsünger[Handelsdünger])&gt;0)),ROW()-2),1),"")</f>
        <v>Mangansulfat</v>
      </c>
      <c r="BJ251" t="str">
        <f>IF(($A264=""),"",IF(COUNTIF(Mineral!$AJ$3:$AJ$324,$A264),"",$A264))</f>
        <v/>
      </c>
      <c r="BK251" t="str">
        <f>IFERROR(INDEX(Liste_Handelsünger[Handelsdünger],_xlfn.AGGREGATE(15,6,(ROW(Liste_Handelsünger[Handelsdünger])-1)/(--(SEARCH(BL$2,Liste_Handelsünger[Handelsdünger])&gt;0)),ROW()-2),1),"")</f>
        <v>Mangansulfat</v>
      </c>
      <c r="BM251" t="str">
        <f>IFERROR(INDEX(Liste_Handelsünger[Handelsdünger],_xlfn.AGGREGATE(15,6,(ROW(Liste_Handelsünger[Handelsdünger])-1)/(--(SEARCH(BN$2,Liste_Handelsünger[Handelsdünger])&gt;0)),ROW()-2),1),"")</f>
        <v>Mangansulfat</v>
      </c>
      <c r="BN251" t="str">
        <f>IF(($A266=""),"",IF(COUNTIF(Mineral!$AJ$3:$AJ$324,$A266),"",$A266))</f>
        <v/>
      </c>
      <c r="BV251" t="s">
        <v>2203</v>
      </c>
      <c r="BW251" t="s">
        <v>2128</v>
      </c>
      <c r="BZ251" s="1602"/>
      <c r="CA251" s="1602"/>
      <c r="CB251" s="1602"/>
    </row>
    <row r="252" spans="19:80" ht="14.25" thickTop="1" thickBot="1">
      <c r="S252" s="1676">
        <v>251</v>
      </c>
      <c r="T252" s="1606" t="s">
        <v>2006</v>
      </c>
      <c r="U252" s="1606" t="s">
        <v>2204</v>
      </c>
      <c r="V252" s="1606" t="s">
        <v>408</v>
      </c>
      <c r="W252" s="1606">
        <v>0</v>
      </c>
      <c r="X252" s="1606">
        <v>0</v>
      </c>
      <c r="Y252" s="1606">
        <v>0</v>
      </c>
      <c r="Z252" s="1606">
        <v>0</v>
      </c>
      <c r="AA252" s="1606">
        <v>49</v>
      </c>
      <c r="AB252" s="1606">
        <v>3</v>
      </c>
      <c r="AC252" s="1606">
        <v>1</v>
      </c>
      <c r="AD252" s="1613">
        <v>1</v>
      </c>
      <c r="AE252" s="1606" t="s">
        <v>1764</v>
      </c>
      <c r="AF252" s="1613" t="str">
        <f t="shared" si="19"/>
        <v/>
      </c>
      <c r="AG252" s="1656">
        <f>IFERROR(IF($AF252&gt;0,VLOOKUP($U252,Tabelle1!$C$188:$L$212,5,0)*$AF252,0),0)</f>
        <v>0</v>
      </c>
      <c r="AH252" s="1656">
        <f t="shared" si="20"/>
        <v>0</v>
      </c>
      <c r="AJ252" t="str">
        <f>IF(Betrieb!$D$9="JA",Mineral!$BW252,Mineral!$BV252)</f>
        <v>Meerkalk</v>
      </c>
      <c r="AK252" s="1672" t="str">
        <f>IFERROR(INDEX(Liste_Handelsünger[Handelsdünger],_xlfn.AGGREGATE(15,6,(ROW(Liste_Handelsünger[Handelsdünger])-1)/(--(SEARCH(AL$2,Liste_Handelsünger[Handelsdünger])&gt;0)),ROW()-2),1),"")</f>
        <v>Meerkalk</v>
      </c>
      <c r="AL252" s="1672" t="str">
        <f>IF(($A$3=""),"",IF(COUNTIF(Mineral!$AJ$3:$AJ$324,$A$3),"",$A$3))</f>
        <v/>
      </c>
      <c r="AM252" s="1672" t="str">
        <f>IFERROR(INDEX(Liste_Handelsünger[Handelsdünger],_xlfn.AGGREGATE(15,6,(ROW(Liste_Handelsünger[Handelsdünger])-1)/(--(SEARCH(AN$2,Liste_Handelsünger[Handelsdünger])&gt;0)),ROW()-2),1),"")</f>
        <v>Meerkalk</v>
      </c>
      <c r="AN252" t="str">
        <f>IF(($A254=""),"",IF(COUNTIF(Mineral!$AJ$3:$AJ$324,$A254),"",$A254))</f>
        <v/>
      </c>
      <c r="AO252" t="str">
        <f>IFERROR(INDEX(Liste_Handelsünger[Handelsdünger],_xlfn.AGGREGATE(15,6,(ROW(Liste_Handelsünger[Handelsdünger])-1)/(--(SEARCH(AP$2,Liste_Handelsünger[Handelsdünger])&gt;0)),ROW()-2),1),"")</f>
        <v>Meerkalk</v>
      </c>
      <c r="AP252" t="str">
        <f>IF(($A255=""),"",IF(COUNTIF(Mineral!$AJ$3:$AJ$324,$A255),"",$A255))</f>
        <v/>
      </c>
      <c r="AQ252" t="str">
        <f>IFERROR(INDEX(Liste_Handelsünger[Handelsdünger],_xlfn.AGGREGATE(15,6,(ROW(Liste_Handelsünger[Handelsdünger])-1)/(--(SEARCH(AR$2,Liste_Handelsünger[Handelsdünger])&gt;0)),ROW()-2),1),"")</f>
        <v>Meerkalk</v>
      </c>
      <c r="AR252" t="str">
        <f>IF(($A256=""),"",IF(COUNTIF(Mineral!$AJ$3:$AJ$324,$A256),"",$A256))</f>
        <v/>
      </c>
      <c r="AS252" t="str">
        <f>IFERROR(INDEX(Liste_Handelsünger[Handelsdünger],_xlfn.AGGREGATE(15,6,(ROW(Liste_Handelsünger[Handelsdünger])-1)/(--(SEARCH(AT$2,Liste_Handelsünger[Handelsdünger])&gt;0)),ROW()-2),1),"")</f>
        <v>Meerkalk</v>
      </c>
      <c r="AT252" t="str">
        <f>IF(($A257=""),"",IF(COUNTIF(Mineral!$AJ$3:$AJ$324,$A257),"",$A257))</f>
        <v/>
      </c>
      <c r="AU252" t="str">
        <f>IFERROR(INDEX(Liste_Handelsünger[Handelsdünger],_xlfn.AGGREGATE(15,6,(ROW(Liste_Handelsünger[Handelsdünger])-1)/(--(SEARCH(AV$2,Liste_Handelsünger[Handelsdünger])&gt;0)),ROW()-2),1),"")</f>
        <v>Meerkalk</v>
      </c>
      <c r="AV252" t="str">
        <f>IF(($A258=""),"",IF(COUNTIF(Mineral!$AJ$3:$AJ$324,$A258),"",$A258))</f>
        <v/>
      </c>
      <c r="AW252" t="str">
        <f>IFERROR(INDEX(Liste_Handelsünger[Handelsdünger],_xlfn.AGGREGATE(15,6,(ROW(Liste_Handelsünger[Handelsdünger])-1)/(--(SEARCH(AX$2,Liste_Handelsünger[Handelsdünger])&gt;0)),ROW()-2),1),"")</f>
        <v>Meerkalk</v>
      </c>
      <c r="AX252" t="str">
        <f>IF(($A259=""),"",IF(COUNTIF(Mineral!$AJ$3:$AJ$324,$A259),"",$A259))</f>
        <v/>
      </c>
      <c r="AY252" t="str">
        <f>IFERROR(INDEX(Liste_Handelsünger[Handelsdünger],_xlfn.AGGREGATE(15,6,(ROW(Liste_Handelsünger[Handelsdünger])-1)/(--(SEARCH(AZ$2,Liste_Handelsünger[Handelsdünger])&gt;0)),ROW()-2),1),"")</f>
        <v>Meerkalk</v>
      </c>
      <c r="AZ252" t="str">
        <f>IF(($A260=""),"",IF(COUNTIF(Mineral!$AJ$3:$AJ$324,$A260),"",$A260))</f>
        <v/>
      </c>
      <c r="BA252" t="str">
        <f>IFERROR(INDEX(Liste_Handelsünger[Handelsdünger],_xlfn.AGGREGATE(15,6,(ROW(Liste_Handelsünger[Handelsdünger])-1)/(--(SEARCH(BB$2,Liste_Handelsünger[Handelsdünger])&gt;0)),ROW()-2),1),"")</f>
        <v>Meerkalk</v>
      </c>
      <c r="BB252" t="str">
        <f>IF(($A261=""),"",IF(COUNTIF(Mineral!$AJ$3:$AJ$324,$A261),"",$A261))</f>
        <v/>
      </c>
      <c r="BC252" t="str">
        <f>IFERROR(INDEX(Liste_Handelsünger[Handelsdünger],_xlfn.AGGREGATE(15,6,(ROW(Liste_Handelsünger[Handelsdünger])-1)/(--(SEARCH(BD$2,Liste_Handelsünger[Handelsdünger])&gt;0)),ROW()-2),1),"")</f>
        <v>Meerkalk</v>
      </c>
      <c r="BD252" t="str">
        <f>IF(($A262=""),"",IF(COUNTIF(Mineral!$AJ$3:$AJ$324,$A262),"",$A262))</f>
        <v/>
      </c>
      <c r="BE252" t="str">
        <f>IFERROR(INDEX(Liste_Handelsünger[Handelsdünger],_xlfn.AGGREGATE(15,6,(ROW(Liste_Handelsünger[Handelsdünger])-1)/(--(SEARCH(BF$2,Liste_Handelsünger[Handelsdünger])&gt;0)),ROW()-2),1),"")</f>
        <v>Meerkalk</v>
      </c>
      <c r="BF252" t="str">
        <f>IF(($A263=""),"",IF(COUNTIF(Mineral!$AJ$3:$AJ$324,$A263),"",$A263))</f>
        <v/>
      </c>
      <c r="BG252" t="str">
        <f>IFERROR(INDEX(Liste_Handelsünger[Handelsdünger],_xlfn.AGGREGATE(15,6,(ROW(Liste_Handelsünger[Handelsdünger])-1)/(--(SEARCH(BH$2,Liste_Handelsünger[Handelsdünger])&gt;0)),ROW()-2),1),"")</f>
        <v>Meerkalk</v>
      </c>
      <c r="BH252" t="str">
        <f>IF(($A264=""),"",IF(COUNTIF(Mineral!$AJ$3:$AJ$324,$A264),"",$A264))</f>
        <v/>
      </c>
      <c r="BI252" t="str">
        <f>IFERROR(INDEX(Liste_Handelsünger[Handelsdünger],_xlfn.AGGREGATE(15,6,(ROW(Liste_Handelsünger[Handelsdünger])-1)/(--(SEARCH(BJ$2,Liste_Handelsünger[Handelsdünger])&gt;0)),ROW()-2),1),"")</f>
        <v>Meerkalk</v>
      </c>
      <c r="BJ252" t="str">
        <f>IF(($A265=""),"",IF(COUNTIF(Mineral!$AJ$3:$AJ$324,$A265),"",$A265))</f>
        <v/>
      </c>
      <c r="BK252" t="str">
        <f>IFERROR(INDEX(Liste_Handelsünger[Handelsdünger],_xlfn.AGGREGATE(15,6,(ROW(Liste_Handelsünger[Handelsdünger])-1)/(--(SEARCH(BL$2,Liste_Handelsünger[Handelsdünger])&gt;0)),ROW()-2),1),"")</f>
        <v>Meerkalk</v>
      </c>
      <c r="BM252" t="str">
        <f>IFERROR(INDEX(Liste_Handelsünger[Handelsdünger],_xlfn.AGGREGATE(15,6,(ROW(Liste_Handelsünger[Handelsdünger])-1)/(--(SEARCH(BN$2,Liste_Handelsünger[Handelsdünger])&gt;0)),ROW()-2),1),"")</f>
        <v>Meerkalk</v>
      </c>
      <c r="BN252" t="str">
        <f>IF(($A267=""),"",IF(COUNTIF(Mineral!$AJ$3:$AJ$324,$A267),"",$A267))</f>
        <v/>
      </c>
      <c r="BV252" t="s">
        <v>2204</v>
      </c>
      <c r="BW252" t="s">
        <v>2134</v>
      </c>
      <c r="BZ252" s="1602"/>
      <c r="CA252" s="1602"/>
      <c r="CB252" s="1602"/>
    </row>
    <row r="253" spans="19:80" ht="14.25" thickTop="1" thickBot="1">
      <c r="S253" s="1616">
        <v>252</v>
      </c>
      <c r="T253" s="1617" t="s">
        <v>2006</v>
      </c>
      <c r="U253" s="1617" t="s">
        <v>2206</v>
      </c>
      <c r="V253" s="1617" t="s">
        <v>408</v>
      </c>
      <c r="W253" s="1617">
        <v>0</v>
      </c>
      <c r="X253" s="1617">
        <v>0</v>
      </c>
      <c r="Y253" s="1617">
        <v>0</v>
      </c>
      <c r="Z253" s="1617">
        <v>0</v>
      </c>
      <c r="AA253" s="1617">
        <v>0</v>
      </c>
      <c r="AB253" s="1617">
        <v>0</v>
      </c>
      <c r="AC253" s="1617">
        <v>1</v>
      </c>
      <c r="AD253" s="1613">
        <v>1</v>
      </c>
      <c r="AE253" s="1617" t="s">
        <v>1764</v>
      </c>
      <c r="AF253" s="1613" t="str">
        <f t="shared" si="19"/>
        <v/>
      </c>
      <c r="AG253" s="1656">
        <f>IFERROR(IF($AF253&gt;0,VLOOKUP($U253,Tabelle1!$C$188:$L$212,5,0)*$AF253,0),0)</f>
        <v>0</v>
      </c>
      <c r="AH253" s="1656">
        <f t="shared" si="20"/>
        <v>0</v>
      </c>
      <c r="AJ253" t="str">
        <f>IF(Betrieb!$D$9="JA",Mineral!$BW253,Mineral!$BV253)</f>
        <v>MK 5</v>
      </c>
      <c r="AK253" s="1672" t="str">
        <f>IFERROR(INDEX(Liste_Handelsünger[Handelsdünger],_xlfn.AGGREGATE(15,6,(ROW(Liste_Handelsünger[Handelsdünger])-1)/(--(SEARCH(AL$2,Liste_Handelsünger[Handelsdünger])&gt;0)),ROW()-2),1),"")</f>
        <v>MK 5</v>
      </c>
      <c r="AL253" s="1672" t="str">
        <f>IF(($A$3=""),"",IF(COUNTIF(Mineral!$AJ$3:$AJ$324,$A$3),"",$A$3))</f>
        <v/>
      </c>
      <c r="AM253" s="1672" t="str">
        <f>IFERROR(INDEX(Liste_Handelsünger[Handelsdünger],_xlfn.AGGREGATE(15,6,(ROW(Liste_Handelsünger[Handelsdünger])-1)/(--(SEARCH(AN$2,Liste_Handelsünger[Handelsdünger])&gt;0)),ROW()-2),1),"")</f>
        <v>MK 5</v>
      </c>
      <c r="AN253" t="str">
        <f>IF(($A255=""),"",IF(COUNTIF(Mineral!$AJ$3:$AJ$324,$A255),"",$A255))</f>
        <v/>
      </c>
      <c r="AO253" t="str">
        <f>IFERROR(INDEX(Liste_Handelsünger[Handelsdünger],_xlfn.AGGREGATE(15,6,(ROW(Liste_Handelsünger[Handelsdünger])-1)/(--(SEARCH(AP$2,Liste_Handelsünger[Handelsdünger])&gt;0)),ROW()-2),1),"")</f>
        <v>MK 5</v>
      </c>
      <c r="AP253" t="str">
        <f>IF(($A256=""),"",IF(COUNTIF(Mineral!$AJ$3:$AJ$324,$A256),"",$A256))</f>
        <v/>
      </c>
      <c r="AQ253" t="str">
        <f>IFERROR(INDEX(Liste_Handelsünger[Handelsdünger],_xlfn.AGGREGATE(15,6,(ROW(Liste_Handelsünger[Handelsdünger])-1)/(--(SEARCH(AR$2,Liste_Handelsünger[Handelsdünger])&gt;0)),ROW()-2),1),"")</f>
        <v>MK 5</v>
      </c>
      <c r="AR253" t="str">
        <f>IF(($A257=""),"",IF(COUNTIF(Mineral!$AJ$3:$AJ$324,$A257),"",$A257))</f>
        <v/>
      </c>
      <c r="AS253" t="str">
        <f>IFERROR(INDEX(Liste_Handelsünger[Handelsdünger],_xlfn.AGGREGATE(15,6,(ROW(Liste_Handelsünger[Handelsdünger])-1)/(--(SEARCH(AT$2,Liste_Handelsünger[Handelsdünger])&gt;0)),ROW()-2),1),"")</f>
        <v>MK 5</v>
      </c>
      <c r="AT253" t="str">
        <f>IF(($A258=""),"",IF(COUNTIF(Mineral!$AJ$3:$AJ$324,$A258),"",$A258))</f>
        <v/>
      </c>
      <c r="AU253" t="str">
        <f>IFERROR(INDEX(Liste_Handelsünger[Handelsdünger],_xlfn.AGGREGATE(15,6,(ROW(Liste_Handelsünger[Handelsdünger])-1)/(--(SEARCH(AV$2,Liste_Handelsünger[Handelsdünger])&gt;0)),ROW()-2),1),"")</f>
        <v>MK 5</v>
      </c>
      <c r="AV253" t="str">
        <f>IF(($A259=""),"",IF(COUNTIF(Mineral!$AJ$3:$AJ$324,$A259),"",$A259))</f>
        <v/>
      </c>
      <c r="AW253" t="str">
        <f>IFERROR(INDEX(Liste_Handelsünger[Handelsdünger],_xlfn.AGGREGATE(15,6,(ROW(Liste_Handelsünger[Handelsdünger])-1)/(--(SEARCH(AX$2,Liste_Handelsünger[Handelsdünger])&gt;0)),ROW()-2),1),"")</f>
        <v>MK 5</v>
      </c>
      <c r="AX253" t="str">
        <f>IF(($A260=""),"",IF(COUNTIF(Mineral!$AJ$3:$AJ$324,$A260),"",$A260))</f>
        <v/>
      </c>
      <c r="AY253" t="str">
        <f>IFERROR(INDEX(Liste_Handelsünger[Handelsdünger],_xlfn.AGGREGATE(15,6,(ROW(Liste_Handelsünger[Handelsdünger])-1)/(--(SEARCH(AZ$2,Liste_Handelsünger[Handelsdünger])&gt;0)),ROW()-2),1),"")</f>
        <v>MK 5</v>
      </c>
      <c r="AZ253" t="str">
        <f>IF(($A261=""),"",IF(COUNTIF(Mineral!$AJ$3:$AJ$324,$A261),"",$A261))</f>
        <v/>
      </c>
      <c r="BA253" t="str">
        <f>IFERROR(INDEX(Liste_Handelsünger[Handelsdünger],_xlfn.AGGREGATE(15,6,(ROW(Liste_Handelsünger[Handelsdünger])-1)/(--(SEARCH(BB$2,Liste_Handelsünger[Handelsdünger])&gt;0)),ROW()-2),1),"")</f>
        <v>MK 5</v>
      </c>
      <c r="BB253" t="str">
        <f>IF(($A262=""),"",IF(COUNTIF(Mineral!$AJ$3:$AJ$324,$A262),"",$A262))</f>
        <v/>
      </c>
      <c r="BC253" t="str">
        <f>IFERROR(INDEX(Liste_Handelsünger[Handelsdünger],_xlfn.AGGREGATE(15,6,(ROW(Liste_Handelsünger[Handelsdünger])-1)/(--(SEARCH(BD$2,Liste_Handelsünger[Handelsdünger])&gt;0)),ROW()-2),1),"")</f>
        <v>MK 5</v>
      </c>
      <c r="BD253" t="str">
        <f>IF(($A263=""),"",IF(COUNTIF(Mineral!$AJ$3:$AJ$324,$A263),"",$A263))</f>
        <v/>
      </c>
      <c r="BE253" t="str">
        <f>IFERROR(INDEX(Liste_Handelsünger[Handelsdünger],_xlfn.AGGREGATE(15,6,(ROW(Liste_Handelsünger[Handelsdünger])-1)/(--(SEARCH(BF$2,Liste_Handelsünger[Handelsdünger])&gt;0)),ROW()-2),1),"")</f>
        <v>MK 5</v>
      </c>
      <c r="BF253" t="str">
        <f>IF(($A264=""),"",IF(COUNTIF(Mineral!$AJ$3:$AJ$324,$A264),"",$A264))</f>
        <v/>
      </c>
      <c r="BG253" t="str">
        <f>IFERROR(INDEX(Liste_Handelsünger[Handelsdünger],_xlfn.AGGREGATE(15,6,(ROW(Liste_Handelsünger[Handelsdünger])-1)/(--(SEARCH(BH$2,Liste_Handelsünger[Handelsdünger])&gt;0)),ROW()-2),1),"")</f>
        <v>MK 5</v>
      </c>
      <c r="BH253" t="str">
        <f>IF(($A265=""),"",IF(COUNTIF(Mineral!$AJ$3:$AJ$324,$A265),"",$A265))</f>
        <v/>
      </c>
      <c r="BI253" t="str">
        <f>IFERROR(INDEX(Liste_Handelsünger[Handelsdünger],_xlfn.AGGREGATE(15,6,(ROW(Liste_Handelsünger[Handelsdünger])-1)/(--(SEARCH(BJ$2,Liste_Handelsünger[Handelsdünger])&gt;0)),ROW()-2),1),"")</f>
        <v>MK 5</v>
      </c>
      <c r="BJ253" t="str">
        <f>IF(($A266=""),"",IF(COUNTIF(Mineral!$AJ$3:$AJ$324,$A266),"",$A266))</f>
        <v/>
      </c>
      <c r="BK253" t="str">
        <f>IFERROR(INDEX(Liste_Handelsünger[Handelsdünger],_xlfn.AGGREGATE(15,6,(ROW(Liste_Handelsünger[Handelsdünger])-1)/(--(SEARCH(BL$2,Liste_Handelsünger[Handelsdünger])&gt;0)),ROW()-2),1),"")</f>
        <v>MK 5</v>
      </c>
      <c r="BM253" t="str">
        <f>IFERROR(INDEX(Liste_Handelsünger[Handelsdünger],_xlfn.AGGREGATE(15,6,(ROW(Liste_Handelsünger[Handelsdünger])-1)/(--(SEARCH(BN$2,Liste_Handelsünger[Handelsdünger])&gt;0)),ROW()-2),1),"")</f>
        <v>MK 5</v>
      </c>
      <c r="BN253" t="str">
        <f>IF(($A268=""),"",IF(COUNTIF(Mineral!$AJ$3:$AJ$324,$A268),"",$A268))</f>
        <v/>
      </c>
      <c r="BV253" t="s">
        <v>2206</v>
      </c>
      <c r="BW253" t="s">
        <v>2146</v>
      </c>
      <c r="BZ253" s="1602"/>
      <c r="CA253" s="1602"/>
      <c r="CB253" s="1602"/>
    </row>
    <row r="254" spans="19:80" ht="14.25" thickTop="1" thickBot="1">
      <c r="S254" s="1676">
        <v>253</v>
      </c>
      <c r="T254" s="1606" t="s">
        <v>2006</v>
      </c>
      <c r="U254" s="1606" t="s">
        <v>2207</v>
      </c>
      <c r="V254" s="1606" t="s">
        <v>408</v>
      </c>
      <c r="W254" s="1606">
        <v>0</v>
      </c>
      <c r="X254" s="1606">
        <v>0</v>
      </c>
      <c r="Y254" s="1606">
        <v>0</v>
      </c>
      <c r="Z254" s="1606">
        <v>0</v>
      </c>
      <c r="AA254" s="1606">
        <v>0</v>
      </c>
      <c r="AB254" s="1606">
        <v>0</v>
      </c>
      <c r="AC254" s="1606">
        <v>1</v>
      </c>
      <c r="AD254" s="1613">
        <v>1</v>
      </c>
      <c r="AE254" s="1606" t="s">
        <v>1764</v>
      </c>
      <c r="AF254" s="1613" t="str">
        <f t="shared" si="19"/>
        <v/>
      </c>
      <c r="AG254" s="1656">
        <f>IFERROR(IF($AF254&gt;0,VLOOKUP($U254,Tabelle1!$C$188:$L$212,5,0)*$AF254,0),0)</f>
        <v>0</v>
      </c>
      <c r="AH254" s="1656">
        <f t="shared" si="20"/>
        <v>0</v>
      </c>
      <c r="AJ254" t="str">
        <f>IF(Betrieb!$D$9="JA",Mineral!$BW254,Mineral!$BV254)</f>
        <v>mOlnasa®</v>
      </c>
      <c r="AK254" s="1672" t="str">
        <f>IFERROR(INDEX(Liste_Handelsünger[Handelsdünger],_xlfn.AGGREGATE(15,6,(ROW(Liste_Handelsünger[Handelsdünger])-1)/(--(SEARCH(AL$2,Liste_Handelsünger[Handelsdünger])&gt;0)),ROW()-2),1),"")</f>
        <v>mOlnasa®</v>
      </c>
      <c r="AL254" s="1672" t="str">
        <f>IF(($A$3=""),"",IF(COUNTIF(Mineral!$AJ$3:$AJ$324,$A$3),"",$A$3))</f>
        <v/>
      </c>
      <c r="AM254" s="1672" t="str">
        <f>IFERROR(INDEX(Liste_Handelsünger[Handelsdünger],_xlfn.AGGREGATE(15,6,(ROW(Liste_Handelsünger[Handelsdünger])-1)/(--(SEARCH(AN$2,Liste_Handelsünger[Handelsdünger])&gt;0)),ROW()-2),1),"")</f>
        <v>mOlnasa®</v>
      </c>
      <c r="AN254" t="str">
        <f>IF(($A256=""),"",IF(COUNTIF(Mineral!$AJ$3:$AJ$324,$A256),"",$A256))</f>
        <v/>
      </c>
      <c r="AO254" t="str">
        <f>IFERROR(INDEX(Liste_Handelsünger[Handelsdünger],_xlfn.AGGREGATE(15,6,(ROW(Liste_Handelsünger[Handelsdünger])-1)/(--(SEARCH(AP$2,Liste_Handelsünger[Handelsdünger])&gt;0)),ROW()-2),1),"")</f>
        <v>mOlnasa®</v>
      </c>
      <c r="AP254" t="str">
        <f>IF(($A257=""),"",IF(COUNTIF(Mineral!$AJ$3:$AJ$324,$A257),"",$A257))</f>
        <v/>
      </c>
      <c r="AQ254" t="str">
        <f>IFERROR(INDEX(Liste_Handelsünger[Handelsdünger],_xlfn.AGGREGATE(15,6,(ROW(Liste_Handelsünger[Handelsdünger])-1)/(--(SEARCH(AR$2,Liste_Handelsünger[Handelsdünger])&gt;0)),ROW()-2),1),"")</f>
        <v>mOlnasa®</v>
      </c>
      <c r="AR254" t="str">
        <f>IF(($A258=""),"",IF(COUNTIF(Mineral!$AJ$3:$AJ$324,$A258),"",$A258))</f>
        <v/>
      </c>
      <c r="AS254" t="str">
        <f>IFERROR(INDEX(Liste_Handelsünger[Handelsdünger],_xlfn.AGGREGATE(15,6,(ROW(Liste_Handelsünger[Handelsdünger])-1)/(--(SEARCH(AT$2,Liste_Handelsünger[Handelsdünger])&gt;0)),ROW()-2),1),"")</f>
        <v>mOlnasa®</v>
      </c>
      <c r="AT254" t="str">
        <f>IF(($A259=""),"",IF(COUNTIF(Mineral!$AJ$3:$AJ$324,$A259),"",$A259))</f>
        <v/>
      </c>
      <c r="AU254" t="str">
        <f>IFERROR(INDEX(Liste_Handelsünger[Handelsdünger],_xlfn.AGGREGATE(15,6,(ROW(Liste_Handelsünger[Handelsdünger])-1)/(--(SEARCH(AV$2,Liste_Handelsünger[Handelsdünger])&gt;0)),ROW()-2),1),"")</f>
        <v>mOlnasa®</v>
      </c>
      <c r="AV254" t="str">
        <f>IF(($A260=""),"",IF(COUNTIF(Mineral!$AJ$3:$AJ$324,$A260),"",$A260))</f>
        <v/>
      </c>
      <c r="AW254" t="str">
        <f>IFERROR(INDEX(Liste_Handelsünger[Handelsdünger],_xlfn.AGGREGATE(15,6,(ROW(Liste_Handelsünger[Handelsdünger])-1)/(--(SEARCH(AX$2,Liste_Handelsünger[Handelsdünger])&gt;0)),ROW()-2),1),"")</f>
        <v>mOlnasa®</v>
      </c>
      <c r="AX254" t="str">
        <f>IF(($A261=""),"",IF(COUNTIF(Mineral!$AJ$3:$AJ$324,$A261),"",$A261))</f>
        <v/>
      </c>
      <c r="AY254" t="str">
        <f>IFERROR(INDEX(Liste_Handelsünger[Handelsdünger],_xlfn.AGGREGATE(15,6,(ROW(Liste_Handelsünger[Handelsdünger])-1)/(--(SEARCH(AZ$2,Liste_Handelsünger[Handelsdünger])&gt;0)),ROW()-2),1),"")</f>
        <v>mOlnasa®</v>
      </c>
      <c r="AZ254" t="str">
        <f>IF(($A262=""),"",IF(COUNTIF(Mineral!$AJ$3:$AJ$324,$A262),"",$A262))</f>
        <v/>
      </c>
      <c r="BA254" t="str">
        <f>IFERROR(INDEX(Liste_Handelsünger[Handelsdünger],_xlfn.AGGREGATE(15,6,(ROW(Liste_Handelsünger[Handelsdünger])-1)/(--(SEARCH(BB$2,Liste_Handelsünger[Handelsdünger])&gt;0)),ROW()-2),1),"")</f>
        <v>mOlnasa®</v>
      </c>
      <c r="BB254" t="str">
        <f>IF(($A263=""),"",IF(COUNTIF(Mineral!$AJ$3:$AJ$324,$A263),"",$A263))</f>
        <v/>
      </c>
      <c r="BC254" t="str">
        <f>IFERROR(INDEX(Liste_Handelsünger[Handelsdünger],_xlfn.AGGREGATE(15,6,(ROW(Liste_Handelsünger[Handelsdünger])-1)/(--(SEARCH(BD$2,Liste_Handelsünger[Handelsdünger])&gt;0)),ROW()-2),1),"")</f>
        <v>mOlnasa®</v>
      </c>
      <c r="BD254" t="str">
        <f>IF(($A264=""),"",IF(COUNTIF(Mineral!$AJ$3:$AJ$324,$A264),"",$A264))</f>
        <v/>
      </c>
      <c r="BE254" t="str">
        <f>IFERROR(INDEX(Liste_Handelsünger[Handelsdünger],_xlfn.AGGREGATE(15,6,(ROW(Liste_Handelsünger[Handelsdünger])-1)/(--(SEARCH(BF$2,Liste_Handelsünger[Handelsdünger])&gt;0)),ROW()-2),1),"")</f>
        <v>mOlnasa®</v>
      </c>
      <c r="BF254" t="str">
        <f>IF(($A265=""),"",IF(COUNTIF(Mineral!$AJ$3:$AJ$324,$A265),"",$A265))</f>
        <v/>
      </c>
      <c r="BG254" t="str">
        <f>IFERROR(INDEX(Liste_Handelsünger[Handelsdünger],_xlfn.AGGREGATE(15,6,(ROW(Liste_Handelsünger[Handelsdünger])-1)/(--(SEARCH(BH$2,Liste_Handelsünger[Handelsdünger])&gt;0)),ROW()-2),1),"")</f>
        <v>mOlnasa®</v>
      </c>
      <c r="BH254" t="str">
        <f>IF(($A266=""),"",IF(COUNTIF(Mineral!$AJ$3:$AJ$324,$A266),"",$A266))</f>
        <v/>
      </c>
      <c r="BI254" t="str">
        <f>IFERROR(INDEX(Liste_Handelsünger[Handelsdünger],_xlfn.AGGREGATE(15,6,(ROW(Liste_Handelsünger[Handelsdünger])-1)/(--(SEARCH(BJ$2,Liste_Handelsünger[Handelsdünger])&gt;0)),ROW()-2),1),"")</f>
        <v>mOlnasa®</v>
      </c>
      <c r="BJ254" t="str">
        <f>IF(($A267=""),"",IF(COUNTIF(Mineral!$AJ$3:$AJ$324,$A267),"",$A267))</f>
        <v/>
      </c>
      <c r="BK254" t="str">
        <f>IFERROR(INDEX(Liste_Handelsünger[Handelsdünger],_xlfn.AGGREGATE(15,6,(ROW(Liste_Handelsünger[Handelsdünger])-1)/(--(SEARCH(BL$2,Liste_Handelsünger[Handelsdünger])&gt;0)),ROW()-2),1),"")</f>
        <v>mOlnasa®</v>
      </c>
      <c r="BM254" t="str">
        <f>IFERROR(INDEX(Liste_Handelsünger[Handelsdünger],_xlfn.AGGREGATE(15,6,(ROW(Liste_Handelsünger[Handelsdünger])-1)/(--(SEARCH(BN$2,Liste_Handelsünger[Handelsdünger])&gt;0)),ROW()-2),1),"")</f>
        <v>mOlnasa®</v>
      </c>
      <c r="BN254" t="str">
        <f>IF(($A269=""),"",IF(COUNTIF(Mineral!$AJ$3:$AJ$324,$A269),"",$A269))</f>
        <v/>
      </c>
      <c r="BV254" t="s">
        <v>2207</v>
      </c>
      <c r="BW254" t="s">
        <v>2147</v>
      </c>
      <c r="BZ254" s="1602"/>
      <c r="CA254" s="1602"/>
      <c r="CB254" s="1602"/>
    </row>
    <row r="255" spans="19:80" ht="14.25" thickTop="1" thickBot="1">
      <c r="S255" s="1616">
        <v>254</v>
      </c>
      <c r="T255" s="1617" t="s">
        <v>2006</v>
      </c>
      <c r="U255" s="1617" t="s">
        <v>2209</v>
      </c>
      <c r="V255" s="1617" t="s">
        <v>408</v>
      </c>
      <c r="W255" s="1617">
        <v>0</v>
      </c>
      <c r="X255" s="1617">
        <v>0</v>
      </c>
      <c r="Y255" s="1617">
        <v>0</v>
      </c>
      <c r="Z255" s="1617">
        <v>0</v>
      </c>
      <c r="AA255" s="1617">
        <v>0</v>
      </c>
      <c r="AB255" s="1617">
        <v>0</v>
      </c>
      <c r="AC255" s="1617">
        <v>1</v>
      </c>
      <c r="AD255" s="1613">
        <v>1</v>
      </c>
      <c r="AE255" s="1617" t="s">
        <v>1764</v>
      </c>
      <c r="AF255" s="1613" t="str">
        <f t="shared" si="19"/>
        <v/>
      </c>
      <c r="AG255" s="1656">
        <f>IFERROR(IF($AF255&gt;0,VLOOKUP($U255,Tabelle1!$C$188:$L$212,5,0)*$AF255,0),0)</f>
        <v>0</v>
      </c>
      <c r="AH255" s="1656">
        <f t="shared" si="20"/>
        <v>0</v>
      </c>
      <c r="AJ255" t="str">
        <f>IF(Betrieb!$D$9="JA",Mineral!$BW255,Mineral!$BV255)</f>
        <v>Multikraft Effektive Mikroorganismen Aktiv</v>
      </c>
      <c r="AK255" s="1672" t="str">
        <f>IFERROR(INDEX(Liste_Handelsünger[Handelsdünger],_xlfn.AGGREGATE(15,6,(ROW(Liste_Handelsünger[Handelsdünger])-1)/(--(SEARCH(AL$2,Liste_Handelsünger[Handelsdünger])&gt;0)),ROW()-2),1),"")</f>
        <v>Multikraft Effektive Mikroorganismen Aktiv</v>
      </c>
      <c r="AL255" s="1672" t="str">
        <f>IF(($A$3=""),"",IF(COUNTIF(Mineral!$AJ$3:$AJ$324,$A$3),"",$A$3))</f>
        <v/>
      </c>
      <c r="AM255" s="1672" t="str">
        <f>IFERROR(INDEX(Liste_Handelsünger[Handelsdünger],_xlfn.AGGREGATE(15,6,(ROW(Liste_Handelsünger[Handelsdünger])-1)/(--(SEARCH(AN$2,Liste_Handelsünger[Handelsdünger])&gt;0)),ROW()-2),1),"")</f>
        <v>Multikraft Effektive Mikroorganismen Aktiv</v>
      </c>
      <c r="AN255" t="str">
        <f>IF(($A257=""),"",IF(COUNTIF(Mineral!$AJ$3:$AJ$324,$A257),"",$A257))</f>
        <v/>
      </c>
      <c r="AO255" t="str">
        <f>IFERROR(INDEX(Liste_Handelsünger[Handelsdünger],_xlfn.AGGREGATE(15,6,(ROW(Liste_Handelsünger[Handelsdünger])-1)/(--(SEARCH(AP$2,Liste_Handelsünger[Handelsdünger])&gt;0)),ROW()-2),1),"")</f>
        <v>Multikraft Effektive Mikroorganismen Aktiv</v>
      </c>
      <c r="AP255" t="str">
        <f>IF(($A258=""),"",IF(COUNTIF(Mineral!$AJ$3:$AJ$324,$A258),"",$A258))</f>
        <v/>
      </c>
      <c r="AQ255" t="str">
        <f>IFERROR(INDEX(Liste_Handelsünger[Handelsdünger],_xlfn.AGGREGATE(15,6,(ROW(Liste_Handelsünger[Handelsdünger])-1)/(--(SEARCH(AR$2,Liste_Handelsünger[Handelsdünger])&gt;0)),ROW()-2),1),"")</f>
        <v>Multikraft Effektive Mikroorganismen Aktiv</v>
      </c>
      <c r="AR255" t="str">
        <f>IF(($A259=""),"",IF(COUNTIF(Mineral!$AJ$3:$AJ$324,$A259),"",$A259))</f>
        <v/>
      </c>
      <c r="AS255" t="str">
        <f>IFERROR(INDEX(Liste_Handelsünger[Handelsdünger],_xlfn.AGGREGATE(15,6,(ROW(Liste_Handelsünger[Handelsdünger])-1)/(--(SEARCH(AT$2,Liste_Handelsünger[Handelsdünger])&gt;0)),ROW()-2),1),"")</f>
        <v>Multikraft Effektive Mikroorganismen Aktiv</v>
      </c>
      <c r="AT255" t="str">
        <f>IF(($A260=""),"",IF(COUNTIF(Mineral!$AJ$3:$AJ$324,$A260),"",$A260))</f>
        <v/>
      </c>
      <c r="AU255" t="str">
        <f>IFERROR(INDEX(Liste_Handelsünger[Handelsdünger],_xlfn.AGGREGATE(15,6,(ROW(Liste_Handelsünger[Handelsdünger])-1)/(--(SEARCH(AV$2,Liste_Handelsünger[Handelsdünger])&gt;0)),ROW()-2),1),"")</f>
        <v>Multikraft Effektive Mikroorganismen Aktiv</v>
      </c>
      <c r="AV255" t="str">
        <f>IF(($A261=""),"",IF(COUNTIF(Mineral!$AJ$3:$AJ$324,$A261),"",$A261))</f>
        <v/>
      </c>
      <c r="AW255" t="str">
        <f>IFERROR(INDEX(Liste_Handelsünger[Handelsdünger],_xlfn.AGGREGATE(15,6,(ROW(Liste_Handelsünger[Handelsdünger])-1)/(--(SEARCH(AX$2,Liste_Handelsünger[Handelsdünger])&gt;0)),ROW()-2),1),"")</f>
        <v>Multikraft Effektive Mikroorganismen Aktiv</v>
      </c>
      <c r="AX255" t="str">
        <f>IF(($A262=""),"",IF(COUNTIF(Mineral!$AJ$3:$AJ$324,$A262),"",$A262))</f>
        <v/>
      </c>
      <c r="AY255" t="str">
        <f>IFERROR(INDEX(Liste_Handelsünger[Handelsdünger],_xlfn.AGGREGATE(15,6,(ROW(Liste_Handelsünger[Handelsdünger])-1)/(--(SEARCH(AZ$2,Liste_Handelsünger[Handelsdünger])&gt;0)),ROW()-2),1),"")</f>
        <v>Multikraft Effektive Mikroorganismen Aktiv</v>
      </c>
      <c r="AZ255" t="str">
        <f>IF(($A263=""),"",IF(COUNTIF(Mineral!$AJ$3:$AJ$324,$A263),"",$A263))</f>
        <v/>
      </c>
      <c r="BA255" t="str">
        <f>IFERROR(INDEX(Liste_Handelsünger[Handelsdünger],_xlfn.AGGREGATE(15,6,(ROW(Liste_Handelsünger[Handelsdünger])-1)/(--(SEARCH(BB$2,Liste_Handelsünger[Handelsdünger])&gt;0)),ROW()-2),1),"")</f>
        <v>Multikraft Effektive Mikroorganismen Aktiv</v>
      </c>
      <c r="BB255" t="str">
        <f>IF(($A264=""),"",IF(COUNTIF(Mineral!$AJ$3:$AJ$324,$A264),"",$A264))</f>
        <v/>
      </c>
      <c r="BC255" t="str">
        <f>IFERROR(INDEX(Liste_Handelsünger[Handelsdünger],_xlfn.AGGREGATE(15,6,(ROW(Liste_Handelsünger[Handelsdünger])-1)/(--(SEARCH(BD$2,Liste_Handelsünger[Handelsdünger])&gt;0)),ROW()-2),1),"")</f>
        <v>Multikraft Effektive Mikroorganismen Aktiv</v>
      </c>
      <c r="BD255" t="str">
        <f>IF(($A265=""),"",IF(COUNTIF(Mineral!$AJ$3:$AJ$324,$A265),"",$A265))</f>
        <v/>
      </c>
      <c r="BE255" t="str">
        <f>IFERROR(INDEX(Liste_Handelsünger[Handelsdünger],_xlfn.AGGREGATE(15,6,(ROW(Liste_Handelsünger[Handelsdünger])-1)/(--(SEARCH(BF$2,Liste_Handelsünger[Handelsdünger])&gt;0)),ROW()-2),1),"")</f>
        <v>Multikraft Effektive Mikroorganismen Aktiv</v>
      </c>
      <c r="BF255" t="str">
        <f>IF(($A266=""),"",IF(COUNTIF(Mineral!$AJ$3:$AJ$324,$A266),"",$A266))</f>
        <v/>
      </c>
      <c r="BG255" t="str">
        <f>IFERROR(INDEX(Liste_Handelsünger[Handelsdünger],_xlfn.AGGREGATE(15,6,(ROW(Liste_Handelsünger[Handelsdünger])-1)/(--(SEARCH(BH$2,Liste_Handelsünger[Handelsdünger])&gt;0)),ROW()-2),1),"")</f>
        <v>Multikraft Effektive Mikroorganismen Aktiv</v>
      </c>
      <c r="BH255" t="str">
        <f>IF(($A267=""),"",IF(COUNTIF(Mineral!$AJ$3:$AJ$324,$A267),"",$A267))</f>
        <v/>
      </c>
      <c r="BI255" t="str">
        <f>IFERROR(INDEX(Liste_Handelsünger[Handelsdünger],_xlfn.AGGREGATE(15,6,(ROW(Liste_Handelsünger[Handelsdünger])-1)/(--(SEARCH(BJ$2,Liste_Handelsünger[Handelsdünger])&gt;0)),ROW()-2),1),"")</f>
        <v>Multikraft Effektive Mikroorganismen Aktiv</v>
      </c>
      <c r="BJ255" t="str">
        <f>IF(($A268=""),"",IF(COUNTIF(Mineral!$AJ$3:$AJ$324,$A268),"",$A268))</f>
        <v/>
      </c>
      <c r="BK255" t="str">
        <f>IFERROR(INDEX(Liste_Handelsünger[Handelsdünger],_xlfn.AGGREGATE(15,6,(ROW(Liste_Handelsünger[Handelsdünger])-1)/(--(SEARCH(BL$2,Liste_Handelsünger[Handelsdünger])&gt;0)),ROW()-2),1),"")</f>
        <v>Multikraft Effektive Mikroorganismen Aktiv</v>
      </c>
      <c r="BM255" t="str">
        <f>IFERROR(INDEX(Liste_Handelsünger[Handelsdünger],_xlfn.AGGREGATE(15,6,(ROW(Liste_Handelsünger[Handelsdünger])-1)/(--(SEARCH(BN$2,Liste_Handelsünger[Handelsdünger])&gt;0)),ROW()-2),1),"")</f>
        <v>Multikraft Effektive Mikroorganismen Aktiv</v>
      </c>
      <c r="BN255" t="str">
        <f>IF(($A270=""),"",IF(COUNTIF(Mineral!$AJ$3:$AJ$324,$A270),"",$A270))</f>
        <v/>
      </c>
      <c r="BV255" t="s">
        <v>2209</v>
      </c>
      <c r="BW255" t="s">
        <v>2148</v>
      </c>
      <c r="BZ255" s="1602"/>
      <c r="CA255" s="1602"/>
      <c r="CB255" s="1602"/>
    </row>
    <row r="256" spans="19:80" ht="14.25" thickTop="1" thickBot="1">
      <c r="S256" s="1676">
        <v>255</v>
      </c>
      <c r="T256" s="1606" t="s">
        <v>2006</v>
      </c>
      <c r="U256" s="1606" t="s">
        <v>2210</v>
      </c>
      <c r="V256" s="1606" t="s">
        <v>408</v>
      </c>
      <c r="W256" s="1606">
        <v>0</v>
      </c>
      <c r="X256" s="1606">
        <v>0</v>
      </c>
      <c r="Y256" s="1606">
        <v>0</v>
      </c>
      <c r="Z256" s="1606">
        <v>0</v>
      </c>
      <c r="AA256" s="1606">
        <v>0</v>
      </c>
      <c r="AB256" s="1606">
        <v>0</v>
      </c>
      <c r="AC256" s="1606">
        <v>1</v>
      </c>
      <c r="AD256" s="1613">
        <v>1</v>
      </c>
      <c r="AE256" s="1606" t="s">
        <v>1764</v>
      </c>
      <c r="AF256" s="1613" t="str">
        <f t="shared" si="19"/>
        <v/>
      </c>
      <c r="AG256" s="1656">
        <f>IFERROR(IF($AF256&gt;0,VLOOKUP($U256,Tabelle1!$C$188:$L$212,5,0)*$AF256,0),0)</f>
        <v>0</v>
      </c>
      <c r="AH256" s="1656">
        <f t="shared" si="20"/>
        <v>0</v>
      </c>
      <c r="AJ256" t="str">
        <f>IF(Betrieb!$D$9="JA",Mineral!$BW256,Mineral!$BV256)</f>
        <v>Multikraft Effektive Mikroorganismen Urlösung</v>
      </c>
      <c r="AK256" s="1672" t="str">
        <f>IFERROR(INDEX(Liste_Handelsünger[Handelsdünger],_xlfn.AGGREGATE(15,6,(ROW(Liste_Handelsünger[Handelsdünger])-1)/(--(SEARCH(AL$2,Liste_Handelsünger[Handelsdünger])&gt;0)),ROW()-2),1),"")</f>
        <v>Multikraft Effektive Mikroorganismen Urlösung</v>
      </c>
      <c r="AL256" s="1672" t="str">
        <f>IF(($A$3=""),"",IF(COUNTIF(Mineral!$AJ$3:$AJ$324,$A$3),"",$A$3))</f>
        <v/>
      </c>
      <c r="AM256" s="1672" t="str">
        <f>IFERROR(INDEX(Liste_Handelsünger[Handelsdünger],_xlfn.AGGREGATE(15,6,(ROW(Liste_Handelsünger[Handelsdünger])-1)/(--(SEARCH(AN$2,Liste_Handelsünger[Handelsdünger])&gt;0)),ROW()-2),1),"")</f>
        <v>Multikraft Effektive Mikroorganismen Urlösung</v>
      </c>
      <c r="AN256" t="str">
        <f>IF(($A258=""),"",IF(COUNTIF(Mineral!$AJ$3:$AJ$324,$A258),"",$A258))</f>
        <v/>
      </c>
      <c r="AO256" t="str">
        <f>IFERROR(INDEX(Liste_Handelsünger[Handelsdünger],_xlfn.AGGREGATE(15,6,(ROW(Liste_Handelsünger[Handelsdünger])-1)/(--(SEARCH(AP$2,Liste_Handelsünger[Handelsdünger])&gt;0)),ROW()-2),1),"")</f>
        <v>Multikraft Effektive Mikroorganismen Urlösung</v>
      </c>
      <c r="AP256" t="str">
        <f>IF(($A259=""),"",IF(COUNTIF(Mineral!$AJ$3:$AJ$324,$A259),"",$A259))</f>
        <v/>
      </c>
      <c r="AQ256" t="str">
        <f>IFERROR(INDEX(Liste_Handelsünger[Handelsdünger],_xlfn.AGGREGATE(15,6,(ROW(Liste_Handelsünger[Handelsdünger])-1)/(--(SEARCH(AR$2,Liste_Handelsünger[Handelsdünger])&gt;0)),ROW()-2),1),"")</f>
        <v>Multikraft Effektive Mikroorganismen Urlösung</v>
      </c>
      <c r="AR256" t="str">
        <f>IF(($A260=""),"",IF(COUNTIF(Mineral!$AJ$3:$AJ$324,$A260),"",$A260))</f>
        <v/>
      </c>
      <c r="AS256" t="str">
        <f>IFERROR(INDEX(Liste_Handelsünger[Handelsdünger],_xlfn.AGGREGATE(15,6,(ROW(Liste_Handelsünger[Handelsdünger])-1)/(--(SEARCH(AT$2,Liste_Handelsünger[Handelsdünger])&gt;0)),ROW()-2),1),"")</f>
        <v>Multikraft Effektive Mikroorganismen Urlösung</v>
      </c>
      <c r="AT256" t="str">
        <f>IF(($A261=""),"",IF(COUNTIF(Mineral!$AJ$3:$AJ$324,$A261),"",$A261))</f>
        <v/>
      </c>
      <c r="AU256" t="str">
        <f>IFERROR(INDEX(Liste_Handelsünger[Handelsdünger],_xlfn.AGGREGATE(15,6,(ROW(Liste_Handelsünger[Handelsdünger])-1)/(--(SEARCH(AV$2,Liste_Handelsünger[Handelsdünger])&gt;0)),ROW()-2),1),"")</f>
        <v>Multikraft Effektive Mikroorganismen Urlösung</v>
      </c>
      <c r="AV256" t="str">
        <f>IF(($A262=""),"",IF(COUNTIF(Mineral!$AJ$3:$AJ$324,$A262),"",$A262))</f>
        <v/>
      </c>
      <c r="AW256" t="str">
        <f>IFERROR(INDEX(Liste_Handelsünger[Handelsdünger],_xlfn.AGGREGATE(15,6,(ROW(Liste_Handelsünger[Handelsdünger])-1)/(--(SEARCH(AX$2,Liste_Handelsünger[Handelsdünger])&gt;0)),ROW()-2),1),"")</f>
        <v>Multikraft Effektive Mikroorganismen Urlösung</v>
      </c>
      <c r="AX256" t="str">
        <f>IF(($A263=""),"",IF(COUNTIF(Mineral!$AJ$3:$AJ$324,$A263),"",$A263))</f>
        <v/>
      </c>
      <c r="AY256" t="str">
        <f>IFERROR(INDEX(Liste_Handelsünger[Handelsdünger],_xlfn.AGGREGATE(15,6,(ROW(Liste_Handelsünger[Handelsdünger])-1)/(--(SEARCH(AZ$2,Liste_Handelsünger[Handelsdünger])&gt;0)),ROW()-2),1),"")</f>
        <v>Multikraft Effektive Mikroorganismen Urlösung</v>
      </c>
      <c r="AZ256" t="str">
        <f>IF(($A264=""),"",IF(COUNTIF(Mineral!$AJ$3:$AJ$324,$A264),"",$A264))</f>
        <v/>
      </c>
      <c r="BA256" t="str">
        <f>IFERROR(INDEX(Liste_Handelsünger[Handelsdünger],_xlfn.AGGREGATE(15,6,(ROW(Liste_Handelsünger[Handelsdünger])-1)/(--(SEARCH(BB$2,Liste_Handelsünger[Handelsdünger])&gt;0)),ROW()-2),1),"")</f>
        <v>Multikraft Effektive Mikroorganismen Urlösung</v>
      </c>
      <c r="BB256" t="str">
        <f>IF(($A265=""),"",IF(COUNTIF(Mineral!$AJ$3:$AJ$324,$A265),"",$A265))</f>
        <v/>
      </c>
      <c r="BC256" t="str">
        <f>IFERROR(INDEX(Liste_Handelsünger[Handelsdünger],_xlfn.AGGREGATE(15,6,(ROW(Liste_Handelsünger[Handelsdünger])-1)/(--(SEARCH(BD$2,Liste_Handelsünger[Handelsdünger])&gt;0)),ROW()-2),1),"")</f>
        <v>Multikraft Effektive Mikroorganismen Urlösung</v>
      </c>
      <c r="BD256" t="str">
        <f>IF(($A266=""),"",IF(COUNTIF(Mineral!$AJ$3:$AJ$324,$A266),"",$A266))</f>
        <v/>
      </c>
      <c r="BE256" t="str">
        <f>IFERROR(INDEX(Liste_Handelsünger[Handelsdünger],_xlfn.AGGREGATE(15,6,(ROW(Liste_Handelsünger[Handelsdünger])-1)/(--(SEARCH(BF$2,Liste_Handelsünger[Handelsdünger])&gt;0)),ROW()-2),1),"")</f>
        <v>Multikraft Effektive Mikroorganismen Urlösung</v>
      </c>
      <c r="BF256" t="str">
        <f>IF(($A267=""),"",IF(COUNTIF(Mineral!$AJ$3:$AJ$324,$A267),"",$A267))</f>
        <v/>
      </c>
      <c r="BG256" t="str">
        <f>IFERROR(INDEX(Liste_Handelsünger[Handelsdünger],_xlfn.AGGREGATE(15,6,(ROW(Liste_Handelsünger[Handelsdünger])-1)/(--(SEARCH(BH$2,Liste_Handelsünger[Handelsdünger])&gt;0)),ROW()-2),1),"")</f>
        <v>Multikraft Effektive Mikroorganismen Urlösung</v>
      </c>
      <c r="BH256" t="str">
        <f>IF(($A268=""),"",IF(COUNTIF(Mineral!$AJ$3:$AJ$324,$A268),"",$A268))</f>
        <v/>
      </c>
      <c r="BI256" t="str">
        <f>IFERROR(INDEX(Liste_Handelsünger[Handelsdünger],_xlfn.AGGREGATE(15,6,(ROW(Liste_Handelsünger[Handelsdünger])-1)/(--(SEARCH(BJ$2,Liste_Handelsünger[Handelsdünger])&gt;0)),ROW()-2),1),"")</f>
        <v>Multikraft Effektive Mikroorganismen Urlösung</v>
      </c>
      <c r="BJ256" t="str">
        <f>IF(($A269=""),"",IF(COUNTIF(Mineral!$AJ$3:$AJ$324,$A269),"",$A269))</f>
        <v/>
      </c>
      <c r="BK256" t="str">
        <f>IFERROR(INDEX(Liste_Handelsünger[Handelsdünger],_xlfn.AGGREGATE(15,6,(ROW(Liste_Handelsünger[Handelsdünger])-1)/(--(SEARCH(BL$2,Liste_Handelsünger[Handelsdünger])&gt;0)),ROW()-2),1),"")</f>
        <v>Multikraft Effektive Mikroorganismen Urlösung</v>
      </c>
      <c r="BM256" t="str">
        <f>IFERROR(INDEX(Liste_Handelsünger[Handelsdünger],_xlfn.AGGREGATE(15,6,(ROW(Liste_Handelsünger[Handelsdünger])-1)/(--(SEARCH(BN$2,Liste_Handelsünger[Handelsdünger])&gt;0)),ROW()-2),1),"")</f>
        <v>Multikraft Effektive Mikroorganismen Urlösung</v>
      </c>
      <c r="BN256" t="str">
        <f>IF(($A271=""),"",IF(COUNTIF(Mineral!$AJ$3:$AJ$324,$A271),"",$A271))</f>
        <v/>
      </c>
      <c r="BV256" t="s">
        <v>2210</v>
      </c>
      <c r="BW256" t="s">
        <v>2149</v>
      </c>
      <c r="BZ256" s="1602"/>
      <c r="CA256" s="1602"/>
      <c r="CB256" s="1602"/>
    </row>
    <row r="257" spans="19:80" ht="14.25" thickTop="1" thickBot="1">
      <c r="S257" s="1616">
        <v>256</v>
      </c>
      <c r="T257" s="1617" t="s">
        <v>2006</v>
      </c>
      <c r="U257" s="1617" t="s">
        <v>2215</v>
      </c>
      <c r="V257" s="1617" t="s">
        <v>408</v>
      </c>
      <c r="W257" s="1617">
        <v>0</v>
      </c>
      <c r="X257" s="1617">
        <v>0</v>
      </c>
      <c r="Y257" s="1617">
        <v>0</v>
      </c>
      <c r="Z257" s="1617">
        <v>0</v>
      </c>
      <c r="AA257" s="1617">
        <v>44.1</v>
      </c>
      <c r="AB257" s="1617">
        <v>3.42</v>
      </c>
      <c r="AC257" s="1617">
        <v>1</v>
      </c>
      <c r="AD257" s="1613">
        <v>1</v>
      </c>
      <c r="AE257" s="1617" t="s">
        <v>1764</v>
      </c>
      <c r="AF257" s="1613" t="str">
        <f t="shared" si="19"/>
        <v/>
      </c>
      <c r="AG257" s="1656">
        <f>IFERROR(IF($AF257&gt;0,VLOOKUP($U257,Tabelle1!$C$188:$L$212,5,0)*$AF257,0),0)</f>
        <v>0</v>
      </c>
      <c r="AH257" s="1656">
        <f t="shared" si="20"/>
        <v>0</v>
      </c>
      <c r="AJ257" t="str">
        <f>IF(Betrieb!$D$9="JA",Mineral!$BW257,Mineral!$BV257)</f>
        <v>NaturalGreen</v>
      </c>
      <c r="AK257" s="1672" t="str">
        <f>IFERROR(INDEX(Liste_Handelsünger[Handelsdünger],_xlfn.AGGREGATE(15,6,(ROW(Liste_Handelsünger[Handelsdünger])-1)/(--(SEARCH(AL$2,Liste_Handelsünger[Handelsdünger])&gt;0)),ROW()-2),1),"")</f>
        <v>NaturalGreen</v>
      </c>
      <c r="AL257" s="1672" t="str">
        <f>IF(($A$3=""),"",IF(COUNTIF(Mineral!$AJ$3:$AJ$324,$A$3),"",$A$3))</f>
        <v/>
      </c>
      <c r="AM257" s="1672" t="str">
        <f>IFERROR(INDEX(Liste_Handelsünger[Handelsdünger],_xlfn.AGGREGATE(15,6,(ROW(Liste_Handelsünger[Handelsdünger])-1)/(--(SEARCH(AN$2,Liste_Handelsünger[Handelsdünger])&gt;0)),ROW()-2),1),"")</f>
        <v>NaturalGreen</v>
      </c>
      <c r="AN257" t="str">
        <f>IF(($A259=""),"",IF(COUNTIF(Mineral!$AJ$3:$AJ$324,$A259),"",$A259))</f>
        <v/>
      </c>
      <c r="AO257" t="str">
        <f>IFERROR(INDEX(Liste_Handelsünger[Handelsdünger],_xlfn.AGGREGATE(15,6,(ROW(Liste_Handelsünger[Handelsdünger])-1)/(--(SEARCH(AP$2,Liste_Handelsünger[Handelsdünger])&gt;0)),ROW()-2),1),"")</f>
        <v>NaturalGreen</v>
      </c>
      <c r="AP257" t="str">
        <f>IF(($A260=""),"",IF(COUNTIF(Mineral!$AJ$3:$AJ$324,$A260),"",$A260))</f>
        <v/>
      </c>
      <c r="AQ257" t="str">
        <f>IFERROR(INDEX(Liste_Handelsünger[Handelsdünger],_xlfn.AGGREGATE(15,6,(ROW(Liste_Handelsünger[Handelsdünger])-1)/(--(SEARCH(AR$2,Liste_Handelsünger[Handelsdünger])&gt;0)),ROW()-2),1),"")</f>
        <v>NaturalGreen</v>
      </c>
      <c r="AR257" t="str">
        <f>IF(($A261=""),"",IF(COUNTIF(Mineral!$AJ$3:$AJ$324,$A261),"",$A261))</f>
        <v/>
      </c>
      <c r="AS257" t="str">
        <f>IFERROR(INDEX(Liste_Handelsünger[Handelsdünger],_xlfn.AGGREGATE(15,6,(ROW(Liste_Handelsünger[Handelsdünger])-1)/(--(SEARCH(AT$2,Liste_Handelsünger[Handelsdünger])&gt;0)),ROW()-2),1),"")</f>
        <v>NaturalGreen</v>
      </c>
      <c r="AT257" t="str">
        <f>IF(($A262=""),"",IF(COUNTIF(Mineral!$AJ$3:$AJ$324,$A262),"",$A262))</f>
        <v/>
      </c>
      <c r="AU257" t="str">
        <f>IFERROR(INDEX(Liste_Handelsünger[Handelsdünger],_xlfn.AGGREGATE(15,6,(ROW(Liste_Handelsünger[Handelsdünger])-1)/(--(SEARCH(AV$2,Liste_Handelsünger[Handelsdünger])&gt;0)),ROW()-2),1),"")</f>
        <v>NaturalGreen</v>
      </c>
      <c r="AV257" t="str">
        <f>IF(($A263=""),"",IF(COUNTIF(Mineral!$AJ$3:$AJ$324,$A263),"",$A263))</f>
        <v/>
      </c>
      <c r="AW257" t="str">
        <f>IFERROR(INDEX(Liste_Handelsünger[Handelsdünger],_xlfn.AGGREGATE(15,6,(ROW(Liste_Handelsünger[Handelsdünger])-1)/(--(SEARCH(AX$2,Liste_Handelsünger[Handelsdünger])&gt;0)),ROW()-2),1),"")</f>
        <v>NaturalGreen</v>
      </c>
      <c r="AX257" t="str">
        <f>IF(($A264=""),"",IF(COUNTIF(Mineral!$AJ$3:$AJ$324,$A264),"",$A264))</f>
        <v/>
      </c>
      <c r="AY257" t="str">
        <f>IFERROR(INDEX(Liste_Handelsünger[Handelsdünger],_xlfn.AGGREGATE(15,6,(ROW(Liste_Handelsünger[Handelsdünger])-1)/(--(SEARCH(AZ$2,Liste_Handelsünger[Handelsdünger])&gt;0)),ROW()-2),1),"")</f>
        <v>NaturalGreen</v>
      </c>
      <c r="AZ257" t="str">
        <f>IF(($A265=""),"",IF(COUNTIF(Mineral!$AJ$3:$AJ$324,$A265),"",$A265))</f>
        <v/>
      </c>
      <c r="BA257" t="str">
        <f>IFERROR(INDEX(Liste_Handelsünger[Handelsdünger],_xlfn.AGGREGATE(15,6,(ROW(Liste_Handelsünger[Handelsdünger])-1)/(--(SEARCH(BB$2,Liste_Handelsünger[Handelsdünger])&gt;0)),ROW()-2),1),"")</f>
        <v>NaturalGreen</v>
      </c>
      <c r="BB257" t="str">
        <f>IF(($A266=""),"",IF(COUNTIF(Mineral!$AJ$3:$AJ$324,$A266),"",$A266))</f>
        <v/>
      </c>
      <c r="BC257" t="str">
        <f>IFERROR(INDEX(Liste_Handelsünger[Handelsdünger],_xlfn.AGGREGATE(15,6,(ROW(Liste_Handelsünger[Handelsdünger])-1)/(--(SEARCH(BD$2,Liste_Handelsünger[Handelsdünger])&gt;0)),ROW()-2),1),"")</f>
        <v>NaturalGreen</v>
      </c>
      <c r="BD257" t="str">
        <f>IF(($A267=""),"",IF(COUNTIF(Mineral!$AJ$3:$AJ$324,$A267),"",$A267))</f>
        <v/>
      </c>
      <c r="BE257" t="str">
        <f>IFERROR(INDEX(Liste_Handelsünger[Handelsdünger],_xlfn.AGGREGATE(15,6,(ROW(Liste_Handelsünger[Handelsdünger])-1)/(--(SEARCH(BF$2,Liste_Handelsünger[Handelsdünger])&gt;0)),ROW()-2),1),"")</f>
        <v>NaturalGreen</v>
      </c>
      <c r="BF257" t="str">
        <f>IF(($A268=""),"",IF(COUNTIF(Mineral!$AJ$3:$AJ$324,$A268),"",$A268))</f>
        <v/>
      </c>
      <c r="BG257" t="str">
        <f>IFERROR(INDEX(Liste_Handelsünger[Handelsdünger],_xlfn.AGGREGATE(15,6,(ROW(Liste_Handelsünger[Handelsdünger])-1)/(--(SEARCH(BH$2,Liste_Handelsünger[Handelsdünger])&gt;0)),ROW()-2),1),"")</f>
        <v>NaturalGreen</v>
      </c>
      <c r="BH257" t="str">
        <f>IF(($A269=""),"",IF(COUNTIF(Mineral!$AJ$3:$AJ$324,$A269),"",$A269))</f>
        <v/>
      </c>
      <c r="BI257" t="str">
        <f>IFERROR(INDEX(Liste_Handelsünger[Handelsdünger],_xlfn.AGGREGATE(15,6,(ROW(Liste_Handelsünger[Handelsdünger])-1)/(--(SEARCH(BJ$2,Liste_Handelsünger[Handelsdünger])&gt;0)),ROW()-2),1),"")</f>
        <v>NaturalGreen</v>
      </c>
      <c r="BJ257" t="str">
        <f>IF(($A270=""),"",IF(COUNTIF(Mineral!$AJ$3:$AJ$324,$A270),"",$A270))</f>
        <v/>
      </c>
      <c r="BK257" t="str">
        <f>IFERROR(INDEX(Liste_Handelsünger[Handelsdünger],_xlfn.AGGREGATE(15,6,(ROW(Liste_Handelsünger[Handelsdünger])-1)/(--(SEARCH(BL$2,Liste_Handelsünger[Handelsdünger])&gt;0)),ROW()-2),1),"")</f>
        <v>NaturalGreen</v>
      </c>
      <c r="BM257" t="str">
        <f>IFERROR(INDEX(Liste_Handelsünger[Handelsdünger],_xlfn.AGGREGATE(15,6,(ROW(Liste_Handelsünger[Handelsdünger])-1)/(--(SEARCH(BN$2,Liste_Handelsünger[Handelsdünger])&gt;0)),ROW()-2),1),"")</f>
        <v>NaturalGreen</v>
      </c>
      <c r="BN257" t="str">
        <f>IF(($A272=""),"",IF(COUNTIF(Mineral!$AJ$3:$AJ$324,$A272),"",$A272))</f>
        <v/>
      </c>
      <c r="BV257" t="s">
        <v>2215</v>
      </c>
      <c r="BW257" t="s">
        <v>2150</v>
      </c>
      <c r="BZ257" s="1602"/>
      <c r="CA257" s="1602"/>
      <c r="CB257" s="1602"/>
    </row>
    <row r="258" spans="19:80" ht="14.25" thickTop="1" thickBot="1">
      <c r="S258" s="1676">
        <v>257</v>
      </c>
      <c r="T258" s="1606" t="s">
        <v>2006</v>
      </c>
      <c r="U258" s="1606" t="s">
        <v>2216</v>
      </c>
      <c r="V258" s="1606" t="s">
        <v>408</v>
      </c>
      <c r="W258" s="1606">
        <v>0</v>
      </c>
      <c r="X258" s="1606">
        <v>0</v>
      </c>
      <c r="Y258" s="1606">
        <v>0</v>
      </c>
      <c r="Z258" s="1606">
        <v>15</v>
      </c>
      <c r="AA258" s="1606">
        <v>0</v>
      </c>
      <c r="AB258" s="1606">
        <v>3</v>
      </c>
      <c r="AC258" s="1606">
        <v>1</v>
      </c>
      <c r="AD258" s="1613">
        <v>1</v>
      </c>
      <c r="AE258" s="1606" t="s">
        <v>1764</v>
      </c>
      <c r="AF258" s="1613" t="str">
        <f t="shared" si="19"/>
        <v/>
      </c>
      <c r="AG258" s="1656">
        <f>IFERROR(IF($AF258&gt;0,VLOOKUP($U258,Tabelle1!$C$188:$L$212,5,0)*$AF258,0),0)</f>
        <v>0</v>
      </c>
      <c r="AH258" s="1656">
        <f t="shared" si="20"/>
        <v>0</v>
      </c>
      <c r="AJ258" t="str">
        <f>IF(Betrieb!$D$9="JA",Mineral!$BW258,Mineral!$BV258)</f>
        <v>Naturgips / Naturgipskorn</v>
      </c>
      <c r="AK258" s="1672" t="str">
        <f>IFERROR(INDEX(Liste_Handelsünger[Handelsdünger],_xlfn.AGGREGATE(15,6,(ROW(Liste_Handelsünger[Handelsdünger])-1)/(--(SEARCH(AL$2,Liste_Handelsünger[Handelsdünger])&gt;0)),ROW()-2),1),"")</f>
        <v>Naturgips / Naturgipskorn</v>
      </c>
      <c r="AL258" s="1672" t="str">
        <f>IF(($A$3=""),"",IF(COUNTIF(Mineral!$AJ$3:$AJ$324,$A$3),"",$A$3))</f>
        <v/>
      </c>
      <c r="AM258" s="1672" t="str">
        <f>IFERROR(INDEX(Liste_Handelsünger[Handelsdünger],_xlfn.AGGREGATE(15,6,(ROW(Liste_Handelsünger[Handelsdünger])-1)/(--(SEARCH(AN$2,Liste_Handelsünger[Handelsdünger])&gt;0)),ROW()-2),1),"")</f>
        <v>Naturgips / Naturgipskorn</v>
      </c>
      <c r="AN258" t="str">
        <f>IF(($A260=""),"",IF(COUNTIF(Mineral!$AJ$3:$AJ$324,$A260),"",$A260))</f>
        <v/>
      </c>
      <c r="AO258" t="str">
        <f>IFERROR(INDEX(Liste_Handelsünger[Handelsdünger],_xlfn.AGGREGATE(15,6,(ROW(Liste_Handelsünger[Handelsdünger])-1)/(--(SEARCH(AP$2,Liste_Handelsünger[Handelsdünger])&gt;0)),ROW()-2),1),"")</f>
        <v>Naturgips / Naturgipskorn</v>
      </c>
      <c r="AP258" t="str">
        <f>IF(($A261=""),"",IF(COUNTIF(Mineral!$AJ$3:$AJ$324,$A261),"",$A261))</f>
        <v/>
      </c>
      <c r="AQ258" t="str">
        <f>IFERROR(INDEX(Liste_Handelsünger[Handelsdünger],_xlfn.AGGREGATE(15,6,(ROW(Liste_Handelsünger[Handelsdünger])-1)/(--(SEARCH(AR$2,Liste_Handelsünger[Handelsdünger])&gt;0)),ROW()-2),1),"")</f>
        <v>Naturgips / Naturgipskorn</v>
      </c>
      <c r="AR258" t="str">
        <f>IF(($A262=""),"",IF(COUNTIF(Mineral!$AJ$3:$AJ$324,$A262),"",$A262))</f>
        <v/>
      </c>
      <c r="AS258" t="str">
        <f>IFERROR(INDEX(Liste_Handelsünger[Handelsdünger],_xlfn.AGGREGATE(15,6,(ROW(Liste_Handelsünger[Handelsdünger])-1)/(--(SEARCH(AT$2,Liste_Handelsünger[Handelsdünger])&gt;0)),ROW()-2),1),"")</f>
        <v>Naturgips / Naturgipskorn</v>
      </c>
      <c r="AT258" t="str">
        <f>IF(($A263=""),"",IF(COUNTIF(Mineral!$AJ$3:$AJ$324,$A263),"",$A263))</f>
        <v/>
      </c>
      <c r="AU258" t="str">
        <f>IFERROR(INDEX(Liste_Handelsünger[Handelsdünger],_xlfn.AGGREGATE(15,6,(ROW(Liste_Handelsünger[Handelsdünger])-1)/(--(SEARCH(AV$2,Liste_Handelsünger[Handelsdünger])&gt;0)),ROW()-2),1),"")</f>
        <v>Naturgips / Naturgipskorn</v>
      </c>
      <c r="AV258" t="str">
        <f>IF(($A264=""),"",IF(COUNTIF(Mineral!$AJ$3:$AJ$324,$A264),"",$A264))</f>
        <v/>
      </c>
      <c r="AW258" t="str">
        <f>IFERROR(INDEX(Liste_Handelsünger[Handelsdünger],_xlfn.AGGREGATE(15,6,(ROW(Liste_Handelsünger[Handelsdünger])-1)/(--(SEARCH(AX$2,Liste_Handelsünger[Handelsdünger])&gt;0)),ROW()-2),1),"")</f>
        <v>Naturgips / Naturgipskorn</v>
      </c>
      <c r="AX258" t="str">
        <f>IF(($A265=""),"",IF(COUNTIF(Mineral!$AJ$3:$AJ$324,$A265),"",$A265))</f>
        <v/>
      </c>
      <c r="AY258" t="str">
        <f>IFERROR(INDEX(Liste_Handelsünger[Handelsdünger],_xlfn.AGGREGATE(15,6,(ROW(Liste_Handelsünger[Handelsdünger])-1)/(--(SEARCH(AZ$2,Liste_Handelsünger[Handelsdünger])&gt;0)),ROW()-2),1),"")</f>
        <v>Naturgips / Naturgipskorn</v>
      </c>
      <c r="AZ258" t="str">
        <f>IF(($A266=""),"",IF(COUNTIF(Mineral!$AJ$3:$AJ$324,$A266),"",$A266))</f>
        <v/>
      </c>
      <c r="BA258" t="str">
        <f>IFERROR(INDEX(Liste_Handelsünger[Handelsdünger],_xlfn.AGGREGATE(15,6,(ROW(Liste_Handelsünger[Handelsdünger])-1)/(--(SEARCH(BB$2,Liste_Handelsünger[Handelsdünger])&gt;0)),ROW()-2),1),"")</f>
        <v>Naturgips / Naturgipskorn</v>
      </c>
      <c r="BB258" t="str">
        <f>IF(($A267=""),"",IF(COUNTIF(Mineral!$AJ$3:$AJ$324,$A267),"",$A267))</f>
        <v/>
      </c>
      <c r="BC258" t="str">
        <f>IFERROR(INDEX(Liste_Handelsünger[Handelsdünger],_xlfn.AGGREGATE(15,6,(ROW(Liste_Handelsünger[Handelsdünger])-1)/(--(SEARCH(BD$2,Liste_Handelsünger[Handelsdünger])&gt;0)),ROW()-2),1),"")</f>
        <v>Naturgips / Naturgipskorn</v>
      </c>
      <c r="BD258" t="str">
        <f>IF(($A268=""),"",IF(COUNTIF(Mineral!$AJ$3:$AJ$324,$A268),"",$A268))</f>
        <v/>
      </c>
      <c r="BE258" t="str">
        <f>IFERROR(INDEX(Liste_Handelsünger[Handelsdünger],_xlfn.AGGREGATE(15,6,(ROW(Liste_Handelsünger[Handelsdünger])-1)/(--(SEARCH(BF$2,Liste_Handelsünger[Handelsdünger])&gt;0)),ROW()-2),1),"")</f>
        <v>Naturgips / Naturgipskorn</v>
      </c>
      <c r="BF258" t="str">
        <f>IF(($A269=""),"",IF(COUNTIF(Mineral!$AJ$3:$AJ$324,$A269),"",$A269))</f>
        <v/>
      </c>
      <c r="BG258" t="str">
        <f>IFERROR(INDEX(Liste_Handelsünger[Handelsdünger],_xlfn.AGGREGATE(15,6,(ROW(Liste_Handelsünger[Handelsdünger])-1)/(--(SEARCH(BH$2,Liste_Handelsünger[Handelsdünger])&gt;0)),ROW()-2),1),"")</f>
        <v>Naturgips / Naturgipskorn</v>
      </c>
      <c r="BH258" t="str">
        <f>IF(($A270=""),"",IF(COUNTIF(Mineral!$AJ$3:$AJ$324,$A270),"",$A270))</f>
        <v/>
      </c>
      <c r="BI258" t="str">
        <f>IFERROR(INDEX(Liste_Handelsünger[Handelsdünger],_xlfn.AGGREGATE(15,6,(ROW(Liste_Handelsünger[Handelsdünger])-1)/(--(SEARCH(BJ$2,Liste_Handelsünger[Handelsdünger])&gt;0)),ROW()-2),1),"")</f>
        <v>Naturgips / Naturgipskorn</v>
      </c>
      <c r="BJ258" t="str">
        <f>IF(($A271=""),"",IF(COUNTIF(Mineral!$AJ$3:$AJ$324,$A271),"",$A271))</f>
        <v/>
      </c>
      <c r="BK258" t="str">
        <f>IFERROR(INDEX(Liste_Handelsünger[Handelsdünger],_xlfn.AGGREGATE(15,6,(ROW(Liste_Handelsünger[Handelsdünger])-1)/(--(SEARCH(BL$2,Liste_Handelsünger[Handelsdünger])&gt;0)),ROW()-2),1),"")</f>
        <v>Naturgips / Naturgipskorn</v>
      </c>
      <c r="BM258" t="str">
        <f>IFERROR(INDEX(Liste_Handelsünger[Handelsdünger],_xlfn.AGGREGATE(15,6,(ROW(Liste_Handelsünger[Handelsdünger])-1)/(--(SEARCH(BN$2,Liste_Handelsünger[Handelsdünger])&gt;0)),ROW()-2),1),"")</f>
        <v>Naturgips / Naturgipskorn</v>
      </c>
      <c r="BN258" t="str">
        <f>IF(($A273=""),"",IF(COUNTIF(Mineral!$AJ$3:$AJ$324,$A273),"",$A273))</f>
        <v/>
      </c>
      <c r="BV258" t="s">
        <v>2216</v>
      </c>
      <c r="BW258" t="s">
        <v>2151</v>
      </c>
      <c r="BZ258" s="1602"/>
      <c r="CA258" s="1602"/>
      <c r="CB258" s="1602"/>
    </row>
    <row r="259" spans="19:80" ht="14.25" thickTop="1" thickBot="1">
      <c r="S259" s="1616">
        <v>258</v>
      </c>
      <c r="T259" s="1617" t="s">
        <v>2006</v>
      </c>
      <c r="U259" s="1617" t="s">
        <v>2230</v>
      </c>
      <c r="V259" s="1617" t="s">
        <v>408</v>
      </c>
      <c r="W259" s="1617">
        <v>4</v>
      </c>
      <c r="X259" s="1617">
        <v>2</v>
      </c>
      <c r="Y259" s="1617">
        <v>8</v>
      </c>
      <c r="Z259" s="1617">
        <v>0</v>
      </c>
      <c r="AA259" s="1617">
        <v>0</v>
      </c>
      <c r="AB259" s="1617">
        <v>0</v>
      </c>
      <c r="AC259" s="1617">
        <v>0.7</v>
      </c>
      <c r="AD259" s="1613">
        <v>0.87</v>
      </c>
      <c r="AE259" s="1617" t="s">
        <v>2016</v>
      </c>
      <c r="AF259" s="1613" t="str">
        <f t="shared" si="19"/>
        <v/>
      </c>
      <c r="AG259" s="1656">
        <f>IFERROR(IF($AF259&gt;0,VLOOKUP($U259,Tabelle1!$C$188:$L$212,5,0)*$AF259,0),0)</f>
        <v>0</v>
      </c>
      <c r="AH259" s="1656">
        <f t="shared" si="20"/>
        <v>0</v>
      </c>
      <c r="AJ259" t="str">
        <f>IF(Betrieb!$D$9="JA",Mineral!$BW259,Mineral!$BV259)</f>
        <v>Organic Plant Feed (OPF) 4-2-8</v>
      </c>
      <c r="AK259" s="1672" t="str">
        <f>IFERROR(INDEX(Liste_Handelsünger[Handelsdünger],_xlfn.AGGREGATE(15,6,(ROW(Liste_Handelsünger[Handelsdünger])-1)/(--(SEARCH(AL$2,Liste_Handelsünger[Handelsdünger])&gt;0)),ROW()-2),1),"")</f>
        <v>Organic Plant Feed (OPF) 4-2-8</v>
      </c>
      <c r="AL259" s="1672" t="str">
        <f>IF(($A$3=""),"",IF(COUNTIF(Mineral!$AJ$3:$AJ$324,$A$3),"",$A$3))</f>
        <v/>
      </c>
      <c r="AM259" s="1672" t="str">
        <f>IFERROR(INDEX(Liste_Handelsünger[Handelsdünger],_xlfn.AGGREGATE(15,6,(ROW(Liste_Handelsünger[Handelsdünger])-1)/(--(SEARCH(AN$2,Liste_Handelsünger[Handelsdünger])&gt;0)),ROW()-2),1),"")</f>
        <v>Organic Plant Feed (OPF) 4-2-8</v>
      </c>
      <c r="AN259" t="str">
        <f>IF(($A261=""),"",IF(COUNTIF(Mineral!$AJ$3:$AJ$324,$A261),"",$A261))</f>
        <v/>
      </c>
      <c r="AO259" t="str">
        <f>IFERROR(INDEX(Liste_Handelsünger[Handelsdünger],_xlfn.AGGREGATE(15,6,(ROW(Liste_Handelsünger[Handelsdünger])-1)/(--(SEARCH(AP$2,Liste_Handelsünger[Handelsdünger])&gt;0)),ROW()-2),1),"")</f>
        <v>Organic Plant Feed (OPF) 4-2-8</v>
      </c>
      <c r="AP259" t="str">
        <f>IF(($A262=""),"",IF(COUNTIF(Mineral!$AJ$3:$AJ$324,$A262),"",$A262))</f>
        <v/>
      </c>
      <c r="AQ259" t="str">
        <f>IFERROR(INDEX(Liste_Handelsünger[Handelsdünger],_xlfn.AGGREGATE(15,6,(ROW(Liste_Handelsünger[Handelsdünger])-1)/(--(SEARCH(AR$2,Liste_Handelsünger[Handelsdünger])&gt;0)),ROW()-2),1),"")</f>
        <v>Organic Plant Feed (OPF) 4-2-8</v>
      </c>
      <c r="AR259" t="str">
        <f>IF(($A263=""),"",IF(COUNTIF(Mineral!$AJ$3:$AJ$324,$A263),"",$A263))</f>
        <v/>
      </c>
      <c r="AS259" t="str">
        <f>IFERROR(INDEX(Liste_Handelsünger[Handelsdünger],_xlfn.AGGREGATE(15,6,(ROW(Liste_Handelsünger[Handelsdünger])-1)/(--(SEARCH(AT$2,Liste_Handelsünger[Handelsdünger])&gt;0)),ROW()-2),1),"")</f>
        <v>Organic Plant Feed (OPF) 4-2-8</v>
      </c>
      <c r="AT259" t="str">
        <f>IF(($A264=""),"",IF(COUNTIF(Mineral!$AJ$3:$AJ$324,$A264),"",$A264))</f>
        <v/>
      </c>
      <c r="AU259" t="str">
        <f>IFERROR(INDEX(Liste_Handelsünger[Handelsdünger],_xlfn.AGGREGATE(15,6,(ROW(Liste_Handelsünger[Handelsdünger])-1)/(--(SEARCH(AV$2,Liste_Handelsünger[Handelsdünger])&gt;0)),ROW()-2),1),"")</f>
        <v>Organic Plant Feed (OPF) 4-2-8</v>
      </c>
      <c r="AV259" t="str">
        <f>IF(($A265=""),"",IF(COUNTIF(Mineral!$AJ$3:$AJ$324,$A265),"",$A265))</f>
        <v/>
      </c>
      <c r="AW259" t="str">
        <f>IFERROR(INDEX(Liste_Handelsünger[Handelsdünger],_xlfn.AGGREGATE(15,6,(ROW(Liste_Handelsünger[Handelsdünger])-1)/(--(SEARCH(AX$2,Liste_Handelsünger[Handelsdünger])&gt;0)),ROW()-2),1),"")</f>
        <v>Organic Plant Feed (OPF) 4-2-8</v>
      </c>
      <c r="AX259" t="str">
        <f>IF(($A266=""),"",IF(COUNTIF(Mineral!$AJ$3:$AJ$324,$A266),"",$A266))</f>
        <v/>
      </c>
      <c r="AY259" t="str">
        <f>IFERROR(INDEX(Liste_Handelsünger[Handelsdünger],_xlfn.AGGREGATE(15,6,(ROW(Liste_Handelsünger[Handelsdünger])-1)/(--(SEARCH(AZ$2,Liste_Handelsünger[Handelsdünger])&gt;0)),ROW()-2),1),"")</f>
        <v>Organic Plant Feed (OPF) 4-2-8</v>
      </c>
      <c r="AZ259" t="str">
        <f>IF(($A267=""),"",IF(COUNTIF(Mineral!$AJ$3:$AJ$324,$A267),"",$A267))</f>
        <v/>
      </c>
      <c r="BA259" t="str">
        <f>IFERROR(INDEX(Liste_Handelsünger[Handelsdünger],_xlfn.AGGREGATE(15,6,(ROW(Liste_Handelsünger[Handelsdünger])-1)/(--(SEARCH(BB$2,Liste_Handelsünger[Handelsdünger])&gt;0)),ROW()-2),1),"")</f>
        <v>Organic Plant Feed (OPF) 4-2-8</v>
      </c>
      <c r="BB259" t="str">
        <f>IF(($A268=""),"",IF(COUNTIF(Mineral!$AJ$3:$AJ$324,$A268),"",$A268))</f>
        <v/>
      </c>
      <c r="BC259" t="str">
        <f>IFERROR(INDEX(Liste_Handelsünger[Handelsdünger],_xlfn.AGGREGATE(15,6,(ROW(Liste_Handelsünger[Handelsdünger])-1)/(--(SEARCH(BD$2,Liste_Handelsünger[Handelsdünger])&gt;0)),ROW()-2),1),"")</f>
        <v>Organic Plant Feed (OPF) 4-2-8</v>
      </c>
      <c r="BD259" t="str">
        <f>IF(($A269=""),"",IF(COUNTIF(Mineral!$AJ$3:$AJ$324,$A269),"",$A269))</f>
        <v/>
      </c>
      <c r="BE259" t="str">
        <f>IFERROR(INDEX(Liste_Handelsünger[Handelsdünger],_xlfn.AGGREGATE(15,6,(ROW(Liste_Handelsünger[Handelsdünger])-1)/(--(SEARCH(BF$2,Liste_Handelsünger[Handelsdünger])&gt;0)),ROW()-2),1),"")</f>
        <v>Organic Plant Feed (OPF) 4-2-8</v>
      </c>
      <c r="BF259" t="str">
        <f>IF(($A270=""),"",IF(COUNTIF(Mineral!$AJ$3:$AJ$324,$A270),"",$A270))</f>
        <v/>
      </c>
      <c r="BG259" t="str">
        <f>IFERROR(INDEX(Liste_Handelsünger[Handelsdünger],_xlfn.AGGREGATE(15,6,(ROW(Liste_Handelsünger[Handelsdünger])-1)/(--(SEARCH(BH$2,Liste_Handelsünger[Handelsdünger])&gt;0)),ROW()-2),1),"")</f>
        <v>Organic Plant Feed (OPF) 4-2-8</v>
      </c>
      <c r="BH259" t="str">
        <f>IF(($A271=""),"",IF(COUNTIF(Mineral!$AJ$3:$AJ$324,$A271),"",$A271))</f>
        <v/>
      </c>
      <c r="BI259" t="str">
        <f>IFERROR(INDEX(Liste_Handelsünger[Handelsdünger],_xlfn.AGGREGATE(15,6,(ROW(Liste_Handelsünger[Handelsdünger])-1)/(--(SEARCH(BJ$2,Liste_Handelsünger[Handelsdünger])&gt;0)),ROW()-2),1),"")</f>
        <v>Organic Plant Feed (OPF) 4-2-8</v>
      </c>
      <c r="BJ259" t="str">
        <f>IF(($A272=""),"",IF(COUNTIF(Mineral!$AJ$3:$AJ$324,$A272),"",$A272))</f>
        <v/>
      </c>
      <c r="BK259" t="str">
        <f>IFERROR(INDEX(Liste_Handelsünger[Handelsdünger],_xlfn.AGGREGATE(15,6,(ROW(Liste_Handelsünger[Handelsdünger])-1)/(--(SEARCH(BL$2,Liste_Handelsünger[Handelsdünger])&gt;0)),ROW()-2),1),"")</f>
        <v>Organic Plant Feed (OPF) 4-2-8</v>
      </c>
      <c r="BM259" t="str">
        <f>IFERROR(INDEX(Liste_Handelsünger[Handelsdünger],_xlfn.AGGREGATE(15,6,(ROW(Liste_Handelsünger[Handelsdünger])-1)/(--(SEARCH(BN$2,Liste_Handelsünger[Handelsdünger])&gt;0)),ROW()-2),1),"")</f>
        <v>Organic Plant Feed (OPF) 4-2-8</v>
      </c>
      <c r="BN259" t="str">
        <f>IF(($A274=""),"",IF(COUNTIF(Mineral!$AJ$3:$AJ$324,$A274),"",$A274))</f>
        <v/>
      </c>
      <c r="BV259" t="s">
        <v>2230</v>
      </c>
      <c r="BW259" t="s">
        <v>2152</v>
      </c>
      <c r="BZ259" s="1602"/>
      <c r="CA259" s="1602"/>
      <c r="CB259" s="1602"/>
    </row>
    <row r="260" spans="19:80" ht="14.25" thickTop="1" thickBot="1">
      <c r="S260" s="1676">
        <v>259</v>
      </c>
      <c r="T260" s="1606" t="s">
        <v>2006</v>
      </c>
      <c r="U260" s="1606" t="s">
        <v>2231</v>
      </c>
      <c r="V260" s="1606" t="s">
        <v>408</v>
      </c>
      <c r="W260" s="1606">
        <v>5</v>
      </c>
      <c r="X260" s="1606">
        <v>2</v>
      </c>
      <c r="Y260" s="1606">
        <v>5</v>
      </c>
      <c r="Z260" s="1606">
        <v>0</v>
      </c>
      <c r="AA260" s="1606">
        <v>0</v>
      </c>
      <c r="AB260" s="1606">
        <v>0</v>
      </c>
      <c r="AC260" s="1606">
        <v>0.7</v>
      </c>
      <c r="AD260" s="1613">
        <v>0.87</v>
      </c>
      <c r="AE260" s="1606" t="s">
        <v>2016</v>
      </c>
      <c r="AF260" s="1613" t="str">
        <f t="shared" ref="AF260:AF323" si="21">IFERROR(IF(VLOOKUP($U260,$A$3:$L$27,1,0)=$U260,VLOOKUP($U260,$A$3:$L$27,3,0),""),"")</f>
        <v/>
      </c>
      <c r="AG260" s="1656">
        <f>IFERROR(IF($AF260&gt;0,VLOOKUP($U260,Tabelle1!$C$188:$L$212,5,0)*$AF260,0),0)</f>
        <v>0</v>
      </c>
      <c r="AH260" s="1656">
        <f t="shared" ref="AH260:AH323" si="22">IFERROR(IF($AF260&gt;0,$AG260*$AC260,0),0)</f>
        <v>0</v>
      </c>
      <c r="AJ260" t="str">
        <f>IF(Betrieb!$D$9="JA",Mineral!$BW260,Mineral!$BV260)</f>
        <v>Organic Plant Feed (OPF) 5-2-5</v>
      </c>
      <c r="AK260" s="1672" t="str">
        <f>IFERROR(INDEX(Liste_Handelsünger[Handelsdünger],_xlfn.AGGREGATE(15,6,(ROW(Liste_Handelsünger[Handelsdünger])-1)/(--(SEARCH(AL$2,Liste_Handelsünger[Handelsdünger])&gt;0)),ROW()-2),1),"")</f>
        <v>Organic Plant Feed (OPF) 5-2-5</v>
      </c>
      <c r="AL260" s="1672" t="str">
        <f>IF(($A$3=""),"",IF(COUNTIF(Mineral!$AJ$3:$AJ$324,$A$3),"",$A$3))</f>
        <v/>
      </c>
      <c r="AM260" s="1672" t="str">
        <f>IFERROR(INDEX(Liste_Handelsünger[Handelsdünger],_xlfn.AGGREGATE(15,6,(ROW(Liste_Handelsünger[Handelsdünger])-1)/(--(SEARCH(AN$2,Liste_Handelsünger[Handelsdünger])&gt;0)),ROW()-2),1),"")</f>
        <v>Organic Plant Feed (OPF) 5-2-5</v>
      </c>
      <c r="AN260" t="str">
        <f>IF(($A262=""),"",IF(COUNTIF(Mineral!$AJ$3:$AJ$324,$A262),"",$A262))</f>
        <v/>
      </c>
      <c r="AO260" t="str">
        <f>IFERROR(INDEX(Liste_Handelsünger[Handelsdünger],_xlfn.AGGREGATE(15,6,(ROW(Liste_Handelsünger[Handelsdünger])-1)/(--(SEARCH(AP$2,Liste_Handelsünger[Handelsdünger])&gt;0)),ROW()-2),1),"")</f>
        <v>Organic Plant Feed (OPF) 5-2-5</v>
      </c>
      <c r="AP260" t="str">
        <f>IF(($A263=""),"",IF(COUNTIF(Mineral!$AJ$3:$AJ$324,$A263),"",$A263))</f>
        <v/>
      </c>
      <c r="AQ260" t="str">
        <f>IFERROR(INDEX(Liste_Handelsünger[Handelsdünger],_xlfn.AGGREGATE(15,6,(ROW(Liste_Handelsünger[Handelsdünger])-1)/(--(SEARCH(AR$2,Liste_Handelsünger[Handelsdünger])&gt;0)),ROW()-2),1),"")</f>
        <v>Organic Plant Feed (OPF) 5-2-5</v>
      </c>
      <c r="AR260" t="str">
        <f>IF(($A264=""),"",IF(COUNTIF(Mineral!$AJ$3:$AJ$324,$A264),"",$A264))</f>
        <v/>
      </c>
      <c r="AS260" t="str">
        <f>IFERROR(INDEX(Liste_Handelsünger[Handelsdünger],_xlfn.AGGREGATE(15,6,(ROW(Liste_Handelsünger[Handelsdünger])-1)/(--(SEARCH(AT$2,Liste_Handelsünger[Handelsdünger])&gt;0)),ROW()-2),1),"")</f>
        <v>Organic Plant Feed (OPF) 5-2-5</v>
      </c>
      <c r="AT260" t="str">
        <f>IF(($A265=""),"",IF(COUNTIF(Mineral!$AJ$3:$AJ$324,$A265),"",$A265))</f>
        <v/>
      </c>
      <c r="AU260" t="str">
        <f>IFERROR(INDEX(Liste_Handelsünger[Handelsdünger],_xlfn.AGGREGATE(15,6,(ROW(Liste_Handelsünger[Handelsdünger])-1)/(--(SEARCH(AV$2,Liste_Handelsünger[Handelsdünger])&gt;0)),ROW()-2),1),"")</f>
        <v>Organic Plant Feed (OPF) 5-2-5</v>
      </c>
      <c r="AV260" t="str">
        <f>IF(($A266=""),"",IF(COUNTIF(Mineral!$AJ$3:$AJ$324,$A266),"",$A266))</f>
        <v/>
      </c>
      <c r="AW260" t="str">
        <f>IFERROR(INDEX(Liste_Handelsünger[Handelsdünger],_xlfn.AGGREGATE(15,6,(ROW(Liste_Handelsünger[Handelsdünger])-1)/(--(SEARCH(AX$2,Liste_Handelsünger[Handelsdünger])&gt;0)),ROW()-2),1),"")</f>
        <v>Organic Plant Feed (OPF) 5-2-5</v>
      </c>
      <c r="AX260" t="str">
        <f>IF(($A267=""),"",IF(COUNTIF(Mineral!$AJ$3:$AJ$324,$A267),"",$A267))</f>
        <v/>
      </c>
      <c r="AY260" t="str">
        <f>IFERROR(INDEX(Liste_Handelsünger[Handelsdünger],_xlfn.AGGREGATE(15,6,(ROW(Liste_Handelsünger[Handelsdünger])-1)/(--(SEARCH(AZ$2,Liste_Handelsünger[Handelsdünger])&gt;0)),ROW()-2),1),"")</f>
        <v>Organic Plant Feed (OPF) 5-2-5</v>
      </c>
      <c r="AZ260" t="str">
        <f>IF(($A268=""),"",IF(COUNTIF(Mineral!$AJ$3:$AJ$324,$A268),"",$A268))</f>
        <v/>
      </c>
      <c r="BA260" t="str">
        <f>IFERROR(INDEX(Liste_Handelsünger[Handelsdünger],_xlfn.AGGREGATE(15,6,(ROW(Liste_Handelsünger[Handelsdünger])-1)/(--(SEARCH(BB$2,Liste_Handelsünger[Handelsdünger])&gt;0)),ROW()-2),1),"")</f>
        <v>Organic Plant Feed (OPF) 5-2-5</v>
      </c>
      <c r="BB260" t="str">
        <f>IF(($A269=""),"",IF(COUNTIF(Mineral!$AJ$3:$AJ$324,$A269),"",$A269))</f>
        <v/>
      </c>
      <c r="BC260" t="str">
        <f>IFERROR(INDEX(Liste_Handelsünger[Handelsdünger],_xlfn.AGGREGATE(15,6,(ROW(Liste_Handelsünger[Handelsdünger])-1)/(--(SEARCH(BD$2,Liste_Handelsünger[Handelsdünger])&gt;0)),ROW()-2),1),"")</f>
        <v>Organic Plant Feed (OPF) 5-2-5</v>
      </c>
      <c r="BD260" t="str">
        <f>IF(($A270=""),"",IF(COUNTIF(Mineral!$AJ$3:$AJ$324,$A270),"",$A270))</f>
        <v/>
      </c>
      <c r="BE260" t="str">
        <f>IFERROR(INDEX(Liste_Handelsünger[Handelsdünger],_xlfn.AGGREGATE(15,6,(ROW(Liste_Handelsünger[Handelsdünger])-1)/(--(SEARCH(BF$2,Liste_Handelsünger[Handelsdünger])&gt;0)),ROW()-2),1),"")</f>
        <v>Organic Plant Feed (OPF) 5-2-5</v>
      </c>
      <c r="BF260" t="str">
        <f>IF(($A271=""),"",IF(COUNTIF(Mineral!$AJ$3:$AJ$324,$A271),"",$A271))</f>
        <v/>
      </c>
      <c r="BG260" t="str">
        <f>IFERROR(INDEX(Liste_Handelsünger[Handelsdünger],_xlfn.AGGREGATE(15,6,(ROW(Liste_Handelsünger[Handelsdünger])-1)/(--(SEARCH(BH$2,Liste_Handelsünger[Handelsdünger])&gt;0)),ROW()-2),1),"")</f>
        <v>Organic Plant Feed (OPF) 5-2-5</v>
      </c>
      <c r="BH260" t="str">
        <f>IF(($A272=""),"",IF(COUNTIF(Mineral!$AJ$3:$AJ$324,$A272),"",$A272))</f>
        <v/>
      </c>
      <c r="BI260" t="str">
        <f>IFERROR(INDEX(Liste_Handelsünger[Handelsdünger],_xlfn.AGGREGATE(15,6,(ROW(Liste_Handelsünger[Handelsdünger])-1)/(--(SEARCH(BJ$2,Liste_Handelsünger[Handelsdünger])&gt;0)),ROW()-2),1),"")</f>
        <v>Organic Plant Feed (OPF) 5-2-5</v>
      </c>
      <c r="BJ260" t="str">
        <f>IF(($A273=""),"",IF(COUNTIF(Mineral!$AJ$3:$AJ$324,$A273),"",$A273))</f>
        <v/>
      </c>
      <c r="BK260" t="str">
        <f>IFERROR(INDEX(Liste_Handelsünger[Handelsdünger],_xlfn.AGGREGATE(15,6,(ROW(Liste_Handelsünger[Handelsdünger])-1)/(--(SEARCH(BL$2,Liste_Handelsünger[Handelsdünger])&gt;0)),ROW()-2),1),"")</f>
        <v>Organic Plant Feed (OPF) 5-2-5</v>
      </c>
      <c r="BM260" t="str">
        <f>IFERROR(INDEX(Liste_Handelsünger[Handelsdünger],_xlfn.AGGREGATE(15,6,(ROW(Liste_Handelsünger[Handelsdünger])-1)/(--(SEARCH(BN$2,Liste_Handelsünger[Handelsdünger])&gt;0)),ROW()-2),1),"")</f>
        <v>Organic Plant Feed (OPF) 5-2-5</v>
      </c>
      <c r="BN260" t="str">
        <f>IF(($A275=""),"",IF(COUNTIF(Mineral!$AJ$3:$AJ$324,$A275),"",$A275))</f>
        <v/>
      </c>
      <c r="BV260" t="s">
        <v>2231</v>
      </c>
      <c r="BW260" t="s">
        <v>2154</v>
      </c>
      <c r="BZ260" s="1602"/>
      <c r="CA260" s="1602"/>
      <c r="CB260" s="1602"/>
    </row>
    <row r="261" spans="19:80" ht="14.25" thickTop="1" thickBot="1">
      <c r="S261" s="1616">
        <v>260</v>
      </c>
      <c r="T261" s="1617" t="s">
        <v>2006</v>
      </c>
      <c r="U261" s="1617" t="s">
        <v>2232</v>
      </c>
      <c r="V261" s="1617" t="s">
        <v>408</v>
      </c>
      <c r="W261" s="1617">
        <v>7.0000000000000009</v>
      </c>
      <c r="X261" s="1617">
        <v>2</v>
      </c>
      <c r="Y261" s="1617">
        <v>3</v>
      </c>
      <c r="Z261" s="1617">
        <v>0</v>
      </c>
      <c r="AA261" s="1617">
        <v>0</v>
      </c>
      <c r="AB261" s="1617">
        <v>0</v>
      </c>
      <c r="AC261" s="1617">
        <v>0.7</v>
      </c>
      <c r="AD261" s="1613">
        <v>0.87</v>
      </c>
      <c r="AE261" s="1617" t="s">
        <v>2016</v>
      </c>
      <c r="AF261" s="1613" t="str">
        <f t="shared" si="21"/>
        <v/>
      </c>
      <c r="AG261" s="1656">
        <f>IFERROR(IF($AF261&gt;0,VLOOKUP($U261,Tabelle1!$C$188:$L$212,5,0)*$AF261,0),0)</f>
        <v>0</v>
      </c>
      <c r="AH261" s="1656">
        <f t="shared" si="22"/>
        <v>0</v>
      </c>
      <c r="AJ261" t="str">
        <f>IF(Betrieb!$D$9="JA",Mineral!$BW261,Mineral!$BV261)</f>
        <v>Organic Plant Feed (OPF) 7-2-3</v>
      </c>
      <c r="AK261" s="1672" t="str">
        <f>IFERROR(INDEX(Liste_Handelsünger[Handelsdünger],_xlfn.AGGREGATE(15,6,(ROW(Liste_Handelsünger[Handelsdünger])-1)/(--(SEARCH(AL$2,Liste_Handelsünger[Handelsdünger])&gt;0)),ROW()-2),1),"")</f>
        <v>Organic Plant Feed (OPF) 7-2-3</v>
      </c>
      <c r="AL261" s="1672" t="str">
        <f>IF(($A$3=""),"",IF(COUNTIF(Mineral!$AJ$3:$AJ$324,$A$3),"",$A$3))</f>
        <v/>
      </c>
      <c r="AM261" s="1672" t="str">
        <f>IFERROR(INDEX(Liste_Handelsünger[Handelsdünger],_xlfn.AGGREGATE(15,6,(ROW(Liste_Handelsünger[Handelsdünger])-1)/(--(SEARCH(AN$2,Liste_Handelsünger[Handelsdünger])&gt;0)),ROW()-2),1),"")</f>
        <v>Organic Plant Feed (OPF) 7-2-3</v>
      </c>
      <c r="AN261" t="str">
        <f>IF(($A263=""),"",IF(COUNTIF(Mineral!$AJ$3:$AJ$324,$A263),"",$A263))</f>
        <v/>
      </c>
      <c r="AO261" t="str">
        <f>IFERROR(INDEX(Liste_Handelsünger[Handelsdünger],_xlfn.AGGREGATE(15,6,(ROW(Liste_Handelsünger[Handelsdünger])-1)/(--(SEARCH(AP$2,Liste_Handelsünger[Handelsdünger])&gt;0)),ROW()-2),1),"")</f>
        <v>Organic Plant Feed (OPF) 7-2-3</v>
      </c>
      <c r="AP261" t="str">
        <f>IF(($A264=""),"",IF(COUNTIF(Mineral!$AJ$3:$AJ$324,$A264),"",$A264))</f>
        <v/>
      </c>
      <c r="AQ261" t="str">
        <f>IFERROR(INDEX(Liste_Handelsünger[Handelsdünger],_xlfn.AGGREGATE(15,6,(ROW(Liste_Handelsünger[Handelsdünger])-1)/(--(SEARCH(AR$2,Liste_Handelsünger[Handelsdünger])&gt;0)),ROW()-2),1),"")</f>
        <v>Organic Plant Feed (OPF) 7-2-3</v>
      </c>
      <c r="AR261" t="str">
        <f>IF(($A265=""),"",IF(COUNTIF(Mineral!$AJ$3:$AJ$324,$A265),"",$A265))</f>
        <v/>
      </c>
      <c r="AS261" t="str">
        <f>IFERROR(INDEX(Liste_Handelsünger[Handelsdünger],_xlfn.AGGREGATE(15,6,(ROW(Liste_Handelsünger[Handelsdünger])-1)/(--(SEARCH(AT$2,Liste_Handelsünger[Handelsdünger])&gt;0)),ROW()-2),1),"")</f>
        <v>Organic Plant Feed (OPF) 7-2-3</v>
      </c>
      <c r="AT261" t="str">
        <f>IF(($A266=""),"",IF(COUNTIF(Mineral!$AJ$3:$AJ$324,$A266),"",$A266))</f>
        <v/>
      </c>
      <c r="AU261" t="str">
        <f>IFERROR(INDEX(Liste_Handelsünger[Handelsdünger],_xlfn.AGGREGATE(15,6,(ROW(Liste_Handelsünger[Handelsdünger])-1)/(--(SEARCH(AV$2,Liste_Handelsünger[Handelsdünger])&gt;0)),ROW()-2),1),"")</f>
        <v>Organic Plant Feed (OPF) 7-2-3</v>
      </c>
      <c r="AV261" t="str">
        <f>IF(($A267=""),"",IF(COUNTIF(Mineral!$AJ$3:$AJ$324,$A267),"",$A267))</f>
        <v/>
      </c>
      <c r="AW261" t="str">
        <f>IFERROR(INDEX(Liste_Handelsünger[Handelsdünger],_xlfn.AGGREGATE(15,6,(ROW(Liste_Handelsünger[Handelsdünger])-1)/(--(SEARCH(AX$2,Liste_Handelsünger[Handelsdünger])&gt;0)),ROW()-2),1),"")</f>
        <v>Organic Plant Feed (OPF) 7-2-3</v>
      </c>
      <c r="AX261" t="str">
        <f>IF(($A268=""),"",IF(COUNTIF(Mineral!$AJ$3:$AJ$324,$A268),"",$A268))</f>
        <v/>
      </c>
      <c r="AY261" t="str">
        <f>IFERROR(INDEX(Liste_Handelsünger[Handelsdünger],_xlfn.AGGREGATE(15,6,(ROW(Liste_Handelsünger[Handelsdünger])-1)/(--(SEARCH(AZ$2,Liste_Handelsünger[Handelsdünger])&gt;0)),ROW()-2),1),"")</f>
        <v>Organic Plant Feed (OPF) 7-2-3</v>
      </c>
      <c r="AZ261" t="str">
        <f>IF(($A269=""),"",IF(COUNTIF(Mineral!$AJ$3:$AJ$324,$A269),"",$A269))</f>
        <v/>
      </c>
      <c r="BA261" t="str">
        <f>IFERROR(INDEX(Liste_Handelsünger[Handelsdünger],_xlfn.AGGREGATE(15,6,(ROW(Liste_Handelsünger[Handelsdünger])-1)/(--(SEARCH(BB$2,Liste_Handelsünger[Handelsdünger])&gt;0)),ROW()-2),1),"")</f>
        <v>Organic Plant Feed (OPF) 7-2-3</v>
      </c>
      <c r="BB261" t="str">
        <f>IF(($A270=""),"",IF(COUNTIF(Mineral!$AJ$3:$AJ$324,$A270),"",$A270))</f>
        <v/>
      </c>
      <c r="BC261" t="str">
        <f>IFERROR(INDEX(Liste_Handelsünger[Handelsdünger],_xlfn.AGGREGATE(15,6,(ROW(Liste_Handelsünger[Handelsdünger])-1)/(--(SEARCH(BD$2,Liste_Handelsünger[Handelsdünger])&gt;0)),ROW()-2),1),"")</f>
        <v>Organic Plant Feed (OPF) 7-2-3</v>
      </c>
      <c r="BD261" t="str">
        <f>IF(($A271=""),"",IF(COUNTIF(Mineral!$AJ$3:$AJ$324,$A271),"",$A271))</f>
        <v/>
      </c>
      <c r="BE261" t="str">
        <f>IFERROR(INDEX(Liste_Handelsünger[Handelsdünger],_xlfn.AGGREGATE(15,6,(ROW(Liste_Handelsünger[Handelsdünger])-1)/(--(SEARCH(BF$2,Liste_Handelsünger[Handelsdünger])&gt;0)),ROW()-2),1),"")</f>
        <v>Organic Plant Feed (OPF) 7-2-3</v>
      </c>
      <c r="BF261" t="str">
        <f>IF(($A272=""),"",IF(COUNTIF(Mineral!$AJ$3:$AJ$324,$A272),"",$A272))</f>
        <v/>
      </c>
      <c r="BG261" t="str">
        <f>IFERROR(INDEX(Liste_Handelsünger[Handelsdünger],_xlfn.AGGREGATE(15,6,(ROW(Liste_Handelsünger[Handelsdünger])-1)/(--(SEARCH(BH$2,Liste_Handelsünger[Handelsdünger])&gt;0)),ROW()-2),1),"")</f>
        <v>Organic Plant Feed (OPF) 7-2-3</v>
      </c>
      <c r="BH261" t="str">
        <f>IF(($A273=""),"",IF(COUNTIF(Mineral!$AJ$3:$AJ$324,$A273),"",$A273))</f>
        <v/>
      </c>
      <c r="BI261" t="str">
        <f>IFERROR(INDEX(Liste_Handelsünger[Handelsdünger],_xlfn.AGGREGATE(15,6,(ROW(Liste_Handelsünger[Handelsdünger])-1)/(--(SEARCH(BJ$2,Liste_Handelsünger[Handelsdünger])&gt;0)),ROW()-2),1),"")</f>
        <v>Organic Plant Feed (OPF) 7-2-3</v>
      </c>
      <c r="BJ261" t="str">
        <f>IF(($A274=""),"",IF(COUNTIF(Mineral!$AJ$3:$AJ$324,$A274),"",$A274))</f>
        <v/>
      </c>
      <c r="BK261" t="str">
        <f>IFERROR(INDEX(Liste_Handelsünger[Handelsdünger],_xlfn.AGGREGATE(15,6,(ROW(Liste_Handelsünger[Handelsdünger])-1)/(--(SEARCH(BL$2,Liste_Handelsünger[Handelsdünger])&gt;0)),ROW()-2),1),"")</f>
        <v>Organic Plant Feed (OPF) 7-2-3</v>
      </c>
      <c r="BM261" t="str">
        <f>IFERROR(INDEX(Liste_Handelsünger[Handelsdünger],_xlfn.AGGREGATE(15,6,(ROW(Liste_Handelsünger[Handelsdünger])-1)/(--(SEARCH(BN$2,Liste_Handelsünger[Handelsdünger])&gt;0)),ROW()-2),1),"")</f>
        <v>Organic Plant Feed (OPF) 7-2-3</v>
      </c>
      <c r="BN261" t="str">
        <f>IF(($A276=""),"",IF(COUNTIF(Mineral!$AJ$3:$AJ$324,$A276),"",$A276))</f>
        <v/>
      </c>
      <c r="BV261" t="s">
        <v>2232</v>
      </c>
      <c r="BW261" t="s">
        <v>2158</v>
      </c>
      <c r="BZ261" s="1602"/>
      <c r="CA261" s="1602"/>
      <c r="CB261" s="1602"/>
    </row>
    <row r="262" spans="19:80" ht="14.25" thickTop="1" thickBot="1">
      <c r="S262" s="1676">
        <v>261</v>
      </c>
      <c r="T262" s="1606" t="s">
        <v>2006</v>
      </c>
      <c r="U262" s="1606" t="s">
        <v>2233</v>
      </c>
      <c r="V262" s="1606" t="s">
        <v>408</v>
      </c>
      <c r="W262" s="1606">
        <v>11</v>
      </c>
      <c r="X262" s="1606">
        <v>0.5</v>
      </c>
      <c r="Y262" s="1606">
        <v>5</v>
      </c>
      <c r="Z262" s="1606">
        <v>3.7699999999999996</v>
      </c>
      <c r="AA262" s="1606">
        <v>1.4500000000000002</v>
      </c>
      <c r="AB262" s="1606">
        <v>0.44999999999999996</v>
      </c>
      <c r="AC262" s="1606">
        <v>0.5</v>
      </c>
      <c r="AD262" s="1613">
        <v>0.91</v>
      </c>
      <c r="AE262" s="1606" t="s">
        <v>2037</v>
      </c>
      <c r="AF262" s="1613" t="str">
        <f t="shared" si="21"/>
        <v/>
      </c>
      <c r="AG262" s="1656">
        <f>IFERROR(IF($AF262&gt;0,VLOOKUP($U262,Tabelle1!$C$188:$L$212,5,0)*$AF262,0),0)</f>
        <v>0</v>
      </c>
      <c r="AH262" s="1656">
        <f t="shared" si="22"/>
        <v>0</v>
      </c>
      <c r="AJ262" t="str">
        <f>IF(Betrieb!$D$9="JA",Mineral!$BW262,Mineral!$BV262)</f>
        <v>Organic Plant Feed (OPF) granular 11-0-5</v>
      </c>
      <c r="AK262" s="1672" t="str">
        <f>IFERROR(INDEX(Liste_Handelsünger[Handelsdünger],_xlfn.AGGREGATE(15,6,(ROW(Liste_Handelsünger[Handelsdünger])-1)/(--(SEARCH(AL$2,Liste_Handelsünger[Handelsdünger])&gt;0)),ROW()-2),1),"")</f>
        <v>Organic Plant Feed (OPF) granular 11-0-5</v>
      </c>
      <c r="AL262" s="1672" t="str">
        <f>IF(($A$3=""),"",IF(COUNTIF(Mineral!$AJ$3:$AJ$324,$A$3),"",$A$3))</f>
        <v/>
      </c>
      <c r="AM262" s="1672" t="str">
        <f>IFERROR(INDEX(Liste_Handelsünger[Handelsdünger],_xlfn.AGGREGATE(15,6,(ROW(Liste_Handelsünger[Handelsdünger])-1)/(--(SEARCH(AN$2,Liste_Handelsünger[Handelsdünger])&gt;0)),ROW()-2),1),"")</f>
        <v>Organic Plant Feed (OPF) granular 11-0-5</v>
      </c>
      <c r="AN262" t="str">
        <f>IF(($A264=""),"",IF(COUNTIF(Mineral!$AJ$3:$AJ$324,$A264),"",$A264))</f>
        <v/>
      </c>
      <c r="AO262" t="str">
        <f>IFERROR(INDEX(Liste_Handelsünger[Handelsdünger],_xlfn.AGGREGATE(15,6,(ROW(Liste_Handelsünger[Handelsdünger])-1)/(--(SEARCH(AP$2,Liste_Handelsünger[Handelsdünger])&gt;0)),ROW()-2),1),"")</f>
        <v>Organic Plant Feed (OPF) granular 11-0-5</v>
      </c>
      <c r="AP262" t="str">
        <f>IF(($A265=""),"",IF(COUNTIF(Mineral!$AJ$3:$AJ$324,$A265),"",$A265))</f>
        <v/>
      </c>
      <c r="AQ262" t="str">
        <f>IFERROR(INDEX(Liste_Handelsünger[Handelsdünger],_xlfn.AGGREGATE(15,6,(ROW(Liste_Handelsünger[Handelsdünger])-1)/(--(SEARCH(AR$2,Liste_Handelsünger[Handelsdünger])&gt;0)),ROW()-2),1),"")</f>
        <v>Organic Plant Feed (OPF) granular 11-0-5</v>
      </c>
      <c r="AR262" t="str">
        <f>IF(($A266=""),"",IF(COUNTIF(Mineral!$AJ$3:$AJ$324,$A266),"",$A266))</f>
        <v/>
      </c>
      <c r="AS262" t="str">
        <f>IFERROR(INDEX(Liste_Handelsünger[Handelsdünger],_xlfn.AGGREGATE(15,6,(ROW(Liste_Handelsünger[Handelsdünger])-1)/(--(SEARCH(AT$2,Liste_Handelsünger[Handelsdünger])&gt;0)),ROW()-2),1),"")</f>
        <v>Organic Plant Feed (OPF) granular 11-0-5</v>
      </c>
      <c r="AT262" t="str">
        <f>IF(($A267=""),"",IF(COUNTIF(Mineral!$AJ$3:$AJ$324,$A267),"",$A267))</f>
        <v/>
      </c>
      <c r="AU262" t="str">
        <f>IFERROR(INDEX(Liste_Handelsünger[Handelsdünger],_xlfn.AGGREGATE(15,6,(ROW(Liste_Handelsünger[Handelsdünger])-1)/(--(SEARCH(AV$2,Liste_Handelsünger[Handelsdünger])&gt;0)),ROW()-2),1),"")</f>
        <v>Organic Plant Feed (OPF) granular 11-0-5</v>
      </c>
      <c r="AV262" t="str">
        <f>IF(($A268=""),"",IF(COUNTIF(Mineral!$AJ$3:$AJ$324,$A268),"",$A268))</f>
        <v/>
      </c>
      <c r="AW262" t="str">
        <f>IFERROR(INDEX(Liste_Handelsünger[Handelsdünger],_xlfn.AGGREGATE(15,6,(ROW(Liste_Handelsünger[Handelsdünger])-1)/(--(SEARCH(AX$2,Liste_Handelsünger[Handelsdünger])&gt;0)),ROW()-2),1),"")</f>
        <v>Organic Plant Feed (OPF) granular 11-0-5</v>
      </c>
      <c r="AX262" t="str">
        <f>IF(($A269=""),"",IF(COUNTIF(Mineral!$AJ$3:$AJ$324,$A269),"",$A269))</f>
        <v/>
      </c>
      <c r="AY262" t="str">
        <f>IFERROR(INDEX(Liste_Handelsünger[Handelsdünger],_xlfn.AGGREGATE(15,6,(ROW(Liste_Handelsünger[Handelsdünger])-1)/(--(SEARCH(AZ$2,Liste_Handelsünger[Handelsdünger])&gt;0)),ROW()-2),1),"")</f>
        <v>Organic Plant Feed (OPF) granular 11-0-5</v>
      </c>
      <c r="AZ262" t="str">
        <f>IF(($A270=""),"",IF(COUNTIF(Mineral!$AJ$3:$AJ$324,$A270),"",$A270))</f>
        <v/>
      </c>
      <c r="BA262" t="str">
        <f>IFERROR(INDEX(Liste_Handelsünger[Handelsdünger],_xlfn.AGGREGATE(15,6,(ROW(Liste_Handelsünger[Handelsdünger])-1)/(--(SEARCH(BB$2,Liste_Handelsünger[Handelsdünger])&gt;0)),ROW()-2),1),"")</f>
        <v>Organic Plant Feed (OPF) granular 11-0-5</v>
      </c>
      <c r="BB262" t="str">
        <f>IF(($A271=""),"",IF(COUNTIF(Mineral!$AJ$3:$AJ$324,$A271),"",$A271))</f>
        <v/>
      </c>
      <c r="BC262" t="str">
        <f>IFERROR(INDEX(Liste_Handelsünger[Handelsdünger],_xlfn.AGGREGATE(15,6,(ROW(Liste_Handelsünger[Handelsdünger])-1)/(--(SEARCH(BD$2,Liste_Handelsünger[Handelsdünger])&gt;0)),ROW()-2),1),"")</f>
        <v>Organic Plant Feed (OPF) granular 11-0-5</v>
      </c>
      <c r="BD262" t="str">
        <f>IF(($A272=""),"",IF(COUNTIF(Mineral!$AJ$3:$AJ$324,$A272),"",$A272))</f>
        <v/>
      </c>
      <c r="BE262" t="str">
        <f>IFERROR(INDEX(Liste_Handelsünger[Handelsdünger],_xlfn.AGGREGATE(15,6,(ROW(Liste_Handelsünger[Handelsdünger])-1)/(--(SEARCH(BF$2,Liste_Handelsünger[Handelsdünger])&gt;0)),ROW()-2),1),"")</f>
        <v>Organic Plant Feed (OPF) granular 11-0-5</v>
      </c>
      <c r="BF262" t="str">
        <f>IF(($A273=""),"",IF(COUNTIF(Mineral!$AJ$3:$AJ$324,$A273),"",$A273))</f>
        <v/>
      </c>
      <c r="BG262" t="str">
        <f>IFERROR(INDEX(Liste_Handelsünger[Handelsdünger],_xlfn.AGGREGATE(15,6,(ROW(Liste_Handelsünger[Handelsdünger])-1)/(--(SEARCH(BH$2,Liste_Handelsünger[Handelsdünger])&gt;0)),ROW()-2),1),"")</f>
        <v>Organic Plant Feed (OPF) granular 11-0-5</v>
      </c>
      <c r="BH262" t="str">
        <f>IF(($A274=""),"",IF(COUNTIF(Mineral!$AJ$3:$AJ$324,$A274),"",$A274))</f>
        <v/>
      </c>
      <c r="BI262" t="str">
        <f>IFERROR(INDEX(Liste_Handelsünger[Handelsdünger],_xlfn.AGGREGATE(15,6,(ROW(Liste_Handelsünger[Handelsdünger])-1)/(--(SEARCH(BJ$2,Liste_Handelsünger[Handelsdünger])&gt;0)),ROW()-2),1),"")</f>
        <v>Organic Plant Feed (OPF) granular 11-0-5</v>
      </c>
      <c r="BJ262" t="str">
        <f>IF(($A275=""),"",IF(COUNTIF(Mineral!$AJ$3:$AJ$324,$A275),"",$A275))</f>
        <v/>
      </c>
      <c r="BK262" t="str">
        <f>IFERROR(INDEX(Liste_Handelsünger[Handelsdünger],_xlfn.AGGREGATE(15,6,(ROW(Liste_Handelsünger[Handelsdünger])-1)/(--(SEARCH(BL$2,Liste_Handelsünger[Handelsdünger])&gt;0)),ROW()-2),1),"")</f>
        <v>Organic Plant Feed (OPF) granular 11-0-5</v>
      </c>
      <c r="BM262" t="str">
        <f>IFERROR(INDEX(Liste_Handelsünger[Handelsdünger],_xlfn.AGGREGATE(15,6,(ROW(Liste_Handelsünger[Handelsdünger])-1)/(--(SEARCH(BN$2,Liste_Handelsünger[Handelsdünger])&gt;0)),ROW()-2),1),"")</f>
        <v>Organic Plant Feed (OPF) granular 11-0-5</v>
      </c>
      <c r="BN262" t="str">
        <f>IF(($A277=""),"",IF(COUNTIF(Mineral!$AJ$3:$AJ$324,$A277),"",$A277))</f>
        <v/>
      </c>
      <c r="BV262" t="s">
        <v>2233</v>
      </c>
      <c r="BW262" t="s">
        <v>2161</v>
      </c>
      <c r="BZ262" s="1602"/>
      <c r="CA262" s="1602"/>
      <c r="CB262" s="1602"/>
    </row>
    <row r="263" spans="19:80" ht="14.25" thickTop="1" thickBot="1">
      <c r="S263" s="1616">
        <v>262</v>
      </c>
      <c r="T263" s="1617" t="s">
        <v>2006</v>
      </c>
      <c r="U263" s="1617" t="s">
        <v>2238</v>
      </c>
      <c r="V263" s="1617" t="s">
        <v>408</v>
      </c>
      <c r="W263" s="1617">
        <v>0.16</v>
      </c>
      <c r="X263" s="1617">
        <v>0</v>
      </c>
      <c r="Y263" s="1617">
        <v>1.4500000000000002</v>
      </c>
      <c r="Z263" s="1617">
        <v>0.22999999999999998</v>
      </c>
      <c r="AA263" s="1617">
        <v>0</v>
      </c>
      <c r="AB263" s="1617">
        <v>0</v>
      </c>
      <c r="AC263" s="1617">
        <v>0.7</v>
      </c>
      <c r="AD263" s="1613">
        <v>0.87</v>
      </c>
      <c r="AE263" s="1617" t="s">
        <v>2016</v>
      </c>
      <c r="AF263" s="1613" t="str">
        <f t="shared" si="21"/>
        <v/>
      </c>
      <c r="AG263" s="1656">
        <f>IFERROR(IF($AF263&gt;0,VLOOKUP($U263,Tabelle1!$C$188:$L$212,5,0)*$AF263,0),0)</f>
        <v>0</v>
      </c>
      <c r="AH263" s="1656">
        <f t="shared" si="22"/>
        <v>0</v>
      </c>
      <c r="AJ263" t="str">
        <f>IF(Betrieb!$D$9="JA",Mineral!$BW263,Mineral!$BV263)</f>
        <v>Phytoamin</v>
      </c>
      <c r="AK263" s="1672" t="str">
        <f>IFERROR(INDEX(Liste_Handelsünger[Handelsdünger],_xlfn.AGGREGATE(15,6,(ROW(Liste_Handelsünger[Handelsdünger])-1)/(--(SEARCH(AL$2,Liste_Handelsünger[Handelsdünger])&gt;0)),ROW()-2),1),"")</f>
        <v>Phytoamin</v>
      </c>
      <c r="AL263" s="1672" t="str">
        <f>IF(($A$3=""),"",IF(COUNTIF(Mineral!$AJ$3:$AJ$324,$A$3),"",$A$3))</f>
        <v/>
      </c>
      <c r="AM263" s="1672" t="str">
        <f>IFERROR(INDEX(Liste_Handelsünger[Handelsdünger],_xlfn.AGGREGATE(15,6,(ROW(Liste_Handelsünger[Handelsdünger])-1)/(--(SEARCH(AN$2,Liste_Handelsünger[Handelsdünger])&gt;0)),ROW()-2),1),"")</f>
        <v>Phytoamin</v>
      </c>
      <c r="AN263" t="str">
        <f>IF(($A265=""),"",IF(COUNTIF(Mineral!$AJ$3:$AJ$324,$A265),"",$A265))</f>
        <v/>
      </c>
      <c r="AO263" t="str">
        <f>IFERROR(INDEX(Liste_Handelsünger[Handelsdünger],_xlfn.AGGREGATE(15,6,(ROW(Liste_Handelsünger[Handelsdünger])-1)/(--(SEARCH(AP$2,Liste_Handelsünger[Handelsdünger])&gt;0)),ROW()-2),1),"")</f>
        <v>Phytoamin</v>
      </c>
      <c r="AP263" t="str">
        <f>IF(($A266=""),"",IF(COUNTIF(Mineral!$AJ$3:$AJ$324,$A266),"",$A266))</f>
        <v/>
      </c>
      <c r="AQ263" t="str">
        <f>IFERROR(INDEX(Liste_Handelsünger[Handelsdünger],_xlfn.AGGREGATE(15,6,(ROW(Liste_Handelsünger[Handelsdünger])-1)/(--(SEARCH(AR$2,Liste_Handelsünger[Handelsdünger])&gt;0)),ROW()-2),1),"")</f>
        <v>Phytoamin</v>
      </c>
      <c r="AR263" t="str">
        <f>IF(($A267=""),"",IF(COUNTIF(Mineral!$AJ$3:$AJ$324,$A267),"",$A267))</f>
        <v/>
      </c>
      <c r="AS263" t="str">
        <f>IFERROR(INDEX(Liste_Handelsünger[Handelsdünger],_xlfn.AGGREGATE(15,6,(ROW(Liste_Handelsünger[Handelsdünger])-1)/(--(SEARCH(AT$2,Liste_Handelsünger[Handelsdünger])&gt;0)),ROW()-2),1),"")</f>
        <v>Phytoamin</v>
      </c>
      <c r="AT263" t="str">
        <f>IF(($A268=""),"",IF(COUNTIF(Mineral!$AJ$3:$AJ$324,$A268),"",$A268))</f>
        <v/>
      </c>
      <c r="AU263" t="str">
        <f>IFERROR(INDEX(Liste_Handelsünger[Handelsdünger],_xlfn.AGGREGATE(15,6,(ROW(Liste_Handelsünger[Handelsdünger])-1)/(--(SEARCH(AV$2,Liste_Handelsünger[Handelsdünger])&gt;0)),ROW()-2),1),"")</f>
        <v>Phytoamin</v>
      </c>
      <c r="AV263" t="str">
        <f>IF(($A269=""),"",IF(COUNTIF(Mineral!$AJ$3:$AJ$324,$A269),"",$A269))</f>
        <v/>
      </c>
      <c r="AW263" t="str">
        <f>IFERROR(INDEX(Liste_Handelsünger[Handelsdünger],_xlfn.AGGREGATE(15,6,(ROW(Liste_Handelsünger[Handelsdünger])-1)/(--(SEARCH(AX$2,Liste_Handelsünger[Handelsdünger])&gt;0)),ROW()-2),1),"")</f>
        <v>Phytoamin</v>
      </c>
      <c r="AX263" t="str">
        <f>IF(($A270=""),"",IF(COUNTIF(Mineral!$AJ$3:$AJ$324,$A270),"",$A270))</f>
        <v/>
      </c>
      <c r="AY263" t="str">
        <f>IFERROR(INDEX(Liste_Handelsünger[Handelsdünger],_xlfn.AGGREGATE(15,6,(ROW(Liste_Handelsünger[Handelsdünger])-1)/(--(SEARCH(AZ$2,Liste_Handelsünger[Handelsdünger])&gt;0)),ROW()-2),1),"")</f>
        <v>Phytoamin</v>
      </c>
      <c r="AZ263" t="str">
        <f>IF(($A271=""),"",IF(COUNTIF(Mineral!$AJ$3:$AJ$324,$A271),"",$A271))</f>
        <v/>
      </c>
      <c r="BA263" t="str">
        <f>IFERROR(INDEX(Liste_Handelsünger[Handelsdünger],_xlfn.AGGREGATE(15,6,(ROW(Liste_Handelsünger[Handelsdünger])-1)/(--(SEARCH(BB$2,Liste_Handelsünger[Handelsdünger])&gt;0)),ROW()-2),1),"")</f>
        <v>Phytoamin</v>
      </c>
      <c r="BB263" t="str">
        <f>IF(($A272=""),"",IF(COUNTIF(Mineral!$AJ$3:$AJ$324,$A272),"",$A272))</f>
        <v/>
      </c>
      <c r="BC263" t="str">
        <f>IFERROR(INDEX(Liste_Handelsünger[Handelsdünger],_xlfn.AGGREGATE(15,6,(ROW(Liste_Handelsünger[Handelsdünger])-1)/(--(SEARCH(BD$2,Liste_Handelsünger[Handelsdünger])&gt;0)),ROW()-2),1),"")</f>
        <v>Phytoamin</v>
      </c>
      <c r="BD263" t="str">
        <f>IF(($A273=""),"",IF(COUNTIF(Mineral!$AJ$3:$AJ$324,$A273),"",$A273))</f>
        <v/>
      </c>
      <c r="BE263" t="str">
        <f>IFERROR(INDEX(Liste_Handelsünger[Handelsdünger],_xlfn.AGGREGATE(15,6,(ROW(Liste_Handelsünger[Handelsdünger])-1)/(--(SEARCH(BF$2,Liste_Handelsünger[Handelsdünger])&gt;0)),ROW()-2),1),"")</f>
        <v>Phytoamin</v>
      </c>
      <c r="BF263" t="str">
        <f>IF(($A274=""),"",IF(COUNTIF(Mineral!$AJ$3:$AJ$324,$A274),"",$A274))</f>
        <v/>
      </c>
      <c r="BG263" t="str">
        <f>IFERROR(INDEX(Liste_Handelsünger[Handelsdünger],_xlfn.AGGREGATE(15,6,(ROW(Liste_Handelsünger[Handelsdünger])-1)/(--(SEARCH(BH$2,Liste_Handelsünger[Handelsdünger])&gt;0)),ROW()-2),1),"")</f>
        <v>Phytoamin</v>
      </c>
      <c r="BH263" t="str">
        <f>IF(($A275=""),"",IF(COUNTIF(Mineral!$AJ$3:$AJ$324,$A275),"",$A275))</f>
        <v/>
      </c>
      <c r="BI263" t="str">
        <f>IFERROR(INDEX(Liste_Handelsünger[Handelsdünger],_xlfn.AGGREGATE(15,6,(ROW(Liste_Handelsünger[Handelsdünger])-1)/(--(SEARCH(BJ$2,Liste_Handelsünger[Handelsdünger])&gt;0)),ROW()-2),1),"")</f>
        <v>Phytoamin</v>
      </c>
      <c r="BJ263" t="str">
        <f>IF(($A276=""),"",IF(COUNTIF(Mineral!$AJ$3:$AJ$324,$A276),"",$A276))</f>
        <v/>
      </c>
      <c r="BK263" t="str">
        <f>IFERROR(INDEX(Liste_Handelsünger[Handelsdünger],_xlfn.AGGREGATE(15,6,(ROW(Liste_Handelsünger[Handelsdünger])-1)/(--(SEARCH(BL$2,Liste_Handelsünger[Handelsdünger])&gt;0)),ROW()-2),1),"")</f>
        <v>Phytoamin</v>
      </c>
      <c r="BM263" t="str">
        <f>IFERROR(INDEX(Liste_Handelsünger[Handelsdünger],_xlfn.AGGREGATE(15,6,(ROW(Liste_Handelsünger[Handelsdünger])-1)/(--(SEARCH(BN$2,Liste_Handelsünger[Handelsdünger])&gt;0)),ROW()-2),1),"")</f>
        <v>Phytoamin</v>
      </c>
      <c r="BN263" t="str">
        <f>IF(($A278=""),"",IF(COUNTIF(Mineral!$AJ$3:$AJ$324,$A278),"",$A278))</f>
        <v/>
      </c>
      <c r="BV263" t="s">
        <v>2238</v>
      </c>
      <c r="BW263" t="s">
        <v>2171</v>
      </c>
      <c r="BZ263" s="1602"/>
      <c r="CA263" s="1602"/>
      <c r="CB263" s="1602"/>
    </row>
    <row r="264" spans="19:80" ht="14.25" thickTop="1" thickBot="1">
      <c r="S264" s="1676">
        <v>263</v>
      </c>
      <c r="T264" s="1606" t="s">
        <v>2006</v>
      </c>
      <c r="U264" s="1606" t="s">
        <v>2243</v>
      </c>
      <c r="V264" s="1606" t="s">
        <v>408</v>
      </c>
      <c r="W264" s="1606">
        <v>5.5</v>
      </c>
      <c r="X264" s="1606">
        <v>2.5</v>
      </c>
      <c r="Y264" s="1606">
        <v>1.5</v>
      </c>
      <c r="Z264" s="1606">
        <v>0</v>
      </c>
      <c r="AA264" s="1606">
        <v>0</v>
      </c>
      <c r="AB264" s="1606">
        <v>0</v>
      </c>
      <c r="AC264" s="1606">
        <v>0.5</v>
      </c>
      <c r="AD264" s="1613">
        <v>0.91</v>
      </c>
      <c r="AE264" s="1606" t="s">
        <v>2037</v>
      </c>
      <c r="AF264" s="1613" t="str">
        <f t="shared" si="21"/>
        <v/>
      </c>
      <c r="AG264" s="1656">
        <f>IFERROR(IF($AF264&gt;0,VLOOKUP($U264,Tabelle1!$C$188:$L$212,5,0)*$AF264,0),0)</f>
        <v>0</v>
      </c>
      <c r="AH264" s="1656">
        <f t="shared" si="22"/>
        <v>0</v>
      </c>
      <c r="AJ264" t="str">
        <f>IF(Betrieb!$D$9="JA",Mineral!$BW264,Mineral!$BV264)</f>
        <v>Pischelsdorfer Düngerschlempe</v>
      </c>
      <c r="AK264" s="1672" t="str">
        <f>IFERROR(INDEX(Liste_Handelsünger[Handelsdünger],_xlfn.AGGREGATE(15,6,(ROW(Liste_Handelsünger[Handelsdünger])-1)/(--(SEARCH(AL$2,Liste_Handelsünger[Handelsdünger])&gt;0)),ROW()-2),1),"")</f>
        <v>Pischelsdorfer Düngerschlempe</v>
      </c>
      <c r="AL264" s="1672" t="str">
        <f>IF(($A$3=""),"",IF(COUNTIF(Mineral!$AJ$3:$AJ$324,$A$3),"",$A$3))</f>
        <v/>
      </c>
      <c r="AM264" s="1672" t="str">
        <f>IFERROR(INDEX(Liste_Handelsünger[Handelsdünger],_xlfn.AGGREGATE(15,6,(ROW(Liste_Handelsünger[Handelsdünger])-1)/(--(SEARCH(AN$2,Liste_Handelsünger[Handelsdünger])&gt;0)),ROW()-2),1),"")</f>
        <v>Pischelsdorfer Düngerschlempe</v>
      </c>
      <c r="AN264" t="str">
        <f>IF(($A266=""),"",IF(COUNTIF(Mineral!$AJ$3:$AJ$324,$A266),"",$A266))</f>
        <v/>
      </c>
      <c r="AO264" t="str">
        <f>IFERROR(INDEX(Liste_Handelsünger[Handelsdünger],_xlfn.AGGREGATE(15,6,(ROW(Liste_Handelsünger[Handelsdünger])-1)/(--(SEARCH(AP$2,Liste_Handelsünger[Handelsdünger])&gt;0)),ROW()-2),1),"")</f>
        <v>Pischelsdorfer Düngerschlempe</v>
      </c>
      <c r="AP264" t="str">
        <f>IF(($A267=""),"",IF(COUNTIF(Mineral!$AJ$3:$AJ$324,$A267),"",$A267))</f>
        <v/>
      </c>
      <c r="AQ264" t="str">
        <f>IFERROR(INDEX(Liste_Handelsünger[Handelsdünger],_xlfn.AGGREGATE(15,6,(ROW(Liste_Handelsünger[Handelsdünger])-1)/(--(SEARCH(AR$2,Liste_Handelsünger[Handelsdünger])&gt;0)),ROW()-2),1),"")</f>
        <v>Pischelsdorfer Düngerschlempe</v>
      </c>
      <c r="AR264" t="str">
        <f>IF(($A268=""),"",IF(COUNTIF(Mineral!$AJ$3:$AJ$324,$A268),"",$A268))</f>
        <v/>
      </c>
      <c r="AS264" t="str">
        <f>IFERROR(INDEX(Liste_Handelsünger[Handelsdünger],_xlfn.AGGREGATE(15,6,(ROW(Liste_Handelsünger[Handelsdünger])-1)/(--(SEARCH(AT$2,Liste_Handelsünger[Handelsdünger])&gt;0)),ROW()-2),1),"")</f>
        <v>Pischelsdorfer Düngerschlempe</v>
      </c>
      <c r="AT264" t="str">
        <f>IF(($A269=""),"",IF(COUNTIF(Mineral!$AJ$3:$AJ$324,$A269),"",$A269))</f>
        <v/>
      </c>
      <c r="AU264" t="str">
        <f>IFERROR(INDEX(Liste_Handelsünger[Handelsdünger],_xlfn.AGGREGATE(15,6,(ROW(Liste_Handelsünger[Handelsdünger])-1)/(--(SEARCH(AV$2,Liste_Handelsünger[Handelsdünger])&gt;0)),ROW()-2),1),"")</f>
        <v>Pischelsdorfer Düngerschlempe</v>
      </c>
      <c r="AV264" t="str">
        <f>IF(($A270=""),"",IF(COUNTIF(Mineral!$AJ$3:$AJ$324,$A270),"",$A270))</f>
        <v/>
      </c>
      <c r="AW264" t="str">
        <f>IFERROR(INDEX(Liste_Handelsünger[Handelsdünger],_xlfn.AGGREGATE(15,6,(ROW(Liste_Handelsünger[Handelsdünger])-1)/(--(SEARCH(AX$2,Liste_Handelsünger[Handelsdünger])&gt;0)),ROW()-2),1),"")</f>
        <v>Pischelsdorfer Düngerschlempe</v>
      </c>
      <c r="AX264" t="str">
        <f>IF(($A271=""),"",IF(COUNTIF(Mineral!$AJ$3:$AJ$324,$A271),"",$A271))</f>
        <v/>
      </c>
      <c r="AY264" t="str">
        <f>IFERROR(INDEX(Liste_Handelsünger[Handelsdünger],_xlfn.AGGREGATE(15,6,(ROW(Liste_Handelsünger[Handelsdünger])-1)/(--(SEARCH(AZ$2,Liste_Handelsünger[Handelsdünger])&gt;0)),ROW()-2),1),"")</f>
        <v>Pischelsdorfer Düngerschlempe</v>
      </c>
      <c r="AZ264" t="str">
        <f>IF(($A272=""),"",IF(COUNTIF(Mineral!$AJ$3:$AJ$324,$A272),"",$A272))</f>
        <v/>
      </c>
      <c r="BA264" t="str">
        <f>IFERROR(INDEX(Liste_Handelsünger[Handelsdünger],_xlfn.AGGREGATE(15,6,(ROW(Liste_Handelsünger[Handelsdünger])-1)/(--(SEARCH(BB$2,Liste_Handelsünger[Handelsdünger])&gt;0)),ROW()-2),1),"")</f>
        <v>Pischelsdorfer Düngerschlempe</v>
      </c>
      <c r="BB264" t="str">
        <f>IF(($A273=""),"",IF(COUNTIF(Mineral!$AJ$3:$AJ$324,$A273),"",$A273))</f>
        <v/>
      </c>
      <c r="BC264" t="str">
        <f>IFERROR(INDEX(Liste_Handelsünger[Handelsdünger],_xlfn.AGGREGATE(15,6,(ROW(Liste_Handelsünger[Handelsdünger])-1)/(--(SEARCH(BD$2,Liste_Handelsünger[Handelsdünger])&gt;0)),ROW()-2),1),"")</f>
        <v>Pischelsdorfer Düngerschlempe</v>
      </c>
      <c r="BD264" t="str">
        <f>IF(($A274=""),"",IF(COUNTIF(Mineral!$AJ$3:$AJ$324,$A274),"",$A274))</f>
        <v/>
      </c>
      <c r="BE264" t="str">
        <f>IFERROR(INDEX(Liste_Handelsünger[Handelsdünger],_xlfn.AGGREGATE(15,6,(ROW(Liste_Handelsünger[Handelsdünger])-1)/(--(SEARCH(BF$2,Liste_Handelsünger[Handelsdünger])&gt;0)),ROW()-2),1),"")</f>
        <v>Pischelsdorfer Düngerschlempe</v>
      </c>
      <c r="BF264" t="str">
        <f>IF(($A275=""),"",IF(COUNTIF(Mineral!$AJ$3:$AJ$324,$A275),"",$A275))</f>
        <v/>
      </c>
      <c r="BG264" t="str">
        <f>IFERROR(INDEX(Liste_Handelsünger[Handelsdünger],_xlfn.AGGREGATE(15,6,(ROW(Liste_Handelsünger[Handelsdünger])-1)/(--(SEARCH(BH$2,Liste_Handelsünger[Handelsdünger])&gt;0)),ROW()-2),1),"")</f>
        <v>Pischelsdorfer Düngerschlempe</v>
      </c>
      <c r="BH264" t="str">
        <f>IF(($A276=""),"",IF(COUNTIF(Mineral!$AJ$3:$AJ$324,$A276),"",$A276))</f>
        <v/>
      </c>
      <c r="BI264" t="str">
        <f>IFERROR(INDEX(Liste_Handelsünger[Handelsdünger],_xlfn.AGGREGATE(15,6,(ROW(Liste_Handelsünger[Handelsdünger])-1)/(--(SEARCH(BJ$2,Liste_Handelsünger[Handelsdünger])&gt;0)),ROW()-2),1),"")</f>
        <v>Pischelsdorfer Düngerschlempe</v>
      </c>
      <c r="BJ264" t="str">
        <f>IF(($A277=""),"",IF(COUNTIF(Mineral!$AJ$3:$AJ$324,$A277),"",$A277))</f>
        <v/>
      </c>
      <c r="BK264" t="str">
        <f>IFERROR(INDEX(Liste_Handelsünger[Handelsdünger],_xlfn.AGGREGATE(15,6,(ROW(Liste_Handelsünger[Handelsdünger])-1)/(--(SEARCH(BL$2,Liste_Handelsünger[Handelsdünger])&gt;0)),ROW()-2),1),"")</f>
        <v>Pischelsdorfer Düngerschlempe</v>
      </c>
      <c r="BM264" t="str">
        <f>IFERROR(INDEX(Liste_Handelsünger[Handelsdünger],_xlfn.AGGREGATE(15,6,(ROW(Liste_Handelsünger[Handelsdünger])-1)/(--(SEARCH(BN$2,Liste_Handelsünger[Handelsdünger])&gt;0)),ROW()-2),1),"")</f>
        <v>Pischelsdorfer Düngerschlempe</v>
      </c>
      <c r="BN264" t="str">
        <f>IF(($A279=""),"",IF(COUNTIF(Mineral!$AJ$3:$AJ$324,$A279),"",$A279))</f>
        <v/>
      </c>
      <c r="BV264" t="s">
        <v>2243</v>
      </c>
      <c r="BW264" t="s">
        <v>2172</v>
      </c>
      <c r="BZ264" s="1602"/>
      <c r="CA264" s="1602"/>
      <c r="CB264" s="1602"/>
    </row>
    <row r="265" spans="19:80" ht="14.25" thickTop="1" thickBot="1">
      <c r="S265" s="1616">
        <v>264</v>
      </c>
      <c r="T265" s="1617" t="s">
        <v>2006</v>
      </c>
      <c r="U265" s="1617" t="s">
        <v>2244</v>
      </c>
      <c r="V265" s="1617" t="s">
        <v>408</v>
      </c>
      <c r="W265" s="1617">
        <v>1.7999999999999998</v>
      </c>
      <c r="X265" s="1617">
        <v>0.8</v>
      </c>
      <c r="Y265" s="1617">
        <v>0.5</v>
      </c>
      <c r="Z265" s="1617">
        <v>0</v>
      </c>
      <c r="AA265" s="1617">
        <v>0</v>
      </c>
      <c r="AB265" s="1617">
        <v>0</v>
      </c>
      <c r="AC265" s="1617">
        <v>0.5</v>
      </c>
      <c r="AD265" s="1613">
        <v>0.91</v>
      </c>
      <c r="AE265" s="1617" t="s">
        <v>2037</v>
      </c>
      <c r="AF265" s="1613" t="str">
        <f t="shared" si="21"/>
        <v/>
      </c>
      <c r="AG265" s="1656">
        <f>IFERROR(IF($AF265&gt;0,VLOOKUP($U265,Tabelle1!$C$188:$L$212,5,0)*$AF265,0),0)</f>
        <v>0</v>
      </c>
      <c r="AH265" s="1656">
        <f t="shared" si="22"/>
        <v>0</v>
      </c>
      <c r="AJ265" t="str">
        <f>IF(Betrieb!$D$9="JA",Mineral!$BW265,Mineral!$BV265)</f>
        <v>Pischelsdorfer Düngerschlempe feucht</v>
      </c>
      <c r="AK265" s="1672" t="str">
        <f>IFERROR(INDEX(Liste_Handelsünger[Handelsdünger],_xlfn.AGGREGATE(15,6,(ROW(Liste_Handelsünger[Handelsdünger])-1)/(--(SEARCH(AL$2,Liste_Handelsünger[Handelsdünger])&gt;0)),ROW()-2),1),"")</f>
        <v>Pischelsdorfer Düngerschlempe feucht</v>
      </c>
      <c r="AL265" s="1672" t="str">
        <f>IF(($A$3=""),"",IF(COUNTIF(Mineral!$AJ$3:$AJ$324,$A$3),"",$A$3))</f>
        <v/>
      </c>
      <c r="AM265" s="1672" t="str">
        <f>IFERROR(INDEX(Liste_Handelsünger[Handelsdünger],_xlfn.AGGREGATE(15,6,(ROW(Liste_Handelsünger[Handelsdünger])-1)/(--(SEARCH(AN$2,Liste_Handelsünger[Handelsdünger])&gt;0)),ROW()-2),1),"")</f>
        <v>Pischelsdorfer Düngerschlempe feucht</v>
      </c>
      <c r="AN265" t="str">
        <f>IF(($A267=""),"",IF(COUNTIF(Mineral!$AJ$3:$AJ$324,$A267),"",$A267))</f>
        <v/>
      </c>
      <c r="AO265" t="str">
        <f>IFERROR(INDEX(Liste_Handelsünger[Handelsdünger],_xlfn.AGGREGATE(15,6,(ROW(Liste_Handelsünger[Handelsdünger])-1)/(--(SEARCH(AP$2,Liste_Handelsünger[Handelsdünger])&gt;0)),ROW()-2),1),"")</f>
        <v>Pischelsdorfer Düngerschlempe feucht</v>
      </c>
      <c r="AP265" t="str">
        <f>IF(($A268=""),"",IF(COUNTIF(Mineral!$AJ$3:$AJ$324,$A268),"",$A268))</f>
        <v/>
      </c>
      <c r="AQ265" t="str">
        <f>IFERROR(INDEX(Liste_Handelsünger[Handelsdünger],_xlfn.AGGREGATE(15,6,(ROW(Liste_Handelsünger[Handelsdünger])-1)/(--(SEARCH(AR$2,Liste_Handelsünger[Handelsdünger])&gt;0)),ROW()-2),1),"")</f>
        <v>Pischelsdorfer Düngerschlempe feucht</v>
      </c>
      <c r="AR265" t="str">
        <f>IF(($A269=""),"",IF(COUNTIF(Mineral!$AJ$3:$AJ$324,$A269),"",$A269))</f>
        <v/>
      </c>
      <c r="AS265" t="str">
        <f>IFERROR(INDEX(Liste_Handelsünger[Handelsdünger],_xlfn.AGGREGATE(15,6,(ROW(Liste_Handelsünger[Handelsdünger])-1)/(--(SEARCH(AT$2,Liste_Handelsünger[Handelsdünger])&gt;0)),ROW()-2),1),"")</f>
        <v>Pischelsdorfer Düngerschlempe feucht</v>
      </c>
      <c r="AT265" t="str">
        <f>IF(($A270=""),"",IF(COUNTIF(Mineral!$AJ$3:$AJ$324,$A270),"",$A270))</f>
        <v/>
      </c>
      <c r="AU265" t="str">
        <f>IFERROR(INDEX(Liste_Handelsünger[Handelsdünger],_xlfn.AGGREGATE(15,6,(ROW(Liste_Handelsünger[Handelsdünger])-1)/(--(SEARCH(AV$2,Liste_Handelsünger[Handelsdünger])&gt;0)),ROW()-2),1),"")</f>
        <v>Pischelsdorfer Düngerschlempe feucht</v>
      </c>
      <c r="AV265" t="str">
        <f>IF(($A271=""),"",IF(COUNTIF(Mineral!$AJ$3:$AJ$324,$A271),"",$A271))</f>
        <v/>
      </c>
      <c r="AW265" t="str">
        <f>IFERROR(INDEX(Liste_Handelsünger[Handelsdünger],_xlfn.AGGREGATE(15,6,(ROW(Liste_Handelsünger[Handelsdünger])-1)/(--(SEARCH(AX$2,Liste_Handelsünger[Handelsdünger])&gt;0)),ROW()-2),1),"")</f>
        <v>Pischelsdorfer Düngerschlempe feucht</v>
      </c>
      <c r="AX265" t="str">
        <f>IF(($A272=""),"",IF(COUNTIF(Mineral!$AJ$3:$AJ$324,$A272),"",$A272))</f>
        <v/>
      </c>
      <c r="AY265" t="str">
        <f>IFERROR(INDEX(Liste_Handelsünger[Handelsdünger],_xlfn.AGGREGATE(15,6,(ROW(Liste_Handelsünger[Handelsdünger])-1)/(--(SEARCH(AZ$2,Liste_Handelsünger[Handelsdünger])&gt;0)),ROW()-2),1),"")</f>
        <v>Pischelsdorfer Düngerschlempe feucht</v>
      </c>
      <c r="AZ265" t="str">
        <f>IF(($A273=""),"",IF(COUNTIF(Mineral!$AJ$3:$AJ$324,$A273),"",$A273))</f>
        <v/>
      </c>
      <c r="BA265" t="str">
        <f>IFERROR(INDEX(Liste_Handelsünger[Handelsdünger],_xlfn.AGGREGATE(15,6,(ROW(Liste_Handelsünger[Handelsdünger])-1)/(--(SEARCH(BB$2,Liste_Handelsünger[Handelsdünger])&gt;0)),ROW()-2),1),"")</f>
        <v>Pischelsdorfer Düngerschlempe feucht</v>
      </c>
      <c r="BB265" t="str">
        <f>IF(($A274=""),"",IF(COUNTIF(Mineral!$AJ$3:$AJ$324,$A274),"",$A274))</f>
        <v/>
      </c>
      <c r="BC265" t="str">
        <f>IFERROR(INDEX(Liste_Handelsünger[Handelsdünger],_xlfn.AGGREGATE(15,6,(ROW(Liste_Handelsünger[Handelsdünger])-1)/(--(SEARCH(BD$2,Liste_Handelsünger[Handelsdünger])&gt;0)),ROW()-2),1),"")</f>
        <v>Pischelsdorfer Düngerschlempe feucht</v>
      </c>
      <c r="BD265" t="str">
        <f>IF(($A275=""),"",IF(COUNTIF(Mineral!$AJ$3:$AJ$324,$A275),"",$A275))</f>
        <v/>
      </c>
      <c r="BE265" t="str">
        <f>IFERROR(INDEX(Liste_Handelsünger[Handelsdünger],_xlfn.AGGREGATE(15,6,(ROW(Liste_Handelsünger[Handelsdünger])-1)/(--(SEARCH(BF$2,Liste_Handelsünger[Handelsdünger])&gt;0)),ROW()-2),1),"")</f>
        <v>Pischelsdorfer Düngerschlempe feucht</v>
      </c>
      <c r="BF265" t="str">
        <f>IF(($A276=""),"",IF(COUNTIF(Mineral!$AJ$3:$AJ$324,$A276),"",$A276))</f>
        <v/>
      </c>
      <c r="BG265" t="str">
        <f>IFERROR(INDEX(Liste_Handelsünger[Handelsdünger],_xlfn.AGGREGATE(15,6,(ROW(Liste_Handelsünger[Handelsdünger])-1)/(--(SEARCH(BH$2,Liste_Handelsünger[Handelsdünger])&gt;0)),ROW()-2),1),"")</f>
        <v>Pischelsdorfer Düngerschlempe feucht</v>
      </c>
      <c r="BH265" t="str">
        <f>IF(($A277=""),"",IF(COUNTIF(Mineral!$AJ$3:$AJ$324,$A277),"",$A277))</f>
        <v/>
      </c>
      <c r="BI265" t="str">
        <f>IFERROR(INDEX(Liste_Handelsünger[Handelsdünger],_xlfn.AGGREGATE(15,6,(ROW(Liste_Handelsünger[Handelsdünger])-1)/(--(SEARCH(BJ$2,Liste_Handelsünger[Handelsdünger])&gt;0)),ROW()-2),1),"")</f>
        <v>Pischelsdorfer Düngerschlempe feucht</v>
      </c>
      <c r="BJ265" t="str">
        <f>IF(($A278=""),"",IF(COUNTIF(Mineral!$AJ$3:$AJ$324,$A278),"",$A278))</f>
        <v/>
      </c>
      <c r="BK265" t="str">
        <f>IFERROR(INDEX(Liste_Handelsünger[Handelsdünger],_xlfn.AGGREGATE(15,6,(ROW(Liste_Handelsünger[Handelsdünger])-1)/(--(SEARCH(BL$2,Liste_Handelsünger[Handelsdünger])&gt;0)),ROW()-2),1),"")</f>
        <v>Pischelsdorfer Düngerschlempe feucht</v>
      </c>
      <c r="BM265" t="str">
        <f>IFERROR(INDEX(Liste_Handelsünger[Handelsdünger],_xlfn.AGGREGATE(15,6,(ROW(Liste_Handelsünger[Handelsdünger])-1)/(--(SEARCH(BN$2,Liste_Handelsünger[Handelsdünger])&gt;0)),ROW()-2),1),"")</f>
        <v>Pischelsdorfer Düngerschlempe feucht</v>
      </c>
      <c r="BN265" t="str">
        <f>IF(($A280=""),"",IF(COUNTIF(Mineral!$AJ$3:$AJ$324,$A280),"",$A280))</f>
        <v/>
      </c>
      <c r="BV265" t="s">
        <v>2244</v>
      </c>
      <c r="BW265" t="s">
        <v>2174</v>
      </c>
      <c r="BZ265" s="1602"/>
      <c r="CA265" s="1602"/>
      <c r="CB265" s="1602"/>
    </row>
    <row r="266" spans="19:80" ht="14.25" thickTop="1" thickBot="1">
      <c r="S266" s="1676">
        <v>265</v>
      </c>
      <c r="T266" s="1606" t="s">
        <v>2006</v>
      </c>
      <c r="U266" s="1606" t="s">
        <v>2248</v>
      </c>
      <c r="V266" s="1606" t="s">
        <v>408</v>
      </c>
      <c r="W266" s="1606">
        <v>0</v>
      </c>
      <c r="X266" s="1606">
        <v>0</v>
      </c>
      <c r="Y266" s="1606">
        <v>0</v>
      </c>
      <c r="Z266" s="1606">
        <v>0</v>
      </c>
      <c r="AA266" s="1606">
        <v>0</v>
      </c>
      <c r="AB266" s="1606">
        <v>0</v>
      </c>
      <c r="AC266" s="1606">
        <v>1</v>
      </c>
      <c r="AD266" s="1613">
        <v>1</v>
      </c>
      <c r="AE266" s="1606" t="s">
        <v>1764</v>
      </c>
      <c r="AF266" s="1613" t="str">
        <f t="shared" si="21"/>
        <v/>
      </c>
      <c r="AG266" s="1656">
        <f>IFERROR(IF($AF266&gt;0,VLOOKUP($U266,Tabelle1!$C$188:$L$212,5,0)*$AF266,0),0)</f>
        <v>0</v>
      </c>
      <c r="AH266" s="1656">
        <f t="shared" si="22"/>
        <v>0</v>
      </c>
      <c r="AJ266" t="str">
        <f>IF(Betrieb!$D$9="JA",Mineral!$BW266,Mineral!$BV266)</f>
        <v>PottaSol</v>
      </c>
      <c r="AK266" s="1672" t="str">
        <f>IFERROR(INDEX(Liste_Handelsünger[Handelsdünger],_xlfn.AGGREGATE(15,6,(ROW(Liste_Handelsünger[Handelsdünger])-1)/(--(SEARCH(AL$2,Liste_Handelsünger[Handelsdünger])&gt;0)),ROW()-2),1),"")</f>
        <v>PottaSol</v>
      </c>
      <c r="AL266" s="1672" t="str">
        <f>IF(($A$3=""),"",IF(COUNTIF(Mineral!$AJ$3:$AJ$324,$A$3),"",$A$3))</f>
        <v/>
      </c>
      <c r="AM266" s="1672" t="str">
        <f>IFERROR(INDEX(Liste_Handelsünger[Handelsdünger],_xlfn.AGGREGATE(15,6,(ROW(Liste_Handelsünger[Handelsdünger])-1)/(--(SEARCH(AN$2,Liste_Handelsünger[Handelsdünger])&gt;0)),ROW()-2),1),"")</f>
        <v>PottaSol</v>
      </c>
      <c r="AN266" t="str">
        <f>IF(($A268=""),"",IF(COUNTIF(Mineral!$AJ$3:$AJ$324,$A268),"",$A268))</f>
        <v/>
      </c>
      <c r="AO266" t="str">
        <f>IFERROR(INDEX(Liste_Handelsünger[Handelsdünger],_xlfn.AGGREGATE(15,6,(ROW(Liste_Handelsünger[Handelsdünger])-1)/(--(SEARCH(AP$2,Liste_Handelsünger[Handelsdünger])&gt;0)),ROW()-2),1),"")</f>
        <v>PottaSol</v>
      </c>
      <c r="AP266" t="str">
        <f>IF(($A269=""),"",IF(COUNTIF(Mineral!$AJ$3:$AJ$324,$A269),"",$A269))</f>
        <v/>
      </c>
      <c r="AQ266" t="str">
        <f>IFERROR(INDEX(Liste_Handelsünger[Handelsdünger],_xlfn.AGGREGATE(15,6,(ROW(Liste_Handelsünger[Handelsdünger])-1)/(--(SEARCH(AR$2,Liste_Handelsünger[Handelsdünger])&gt;0)),ROW()-2),1),"")</f>
        <v>PottaSol</v>
      </c>
      <c r="AR266" t="str">
        <f>IF(($A270=""),"",IF(COUNTIF(Mineral!$AJ$3:$AJ$324,$A270),"",$A270))</f>
        <v/>
      </c>
      <c r="AS266" t="str">
        <f>IFERROR(INDEX(Liste_Handelsünger[Handelsdünger],_xlfn.AGGREGATE(15,6,(ROW(Liste_Handelsünger[Handelsdünger])-1)/(--(SEARCH(AT$2,Liste_Handelsünger[Handelsdünger])&gt;0)),ROW()-2),1),"")</f>
        <v>PottaSol</v>
      </c>
      <c r="AT266" t="str">
        <f>IF(($A271=""),"",IF(COUNTIF(Mineral!$AJ$3:$AJ$324,$A271),"",$A271))</f>
        <v/>
      </c>
      <c r="AU266" t="str">
        <f>IFERROR(INDEX(Liste_Handelsünger[Handelsdünger],_xlfn.AGGREGATE(15,6,(ROW(Liste_Handelsünger[Handelsdünger])-1)/(--(SEARCH(AV$2,Liste_Handelsünger[Handelsdünger])&gt;0)),ROW()-2),1),"")</f>
        <v>PottaSol</v>
      </c>
      <c r="AV266" t="str">
        <f>IF(($A272=""),"",IF(COUNTIF(Mineral!$AJ$3:$AJ$324,$A272),"",$A272))</f>
        <v/>
      </c>
      <c r="AW266" t="str">
        <f>IFERROR(INDEX(Liste_Handelsünger[Handelsdünger],_xlfn.AGGREGATE(15,6,(ROW(Liste_Handelsünger[Handelsdünger])-1)/(--(SEARCH(AX$2,Liste_Handelsünger[Handelsdünger])&gt;0)),ROW()-2),1),"")</f>
        <v>PottaSol</v>
      </c>
      <c r="AX266" t="str">
        <f>IF(($A273=""),"",IF(COUNTIF(Mineral!$AJ$3:$AJ$324,$A273),"",$A273))</f>
        <v/>
      </c>
      <c r="AY266" t="str">
        <f>IFERROR(INDEX(Liste_Handelsünger[Handelsdünger],_xlfn.AGGREGATE(15,6,(ROW(Liste_Handelsünger[Handelsdünger])-1)/(--(SEARCH(AZ$2,Liste_Handelsünger[Handelsdünger])&gt;0)),ROW()-2),1),"")</f>
        <v>PottaSol</v>
      </c>
      <c r="AZ266" t="str">
        <f>IF(($A274=""),"",IF(COUNTIF(Mineral!$AJ$3:$AJ$324,$A274),"",$A274))</f>
        <v/>
      </c>
      <c r="BA266" t="str">
        <f>IFERROR(INDEX(Liste_Handelsünger[Handelsdünger],_xlfn.AGGREGATE(15,6,(ROW(Liste_Handelsünger[Handelsdünger])-1)/(--(SEARCH(BB$2,Liste_Handelsünger[Handelsdünger])&gt;0)),ROW()-2),1),"")</f>
        <v>PottaSol</v>
      </c>
      <c r="BB266" t="str">
        <f>IF(($A275=""),"",IF(COUNTIF(Mineral!$AJ$3:$AJ$324,$A275),"",$A275))</f>
        <v/>
      </c>
      <c r="BC266" t="str">
        <f>IFERROR(INDEX(Liste_Handelsünger[Handelsdünger],_xlfn.AGGREGATE(15,6,(ROW(Liste_Handelsünger[Handelsdünger])-1)/(--(SEARCH(BD$2,Liste_Handelsünger[Handelsdünger])&gt;0)),ROW()-2),1),"")</f>
        <v>PottaSol</v>
      </c>
      <c r="BD266" t="str">
        <f>IF(($A276=""),"",IF(COUNTIF(Mineral!$AJ$3:$AJ$324,$A276),"",$A276))</f>
        <v/>
      </c>
      <c r="BE266" t="str">
        <f>IFERROR(INDEX(Liste_Handelsünger[Handelsdünger],_xlfn.AGGREGATE(15,6,(ROW(Liste_Handelsünger[Handelsdünger])-1)/(--(SEARCH(BF$2,Liste_Handelsünger[Handelsdünger])&gt;0)),ROW()-2),1),"")</f>
        <v>PottaSol</v>
      </c>
      <c r="BF266" t="str">
        <f>IF(($A277=""),"",IF(COUNTIF(Mineral!$AJ$3:$AJ$324,$A277),"",$A277))</f>
        <v/>
      </c>
      <c r="BG266" t="str">
        <f>IFERROR(INDEX(Liste_Handelsünger[Handelsdünger],_xlfn.AGGREGATE(15,6,(ROW(Liste_Handelsünger[Handelsdünger])-1)/(--(SEARCH(BH$2,Liste_Handelsünger[Handelsdünger])&gt;0)),ROW()-2),1),"")</f>
        <v>PottaSol</v>
      </c>
      <c r="BH266" t="str">
        <f>IF(($A278=""),"",IF(COUNTIF(Mineral!$AJ$3:$AJ$324,$A278),"",$A278))</f>
        <v/>
      </c>
      <c r="BI266" t="str">
        <f>IFERROR(INDEX(Liste_Handelsünger[Handelsdünger],_xlfn.AGGREGATE(15,6,(ROW(Liste_Handelsünger[Handelsdünger])-1)/(--(SEARCH(BJ$2,Liste_Handelsünger[Handelsdünger])&gt;0)),ROW()-2),1),"")</f>
        <v>PottaSol</v>
      </c>
      <c r="BJ266" t="str">
        <f>IF(($A279=""),"",IF(COUNTIF(Mineral!$AJ$3:$AJ$324,$A279),"",$A279))</f>
        <v/>
      </c>
      <c r="BK266" t="str">
        <f>IFERROR(INDEX(Liste_Handelsünger[Handelsdünger],_xlfn.AGGREGATE(15,6,(ROW(Liste_Handelsünger[Handelsdünger])-1)/(--(SEARCH(BL$2,Liste_Handelsünger[Handelsdünger])&gt;0)),ROW()-2),1),"")</f>
        <v>PottaSol</v>
      </c>
      <c r="BM266" t="str">
        <f>IFERROR(INDEX(Liste_Handelsünger[Handelsdünger],_xlfn.AGGREGATE(15,6,(ROW(Liste_Handelsünger[Handelsdünger])-1)/(--(SEARCH(BN$2,Liste_Handelsünger[Handelsdünger])&gt;0)),ROW()-2),1),"")</f>
        <v>PottaSol</v>
      </c>
      <c r="BN266" t="str">
        <f>IF(($A281=""),"",IF(COUNTIF(Mineral!$AJ$3:$AJ$324,$A281),"",$A281))</f>
        <v/>
      </c>
      <c r="BV266" t="s">
        <v>2248</v>
      </c>
      <c r="BW266" t="s">
        <v>2176</v>
      </c>
      <c r="BZ266" s="1602"/>
      <c r="CA266" s="1602"/>
      <c r="CB266" s="1602"/>
    </row>
    <row r="267" spans="19:80" ht="14.25" thickTop="1" thickBot="1">
      <c r="S267" s="1616">
        <v>266</v>
      </c>
      <c r="T267" s="1617" t="s">
        <v>2006</v>
      </c>
      <c r="U267" s="1617" t="s">
        <v>2249</v>
      </c>
      <c r="V267" s="1617" t="s">
        <v>408</v>
      </c>
      <c r="W267" s="1617">
        <v>3.6</v>
      </c>
      <c r="X267" s="1617">
        <v>2.6</v>
      </c>
      <c r="Y267" s="1617">
        <v>2.2999999999999998</v>
      </c>
      <c r="Z267" s="1617"/>
      <c r="AA267" s="1617"/>
      <c r="AB267" s="1617"/>
      <c r="AC267" s="1617">
        <v>0.5</v>
      </c>
      <c r="AD267" s="1613">
        <v>0.91</v>
      </c>
      <c r="AE267" s="1617" t="s">
        <v>2037</v>
      </c>
      <c r="AF267" s="1613" t="str">
        <f t="shared" si="21"/>
        <v/>
      </c>
      <c r="AG267" s="1656">
        <f>IFERROR(IF($AF267&gt;0,VLOOKUP($U267,Tabelle1!$C$188:$L$212,5,0)*$AF267,0),0)</f>
        <v>0</v>
      </c>
      <c r="AH267" s="1656">
        <f t="shared" si="22"/>
        <v>0</v>
      </c>
      <c r="AJ267" t="str">
        <f>IF(Betrieb!$D$9="JA",Mineral!$BW267,Mineral!$BV267)</f>
        <v>Pressgold 100% organische Hühnermistpellets aus Ö</v>
      </c>
      <c r="AK267" s="1672" t="str">
        <f>IFERROR(INDEX(Liste_Handelsünger[Handelsdünger],_xlfn.AGGREGATE(15,6,(ROW(Liste_Handelsünger[Handelsdünger])-1)/(--(SEARCH(AL$2,Liste_Handelsünger[Handelsdünger])&gt;0)),ROW()-2),1),"")</f>
        <v>Pressgold 100% organische Hühnermistpellets aus Ö</v>
      </c>
      <c r="AL267" s="1672" t="str">
        <f>IF(($A$3=""),"",IF(COUNTIF(Mineral!$AJ$3:$AJ$324,$A$3),"",$A$3))</f>
        <v/>
      </c>
      <c r="AM267" s="1672" t="str">
        <f>IFERROR(INDEX(Liste_Handelsünger[Handelsdünger],_xlfn.AGGREGATE(15,6,(ROW(Liste_Handelsünger[Handelsdünger])-1)/(--(SEARCH(AN$2,Liste_Handelsünger[Handelsdünger])&gt;0)),ROW()-2),1),"")</f>
        <v>Pressgold 100% organische Hühnermistpellets aus Ö</v>
      </c>
      <c r="AN267" t="str">
        <f>IF(($A269=""),"",IF(COUNTIF(Mineral!$AJ$3:$AJ$324,$A269),"",$A269))</f>
        <v/>
      </c>
      <c r="AO267" t="str">
        <f>IFERROR(INDEX(Liste_Handelsünger[Handelsdünger],_xlfn.AGGREGATE(15,6,(ROW(Liste_Handelsünger[Handelsdünger])-1)/(--(SEARCH(AP$2,Liste_Handelsünger[Handelsdünger])&gt;0)),ROW()-2),1),"")</f>
        <v>Pressgold 100% organische Hühnermistpellets aus Ö</v>
      </c>
      <c r="AP267" t="str">
        <f>IF(($A270=""),"",IF(COUNTIF(Mineral!$AJ$3:$AJ$324,$A270),"",$A270))</f>
        <v/>
      </c>
      <c r="AQ267" t="str">
        <f>IFERROR(INDEX(Liste_Handelsünger[Handelsdünger],_xlfn.AGGREGATE(15,6,(ROW(Liste_Handelsünger[Handelsdünger])-1)/(--(SEARCH(AR$2,Liste_Handelsünger[Handelsdünger])&gt;0)),ROW()-2),1),"")</f>
        <v>Pressgold 100% organische Hühnermistpellets aus Ö</v>
      </c>
      <c r="AR267" t="str">
        <f>IF(($A271=""),"",IF(COUNTIF(Mineral!$AJ$3:$AJ$324,$A271),"",$A271))</f>
        <v/>
      </c>
      <c r="AS267" t="str">
        <f>IFERROR(INDEX(Liste_Handelsünger[Handelsdünger],_xlfn.AGGREGATE(15,6,(ROW(Liste_Handelsünger[Handelsdünger])-1)/(--(SEARCH(AT$2,Liste_Handelsünger[Handelsdünger])&gt;0)),ROW()-2),1),"")</f>
        <v>Pressgold 100% organische Hühnermistpellets aus Ö</v>
      </c>
      <c r="AT267" t="str">
        <f>IF(($A272=""),"",IF(COUNTIF(Mineral!$AJ$3:$AJ$324,$A272),"",$A272))</f>
        <v/>
      </c>
      <c r="AU267" t="str">
        <f>IFERROR(INDEX(Liste_Handelsünger[Handelsdünger],_xlfn.AGGREGATE(15,6,(ROW(Liste_Handelsünger[Handelsdünger])-1)/(--(SEARCH(AV$2,Liste_Handelsünger[Handelsdünger])&gt;0)),ROW()-2),1),"")</f>
        <v>Pressgold 100% organische Hühnermistpellets aus Ö</v>
      </c>
      <c r="AV267" t="str">
        <f>IF(($A273=""),"",IF(COUNTIF(Mineral!$AJ$3:$AJ$324,$A273),"",$A273))</f>
        <v/>
      </c>
      <c r="AW267" t="str">
        <f>IFERROR(INDEX(Liste_Handelsünger[Handelsdünger],_xlfn.AGGREGATE(15,6,(ROW(Liste_Handelsünger[Handelsdünger])-1)/(--(SEARCH(AX$2,Liste_Handelsünger[Handelsdünger])&gt;0)),ROW()-2),1),"")</f>
        <v>Pressgold 100% organische Hühnermistpellets aus Ö</v>
      </c>
      <c r="AX267" t="str">
        <f>IF(($A274=""),"",IF(COUNTIF(Mineral!$AJ$3:$AJ$324,$A274),"",$A274))</f>
        <v/>
      </c>
      <c r="AY267" t="str">
        <f>IFERROR(INDEX(Liste_Handelsünger[Handelsdünger],_xlfn.AGGREGATE(15,6,(ROW(Liste_Handelsünger[Handelsdünger])-1)/(--(SEARCH(AZ$2,Liste_Handelsünger[Handelsdünger])&gt;0)),ROW()-2),1),"")</f>
        <v>Pressgold 100% organische Hühnermistpellets aus Ö</v>
      </c>
      <c r="AZ267" t="str">
        <f>IF(($A275=""),"",IF(COUNTIF(Mineral!$AJ$3:$AJ$324,$A275),"",$A275))</f>
        <v/>
      </c>
      <c r="BA267" t="str">
        <f>IFERROR(INDEX(Liste_Handelsünger[Handelsdünger],_xlfn.AGGREGATE(15,6,(ROW(Liste_Handelsünger[Handelsdünger])-1)/(--(SEARCH(BB$2,Liste_Handelsünger[Handelsdünger])&gt;0)),ROW()-2),1),"")</f>
        <v>Pressgold 100% organische Hühnermistpellets aus Ö</v>
      </c>
      <c r="BB267" t="str">
        <f>IF(($A276=""),"",IF(COUNTIF(Mineral!$AJ$3:$AJ$324,$A276),"",$A276))</f>
        <v/>
      </c>
      <c r="BC267" t="str">
        <f>IFERROR(INDEX(Liste_Handelsünger[Handelsdünger],_xlfn.AGGREGATE(15,6,(ROW(Liste_Handelsünger[Handelsdünger])-1)/(--(SEARCH(BD$2,Liste_Handelsünger[Handelsdünger])&gt;0)),ROW()-2),1),"")</f>
        <v>Pressgold 100% organische Hühnermistpellets aus Ö</v>
      </c>
      <c r="BD267" t="str">
        <f>IF(($A277=""),"",IF(COUNTIF(Mineral!$AJ$3:$AJ$324,$A277),"",$A277))</f>
        <v/>
      </c>
      <c r="BE267" t="str">
        <f>IFERROR(INDEX(Liste_Handelsünger[Handelsdünger],_xlfn.AGGREGATE(15,6,(ROW(Liste_Handelsünger[Handelsdünger])-1)/(--(SEARCH(BF$2,Liste_Handelsünger[Handelsdünger])&gt;0)),ROW()-2),1),"")</f>
        <v>Pressgold 100% organische Hühnermistpellets aus Ö</v>
      </c>
      <c r="BF267" t="str">
        <f>IF(($A278=""),"",IF(COUNTIF(Mineral!$AJ$3:$AJ$324,$A278),"",$A278))</f>
        <v/>
      </c>
      <c r="BG267" t="str">
        <f>IFERROR(INDEX(Liste_Handelsünger[Handelsdünger],_xlfn.AGGREGATE(15,6,(ROW(Liste_Handelsünger[Handelsdünger])-1)/(--(SEARCH(BH$2,Liste_Handelsünger[Handelsdünger])&gt;0)),ROW()-2),1),"")</f>
        <v>Pressgold 100% organische Hühnermistpellets aus Ö</v>
      </c>
      <c r="BH267" t="str">
        <f>IF(($A279=""),"",IF(COUNTIF(Mineral!$AJ$3:$AJ$324,$A279),"",$A279))</f>
        <v/>
      </c>
      <c r="BI267" t="str">
        <f>IFERROR(INDEX(Liste_Handelsünger[Handelsdünger],_xlfn.AGGREGATE(15,6,(ROW(Liste_Handelsünger[Handelsdünger])-1)/(--(SEARCH(BJ$2,Liste_Handelsünger[Handelsdünger])&gt;0)),ROW()-2),1),"")</f>
        <v>Pressgold 100% organische Hühnermistpellets aus Ö</v>
      </c>
      <c r="BJ267" t="str">
        <f>IF(($A280=""),"",IF(COUNTIF(Mineral!$AJ$3:$AJ$324,$A280),"",$A280))</f>
        <v/>
      </c>
      <c r="BK267" t="str">
        <f>IFERROR(INDEX(Liste_Handelsünger[Handelsdünger],_xlfn.AGGREGATE(15,6,(ROW(Liste_Handelsünger[Handelsdünger])-1)/(--(SEARCH(BL$2,Liste_Handelsünger[Handelsdünger])&gt;0)),ROW()-2),1),"")</f>
        <v>Pressgold 100% organische Hühnermistpellets aus Ö</v>
      </c>
      <c r="BM267" t="str">
        <f>IFERROR(INDEX(Liste_Handelsünger[Handelsdünger],_xlfn.AGGREGATE(15,6,(ROW(Liste_Handelsünger[Handelsdünger])-1)/(--(SEARCH(BN$2,Liste_Handelsünger[Handelsdünger])&gt;0)),ROW()-2),1),"")</f>
        <v>Pressgold 100% organische Hühnermistpellets aus Ö</v>
      </c>
      <c r="BN267" t="str">
        <f>IF(($A282=""),"",IF(COUNTIF(Mineral!$AJ$3:$AJ$324,$A282),"",$A282))</f>
        <v/>
      </c>
      <c r="BV267" t="s">
        <v>2249</v>
      </c>
      <c r="BW267" t="s">
        <v>2187</v>
      </c>
      <c r="BZ267" s="1602"/>
      <c r="CA267" s="1602"/>
      <c r="CB267" s="1602"/>
    </row>
    <row r="268" spans="19:80" ht="14.25" thickTop="1" thickBot="1">
      <c r="S268" s="1676">
        <v>267</v>
      </c>
      <c r="T268" s="1606" t="s">
        <v>2006</v>
      </c>
      <c r="U268" s="1606" t="s">
        <v>2250</v>
      </c>
      <c r="V268" s="1606" t="s">
        <v>408</v>
      </c>
      <c r="W268" s="1606">
        <v>3.6</v>
      </c>
      <c r="X268" s="1606">
        <v>2.6</v>
      </c>
      <c r="Y268" s="1606">
        <v>2.2999999999999998</v>
      </c>
      <c r="Z268" s="1606"/>
      <c r="AA268" s="1606">
        <v>2.2000000000000002</v>
      </c>
      <c r="AB268" s="1606"/>
      <c r="AC268" s="1606">
        <v>0.5</v>
      </c>
      <c r="AD268" s="1613">
        <v>0.91</v>
      </c>
      <c r="AE268" s="1606" t="s">
        <v>2037</v>
      </c>
      <c r="AF268" s="1613" t="str">
        <f t="shared" si="21"/>
        <v/>
      </c>
      <c r="AG268" s="1656">
        <f>IFERROR(IF($AF268&gt;0,VLOOKUP($U268,Tabelle1!$C$188:$L$212,5,0)*$AF268,0),0)</f>
        <v>0</v>
      </c>
      <c r="AH268" s="1656">
        <f t="shared" si="22"/>
        <v>0</v>
      </c>
      <c r="AJ268" t="str">
        <f>IF(Betrieb!$D$9="JA",Mineral!$BW268,Mineral!$BV268)</f>
        <v>Pressgold BIO 100% organische Hühnermistpellets aus Ö</v>
      </c>
      <c r="AK268" s="1672" t="str">
        <f>IFERROR(INDEX(Liste_Handelsünger[Handelsdünger],_xlfn.AGGREGATE(15,6,(ROW(Liste_Handelsünger[Handelsdünger])-1)/(--(SEARCH(AL$2,Liste_Handelsünger[Handelsdünger])&gt;0)),ROW()-2),1),"")</f>
        <v>Pressgold BIO 100% organische Hühnermistpellets aus Ö</v>
      </c>
      <c r="AL268" s="1672" t="str">
        <f>IF(($A$3=""),"",IF(COUNTIF(Mineral!$AJ$3:$AJ$324,$A$3),"",$A$3))</f>
        <v/>
      </c>
      <c r="AM268" s="1672" t="str">
        <f>IFERROR(INDEX(Liste_Handelsünger[Handelsdünger],_xlfn.AGGREGATE(15,6,(ROW(Liste_Handelsünger[Handelsdünger])-1)/(--(SEARCH(AN$2,Liste_Handelsünger[Handelsdünger])&gt;0)),ROW()-2),1),"")</f>
        <v>Pressgold BIO 100% organische Hühnermistpellets aus Ö</v>
      </c>
      <c r="AN268" t="str">
        <f>IF(($A270=""),"",IF(COUNTIF(Mineral!$AJ$3:$AJ$324,$A270),"",$A270))</f>
        <v/>
      </c>
      <c r="AO268" t="str">
        <f>IFERROR(INDEX(Liste_Handelsünger[Handelsdünger],_xlfn.AGGREGATE(15,6,(ROW(Liste_Handelsünger[Handelsdünger])-1)/(--(SEARCH(AP$2,Liste_Handelsünger[Handelsdünger])&gt;0)),ROW()-2),1),"")</f>
        <v>Pressgold BIO 100% organische Hühnermistpellets aus Ö</v>
      </c>
      <c r="AP268" t="str">
        <f>IF(($A271=""),"",IF(COUNTIF(Mineral!$AJ$3:$AJ$324,$A271),"",$A271))</f>
        <v/>
      </c>
      <c r="AQ268" t="str">
        <f>IFERROR(INDEX(Liste_Handelsünger[Handelsdünger],_xlfn.AGGREGATE(15,6,(ROW(Liste_Handelsünger[Handelsdünger])-1)/(--(SEARCH(AR$2,Liste_Handelsünger[Handelsdünger])&gt;0)),ROW()-2),1),"")</f>
        <v>Pressgold BIO 100% organische Hühnermistpellets aus Ö</v>
      </c>
      <c r="AR268" t="str">
        <f>IF(($A272=""),"",IF(COUNTIF(Mineral!$AJ$3:$AJ$324,$A272),"",$A272))</f>
        <v/>
      </c>
      <c r="AS268" t="str">
        <f>IFERROR(INDEX(Liste_Handelsünger[Handelsdünger],_xlfn.AGGREGATE(15,6,(ROW(Liste_Handelsünger[Handelsdünger])-1)/(--(SEARCH(AT$2,Liste_Handelsünger[Handelsdünger])&gt;0)),ROW()-2),1),"")</f>
        <v>Pressgold BIO 100% organische Hühnermistpellets aus Ö</v>
      </c>
      <c r="AT268" t="str">
        <f>IF(($A273=""),"",IF(COUNTIF(Mineral!$AJ$3:$AJ$324,$A273),"",$A273))</f>
        <v/>
      </c>
      <c r="AU268" t="str">
        <f>IFERROR(INDEX(Liste_Handelsünger[Handelsdünger],_xlfn.AGGREGATE(15,6,(ROW(Liste_Handelsünger[Handelsdünger])-1)/(--(SEARCH(AV$2,Liste_Handelsünger[Handelsdünger])&gt;0)),ROW()-2),1),"")</f>
        <v>Pressgold BIO 100% organische Hühnermistpellets aus Ö</v>
      </c>
      <c r="AV268" t="str">
        <f>IF(($A274=""),"",IF(COUNTIF(Mineral!$AJ$3:$AJ$324,$A274),"",$A274))</f>
        <v/>
      </c>
      <c r="AW268" t="str">
        <f>IFERROR(INDEX(Liste_Handelsünger[Handelsdünger],_xlfn.AGGREGATE(15,6,(ROW(Liste_Handelsünger[Handelsdünger])-1)/(--(SEARCH(AX$2,Liste_Handelsünger[Handelsdünger])&gt;0)),ROW()-2),1),"")</f>
        <v>Pressgold BIO 100% organische Hühnermistpellets aus Ö</v>
      </c>
      <c r="AX268" t="str">
        <f>IF(($A275=""),"",IF(COUNTIF(Mineral!$AJ$3:$AJ$324,$A275),"",$A275))</f>
        <v/>
      </c>
      <c r="AY268" t="str">
        <f>IFERROR(INDEX(Liste_Handelsünger[Handelsdünger],_xlfn.AGGREGATE(15,6,(ROW(Liste_Handelsünger[Handelsdünger])-1)/(--(SEARCH(AZ$2,Liste_Handelsünger[Handelsdünger])&gt;0)),ROW()-2),1),"")</f>
        <v>Pressgold BIO 100% organische Hühnermistpellets aus Ö</v>
      </c>
      <c r="AZ268" t="str">
        <f>IF(($A276=""),"",IF(COUNTIF(Mineral!$AJ$3:$AJ$324,$A276),"",$A276))</f>
        <v/>
      </c>
      <c r="BA268" t="str">
        <f>IFERROR(INDEX(Liste_Handelsünger[Handelsdünger],_xlfn.AGGREGATE(15,6,(ROW(Liste_Handelsünger[Handelsdünger])-1)/(--(SEARCH(BB$2,Liste_Handelsünger[Handelsdünger])&gt;0)),ROW()-2),1),"")</f>
        <v>Pressgold BIO 100% organische Hühnermistpellets aus Ö</v>
      </c>
      <c r="BB268" t="str">
        <f>IF(($A277=""),"",IF(COUNTIF(Mineral!$AJ$3:$AJ$324,$A277),"",$A277))</f>
        <v/>
      </c>
      <c r="BC268" t="str">
        <f>IFERROR(INDEX(Liste_Handelsünger[Handelsdünger],_xlfn.AGGREGATE(15,6,(ROW(Liste_Handelsünger[Handelsdünger])-1)/(--(SEARCH(BD$2,Liste_Handelsünger[Handelsdünger])&gt;0)),ROW()-2),1),"")</f>
        <v>Pressgold BIO 100% organische Hühnermistpellets aus Ö</v>
      </c>
      <c r="BD268" t="str">
        <f>IF(($A278=""),"",IF(COUNTIF(Mineral!$AJ$3:$AJ$324,$A278),"",$A278))</f>
        <v/>
      </c>
      <c r="BE268" t="str">
        <f>IFERROR(INDEX(Liste_Handelsünger[Handelsdünger],_xlfn.AGGREGATE(15,6,(ROW(Liste_Handelsünger[Handelsdünger])-1)/(--(SEARCH(BF$2,Liste_Handelsünger[Handelsdünger])&gt;0)),ROW()-2),1),"")</f>
        <v>Pressgold BIO 100% organische Hühnermistpellets aus Ö</v>
      </c>
      <c r="BF268" t="str">
        <f>IF(($A279=""),"",IF(COUNTIF(Mineral!$AJ$3:$AJ$324,$A279),"",$A279))</f>
        <v/>
      </c>
      <c r="BG268" t="str">
        <f>IFERROR(INDEX(Liste_Handelsünger[Handelsdünger],_xlfn.AGGREGATE(15,6,(ROW(Liste_Handelsünger[Handelsdünger])-1)/(--(SEARCH(BH$2,Liste_Handelsünger[Handelsdünger])&gt;0)),ROW()-2),1),"")</f>
        <v>Pressgold BIO 100% organische Hühnermistpellets aus Ö</v>
      </c>
      <c r="BH268" t="str">
        <f>IF(($A280=""),"",IF(COUNTIF(Mineral!$AJ$3:$AJ$324,$A280),"",$A280))</f>
        <v/>
      </c>
      <c r="BI268" t="str">
        <f>IFERROR(INDEX(Liste_Handelsünger[Handelsdünger],_xlfn.AGGREGATE(15,6,(ROW(Liste_Handelsünger[Handelsdünger])-1)/(--(SEARCH(BJ$2,Liste_Handelsünger[Handelsdünger])&gt;0)),ROW()-2),1),"")</f>
        <v>Pressgold BIO 100% organische Hühnermistpellets aus Ö</v>
      </c>
      <c r="BJ268" t="str">
        <f>IF(($A281=""),"",IF(COUNTIF(Mineral!$AJ$3:$AJ$324,$A281),"",$A281))</f>
        <v/>
      </c>
      <c r="BK268" t="str">
        <f>IFERROR(INDEX(Liste_Handelsünger[Handelsdünger],_xlfn.AGGREGATE(15,6,(ROW(Liste_Handelsünger[Handelsdünger])-1)/(--(SEARCH(BL$2,Liste_Handelsünger[Handelsdünger])&gt;0)),ROW()-2),1),"")</f>
        <v>Pressgold BIO 100% organische Hühnermistpellets aus Ö</v>
      </c>
      <c r="BM268" t="str">
        <f>IFERROR(INDEX(Liste_Handelsünger[Handelsdünger],_xlfn.AGGREGATE(15,6,(ROW(Liste_Handelsünger[Handelsdünger])-1)/(--(SEARCH(BN$2,Liste_Handelsünger[Handelsdünger])&gt;0)),ROW()-2),1),"")</f>
        <v>Pressgold BIO 100% organische Hühnermistpellets aus Ö</v>
      </c>
      <c r="BN268" t="str">
        <f>IF(($A283=""),"",IF(COUNTIF(Mineral!$AJ$3:$AJ$324,$A283),"",$A283))</f>
        <v/>
      </c>
      <c r="BV268" t="s">
        <v>2250</v>
      </c>
      <c r="BW268" t="s">
        <v>2188</v>
      </c>
      <c r="BZ268" s="1602"/>
      <c r="CA268" s="1602"/>
      <c r="CB268" s="1602"/>
    </row>
    <row r="269" spans="19:80" ht="14.25" thickTop="1" thickBot="1">
      <c r="S269" s="1616">
        <v>268</v>
      </c>
      <c r="T269" s="1617" t="s">
        <v>2006</v>
      </c>
      <c r="U269" s="1617" t="s">
        <v>2251</v>
      </c>
      <c r="V269" s="1617" t="s">
        <v>408</v>
      </c>
      <c r="W269" s="1617">
        <v>0.6</v>
      </c>
      <c r="X269" s="1617">
        <v>0</v>
      </c>
      <c r="Y269" s="1617">
        <v>0</v>
      </c>
      <c r="Z269" s="1617">
        <v>0</v>
      </c>
      <c r="AA269" s="1617">
        <v>15</v>
      </c>
      <c r="AB269" s="1617">
        <v>0</v>
      </c>
      <c r="AC269" s="1617">
        <v>0.7</v>
      </c>
      <c r="AD269" s="1613">
        <v>0.87</v>
      </c>
      <c r="AE269" s="1617" t="s">
        <v>2016</v>
      </c>
      <c r="AF269" s="1613" t="str">
        <f t="shared" si="21"/>
        <v/>
      </c>
      <c r="AG269" s="1656">
        <f>IFERROR(IF($AF269&gt;0,VLOOKUP($U269,Tabelle1!$C$188:$L$212,5,0)*$AF269,0),0)</f>
        <v>0</v>
      </c>
      <c r="AH269" s="1656">
        <f t="shared" si="22"/>
        <v>0</v>
      </c>
      <c r="AJ269" t="str">
        <f>IF(Betrieb!$D$9="JA",Mineral!$BW269,Mineral!$BV269)</f>
        <v>ProLiq® AminoCalcio</v>
      </c>
      <c r="AK269" s="1672" t="str">
        <f>IFERROR(INDEX(Liste_Handelsünger[Handelsdünger],_xlfn.AGGREGATE(15,6,(ROW(Liste_Handelsünger[Handelsdünger])-1)/(--(SEARCH(AL$2,Liste_Handelsünger[Handelsdünger])&gt;0)),ROW()-2),1),"")</f>
        <v>ProLiq® AminoCalcio</v>
      </c>
      <c r="AL269" s="1672" t="str">
        <f>IF(($A$3=""),"",IF(COUNTIF(Mineral!$AJ$3:$AJ$324,$A$3),"",$A$3))</f>
        <v/>
      </c>
      <c r="AM269" s="1672" t="str">
        <f>IFERROR(INDEX(Liste_Handelsünger[Handelsdünger],_xlfn.AGGREGATE(15,6,(ROW(Liste_Handelsünger[Handelsdünger])-1)/(--(SEARCH(AN$2,Liste_Handelsünger[Handelsdünger])&gt;0)),ROW()-2),1),"")</f>
        <v>ProLiq® AminoCalcio</v>
      </c>
      <c r="AN269" t="str">
        <f>IF(($A271=""),"",IF(COUNTIF(Mineral!$AJ$3:$AJ$324,$A271),"",$A271))</f>
        <v/>
      </c>
      <c r="AO269" t="str">
        <f>IFERROR(INDEX(Liste_Handelsünger[Handelsdünger],_xlfn.AGGREGATE(15,6,(ROW(Liste_Handelsünger[Handelsdünger])-1)/(--(SEARCH(AP$2,Liste_Handelsünger[Handelsdünger])&gt;0)),ROW()-2),1),"")</f>
        <v>ProLiq® AminoCalcio</v>
      </c>
      <c r="AP269" t="str">
        <f>IF(($A272=""),"",IF(COUNTIF(Mineral!$AJ$3:$AJ$324,$A272),"",$A272))</f>
        <v/>
      </c>
      <c r="AQ269" t="str">
        <f>IFERROR(INDEX(Liste_Handelsünger[Handelsdünger],_xlfn.AGGREGATE(15,6,(ROW(Liste_Handelsünger[Handelsdünger])-1)/(--(SEARCH(AR$2,Liste_Handelsünger[Handelsdünger])&gt;0)),ROW()-2),1),"")</f>
        <v>ProLiq® AminoCalcio</v>
      </c>
      <c r="AR269" t="str">
        <f>IF(($A273=""),"",IF(COUNTIF(Mineral!$AJ$3:$AJ$324,$A273),"",$A273))</f>
        <v/>
      </c>
      <c r="AS269" t="str">
        <f>IFERROR(INDEX(Liste_Handelsünger[Handelsdünger],_xlfn.AGGREGATE(15,6,(ROW(Liste_Handelsünger[Handelsdünger])-1)/(--(SEARCH(AT$2,Liste_Handelsünger[Handelsdünger])&gt;0)),ROW()-2),1),"")</f>
        <v>ProLiq® AminoCalcio</v>
      </c>
      <c r="AT269" t="str">
        <f>IF(($A274=""),"",IF(COUNTIF(Mineral!$AJ$3:$AJ$324,$A274),"",$A274))</f>
        <v/>
      </c>
      <c r="AU269" t="str">
        <f>IFERROR(INDEX(Liste_Handelsünger[Handelsdünger],_xlfn.AGGREGATE(15,6,(ROW(Liste_Handelsünger[Handelsdünger])-1)/(--(SEARCH(AV$2,Liste_Handelsünger[Handelsdünger])&gt;0)),ROW()-2),1),"")</f>
        <v>ProLiq® AminoCalcio</v>
      </c>
      <c r="AV269" t="str">
        <f>IF(($A275=""),"",IF(COUNTIF(Mineral!$AJ$3:$AJ$324,$A275),"",$A275))</f>
        <v/>
      </c>
      <c r="AW269" t="str">
        <f>IFERROR(INDEX(Liste_Handelsünger[Handelsdünger],_xlfn.AGGREGATE(15,6,(ROW(Liste_Handelsünger[Handelsdünger])-1)/(--(SEARCH(AX$2,Liste_Handelsünger[Handelsdünger])&gt;0)),ROW()-2),1),"")</f>
        <v>ProLiq® AminoCalcio</v>
      </c>
      <c r="AX269" t="str">
        <f>IF(($A276=""),"",IF(COUNTIF(Mineral!$AJ$3:$AJ$324,$A276),"",$A276))</f>
        <v/>
      </c>
      <c r="AY269" t="str">
        <f>IFERROR(INDEX(Liste_Handelsünger[Handelsdünger],_xlfn.AGGREGATE(15,6,(ROW(Liste_Handelsünger[Handelsdünger])-1)/(--(SEARCH(AZ$2,Liste_Handelsünger[Handelsdünger])&gt;0)),ROW()-2),1),"")</f>
        <v>ProLiq® AminoCalcio</v>
      </c>
      <c r="AZ269" t="str">
        <f>IF(($A277=""),"",IF(COUNTIF(Mineral!$AJ$3:$AJ$324,$A277),"",$A277))</f>
        <v/>
      </c>
      <c r="BA269" t="str">
        <f>IFERROR(INDEX(Liste_Handelsünger[Handelsdünger],_xlfn.AGGREGATE(15,6,(ROW(Liste_Handelsünger[Handelsdünger])-1)/(--(SEARCH(BB$2,Liste_Handelsünger[Handelsdünger])&gt;0)),ROW()-2),1),"")</f>
        <v>ProLiq® AminoCalcio</v>
      </c>
      <c r="BB269" t="str">
        <f>IF(($A278=""),"",IF(COUNTIF(Mineral!$AJ$3:$AJ$324,$A278),"",$A278))</f>
        <v/>
      </c>
      <c r="BC269" t="str">
        <f>IFERROR(INDEX(Liste_Handelsünger[Handelsdünger],_xlfn.AGGREGATE(15,6,(ROW(Liste_Handelsünger[Handelsdünger])-1)/(--(SEARCH(BD$2,Liste_Handelsünger[Handelsdünger])&gt;0)),ROW()-2),1),"")</f>
        <v>ProLiq® AminoCalcio</v>
      </c>
      <c r="BD269" t="str">
        <f>IF(($A279=""),"",IF(COUNTIF(Mineral!$AJ$3:$AJ$324,$A279),"",$A279))</f>
        <v/>
      </c>
      <c r="BE269" t="str">
        <f>IFERROR(INDEX(Liste_Handelsünger[Handelsdünger],_xlfn.AGGREGATE(15,6,(ROW(Liste_Handelsünger[Handelsdünger])-1)/(--(SEARCH(BF$2,Liste_Handelsünger[Handelsdünger])&gt;0)),ROW()-2),1),"")</f>
        <v>ProLiq® AminoCalcio</v>
      </c>
      <c r="BF269" t="str">
        <f>IF(($A280=""),"",IF(COUNTIF(Mineral!$AJ$3:$AJ$324,$A280),"",$A280))</f>
        <v/>
      </c>
      <c r="BG269" t="str">
        <f>IFERROR(INDEX(Liste_Handelsünger[Handelsdünger],_xlfn.AGGREGATE(15,6,(ROW(Liste_Handelsünger[Handelsdünger])-1)/(--(SEARCH(BH$2,Liste_Handelsünger[Handelsdünger])&gt;0)),ROW()-2),1),"")</f>
        <v>ProLiq® AminoCalcio</v>
      </c>
      <c r="BH269" t="str">
        <f>IF(($A281=""),"",IF(COUNTIF(Mineral!$AJ$3:$AJ$324,$A281),"",$A281))</f>
        <v/>
      </c>
      <c r="BI269" t="str">
        <f>IFERROR(INDEX(Liste_Handelsünger[Handelsdünger],_xlfn.AGGREGATE(15,6,(ROW(Liste_Handelsünger[Handelsdünger])-1)/(--(SEARCH(BJ$2,Liste_Handelsünger[Handelsdünger])&gt;0)),ROW()-2),1),"")</f>
        <v>ProLiq® AminoCalcio</v>
      </c>
      <c r="BJ269" t="str">
        <f>IF(($A282=""),"",IF(COUNTIF(Mineral!$AJ$3:$AJ$324,$A282),"",$A282))</f>
        <v/>
      </c>
      <c r="BK269" t="str">
        <f>IFERROR(INDEX(Liste_Handelsünger[Handelsdünger],_xlfn.AGGREGATE(15,6,(ROW(Liste_Handelsünger[Handelsdünger])-1)/(--(SEARCH(BL$2,Liste_Handelsünger[Handelsdünger])&gt;0)),ROW()-2),1),"")</f>
        <v>ProLiq® AminoCalcio</v>
      </c>
      <c r="BM269" t="str">
        <f>IFERROR(INDEX(Liste_Handelsünger[Handelsdünger],_xlfn.AGGREGATE(15,6,(ROW(Liste_Handelsünger[Handelsdünger])-1)/(--(SEARCH(BN$2,Liste_Handelsünger[Handelsdünger])&gt;0)),ROW()-2),1),"")</f>
        <v>ProLiq® AminoCalcio</v>
      </c>
      <c r="BN269" t="str">
        <f>IF(($A284=""),"",IF(COUNTIF(Mineral!$AJ$3:$AJ$324,$A284),"",$A284))</f>
        <v/>
      </c>
      <c r="BV269" t="s">
        <v>2251</v>
      </c>
      <c r="BW269" t="s">
        <v>2196</v>
      </c>
      <c r="BZ269" s="1602"/>
      <c r="CA269" s="1602"/>
      <c r="CB269" s="1602"/>
    </row>
    <row r="270" spans="19:80" ht="14.25" thickTop="1" thickBot="1">
      <c r="S270" s="1676">
        <v>269</v>
      </c>
      <c r="T270" s="1606" t="s">
        <v>2006</v>
      </c>
      <c r="U270" s="1606" t="s">
        <v>2252</v>
      </c>
      <c r="V270" s="1606" t="s">
        <v>408</v>
      </c>
      <c r="W270" s="1606">
        <v>0</v>
      </c>
      <c r="X270" s="1606">
        <v>0</v>
      </c>
      <c r="Y270" s="1606">
        <v>0</v>
      </c>
      <c r="Z270" s="1606">
        <v>0</v>
      </c>
      <c r="AA270" s="1606">
        <v>17</v>
      </c>
      <c r="AB270" s="1606">
        <v>0</v>
      </c>
      <c r="AC270" s="1606">
        <v>1</v>
      </c>
      <c r="AD270" s="1613">
        <v>1</v>
      </c>
      <c r="AE270" s="1606" t="s">
        <v>1764</v>
      </c>
      <c r="AF270" s="1613" t="str">
        <f t="shared" si="21"/>
        <v/>
      </c>
      <c r="AG270" s="1656">
        <f>IFERROR(IF($AF270&gt;0,VLOOKUP($U270,Tabelle1!$C$188:$L$212,5,0)*$AF270,0),0)</f>
        <v>0</v>
      </c>
      <c r="AH270" s="1656">
        <f t="shared" si="22"/>
        <v>0</v>
      </c>
      <c r="AJ270" t="str">
        <f>IF(Betrieb!$D$9="JA",Mineral!$BW270,Mineral!$BV270)</f>
        <v>ProLiq® Calcium LQ</v>
      </c>
      <c r="AK270" s="1672" t="str">
        <f>IFERROR(INDEX(Liste_Handelsünger[Handelsdünger],_xlfn.AGGREGATE(15,6,(ROW(Liste_Handelsünger[Handelsdünger])-1)/(--(SEARCH(AL$2,Liste_Handelsünger[Handelsdünger])&gt;0)),ROW()-2),1),"")</f>
        <v>ProLiq® Calcium LQ</v>
      </c>
      <c r="AL270" s="1672" t="str">
        <f>IF(($A$3=""),"",IF(COUNTIF(Mineral!$AJ$3:$AJ$324,$A$3),"",$A$3))</f>
        <v/>
      </c>
      <c r="AM270" s="1672" t="str">
        <f>IFERROR(INDEX(Liste_Handelsünger[Handelsdünger],_xlfn.AGGREGATE(15,6,(ROW(Liste_Handelsünger[Handelsdünger])-1)/(--(SEARCH(AN$2,Liste_Handelsünger[Handelsdünger])&gt;0)),ROW()-2),1),"")</f>
        <v>ProLiq® Calcium LQ</v>
      </c>
      <c r="AN270" t="str">
        <f>IF(($A272=""),"",IF(COUNTIF(Mineral!$AJ$3:$AJ$324,$A272),"",$A272))</f>
        <v/>
      </c>
      <c r="AO270" t="str">
        <f>IFERROR(INDEX(Liste_Handelsünger[Handelsdünger],_xlfn.AGGREGATE(15,6,(ROW(Liste_Handelsünger[Handelsdünger])-1)/(--(SEARCH(AP$2,Liste_Handelsünger[Handelsdünger])&gt;0)),ROW()-2),1),"")</f>
        <v>ProLiq® Calcium LQ</v>
      </c>
      <c r="AP270" t="str">
        <f>IF(($A273=""),"",IF(COUNTIF(Mineral!$AJ$3:$AJ$324,$A273),"",$A273))</f>
        <v/>
      </c>
      <c r="AQ270" t="str">
        <f>IFERROR(INDEX(Liste_Handelsünger[Handelsdünger],_xlfn.AGGREGATE(15,6,(ROW(Liste_Handelsünger[Handelsdünger])-1)/(--(SEARCH(AR$2,Liste_Handelsünger[Handelsdünger])&gt;0)),ROW()-2),1),"")</f>
        <v>ProLiq® Calcium LQ</v>
      </c>
      <c r="AR270" t="str">
        <f>IF(($A274=""),"",IF(COUNTIF(Mineral!$AJ$3:$AJ$324,$A274),"",$A274))</f>
        <v/>
      </c>
      <c r="AS270" t="str">
        <f>IFERROR(INDEX(Liste_Handelsünger[Handelsdünger],_xlfn.AGGREGATE(15,6,(ROW(Liste_Handelsünger[Handelsdünger])-1)/(--(SEARCH(AT$2,Liste_Handelsünger[Handelsdünger])&gt;0)),ROW()-2),1),"")</f>
        <v>ProLiq® Calcium LQ</v>
      </c>
      <c r="AT270" t="str">
        <f>IF(($A275=""),"",IF(COUNTIF(Mineral!$AJ$3:$AJ$324,$A275),"",$A275))</f>
        <v/>
      </c>
      <c r="AU270" t="str">
        <f>IFERROR(INDEX(Liste_Handelsünger[Handelsdünger],_xlfn.AGGREGATE(15,6,(ROW(Liste_Handelsünger[Handelsdünger])-1)/(--(SEARCH(AV$2,Liste_Handelsünger[Handelsdünger])&gt;0)),ROW()-2),1),"")</f>
        <v>ProLiq® Calcium LQ</v>
      </c>
      <c r="AV270" t="str">
        <f>IF(($A276=""),"",IF(COUNTIF(Mineral!$AJ$3:$AJ$324,$A276),"",$A276))</f>
        <v/>
      </c>
      <c r="AW270" t="str">
        <f>IFERROR(INDEX(Liste_Handelsünger[Handelsdünger],_xlfn.AGGREGATE(15,6,(ROW(Liste_Handelsünger[Handelsdünger])-1)/(--(SEARCH(AX$2,Liste_Handelsünger[Handelsdünger])&gt;0)),ROW()-2),1),"")</f>
        <v>ProLiq® Calcium LQ</v>
      </c>
      <c r="AX270" t="str">
        <f>IF(($A277=""),"",IF(COUNTIF(Mineral!$AJ$3:$AJ$324,$A277),"",$A277))</f>
        <v/>
      </c>
      <c r="AY270" t="str">
        <f>IFERROR(INDEX(Liste_Handelsünger[Handelsdünger],_xlfn.AGGREGATE(15,6,(ROW(Liste_Handelsünger[Handelsdünger])-1)/(--(SEARCH(AZ$2,Liste_Handelsünger[Handelsdünger])&gt;0)),ROW()-2),1),"")</f>
        <v>ProLiq® Calcium LQ</v>
      </c>
      <c r="AZ270" t="str">
        <f>IF(($A278=""),"",IF(COUNTIF(Mineral!$AJ$3:$AJ$324,$A278),"",$A278))</f>
        <v/>
      </c>
      <c r="BA270" t="str">
        <f>IFERROR(INDEX(Liste_Handelsünger[Handelsdünger],_xlfn.AGGREGATE(15,6,(ROW(Liste_Handelsünger[Handelsdünger])-1)/(--(SEARCH(BB$2,Liste_Handelsünger[Handelsdünger])&gt;0)),ROW()-2),1),"")</f>
        <v>ProLiq® Calcium LQ</v>
      </c>
      <c r="BB270" t="str">
        <f>IF(($A279=""),"",IF(COUNTIF(Mineral!$AJ$3:$AJ$324,$A279),"",$A279))</f>
        <v/>
      </c>
      <c r="BC270" t="str">
        <f>IFERROR(INDEX(Liste_Handelsünger[Handelsdünger],_xlfn.AGGREGATE(15,6,(ROW(Liste_Handelsünger[Handelsdünger])-1)/(--(SEARCH(BD$2,Liste_Handelsünger[Handelsdünger])&gt;0)),ROW()-2),1),"")</f>
        <v>ProLiq® Calcium LQ</v>
      </c>
      <c r="BD270" t="str">
        <f>IF(($A280=""),"",IF(COUNTIF(Mineral!$AJ$3:$AJ$324,$A280),"",$A280))</f>
        <v/>
      </c>
      <c r="BE270" t="str">
        <f>IFERROR(INDEX(Liste_Handelsünger[Handelsdünger],_xlfn.AGGREGATE(15,6,(ROW(Liste_Handelsünger[Handelsdünger])-1)/(--(SEARCH(BF$2,Liste_Handelsünger[Handelsdünger])&gt;0)),ROW()-2),1),"")</f>
        <v>ProLiq® Calcium LQ</v>
      </c>
      <c r="BF270" t="str">
        <f>IF(($A281=""),"",IF(COUNTIF(Mineral!$AJ$3:$AJ$324,$A281),"",$A281))</f>
        <v/>
      </c>
      <c r="BG270" t="str">
        <f>IFERROR(INDEX(Liste_Handelsünger[Handelsdünger],_xlfn.AGGREGATE(15,6,(ROW(Liste_Handelsünger[Handelsdünger])-1)/(--(SEARCH(BH$2,Liste_Handelsünger[Handelsdünger])&gt;0)),ROW()-2),1),"")</f>
        <v>ProLiq® Calcium LQ</v>
      </c>
      <c r="BH270" t="str">
        <f>IF(($A282=""),"",IF(COUNTIF(Mineral!$AJ$3:$AJ$324,$A282),"",$A282))</f>
        <v/>
      </c>
      <c r="BI270" t="str">
        <f>IFERROR(INDEX(Liste_Handelsünger[Handelsdünger],_xlfn.AGGREGATE(15,6,(ROW(Liste_Handelsünger[Handelsdünger])-1)/(--(SEARCH(BJ$2,Liste_Handelsünger[Handelsdünger])&gt;0)),ROW()-2),1),"")</f>
        <v>ProLiq® Calcium LQ</v>
      </c>
      <c r="BJ270" t="str">
        <f>IF(($A283=""),"",IF(COUNTIF(Mineral!$AJ$3:$AJ$324,$A283),"",$A283))</f>
        <v/>
      </c>
      <c r="BK270" t="str">
        <f>IFERROR(INDEX(Liste_Handelsünger[Handelsdünger],_xlfn.AGGREGATE(15,6,(ROW(Liste_Handelsünger[Handelsdünger])-1)/(--(SEARCH(BL$2,Liste_Handelsünger[Handelsdünger])&gt;0)),ROW()-2),1),"")</f>
        <v>ProLiq® Calcium LQ</v>
      </c>
      <c r="BM270" t="str">
        <f>IFERROR(INDEX(Liste_Handelsünger[Handelsdünger],_xlfn.AGGREGATE(15,6,(ROW(Liste_Handelsünger[Handelsdünger])-1)/(--(SEARCH(BN$2,Liste_Handelsünger[Handelsdünger])&gt;0)),ROW()-2),1),"")</f>
        <v>ProLiq® Calcium LQ</v>
      </c>
      <c r="BN270" t="str">
        <f>IF(($A285=""),"",IF(COUNTIF(Mineral!$AJ$3:$AJ$324,$A285),"",$A285))</f>
        <v/>
      </c>
      <c r="BV270" t="s">
        <v>2252</v>
      </c>
      <c r="BW270" t="s">
        <v>2197</v>
      </c>
      <c r="BZ270" s="1602"/>
      <c r="CA270" s="1602"/>
      <c r="CB270" s="1602"/>
    </row>
    <row r="271" spans="19:80" ht="14.25" thickTop="1" thickBot="1">
      <c r="S271" s="1616">
        <v>270</v>
      </c>
      <c r="T271" s="1617" t="s">
        <v>2006</v>
      </c>
      <c r="U271" s="1617" t="s">
        <v>2253</v>
      </c>
      <c r="V271" s="1617" t="s">
        <v>408</v>
      </c>
      <c r="W271" s="1617">
        <v>0</v>
      </c>
      <c r="X271" s="1617">
        <v>0</v>
      </c>
      <c r="Y271" s="1617">
        <v>52</v>
      </c>
      <c r="Z271" s="1617">
        <v>18</v>
      </c>
      <c r="AA271" s="1617">
        <v>0</v>
      </c>
      <c r="AB271" s="1617">
        <v>0</v>
      </c>
      <c r="AC271" s="1617">
        <v>1</v>
      </c>
      <c r="AD271" s="1613">
        <v>1</v>
      </c>
      <c r="AE271" s="1617" t="s">
        <v>1764</v>
      </c>
      <c r="AF271" s="1613" t="str">
        <f t="shared" si="21"/>
        <v/>
      </c>
      <c r="AG271" s="1656">
        <f>IFERROR(IF($AF271&gt;0,VLOOKUP($U271,Tabelle1!$C$188:$L$212,5,0)*$AF271,0),0)</f>
        <v>0</v>
      </c>
      <c r="AH271" s="1656">
        <f t="shared" si="22"/>
        <v>0</v>
      </c>
      <c r="AJ271" t="str">
        <f>IF(Betrieb!$D$9="JA",Mineral!$BW271,Mineral!$BV271)</f>
        <v>Radam extra 520</v>
      </c>
      <c r="AK271" s="1672" t="str">
        <f>IFERROR(INDEX(Liste_Handelsünger[Handelsdünger],_xlfn.AGGREGATE(15,6,(ROW(Liste_Handelsünger[Handelsdünger])-1)/(--(SEARCH(AL$2,Liste_Handelsünger[Handelsdünger])&gt;0)),ROW()-2),1),"")</f>
        <v>Radam extra 520</v>
      </c>
      <c r="AL271" s="1672" t="str">
        <f>IF(($A$3=""),"",IF(COUNTIF(Mineral!$AJ$3:$AJ$324,$A$3),"",$A$3))</f>
        <v/>
      </c>
      <c r="AM271" s="1672" t="str">
        <f>IFERROR(INDEX(Liste_Handelsünger[Handelsdünger],_xlfn.AGGREGATE(15,6,(ROW(Liste_Handelsünger[Handelsdünger])-1)/(--(SEARCH(AN$2,Liste_Handelsünger[Handelsdünger])&gt;0)),ROW()-2),1),"")</f>
        <v>Radam extra 520</v>
      </c>
      <c r="AN271" t="str">
        <f>IF(($A273=""),"",IF(COUNTIF(Mineral!$AJ$3:$AJ$324,$A273),"",$A273))</f>
        <v/>
      </c>
      <c r="AO271" t="str">
        <f>IFERROR(INDEX(Liste_Handelsünger[Handelsdünger],_xlfn.AGGREGATE(15,6,(ROW(Liste_Handelsünger[Handelsdünger])-1)/(--(SEARCH(AP$2,Liste_Handelsünger[Handelsdünger])&gt;0)),ROW()-2),1),"")</f>
        <v>Radam extra 520</v>
      </c>
      <c r="AP271" t="str">
        <f>IF(($A274=""),"",IF(COUNTIF(Mineral!$AJ$3:$AJ$324,$A274),"",$A274))</f>
        <v/>
      </c>
      <c r="AQ271" t="str">
        <f>IFERROR(INDEX(Liste_Handelsünger[Handelsdünger],_xlfn.AGGREGATE(15,6,(ROW(Liste_Handelsünger[Handelsdünger])-1)/(--(SEARCH(AR$2,Liste_Handelsünger[Handelsdünger])&gt;0)),ROW()-2),1),"")</f>
        <v>Radam extra 520</v>
      </c>
      <c r="AR271" t="str">
        <f>IF(($A275=""),"",IF(COUNTIF(Mineral!$AJ$3:$AJ$324,$A275),"",$A275))</f>
        <v/>
      </c>
      <c r="AS271" t="str">
        <f>IFERROR(INDEX(Liste_Handelsünger[Handelsdünger],_xlfn.AGGREGATE(15,6,(ROW(Liste_Handelsünger[Handelsdünger])-1)/(--(SEARCH(AT$2,Liste_Handelsünger[Handelsdünger])&gt;0)),ROW()-2),1),"")</f>
        <v>Radam extra 520</v>
      </c>
      <c r="AT271" t="str">
        <f>IF(($A276=""),"",IF(COUNTIF(Mineral!$AJ$3:$AJ$324,$A276),"",$A276))</f>
        <v/>
      </c>
      <c r="AU271" t="str">
        <f>IFERROR(INDEX(Liste_Handelsünger[Handelsdünger],_xlfn.AGGREGATE(15,6,(ROW(Liste_Handelsünger[Handelsdünger])-1)/(--(SEARCH(AV$2,Liste_Handelsünger[Handelsdünger])&gt;0)),ROW()-2),1),"")</f>
        <v>Radam extra 520</v>
      </c>
      <c r="AV271" t="str">
        <f>IF(($A277=""),"",IF(COUNTIF(Mineral!$AJ$3:$AJ$324,$A277),"",$A277))</f>
        <v/>
      </c>
      <c r="AW271" t="str">
        <f>IFERROR(INDEX(Liste_Handelsünger[Handelsdünger],_xlfn.AGGREGATE(15,6,(ROW(Liste_Handelsünger[Handelsdünger])-1)/(--(SEARCH(AX$2,Liste_Handelsünger[Handelsdünger])&gt;0)),ROW()-2),1),"")</f>
        <v>Radam extra 520</v>
      </c>
      <c r="AX271" t="str">
        <f>IF(($A278=""),"",IF(COUNTIF(Mineral!$AJ$3:$AJ$324,$A278),"",$A278))</f>
        <v/>
      </c>
      <c r="AY271" t="str">
        <f>IFERROR(INDEX(Liste_Handelsünger[Handelsdünger],_xlfn.AGGREGATE(15,6,(ROW(Liste_Handelsünger[Handelsdünger])-1)/(--(SEARCH(AZ$2,Liste_Handelsünger[Handelsdünger])&gt;0)),ROW()-2),1),"")</f>
        <v>Radam extra 520</v>
      </c>
      <c r="AZ271" t="str">
        <f>IF(($A279=""),"",IF(COUNTIF(Mineral!$AJ$3:$AJ$324,$A279),"",$A279))</f>
        <v/>
      </c>
      <c r="BA271" t="str">
        <f>IFERROR(INDEX(Liste_Handelsünger[Handelsdünger],_xlfn.AGGREGATE(15,6,(ROW(Liste_Handelsünger[Handelsdünger])-1)/(--(SEARCH(BB$2,Liste_Handelsünger[Handelsdünger])&gt;0)),ROW()-2),1),"")</f>
        <v>Radam extra 520</v>
      </c>
      <c r="BB271" t="str">
        <f>IF(($A280=""),"",IF(COUNTIF(Mineral!$AJ$3:$AJ$324,$A280),"",$A280))</f>
        <v/>
      </c>
      <c r="BC271" t="str">
        <f>IFERROR(INDEX(Liste_Handelsünger[Handelsdünger],_xlfn.AGGREGATE(15,6,(ROW(Liste_Handelsünger[Handelsdünger])-1)/(--(SEARCH(BD$2,Liste_Handelsünger[Handelsdünger])&gt;0)),ROW()-2),1),"")</f>
        <v>Radam extra 520</v>
      </c>
      <c r="BD271" t="str">
        <f>IF(($A281=""),"",IF(COUNTIF(Mineral!$AJ$3:$AJ$324,$A281),"",$A281))</f>
        <v/>
      </c>
      <c r="BE271" t="str">
        <f>IFERROR(INDEX(Liste_Handelsünger[Handelsdünger],_xlfn.AGGREGATE(15,6,(ROW(Liste_Handelsünger[Handelsdünger])-1)/(--(SEARCH(BF$2,Liste_Handelsünger[Handelsdünger])&gt;0)),ROW()-2),1),"")</f>
        <v>Radam extra 520</v>
      </c>
      <c r="BF271" t="str">
        <f>IF(($A282=""),"",IF(COUNTIF(Mineral!$AJ$3:$AJ$324,$A282),"",$A282))</f>
        <v/>
      </c>
      <c r="BG271" t="str">
        <f>IFERROR(INDEX(Liste_Handelsünger[Handelsdünger],_xlfn.AGGREGATE(15,6,(ROW(Liste_Handelsünger[Handelsdünger])-1)/(--(SEARCH(BH$2,Liste_Handelsünger[Handelsdünger])&gt;0)),ROW()-2),1),"")</f>
        <v>Radam extra 520</v>
      </c>
      <c r="BH271" t="str">
        <f>IF(($A283=""),"",IF(COUNTIF(Mineral!$AJ$3:$AJ$324,$A283),"",$A283))</f>
        <v/>
      </c>
      <c r="BI271" t="str">
        <f>IFERROR(INDEX(Liste_Handelsünger[Handelsdünger],_xlfn.AGGREGATE(15,6,(ROW(Liste_Handelsünger[Handelsdünger])-1)/(--(SEARCH(BJ$2,Liste_Handelsünger[Handelsdünger])&gt;0)),ROW()-2),1),"")</f>
        <v>Radam extra 520</v>
      </c>
      <c r="BJ271" t="str">
        <f>IF(($A284=""),"",IF(COUNTIF(Mineral!$AJ$3:$AJ$324,$A284),"",$A284))</f>
        <v/>
      </c>
      <c r="BK271" t="str">
        <f>IFERROR(INDEX(Liste_Handelsünger[Handelsdünger],_xlfn.AGGREGATE(15,6,(ROW(Liste_Handelsünger[Handelsdünger])-1)/(--(SEARCH(BL$2,Liste_Handelsünger[Handelsdünger])&gt;0)),ROW()-2),1),"")</f>
        <v>Radam extra 520</v>
      </c>
      <c r="BM271" t="str">
        <f>IFERROR(INDEX(Liste_Handelsünger[Handelsdünger],_xlfn.AGGREGATE(15,6,(ROW(Liste_Handelsünger[Handelsdünger])-1)/(--(SEARCH(BN$2,Liste_Handelsünger[Handelsdünger])&gt;0)),ROW()-2),1),"")</f>
        <v>Radam extra 520</v>
      </c>
      <c r="BN271" t="str">
        <f>IF(($A286=""),"",IF(COUNTIF(Mineral!$AJ$3:$AJ$324,$A286),"",$A286))</f>
        <v/>
      </c>
      <c r="BV271" t="s">
        <v>2253</v>
      </c>
      <c r="BW271" t="s">
        <v>2198</v>
      </c>
      <c r="BZ271" s="1602"/>
      <c r="CA271" s="1602"/>
      <c r="CB271" s="1602"/>
    </row>
    <row r="272" spans="19:80" ht="14.25" thickTop="1" thickBot="1">
      <c r="S272" s="1676">
        <v>271</v>
      </c>
      <c r="T272" s="1606" t="s">
        <v>2006</v>
      </c>
      <c r="U272" s="1606" t="s">
        <v>2254</v>
      </c>
      <c r="V272" s="1606" t="s">
        <v>408</v>
      </c>
      <c r="W272" s="1606">
        <v>0</v>
      </c>
      <c r="X272" s="1606">
        <v>0</v>
      </c>
      <c r="Y272" s="1606">
        <v>4</v>
      </c>
      <c r="Z272" s="1606">
        <v>0</v>
      </c>
      <c r="AA272" s="1606">
        <v>0</v>
      </c>
      <c r="AB272" s="1606">
        <v>0</v>
      </c>
      <c r="AC272" s="1606">
        <v>1</v>
      </c>
      <c r="AD272" s="1613">
        <v>1</v>
      </c>
      <c r="AE272" s="1606" t="s">
        <v>1764</v>
      </c>
      <c r="AF272" s="1613" t="str">
        <f t="shared" si="21"/>
        <v/>
      </c>
      <c r="AG272" s="1656">
        <f>IFERROR(IF($AF272&gt;0,VLOOKUP($U272,Tabelle1!$C$188:$L$212,5,0)*$AF272,0),0)</f>
        <v>0</v>
      </c>
      <c r="AH272" s="1656">
        <f t="shared" si="22"/>
        <v>0</v>
      </c>
      <c r="AJ272" t="str">
        <f>IF(Betrieb!$D$9="JA",Mineral!$BW272,Mineral!$BV272)</f>
        <v>Resistance</v>
      </c>
      <c r="AK272" s="1672" t="str">
        <f>IFERROR(INDEX(Liste_Handelsünger[Handelsdünger],_xlfn.AGGREGATE(15,6,(ROW(Liste_Handelsünger[Handelsdünger])-1)/(--(SEARCH(AL$2,Liste_Handelsünger[Handelsdünger])&gt;0)),ROW()-2),1),"")</f>
        <v>Resistance</v>
      </c>
      <c r="AL272" s="1672" t="str">
        <f>IF(($A$3=""),"",IF(COUNTIF(Mineral!$AJ$3:$AJ$324,$A$3),"",$A$3))</f>
        <v/>
      </c>
      <c r="AM272" s="1672" t="str">
        <f>IFERROR(INDEX(Liste_Handelsünger[Handelsdünger],_xlfn.AGGREGATE(15,6,(ROW(Liste_Handelsünger[Handelsdünger])-1)/(--(SEARCH(AN$2,Liste_Handelsünger[Handelsdünger])&gt;0)),ROW()-2),1),"")</f>
        <v>Resistance</v>
      </c>
      <c r="AN272" t="str">
        <f>IF(($A274=""),"",IF(COUNTIF(Mineral!$AJ$3:$AJ$324,$A274),"",$A274))</f>
        <v/>
      </c>
      <c r="AO272" t="str">
        <f>IFERROR(INDEX(Liste_Handelsünger[Handelsdünger],_xlfn.AGGREGATE(15,6,(ROW(Liste_Handelsünger[Handelsdünger])-1)/(--(SEARCH(AP$2,Liste_Handelsünger[Handelsdünger])&gt;0)),ROW()-2),1),"")</f>
        <v>Resistance</v>
      </c>
      <c r="AP272" t="str">
        <f>IF(($A275=""),"",IF(COUNTIF(Mineral!$AJ$3:$AJ$324,$A275),"",$A275))</f>
        <v/>
      </c>
      <c r="AQ272" t="str">
        <f>IFERROR(INDEX(Liste_Handelsünger[Handelsdünger],_xlfn.AGGREGATE(15,6,(ROW(Liste_Handelsünger[Handelsdünger])-1)/(--(SEARCH(AR$2,Liste_Handelsünger[Handelsdünger])&gt;0)),ROW()-2),1),"")</f>
        <v>Resistance</v>
      </c>
      <c r="AR272" t="str">
        <f>IF(($A276=""),"",IF(COUNTIF(Mineral!$AJ$3:$AJ$324,$A276),"",$A276))</f>
        <v/>
      </c>
      <c r="AS272" t="str">
        <f>IFERROR(INDEX(Liste_Handelsünger[Handelsdünger],_xlfn.AGGREGATE(15,6,(ROW(Liste_Handelsünger[Handelsdünger])-1)/(--(SEARCH(AT$2,Liste_Handelsünger[Handelsdünger])&gt;0)),ROW()-2),1),"")</f>
        <v>Resistance</v>
      </c>
      <c r="AT272" t="str">
        <f>IF(($A277=""),"",IF(COUNTIF(Mineral!$AJ$3:$AJ$324,$A277),"",$A277))</f>
        <v/>
      </c>
      <c r="AU272" t="str">
        <f>IFERROR(INDEX(Liste_Handelsünger[Handelsdünger],_xlfn.AGGREGATE(15,6,(ROW(Liste_Handelsünger[Handelsdünger])-1)/(--(SEARCH(AV$2,Liste_Handelsünger[Handelsdünger])&gt;0)),ROW()-2),1),"")</f>
        <v>Resistance</v>
      </c>
      <c r="AV272" t="str">
        <f>IF(($A278=""),"",IF(COUNTIF(Mineral!$AJ$3:$AJ$324,$A278),"",$A278))</f>
        <v/>
      </c>
      <c r="AW272" t="str">
        <f>IFERROR(INDEX(Liste_Handelsünger[Handelsdünger],_xlfn.AGGREGATE(15,6,(ROW(Liste_Handelsünger[Handelsdünger])-1)/(--(SEARCH(AX$2,Liste_Handelsünger[Handelsdünger])&gt;0)),ROW()-2),1),"")</f>
        <v>Resistance</v>
      </c>
      <c r="AX272" t="str">
        <f>IF(($A279=""),"",IF(COUNTIF(Mineral!$AJ$3:$AJ$324,$A279),"",$A279))</f>
        <v/>
      </c>
      <c r="AY272" t="str">
        <f>IFERROR(INDEX(Liste_Handelsünger[Handelsdünger],_xlfn.AGGREGATE(15,6,(ROW(Liste_Handelsünger[Handelsdünger])-1)/(--(SEARCH(AZ$2,Liste_Handelsünger[Handelsdünger])&gt;0)),ROW()-2),1),"")</f>
        <v>Resistance</v>
      </c>
      <c r="AZ272" t="str">
        <f>IF(($A280=""),"",IF(COUNTIF(Mineral!$AJ$3:$AJ$324,$A280),"",$A280))</f>
        <v/>
      </c>
      <c r="BA272" t="str">
        <f>IFERROR(INDEX(Liste_Handelsünger[Handelsdünger],_xlfn.AGGREGATE(15,6,(ROW(Liste_Handelsünger[Handelsdünger])-1)/(--(SEARCH(BB$2,Liste_Handelsünger[Handelsdünger])&gt;0)),ROW()-2),1),"")</f>
        <v>Resistance</v>
      </c>
      <c r="BB272" t="str">
        <f>IF(($A281=""),"",IF(COUNTIF(Mineral!$AJ$3:$AJ$324,$A281),"",$A281))</f>
        <v/>
      </c>
      <c r="BC272" t="str">
        <f>IFERROR(INDEX(Liste_Handelsünger[Handelsdünger],_xlfn.AGGREGATE(15,6,(ROW(Liste_Handelsünger[Handelsdünger])-1)/(--(SEARCH(BD$2,Liste_Handelsünger[Handelsdünger])&gt;0)),ROW()-2),1),"")</f>
        <v>Resistance</v>
      </c>
      <c r="BD272" t="str">
        <f>IF(($A282=""),"",IF(COUNTIF(Mineral!$AJ$3:$AJ$324,$A282),"",$A282))</f>
        <v/>
      </c>
      <c r="BE272" t="str">
        <f>IFERROR(INDEX(Liste_Handelsünger[Handelsdünger],_xlfn.AGGREGATE(15,6,(ROW(Liste_Handelsünger[Handelsdünger])-1)/(--(SEARCH(BF$2,Liste_Handelsünger[Handelsdünger])&gt;0)),ROW()-2),1),"")</f>
        <v>Resistance</v>
      </c>
      <c r="BF272" t="str">
        <f>IF(($A283=""),"",IF(COUNTIF(Mineral!$AJ$3:$AJ$324,$A283),"",$A283))</f>
        <v/>
      </c>
      <c r="BG272" t="str">
        <f>IFERROR(INDEX(Liste_Handelsünger[Handelsdünger],_xlfn.AGGREGATE(15,6,(ROW(Liste_Handelsünger[Handelsdünger])-1)/(--(SEARCH(BH$2,Liste_Handelsünger[Handelsdünger])&gt;0)),ROW()-2),1),"")</f>
        <v>Resistance</v>
      </c>
      <c r="BH272" t="str">
        <f>IF(($A284=""),"",IF(COUNTIF(Mineral!$AJ$3:$AJ$324,$A284),"",$A284))</f>
        <v/>
      </c>
      <c r="BI272" t="str">
        <f>IFERROR(INDEX(Liste_Handelsünger[Handelsdünger],_xlfn.AGGREGATE(15,6,(ROW(Liste_Handelsünger[Handelsdünger])-1)/(--(SEARCH(BJ$2,Liste_Handelsünger[Handelsdünger])&gt;0)),ROW()-2),1),"")</f>
        <v>Resistance</v>
      </c>
      <c r="BJ272" t="str">
        <f>IF(($A285=""),"",IF(COUNTIF(Mineral!$AJ$3:$AJ$324,$A285),"",$A285))</f>
        <v/>
      </c>
      <c r="BK272" t="str">
        <f>IFERROR(INDEX(Liste_Handelsünger[Handelsdünger],_xlfn.AGGREGATE(15,6,(ROW(Liste_Handelsünger[Handelsdünger])-1)/(--(SEARCH(BL$2,Liste_Handelsünger[Handelsdünger])&gt;0)),ROW()-2),1),"")</f>
        <v>Resistance</v>
      </c>
      <c r="BM272" t="str">
        <f>IFERROR(INDEX(Liste_Handelsünger[Handelsdünger],_xlfn.AGGREGATE(15,6,(ROW(Liste_Handelsünger[Handelsdünger])-1)/(--(SEARCH(BN$2,Liste_Handelsünger[Handelsdünger])&gt;0)),ROW()-2),1),"")</f>
        <v>Resistance</v>
      </c>
      <c r="BN272" t="str">
        <f>IF(($A287=""),"",IF(COUNTIF(Mineral!$AJ$3:$AJ$324,$A287),"",$A287))</f>
        <v/>
      </c>
      <c r="BV272" t="s">
        <v>2254</v>
      </c>
      <c r="BW272" t="s">
        <v>2202</v>
      </c>
      <c r="BZ272" s="1602"/>
      <c r="CA272" s="1602"/>
      <c r="CB272" s="1602"/>
    </row>
    <row r="273" spans="19:80" ht="14.25" thickTop="1" thickBot="1">
      <c r="S273" s="1616">
        <v>272</v>
      </c>
      <c r="T273" s="1617" t="s">
        <v>2006</v>
      </c>
      <c r="U273" s="1617" t="s">
        <v>2255</v>
      </c>
      <c r="V273" s="1617" t="s">
        <v>408</v>
      </c>
      <c r="W273" s="1617">
        <v>0</v>
      </c>
      <c r="X273" s="1617">
        <v>0</v>
      </c>
      <c r="Y273" s="1617">
        <v>0</v>
      </c>
      <c r="Z273" s="1617">
        <v>0</v>
      </c>
      <c r="AA273" s="1617">
        <v>0</v>
      </c>
      <c r="AB273" s="1617">
        <v>0</v>
      </c>
      <c r="AC273" s="1617">
        <v>1</v>
      </c>
      <c r="AD273" s="1613">
        <v>1</v>
      </c>
      <c r="AE273" s="1617" t="s">
        <v>1764</v>
      </c>
      <c r="AF273" s="1613" t="str">
        <f t="shared" si="21"/>
        <v/>
      </c>
      <c r="AG273" s="1656">
        <f>IFERROR(IF($AF273&gt;0,VLOOKUP($U273,Tabelle1!$C$188:$L$212,5,0)*$AF273,0),0)</f>
        <v>0</v>
      </c>
      <c r="AH273" s="1656">
        <f t="shared" si="22"/>
        <v>0</v>
      </c>
      <c r="AJ273" t="str">
        <f>IF(Betrieb!$D$9="JA",Mineral!$BW273,Mineral!$BV273)</f>
        <v>RhizoFlor ZEO ultrafein</v>
      </c>
      <c r="AK273" s="1672" t="str">
        <f>IFERROR(INDEX(Liste_Handelsünger[Handelsdünger],_xlfn.AGGREGATE(15,6,(ROW(Liste_Handelsünger[Handelsdünger])-1)/(--(SEARCH(AL$2,Liste_Handelsünger[Handelsdünger])&gt;0)),ROW()-2),1),"")</f>
        <v>RhizoFlor ZEO ultrafein</v>
      </c>
      <c r="AL273" s="1672" t="str">
        <f>IF(($A$3=""),"",IF(COUNTIF(Mineral!$AJ$3:$AJ$324,$A$3),"",$A$3))</f>
        <v/>
      </c>
      <c r="AM273" s="1672" t="str">
        <f>IFERROR(INDEX(Liste_Handelsünger[Handelsdünger],_xlfn.AGGREGATE(15,6,(ROW(Liste_Handelsünger[Handelsdünger])-1)/(--(SEARCH(AN$2,Liste_Handelsünger[Handelsdünger])&gt;0)),ROW()-2),1),"")</f>
        <v>RhizoFlor ZEO ultrafein</v>
      </c>
      <c r="AN273" t="str">
        <f>IF(($A275=""),"",IF(COUNTIF(Mineral!$AJ$3:$AJ$324,$A275),"",$A275))</f>
        <v/>
      </c>
      <c r="AO273" t="str">
        <f>IFERROR(INDEX(Liste_Handelsünger[Handelsdünger],_xlfn.AGGREGATE(15,6,(ROW(Liste_Handelsünger[Handelsdünger])-1)/(--(SEARCH(AP$2,Liste_Handelsünger[Handelsdünger])&gt;0)),ROW()-2),1),"")</f>
        <v>RhizoFlor ZEO ultrafein</v>
      </c>
      <c r="AP273" t="str">
        <f>IF(($A276=""),"",IF(COUNTIF(Mineral!$AJ$3:$AJ$324,$A276),"",$A276))</f>
        <v/>
      </c>
      <c r="AQ273" t="str">
        <f>IFERROR(INDEX(Liste_Handelsünger[Handelsdünger],_xlfn.AGGREGATE(15,6,(ROW(Liste_Handelsünger[Handelsdünger])-1)/(--(SEARCH(AR$2,Liste_Handelsünger[Handelsdünger])&gt;0)),ROW()-2),1),"")</f>
        <v>RhizoFlor ZEO ultrafein</v>
      </c>
      <c r="AR273" t="str">
        <f>IF(($A277=""),"",IF(COUNTIF(Mineral!$AJ$3:$AJ$324,$A277),"",$A277))</f>
        <v/>
      </c>
      <c r="AS273" t="str">
        <f>IFERROR(INDEX(Liste_Handelsünger[Handelsdünger],_xlfn.AGGREGATE(15,6,(ROW(Liste_Handelsünger[Handelsdünger])-1)/(--(SEARCH(AT$2,Liste_Handelsünger[Handelsdünger])&gt;0)),ROW()-2),1),"")</f>
        <v>RhizoFlor ZEO ultrafein</v>
      </c>
      <c r="AT273" t="str">
        <f>IF(($A278=""),"",IF(COUNTIF(Mineral!$AJ$3:$AJ$324,$A278),"",$A278))</f>
        <v/>
      </c>
      <c r="AU273" t="str">
        <f>IFERROR(INDEX(Liste_Handelsünger[Handelsdünger],_xlfn.AGGREGATE(15,6,(ROW(Liste_Handelsünger[Handelsdünger])-1)/(--(SEARCH(AV$2,Liste_Handelsünger[Handelsdünger])&gt;0)),ROW()-2),1),"")</f>
        <v>RhizoFlor ZEO ultrafein</v>
      </c>
      <c r="AV273" t="str">
        <f>IF(($A279=""),"",IF(COUNTIF(Mineral!$AJ$3:$AJ$324,$A279),"",$A279))</f>
        <v/>
      </c>
      <c r="AW273" t="str">
        <f>IFERROR(INDEX(Liste_Handelsünger[Handelsdünger],_xlfn.AGGREGATE(15,6,(ROW(Liste_Handelsünger[Handelsdünger])-1)/(--(SEARCH(AX$2,Liste_Handelsünger[Handelsdünger])&gt;0)),ROW()-2),1),"")</f>
        <v>RhizoFlor ZEO ultrafein</v>
      </c>
      <c r="AX273" t="str">
        <f>IF(($A280=""),"",IF(COUNTIF(Mineral!$AJ$3:$AJ$324,$A280),"",$A280))</f>
        <v/>
      </c>
      <c r="AY273" t="str">
        <f>IFERROR(INDEX(Liste_Handelsünger[Handelsdünger],_xlfn.AGGREGATE(15,6,(ROW(Liste_Handelsünger[Handelsdünger])-1)/(--(SEARCH(AZ$2,Liste_Handelsünger[Handelsdünger])&gt;0)),ROW()-2),1),"")</f>
        <v>RhizoFlor ZEO ultrafein</v>
      </c>
      <c r="AZ273" t="str">
        <f>IF(($A281=""),"",IF(COUNTIF(Mineral!$AJ$3:$AJ$324,$A281),"",$A281))</f>
        <v/>
      </c>
      <c r="BA273" t="str">
        <f>IFERROR(INDEX(Liste_Handelsünger[Handelsdünger],_xlfn.AGGREGATE(15,6,(ROW(Liste_Handelsünger[Handelsdünger])-1)/(--(SEARCH(BB$2,Liste_Handelsünger[Handelsdünger])&gt;0)),ROW()-2),1),"")</f>
        <v>RhizoFlor ZEO ultrafein</v>
      </c>
      <c r="BB273" t="str">
        <f>IF(($A282=""),"",IF(COUNTIF(Mineral!$AJ$3:$AJ$324,$A282),"",$A282))</f>
        <v/>
      </c>
      <c r="BC273" t="str">
        <f>IFERROR(INDEX(Liste_Handelsünger[Handelsdünger],_xlfn.AGGREGATE(15,6,(ROW(Liste_Handelsünger[Handelsdünger])-1)/(--(SEARCH(BD$2,Liste_Handelsünger[Handelsdünger])&gt;0)),ROW()-2),1),"")</f>
        <v>RhizoFlor ZEO ultrafein</v>
      </c>
      <c r="BD273" t="str">
        <f>IF(($A283=""),"",IF(COUNTIF(Mineral!$AJ$3:$AJ$324,$A283),"",$A283))</f>
        <v/>
      </c>
      <c r="BE273" t="str">
        <f>IFERROR(INDEX(Liste_Handelsünger[Handelsdünger],_xlfn.AGGREGATE(15,6,(ROW(Liste_Handelsünger[Handelsdünger])-1)/(--(SEARCH(BF$2,Liste_Handelsünger[Handelsdünger])&gt;0)),ROW()-2),1),"")</f>
        <v>RhizoFlor ZEO ultrafein</v>
      </c>
      <c r="BF273" t="str">
        <f>IF(($A284=""),"",IF(COUNTIF(Mineral!$AJ$3:$AJ$324,$A284),"",$A284))</f>
        <v/>
      </c>
      <c r="BG273" t="str">
        <f>IFERROR(INDEX(Liste_Handelsünger[Handelsdünger],_xlfn.AGGREGATE(15,6,(ROW(Liste_Handelsünger[Handelsdünger])-1)/(--(SEARCH(BH$2,Liste_Handelsünger[Handelsdünger])&gt;0)),ROW()-2),1),"")</f>
        <v>RhizoFlor ZEO ultrafein</v>
      </c>
      <c r="BH273" t="str">
        <f>IF(($A285=""),"",IF(COUNTIF(Mineral!$AJ$3:$AJ$324,$A285),"",$A285))</f>
        <v/>
      </c>
      <c r="BI273" t="str">
        <f>IFERROR(INDEX(Liste_Handelsünger[Handelsdünger],_xlfn.AGGREGATE(15,6,(ROW(Liste_Handelsünger[Handelsdünger])-1)/(--(SEARCH(BJ$2,Liste_Handelsünger[Handelsdünger])&gt;0)),ROW()-2),1),"")</f>
        <v>RhizoFlor ZEO ultrafein</v>
      </c>
      <c r="BJ273" t="str">
        <f>IF(($A286=""),"",IF(COUNTIF(Mineral!$AJ$3:$AJ$324,$A286),"",$A286))</f>
        <v/>
      </c>
      <c r="BK273" t="str">
        <f>IFERROR(INDEX(Liste_Handelsünger[Handelsdünger],_xlfn.AGGREGATE(15,6,(ROW(Liste_Handelsünger[Handelsdünger])-1)/(--(SEARCH(BL$2,Liste_Handelsünger[Handelsdünger])&gt;0)),ROW()-2),1),"")</f>
        <v>RhizoFlor ZEO ultrafein</v>
      </c>
      <c r="BM273" t="str">
        <f>IFERROR(INDEX(Liste_Handelsünger[Handelsdünger],_xlfn.AGGREGATE(15,6,(ROW(Liste_Handelsünger[Handelsdünger])-1)/(--(SEARCH(BN$2,Liste_Handelsünger[Handelsdünger])&gt;0)),ROW()-2),1),"")</f>
        <v>RhizoFlor ZEO ultrafein</v>
      </c>
      <c r="BN273" t="str">
        <f>IF(($A288=""),"",IF(COUNTIF(Mineral!$AJ$3:$AJ$324,$A288),"",$A288))</f>
        <v/>
      </c>
      <c r="BV273" t="s">
        <v>2255</v>
      </c>
      <c r="BW273" t="s">
        <v>2205</v>
      </c>
      <c r="BZ273" s="1602"/>
      <c r="CA273" s="1602"/>
      <c r="CB273" s="1602"/>
    </row>
    <row r="274" spans="19:80" ht="14.25" thickTop="1" thickBot="1">
      <c r="S274" s="1676">
        <v>273</v>
      </c>
      <c r="T274" s="1606" t="s">
        <v>2006</v>
      </c>
      <c r="U274" s="1606" t="s">
        <v>2256</v>
      </c>
      <c r="V274" s="1606" t="s">
        <v>408</v>
      </c>
      <c r="W274" s="1606">
        <v>0.2</v>
      </c>
      <c r="X274" s="1606">
        <v>0</v>
      </c>
      <c r="Y274" s="1606">
        <v>0.2</v>
      </c>
      <c r="Z274" s="1606">
        <v>0</v>
      </c>
      <c r="AA274" s="1606">
        <v>0</v>
      </c>
      <c r="AB274" s="1606">
        <v>0</v>
      </c>
      <c r="AC274" s="1606">
        <v>0.5</v>
      </c>
      <c r="AD274" s="1613">
        <v>0.91</v>
      </c>
      <c r="AE274" s="1606" t="s">
        <v>2037</v>
      </c>
      <c r="AF274" s="1613" t="str">
        <f t="shared" si="21"/>
        <v/>
      </c>
      <c r="AG274" s="1656">
        <f>IFERROR(IF($AF274&gt;0,VLOOKUP($U274,Tabelle1!$C$188:$L$212,5,0)*$AF274,0),0)</f>
        <v>0</v>
      </c>
      <c r="AH274" s="1656">
        <f t="shared" si="22"/>
        <v>0</v>
      </c>
      <c r="AJ274" t="str">
        <f>IF(Betrieb!$D$9="JA",Mineral!$BW274,Mineral!$BV274)</f>
        <v>Rübenbruchstücke / Rübengrün</v>
      </c>
      <c r="AK274" s="1672" t="str">
        <f>IFERROR(INDEX(Liste_Handelsünger[Handelsdünger],_xlfn.AGGREGATE(15,6,(ROW(Liste_Handelsünger[Handelsdünger])-1)/(--(SEARCH(AL$2,Liste_Handelsünger[Handelsdünger])&gt;0)),ROW()-2),1),"")</f>
        <v>Rübenbruchstücke / Rübengrün</v>
      </c>
      <c r="AL274" s="1672" t="str">
        <f>IF(($A$3=""),"",IF(COUNTIF(Mineral!$AJ$3:$AJ$324,$A$3),"",$A$3))</f>
        <v/>
      </c>
      <c r="AM274" s="1672" t="str">
        <f>IFERROR(INDEX(Liste_Handelsünger[Handelsdünger],_xlfn.AGGREGATE(15,6,(ROW(Liste_Handelsünger[Handelsdünger])-1)/(--(SEARCH(AN$2,Liste_Handelsünger[Handelsdünger])&gt;0)),ROW()-2),1),"")</f>
        <v>Rübenbruchstücke / Rübengrün</v>
      </c>
      <c r="AN274" t="str">
        <f>IF(($A276=""),"",IF(COUNTIF(Mineral!$AJ$3:$AJ$324,$A276),"",$A276))</f>
        <v/>
      </c>
      <c r="AO274" t="str">
        <f>IFERROR(INDEX(Liste_Handelsünger[Handelsdünger],_xlfn.AGGREGATE(15,6,(ROW(Liste_Handelsünger[Handelsdünger])-1)/(--(SEARCH(AP$2,Liste_Handelsünger[Handelsdünger])&gt;0)),ROW()-2),1),"")</f>
        <v>Rübenbruchstücke / Rübengrün</v>
      </c>
      <c r="AP274" t="str">
        <f>IF(($A277=""),"",IF(COUNTIF(Mineral!$AJ$3:$AJ$324,$A277),"",$A277))</f>
        <v/>
      </c>
      <c r="AQ274" t="str">
        <f>IFERROR(INDEX(Liste_Handelsünger[Handelsdünger],_xlfn.AGGREGATE(15,6,(ROW(Liste_Handelsünger[Handelsdünger])-1)/(--(SEARCH(AR$2,Liste_Handelsünger[Handelsdünger])&gt;0)),ROW()-2),1),"")</f>
        <v>Rübenbruchstücke / Rübengrün</v>
      </c>
      <c r="AR274" t="str">
        <f>IF(($A278=""),"",IF(COUNTIF(Mineral!$AJ$3:$AJ$324,$A278),"",$A278))</f>
        <v/>
      </c>
      <c r="AS274" t="str">
        <f>IFERROR(INDEX(Liste_Handelsünger[Handelsdünger],_xlfn.AGGREGATE(15,6,(ROW(Liste_Handelsünger[Handelsdünger])-1)/(--(SEARCH(AT$2,Liste_Handelsünger[Handelsdünger])&gt;0)),ROW()-2),1),"")</f>
        <v>Rübenbruchstücke / Rübengrün</v>
      </c>
      <c r="AT274" t="str">
        <f>IF(($A279=""),"",IF(COUNTIF(Mineral!$AJ$3:$AJ$324,$A279),"",$A279))</f>
        <v/>
      </c>
      <c r="AU274" t="str">
        <f>IFERROR(INDEX(Liste_Handelsünger[Handelsdünger],_xlfn.AGGREGATE(15,6,(ROW(Liste_Handelsünger[Handelsdünger])-1)/(--(SEARCH(AV$2,Liste_Handelsünger[Handelsdünger])&gt;0)),ROW()-2),1),"")</f>
        <v>Rübenbruchstücke / Rübengrün</v>
      </c>
      <c r="AV274" t="str">
        <f>IF(($A280=""),"",IF(COUNTIF(Mineral!$AJ$3:$AJ$324,$A280),"",$A280))</f>
        <v/>
      </c>
      <c r="AW274" t="str">
        <f>IFERROR(INDEX(Liste_Handelsünger[Handelsdünger],_xlfn.AGGREGATE(15,6,(ROW(Liste_Handelsünger[Handelsdünger])-1)/(--(SEARCH(AX$2,Liste_Handelsünger[Handelsdünger])&gt;0)),ROW()-2),1),"")</f>
        <v>Rübenbruchstücke / Rübengrün</v>
      </c>
      <c r="AX274" t="str">
        <f>IF(($A281=""),"",IF(COUNTIF(Mineral!$AJ$3:$AJ$324,$A281),"",$A281))</f>
        <v/>
      </c>
      <c r="AY274" t="str">
        <f>IFERROR(INDEX(Liste_Handelsünger[Handelsdünger],_xlfn.AGGREGATE(15,6,(ROW(Liste_Handelsünger[Handelsdünger])-1)/(--(SEARCH(AZ$2,Liste_Handelsünger[Handelsdünger])&gt;0)),ROW()-2),1),"")</f>
        <v>Rübenbruchstücke / Rübengrün</v>
      </c>
      <c r="AZ274" t="str">
        <f>IF(($A282=""),"",IF(COUNTIF(Mineral!$AJ$3:$AJ$324,$A282),"",$A282))</f>
        <v/>
      </c>
      <c r="BA274" t="str">
        <f>IFERROR(INDEX(Liste_Handelsünger[Handelsdünger],_xlfn.AGGREGATE(15,6,(ROW(Liste_Handelsünger[Handelsdünger])-1)/(--(SEARCH(BB$2,Liste_Handelsünger[Handelsdünger])&gt;0)),ROW()-2),1),"")</f>
        <v>Rübenbruchstücke / Rübengrün</v>
      </c>
      <c r="BB274" t="str">
        <f>IF(($A283=""),"",IF(COUNTIF(Mineral!$AJ$3:$AJ$324,$A283),"",$A283))</f>
        <v/>
      </c>
      <c r="BC274" t="str">
        <f>IFERROR(INDEX(Liste_Handelsünger[Handelsdünger],_xlfn.AGGREGATE(15,6,(ROW(Liste_Handelsünger[Handelsdünger])-1)/(--(SEARCH(BD$2,Liste_Handelsünger[Handelsdünger])&gt;0)),ROW()-2),1),"")</f>
        <v>Rübenbruchstücke / Rübengrün</v>
      </c>
      <c r="BD274" t="str">
        <f>IF(($A284=""),"",IF(COUNTIF(Mineral!$AJ$3:$AJ$324,$A284),"",$A284))</f>
        <v/>
      </c>
      <c r="BE274" t="str">
        <f>IFERROR(INDEX(Liste_Handelsünger[Handelsdünger],_xlfn.AGGREGATE(15,6,(ROW(Liste_Handelsünger[Handelsdünger])-1)/(--(SEARCH(BF$2,Liste_Handelsünger[Handelsdünger])&gt;0)),ROW()-2),1),"")</f>
        <v>Rübenbruchstücke / Rübengrün</v>
      </c>
      <c r="BF274" t="str">
        <f>IF(($A285=""),"",IF(COUNTIF(Mineral!$AJ$3:$AJ$324,$A285),"",$A285))</f>
        <v/>
      </c>
      <c r="BG274" t="str">
        <f>IFERROR(INDEX(Liste_Handelsünger[Handelsdünger],_xlfn.AGGREGATE(15,6,(ROW(Liste_Handelsünger[Handelsdünger])-1)/(--(SEARCH(BH$2,Liste_Handelsünger[Handelsdünger])&gt;0)),ROW()-2),1),"")</f>
        <v>Rübenbruchstücke / Rübengrün</v>
      </c>
      <c r="BH274" t="str">
        <f>IF(($A286=""),"",IF(COUNTIF(Mineral!$AJ$3:$AJ$324,$A286),"",$A286))</f>
        <v/>
      </c>
      <c r="BI274" t="str">
        <f>IFERROR(INDEX(Liste_Handelsünger[Handelsdünger],_xlfn.AGGREGATE(15,6,(ROW(Liste_Handelsünger[Handelsdünger])-1)/(--(SEARCH(BJ$2,Liste_Handelsünger[Handelsdünger])&gt;0)),ROW()-2),1),"")</f>
        <v>Rübenbruchstücke / Rübengrün</v>
      </c>
      <c r="BJ274" t="str">
        <f>IF(($A287=""),"",IF(COUNTIF(Mineral!$AJ$3:$AJ$324,$A287),"",$A287))</f>
        <v/>
      </c>
      <c r="BK274" t="str">
        <f>IFERROR(INDEX(Liste_Handelsünger[Handelsdünger],_xlfn.AGGREGATE(15,6,(ROW(Liste_Handelsünger[Handelsdünger])-1)/(--(SEARCH(BL$2,Liste_Handelsünger[Handelsdünger])&gt;0)),ROW()-2),1),"")</f>
        <v>Rübenbruchstücke / Rübengrün</v>
      </c>
      <c r="BM274" t="str">
        <f>IFERROR(INDEX(Liste_Handelsünger[Handelsdünger],_xlfn.AGGREGATE(15,6,(ROW(Liste_Handelsünger[Handelsdünger])-1)/(--(SEARCH(BN$2,Liste_Handelsünger[Handelsdünger])&gt;0)),ROW()-2),1),"")</f>
        <v>Rübenbruchstücke / Rübengrün</v>
      </c>
      <c r="BN274" t="str">
        <f>IF(($A289=""),"",IF(COUNTIF(Mineral!$AJ$3:$AJ$324,$A289),"",$A289))</f>
        <v/>
      </c>
      <c r="BV274" t="s">
        <v>2256</v>
      </c>
      <c r="BW274" t="s">
        <v>2208</v>
      </c>
      <c r="BZ274" s="1602"/>
      <c r="CA274" s="1602"/>
      <c r="CB274" s="1602"/>
    </row>
    <row r="275" spans="19:80" ht="14.25" thickTop="1" thickBot="1">
      <c r="S275" s="1616">
        <v>274</v>
      </c>
      <c r="T275" s="1617" t="s">
        <v>2006</v>
      </c>
      <c r="U275" s="1617" t="s">
        <v>2257</v>
      </c>
      <c r="V275" s="1617" t="s">
        <v>408</v>
      </c>
      <c r="W275" s="1617">
        <v>0</v>
      </c>
      <c r="X275" s="1617">
        <v>0</v>
      </c>
      <c r="Y275" s="1617">
        <v>0</v>
      </c>
      <c r="Z275" s="1617">
        <v>90</v>
      </c>
      <c r="AA275" s="1617">
        <v>0</v>
      </c>
      <c r="AB275" s="1617">
        <v>0</v>
      </c>
      <c r="AC275" s="1617">
        <v>1</v>
      </c>
      <c r="AD275" s="1613">
        <v>1</v>
      </c>
      <c r="AE275" s="1617" t="s">
        <v>1764</v>
      </c>
      <c r="AF275" s="1613" t="str">
        <f t="shared" si="21"/>
        <v/>
      </c>
      <c r="AG275" s="1656">
        <f>IFERROR(IF($AF275&gt;0,VLOOKUP($U275,Tabelle1!$C$188:$L$212,5,0)*$AF275,0),0)</f>
        <v>0</v>
      </c>
      <c r="AH275" s="1656">
        <f t="shared" si="22"/>
        <v>0</v>
      </c>
      <c r="AJ275" t="str">
        <f>IF(Betrieb!$D$9="JA",Mineral!$BW275,Mineral!$BV275)</f>
        <v>SCHWEDOKAL® 90 Granulat</v>
      </c>
      <c r="AK275" s="1672" t="str">
        <f>IFERROR(INDEX(Liste_Handelsünger[Handelsdünger],_xlfn.AGGREGATE(15,6,(ROW(Liste_Handelsünger[Handelsdünger])-1)/(--(SEARCH(AL$2,Liste_Handelsünger[Handelsdünger])&gt;0)),ROW()-2),1),"")</f>
        <v>SCHWEDOKAL® 90 Granulat</v>
      </c>
      <c r="AL275" s="1672" t="str">
        <f>IF(($A$3=""),"",IF(COUNTIF(Mineral!$AJ$3:$AJ$324,$A$3),"",$A$3))</f>
        <v/>
      </c>
      <c r="AM275" s="1672" t="str">
        <f>IFERROR(INDEX(Liste_Handelsünger[Handelsdünger],_xlfn.AGGREGATE(15,6,(ROW(Liste_Handelsünger[Handelsdünger])-1)/(--(SEARCH(AN$2,Liste_Handelsünger[Handelsdünger])&gt;0)),ROW()-2),1),"")</f>
        <v>SCHWEDOKAL® 90 Granulat</v>
      </c>
      <c r="AN275" t="str">
        <f>IF(($A277=""),"",IF(COUNTIF(Mineral!$AJ$3:$AJ$324,$A277),"",$A277))</f>
        <v/>
      </c>
      <c r="AO275" t="str">
        <f>IFERROR(INDEX(Liste_Handelsünger[Handelsdünger],_xlfn.AGGREGATE(15,6,(ROW(Liste_Handelsünger[Handelsdünger])-1)/(--(SEARCH(AP$2,Liste_Handelsünger[Handelsdünger])&gt;0)),ROW()-2),1),"")</f>
        <v>SCHWEDOKAL® 90 Granulat</v>
      </c>
      <c r="AP275" t="str">
        <f>IF(($A278=""),"",IF(COUNTIF(Mineral!$AJ$3:$AJ$324,$A278),"",$A278))</f>
        <v/>
      </c>
      <c r="AQ275" t="str">
        <f>IFERROR(INDEX(Liste_Handelsünger[Handelsdünger],_xlfn.AGGREGATE(15,6,(ROW(Liste_Handelsünger[Handelsdünger])-1)/(--(SEARCH(AR$2,Liste_Handelsünger[Handelsdünger])&gt;0)),ROW()-2),1),"")</f>
        <v>SCHWEDOKAL® 90 Granulat</v>
      </c>
      <c r="AR275" t="str">
        <f>IF(($A279=""),"",IF(COUNTIF(Mineral!$AJ$3:$AJ$324,$A279),"",$A279))</f>
        <v/>
      </c>
      <c r="AS275" t="str">
        <f>IFERROR(INDEX(Liste_Handelsünger[Handelsdünger],_xlfn.AGGREGATE(15,6,(ROW(Liste_Handelsünger[Handelsdünger])-1)/(--(SEARCH(AT$2,Liste_Handelsünger[Handelsdünger])&gt;0)),ROW()-2),1),"")</f>
        <v>SCHWEDOKAL® 90 Granulat</v>
      </c>
      <c r="AT275" t="str">
        <f>IF(($A280=""),"",IF(COUNTIF(Mineral!$AJ$3:$AJ$324,$A280),"",$A280))</f>
        <v/>
      </c>
      <c r="AU275" t="str">
        <f>IFERROR(INDEX(Liste_Handelsünger[Handelsdünger],_xlfn.AGGREGATE(15,6,(ROW(Liste_Handelsünger[Handelsdünger])-1)/(--(SEARCH(AV$2,Liste_Handelsünger[Handelsdünger])&gt;0)),ROW()-2),1),"")</f>
        <v>SCHWEDOKAL® 90 Granulat</v>
      </c>
      <c r="AV275" t="str">
        <f>IF(($A281=""),"",IF(COUNTIF(Mineral!$AJ$3:$AJ$324,$A281),"",$A281))</f>
        <v/>
      </c>
      <c r="AW275" t="str">
        <f>IFERROR(INDEX(Liste_Handelsünger[Handelsdünger],_xlfn.AGGREGATE(15,6,(ROW(Liste_Handelsünger[Handelsdünger])-1)/(--(SEARCH(AX$2,Liste_Handelsünger[Handelsdünger])&gt;0)),ROW()-2),1),"")</f>
        <v>SCHWEDOKAL® 90 Granulat</v>
      </c>
      <c r="AX275" t="str">
        <f>IF(($A282=""),"",IF(COUNTIF(Mineral!$AJ$3:$AJ$324,$A282),"",$A282))</f>
        <v/>
      </c>
      <c r="AY275" t="str">
        <f>IFERROR(INDEX(Liste_Handelsünger[Handelsdünger],_xlfn.AGGREGATE(15,6,(ROW(Liste_Handelsünger[Handelsdünger])-1)/(--(SEARCH(AZ$2,Liste_Handelsünger[Handelsdünger])&gt;0)),ROW()-2),1),"")</f>
        <v>SCHWEDOKAL® 90 Granulat</v>
      </c>
      <c r="AZ275" t="str">
        <f>IF(($A283=""),"",IF(COUNTIF(Mineral!$AJ$3:$AJ$324,$A283),"",$A283))</f>
        <v/>
      </c>
      <c r="BA275" t="str">
        <f>IFERROR(INDEX(Liste_Handelsünger[Handelsdünger],_xlfn.AGGREGATE(15,6,(ROW(Liste_Handelsünger[Handelsdünger])-1)/(--(SEARCH(BB$2,Liste_Handelsünger[Handelsdünger])&gt;0)),ROW()-2),1),"")</f>
        <v>SCHWEDOKAL® 90 Granulat</v>
      </c>
      <c r="BB275" t="str">
        <f>IF(($A284=""),"",IF(COUNTIF(Mineral!$AJ$3:$AJ$324,$A284),"",$A284))</f>
        <v/>
      </c>
      <c r="BC275" t="str">
        <f>IFERROR(INDEX(Liste_Handelsünger[Handelsdünger],_xlfn.AGGREGATE(15,6,(ROW(Liste_Handelsünger[Handelsdünger])-1)/(--(SEARCH(BD$2,Liste_Handelsünger[Handelsdünger])&gt;0)),ROW()-2),1),"")</f>
        <v>SCHWEDOKAL® 90 Granulat</v>
      </c>
      <c r="BD275" t="str">
        <f>IF(($A285=""),"",IF(COUNTIF(Mineral!$AJ$3:$AJ$324,$A285),"",$A285))</f>
        <v/>
      </c>
      <c r="BE275" t="str">
        <f>IFERROR(INDEX(Liste_Handelsünger[Handelsdünger],_xlfn.AGGREGATE(15,6,(ROW(Liste_Handelsünger[Handelsdünger])-1)/(--(SEARCH(BF$2,Liste_Handelsünger[Handelsdünger])&gt;0)),ROW()-2),1),"")</f>
        <v>SCHWEDOKAL® 90 Granulat</v>
      </c>
      <c r="BF275" t="str">
        <f>IF(($A286=""),"",IF(COUNTIF(Mineral!$AJ$3:$AJ$324,$A286),"",$A286))</f>
        <v/>
      </c>
      <c r="BG275" t="str">
        <f>IFERROR(INDEX(Liste_Handelsünger[Handelsdünger],_xlfn.AGGREGATE(15,6,(ROW(Liste_Handelsünger[Handelsdünger])-1)/(--(SEARCH(BH$2,Liste_Handelsünger[Handelsdünger])&gt;0)),ROW()-2),1),"")</f>
        <v>SCHWEDOKAL® 90 Granulat</v>
      </c>
      <c r="BH275" t="str">
        <f>IF(($A287=""),"",IF(COUNTIF(Mineral!$AJ$3:$AJ$324,$A287),"",$A287))</f>
        <v/>
      </c>
      <c r="BI275" t="str">
        <f>IFERROR(INDEX(Liste_Handelsünger[Handelsdünger],_xlfn.AGGREGATE(15,6,(ROW(Liste_Handelsünger[Handelsdünger])-1)/(--(SEARCH(BJ$2,Liste_Handelsünger[Handelsdünger])&gt;0)),ROW()-2),1),"")</f>
        <v>SCHWEDOKAL® 90 Granulat</v>
      </c>
      <c r="BJ275" t="str">
        <f>IF(($A288=""),"",IF(COUNTIF(Mineral!$AJ$3:$AJ$324,$A288),"",$A288))</f>
        <v/>
      </c>
      <c r="BK275" t="str">
        <f>IFERROR(INDEX(Liste_Handelsünger[Handelsdünger],_xlfn.AGGREGATE(15,6,(ROW(Liste_Handelsünger[Handelsdünger])-1)/(--(SEARCH(BL$2,Liste_Handelsünger[Handelsdünger])&gt;0)),ROW()-2),1),"")</f>
        <v>SCHWEDOKAL® 90 Granulat</v>
      </c>
      <c r="BM275" t="str">
        <f>IFERROR(INDEX(Liste_Handelsünger[Handelsdünger],_xlfn.AGGREGATE(15,6,(ROW(Liste_Handelsünger[Handelsdünger])-1)/(--(SEARCH(BN$2,Liste_Handelsünger[Handelsdünger])&gt;0)),ROW()-2),1),"")</f>
        <v>SCHWEDOKAL® 90 Granulat</v>
      </c>
      <c r="BN275" t="str">
        <f>IF(($A290=""),"",IF(COUNTIF(Mineral!$AJ$3:$AJ$324,$A290),"",$A290))</f>
        <v/>
      </c>
      <c r="BV275" t="s">
        <v>2257</v>
      </c>
      <c r="BW275" t="s">
        <v>2211</v>
      </c>
      <c r="BZ275" s="1602"/>
      <c r="CA275" s="1602"/>
      <c r="CB275" s="1602"/>
    </row>
    <row r="276" spans="19:80" ht="14.25" thickTop="1" thickBot="1">
      <c r="S276" s="1676">
        <v>275</v>
      </c>
      <c r="T276" s="1606" t="s">
        <v>2006</v>
      </c>
      <c r="U276" s="1606" t="s">
        <v>2258</v>
      </c>
      <c r="V276" s="1606" t="s">
        <v>408</v>
      </c>
      <c r="W276" s="1606">
        <v>0</v>
      </c>
      <c r="X276" s="1606">
        <v>0</v>
      </c>
      <c r="Y276" s="1606">
        <v>0</v>
      </c>
      <c r="Z276" s="1606">
        <v>46.1</v>
      </c>
      <c r="AA276" s="1606">
        <v>0</v>
      </c>
      <c r="AB276" s="1606">
        <v>0</v>
      </c>
      <c r="AC276" s="1606">
        <v>1</v>
      </c>
      <c r="AD276" s="1613">
        <v>1</v>
      </c>
      <c r="AE276" s="1606" t="s">
        <v>1764</v>
      </c>
      <c r="AF276" s="1613" t="str">
        <f t="shared" si="21"/>
        <v/>
      </c>
      <c r="AG276" s="1656">
        <f>IFERROR(IF($AF276&gt;0,VLOOKUP($U276,Tabelle1!$C$188:$L$212,5,0)*$AF276,0),0)</f>
        <v>0</v>
      </c>
      <c r="AH276" s="1656">
        <f t="shared" si="22"/>
        <v>0</v>
      </c>
      <c r="AJ276" t="str">
        <f>IF(Betrieb!$D$9="JA",Mineral!$BW276,Mineral!$BV276)</f>
        <v>SCHWEFAL flüssig</v>
      </c>
      <c r="AK276" s="1672" t="str">
        <f>IFERROR(INDEX(Liste_Handelsünger[Handelsdünger],_xlfn.AGGREGATE(15,6,(ROW(Liste_Handelsünger[Handelsdünger])-1)/(--(SEARCH(AL$2,Liste_Handelsünger[Handelsdünger])&gt;0)),ROW()-2),1),"")</f>
        <v>SCHWEFAL flüssig</v>
      </c>
      <c r="AL276" s="1672" t="str">
        <f>IF(($A$3=""),"",IF(COUNTIF(Mineral!$AJ$3:$AJ$324,$A$3),"",$A$3))</f>
        <v/>
      </c>
      <c r="AM276" s="1672" t="str">
        <f>IFERROR(INDEX(Liste_Handelsünger[Handelsdünger],_xlfn.AGGREGATE(15,6,(ROW(Liste_Handelsünger[Handelsdünger])-1)/(--(SEARCH(AN$2,Liste_Handelsünger[Handelsdünger])&gt;0)),ROW()-2),1),"")</f>
        <v>SCHWEFAL flüssig</v>
      </c>
      <c r="AN276" t="str">
        <f>IF(($A278=""),"",IF(COUNTIF(Mineral!$AJ$3:$AJ$324,$A278),"",$A278))</f>
        <v/>
      </c>
      <c r="AO276" t="str">
        <f>IFERROR(INDEX(Liste_Handelsünger[Handelsdünger],_xlfn.AGGREGATE(15,6,(ROW(Liste_Handelsünger[Handelsdünger])-1)/(--(SEARCH(AP$2,Liste_Handelsünger[Handelsdünger])&gt;0)),ROW()-2),1),"")</f>
        <v>SCHWEFAL flüssig</v>
      </c>
      <c r="AP276" t="str">
        <f>IF(($A279=""),"",IF(COUNTIF(Mineral!$AJ$3:$AJ$324,$A279),"",$A279))</f>
        <v/>
      </c>
      <c r="AQ276" t="str">
        <f>IFERROR(INDEX(Liste_Handelsünger[Handelsdünger],_xlfn.AGGREGATE(15,6,(ROW(Liste_Handelsünger[Handelsdünger])-1)/(--(SEARCH(AR$2,Liste_Handelsünger[Handelsdünger])&gt;0)),ROW()-2),1),"")</f>
        <v>SCHWEFAL flüssig</v>
      </c>
      <c r="AR276" t="str">
        <f>IF(($A280=""),"",IF(COUNTIF(Mineral!$AJ$3:$AJ$324,$A280),"",$A280))</f>
        <v/>
      </c>
      <c r="AS276" t="str">
        <f>IFERROR(INDEX(Liste_Handelsünger[Handelsdünger],_xlfn.AGGREGATE(15,6,(ROW(Liste_Handelsünger[Handelsdünger])-1)/(--(SEARCH(AT$2,Liste_Handelsünger[Handelsdünger])&gt;0)),ROW()-2),1),"")</f>
        <v>SCHWEFAL flüssig</v>
      </c>
      <c r="AT276" t="str">
        <f>IF(($A281=""),"",IF(COUNTIF(Mineral!$AJ$3:$AJ$324,$A281),"",$A281))</f>
        <v/>
      </c>
      <c r="AU276" t="str">
        <f>IFERROR(INDEX(Liste_Handelsünger[Handelsdünger],_xlfn.AGGREGATE(15,6,(ROW(Liste_Handelsünger[Handelsdünger])-1)/(--(SEARCH(AV$2,Liste_Handelsünger[Handelsdünger])&gt;0)),ROW()-2),1),"")</f>
        <v>SCHWEFAL flüssig</v>
      </c>
      <c r="AV276" t="str">
        <f>IF(($A282=""),"",IF(COUNTIF(Mineral!$AJ$3:$AJ$324,$A282),"",$A282))</f>
        <v/>
      </c>
      <c r="AW276" t="str">
        <f>IFERROR(INDEX(Liste_Handelsünger[Handelsdünger],_xlfn.AGGREGATE(15,6,(ROW(Liste_Handelsünger[Handelsdünger])-1)/(--(SEARCH(AX$2,Liste_Handelsünger[Handelsdünger])&gt;0)),ROW()-2),1),"")</f>
        <v>SCHWEFAL flüssig</v>
      </c>
      <c r="AX276" t="str">
        <f>IF(($A283=""),"",IF(COUNTIF(Mineral!$AJ$3:$AJ$324,$A283),"",$A283))</f>
        <v/>
      </c>
      <c r="AY276" t="str">
        <f>IFERROR(INDEX(Liste_Handelsünger[Handelsdünger],_xlfn.AGGREGATE(15,6,(ROW(Liste_Handelsünger[Handelsdünger])-1)/(--(SEARCH(AZ$2,Liste_Handelsünger[Handelsdünger])&gt;0)),ROW()-2),1),"")</f>
        <v>SCHWEFAL flüssig</v>
      </c>
      <c r="AZ276" t="str">
        <f>IF(($A284=""),"",IF(COUNTIF(Mineral!$AJ$3:$AJ$324,$A284),"",$A284))</f>
        <v/>
      </c>
      <c r="BA276" t="str">
        <f>IFERROR(INDEX(Liste_Handelsünger[Handelsdünger],_xlfn.AGGREGATE(15,6,(ROW(Liste_Handelsünger[Handelsdünger])-1)/(--(SEARCH(BB$2,Liste_Handelsünger[Handelsdünger])&gt;0)),ROW()-2),1),"")</f>
        <v>SCHWEFAL flüssig</v>
      </c>
      <c r="BB276" t="str">
        <f>IF(($A285=""),"",IF(COUNTIF(Mineral!$AJ$3:$AJ$324,$A285),"",$A285))</f>
        <v/>
      </c>
      <c r="BC276" t="str">
        <f>IFERROR(INDEX(Liste_Handelsünger[Handelsdünger],_xlfn.AGGREGATE(15,6,(ROW(Liste_Handelsünger[Handelsdünger])-1)/(--(SEARCH(BD$2,Liste_Handelsünger[Handelsdünger])&gt;0)),ROW()-2),1),"")</f>
        <v>SCHWEFAL flüssig</v>
      </c>
      <c r="BD276" t="str">
        <f>IF(($A286=""),"",IF(COUNTIF(Mineral!$AJ$3:$AJ$324,$A286),"",$A286))</f>
        <v/>
      </c>
      <c r="BE276" t="str">
        <f>IFERROR(INDEX(Liste_Handelsünger[Handelsdünger],_xlfn.AGGREGATE(15,6,(ROW(Liste_Handelsünger[Handelsdünger])-1)/(--(SEARCH(BF$2,Liste_Handelsünger[Handelsdünger])&gt;0)),ROW()-2),1),"")</f>
        <v>SCHWEFAL flüssig</v>
      </c>
      <c r="BF276" t="str">
        <f>IF(($A287=""),"",IF(COUNTIF(Mineral!$AJ$3:$AJ$324,$A287),"",$A287))</f>
        <v/>
      </c>
      <c r="BG276" t="str">
        <f>IFERROR(INDEX(Liste_Handelsünger[Handelsdünger],_xlfn.AGGREGATE(15,6,(ROW(Liste_Handelsünger[Handelsdünger])-1)/(--(SEARCH(BH$2,Liste_Handelsünger[Handelsdünger])&gt;0)),ROW()-2),1),"")</f>
        <v>SCHWEFAL flüssig</v>
      </c>
      <c r="BH276" t="str">
        <f>IF(($A288=""),"",IF(COUNTIF(Mineral!$AJ$3:$AJ$324,$A288),"",$A288))</f>
        <v/>
      </c>
      <c r="BI276" t="str">
        <f>IFERROR(INDEX(Liste_Handelsünger[Handelsdünger],_xlfn.AGGREGATE(15,6,(ROW(Liste_Handelsünger[Handelsdünger])-1)/(--(SEARCH(BJ$2,Liste_Handelsünger[Handelsdünger])&gt;0)),ROW()-2),1),"")</f>
        <v>SCHWEFAL flüssig</v>
      </c>
      <c r="BJ276" t="str">
        <f>IF(($A289=""),"",IF(COUNTIF(Mineral!$AJ$3:$AJ$324,$A289),"",$A289))</f>
        <v/>
      </c>
      <c r="BK276" t="str">
        <f>IFERROR(INDEX(Liste_Handelsünger[Handelsdünger],_xlfn.AGGREGATE(15,6,(ROW(Liste_Handelsünger[Handelsdünger])-1)/(--(SEARCH(BL$2,Liste_Handelsünger[Handelsdünger])&gt;0)),ROW()-2),1),"")</f>
        <v>SCHWEFAL flüssig</v>
      </c>
      <c r="BM276" t="str">
        <f>IFERROR(INDEX(Liste_Handelsünger[Handelsdünger],_xlfn.AGGREGATE(15,6,(ROW(Liste_Handelsünger[Handelsdünger])-1)/(--(SEARCH(BN$2,Liste_Handelsünger[Handelsdünger])&gt;0)),ROW()-2),1),"")</f>
        <v>SCHWEFAL flüssig</v>
      </c>
      <c r="BN276" t="str">
        <f>IF(($A291=""),"",IF(COUNTIF(Mineral!$AJ$3:$AJ$324,$A291),"",$A291))</f>
        <v/>
      </c>
      <c r="BV276" t="s">
        <v>2258</v>
      </c>
      <c r="BW276" t="s">
        <v>2212</v>
      </c>
      <c r="BZ276" s="1602"/>
      <c r="CA276" s="1602"/>
      <c r="CB276" s="1602"/>
    </row>
    <row r="277" spans="19:80" ht="14.25" thickTop="1" thickBot="1">
      <c r="S277" s="1616">
        <v>276</v>
      </c>
      <c r="T277" s="1617" t="s">
        <v>2006</v>
      </c>
      <c r="U277" s="1617" t="s">
        <v>2259</v>
      </c>
      <c r="V277" s="1617" t="s">
        <v>408</v>
      </c>
      <c r="W277" s="1617">
        <v>0</v>
      </c>
      <c r="X277" s="1617">
        <v>0</v>
      </c>
      <c r="Y277" s="1617">
        <v>0</v>
      </c>
      <c r="Z277" s="1617">
        <v>87</v>
      </c>
      <c r="AA277" s="1617">
        <v>0</v>
      </c>
      <c r="AB277" s="1617">
        <v>0</v>
      </c>
      <c r="AC277" s="1617">
        <v>1</v>
      </c>
      <c r="AD277" s="1613">
        <v>1</v>
      </c>
      <c r="AE277" s="1617" t="s">
        <v>1764</v>
      </c>
      <c r="AF277" s="1613" t="str">
        <f t="shared" si="21"/>
        <v/>
      </c>
      <c r="AG277" s="1656">
        <f>IFERROR(IF($AF277&gt;0,VLOOKUP($U277,Tabelle1!$C$188:$L$212,5,0)*$AF277,0),0)</f>
        <v>0</v>
      </c>
      <c r="AH277" s="1656">
        <f t="shared" si="22"/>
        <v>0</v>
      </c>
      <c r="AJ277" t="str">
        <f>IF(Betrieb!$D$9="JA",Mineral!$BW277,Mineral!$BV277)</f>
        <v>SCHWEFAL-Schwefel-Linsen</v>
      </c>
      <c r="AK277" s="1672" t="str">
        <f>IFERROR(INDEX(Liste_Handelsünger[Handelsdünger],_xlfn.AGGREGATE(15,6,(ROW(Liste_Handelsünger[Handelsdünger])-1)/(--(SEARCH(AL$2,Liste_Handelsünger[Handelsdünger])&gt;0)),ROW()-2),1),"")</f>
        <v>SCHWEFAL-Schwefel-Linsen</v>
      </c>
      <c r="AL277" s="1672" t="str">
        <f>IF(($A$3=""),"",IF(COUNTIF(Mineral!$AJ$3:$AJ$324,$A$3),"",$A$3))</f>
        <v/>
      </c>
      <c r="AM277" s="1672" t="str">
        <f>IFERROR(INDEX(Liste_Handelsünger[Handelsdünger],_xlfn.AGGREGATE(15,6,(ROW(Liste_Handelsünger[Handelsdünger])-1)/(--(SEARCH(AN$2,Liste_Handelsünger[Handelsdünger])&gt;0)),ROW()-2),1),"")</f>
        <v>SCHWEFAL-Schwefel-Linsen</v>
      </c>
      <c r="AN277" t="str">
        <f>IF(($A279=""),"",IF(COUNTIF(Mineral!$AJ$3:$AJ$324,$A279),"",$A279))</f>
        <v/>
      </c>
      <c r="AO277" t="str">
        <f>IFERROR(INDEX(Liste_Handelsünger[Handelsdünger],_xlfn.AGGREGATE(15,6,(ROW(Liste_Handelsünger[Handelsdünger])-1)/(--(SEARCH(AP$2,Liste_Handelsünger[Handelsdünger])&gt;0)),ROW()-2),1),"")</f>
        <v>SCHWEFAL-Schwefel-Linsen</v>
      </c>
      <c r="AP277" t="str">
        <f>IF(($A280=""),"",IF(COUNTIF(Mineral!$AJ$3:$AJ$324,$A280),"",$A280))</f>
        <v/>
      </c>
      <c r="AQ277" t="str">
        <f>IFERROR(INDEX(Liste_Handelsünger[Handelsdünger],_xlfn.AGGREGATE(15,6,(ROW(Liste_Handelsünger[Handelsdünger])-1)/(--(SEARCH(AR$2,Liste_Handelsünger[Handelsdünger])&gt;0)),ROW()-2),1),"")</f>
        <v>SCHWEFAL-Schwefel-Linsen</v>
      </c>
      <c r="AR277" t="str">
        <f>IF(($A281=""),"",IF(COUNTIF(Mineral!$AJ$3:$AJ$324,$A281),"",$A281))</f>
        <v/>
      </c>
      <c r="AS277" t="str">
        <f>IFERROR(INDEX(Liste_Handelsünger[Handelsdünger],_xlfn.AGGREGATE(15,6,(ROW(Liste_Handelsünger[Handelsdünger])-1)/(--(SEARCH(AT$2,Liste_Handelsünger[Handelsdünger])&gt;0)),ROW()-2),1),"")</f>
        <v>SCHWEFAL-Schwefel-Linsen</v>
      </c>
      <c r="AT277" t="str">
        <f>IF(($A282=""),"",IF(COUNTIF(Mineral!$AJ$3:$AJ$324,$A282),"",$A282))</f>
        <v/>
      </c>
      <c r="AU277" t="str">
        <f>IFERROR(INDEX(Liste_Handelsünger[Handelsdünger],_xlfn.AGGREGATE(15,6,(ROW(Liste_Handelsünger[Handelsdünger])-1)/(--(SEARCH(AV$2,Liste_Handelsünger[Handelsdünger])&gt;0)),ROW()-2),1),"")</f>
        <v>SCHWEFAL-Schwefel-Linsen</v>
      </c>
      <c r="AV277" t="str">
        <f>IF(($A283=""),"",IF(COUNTIF(Mineral!$AJ$3:$AJ$324,$A283),"",$A283))</f>
        <v/>
      </c>
      <c r="AW277" t="str">
        <f>IFERROR(INDEX(Liste_Handelsünger[Handelsdünger],_xlfn.AGGREGATE(15,6,(ROW(Liste_Handelsünger[Handelsdünger])-1)/(--(SEARCH(AX$2,Liste_Handelsünger[Handelsdünger])&gt;0)),ROW()-2),1),"")</f>
        <v>SCHWEFAL-Schwefel-Linsen</v>
      </c>
      <c r="AX277" t="str">
        <f>IF(($A284=""),"",IF(COUNTIF(Mineral!$AJ$3:$AJ$324,$A284),"",$A284))</f>
        <v/>
      </c>
      <c r="AY277" t="str">
        <f>IFERROR(INDEX(Liste_Handelsünger[Handelsdünger],_xlfn.AGGREGATE(15,6,(ROW(Liste_Handelsünger[Handelsdünger])-1)/(--(SEARCH(AZ$2,Liste_Handelsünger[Handelsdünger])&gt;0)),ROW()-2),1),"")</f>
        <v>SCHWEFAL-Schwefel-Linsen</v>
      </c>
      <c r="AZ277" t="str">
        <f>IF(($A285=""),"",IF(COUNTIF(Mineral!$AJ$3:$AJ$324,$A285),"",$A285))</f>
        <v/>
      </c>
      <c r="BA277" t="str">
        <f>IFERROR(INDEX(Liste_Handelsünger[Handelsdünger],_xlfn.AGGREGATE(15,6,(ROW(Liste_Handelsünger[Handelsdünger])-1)/(--(SEARCH(BB$2,Liste_Handelsünger[Handelsdünger])&gt;0)),ROW()-2),1),"")</f>
        <v>SCHWEFAL-Schwefel-Linsen</v>
      </c>
      <c r="BB277" t="str">
        <f>IF(($A286=""),"",IF(COUNTIF(Mineral!$AJ$3:$AJ$324,$A286),"",$A286))</f>
        <v/>
      </c>
      <c r="BC277" t="str">
        <f>IFERROR(INDEX(Liste_Handelsünger[Handelsdünger],_xlfn.AGGREGATE(15,6,(ROW(Liste_Handelsünger[Handelsdünger])-1)/(--(SEARCH(BD$2,Liste_Handelsünger[Handelsdünger])&gt;0)),ROW()-2),1),"")</f>
        <v>SCHWEFAL-Schwefel-Linsen</v>
      </c>
      <c r="BD277" t="str">
        <f>IF(($A287=""),"",IF(COUNTIF(Mineral!$AJ$3:$AJ$324,$A287),"",$A287))</f>
        <v/>
      </c>
      <c r="BE277" t="str">
        <f>IFERROR(INDEX(Liste_Handelsünger[Handelsdünger],_xlfn.AGGREGATE(15,6,(ROW(Liste_Handelsünger[Handelsdünger])-1)/(--(SEARCH(BF$2,Liste_Handelsünger[Handelsdünger])&gt;0)),ROW()-2),1),"")</f>
        <v>SCHWEFAL-Schwefel-Linsen</v>
      </c>
      <c r="BF277" t="str">
        <f>IF(($A288=""),"",IF(COUNTIF(Mineral!$AJ$3:$AJ$324,$A288),"",$A288))</f>
        <v/>
      </c>
      <c r="BG277" t="str">
        <f>IFERROR(INDEX(Liste_Handelsünger[Handelsdünger],_xlfn.AGGREGATE(15,6,(ROW(Liste_Handelsünger[Handelsdünger])-1)/(--(SEARCH(BH$2,Liste_Handelsünger[Handelsdünger])&gt;0)),ROW()-2),1),"")</f>
        <v>SCHWEFAL-Schwefel-Linsen</v>
      </c>
      <c r="BH277" t="str">
        <f>IF(($A289=""),"",IF(COUNTIF(Mineral!$AJ$3:$AJ$324,$A289),"",$A289))</f>
        <v/>
      </c>
      <c r="BI277" t="str">
        <f>IFERROR(INDEX(Liste_Handelsünger[Handelsdünger],_xlfn.AGGREGATE(15,6,(ROW(Liste_Handelsünger[Handelsdünger])-1)/(--(SEARCH(BJ$2,Liste_Handelsünger[Handelsdünger])&gt;0)),ROW()-2),1),"")</f>
        <v>SCHWEFAL-Schwefel-Linsen</v>
      </c>
      <c r="BJ277" t="str">
        <f>IF(($A290=""),"",IF(COUNTIF(Mineral!$AJ$3:$AJ$324,$A290),"",$A290))</f>
        <v/>
      </c>
      <c r="BK277" t="str">
        <f>IFERROR(INDEX(Liste_Handelsünger[Handelsdünger],_xlfn.AGGREGATE(15,6,(ROW(Liste_Handelsünger[Handelsdünger])-1)/(--(SEARCH(BL$2,Liste_Handelsünger[Handelsdünger])&gt;0)),ROW()-2),1),"")</f>
        <v>SCHWEFAL-Schwefel-Linsen</v>
      </c>
      <c r="BM277" t="str">
        <f>IFERROR(INDEX(Liste_Handelsünger[Handelsdünger],_xlfn.AGGREGATE(15,6,(ROW(Liste_Handelsünger[Handelsdünger])-1)/(--(SEARCH(BN$2,Liste_Handelsünger[Handelsdünger])&gt;0)),ROW()-2),1),"")</f>
        <v>SCHWEFAL-Schwefel-Linsen</v>
      </c>
      <c r="BN277" t="str">
        <f>IF(($A292=""),"",IF(COUNTIF(Mineral!$AJ$3:$AJ$324,$A292),"",$A292))</f>
        <v/>
      </c>
      <c r="BV277" t="s">
        <v>2259</v>
      </c>
      <c r="BW277" t="s">
        <v>2214</v>
      </c>
      <c r="BZ277" s="1602"/>
      <c r="CA277" s="1602"/>
      <c r="CB277" s="1602"/>
    </row>
    <row r="278" spans="19:80" ht="14.25" thickTop="1" thickBot="1">
      <c r="S278" s="1676">
        <v>277</v>
      </c>
      <c r="T278" s="1606" t="s">
        <v>2006</v>
      </c>
      <c r="U278" s="1606" t="s">
        <v>2260</v>
      </c>
      <c r="V278" s="1606" t="s">
        <v>408</v>
      </c>
      <c r="W278" s="1606">
        <v>1.3</v>
      </c>
      <c r="X278" s="1606">
        <v>1.37</v>
      </c>
      <c r="Y278" s="1606">
        <v>0.97</v>
      </c>
      <c r="Z278" s="1606"/>
      <c r="AA278" s="1606"/>
      <c r="AB278" s="1606"/>
      <c r="AC278" s="1606">
        <v>0.5</v>
      </c>
      <c r="AD278" s="1613">
        <v>0.91</v>
      </c>
      <c r="AE278" s="1606" t="s">
        <v>2037</v>
      </c>
      <c r="AF278" s="1613" t="str">
        <f t="shared" si="21"/>
        <v/>
      </c>
      <c r="AG278" s="1656">
        <f>IFERROR(IF($AF278&gt;0,VLOOKUP($U278,Tabelle1!$C$188:$L$212,5,0)*$AF278,0),0)</f>
        <v>0</v>
      </c>
      <c r="AH278" s="1656">
        <f t="shared" si="22"/>
        <v>0</v>
      </c>
      <c r="AJ278" t="str">
        <f>IF(Betrieb!$D$9="JA",Mineral!$BW278,Mineral!$BV278)</f>
        <v>Sedumin Regenwurmhumus</v>
      </c>
      <c r="AK278" s="1672" t="str">
        <f>IFERROR(INDEX(Liste_Handelsünger[Handelsdünger],_xlfn.AGGREGATE(15,6,(ROW(Liste_Handelsünger[Handelsdünger])-1)/(--(SEARCH(AL$2,Liste_Handelsünger[Handelsdünger])&gt;0)),ROW()-2),1),"")</f>
        <v>Sedumin Regenwurmhumus</v>
      </c>
      <c r="AL278" s="1672" t="str">
        <f>IF(($A$3=""),"",IF(COUNTIF(Mineral!$AJ$3:$AJ$324,$A$3),"",$A$3))</f>
        <v/>
      </c>
      <c r="AM278" s="1672" t="str">
        <f>IFERROR(INDEX(Liste_Handelsünger[Handelsdünger],_xlfn.AGGREGATE(15,6,(ROW(Liste_Handelsünger[Handelsdünger])-1)/(--(SEARCH(AN$2,Liste_Handelsünger[Handelsdünger])&gt;0)),ROW()-2),1),"")</f>
        <v>Sedumin Regenwurmhumus</v>
      </c>
      <c r="AN278" t="str">
        <f>IF(($A280=""),"",IF(COUNTIF(Mineral!$AJ$3:$AJ$324,$A280),"",$A280))</f>
        <v/>
      </c>
      <c r="AO278" t="str">
        <f>IFERROR(INDEX(Liste_Handelsünger[Handelsdünger],_xlfn.AGGREGATE(15,6,(ROW(Liste_Handelsünger[Handelsdünger])-1)/(--(SEARCH(AP$2,Liste_Handelsünger[Handelsdünger])&gt;0)),ROW()-2),1),"")</f>
        <v>Sedumin Regenwurmhumus</v>
      </c>
      <c r="AP278" t="str">
        <f>IF(($A281=""),"",IF(COUNTIF(Mineral!$AJ$3:$AJ$324,$A281),"",$A281))</f>
        <v/>
      </c>
      <c r="AQ278" t="str">
        <f>IFERROR(INDEX(Liste_Handelsünger[Handelsdünger],_xlfn.AGGREGATE(15,6,(ROW(Liste_Handelsünger[Handelsdünger])-1)/(--(SEARCH(AR$2,Liste_Handelsünger[Handelsdünger])&gt;0)),ROW()-2),1),"")</f>
        <v>Sedumin Regenwurmhumus</v>
      </c>
      <c r="AR278" t="str">
        <f>IF(($A282=""),"",IF(COUNTIF(Mineral!$AJ$3:$AJ$324,$A282),"",$A282))</f>
        <v/>
      </c>
      <c r="AS278" t="str">
        <f>IFERROR(INDEX(Liste_Handelsünger[Handelsdünger],_xlfn.AGGREGATE(15,6,(ROW(Liste_Handelsünger[Handelsdünger])-1)/(--(SEARCH(AT$2,Liste_Handelsünger[Handelsdünger])&gt;0)),ROW()-2),1),"")</f>
        <v>Sedumin Regenwurmhumus</v>
      </c>
      <c r="AT278" t="str">
        <f>IF(($A283=""),"",IF(COUNTIF(Mineral!$AJ$3:$AJ$324,$A283),"",$A283))</f>
        <v/>
      </c>
      <c r="AU278" t="str">
        <f>IFERROR(INDEX(Liste_Handelsünger[Handelsdünger],_xlfn.AGGREGATE(15,6,(ROW(Liste_Handelsünger[Handelsdünger])-1)/(--(SEARCH(AV$2,Liste_Handelsünger[Handelsdünger])&gt;0)),ROW()-2),1),"")</f>
        <v>Sedumin Regenwurmhumus</v>
      </c>
      <c r="AV278" t="str">
        <f>IF(($A284=""),"",IF(COUNTIF(Mineral!$AJ$3:$AJ$324,$A284),"",$A284))</f>
        <v/>
      </c>
      <c r="AW278" t="str">
        <f>IFERROR(INDEX(Liste_Handelsünger[Handelsdünger],_xlfn.AGGREGATE(15,6,(ROW(Liste_Handelsünger[Handelsdünger])-1)/(--(SEARCH(AX$2,Liste_Handelsünger[Handelsdünger])&gt;0)),ROW()-2),1),"")</f>
        <v>Sedumin Regenwurmhumus</v>
      </c>
      <c r="AX278" t="str">
        <f>IF(($A285=""),"",IF(COUNTIF(Mineral!$AJ$3:$AJ$324,$A285),"",$A285))</f>
        <v/>
      </c>
      <c r="AY278" t="str">
        <f>IFERROR(INDEX(Liste_Handelsünger[Handelsdünger],_xlfn.AGGREGATE(15,6,(ROW(Liste_Handelsünger[Handelsdünger])-1)/(--(SEARCH(AZ$2,Liste_Handelsünger[Handelsdünger])&gt;0)),ROW()-2),1),"")</f>
        <v>Sedumin Regenwurmhumus</v>
      </c>
      <c r="AZ278" t="str">
        <f>IF(($A286=""),"",IF(COUNTIF(Mineral!$AJ$3:$AJ$324,$A286),"",$A286))</f>
        <v/>
      </c>
      <c r="BA278" t="str">
        <f>IFERROR(INDEX(Liste_Handelsünger[Handelsdünger],_xlfn.AGGREGATE(15,6,(ROW(Liste_Handelsünger[Handelsdünger])-1)/(--(SEARCH(BB$2,Liste_Handelsünger[Handelsdünger])&gt;0)),ROW()-2),1),"")</f>
        <v>Sedumin Regenwurmhumus</v>
      </c>
      <c r="BB278" t="str">
        <f>IF(($A287=""),"",IF(COUNTIF(Mineral!$AJ$3:$AJ$324,$A287),"",$A287))</f>
        <v/>
      </c>
      <c r="BC278" t="str">
        <f>IFERROR(INDEX(Liste_Handelsünger[Handelsdünger],_xlfn.AGGREGATE(15,6,(ROW(Liste_Handelsünger[Handelsdünger])-1)/(--(SEARCH(BD$2,Liste_Handelsünger[Handelsdünger])&gt;0)),ROW()-2),1),"")</f>
        <v>Sedumin Regenwurmhumus</v>
      </c>
      <c r="BD278" t="str">
        <f>IF(($A288=""),"",IF(COUNTIF(Mineral!$AJ$3:$AJ$324,$A288),"",$A288))</f>
        <v/>
      </c>
      <c r="BE278" t="str">
        <f>IFERROR(INDEX(Liste_Handelsünger[Handelsdünger],_xlfn.AGGREGATE(15,6,(ROW(Liste_Handelsünger[Handelsdünger])-1)/(--(SEARCH(BF$2,Liste_Handelsünger[Handelsdünger])&gt;0)),ROW()-2),1),"")</f>
        <v>Sedumin Regenwurmhumus</v>
      </c>
      <c r="BF278" t="str">
        <f>IF(($A289=""),"",IF(COUNTIF(Mineral!$AJ$3:$AJ$324,$A289),"",$A289))</f>
        <v/>
      </c>
      <c r="BG278" t="str">
        <f>IFERROR(INDEX(Liste_Handelsünger[Handelsdünger],_xlfn.AGGREGATE(15,6,(ROW(Liste_Handelsünger[Handelsdünger])-1)/(--(SEARCH(BH$2,Liste_Handelsünger[Handelsdünger])&gt;0)),ROW()-2),1),"")</f>
        <v>Sedumin Regenwurmhumus</v>
      </c>
      <c r="BH278" t="str">
        <f>IF(($A290=""),"",IF(COUNTIF(Mineral!$AJ$3:$AJ$324,$A290),"",$A290))</f>
        <v/>
      </c>
      <c r="BI278" t="str">
        <f>IFERROR(INDEX(Liste_Handelsünger[Handelsdünger],_xlfn.AGGREGATE(15,6,(ROW(Liste_Handelsünger[Handelsdünger])-1)/(--(SEARCH(BJ$2,Liste_Handelsünger[Handelsdünger])&gt;0)),ROW()-2),1),"")</f>
        <v>Sedumin Regenwurmhumus</v>
      </c>
      <c r="BJ278" t="str">
        <f>IF(($A291=""),"",IF(COUNTIF(Mineral!$AJ$3:$AJ$324,$A291),"",$A291))</f>
        <v/>
      </c>
      <c r="BK278" t="str">
        <f>IFERROR(INDEX(Liste_Handelsünger[Handelsdünger],_xlfn.AGGREGATE(15,6,(ROW(Liste_Handelsünger[Handelsdünger])-1)/(--(SEARCH(BL$2,Liste_Handelsünger[Handelsdünger])&gt;0)),ROW()-2),1),"")</f>
        <v>Sedumin Regenwurmhumus</v>
      </c>
      <c r="BM278" t="str">
        <f>IFERROR(INDEX(Liste_Handelsünger[Handelsdünger],_xlfn.AGGREGATE(15,6,(ROW(Liste_Handelsünger[Handelsdünger])-1)/(--(SEARCH(BN$2,Liste_Handelsünger[Handelsdünger])&gt;0)),ROW()-2),1),"")</f>
        <v>Sedumin Regenwurmhumus</v>
      </c>
      <c r="BN278" t="str">
        <f>IF(($A293=""),"",IF(COUNTIF(Mineral!$AJ$3:$AJ$324,$A293),"",$A293))</f>
        <v/>
      </c>
      <c r="BV278" t="s">
        <v>2260</v>
      </c>
      <c r="BW278" t="s">
        <v>2217</v>
      </c>
      <c r="BZ278" s="1602"/>
      <c r="CA278" s="1602"/>
      <c r="CB278" s="1602"/>
    </row>
    <row r="279" spans="19:80" ht="14.25" thickTop="1" thickBot="1">
      <c r="S279" s="1616">
        <v>278</v>
      </c>
      <c r="T279" s="1617" t="s">
        <v>2006</v>
      </c>
      <c r="U279" s="1617" t="s">
        <v>2261</v>
      </c>
      <c r="V279" s="1617" t="s">
        <v>408</v>
      </c>
      <c r="W279" s="1617">
        <v>1.5</v>
      </c>
      <c r="X279" s="1617">
        <v>2</v>
      </c>
      <c r="Y279" s="1617">
        <v>18.5</v>
      </c>
      <c r="Z279" s="1617">
        <v>0</v>
      </c>
      <c r="AA279" s="1617">
        <v>0</v>
      </c>
      <c r="AB279" s="1617">
        <v>0</v>
      </c>
      <c r="AC279" s="1617">
        <v>0.5</v>
      </c>
      <c r="AD279" s="1613">
        <v>0.91</v>
      </c>
      <c r="AE279" s="1617" t="s">
        <v>2037</v>
      </c>
      <c r="AF279" s="1613" t="str">
        <f t="shared" si="21"/>
        <v/>
      </c>
      <c r="AG279" s="1656">
        <f>IFERROR(IF($AF279&gt;0,VLOOKUP($U279,Tabelle1!$C$188:$L$212,5,0)*$AF279,0),0)</f>
        <v>0</v>
      </c>
      <c r="AH279" s="1656">
        <f t="shared" si="22"/>
        <v>0</v>
      </c>
      <c r="AJ279" t="str">
        <f>IF(Betrieb!$D$9="JA",Mineral!$BW279,Mineral!$BV279)</f>
        <v>Sedumin® Algen-Extrakt</v>
      </c>
      <c r="AK279" s="1672" t="str">
        <f>IFERROR(INDEX(Liste_Handelsünger[Handelsdünger],_xlfn.AGGREGATE(15,6,(ROW(Liste_Handelsünger[Handelsdünger])-1)/(--(SEARCH(AL$2,Liste_Handelsünger[Handelsdünger])&gt;0)),ROW()-2),1),"")</f>
        <v>Sedumin® Algen-Extrakt</v>
      </c>
      <c r="AL279" s="1672" t="str">
        <f>IF(($A$3=""),"",IF(COUNTIF(Mineral!$AJ$3:$AJ$324,$A$3),"",$A$3))</f>
        <v/>
      </c>
      <c r="AM279" s="1672" t="str">
        <f>IFERROR(INDEX(Liste_Handelsünger[Handelsdünger],_xlfn.AGGREGATE(15,6,(ROW(Liste_Handelsünger[Handelsdünger])-1)/(--(SEARCH(AN$2,Liste_Handelsünger[Handelsdünger])&gt;0)),ROW()-2),1),"")</f>
        <v>Sedumin® Algen-Extrakt</v>
      </c>
      <c r="AN279" t="str">
        <f>IF(($A281=""),"",IF(COUNTIF(Mineral!$AJ$3:$AJ$324,$A281),"",$A281))</f>
        <v/>
      </c>
      <c r="AO279" t="str">
        <f>IFERROR(INDEX(Liste_Handelsünger[Handelsdünger],_xlfn.AGGREGATE(15,6,(ROW(Liste_Handelsünger[Handelsdünger])-1)/(--(SEARCH(AP$2,Liste_Handelsünger[Handelsdünger])&gt;0)),ROW()-2),1),"")</f>
        <v>Sedumin® Algen-Extrakt</v>
      </c>
      <c r="AP279" t="str">
        <f>IF(($A282=""),"",IF(COUNTIF(Mineral!$AJ$3:$AJ$324,$A282),"",$A282))</f>
        <v/>
      </c>
      <c r="AQ279" t="str">
        <f>IFERROR(INDEX(Liste_Handelsünger[Handelsdünger],_xlfn.AGGREGATE(15,6,(ROW(Liste_Handelsünger[Handelsdünger])-1)/(--(SEARCH(AR$2,Liste_Handelsünger[Handelsdünger])&gt;0)),ROW()-2),1),"")</f>
        <v>Sedumin® Algen-Extrakt</v>
      </c>
      <c r="AR279" t="str">
        <f>IF(($A283=""),"",IF(COUNTIF(Mineral!$AJ$3:$AJ$324,$A283),"",$A283))</f>
        <v/>
      </c>
      <c r="AS279" t="str">
        <f>IFERROR(INDEX(Liste_Handelsünger[Handelsdünger],_xlfn.AGGREGATE(15,6,(ROW(Liste_Handelsünger[Handelsdünger])-1)/(--(SEARCH(AT$2,Liste_Handelsünger[Handelsdünger])&gt;0)),ROW()-2),1),"")</f>
        <v>Sedumin® Algen-Extrakt</v>
      </c>
      <c r="AT279" t="str">
        <f>IF(($A284=""),"",IF(COUNTIF(Mineral!$AJ$3:$AJ$324,$A284),"",$A284))</f>
        <v/>
      </c>
      <c r="AU279" t="str">
        <f>IFERROR(INDEX(Liste_Handelsünger[Handelsdünger],_xlfn.AGGREGATE(15,6,(ROW(Liste_Handelsünger[Handelsdünger])-1)/(--(SEARCH(AV$2,Liste_Handelsünger[Handelsdünger])&gt;0)),ROW()-2),1),"")</f>
        <v>Sedumin® Algen-Extrakt</v>
      </c>
      <c r="AV279" t="str">
        <f>IF(($A285=""),"",IF(COUNTIF(Mineral!$AJ$3:$AJ$324,$A285),"",$A285))</f>
        <v/>
      </c>
      <c r="AW279" t="str">
        <f>IFERROR(INDEX(Liste_Handelsünger[Handelsdünger],_xlfn.AGGREGATE(15,6,(ROW(Liste_Handelsünger[Handelsdünger])-1)/(--(SEARCH(AX$2,Liste_Handelsünger[Handelsdünger])&gt;0)),ROW()-2),1),"")</f>
        <v>Sedumin® Algen-Extrakt</v>
      </c>
      <c r="AX279" t="str">
        <f>IF(($A286=""),"",IF(COUNTIF(Mineral!$AJ$3:$AJ$324,$A286),"",$A286))</f>
        <v/>
      </c>
      <c r="AY279" t="str">
        <f>IFERROR(INDEX(Liste_Handelsünger[Handelsdünger],_xlfn.AGGREGATE(15,6,(ROW(Liste_Handelsünger[Handelsdünger])-1)/(--(SEARCH(AZ$2,Liste_Handelsünger[Handelsdünger])&gt;0)),ROW()-2),1),"")</f>
        <v>Sedumin® Algen-Extrakt</v>
      </c>
      <c r="AZ279" t="str">
        <f>IF(($A287=""),"",IF(COUNTIF(Mineral!$AJ$3:$AJ$324,$A287),"",$A287))</f>
        <v/>
      </c>
      <c r="BA279" t="str">
        <f>IFERROR(INDEX(Liste_Handelsünger[Handelsdünger],_xlfn.AGGREGATE(15,6,(ROW(Liste_Handelsünger[Handelsdünger])-1)/(--(SEARCH(BB$2,Liste_Handelsünger[Handelsdünger])&gt;0)),ROW()-2),1),"")</f>
        <v>Sedumin® Algen-Extrakt</v>
      </c>
      <c r="BB279" t="str">
        <f>IF(($A288=""),"",IF(COUNTIF(Mineral!$AJ$3:$AJ$324,$A288),"",$A288))</f>
        <v/>
      </c>
      <c r="BC279" t="str">
        <f>IFERROR(INDEX(Liste_Handelsünger[Handelsdünger],_xlfn.AGGREGATE(15,6,(ROW(Liste_Handelsünger[Handelsdünger])-1)/(--(SEARCH(BD$2,Liste_Handelsünger[Handelsdünger])&gt;0)),ROW()-2),1),"")</f>
        <v>Sedumin® Algen-Extrakt</v>
      </c>
      <c r="BD279" t="str">
        <f>IF(($A289=""),"",IF(COUNTIF(Mineral!$AJ$3:$AJ$324,$A289),"",$A289))</f>
        <v/>
      </c>
      <c r="BE279" t="str">
        <f>IFERROR(INDEX(Liste_Handelsünger[Handelsdünger],_xlfn.AGGREGATE(15,6,(ROW(Liste_Handelsünger[Handelsdünger])-1)/(--(SEARCH(BF$2,Liste_Handelsünger[Handelsdünger])&gt;0)),ROW()-2),1),"")</f>
        <v>Sedumin® Algen-Extrakt</v>
      </c>
      <c r="BF279" t="str">
        <f>IF(($A290=""),"",IF(COUNTIF(Mineral!$AJ$3:$AJ$324,$A290),"",$A290))</f>
        <v/>
      </c>
      <c r="BG279" t="str">
        <f>IFERROR(INDEX(Liste_Handelsünger[Handelsdünger],_xlfn.AGGREGATE(15,6,(ROW(Liste_Handelsünger[Handelsdünger])-1)/(--(SEARCH(BH$2,Liste_Handelsünger[Handelsdünger])&gt;0)),ROW()-2),1),"")</f>
        <v>Sedumin® Algen-Extrakt</v>
      </c>
      <c r="BH279" t="str">
        <f>IF(($A291=""),"",IF(COUNTIF(Mineral!$AJ$3:$AJ$324,$A291),"",$A291))</f>
        <v/>
      </c>
      <c r="BI279" t="str">
        <f>IFERROR(INDEX(Liste_Handelsünger[Handelsdünger],_xlfn.AGGREGATE(15,6,(ROW(Liste_Handelsünger[Handelsdünger])-1)/(--(SEARCH(BJ$2,Liste_Handelsünger[Handelsdünger])&gt;0)),ROW()-2),1),"")</f>
        <v>Sedumin® Algen-Extrakt</v>
      </c>
      <c r="BJ279" t="str">
        <f>IF(($A292=""),"",IF(COUNTIF(Mineral!$AJ$3:$AJ$324,$A292),"",$A292))</f>
        <v/>
      </c>
      <c r="BK279" t="str">
        <f>IFERROR(INDEX(Liste_Handelsünger[Handelsdünger],_xlfn.AGGREGATE(15,6,(ROW(Liste_Handelsünger[Handelsdünger])-1)/(--(SEARCH(BL$2,Liste_Handelsünger[Handelsdünger])&gt;0)),ROW()-2),1),"")</f>
        <v>Sedumin® Algen-Extrakt</v>
      </c>
      <c r="BM279" t="str">
        <f>IFERROR(INDEX(Liste_Handelsünger[Handelsdünger],_xlfn.AGGREGATE(15,6,(ROW(Liste_Handelsünger[Handelsdünger])-1)/(--(SEARCH(BN$2,Liste_Handelsünger[Handelsdünger])&gt;0)),ROW()-2),1),"")</f>
        <v>Sedumin® Algen-Extrakt</v>
      </c>
      <c r="BN279" t="str">
        <f>IF(($A294=""),"",IF(COUNTIF(Mineral!$AJ$3:$AJ$324,$A294),"",$A294))</f>
        <v/>
      </c>
      <c r="BV279" t="s">
        <v>2261</v>
      </c>
      <c r="BW279" t="s">
        <v>2218</v>
      </c>
      <c r="BZ279" s="1602"/>
      <c r="CA279" s="1602"/>
      <c r="CB279" s="1602"/>
    </row>
    <row r="280" spans="19:80" ht="14.25" thickTop="1" thickBot="1">
      <c r="S280" s="1676">
        <v>279</v>
      </c>
      <c r="T280" s="1606" t="s">
        <v>2006</v>
      </c>
      <c r="U280" s="1606" t="s">
        <v>2262</v>
      </c>
      <c r="V280" s="1606" t="s">
        <v>408</v>
      </c>
      <c r="W280" s="1606">
        <v>2.5</v>
      </c>
      <c r="X280" s="1606">
        <v>0</v>
      </c>
      <c r="Y280" s="1606">
        <v>2.41</v>
      </c>
      <c r="Z280" s="1606">
        <v>0</v>
      </c>
      <c r="AA280" s="1606">
        <v>0</v>
      </c>
      <c r="AB280" s="1606">
        <v>0</v>
      </c>
      <c r="AC280" s="1606">
        <v>0.5</v>
      </c>
      <c r="AD280" s="1613">
        <v>0.91</v>
      </c>
      <c r="AE280" s="1606" t="s">
        <v>2037</v>
      </c>
      <c r="AF280" s="1613" t="str">
        <f t="shared" si="21"/>
        <v/>
      </c>
      <c r="AG280" s="1656">
        <f>IFERROR(IF($AF280&gt;0,VLOOKUP($U280,Tabelle1!$C$188:$L$212,5,0)*$AF280,0),0)</f>
        <v>0</v>
      </c>
      <c r="AH280" s="1656">
        <f t="shared" si="22"/>
        <v>0</v>
      </c>
      <c r="AJ280" t="str">
        <f>IF(Betrieb!$D$9="JA",Mineral!$BW280,Mineral!$BV280)</f>
        <v>Sedumin® Bio-Ferrol</v>
      </c>
      <c r="AK280" s="1672" t="str">
        <f>IFERROR(INDEX(Liste_Handelsünger[Handelsdünger],_xlfn.AGGREGATE(15,6,(ROW(Liste_Handelsünger[Handelsdünger])-1)/(--(SEARCH(AL$2,Liste_Handelsünger[Handelsdünger])&gt;0)),ROW()-2),1),"")</f>
        <v>Sedumin® Bio-Ferrol</v>
      </c>
      <c r="AL280" s="1672" t="str">
        <f>IF(($A$3=""),"",IF(COUNTIF(Mineral!$AJ$3:$AJ$324,$A$3),"",$A$3))</f>
        <v/>
      </c>
      <c r="AM280" s="1672" t="str">
        <f>IFERROR(INDEX(Liste_Handelsünger[Handelsdünger],_xlfn.AGGREGATE(15,6,(ROW(Liste_Handelsünger[Handelsdünger])-1)/(--(SEARCH(AN$2,Liste_Handelsünger[Handelsdünger])&gt;0)),ROW()-2),1),"")</f>
        <v>Sedumin® Bio-Ferrol</v>
      </c>
      <c r="AN280" t="str">
        <f>IF(($A282=""),"",IF(COUNTIF(Mineral!$AJ$3:$AJ$324,$A282),"",$A282))</f>
        <v/>
      </c>
      <c r="AO280" t="str">
        <f>IFERROR(INDEX(Liste_Handelsünger[Handelsdünger],_xlfn.AGGREGATE(15,6,(ROW(Liste_Handelsünger[Handelsdünger])-1)/(--(SEARCH(AP$2,Liste_Handelsünger[Handelsdünger])&gt;0)),ROW()-2),1),"")</f>
        <v>Sedumin® Bio-Ferrol</v>
      </c>
      <c r="AP280" t="str">
        <f>IF(($A283=""),"",IF(COUNTIF(Mineral!$AJ$3:$AJ$324,$A283),"",$A283))</f>
        <v/>
      </c>
      <c r="AQ280" t="str">
        <f>IFERROR(INDEX(Liste_Handelsünger[Handelsdünger],_xlfn.AGGREGATE(15,6,(ROW(Liste_Handelsünger[Handelsdünger])-1)/(--(SEARCH(AR$2,Liste_Handelsünger[Handelsdünger])&gt;0)),ROW()-2),1),"")</f>
        <v>Sedumin® Bio-Ferrol</v>
      </c>
      <c r="AR280" t="str">
        <f>IF(($A284=""),"",IF(COUNTIF(Mineral!$AJ$3:$AJ$324,$A284),"",$A284))</f>
        <v/>
      </c>
      <c r="AS280" t="str">
        <f>IFERROR(INDEX(Liste_Handelsünger[Handelsdünger],_xlfn.AGGREGATE(15,6,(ROW(Liste_Handelsünger[Handelsdünger])-1)/(--(SEARCH(AT$2,Liste_Handelsünger[Handelsdünger])&gt;0)),ROW()-2),1),"")</f>
        <v>Sedumin® Bio-Ferrol</v>
      </c>
      <c r="AT280" t="str">
        <f>IF(($A285=""),"",IF(COUNTIF(Mineral!$AJ$3:$AJ$324,$A285),"",$A285))</f>
        <v/>
      </c>
      <c r="AU280" t="str">
        <f>IFERROR(INDEX(Liste_Handelsünger[Handelsdünger],_xlfn.AGGREGATE(15,6,(ROW(Liste_Handelsünger[Handelsdünger])-1)/(--(SEARCH(AV$2,Liste_Handelsünger[Handelsdünger])&gt;0)),ROW()-2),1),"")</f>
        <v>Sedumin® Bio-Ferrol</v>
      </c>
      <c r="AV280" t="str">
        <f>IF(($A286=""),"",IF(COUNTIF(Mineral!$AJ$3:$AJ$324,$A286),"",$A286))</f>
        <v/>
      </c>
      <c r="AW280" t="str">
        <f>IFERROR(INDEX(Liste_Handelsünger[Handelsdünger],_xlfn.AGGREGATE(15,6,(ROW(Liste_Handelsünger[Handelsdünger])-1)/(--(SEARCH(AX$2,Liste_Handelsünger[Handelsdünger])&gt;0)),ROW()-2),1),"")</f>
        <v>Sedumin® Bio-Ferrol</v>
      </c>
      <c r="AX280" t="str">
        <f>IF(($A287=""),"",IF(COUNTIF(Mineral!$AJ$3:$AJ$324,$A287),"",$A287))</f>
        <v/>
      </c>
      <c r="AY280" t="str">
        <f>IFERROR(INDEX(Liste_Handelsünger[Handelsdünger],_xlfn.AGGREGATE(15,6,(ROW(Liste_Handelsünger[Handelsdünger])-1)/(--(SEARCH(AZ$2,Liste_Handelsünger[Handelsdünger])&gt;0)),ROW()-2),1),"")</f>
        <v>Sedumin® Bio-Ferrol</v>
      </c>
      <c r="AZ280" t="str">
        <f>IF(($A288=""),"",IF(COUNTIF(Mineral!$AJ$3:$AJ$324,$A288),"",$A288))</f>
        <v/>
      </c>
      <c r="BA280" t="str">
        <f>IFERROR(INDEX(Liste_Handelsünger[Handelsdünger],_xlfn.AGGREGATE(15,6,(ROW(Liste_Handelsünger[Handelsdünger])-1)/(--(SEARCH(BB$2,Liste_Handelsünger[Handelsdünger])&gt;0)),ROW()-2),1),"")</f>
        <v>Sedumin® Bio-Ferrol</v>
      </c>
      <c r="BB280" t="str">
        <f>IF(($A289=""),"",IF(COUNTIF(Mineral!$AJ$3:$AJ$324,$A289),"",$A289))</f>
        <v/>
      </c>
      <c r="BC280" t="str">
        <f>IFERROR(INDEX(Liste_Handelsünger[Handelsdünger],_xlfn.AGGREGATE(15,6,(ROW(Liste_Handelsünger[Handelsdünger])-1)/(--(SEARCH(BD$2,Liste_Handelsünger[Handelsdünger])&gt;0)),ROW()-2),1),"")</f>
        <v>Sedumin® Bio-Ferrol</v>
      </c>
      <c r="BD280" t="str">
        <f>IF(($A290=""),"",IF(COUNTIF(Mineral!$AJ$3:$AJ$324,$A290),"",$A290))</f>
        <v/>
      </c>
      <c r="BE280" t="str">
        <f>IFERROR(INDEX(Liste_Handelsünger[Handelsdünger],_xlfn.AGGREGATE(15,6,(ROW(Liste_Handelsünger[Handelsdünger])-1)/(--(SEARCH(BF$2,Liste_Handelsünger[Handelsdünger])&gt;0)),ROW()-2),1),"")</f>
        <v>Sedumin® Bio-Ferrol</v>
      </c>
      <c r="BF280" t="str">
        <f>IF(($A291=""),"",IF(COUNTIF(Mineral!$AJ$3:$AJ$324,$A291),"",$A291))</f>
        <v/>
      </c>
      <c r="BG280" t="str">
        <f>IFERROR(INDEX(Liste_Handelsünger[Handelsdünger],_xlfn.AGGREGATE(15,6,(ROW(Liste_Handelsünger[Handelsdünger])-1)/(--(SEARCH(BH$2,Liste_Handelsünger[Handelsdünger])&gt;0)),ROW()-2),1),"")</f>
        <v>Sedumin® Bio-Ferrol</v>
      </c>
      <c r="BH280" t="str">
        <f>IF(($A292=""),"",IF(COUNTIF(Mineral!$AJ$3:$AJ$324,$A292),"",$A292))</f>
        <v/>
      </c>
      <c r="BI280" t="str">
        <f>IFERROR(INDEX(Liste_Handelsünger[Handelsdünger],_xlfn.AGGREGATE(15,6,(ROW(Liste_Handelsünger[Handelsdünger])-1)/(--(SEARCH(BJ$2,Liste_Handelsünger[Handelsdünger])&gt;0)),ROW()-2),1),"")</f>
        <v>Sedumin® Bio-Ferrol</v>
      </c>
      <c r="BJ280" t="str">
        <f>IF(($A293=""),"",IF(COUNTIF(Mineral!$AJ$3:$AJ$324,$A293),"",$A293))</f>
        <v/>
      </c>
      <c r="BK280" t="str">
        <f>IFERROR(INDEX(Liste_Handelsünger[Handelsdünger],_xlfn.AGGREGATE(15,6,(ROW(Liste_Handelsünger[Handelsdünger])-1)/(--(SEARCH(BL$2,Liste_Handelsünger[Handelsdünger])&gt;0)),ROW()-2),1),"")</f>
        <v>Sedumin® Bio-Ferrol</v>
      </c>
      <c r="BM280" t="str">
        <f>IFERROR(INDEX(Liste_Handelsünger[Handelsdünger],_xlfn.AGGREGATE(15,6,(ROW(Liste_Handelsünger[Handelsdünger])-1)/(--(SEARCH(BN$2,Liste_Handelsünger[Handelsdünger])&gt;0)),ROW()-2),1),"")</f>
        <v>Sedumin® Bio-Ferrol</v>
      </c>
      <c r="BN280" t="str">
        <f>IF(($A295=""),"",IF(COUNTIF(Mineral!$AJ$3:$AJ$324,$A295),"",$A295))</f>
        <v/>
      </c>
      <c r="BV280" t="s">
        <v>2262</v>
      </c>
      <c r="BW280" t="s">
        <v>2219</v>
      </c>
      <c r="BZ280" s="1602"/>
      <c r="CA280" s="1602"/>
      <c r="CB280" s="1602"/>
    </row>
    <row r="281" spans="19:80" ht="14.25" thickTop="1" thickBot="1">
      <c r="S281" s="1616">
        <v>280</v>
      </c>
      <c r="T281" s="1617" t="s">
        <v>2006</v>
      </c>
      <c r="U281" s="1617" t="s">
        <v>2263</v>
      </c>
      <c r="V281" s="1617" t="s">
        <v>408</v>
      </c>
      <c r="W281" s="1617">
        <v>3.9</v>
      </c>
      <c r="X281" s="1617">
        <v>2.6</v>
      </c>
      <c r="Y281" s="1617">
        <v>2.6</v>
      </c>
      <c r="Z281" s="1617"/>
      <c r="AA281" s="1617"/>
      <c r="AB281" s="1617"/>
      <c r="AC281" s="1617">
        <v>0.5</v>
      </c>
      <c r="AD281" s="1613">
        <v>0.91</v>
      </c>
      <c r="AE281" s="1617" t="s">
        <v>1764</v>
      </c>
      <c r="AF281" s="1613" t="str">
        <f t="shared" si="21"/>
        <v/>
      </c>
      <c r="AG281" s="1656">
        <f>IFERROR(IF($AF281&gt;0,VLOOKUP($U281,Tabelle1!$C$188:$L$212,5,0)*$AF281,0),0)</f>
        <v>0</v>
      </c>
      <c r="AH281" s="1656">
        <f t="shared" si="22"/>
        <v>0</v>
      </c>
      <c r="AJ281" t="str">
        <f>IF(Betrieb!$D$9="JA",Mineral!$BW281,Mineral!$BV281)</f>
        <v>Sedumin® Bio-Hühnermist-Pellets</v>
      </c>
      <c r="AK281" s="1672" t="str">
        <f>IFERROR(INDEX(Liste_Handelsünger[Handelsdünger],_xlfn.AGGREGATE(15,6,(ROW(Liste_Handelsünger[Handelsdünger])-1)/(--(SEARCH(AL$2,Liste_Handelsünger[Handelsdünger])&gt;0)),ROW()-2),1),"")</f>
        <v>Sedumin® Bio-Hühnermist-Pellets</v>
      </c>
      <c r="AL281" s="1672" t="str">
        <f>IF(($A$3=""),"",IF(COUNTIF(Mineral!$AJ$3:$AJ$324,$A$3),"",$A$3))</f>
        <v/>
      </c>
      <c r="AM281" s="1672" t="str">
        <f>IFERROR(INDEX(Liste_Handelsünger[Handelsdünger],_xlfn.AGGREGATE(15,6,(ROW(Liste_Handelsünger[Handelsdünger])-1)/(--(SEARCH(AN$2,Liste_Handelsünger[Handelsdünger])&gt;0)),ROW()-2),1),"")</f>
        <v>Sedumin® Bio-Hühnermist-Pellets</v>
      </c>
      <c r="AN281" t="str">
        <f>IF(($A283=""),"",IF(COUNTIF(Mineral!$AJ$3:$AJ$324,$A283),"",$A283))</f>
        <v/>
      </c>
      <c r="AO281" t="str">
        <f>IFERROR(INDEX(Liste_Handelsünger[Handelsdünger],_xlfn.AGGREGATE(15,6,(ROW(Liste_Handelsünger[Handelsdünger])-1)/(--(SEARCH(AP$2,Liste_Handelsünger[Handelsdünger])&gt;0)),ROW()-2),1),"")</f>
        <v>Sedumin® Bio-Hühnermist-Pellets</v>
      </c>
      <c r="AP281" t="str">
        <f>IF(($A284=""),"",IF(COUNTIF(Mineral!$AJ$3:$AJ$324,$A284),"",$A284))</f>
        <v/>
      </c>
      <c r="AQ281" t="str">
        <f>IFERROR(INDEX(Liste_Handelsünger[Handelsdünger],_xlfn.AGGREGATE(15,6,(ROW(Liste_Handelsünger[Handelsdünger])-1)/(--(SEARCH(AR$2,Liste_Handelsünger[Handelsdünger])&gt;0)),ROW()-2),1),"")</f>
        <v>Sedumin® Bio-Hühnermist-Pellets</v>
      </c>
      <c r="AR281" t="str">
        <f>IF(($A285=""),"",IF(COUNTIF(Mineral!$AJ$3:$AJ$324,$A285),"",$A285))</f>
        <v/>
      </c>
      <c r="AS281" t="str">
        <f>IFERROR(INDEX(Liste_Handelsünger[Handelsdünger],_xlfn.AGGREGATE(15,6,(ROW(Liste_Handelsünger[Handelsdünger])-1)/(--(SEARCH(AT$2,Liste_Handelsünger[Handelsdünger])&gt;0)),ROW()-2),1),"")</f>
        <v>Sedumin® Bio-Hühnermist-Pellets</v>
      </c>
      <c r="AT281" t="str">
        <f>IF(($A286=""),"",IF(COUNTIF(Mineral!$AJ$3:$AJ$324,$A286),"",$A286))</f>
        <v/>
      </c>
      <c r="AU281" t="str">
        <f>IFERROR(INDEX(Liste_Handelsünger[Handelsdünger],_xlfn.AGGREGATE(15,6,(ROW(Liste_Handelsünger[Handelsdünger])-1)/(--(SEARCH(AV$2,Liste_Handelsünger[Handelsdünger])&gt;0)),ROW()-2),1),"")</f>
        <v>Sedumin® Bio-Hühnermist-Pellets</v>
      </c>
      <c r="AV281" t="str">
        <f>IF(($A287=""),"",IF(COUNTIF(Mineral!$AJ$3:$AJ$324,$A287),"",$A287))</f>
        <v/>
      </c>
      <c r="AW281" t="str">
        <f>IFERROR(INDEX(Liste_Handelsünger[Handelsdünger],_xlfn.AGGREGATE(15,6,(ROW(Liste_Handelsünger[Handelsdünger])-1)/(--(SEARCH(AX$2,Liste_Handelsünger[Handelsdünger])&gt;0)),ROW()-2),1),"")</f>
        <v>Sedumin® Bio-Hühnermist-Pellets</v>
      </c>
      <c r="AX281" t="str">
        <f>IF(($A288=""),"",IF(COUNTIF(Mineral!$AJ$3:$AJ$324,$A288),"",$A288))</f>
        <v/>
      </c>
      <c r="AY281" t="str">
        <f>IFERROR(INDEX(Liste_Handelsünger[Handelsdünger],_xlfn.AGGREGATE(15,6,(ROW(Liste_Handelsünger[Handelsdünger])-1)/(--(SEARCH(AZ$2,Liste_Handelsünger[Handelsdünger])&gt;0)),ROW()-2),1),"")</f>
        <v>Sedumin® Bio-Hühnermist-Pellets</v>
      </c>
      <c r="AZ281" t="str">
        <f>IF(($A289=""),"",IF(COUNTIF(Mineral!$AJ$3:$AJ$324,$A289),"",$A289))</f>
        <v/>
      </c>
      <c r="BA281" t="str">
        <f>IFERROR(INDEX(Liste_Handelsünger[Handelsdünger],_xlfn.AGGREGATE(15,6,(ROW(Liste_Handelsünger[Handelsdünger])-1)/(--(SEARCH(BB$2,Liste_Handelsünger[Handelsdünger])&gt;0)),ROW()-2),1),"")</f>
        <v>Sedumin® Bio-Hühnermist-Pellets</v>
      </c>
      <c r="BB281" t="str">
        <f>IF(($A290=""),"",IF(COUNTIF(Mineral!$AJ$3:$AJ$324,$A290),"",$A290))</f>
        <v/>
      </c>
      <c r="BC281" t="str">
        <f>IFERROR(INDEX(Liste_Handelsünger[Handelsdünger],_xlfn.AGGREGATE(15,6,(ROW(Liste_Handelsünger[Handelsdünger])-1)/(--(SEARCH(BD$2,Liste_Handelsünger[Handelsdünger])&gt;0)),ROW()-2),1),"")</f>
        <v>Sedumin® Bio-Hühnermist-Pellets</v>
      </c>
      <c r="BD281" t="str">
        <f>IF(($A291=""),"",IF(COUNTIF(Mineral!$AJ$3:$AJ$324,$A291),"",$A291))</f>
        <v/>
      </c>
      <c r="BE281" t="str">
        <f>IFERROR(INDEX(Liste_Handelsünger[Handelsdünger],_xlfn.AGGREGATE(15,6,(ROW(Liste_Handelsünger[Handelsdünger])-1)/(--(SEARCH(BF$2,Liste_Handelsünger[Handelsdünger])&gt;0)),ROW()-2),1),"")</f>
        <v>Sedumin® Bio-Hühnermist-Pellets</v>
      </c>
      <c r="BF281" t="str">
        <f>IF(($A292=""),"",IF(COUNTIF(Mineral!$AJ$3:$AJ$324,$A292),"",$A292))</f>
        <v/>
      </c>
      <c r="BG281" t="str">
        <f>IFERROR(INDEX(Liste_Handelsünger[Handelsdünger],_xlfn.AGGREGATE(15,6,(ROW(Liste_Handelsünger[Handelsdünger])-1)/(--(SEARCH(BH$2,Liste_Handelsünger[Handelsdünger])&gt;0)),ROW()-2),1),"")</f>
        <v>Sedumin® Bio-Hühnermist-Pellets</v>
      </c>
      <c r="BH281" t="str">
        <f>IF(($A293=""),"",IF(COUNTIF(Mineral!$AJ$3:$AJ$324,$A293),"",$A293))</f>
        <v/>
      </c>
      <c r="BI281" t="str">
        <f>IFERROR(INDEX(Liste_Handelsünger[Handelsdünger],_xlfn.AGGREGATE(15,6,(ROW(Liste_Handelsünger[Handelsdünger])-1)/(--(SEARCH(BJ$2,Liste_Handelsünger[Handelsdünger])&gt;0)),ROW()-2),1),"")</f>
        <v>Sedumin® Bio-Hühnermist-Pellets</v>
      </c>
      <c r="BJ281" t="str">
        <f>IF(($A294=""),"",IF(COUNTIF(Mineral!$AJ$3:$AJ$324,$A294),"",$A294))</f>
        <v/>
      </c>
      <c r="BK281" t="str">
        <f>IFERROR(INDEX(Liste_Handelsünger[Handelsdünger],_xlfn.AGGREGATE(15,6,(ROW(Liste_Handelsünger[Handelsdünger])-1)/(--(SEARCH(BL$2,Liste_Handelsünger[Handelsdünger])&gt;0)),ROW()-2),1),"")</f>
        <v>Sedumin® Bio-Hühnermist-Pellets</v>
      </c>
      <c r="BM281" t="str">
        <f>IFERROR(INDEX(Liste_Handelsünger[Handelsdünger],_xlfn.AGGREGATE(15,6,(ROW(Liste_Handelsünger[Handelsdünger])-1)/(--(SEARCH(BN$2,Liste_Handelsünger[Handelsdünger])&gt;0)),ROW()-2),1),"")</f>
        <v>Sedumin® Bio-Hühnermist-Pellets</v>
      </c>
      <c r="BN281" t="str">
        <f>IF(($A296=""),"",IF(COUNTIF(Mineral!$AJ$3:$AJ$324,$A296),"",$A296))</f>
        <v/>
      </c>
      <c r="BV281" t="s">
        <v>2263</v>
      </c>
      <c r="BW281" t="s">
        <v>2220</v>
      </c>
      <c r="BZ281" s="1602"/>
      <c r="CA281" s="1602"/>
      <c r="CB281" s="1602"/>
    </row>
    <row r="282" spans="19:80" ht="14.25" thickTop="1" thickBot="1">
      <c r="S282" s="1676">
        <v>281</v>
      </c>
      <c r="T282" s="1606" t="s">
        <v>2006</v>
      </c>
      <c r="U282" s="1606" t="s">
        <v>2264</v>
      </c>
      <c r="V282" s="1606" t="s">
        <v>408</v>
      </c>
      <c r="W282" s="1606">
        <v>0</v>
      </c>
      <c r="X282" s="1606">
        <v>0</v>
      </c>
      <c r="Y282" s="1606">
        <v>1.2</v>
      </c>
      <c r="Z282" s="1606">
        <v>0</v>
      </c>
      <c r="AA282" s="1606">
        <v>39.5</v>
      </c>
      <c r="AB282" s="1606">
        <v>0.4</v>
      </c>
      <c r="AC282" s="1606">
        <v>1</v>
      </c>
      <c r="AD282" s="1613">
        <v>1</v>
      </c>
      <c r="AE282" s="1606" t="s">
        <v>1764</v>
      </c>
      <c r="AF282" s="1613" t="str">
        <f t="shared" si="21"/>
        <v/>
      </c>
      <c r="AG282" s="1656">
        <f>IFERROR(IF($AF282&gt;0,VLOOKUP($U282,Tabelle1!$C$188:$L$212,5,0)*$AF282,0),0)</f>
        <v>0</v>
      </c>
      <c r="AH282" s="1656">
        <f t="shared" si="22"/>
        <v>0</v>
      </c>
      <c r="AJ282" t="str">
        <f>IF(Betrieb!$D$9="JA",Mineral!$BW282,Mineral!$BV282)</f>
        <v>Sedumin® Carbofert</v>
      </c>
      <c r="AK282" s="1672" t="str">
        <f>IFERROR(INDEX(Liste_Handelsünger[Handelsdünger],_xlfn.AGGREGATE(15,6,(ROW(Liste_Handelsünger[Handelsdünger])-1)/(--(SEARCH(AL$2,Liste_Handelsünger[Handelsdünger])&gt;0)),ROW()-2),1),"")</f>
        <v>Sedumin® Carbofert</v>
      </c>
      <c r="AL282" s="1672" t="str">
        <f>IF(($A$3=""),"",IF(COUNTIF(Mineral!$AJ$3:$AJ$324,$A$3),"",$A$3))</f>
        <v/>
      </c>
      <c r="AM282" s="1672" t="str">
        <f>IFERROR(INDEX(Liste_Handelsünger[Handelsdünger],_xlfn.AGGREGATE(15,6,(ROW(Liste_Handelsünger[Handelsdünger])-1)/(--(SEARCH(AN$2,Liste_Handelsünger[Handelsdünger])&gt;0)),ROW()-2),1),"")</f>
        <v>Sedumin® Carbofert</v>
      </c>
      <c r="AN282" t="str">
        <f>IF(($A284=""),"",IF(COUNTIF(Mineral!$AJ$3:$AJ$324,$A284),"",$A284))</f>
        <v/>
      </c>
      <c r="AO282" t="str">
        <f>IFERROR(INDEX(Liste_Handelsünger[Handelsdünger],_xlfn.AGGREGATE(15,6,(ROW(Liste_Handelsünger[Handelsdünger])-1)/(--(SEARCH(AP$2,Liste_Handelsünger[Handelsdünger])&gt;0)),ROW()-2),1),"")</f>
        <v>Sedumin® Carbofert</v>
      </c>
      <c r="AP282" t="str">
        <f>IF(($A285=""),"",IF(COUNTIF(Mineral!$AJ$3:$AJ$324,$A285),"",$A285))</f>
        <v/>
      </c>
      <c r="AQ282" t="str">
        <f>IFERROR(INDEX(Liste_Handelsünger[Handelsdünger],_xlfn.AGGREGATE(15,6,(ROW(Liste_Handelsünger[Handelsdünger])-1)/(--(SEARCH(AR$2,Liste_Handelsünger[Handelsdünger])&gt;0)),ROW()-2),1),"")</f>
        <v>Sedumin® Carbofert</v>
      </c>
      <c r="AR282" t="str">
        <f>IF(($A286=""),"",IF(COUNTIF(Mineral!$AJ$3:$AJ$324,$A286),"",$A286))</f>
        <v/>
      </c>
      <c r="AS282" t="str">
        <f>IFERROR(INDEX(Liste_Handelsünger[Handelsdünger],_xlfn.AGGREGATE(15,6,(ROW(Liste_Handelsünger[Handelsdünger])-1)/(--(SEARCH(AT$2,Liste_Handelsünger[Handelsdünger])&gt;0)),ROW()-2),1),"")</f>
        <v>Sedumin® Carbofert</v>
      </c>
      <c r="AT282" t="str">
        <f>IF(($A287=""),"",IF(COUNTIF(Mineral!$AJ$3:$AJ$324,$A287),"",$A287))</f>
        <v/>
      </c>
      <c r="AU282" t="str">
        <f>IFERROR(INDEX(Liste_Handelsünger[Handelsdünger],_xlfn.AGGREGATE(15,6,(ROW(Liste_Handelsünger[Handelsdünger])-1)/(--(SEARCH(AV$2,Liste_Handelsünger[Handelsdünger])&gt;0)),ROW()-2),1),"")</f>
        <v>Sedumin® Carbofert</v>
      </c>
      <c r="AV282" t="str">
        <f>IF(($A288=""),"",IF(COUNTIF(Mineral!$AJ$3:$AJ$324,$A288),"",$A288))</f>
        <v/>
      </c>
      <c r="AW282" t="str">
        <f>IFERROR(INDEX(Liste_Handelsünger[Handelsdünger],_xlfn.AGGREGATE(15,6,(ROW(Liste_Handelsünger[Handelsdünger])-1)/(--(SEARCH(AX$2,Liste_Handelsünger[Handelsdünger])&gt;0)),ROW()-2),1),"")</f>
        <v>Sedumin® Carbofert</v>
      </c>
      <c r="AX282" t="str">
        <f>IF(($A289=""),"",IF(COUNTIF(Mineral!$AJ$3:$AJ$324,$A289),"",$A289))</f>
        <v/>
      </c>
      <c r="AY282" t="str">
        <f>IFERROR(INDEX(Liste_Handelsünger[Handelsdünger],_xlfn.AGGREGATE(15,6,(ROW(Liste_Handelsünger[Handelsdünger])-1)/(--(SEARCH(AZ$2,Liste_Handelsünger[Handelsdünger])&gt;0)),ROW()-2),1),"")</f>
        <v>Sedumin® Carbofert</v>
      </c>
      <c r="AZ282" t="str">
        <f>IF(($A290=""),"",IF(COUNTIF(Mineral!$AJ$3:$AJ$324,$A290),"",$A290))</f>
        <v/>
      </c>
      <c r="BA282" t="str">
        <f>IFERROR(INDEX(Liste_Handelsünger[Handelsdünger],_xlfn.AGGREGATE(15,6,(ROW(Liste_Handelsünger[Handelsdünger])-1)/(--(SEARCH(BB$2,Liste_Handelsünger[Handelsdünger])&gt;0)),ROW()-2),1),"")</f>
        <v>Sedumin® Carbofert</v>
      </c>
      <c r="BB282" t="str">
        <f>IF(($A291=""),"",IF(COUNTIF(Mineral!$AJ$3:$AJ$324,$A291),"",$A291))</f>
        <v/>
      </c>
      <c r="BC282" t="str">
        <f>IFERROR(INDEX(Liste_Handelsünger[Handelsdünger],_xlfn.AGGREGATE(15,6,(ROW(Liste_Handelsünger[Handelsdünger])-1)/(--(SEARCH(BD$2,Liste_Handelsünger[Handelsdünger])&gt;0)),ROW()-2),1),"")</f>
        <v>Sedumin® Carbofert</v>
      </c>
      <c r="BD282" t="str">
        <f>IF(($A292=""),"",IF(COUNTIF(Mineral!$AJ$3:$AJ$324,$A292),"",$A292))</f>
        <v/>
      </c>
      <c r="BE282" t="str">
        <f>IFERROR(INDEX(Liste_Handelsünger[Handelsdünger],_xlfn.AGGREGATE(15,6,(ROW(Liste_Handelsünger[Handelsdünger])-1)/(--(SEARCH(BF$2,Liste_Handelsünger[Handelsdünger])&gt;0)),ROW()-2),1),"")</f>
        <v>Sedumin® Carbofert</v>
      </c>
      <c r="BF282" t="str">
        <f>IF(($A293=""),"",IF(COUNTIF(Mineral!$AJ$3:$AJ$324,$A293),"",$A293))</f>
        <v/>
      </c>
      <c r="BG282" t="str">
        <f>IFERROR(INDEX(Liste_Handelsünger[Handelsdünger],_xlfn.AGGREGATE(15,6,(ROW(Liste_Handelsünger[Handelsdünger])-1)/(--(SEARCH(BH$2,Liste_Handelsünger[Handelsdünger])&gt;0)),ROW()-2),1),"")</f>
        <v>Sedumin® Carbofert</v>
      </c>
      <c r="BH282" t="str">
        <f>IF(($A294=""),"",IF(COUNTIF(Mineral!$AJ$3:$AJ$324,$A294),"",$A294))</f>
        <v/>
      </c>
      <c r="BI282" t="str">
        <f>IFERROR(INDEX(Liste_Handelsünger[Handelsdünger],_xlfn.AGGREGATE(15,6,(ROW(Liste_Handelsünger[Handelsdünger])-1)/(--(SEARCH(BJ$2,Liste_Handelsünger[Handelsdünger])&gt;0)),ROW()-2),1),"")</f>
        <v>Sedumin® Carbofert</v>
      </c>
      <c r="BJ282" t="str">
        <f>IF(($A295=""),"",IF(COUNTIF(Mineral!$AJ$3:$AJ$324,$A295),"",$A295))</f>
        <v/>
      </c>
      <c r="BK282" t="str">
        <f>IFERROR(INDEX(Liste_Handelsünger[Handelsdünger],_xlfn.AGGREGATE(15,6,(ROW(Liste_Handelsünger[Handelsdünger])-1)/(--(SEARCH(BL$2,Liste_Handelsünger[Handelsdünger])&gt;0)),ROW()-2),1),"")</f>
        <v>Sedumin® Carbofert</v>
      </c>
      <c r="BM282" t="str">
        <f>IFERROR(INDEX(Liste_Handelsünger[Handelsdünger],_xlfn.AGGREGATE(15,6,(ROW(Liste_Handelsünger[Handelsdünger])-1)/(--(SEARCH(BN$2,Liste_Handelsünger[Handelsdünger])&gt;0)),ROW()-2),1),"")</f>
        <v>Sedumin® Carbofert</v>
      </c>
      <c r="BN282" t="str">
        <f>IF(($A297=""),"",IF(COUNTIF(Mineral!$AJ$3:$AJ$324,$A297),"",$A297))</f>
        <v/>
      </c>
      <c r="BV282" t="s">
        <v>2264</v>
      </c>
      <c r="BW282" t="s">
        <v>2221</v>
      </c>
      <c r="BZ282" s="1602"/>
      <c r="CA282" s="1602"/>
      <c r="CB282" s="1602"/>
    </row>
    <row r="283" spans="19:80" ht="14.25" thickTop="1" thickBot="1">
      <c r="S283" s="1616">
        <v>282</v>
      </c>
      <c r="T283" s="1617" t="s">
        <v>2006</v>
      </c>
      <c r="U283" s="1617" t="s">
        <v>2265</v>
      </c>
      <c r="V283" s="1617" t="s">
        <v>408</v>
      </c>
      <c r="W283" s="1617">
        <v>0</v>
      </c>
      <c r="X283" s="1617">
        <v>0</v>
      </c>
      <c r="Y283" s="1617">
        <v>0</v>
      </c>
      <c r="Z283" s="1617">
        <v>57.999999999999993</v>
      </c>
      <c r="AA283" s="1617">
        <v>0</v>
      </c>
      <c r="AB283" s="1617">
        <v>0</v>
      </c>
      <c r="AC283" s="1617">
        <v>1</v>
      </c>
      <c r="AD283" s="1613">
        <v>1</v>
      </c>
      <c r="AE283" s="1617" t="s">
        <v>1764</v>
      </c>
      <c r="AF283" s="1613" t="str">
        <f t="shared" si="21"/>
        <v/>
      </c>
      <c r="AG283" s="1656">
        <f>IFERROR(IF($AF283&gt;0,VLOOKUP($U283,Tabelle1!$C$188:$L$212,5,0)*$AF283,0),0)</f>
        <v>0</v>
      </c>
      <c r="AH283" s="1656">
        <f t="shared" si="22"/>
        <v>0</v>
      </c>
      <c r="AJ283" t="str">
        <f>IF(Betrieb!$D$9="JA",Mineral!$BW283,Mineral!$BV283)</f>
        <v>Sedumin® Element-S Biofluid</v>
      </c>
      <c r="AK283" s="1672" t="str">
        <f>IFERROR(INDEX(Liste_Handelsünger[Handelsdünger],_xlfn.AGGREGATE(15,6,(ROW(Liste_Handelsünger[Handelsdünger])-1)/(--(SEARCH(AL$2,Liste_Handelsünger[Handelsdünger])&gt;0)),ROW()-2),1),"")</f>
        <v>Sedumin® Element-S Biofluid</v>
      </c>
      <c r="AL283" s="1672" t="str">
        <f>IF(($A$3=""),"",IF(COUNTIF(Mineral!$AJ$3:$AJ$324,$A$3),"",$A$3))</f>
        <v/>
      </c>
      <c r="AM283" s="1672" t="str">
        <f>IFERROR(INDEX(Liste_Handelsünger[Handelsdünger],_xlfn.AGGREGATE(15,6,(ROW(Liste_Handelsünger[Handelsdünger])-1)/(--(SEARCH(AN$2,Liste_Handelsünger[Handelsdünger])&gt;0)),ROW()-2),1),"")</f>
        <v>Sedumin® Element-S Biofluid</v>
      </c>
      <c r="AN283" t="str">
        <f>IF(($A285=""),"",IF(COUNTIF(Mineral!$AJ$3:$AJ$324,$A285),"",$A285))</f>
        <v/>
      </c>
      <c r="AO283" t="str">
        <f>IFERROR(INDEX(Liste_Handelsünger[Handelsdünger],_xlfn.AGGREGATE(15,6,(ROW(Liste_Handelsünger[Handelsdünger])-1)/(--(SEARCH(AP$2,Liste_Handelsünger[Handelsdünger])&gt;0)),ROW()-2),1),"")</f>
        <v>Sedumin® Element-S Biofluid</v>
      </c>
      <c r="AP283" t="str">
        <f>IF(($A286=""),"",IF(COUNTIF(Mineral!$AJ$3:$AJ$324,$A286),"",$A286))</f>
        <v/>
      </c>
      <c r="AQ283" t="str">
        <f>IFERROR(INDEX(Liste_Handelsünger[Handelsdünger],_xlfn.AGGREGATE(15,6,(ROW(Liste_Handelsünger[Handelsdünger])-1)/(--(SEARCH(AR$2,Liste_Handelsünger[Handelsdünger])&gt;0)),ROW()-2),1),"")</f>
        <v>Sedumin® Element-S Biofluid</v>
      </c>
      <c r="AR283" t="str">
        <f>IF(($A287=""),"",IF(COUNTIF(Mineral!$AJ$3:$AJ$324,$A287),"",$A287))</f>
        <v/>
      </c>
      <c r="AS283" t="str">
        <f>IFERROR(INDEX(Liste_Handelsünger[Handelsdünger],_xlfn.AGGREGATE(15,6,(ROW(Liste_Handelsünger[Handelsdünger])-1)/(--(SEARCH(AT$2,Liste_Handelsünger[Handelsdünger])&gt;0)),ROW()-2),1),"")</f>
        <v>Sedumin® Element-S Biofluid</v>
      </c>
      <c r="AT283" t="str">
        <f>IF(($A288=""),"",IF(COUNTIF(Mineral!$AJ$3:$AJ$324,$A288),"",$A288))</f>
        <v/>
      </c>
      <c r="AU283" t="str">
        <f>IFERROR(INDEX(Liste_Handelsünger[Handelsdünger],_xlfn.AGGREGATE(15,6,(ROW(Liste_Handelsünger[Handelsdünger])-1)/(--(SEARCH(AV$2,Liste_Handelsünger[Handelsdünger])&gt;0)),ROW()-2),1),"")</f>
        <v>Sedumin® Element-S Biofluid</v>
      </c>
      <c r="AV283" t="str">
        <f>IF(($A289=""),"",IF(COUNTIF(Mineral!$AJ$3:$AJ$324,$A289),"",$A289))</f>
        <v/>
      </c>
      <c r="AW283" t="str">
        <f>IFERROR(INDEX(Liste_Handelsünger[Handelsdünger],_xlfn.AGGREGATE(15,6,(ROW(Liste_Handelsünger[Handelsdünger])-1)/(--(SEARCH(AX$2,Liste_Handelsünger[Handelsdünger])&gt;0)),ROW()-2),1),"")</f>
        <v>Sedumin® Element-S Biofluid</v>
      </c>
      <c r="AX283" t="str">
        <f>IF(($A290=""),"",IF(COUNTIF(Mineral!$AJ$3:$AJ$324,$A290),"",$A290))</f>
        <v/>
      </c>
      <c r="AY283" t="str">
        <f>IFERROR(INDEX(Liste_Handelsünger[Handelsdünger],_xlfn.AGGREGATE(15,6,(ROW(Liste_Handelsünger[Handelsdünger])-1)/(--(SEARCH(AZ$2,Liste_Handelsünger[Handelsdünger])&gt;0)),ROW()-2),1),"")</f>
        <v>Sedumin® Element-S Biofluid</v>
      </c>
      <c r="AZ283" t="str">
        <f>IF(($A291=""),"",IF(COUNTIF(Mineral!$AJ$3:$AJ$324,$A291),"",$A291))</f>
        <v/>
      </c>
      <c r="BA283" t="str">
        <f>IFERROR(INDEX(Liste_Handelsünger[Handelsdünger],_xlfn.AGGREGATE(15,6,(ROW(Liste_Handelsünger[Handelsdünger])-1)/(--(SEARCH(BB$2,Liste_Handelsünger[Handelsdünger])&gt;0)),ROW()-2),1),"")</f>
        <v>Sedumin® Element-S Biofluid</v>
      </c>
      <c r="BB283" t="str">
        <f>IF(($A292=""),"",IF(COUNTIF(Mineral!$AJ$3:$AJ$324,$A292),"",$A292))</f>
        <v/>
      </c>
      <c r="BC283" t="str">
        <f>IFERROR(INDEX(Liste_Handelsünger[Handelsdünger],_xlfn.AGGREGATE(15,6,(ROW(Liste_Handelsünger[Handelsdünger])-1)/(--(SEARCH(BD$2,Liste_Handelsünger[Handelsdünger])&gt;0)),ROW()-2),1),"")</f>
        <v>Sedumin® Element-S Biofluid</v>
      </c>
      <c r="BD283" t="str">
        <f>IF(($A293=""),"",IF(COUNTIF(Mineral!$AJ$3:$AJ$324,$A293),"",$A293))</f>
        <v/>
      </c>
      <c r="BE283" t="str">
        <f>IFERROR(INDEX(Liste_Handelsünger[Handelsdünger],_xlfn.AGGREGATE(15,6,(ROW(Liste_Handelsünger[Handelsdünger])-1)/(--(SEARCH(BF$2,Liste_Handelsünger[Handelsdünger])&gt;0)),ROW()-2),1),"")</f>
        <v>Sedumin® Element-S Biofluid</v>
      </c>
      <c r="BF283" t="str">
        <f>IF(($A294=""),"",IF(COUNTIF(Mineral!$AJ$3:$AJ$324,$A294),"",$A294))</f>
        <v/>
      </c>
      <c r="BG283" t="str">
        <f>IFERROR(INDEX(Liste_Handelsünger[Handelsdünger],_xlfn.AGGREGATE(15,6,(ROW(Liste_Handelsünger[Handelsdünger])-1)/(--(SEARCH(BH$2,Liste_Handelsünger[Handelsdünger])&gt;0)),ROW()-2),1),"")</f>
        <v>Sedumin® Element-S Biofluid</v>
      </c>
      <c r="BH283" t="str">
        <f>IF(($A295=""),"",IF(COUNTIF(Mineral!$AJ$3:$AJ$324,$A295),"",$A295))</f>
        <v/>
      </c>
      <c r="BI283" t="str">
        <f>IFERROR(INDEX(Liste_Handelsünger[Handelsdünger],_xlfn.AGGREGATE(15,6,(ROW(Liste_Handelsünger[Handelsdünger])-1)/(--(SEARCH(BJ$2,Liste_Handelsünger[Handelsdünger])&gt;0)),ROW()-2),1),"")</f>
        <v>Sedumin® Element-S Biofluid</v>
      </c>
      <c r="BJ283" t="str">
        <f>IF(($A296=""),"",IF(COUNTIF(Mineral!$AJ$3:$AJ$324,$A296),"",$A296))</f>
        <v/>
      </c>
      <c r="BK283" t="str">
        <f>IFERROR(INDEX(Liste_Handelsünger[Handelsdünger],_xlfn.AGGREGATE(15,6,(ROW(Liste_Handelsünger[Handelsdünger])-1)/(--(SEARCH(BL$2,Liste_Handelsünger[Handelsdünger])&gt;0)),ROW()-2),1),"")</f>
        <v>Sedumin® Element-S Biofluid</v>
      </c>
      <c r="BM283" t="str">
        <f>IFERROR(INDEX(Liste_Handelsünger[Handelsdünger],_xlfn.AGGREGATE(15,6,(ROW(Liste_Handelsünger[Handelsdünger])-1)/(--(SEARCH(BN$2,Liste_Handelsünger[Handelsdünger])&gt;0)),ROW()-2),1),"")</f>
        <v>Sedumin® Element-S Biofluid</v>
      </c>
      <c r="BN283" t="str">
        <f>IF(($A298=""),"",IF(COUNTIF(Mineral!$AJ$3:$AJ$324,$A298),"",$A298))</f>
        <v/>
      </c>
      <c r="BV283" t="s">
        <v>2265</v>
      </c>
      <c r="BW283" t="s">
        <v>2222</v>
      </c>
      <c r="BZ283" s="1602"/>
      <c r="CA283" s="1602"/>
      <c r="CB283" s="1602"/>
    </row>
    <row r="284" spans="19:80" ht="14.25" thickTop="1" thickBot="1">
      <c r="S284" s="1676">
        <v>283</v>
      </c>
      <c r="T284" s="1606" t="s">
        <v>2006</v>
      </c>
      <c r="U284" s="1606" t="s">
        <v>2266</v>
      </c>
      <c r="V284" s="1606" t="s">
        <v>408</v>
      </c>
      <c r="W284" s="1606">
        <v>14.000000000000002</v>
      </c>
      <c r="X284" s="1606">
        <v>0</v>
      </c>
      <c r="Y284" s="1606">
        <v>0</v>
      </c>
      <c r="Z284" s="1606">
        <v>1.7000000000000002</v>
      </c>
      <c r="AA284" s="1606">
        <v>0</v>
      </c>
      <c r="AB284" s="1606">
        <v>0</v>
      </c>
      <c r="AC284" s="1606">
        <v>0.5</v>
      </c>
      <c r="AD284" s="1613">
        <v>0.91</v>
      </c>
      <c r="AE284" s="1606" t="s">
        <v>2037</v>
      </c>
      <c r="AF284" s="1613" t="str">
        <f t="shared" si="21"/>
        <v/>
      </c>
      <c r="AG284" s="1656">
        <f>IFERROR(IF($AF284&gt;0,VLOOKUP($U284,Tabelle1!$C$188:$L$212,5,0)*$AF284,0),0)</f>
        <v>0</v>
      </c>
      <c r="AH284" s="1656">
        <f t="shared" si="22"/>
        <v>0</v>
      </c>
      <c r="AJ284" t="str">
        <f>IF(Betrieb!$D$9="JA",Mineral!$BW284,Mineral!$BV284)</f>
        <v>Sedumin® Haarmehlpellets 14% N</v>
      </c>
      <c r="AK284" s="1672" t="str">
        <f>IFERROR(INDEX(Liste_Handelsünger[Handelsdünger],_xlfn.AGGREGATE(15,6,(ROW(Liste_Handelsünger[Handelsdünger])-1)/(--(SEARCH(AL$2,Liste_Handelsünger[Handelsdünger])&gt;0)),ROW()-2),1),"")</f>
        <v>Sedumin® Haarmehlpellets 14% N</v>
      </c>
      <c r="AL284" s="1672" t="str">
        <f>IF(($A$3=""),"",IF(COUNTIF(Mineral!$AJ$3:$AJ$324,$A$3),"",$A$3))</f>
        <v/>
      </c>
      <c r="AM284" s="1672" t="str">
        <f>IFERROR(INDEX(Liste_Handelsünger[Handelsdünger],_xlfn.AGGREGATE(15,6,(ROW(Liste_Handelsünger[Handelsdünger])-1)/(--(SEARCH(AN$2,Liste_Handelsünger[Handelsdünger])&gt;0)),ROW()-2),1),"")</f>
        <v>Sedumin® Haarmehlpellets 14% N</v>
      </c>
      <c r="AN284" t="str">
        <f>IF(($A286=""),"",IF(COUNTIF(Mineral!$AJ$3:$AJ$324,$A286),"",$A286))</f>
        <v/>
      </c>
      <c r="AO284" t="str">
        <f>IFERROR(INDEX(Liste_Handelsünger[Handelsdünger],_xlfn.AGGREGATE(15,6,(ROW(Liste_Handelsünger[Handelsdünger])-1)/(--(SEARCH(AP$2,Liste_Handelsünger[Handelsdünger])&gt;0)),ROW()-2),1),"")</f>
        <v>Sedumin® Haarmehlpellets 14% N</v>
      </c>
      <c r="AP284" t="str">
        <f>IF(($A287=""),"",IF(COUNTIF(Mineral!$AJ$3:$AJ$324,$A287),"",$A287))</f>
        <v/>
      </c>
      <c r="AQ284" t="str">
        <f>IFERROR(INDEX(Liste_Handelsünger[Handelsdünger],_xlfn.AGGREGATE(15,6,(ROW(Liste_Handelsünger[Handelsdünger])-1)/(--(SEARCH(AR$2,Liste_Handelsünger[Handelsdünger])&gt;0)),ROW()-2),1),"")</f>
        <v>Sedumin® Haarmehlpellets 14% N</v>
      </c>
      <c r="AR284" t="str">
        <f>IF(($A288=""),"",IF(COUNTIF(Mineral!$AJ$3:$AJ$324,$A288),"",$A288))</f>
        <v/>
      </c>
      <c r="AS284" t="str">
        <f>IFERROR(INDEX(Liste_Handelsünger[Handelsdünger],_xlfn.AGGREGATE(15,6,(ROW(Liste_Handelsünger[Handelsdünger])-1)/(--(SEARCH(AT$2,Liste_Handelsünger[Handelsdünger])&gt;0)),ROW()-2),1),"")</f>
        <v>Sedumin® Haarmehlpellets 14% N</v>
      </c>
      <c r="AT284" t="str">
        <f>IF(($A289=""),"",IF(COUNTIF(Mineral!$AJ$3:$AJ$324,$A289),"",$A289))</f>
        <v/>
      </c>
      <c r="AU284" t="str">
        <f>IFERROR(INDEX(Liste_Handelsünger[Handelsdünger],_xlfn.AGGREGATE(15,6,(ROW(Liste_Handelsünger[Handelsdünger])-1)/(--(SEARCH(AV$2,Liste_Handelsünger[Handelsdünger])&gt;0)),ROW()-2),1),"")</f>
        <v>Sedumin® Haarmehlpellets 14% N</v>
      </c>
      <c r="AV284" t="str">
        <f>IF(($A290=""),"",IF(COUNTIF(Mineral!$AJ$3:$AJ$324,$A290),"",$A290))</f>
        <v/>
      </c>
      <c r="AW284" t="str">
        <f>IFERROR(INDEX(Liste_Handelsünger[Handelsdünger],_xlfn.AGGREGATE(15,6,(ROW(Liste_Handelsünger[Handelsdünger])-1)/(--(SEARCH(AX$2,Liste_Handelsünger[Handelsdünger])&gt;0)),ROW()-2),1),"")</f>
        <v>Sedumin® Haarmehlpellets 14% N</v>
      </c>
      <c r="AX284" t="str">
        <f>IF(($A291=""),"",IF(COUNTIF(Mineral!$AJ$3:$AJ$324,$A291),"",$A291))</f>
        <v/>
      </c>
      <c r="AY284" t="str">
        <f>IFERROR(INDEX(Liste_Handelsünger[Handelsdünger],_xlfn.AGGREGATE(15,6,(ROW(Liste_Handelsünger[Handelsdünger])-1)/(--(SEARCH(AZ$2,Liste_Handelsünger[Handelsdünger])&gt;0)),ROW()-2),1),"")</f>
        <v>Sedumin® Haarmehlpellets 14% N</v>
      </c>
      <c r="AZ284" t="str">
        <f>IF(($A292=""),"",IF(COUNTIF(Mineral!$AJ$3:$AJ$324,$A292),"",$A292))</f>
        <v/>
      </c>
      <c r="BA284" t="str">
        <f>IFERROR(INDEX(Liste_Handelsünger[Handelsdünger],_xlfn.AGGREGATE(15,6,(ROW(Liste_Handelsünger[Handelsdünger])-1)/(--(SEARCH(BB$2,Liste_Handelsünger[Handelsdünger])&gt;0)),ROW()-2),1),"")</f>
        <v>Sedumin® Haarmehlpellets 14% N</v>
      </c>
      <c r="BB284" t="str">
        <f>IF(($A293=""),"",IF(COUNTIF(Mineral!$AJ$3:$AJ$324,$A293),"",$A293))</f>
        <v/>
      </c>
      <c r="BC284" t="str">
        <f>IFERROR(INDEX(Liste_Handelsünger[Handelsdünger],_xlfn.AGGREGATE(15,6,(ROW(Liste_Handelsünger[Handelsdünger])-1)/(--(SEARCH(BD$2,Liste_Handelsünger[Handelsdünger])&gt;0)),ROW()-2),1),"")</f>
        <v>Sedumin® Haarmehlpellets 14% N</v>
      </c>
      <c r="BD284" t="str">
        <f>IF(($A294=""),"",IF(COUNTIF(Mineral!$AJ$3:$AJ$324,$A294),"",$A294))</f>
        <v/>
      </c>
      <c r="BE284" t="str">
        <f>IFERROR(INDEX(Liste_Handelsünger[Handelsdünger],_xlfn.AGGREGATE(15,6,(ROW(Liste_Handelsünger[Handelsdünger])-1)/(--(SEARCH(BF$2,Liste_Handelsünger[Handelsdünger])&gt;0)),ROW()-2),1),"")</f>
        <v>Sedumin® Haarmehlpellets 14% N</v>
      </c>
      <c r="BF284" t="str">
        <f>IF(($A295=""),"",IF(COUNTIF(Mineral!$AJ$3:$AJ$324,$A295),"",$A295))</f>
        <v/>
      </c>
      <c r="BG284" t="str">
        <f>IFERROR(INDEX(Liste_Handelsünger[Handelsdünger],_xlfn.AGGREGATE(15,6,(ROW(Liste_Handelsünger[Handelsdünger])-1)/(--(SEARCH(BH$2,Liste_Handelsünger[Handelsdünger])&gt;0)),ROW()-2),1),"")</f>
        <v>Sedumin® Haarmehlpellets 14% N</v>
      </c>
      <c r="BH284" t="str">
        <f>IF(($A296=""),"",IF(COUNTIF(Mineral!$AJ$3:$AJ$324,$A296),"",$A296))</f>
        <v/>
      </c>
      <c r="BI284" t="str">
        <f>IFERROR(INDEX(Liste_Handelsünger[Handelsdünger],_xlfn.AGGREGATE(15,6,(ROW(Liste_Handelsünger[Handelsdünger])-1)/(--(SEARCH(BJ$2,Liste_Handelsünger[Handelsdünger])&gt;0)),ROW()-2),1),"")</f>
        <v>Sedumin® Haarmehlpellets 14% N</v>
      </c>
      <c r="BJ284" t="str">
        <f>IF(($A297=""),"",IF(COUNTIF(Mineral!$AJ$3:$AJ$324,$A297),"",$A297))</f>
        <v/>
      </c>
      <c r="BK284" t="str">
        <f>IFERROR(INDEX(Liste_Handelsünger[Handelsdünger],_xlfn.AGGREGATE(15,6,(ROW(Liste_Handelsünger[Handelsdünger])-1)/(--(SEARCH(BL$2,Liste_Handelsünger[Handelsdünger])&gt;0)),ROW()-2),1),"")</f>
        <v>Sedumin® Haarmehlpellets 14% N</v>
      </c>
      <c r="BM284" t="str">
        <f>IFERROR(INDEX(Liste_Handelsünger[Handelsdünger],_xlfn.AGGREGATE(15,6,(ROW(Liste_Handelsünger[Handelsdünger])-1)/(--(SEARCH(BN$2,Liste_Handelsünger[Handelsdünger])&gt;0)),ROW()-2),1),"")</f>
        <v>Sedumin® Haarmehlpellets 14% N</v>
      </c>
      <c r="BN284" t="str">
        <f>IF(($A299=""),"",IF(COUNTIF(Mineral!$AJ$3:$AJ$324,$A299),"",$A299))</f>
        <v/>
      </c>
      <c r="BV284" t="s">
        <v>2266</v>
      </c>
      <c r="BW284" t="s">
        <v>2223</v>
      </c>
      <c r="BZ284" s="1602"/>
      <c r="CA284" s="1602"/>
      <c r="CB284" s="1602"/>
    </row>
    <row r="285" spans="19:80" ht="14.25" thickTop="1" thickBot="1">
      <c r="S285" s="1616">
        <v>284</v>
      </c>
      <c r="T285" s="1617" t="s">
        <v>2006</v>
      </c>
      <c r="U285" s="1617" t="s">
        <v>2267</v>
      </c>
      <c r="V285" s="1617" t="s">
        <v>408</v>
      </c>
      <c r="W285" s="1617">
        <v>3.1</v>
      </c>
      <c r="X285" s="1617">
        <v>0.85000000000000009</v>
      </c>
      <c r="Y285" s="1617">
        <v>3.3000000000000003</v>
      </c>
      <c r="Z285" s="1617">
        <v>0</v>
      </c>
      <c r="AA285" s="1617">
        <v>1.9</v>
      </c>
      <c r="AB285" s="1617">
        <v>0</v>
      </c>
      <c r="AC285" s="1617">
        <v>0.5</v>
      </c>
      <c r="AD285" s="1613">
        <v>0.91</v>
      </c>
      <c r="AE285" s="1617" t="s">
        <v>2037</v>
      </c>
      <c r="AF285" s="1613" t="str">
        <f t="shared" si="21"/>
        <v/>
      </c>
      <c r="AG285" s="1656">
        <f>IFERROR(IF($AF285&gt;0,VLOOKUP($U285,Tabelle1!$C$188:$L$212,5,0)*$AF285,0),0)</f>
        <v>0</v>
      </c>
      <c r="AH285" s="1656">
        <f t="shared" si="22"/>
        <v>0</v>
      </c>
      <c r="AJ285" t="str">
        <f>IF(Betrieb!$D$9="JA",Mineral!$BW285,Mineral!$BV285)</f>
        <v>Sedumin® MicroVital 313</v>
      </c>
      <c r="AK285" s="1672" t="str">
        <f>IFERROR(INDEX(Liste_Handelsünger[Handelsdünger],_xlfn.AGGREGATE(15,6,(ROW(Liste_Handelsünger[Handelsdünger])-1)/(--(SEARCH(AL$2,Liste_Handelsünger[Handelsdünger])&gt;0)),ROW()-2),1),"")</f>
        <v>Sedumin® MicroVital 313</v>
      </c>
      <c r="AL285" s="1672" t="str">
        <f>IF(($A$3=""),"",IF(COUNTIF(Mineral!$AJ$3:$AJ$324,$A$3),"",$A$3))</f>
        <v/>
      </c>
      <c r="AM285" s="1672" t="str">
        <f>IFERROR(INDEX(Liste_Handelsünger[Handelsdünger],_xlfn.AGGREGATE(15,6,(ROW(Liste_Handelsünger[Handelsdünger])-1)/(--(SEARCH(AN$2,Liste_Handelsünger[Handelsdünger])&gt;0)),ROW()-2),1),"")</f>
        <v>Sedumin® MicroVital 313</v>
      </c>
      <c r="AN285" t="str">
        <f>IF(($A287=""),"",IF(COUNTIF(Mineral!$AJ$3:$AJ$324,$A287),"",$A287))</f>
        <v/>
      </c>
      <c r="AO285" t="str">
        <f>IFERROR(INDEX(Liste_Handelsünger[Handelsdünger],_xlfn.AGGREGATE(15,6,(ROW(Liste_Handelsünger[Handelsdünger])-1)/(--(SEARCH(AP$2,Liste_Handelsünger[Handelsdünger])&gt;0)),ROW()-2),1),"")</f>
        <v>Sedumin® MicroVital 313</v>
      </c>
      <c r="AP285" t="str">
        <f>IF(($A288=""),"",IF(COUNTIF(Mineral!$AJ$3:$AJ$324,$A288),"",$A288))</f>
        <v/>
      </c>
      <c r="AQ285" t="str">
        <f>IFERROR(INDEX(Liste_Handelsünger[Handelsdünger],_xlfn.AGGREGATE(15,6,(ROW(Liste_Handelsünger[Handelsdünger])-1)/(--(SEARCH(AR$2,Liste_Handelsünger[Handelsdünger])&gt;0)),ROW()-2),1),"")</f>
        <v>Sedumin® MicroVital 313</v>
      </c>
      <c r="AR285" t="str">
        <f>IF(($A289=""),"",IF(COUNTIF(Mineral!$AJ$3:$AJ$324,$A289),"",$A289))</f>
        <v/>
      </c>
      <c r="AS285" t="str">
        <f>IFERROR(INDEX(Liste_Handelsünger[Handelsdünger],_xlfn.AGGREGATE(15,6,(ROW(Liste_Handelsünger[Handelsdünger])-1)/(--(SEARCH(AT$2,Liste_Handelsünger[Handelsdünger])&gt;0)),ROW()-2),1),"")</f>
        <v>Sedumin® MicroVital 313</v>
      </c>
      <c r="AT285" t="str">
        <f>IF(($A290=""),"",IF(COUNTIF(Mineral!$AJ$3:$AJ$324,$A290),"",$A290))</f>
        <v/>
      </c>
      <c r="AU285" t="str">
        <f>IFERROR(INDEX(Liste_Handelsünger[Handelsdünger],_xlfn.AGGREGATE(15,6,(ROW(Liste_Handelsünger[Handelsdünger])-1)/(--(SEARCH(AV$2,Liste_Handelsünger[Handelsdünger])&gt;0)),ROW()-2),1),"")</f>
        <v>Sedumin® MicroVital 313</v>
      </c>
      <c r="AV285" t="str">
        <f>IF(($A291=""),"",IF(COUNTIF(Mineral!$AJ$3:$AJ$324,$A291),"",$A291))</f>
        <v/>
      </c>
      <c r="AW285" t="str">
        <f>IFERROR(INDEX(Liste_Handelsünger[Handelsdünger],_xlfn.AGGREGATE(15,6,(ROW(Liste_Handelsünger[Handelsdünger])-1)/(--(SEARCH(AX$2,Liste_Handelsünger[Handelsdünger])&gt;0)),ROW()-2),1),"")</f>
        <v>Sedumin® MicroVital 313</v>
      </c>
      <c r="AX285" t="str">
        <f>IF(($A292=""),"",IF(COUNTIF(Mineral!$AJ$3:$AJ$324,$A292),"",$A292))</f>
        <v/>
      </c>
      <c r="AY285" t="str">
        <f>IFERROR(INDEX(Liste_Handelsünger[Handelsdünger],_xlfn.AGGREGATE(15,6,(ROW(Liste_Handelsünger[Handelsdünger])-1)/(--(SEARCH(AZ$2,Liste_Handelsünger[Handelsdünger])&gt;0)),ROW()-2),1),"")</f>
        <v>Sedumin® MicroVital 313</v>
      </c>
      <c r="AZ285" t="str">
        <f>IF(($A293=""),"",IF(COUNTIF(Mineral!$AJ$3:$AJ$324,$A293),"",$A293))</f>
        <v/>
      </c>
      <c r="BA285" t="str">
        <f>IFERROR(INDEX(Liste_Handelsünger[Handelsdünger],_xlfn.AGGREGATE(15,6,(ROW(Liste_Handelsünger[Handelsdünger])-1)/(--(SEARCH(BB$2,Liste_Handelsünger[Handelsdünger])&gt;0)),ROW()-2),1),"")</f>
        <v>Sedumin® MicroVital 313</v>
      </c>
      <c r="BB285" t="str">
        <f>IF(($A294=""),"",IF(COUNTIF(Mineral!$AJ$3:$AJ$324,$A294),"",$A294))</f>
        <v/>
      </c>
      <c r="BC285" t="str">
        <f>IFERROR(INDEX(Liste_Handelsünger[Handelsdünger],_xlfn.AGGREGATE(15,6,(ROW(Liste_Handelsünger[Handelsdünger])-1)/(--(SEARCH(BD$2,Liste_Handelsünger[Handelsdünger])&gt;0)),ROW()-2),1),"")</f>
        <v>Sedumin® MicroVital 313</v>
      </c>
      <c r="BD285" t="str">
        <f>IF(($A295=""),"",IF(COUNTIF(Mineral!$AJ$3:$AJ$324,$A295),"",$A295))</f>
        <v/>
      </c>
      <c r="BE285" t="str">
        <f>IFERROR(INDEX(Liste_Handelsünger[Handelsdünger],_xlfn.AGGREGATE(15,6,(ROW(Liste_Handelsünger[Handelsdünger])-1)/(--(SEARCH(BF$2,Liste_Handelsünger[Handelsdünger])&gt;0)),ROW()-2),1),"")</f>
        <v>Sedumin® MicroVital 313</v>
      </c>
      <c r="BF285" t="str">
        <f>IF(($A296=""),"",IF(COUNTIF(Mineral!$AJ$3:$AJ$324,$A296),"",$A296))</f>
        <v/>
      </c>
      <c r="BG285" t="str">
        <f>IFERROR(INDEX(Liste_Handelsünger[Handelsdünger],_xlfn.AGGREGATE(15,6,(ROW(Liste_Handelsünger[Handelsdünger])-1)/(--(SEARCH(BH$2,Liste_Handelsünger[Handelsdünger])&gt;0)),ROW()-2),1),"")</f>
        <v>Sedumin® MicroVital 313</v>
      </c>
      <c r="BH285" t="str">
        <f>IF(($A297=""),"",IF(COUNTIF(Mineral!$AJ$3:$AJ$324,$A297),"",$A297))</f>
        <v/>
      </c>
      <c r="BI285" t="str">
        <f>IFERROR(INDEX(Liste_Handelsünger[Handelsdünger],_xlfn.AGGREGATE(15,6,(ROW(Liste_Handelsünger[Handelsdünger])-1)/(--(SEARCH(BJ$2,Liste_Handelsünger[Handelsdünger])&gt;0)),ROW()-2),1),"")</f>
        <v>Sedumin® MicroVital 313</v>
      </c>
      <c r="BJ285" t="str">
        <f>IF(($A298=""),"",IF(COUNTIF(Mineral!$AJ$3:$AJ$324,$A298),"",$A298))</f>
        <v/>
      </c>
      <c r="BK285" t="str">
        <f>IFERROR(INDEX(Liste_Handelsünger[Handelsdünger],_xlfn.AGGREGATE(15,6,(ROW(Liste_Handelsünger[Handelsdünger])-1)/(--(SEARCH(BL$2,Liste_Handelsünger[Handelsdünger])&gt;0)),ROW()-2),1),"")</f>
        <v>Sedumin® MicroVital 313</v>
      </c>
      <c r="BM285" t="str">
        <f>IFERROR(INDEX(Liste_Handelsünger[Handelsdünger],_xlfn.AGGREGATE(15,6,(ROW(Liste_Handelsünger[Handelsdünger])-1)/(--(SEARCH(BN$2,Liste_Handelsünger[Handelsdünger])&gt;0)),ROW()-2),1),"")</f>
        <v>Sedumin® MicroVital 313</v>
      </c>
      <c r="BN285" t="str">
        <f>IF(($A300=""),"",IF(COUNTIF(Mineral!$AJ$3:$AJ$324,$A300),"",$A300))</f>
        <v/>
      </c>
      <c r="BV285" t="s">
        <v>2267</v>
      </c>
      <c r="BW285" t="s">
        <v>2224</v>
      </c>
      <c r="BZ285" s="1602"/>
      <c r="CA285" s="1602"/>
      <c r="CB285" s="1602"/>
    </row>
    <row r="286" spans="19:80" ht="14.25" thickTop="1" thickBot="1">
      <c r="S286" s="1676">
        <v>285</v>
      </c>
      <c r="T286" s="1606" t="s">
        <v>2006</v>
      </c>
      <c r="U286" s="1606" t="s">
        <v>2268</v>
      </c>
      <c r="V286" s="1606" t="s">
        <v>408</v>
      </c>
      <c r="W286" s="1606">
        <v>4.3</v>
      </c>
      <c r="X286" s="1606">
        <v>1</v>
      </c>
      <c r="Y286" s="1606">
        <v>5.5</v>
      </c>
      <c r="Z286" s="1606">
        <v>0</v>
      </c>
      <c r="AA286" s="1606">
        <v>1</v>
      </c>
      <c r="AB286" s="1606">
        <v>0</v>
      </c>
      <c r="AC286" s="1606">
        <v>0.5</v>
      </c>
      <c r="AD286" s="1613">
        <v>0.91</v>
      </c>
      <c r="AE286" s="1606" t="s">
        <v>2037</v>
      </c>
      <c r="AF286" s="1613" t="str">
        <f t="shared" si="21"/>
        <v/>
      </c>
      <c r="AG286" s="1656">
        <f>IFERROR(IF($AF286&gt;0,VLOOKUP($U286,Tabelle1!$C$188:$L$212,5,0)*$AF286,0),0)</f>
        <v>0</v>
      </c>
      <c r="AH286" s="1656">
        <f t="shared" si="22"/>
        <v>0</v>
      </c>
      <c r="AJ286" t="str">
        <f>IF(Betrieb!$D$9="JA",Mineral!$BW286,Mineral!$BV286)</f>
        <v>Sedumin® Soilfeed Bio - flüssig</v>
      </c>
      <c r="AK286" s="1672" t="str">
        <f>IFERROR(INDEX(Liste_Handelsünger[Handelsdünger],_xlfn.AGGREGATE(15,6,(ROW(Liste_Handelsünger[Handelsdünger])-1)/(--(SEARCH(AL$2,Liste_Handelsünger[Handelsdünger])&gt;0)),ROW()-2),1),"")</f>
        <v>Sedumin® Soilfeed Bio - flüssig</v>
      </c>
      <c r="AL286" s="1672" t="str">
        <f>IF(($A$3=""),"",IF(COUNTIF(Mineral!$AJ$3:$AJ$324,$A$3),"",$A$3))</f>
        <v/>
      </c>
      <c r="AM286" s="1672" t="str">
        <f>IFERROR(INDEX(Liste_Handelsünger[Handelsdünger],_xlfn.AGGREGATE(15,6,(ROW(Liste_Handelsünger[Handelsdünger])-1)/(--(SEARCH(AN$2,Liste_Handelsünger[Handelsdünger])&gt;0)),ROW()-2),1),"")</f>
        <v>Sedumin® Soilfeed Bio - flüssig</v>
      </c>
      <c r="AN286" t="str">
        <f>IF(($A288=""),"",IF(COUNTIF(Mineral!$AJ$3:$AJ$324,$A288),"",$A288))</f>
        <v/>
      </c>
      <c r="AO286" t="str">
        <f>IFERROR(INDEX(Liste_Handelsünger[Handelsdünger],_xlfn.AGGREGATE(15,6,(ROW(Liste_Handelsünger[Handelsdünger])-1)/(--(SEARCH(AP$2,Liste_Handelsünger[Handelsdünger])&gt;0)),ROW()-2),1),"")</f>
        <v>Sedumin® Soilfeed Bio - flüssig</v>
      </c>
      <c r="AP286" t="str">
        <f>IF(($A289=""),"",IF(COUNTIF(Mineral!$AJ$3:$AJ$324,$A289),"",$A289))</f>
        <v/>
      </c>
      <c r="AQ286" t="str">
        <f>IFERROR(INDEX(Liste_Handelsünger[Handelsdünger],_xlfn.AGGREGATE(15,6,(ROW(Liste_Handelsünger[Handelsdünger])-1)/(--(SEARCH(AR$2,Liste_Handelsünger[Handelsdünger])&gt;0)),ROW()-2),1),"")</f>
        <v>Sedumin® Soilfeed Bio - flüssig</v>
      </c>
      <c r="AR286" t="str">
        <f>IF(($A290=""),"",IF(COUNTIF(Mineral!$AJ$3:$AJ$324,$A290),"",$A290))</f>
        <v/>
      </c>
      <c r="AS286" t="str">
        <f>IFERROR(INDEX(Liste_Handelsünger[Handelsdünger],_xlfn.AGGREGATE(15,6,(ROW(Liste_Handelsünger[Handelsdünger])-1)/(--(SEARCH(AT$2,Liste_Handelsünger[Handelsdünger])&gt;0)),ROW()-2),1),"")</f>
        <v>Sedumin® Soilfeed Bio - flüssig</v>
      </c>
      <c r="AT286" t="str">
        <f>IF(($A291=""),"",IF(COUNTIF(Mineral!$AJ$3:$AJ$324,$A291),"",$A291))</f>
        <v/>
      </c>
      <c r="AU286" t="str">
        <f>IFERROR(INDEX(Liste_Handelsünger[Handelsdünger],_xlfn.AGGREGATE(15,6,(ROW(Liste_Handelsünger[Handelsdünger])-1)/(--(SEARCH(AV$2,Liste_Handelsünger[Handelsdünger])&gt;0)),ROW()-2),1),"")</f>
        <v>Sedumin® Soilfeed Bio - flüssig</v>
      </c>
      <c r="AV286" t="str">
        <f>IF(($A292=""),"",IF(COUNTIF(Mineral!$AJ$3:$AJ$324,$A292),"",$A292))</f>
        <v/>
      </c>
      <c r="AW286" t="str">
        <f>IFERROR(INDEX(Liste_Handelsünger[Handelsdünger],_xlfn.AGGREGATE(15,6,(ROW(Liste_Handelsünger[Handelsdünger])-1)/(--(SEARCH(AX$2,Liste_Handelsünger[Handelsdünger])&gt;0)),ROW()-2),1),"")</f>
        <v>Sedumin® Soilfeed Bio - flüssig</v>
      </c>
      <c r="AX286" t="str">
        <f>IF(($A293=""),"",IF(COUNTIF(Mineral!$AJ$3:$AJ$324,$A293),"",$A293))</f>
        <v/>
      </c>
      <c r="AY286" t="str">
        <f>IFERROR(INDEX(Liste_Handelsünger[Handelsdünger],_xlfn.AGGREGATE(15,6,(ROW(Liste_Handelsünger[Handelsdünger])-1)/(--(SEARCH(AZ$2,Liste_Handelsünger[Handelsdünger])&gt;0)),ROW()-2),1),"")</f>
        <v>Sedumin® Soilfeed Bio - flüssig</v>
      </c>
      <c r="AZ286" t="str">
        <f>IF(($A294=""),"",IF(COUNTIF(Mineral!$AJ$3:$AJ$324,$A294),"",$A294))</f>
        <v/>
      </c>
      <c r="BA286" t="str">
        <f>IFERROR(INDEX(Liste_Handelsünger[Handelsdünger],_xlfn.AGGREGATE(15,6,(ROW(Liste_Handelsünger[Handelsdünger])-1)/(--(SEARCH(BB$2,Liste_Handelsünger[Handelsdünger])&gt;0)),ROW()-2),1),"")</f>
        <v>Sedumin® Soilfeed Bio - flüssig</v>
      </c>
      <c r="BB286" t="str">
        <f>IF(($A295=""),"",IF(COUNTIF(Mineral!$AJ$3:$AJ$324,$A295),"",$A295))</f>
        <v/>
      </c>
      <c r="BC286" t="str">
        <f>IFERROR(INDEX(Liste_Handelsünger[Handelsdünger],_xlfn.AGGREGATE(15,6,(ROW(Liste_Handelsünger[Handelsdünger])-1)/(--(SEARCH(BD$2,Liste_Handelsünger[Handelsdünger])&gt;0)),ROW()-2),1),"")</f>
        <v>Sedumin® Soilfeed Bio - flüssig</v>
      </c>
      <c r="BD286" t="str">
        <f>IF(($A296=""),"",IF(COUNTIF(Mineral!$AJ$3:$AJ$324,$A296),"",$A296))</f>
        <v/>
      </c>
      <c r="BE286" t="str">
        <f>IFERROR(INDEX(Liste_Handelsünger[Handelsdünger],_xlfn.AGGREGATE(15,6,(ROW(Liste_Handelsünger[Handelsdünger])-1)/(--(SEARCH(BF$2,Liste_Handelsünger[Handelsdünger])&gt;0)),ROW()-2),1),"")</f>
        <v>Sedumin® Soilfeed Bio - flüssig</v>
      </c>
      <c r="BF286" t="str">
        <f>IF(($A297=""),"",IF(COUNTIF(Mineral!$AJ$3:$AJ$324,$A297),"",$A297))</f>
        <v/>
      </c>
      <c r="BG286" t="str">
        <f>IFERROR(INDEX(Liste_Handelsünger[Handelsdünger],_xlfn.AGGREGATE(15,6,(ROW(Liste_Handelsünger[Handelsdünger])-1)/(--(SEARCH(BH$2,Liste_Handelsünger[Handelsdünger])&gt;0)),ROW()-2),1),"")</f>
        <v>Sedumin® Soilfeed Bio - flüssig</v>
      </c>
      <c r="BH286" t="str">
        <f>IF(($A298=""),"",IF(COUNTIF(Mineral!$AJ$3:$AJ$324,$A298),"",$A298))</f>
        <v/>
      </c>
      <c r="BI286" t="str">
        <f>IFERROR(INDEX(Liste_Handelsünger[Handelsdünger],_xlfn.AGGREGATE(15,6,(ROW(Liste_Handelsünger[Handelsdünger])-1)/(--(SEARCH(BJ$2,Liste_Handelsünger[Handelsdünger])&gt;0)),ROW()-2),1),"")</f>
        <v>Sedumin® Soilfeed Bio - flüssig</v>
      </c>
      <c r="BJ286" t="str">
        <f>IF(($A299=""),"",IF(COUNTIF(Mineral!$AJ$3:$AJ$324,$A299),"",$A299))</f>
        <v/>
      </c>
      <c r="BK286" t="str">
        <f>IFERROR(INDEX(Liste_Handelsünger[Handelsdünger],_xlfn.AGGREGATE(15,6,(ROW(Liste_Handelsünger[Handelsdünger])-1)/(--(SEARCH(BL$2,Liste_Handelsünger[Handelsdünger])&gt;0)),ROW()-2),1),"")</f>
        <v>Sedumin® Soilfeed Bio - flüssig</v>
      </c>
      <c r="BM286" t="str">
        <f>IFERROR(INDEX(Liste_Handelsünger[Handelsdünger],_xlfn.AGGREGATE(15,6,(ROW(Liste_Handelsünger[Handelsdünger])-1)/(--(SEARCH(BN$2,Liste_Handelsünger[Handelsdünger])&gt;0)),ROW()-2),1),"")</f>
        <v>Sedumin® Soilfeed Bio - flüssig</v>
      </c>
      <c r="BN286" t="str">
        <f>IF(($A301=""),"",IF(COUNTIF(Mineral!$AJ$3:$AJ$324,$A301),"",$A301))</f>
        <v/>
      </c>
      <c r="BV286" t="s">
        <v>2268</v>
      </c>
      <c r="BW286" t="s">
        <v>2225</v>
      </c>
      <c r="BZ286" s="1602"/>
      <c r="CA286" s="1602"/>
      <c r="CB286" s="1602"/>
    </row>
    <row r="287" spans="19:80" ht="14.25" thickTop="1" thickBot="1">
      <c r="S287" s="1616">
        <v>286</v>
      </c>
      <c r="T287" s="1617" t="s">
        <v>2006</v>
      </c>
      <c r="U287" s="1617" t="s">
        <v>2269</v>
      </c>
      <c r="V287" s="1617" t="s">
        <v>408</v>
      </c>
      <c r="W287" s="1617">
        <v>3.6999999999999997</v>
      </c>
      <c r="X287" s="1617">
        <v>0</v>
      </c>
      <c r="Y287" s="1617">
        <v>1.6</v>
      </c>
      <c r="Z287" s="1617">
        <v>0</v>
      </c>
      <c r="AA287" s="1617">
        <v>0</v>
      </c>
      <c r="AB287" s="1617">
        <v>0</v>
      </c>
      <c r="AC287" s="1617">
        <v>0.5</v>
      </c>
      <c r="AD287" s="1613">
        <v>0.91</v>
      </c>
      <c r="AE287" s="1617" t="s">
        <v>2037</v>
      </c>
      <c r="AF287" s="1613" t="str">
        <f t="shared" si="21"/>
        <v/>
      </c>
      <c r="AG287" s="1656">
        <f>IFERROR(IF($AF287&gt;0,VLOOKUP($U287,Tabelle1!$C$188:$L$212,5,0)*$AF287,0),0)</f>
        <v>0</v>
      </c>
      <c r="AH287" s="1656">
        <f t="shared" si="22"/>
        <v>0</v>
      </c>
      <c r="AJ287" t="str">
        <f>IF(Betrieb!$D$9="JA",Mineral!$BW287,Mineral!$BV287)</f>
        <v>Sedumin® Vegipur 402 M</v>
      </c>
      <c r="AK287" s="1672" t="str">
        <f>IFERROR(INDEX(Liste_Handelsünger[Handelsdünger],_xlfn.AGGREGATE(15,6,(ROW(Liste_Handelsünger[Handelsdünger])-1)/(--(SEARCH(AL$2,Liste_Handelsünger[Handelsdünger])&gt;0)),ROW()-2),1),"")</f>
        <v>Sedumin® Vegipur 402 M</v>
      </c>
      <c r="AL287" s="1672" t="str">
        <f>IF(($A$3=""),"",IF(COUNTIF(Mineral!$AJ$3:$AJ$324,$A$3),"",$A$3))</f>
        <v/>
      </c>
      <c r="AM287" s="1672" t="str">
        <f>IFERROR(INDEX(Liste_Handelsünger[Handelsdünger],_xlfn.AGGREGATE(15,6,(ROW(Liste_Handelsünger[Handelsdünger])-1)/(--(SEARCH(AN$2,Liste_Handelsünger[Handelsdünger])&gt;0)),ROW()-2),1),"")</f>
        <v>Sedumin® Vegipur 402 M</v>
      </c>
      <c r="AN287" t="str">
        <f>IF(($A289=""),"",IF(COUNTIF(Mineral!$AJ$3:$AJ$324,$A289),"",$A289))</f>
        <v/>
      </c>
      <c r="AO287" t="str">
        <f>IFERROR(INDEX(Liste_Handelsünger[Handelsdünger],_xlfn.AGGREGATE(15,6,(ROW(Liste_Handelsünger[Handelsdünger])-1)/(--(SEARCH(AP$2,Liste_Handelsünger[Handelsdünger])&gt;0)),ROW()-2),1),"")</f>
        <v>Sedumin® Vegipur 402 M</v>
      </c>
      <c r="AP287" t="str">
        <f>IF(($A290=""),"",IF(COUNTIF(Mineral!$AJ$3:$AJ$324,$A290),"",$A290))</f>
        <v/>
      </c>
      <c r="AQ287" t="str">
        <f>IFERROR(INDEX(Liste_Handelsünger[Handelsdünger],_xlfn.AGGREGATE(15,6,(ROW(Liste_Handelsünger[Handelsdünger])-1)/(--(SEARCH(AR$2,Liste_Handelsünger[Handelsdünger])&gt;0)),ROW()-2),1),"")</f>
        <v>Sedumin® Vegipur 402 M</v>
      </c>
      <c r="AR287" t="str">
        <f>IF(($A291=""),"",IF(COUNTIF(Mineral!$AJ$3:$AJ$324,$A291),"",$A291))</f>
        <v/>
      </c>
      <c r="AS287" t="str">
        <f>IFERROR(INDEX(Liste_Handelsünger[Handelsdünger],_xlfn.AGGREGATE(15,6,(ROW(Liste_Handelsünger[Handelsdünger])-1)/(--(SEARCH(AT$2,Liste_Handelsünger[Handelsdünger])&gt;0)),ROW()-2),1),"")</f>
        <v>Sedumin® Vegipur 402 M</v>
      </c>
      <c r="AT287" t="str">
        <f>IF(($A292=""),"",IF(COUNTIF(Mineral!$AJ$3:$AJ$324,$A292),"",$A292))</f>
        <v/>
      </c>
      <c r="AU287" t="str">
        <f>IFERROR(INDEX(Liste_Handelsünger[Handelsdünger],_xlfn.AGGREGATE(15,6,(ROW(Liste_Handelsünger[Handelsdünger])-1)/(--(SEARCH(AV$2,Liste_Handelsünger[Handelsdünger])&gt;0)),ROW()-2),1),"")</f>
        <v>Sedumin® Vegipur 402 M</v>
      </c>
      <c r="AV287" t="str">
        <f>IF(($A293=""),"",IF(COUNTIF(Mineral!$AJ$3:$AJ$324,$A293),"",$A293))</f>
        <v/>
      </c>
      <c r="AW287" t="str">
        <f>IFERROR(INDEX(Liste_Handelsünger[Handelsdünger],_xlfn.AGGREGATE(15,6,(ROW(Liste_Handelsünger[Handelsdünger])-1)/(--(SEARCH(AX$2,Liste_Handelsünger[Handelsdünger])&gt;0)),ROW()-2),1),"")</f>
        <v>Sedumin® Vegipur 402 M</v>
      </c>
      <c r="AX287" t="str">
        <f>IF(($A294=""),"",IF(COUNTIF(Mineral!$AJ$3:$AJ$324,$A294),"",$A294))</f>
        <v/>
      </c>
      <c r="AY287" t="str">
        <f>IFERROR(INDEX(Liste_Handelsünger[Handelsdünger],_xlfn.AGGREGATE(15,6,(ROW(Liste_Handelsünger[Handelsdünger])-1)/(--(SEARCH(AZ$2,Liste_Handelsünger[Handelsdünger])&gt;0)),ROW()-2),1),"")</f>
        <v>Sedumin® Vegipur 402 M</v>
      </c>
      <c r="AZ287" t="str">
        <f>IF(($A295=""),"",IF(COUNTIF(Mineral!$AJ$3:$AJ$324,$A295),"",$A295))</f>
        <v/>
      </c>
      <c r="BA287" t="str">
        <f>IFERROR(INDEX(Liste_Handelsünger[Handelsdünger],_xlfn.AGGREGATE(15,6,(ROW(Liste_Handelsünger[Handelsdünger])-1)/(--(SEARCH(BB$2,Liste_Handelsünger[Handelsdünger])&gt;0)),ROW()-2),1),"")</f>
        <v>Sedumin® Vegipur 402 M</v>
      </c>
      <c r="BB287" t="str">
        <f>IF(($A296=""),"",IF(COUNTIF(Mineral!$AJ$3:$AJ$324,$A296),"",$A296))</f>
        <v/>
      </c>
      <c r="BC287" t="str">
        <f>IFERROR(INDEX(Liste_Handelsünger[Handelsdünger],_xlfn.AGGREGATE(15,6,(ROW(Liste_Handelsünger[Handelsdünger])-1)/(--(SEARCH(BD$2,Liste_Handelsünger[Handelsdünger])&gt;0)),ROW()-2),1),"")</f>
        <v>Sedumin® Vegipur 402 M</v>
      </c>
      <c r="BD287" t="str">
        <f>IF(($A297=""),"",IF(COUNTIF(Mineral!$AJ$3:$AJ$324,$A297),"",$A297))</f>
        <v/>
      </c>
      <c r="BE287" t="str">
        <f>IFERROR(INDEX(Liste_Handelsünger[Handelsdünger],_xlfn.AGGREGATE(15,6,(ROW(Liste_Handelsünger[Handelsdünger])-1)/(--(SEARCH(BF$2,Liste_Handelsünger[Handelsdünger])&gt;0)),ROW()-2),1),"")</f>
        <v>Sedumin® Vegipur 402 M</v>
      </c>
      <c r="BF287" t="str">
        <f>IF(($A298=""),"",IF(COUNTIF(Mineral!$AJ$3:$AJ$324,$A298),"",$A298))</f>
        <v/>
      </c>
      <c r="BG287" t="str">
        <f>IFERROR(INDEX(Liste_Handelsünger[Handelsdünger],_xlfn.AGGREGATE(15,6,(ROW(Liste_Handelsünger[Handelsdünger])-1)/(--(SEARCH(BH$2,Liste_Handelsünger[Handelsdünger])&gt;0)),ROW()-2),1),"")</f>
        <v>Sedumin® Vegipur 402 M</v>
      </c>
      <c r="BH287" t="str">
        <f>IF(($A299=""),"",IF(COUNTIF(Mineral!$AJ$3:$AJ$324,$A299),"",$A299))</f>
        <v/>
      </c>
      <c r="BI287" t="str">
        <f>IFERROR(INDEX(Liste_Handelsünger[Handelsdünger],_xlfn.AGGREGATE(15,6,(ROW(Liste_Handelsünger[Handelsdünger])-1)/(--(SEARCH(BJ$2,Liste_Handelsünger[Handelsdünger])&gt;0)),ROW()-2),1),"")</f>
        <v>Sedumin® Vegipur 402 M</v>
      </c>
      <c r="BJ287" t="str">
        <f>IF(($A300=""),"",IF(COUNTIF(Mineral!$AJ$3:$AJ$324,$A300),"",$A300))</f>
        <v/>
      </c>
      <c r="BK287" t="str">
        <f>IFERROR(INDEX(Liste_Handelsünger[Handelsdünger],_xlfn.AGGREGATE(15,6,(ROW(Liste_Handelsünger[Handelsdünger])-1)/(--(SEARCH(BL$2,Liste_Handelsünger[Handelsdünger])&gt;0)),ROW()-2),1),"")</f>
        <v>Sedumin® Vegipur 402 M</v>
      </c>
      <c r="BM287" t="str">
        <f>IFERROR(INDEX(Liste_Handelsünger[Handelsdünger],_xlfn.AGGREGATE(15,6,(ROW(Liste_Handelsünger[Handelsdünger])-1)/(--(SEARCH(BN$2,Liste_Handelsünger[Handelsdünger])&gt;0)),ROW()-2),1),"")</f>
        <v>Sedumin® Vegipur 402 M</v>
      </c>
      <c r="BN287" t="str">
        <f>IF(($A302=""),"",IF(COUNTIF(Mineral!$AJ$3:$AJ$324,$A302),"",$A302))</f>
        <v/>
      </c>
      <c r="BV287" t="s">
        <v>2269</v>
      </c>
      <c r="BW287" t="s">
        <v>2226</v>
      </c>
      <c r="BZ287" s="1602"/>
      <c r="CA287" s="1602"/>
      <c r="CB287" s="1602"/>
    </row>
    <row r="288" spans="19:80" ht="14.25" thickTop="1" thickBot="1">
      <c r="S288" s="1676">
        <v>287</v>
      </c>
      <c r="T288" s="1606" t="s">
        <v>2006</v>
      </c>
      <c r="U288" s="1606" t="s">
        <v>2270</v>
      </c>
      <c r="V288" s="1606" t="s">
        <v>408</v>
      </c>
      <c r="W288" s="1606">
        <v>4.1500000000000004</v>
      </c>
      <c r="X288" s="1606">
        <v>1.4000000000000001</v>
      </c>
      <c r="Y288" s="1606">
        <v>2.3199999999999998</v>
      </c>
      <c r="Z288" s="1606">
        <v>0</v>
      </c>
      <c r="AA288" s="1606">
        <v>0</v>
      </c>
      <c r="AB288" s="1606">
        <v>0</v>
      </c>
      <c r="AC288" s="1606">
        <v>0.5</v>
      </c>
      <c r="AD288" s="1613">
        <v>0.91</v>
      </c>
      <c r="AE288" s="1606" t="s">
        <v>2037</v>
      </c>
      <c r="AF288" s="1613" t="str">
        <f t="shared" si="21"/>
        <v/>
      </c>
      <c r="AG288" s="1656">
        <f>IFERROR(IF($AF288&gt;0,VLOOKUP($U288,Tabelle1!$C$188:$L$212,5,0)*$AF288,0),0)</f>
        <v>0</v>
      </c>
      <c r="AH288" s="1656">
        <f t="shared" si="22"/>
        <v>0</v>
      </c>
      <c r="AJ288" t="str">
        <f>IF(Betrieb!$D$9="JA",Mineral!$BW288,Mineral!$BV288)</f>
        <v>Sedumin® Vegipur 412</v>
      </c>
      <c r="AK288" s="1672" t="str">
        <f>IFERROR(INDEX(Liste_Handelsünger[Handelsdünger],_xlfn.AGGREGATE(15,6,(ROW(Liste_Handelsünger[Handelsdünger])-1)/(--(SEARCH(AL$2,Liste_Handelsünger[Handelsdünger])&gt;0)),ROW()-2),1),"")</f>
        <v>Sedumin® Vegipur 412</v>
      </c>
      <c r="AL288" s="1672" t="str">
        <f>IF(($A$3=""),"",IF(COUNTIF(Mineral!$AJ$3:$AJ$324,$A$3),"",$A$3))</f>
        <v/>
      </c>
      <c r="AM288" s="1672" t="str">
        <f>IFERROR(INDEX(Liste_Handelsünger[Handelsdünger],_xlfn.AGGREGATE(15,6,(ROW(Liste_Handelsünger[Handelsdünger])-1)/(--(SEARCH(AN$2,Liste_Handelsünger[Handelsdünger])&gt;0)),ROW()-2),1),"")</f>
        <v>Sedumin® Vegipur 412</v>
      </c>
      <c r="AN288" t="str">
        <f>IF(($A290=""),"",IF(COUNTIF(Mineral!$AJ$3:$AJ$324,$A290),"",$A290))</f>
        <v/>
      </c>
      <c r="AO288" t="str">
        <f>IFERROR(INDEX(Liste_Handelsünger[Handelsdünger],_xlfn.AGGREGATE(15,6,(ROW(Liste_Handelsünger[Handelsdünger])-1)/(--(SEARCH(AP$2,Liste_Handelsünger[Handelsdünger])&gt;0)),ROW()-2),1),"")</f>
        <v>Sedumin® Vegipur 412</v>
      </c>
      <c r="AP288" t="str">
        <f>IF(($A291=""),"",IF(COUNTIF(Mineral!$AJ$3:$AJ$324,$A291),"",$A291))</f>
        <v/>
      </c>
      <c r="AQ288" t="str">
        <f>IFERROR(INDEX(Liste_Handelsünger[Handelsdünger],_xlfn.AGGREGATE(15,6,(ROW(Liste_Handelsünger[Handelsdünger])-1)/(--(SEARCH(AR$2,Liste_Handelsünger[Handelsdünger])&gt;0)),ROW()-2),1),"")</f>
        <v>Sedumin® Vegipur 412</v>
      </c>
      <c r="AR288" t="str">
        <f>IF(($A292=""),"",IF(COUNTIF(Mineral!$AJ$3:$AJ$324,$A292),"",$A292))</f>
        <v/>
      </c>
      <c r="AS288" t="str">
        <f>IFERROR(INDEX(Liste_Handelsünger[Handelsdünger],_xlfn.AGGREGATE(15,6,(ROW(Liste_Handelsünger[Handelsdünger])-1)/(--(SEARCH(AT$2,Liste_Handelsünger[Handelsdünger])&gt;0)),ROW()-2),1),"")</f>
        <v>Sedumin® Vegipur 412</v>
      </c>
      <c r="AT288" t="str">
        <f>IF(($A293=""),"",IF(COUNTIF(Mineral!$AJ$3:$AJ$324,$A293),"",$A293))</f>
        <v/>
      </c>
      <c r="AU288" t="str">
        <f>IFERROR(INDEX(Liste_Handelsünger[Handelsdünger],_xlfn.AGGREGATE(15,6,(ROW(Liste_Handelsünger[Handelsdünger])-1)/(--(SEARCH(AV$2,Liste_Handelsünger[Handelsdünger])&gt;0)),ROW()-2),1),"")</f>
        <v>Sedumin® Vegipur 412</v>
      </c>
      <c r="AV288" t="str">
        <f>IF(($A294=""),"",IF(COUNTIF(Mineral!$AJ$3:$AJ$324,$A294),"",$A294))</f>
        <v/>
      </c>
      <c r="AW288" t="str">
        <f>IFERROR(INDEX(Liste_Handelsünger[Handelsdünger],_xlfn.AGGREGATE(15,6,(ROW(Liste_Handelsünger[Handelsdünger])-1)/(--(SEARCH(AX$2,Liste_Handelsünger[Handelsdünger])&gt;0)),ROW()-2),1),"")</f>
        <v>Sedumin® Vegipur 412</v>
      </c>
      <c r="AX288" t="str">
        <f>IF(($A295=""),"",IF(COUNTIF(Mineral!$AJ$3:$AJ$324,$A295),"",$A295))</f>
        <v/>
      </c>
      <c r="AY288" t="str">
        <f>IFERROR(INDEX(Liste_Handelsünger[Handelsdünger],_xlfn.AGGREGATE(15,6,(ROW(Liste_Handelsünger[Handelsdünger])-1)/(--(SEARCH(AZ$2,Liste_Handelsünger[Handelsdünger])&gt;0)),ROW()-2),1),"")</f>
        <v>Sedumin® Vegipur 412</v>
      </c>
      <c r="AZ288" t="str">
        <f>IF(($A296=""),"",IF(COUNTIF(Mineral!$AJ$3:$AJ$324,$A296),"",$A296))</f>
        <v/>
      </c>
      <c r="BA288" t="str">
        <f>IFERROR(INDEX(Liste_Handelsünger[Handelsdünger],_xlfn.AGGREGATE(15,6,(ROW(Liste_Handelsünger[Handelsdünger])-1)/(--(SEARCH(BB$2,Liste_Handelsünger[Handelsdünger])&gt;0)),ROW()-2),1),"")</f>
        <v>Sedumin® Vegipur 412</v>
      </c>
      <c r="BB288" t="str">
        <f>IF(($A297=""),"",IF(COUNTIF(Mineral!$AJ$3:$AJ$324,$A297),"",$A297))</f>
        <v/>
      </c>
      <c r="BC288" t="str">
        <f>IFERROR(INDEX(Liste_Handelsünger[Handelsdünger],_xlfn.AGGREGATE(15,6,(ROW(Liste_Handelsünger[Handelsdünger])-1)/(--(SEARCH(BD$2,Liste_Handelsünger[Handelsdünger])&gt;0)),ROW()-2),1),"")</f>
        <v>Sedumin® Vegipur 412</v>
      </c>
      <c r="BD288" t="str">
        <f>IF(($A298=""),"",IF(COUNTIF(Mineral!$AJ$3:$AJ$324,$A298),"",$A298))</f>
        <v/>
      </c>
      <c r="BE288" t="str">
        <f>IFERROR(INDEX(Liste_Handelsünger[Handelsdünger],_xlfn.AGGREGATE(15,6,(ROW(Liste_Handelsünger[Handelsdünger])-1)/(--(SEARCH(BF$2,Liste_Handelsünger[Handelsdünger])&gt;0)),ROW()-2),1),"")</f>
        <v>Sedumin® Vegipur 412</v>
      </c>
      <c r="BF288" t="str">
        <f>IF(($A299=""),"",IF(COUNTIF(Mineral!$AJ$3:$AJ$324,$A299),"",$A299))</f>
        <v/>
      </c>
      <c r="BG288" t="str">
        <f>IFERROR(INDEX(Liste_Handelsünger[Handelsdünger],_xlfn.AGGREGATE(15,6,(ROW(Liste_Handelsünger[Handelsdünger])-1)/(--(SEARCH(BH$2,Liste_Handelsünger[Handelsdünger])&gt;0)),ROW()-2),1),"")</f>
        <v>Sedumin® Vegipur 412</v>
      </c>
      <c r="BH288" t="str">
        <f>IF(($A300=""),"",IF(COUNTIF(Mineral!$AJ$3:$AJ$324,$A300),"",$A300))</f>
        <v/>
      </c>
      <c r="BI288" t="str">
        <f>IFERROR(INDEX(Liste_Handelsünger[Handelsdünger],_xlfn.AGGREGATE(15,6,(ROW(Liste_Handelsünger[Handelsdünger])-1)/(--(SEARCH(BJ$2,Liste_Handelsünger[Handelsdünger])&gt;0)),ROW()-2),1),"")</f>
        <v>Sedumin® Vegipur 412</v>
      </c>
      <c r="BJ288" t="str">
        <f>IF(($A301=""),"",IF(COUNTIF(Mineral!$AJ$3:$AJ$324,$A301),"",$A301))</f>
        <v/>
      </c>
      <c r="BK288" t="str">
        <f>IFERROR(INDEX(Liste_Handelsünger[Handelsdünger],_xlfn.AGGREGATE(15,6,(ROW(Liste_Handelsünger[Handelsdünger])-1)/(--(SEARCH(BL$2,Liste_Handelsünger[Handelsdünger])&gt;0)),ROW()-2),1),"")</f>
        <v>Sedumin® Vegipur 412</v>
      </c>
      <c r="BM288" t="str">
        <f>IFERROR(INDEX(Liste_Handelsünger[Handelsdünger],_xlfn.AGGREGATE(15,6,(ROW(Liste_Handelsünger[Handelsdünger])-1)/(--(SEARCH(BN$2,Liste_Handelsünger[Handelsdünger])&gt;0)),ROW()-2),1),"")</f>
        <v>Sedumin® Vegipur 412</v>
      </c>
      <c r="BN288" t="str">
        <f>IF(($A303=""),"",IF(COUNTIF(Mineral!$AJ$3:$AJ$324,$A303),"",$A303))</f>
        <v/>
      </c>
      <c r="BV288" t="s">
        <v>2270</v>
      </c>
      <c r="BW288" t="s">
        <v>2227</v>
      </c>
      <c r="BZ288" s="1602"/>
      <c r="CA288" s="1602"/>
      <c r="CB288" s="1602"/>
    </row>
    <row r="289" spans="19:80" ht="14.25" thickTop="1" thickBot="1">
      <c r="S289" s="1616">
        <v>288</v>
      </c>
      <c r="T289" s="1617" t="s">
        <v>2006</v>
      </c>
      <c r="U289" s="1617" t="s">
        <v>2271</v>
      </c>
      <c r="V289" s="1617" t="s">
        <v>408</v>
      </c>
      <c r="W289" s="1617">
        <v>5.5</v>
      </c>
      <c r="X289" s="1617">
        <v>0.5</v>
      </c>
      <c r="Y289" s="1617">
        <v>0.5</v>
      </c>
      <c r="Z289" s="1617">
        <v>0</v>
      </c>
      <c r="AA289" s="1617">
        <v>0</v>
      </c>
      <c r="AB289" s="1617">
        <v>0</v>
      </c>
      <c r="AC289" s="1617">
        <v>0.5</v>
      </c>
      <c r="AD289" s="1613">
        <v>0.91</v>
      </c>
      <c r="AE289" s="1617" t="s">
        <v>2037</v>
      </c>
      <c r="AF289" s="1613" t="str">
        <f t="shared" si="21"/>
        <v/>
      </c>
      <c r="AG289" s="1656">
        <f>IFERROR(IF($AF289&gt;0,VLOOKUP($U289,Tabelle1!$C$188:$L$212,5,0)*$AF289,0),0)</f>
        <v>0</v>
      </c>
      <c r="AH289" s="1656">
        <f t="shared" si="22"/>
        <v>0</v>
      </c>
      <c r="AJ289" t="str">
        <f>IF(Betrieb!$D$9="JA",Mineral!$BW289,Mineral!$BV289)</f>
        <v>Sedumin® Vegipur BIOMIX</v>
      </c>
      <c r="AK289" s="1672" t="str">
        <f>IFERROR(INDEX(Liste_Handelsünger[Handelsdünger],_xlfn.AGGREGATE(15,6,(ROW(Liste_Handelsünger[Handelsdünger])-1)/(--(SEARCH(AL$2,Liste_Handelsünger[Handelsdünger])&gt;0)),ROW()-2),1),"")</f>
        <v>Sedumin® Vegipur BIOMIX</v>
      </c>
      <c r="AL289" s="1672" t="str">
        <f>IF(($A$3=""),"",IF(COUNTIF(Mineral!$AJ$3:$AJ$324,$A$3),"",$A$3))</f>
        <v/>
      </c>
      <c r="AM289" s="1672" t="str">
        <f>IFERROR(INDEX(Liste_Handelsünger[Handelsdünger],_xlfn.AGGREGATE(15,6,(ROW(Liste_Handelsünger[Handelsdünger])-1)/(--(SEARCH(AN$2,Liste_Handelsünger[Handelsdünger])&gt;0)),ROW()-2),1),"")</f>
        <v>Sedumin® Vegipur BIOMIX</v>
      </c>
      <c r="AN289" t="str">
        <f>IF(($A291=""),"",IF(COUNTIF(Mineral!$AJ$3:$AJ$324,$A291),"",$A291))</f>
        <v/>
      </c>
      <c r="AO289" t="str">
        <f>IFERROR(INDEX(Liste_Handelsünger[Handelsdünger],_xlfn.AGGREGATE(15,6,(ROW(Liste_Handelsünger[Handelsdünger])-1)/(--(SEARCH(AP$2,Liste_Handelsünger[Handelsdünger])&gt;0)),ROW()-2),1),"")</f>
        <v>Sedumin® Vegipur BIOMIX</v>
      </c>
      <c r="AP289" t="str">
        <f>IF(($A292=""),"",IF(COUNTIF(Mineral!$AJ$3:$AJ$324,$A292),"",$A292))</f>
        <v/>
      </c>
      <c r="AQ289" t="str">
        <f>IFERROR(INDEX(Liste_Handelsünger[Handelsdünger],_xlfn.AGGREGATE(15,6,(ROW(Liste_Handelsünger[Handelsdünger])-1)/(--(SEARCH(AR$2,Liste_Handelsünger[Handelsdünger])&gt;0)),ROW()-2),1),"")</f>
        <v>Sedumin® Vegipur BIOMIX</v>
      </c>
      <c r="AR289" t="str">
        <f>IF(($A293=""),"",IF(COUNTIF(Mineral!$AJ$3:$AJ$324,$A293),"",$A293))</f>
        <v/>
      </c>
      <c r="AS289" t="str">
        <f>IFERROR(INDEX(Liste_Handelsünger[Handelsdünger],_xlfn.AGGREGATE(15,6,(ROW(Liste_Handelsünger[Handelsdünger])-1)/(--(SEARCH(AT$2,Liste_Handelsünger[Handelsdünger])&gt;0)),ROW()-2),1),"")</f>
        <v>Sedumin® Vegipur BIOMIX</v>
      </c>
      <c r="AT289" t="str">
        <f>IF(($A294=""),"",IF(COUNTIF(Mineral!$AJ$3:$AJ$324,$A294),"",$A294))</f>
        <v/>
      </c>
      <c r="AU289" t="str">
        <f>IFERROR(INDEX(Liste_Handelsünger[Handelsdünger],_xlfn.AGGREGATE(15,6,(ROW(Liste_Handelsünger[Handelsdünger])-1)/(--(SEARCH(AV$2,Liste_Handelsünger[Handelsdünger])&gt;0)),ROW()-2),1),"")</f>
        <v>Sedumin® Vegipur BIOMIX</v>
      </c>
      <c r="AV289" t="str">
        <f>IF(($A295=""),"",IF(COUNTIF(Mineral!$AJ$3:$AJ$324,$A295),"",$A295))</f>
        <v/>
      </c>
      <c r="AW289" t="str">
        <f>IFERROR(INDEX(Liste_Handelsünger[Handelsdünger],_xlfn.AGGREGATE(15,6,(ROW(Liste_Handelsünger[Handelsdünger])-1)/(--(SEARCH(AX$2,Liste_Handelsünger[Handelsdünger])&gt;0)),ROW()-2),1),"")</f>
        <v>Sedumin® Vegipur BIOMIX</v>
      </c>
      <c r="AX289" t="str">
        <f>IF(($A296=""),"",IF(COUNTIF(Mineral!$AJ$3:$AJ$324,$A296),"",$A296))</f>
        <v/>
      </c>
      <c r="AY289" t="str">
        <f>IFERROR(INDEX(Liste_Handelsünger[Handelsdünger],_xlfn.AGGREGATE(15,6,(ROW(Liste_Handelsünger[Handelsdünger])-1)/(--(SEARCH(AZ$2,Liste_Handelsünger[Handelsdünger])&gt;0)),ROW()-2),1),"")</f>
        <v>Sedumin® Vegipur BIOMIX</v>
      </c>
      <c r="AZ289" t="str">
        <f>IF(($A297=""),"",IF(COUNTIF(Mineral!$AJ$3:$AJ$324,$A297),"",$A297))</f>
        <v/>
      </c>
      <c r="BA289" t="str">
        <f>IFERROR(INDEX(Liste_Handelsünger[Handelsdünger],_xlfn.AGGREGATE(15,6,(ROW(Liste_Handelsünger[Handelsdünger])-1)/(--(SEARCH(BB$2,Liste_Handelsünger[Handelsdünger])&gt;0)),ROW()-2),1),"")</f>
        <v>Sedumin® Vegipur BIOMIX</v>
      </c>
      <c r="BB289" t="str">
        <f>IF(($A298=""),"",IF(COUNTIF(Mineral!$AJ$3:$AJ$324,$A298),"",$A298))</f>
        <v/>
      </c>
      <c r="BC289" t="str">
        <f>IFERROR(INDEX(Liste_Handelsünger[Handelsdünger],_xlfn.AGGREGATE(15,6,(ROW(Liste_Handelsünger[Handelsdünger])-1)/(--(SEARCH(BD$2,Liste_Handelsünger[Handelsdünger])&gt;0)),ROW()-2),1),"")</f>
        <v>Sedumin® Vegipur BIOMIX</v>
      </c>
      <c r="BD289" t="str">
        <f>IF(($A299=""),"",IF(COUNTIF(Mineral!$AJ$3:$AJ$324,$A299),"",$A299))</f>
        <v/>
      </c>
      <c r="BE289" t="str">
        <f>IFERROR(INDEX(Liste_Handelsünger[Handelsdünger],_xlfn.AGGREGATE(15,6,(ROW(Liste_Handelsünger[Handelsdünger])-1)/(--(SEARCH(BF$2,Liste_Handelsünger[Handelsdünger])&gt;0)),ROW()-2),1),"")</f>
        <v>Sedumin® Vegipur BIOMIX</v>
      </c>
      <c r="BF289" t="str">
        <f>IF(($A300=""),"",IF(COUNTIF(Mineral!$AJ$3:$AJ$324,$A300),"",$A300))</f>
        <v/>
      </c>
      <c r="BG289" t="str">
        <f>IFERROR(INDEX(Liste_Handelsünger[Handelsdünger],_xlfn.AGGREGATE(15,6,(ROW(Liste_Handelsünger[Handelsdünger])-1)/(--(SEARCH(BH$2,Liste_Handelsünger[Handelsdünger])&gt;0)),ROW()-2),1),"")</f>
        <v>Sedumin® Vegipur BIOMIX</v>
      </c>
      <c r="BH289" t="str">
        <f>IF(($A301=""),"",IF(COUNTIF(Mineral!$AJ$3:$AJ$324,$A301),"",$A301))</f>
        <v/>
      </c>
      <c r="BI289" t="str">
        <f>IFERROR(INDEX(Liste_Handelsünger[Handelsdünger],_xlfn.AGGREGATE(15,6,(ROW(Liste_Handelsünger[Handelsdünger])-1)/(--(SEARCH(BJ$2,Liste_Handelsünger[Handelsdünger])&gt;0)),ROW()-2),1),"")</f>
        <v>Sedumin® Vegipur BIOMIX</v>
      </c>
      <c r="BJ289" t="str">
        <f>IF(($A302=""),"",IF(COUNTIF(Mineral!$AJ$3:$AJ$324,$A302),"",$A302))</f>
        <v/>
      </c>
      <c r="BK289" t="str">
        <f>IFERROR(INDEX(Liste_Handelsünger[Handelsdünger],_xlfn.AGGREGATE(15,6,(ROW(Liste_Handelsünger[Handelsdünger])-1)/(--(SEARCH(BL$2,Liste_Handelsünger[Handelsdünger])&gt;0)),ROW()-2),1),"")</f>
        <v>Sedumin® Vegipur BIOMIX</v>
      </c>
      <c r="BM289" t="str">
        <f>IFERROR(INDEX(Liste_Handelsünger[Handelsdünger],_xlfn.AGGREGATE(15,6,(ROW(Liste_Handelsünger[Handelsdünger])-1)/(--(SEARCH(BN$2,Liste_Handelsünger[Handelsdünger])&gt;0)),ROW()-2),1),"")</f>
        <v>Sedumin® Vegipur BIOMIX</v>
      </c>
      <c r="BN289" t="str">
        <f>IF(($A304=""),"",IF(COUNTIF(Mineral!$AJ$3:$AJ$324,$A304),"",$A304))</f>
        <v/>
      </c>
      <c r="BV289" t="s">
        <v>2271</v>
      </c>
      <c r="BW289" t="s">
        <v>2228</v>
      </c>
      <c r="BZ289" s="1602"/>
      <c r="CA289" s="1602"/>
      <c r="CB289" s="1602"/>
    </row>
    <row r="290" spans="19:80" ht="14.25" thickTop="1" thickBot="1">
      <c r="S290" s="1676">
        <v>289</v>
      </c>
      <c r="T290" s="1606" t="s">
        <v>2006</v>
      </c>
      <c r="U290" s="1606" t="s">
        <v>2272</v>
      </c>
      <c r="V290" s="1606" t="s">
        <v>408</v>
      </c>
      <c r="W290" s="1606">
        <v>3</v>
      </c>
      <c r="X290" s="1606">
        <v>0</v>
      </c>
      <c r="Y290" s="1606">
        <v>5</v>
      </c>
      <c r="Z290" s="1606">
        <v>0.22999999999999998</v>
      </c>
      <c r="AA290" s="1606">
        <v>0.89999999999999991</v>
      </c>
      <c r="AB290" s="1606">
        <v>0.4</v>
      </c>
      <c r="AC290" s="1606">
        <v>0.5</v>
      </c>
      <c r="AD290" s="1613">
        <v>0.91</v>
      </c>
      <c r="AE290" s="1606" t="s">
        <v>2037</v>
      </c>
      <c r="AF290" s="1613" t="str">
        <f t="shared" si="21"/>
        <v/>
      </c>
      <c r="AG290" s="1656">
        <f>IFERROR(IF($AF290&gt;0,VLOOKUP($U290,Tabelle1!$C$188:$L$212,5,0)*$AF290,0),0)</f>
        <v>0</v>
      </c>
      <c r="AH290" s="1656">
        <f t="shared" si="22"/>
        <v>0</v>
      </c>
      <c r="AJ290" t="str">
        <f>IF(Betrieb!$D$9="JA",Mineral!$BW290,Mineral!$BV290)</f>
        <v>Sedumin® Vinasse 305</v>
      </c>
      <c r="AK290" s="1672" t="str">
        <f>IFERROR(INDEX(Liste_Handelsünger[Handelsdünger],_xlfn.AGGREGATE(15,6,(ROW(Liste_Handelsünger[Handelsdünger])-1)/(--(SEARCH(AL$2,Liste_Handelsünger[Handelsdünger])&gt;0)),ROW()-2),1),"")</f>
        <v>Sedumin® Vinasse 305</v>
      </c>
      <c r="AL290" s="1672" t="str">
        <f>IF(($A$3=""),"",IF(COUNTIF(Mineral!$AJ$3:$AJ$324,$A$3),"",$A$3))</f>
        <v/>
      </c>
      <c r="AM290" s="1672" t="str">
        <f>IFERROR(INDEX(Liste_Handelsünger[Handelsdünger],_xlfn.AGGREGATE(15,6,(ROW(Liste_Handelsünger[Handelsdünger])-1)/(--(SEARCH(AN$2,Liste_Handelsünger[Handelsdünger])&gt;0)),ROW()-2),1),"")</f>
        <v>Sedumin® Vinasse 305</v>
      </c>
      <c r="AN290" t="str">
        <f>IF(($A292=""),"",IF(COUNTIF(Mineral!$AJ$3:$AJ$324,$A292),"",$A292))</f>
        <v/>
      </c>
      <c r="AO290" t="str">
        <f>IFERROR(INDEX(Liste_Handelsünger[Handelsdünger],_xlfn.AGGREGATE(15,6,(ROW(Liste_Handelsünger[Handelsdünger])-1)/(--(SEARCH(AP$2,Liste_Handelsünger[Handelsdünger])&gt;0)),ROW()-2),1),"")</f>
        <v>Sedumin® Vinasse 305</v>
      </c>
      <c r="AP290" t="str">
        <f>IF(($A293=""),"",IF(COUNTIF(Mineral!$AJ$3:$AJ$324,$A293),"",$A293))</f>
        <v/>
      </c>
      <c r="AQ290" t="str">
        <f>IFERROR(INDEX(Liste_Handelsünger[Handelsdünger],_xlfn.AGGREGATE(15,6,(ROW(Liste_Handelsünger[Handelsdünger])-1)/(--(SEARCH(AR$2,Liste_Handelsünger[Handelsdünger])&gt;0)),ROW()-2),1),"")</f>
        <v>Sedumin® Vinasse 305</v>
      </c>
      <c r="AR290" t="str">
        <f>IF(($A294=""),"",IF(COUNTIF(Mineral!$AJ$3:$AJ$324,$A294),"",$A294))</f>
        <v/>
      </c>
      <c r="AS290" t="str">
        <f>IFERROR(INDEX(Liste_Handelsünger[Handelsdünger],_xlfn.AGGREGATE(15,6,(ROW(Liste_Handelsünger[Handelsdünger])-1)/(--(SEARCH(AT$2,Liste_Handelsünger[Handelsdünger])&gt;0)),ROW()-2),1),"")</f>
        <v>Sedumin® Vinasse 305</v>
      </c>
      <c r="AT290" t="str">
        <f>IF(($A295=""),"",IF(COUNTIF(Mineral!$AJ$3:$AJ$324,$A295),"",$A295))</f>
        <v/>
      </c>
      <c r="AU290" t="str">
        <f>IFERROR(INDEX(Liste_Handelsünger[Handelsdünger],_xlfn.AGGREGATE(15,6,(ROW(Liste_Handelsünger[Handelsdünger])-1)/(--(SEARCH(AV$2,Liste_Handelsünger[Handelsdünger])&gt;0)),ROW()-2),1),"")</f>
        <v>Sedumin® Vinasse 305</v>
      </c>
      <c r="AV290" t="str">
        <f>IF(($A296=""),"",IF(COUNTIF(Mineral!$AJ$3:$AJ$324,$A296),"",$A296))</f>
        <v/>
      </c>
      <c r="AW290" t="str">
        <f>IFERROR(INDEX(Liste_Handelsünger[Handelsdünger],_xlfn.AGGREGATE(15,6,(ROW(Liste_Handelsünger[Handelsdünger])-1)/(--(SEARCH(AX$2,Liste_Handelsünger[Handelsdünger])&gt;0)),ROW()-2),1),"")</f>
        <v>Sedumin® Vinasse 305</v>
      </c>
      <c r="AX290" t="str">
        <f>IF(($A297=""),"",IF(COUNTIF(Mineral!$AJ$3:$AJ$324,$A297),"",$A297))</f>
        <v/>
      </c>
      <c r="AY290" t="str">
        <f>IFERROR(INDEX(Liste_Handelsünger[Handelsdünger],_xlfn.AGGREGATE(15,6,(ROW(Liste_Handelsünger[Handelsdünger])-1)/(--(SEARCH(AZ$2,Liste_Handelsünger[Handelsdünger])&gt;0)),ROW()-2),1),"")</f>
        <v>Sedumin® Vinasse 305</v>
      </c>
      <c r="AZ290" t="str">
        <f>IF(($A298=""),"",IF(COUNTIF(Mineral!$AJ$3:$AJ$324,$A298),"",$A298))</f>
        <v/>
      </c>
      <c r="BA290" t="str">
        <f>IFERROR(INDEX(Liste_Handelsünger[Handelsdünger],_xlfn.AGGREGATE(15,6,(ROW(Liste_Handelsünger[Handelsdünger])-1)/(--(SEARCH(BB$2,Liste_Handelsünger[Handelsdünger])&gt;0)),ROW()-2),1),"")</f>
        <v>Sedumin® Vinasse 305</v>
      </c>
      <c r="BB290" t="str">
        <f>IF(($A299=""),"",IF(COUNTIF(Mineral!$AJ$3:$AJ$324,$A299),"",$A299))</f>
        <v/>
      </c>
      <c r="BC290" t="str">
        <f>IFERROR(INDEX(Liste_Handelsünger[Handelsdünger],_xlfn.AGGREGATE(15,6,(ROW(Liste_Handelsünger[Handelsdünger])-1)/(--(SEARCH(BD$2,Liste_Handelsünger[Handelsdünger])&gt;0)),ROW()-2),1),"")</f>
        <v>Sedumin® Vinasse 305</v>
      </c>
      <c r="BD290" t="str">
        <f>IF(($A300=""),"",IF(COUNTIF(Mineral!$AJ$3:$AJ$324,$A300),"",$A300))</f>
        <v/>
      </c>
      <c r="BE290" t="str">
        <f>IFERROR(INDEX(Liste_Handelsünger[Handelsdünger],_xlfn.AGGREGATE(15,6,(ROW(Liste_Handelsünger[Handelsdünger])-1)/(--(SEARCH(BF$2,Liste_Handelsünger[Handelsdünger])&gt;0)),ROW()-2),1),"")</f>
        <v>Sedumin® Vinasse 305</v>
      </c>
      <c r="BF290" t="str">
        <f>IF(($A301=""),"",IF(COUNTIF(Mineral!$AJ$3:$AJ$324,$A301),"",$A301))</f>
        <v/>
      </c>
      <c r="BG290" t="str">
        <f>IFERROR(INDEX(Liste_Handelsünger[Handelsdünger],_xlfn.AGGREGATE(15,6,(ROW(Liste_Handelsünger[Handelsdünger])-1)/(--(SEARCH(BH$2,Liste_Handelsünger[Handelsdünger])&gt;0)),ROW()-2),1),"")</f>
        <v>Sedumin® Vinasse 305</v>
      </c>
      <c r="BH290" t="str">
        <f>IF(($A302=""),"",IF(COUNTIF(Mineral!$AJ$3:$AJ$324,$A302),"",$A302))</f>
        <v/>
      </c>
      <c r="BI290" t="str">
        <f>IFERROR(INDEX(Liste_Handelsünger[Handelsdünger],_xlfn.AGGREGATE(15,6,(ROW(Liste_Handelsünger[Handelsdünger])-1)/(--(SEARCH(BJ$2,Liste_Handelsünger[Handelsdünger])&gt;0)),ROW()-2),1),"")</f>
        <v>Sedumin® Vinasse 305</v>
      </c>
      <c r="BJ290" t="str">
        <f>IF(($A303=""),"",IF(COUNTIF(Mineral!$AJ$3:$AJ$324,$A303),"",$A303))</f>
        <v/>
      </c>
      <c r="BK290" t="str">
        <f>IFERROR(INDEX(Liste_Handelsünger[Handelsdünger],_xlfn.AGGREGATE(15,6,(ROW(Liste_Handelsünger[Handelsdünger])-1)/(--(SEARCH(BL$2,Liste_Handelsünger[Handelsdünger])&gt;0)),ROW()-2),1),"")</f>
        <v>Sedumin® Vinasse 305</v>
      </c>
      <c r="BM290" t="str">
        <f>IFERROR(INDEX(Liste_Handelsünger[Handelsdünger],_xlfn.AGGREGATE(15,6,(ROW(Liste_Handelsünger[Handelsdünger])-1)/(--(SEARCH(BN$2,Liste_Handelsünger[Handelsdünger])&gt;0)),ROW()-2),1),"")</f>
        <v>Sedumin® Vinasse 305</v>
      </c>
      <c r="BN290" t="str">
        <f>IF(($A305=""),"",IF(COUNTIF(Mineral!$AJ$3:$AJ$324,$A305),"",$A305))</f>
        <v/>
      </c>
      <c r="BV290" t="s">
        <v>2272</v>
      </c>
      <c r="BW290" t="s">
        <v>2229</v>
      </c>
      <c r="BZ290" s="1602"/>
      <c r="CA290" s="1602"/>
      <c r="CB290" s="1602"/>
    </row>
    <row r="291" spans="19:80" ht="14.25" thickTop="1" thickBot="1">
      <c r="S291" s="1616">
        <v>290</v>
      </c>
      <c r="T291" s="1617" t="s">
        <v>2006</v>
      </c>
      <c r="U291" s="1617" t="s">
        <v>2273</v>
      </c>
      <c r="V291" s="1617" t="s">
        <v>408</v>
      </c>
      <c r="W291" s="1617">
        <v>0</v>
      </c>
      <c r="X291" s="1617">
        <v>0</v>
      </c>
      <c r="Y291" s="1617">
        <v>0</v>
      </c>
      <c r="Z291" s="1617">
        <v>0</v>
      </c>
      <c r="AA291" s="1617">
        <v>0</v>
      </c>
      <c r="AB291" s="1617">
        <v>0</v>
      </c>
      <c r="AC291" s="1617">
        <v>1</v>
      </c>
      <c r="AD291" s="1613">
        <v>1</v>
      </c>
      <c r="AE291" s="1617" t="s">
        <v>1764</v>
      </c>
      <c r="AF291" s="1613" t="str">
        <f t="shared" si="21"/>
        <v/>
      </c>
      <c r="AG291" s="1656">
        <f>IFERROR(IF($AF291&gt;0,VLOOKUP($U291,Tabelle1!$C$188:$L$212,5,0)*$AF291,0),0)</f>
        <v>0</v>
      </c>
      <c r="AH291" s="1656">
        <f t="shared" si="22"/>
        <v>0</v>
      </c>
      <c r="AJ291" t="str">
        <f>IF(Betrieb!$D$9="JA",Mineral!$BW291,Mineral!$BV291)</f>
        <v>Sergomil L60</v>
      </c>
      <c r="AK291" s="1672" t="str">
        <f>IFERROR(INDEX(Liste_Handelsünger[Handelsdünger],_xlfn.AGGREGATE(15,6,(ROW(Liste_Handelsünger[Handelsdünger])-1)/(--(SEARCH(AL$2,Liste_Handelsünger[Handelsdünger])&gt;0)),ROW()-2),1),"")</f>
        <v>Sergomil L60</v>
      </c>
      <c r="AL291" s="1672" t="str">
        <f>IF(($A$3=""),"",IF(COUNTIF(Mineral!$AJ$3:$AJ$324,$A$3),"",$A$3))</f>
        <v/>
      </c>
      <c r="AM291" s="1672" t="str">
        <f>IFERROR(INDEX(Liste_Handelsünger[Handelsdünger],_xlfn.AGGREGATE(15,6,(ROW(Liste_Handelsünger[Handelsdünger])-1)/(--(SEARCH(AN$2,Liste_Handelsünger[Handelsdünger])&gt;0)),ROW()-2),1),"")</f>
        <v>Sergomil L60</v>
      </c>
      <c r="AN291" t="str">
        <f>IF(($A293=""),"",IF(COUNTIF(Mineral!$AJ$3:$AJ$324,$A293),"",$A293))</f>
        <v/>
      </c>
      <c r="AO291" t="str">
        <f>IFERROR(INDEX(Liste_Handelsünger[Handelsdünger],_xlfn.AGGREGATE(15,6,(ROW(Liste_Handelsünger[Handelsdünger])-1)/(--(SEARCH(AP$2,Liste_Handelsünger[Handelsdünger])&gt;0)),ROW()-2),1),"")</f>
        <v>Sergomil L60</v>
      </c>
      <c r="AP291" t="str">
        <f>IF(($A294=""),"",IF(COUNTIF(Mineral!$AJ$3:$AJ$324,$A294),"",$A294))</f>
        <v/>
      </c>
      <c r="AQ291" t="str">
        <f>IFERROR(INDEX(Liste_Handelsünger[Handelsdünger],_xlfn.AGGREGATE(15,6,(ROW(Liste_Handelsünger[Handelsdünger])-1)/(--(SEARCH(AR$2,Liste_Handelsünger[Handelsdünger])&gt;0)),ROW()-2),1),"")</f>
        <v>Sergomil L60</v>
      </c>
      <c r="AR291" t="str">
        <f>IF(($A295=""),"",IF(COUNTIF(Mineral!$AJ$3:$AJ$324,$A295),"",$A295))</f>
        <v/>
      </c>
      <c r="AS291" t="str">
        <f>IFERROR(INDEX(Liste_Handelsünger[Handelsdünger],_xlfn.AGGREGATE(15,6,(ROW(Liste_Handelsünger[Handelsdünger])-1)/(--(SEARCH(AT$2,Liste_Handelsünger[Handelsdünger])&gt;0)),ROW()-2),1),"")</f>
        <v>Sergomil L60</v>
      </c>
      <c r="AT291" t="str">
        <f>IF(($A296=""),"",IF(COUNTIF(Mineral!$AJ$3:$AJ$324,$A296),"",$A296))</f>
        <v/>
      </c>
      <c r="AU291" t="str">
        <f>IFERROR(INDEX(Liste_Handelsünger[Handelsdünger],_xlfn.AGGREGATE(15,6,(ROW(Liste_Handelsünger[Handelsdünger])-1)/(--(SEARCH(AV$2,Liste_Handelsünger[Handelsdünger])&gt;0)),ROW()-2),1),"")</f>
        <v>Sergomil L60</v>
      </c>
      <c r="AV291" t="str">
        <f>IF(($A297=""),"",IF(COUNTIF(Mineral!$AJ$3:$AJ$324,$A297),"",$A297))</f>
        <v/>
      </c>
      <c r="AW291" t="str">
        <f>IFERROR(INDEX(Liste_Handelsünger[Handelsdünger],_xlfn.AGGREGATE(15,6,(ROW(Liste_Handelsünger[Handelsdünger])-1)/(--(SEARCH(AX$2,Liste_Handelsünger[Handelsdünger])&gt;0)),ROW()-2),1),"")</f>
        <v>Sergomil L60</v>
      </c>
      <c r="AX291" t="str">
        <f>IF(($A298=""),"",IF(COUNTIF(Mineral!$AJ$3:$AJ$324,$A298),"",$A298))</f>
        <v/>
      </c>
      <c r="AY291" t="str">
        <f>IFERROR(INDEX(Liste_Handelsünger[Handelsdünger],_xlfn.AGGREGATE(15,6,(ROW(Liste_Handelsünger[Handelsdünger])-1)/(--(SEARCH(AZ$2,Liste_Handelsünger[Handelsdünger])&gt;0)),ROW()-2),1),"")</f>
        <v>Sergomil L60</v>
      </c>
      <c r="AZ291" t="str">
        <f>IF(($A299=""),"",IF(COUNTIF(Mineral!$AJ$3:$AJ$324,$A299),"",$A299))</f>
        <v/>
      </c>
      <c r="BA291" t="str">
        <f>IFERROR(INDEX(Liste_Handelsünger[Handelsdünger],_xlfn.AGGREGATE(15,6,(ROW(Liste_Handelsünger[Handelsdünger])-1)/(--(SEARCH(BB$2,Liste_Handelsünger[Handelsdünger])&gt;0)),ROW()-2),1),"")</f>
        <v>Sergomil L60</v>
      </c>
      <c r="BB291" t="str">
        <f>IF(($A300=""),"",IF(COUNTIF(Mineral!$AJ$3:$AJ$324,$A300),"",$A300))</f>
        <v/>
      </c>
      <c r="BC291" t="str">
        <f>IFERROR(INDEX(Liste_Handelsünger[Handelsdünger],_xlfn.AGGREGATE(15,6,(ROW(Liste_Handelsünger[Handelsdünger])-1)/(--(SEARCH(BD$2,Liste_Handelsünger[Handelsdünger])&gt;0)),ROW()-2),1),"")</f>
        <v>Sergomil L60</v>
      </c>
      <c r="BD291" t="str">
        <f>IF(($A301=""),"",IF(COUNTIF(Mineral!$AJ$3:$AJ$324,$A301),"",$A301))</f>
        <v/>
      </c>
      <c r="BE291" t="str">
        <f>IFERROR(INDEX(Liste_Handelsünger[Handelsdünger],_xlfn.AGGREGATE(15,6,(ROW(Liste_Handelsünger[Handelsdünger])-1)/(--(SEARCH(BF$2,Liste_Handelsünger[Handelsdünger])&gt;0)),ROW()-2),1),"")</f>
        <v>Sergomil L60</v>
      </c>
      <c r="BF291" t="str">
        <f>IF(($A302=""),"",IF(COUNTIF(Mineral!$AJ$3:$AJ$324,$A302),"",$A302))</f>
        <v/>
      </c>
      <c r="BG291" t="str">
        <f>IFERROR(INDEX(Liste_Handelsünger[Handelsdünger],_xlfn.AGGREGATE(15,6,(ROW(Liste_Handelsünger[Handelsdünger])-1)/(--(SEARCH(BH$2,Liste_Handelsünger[Handelsdünger])&gt;0)),ROW()-2),1),"")</f>
        <v>Sergomil L60</v>
      </c>
      <c r="BH291" t="str">
        <f>IF(($A303=""),"",IF(COUNTIF(Mineral!$AJ$3:$AJ$324,$A303),"",$A303))</f>
        <v/>
      </c>
      <c r="BI291" t="str">
        <f>IFERROR(INDEX(Liste_Handelsünger[Handelsdünger],_xlfn.AGGREGATE(15,6,(ROW(Liste_Handelsünger[Handelsdünger])-1)/(--(SEARCH(BJ$2,Liste_Handelsünger[Handelsdünger])&gt;0)),ROW()-2),1),"")</f>
        <v>Sergomil L60</v>
      </c>
      <c r="BJ291" t="str">
        <f>IF(($A304=""),"",IF(COUNTIF(Mineral!$AJ$3:$AJ$324,$A304),"",$A304))</f>
        <v/>
      </c>
      <c r="BK291" t="str">
        <f>IFERROR(INDEX(Liste_Handelsünger[Handelsdünger],_xlfn.AGGREGATE(15,6,(ROW(Liste_Handelsünger[Handelsdünger])-1)/(--(SEARCH(BL$2,Liste_Handelsünger[Handelsdünger])&gt;0)),ROW()-2),1),"")</f>
        <v>Sergomil L60</v>
      </c>
      <c r="BM291" t="str">
        <f>IFERROR(INDEX(Liste_Handelsünger[Handelsdünger],_xlfn.AGGREGATE(15,6,(ROW(Liste_Handelsünger[Handelsdünger])-1)/(--(SEARCH(BN$2,Liste_Handelsünger[Handelsdünger])&gt;0)),ROW()-2),1),"")</f>
        <v>Sergomil L60</v>
      </c>
      <c r="BN291" t="str">
        <f>IF(($A306=""),"",IF(COUNTIF(Mineral!$AJ$3:$AJ$324,$A306),"",$A306))</f>
        <v/>
      </c>
      <c r="BV291" t="s">
        <v>2273</v>
      </c>
      <c r="BW291" t="s">
        <v>2235</v>
      </c>
      <c r="BZ291" s="1602"/>
      <c r="CA291" s="1602"/>
      <c r="CB291" s="1602"/>
    </row>
    <row r="292" spans="19:80" ht="14.25" thickTop="1" thickBot="1">
      <c r="S292" s="1676">
        <v>291</v>
      </c>
      <c r="T292" s="1606" t="s">
        <v>2006</v>
      </c>
      <c r="U292" s="1606" t="s">
        <v>2274</v>
      </c>
      <c r="V292" s="1606" t="s">
        <v>408</v>
      </c>
      <c r="W292" s="1606">
        <v>0</v>
      </c>
      <c r="X292" s="1606">
        <v>0</v>
      </c>
      <c r="Y292" s="1606">
        <v>0</v>
      </c>
      <c r="Z292" s="1606">
        <v>0</v>
      </c>
      <c r="AA292" s="1606">
        <v>0</v>
      </c>
      <c r="AB292" s="1606">
        <v>0</v>
      </c>
      <c r="AC292" s="1606">
        <v>1</v>
      </c>
      <c r="AD292" s="1613">
        <v>1</v>
      </c>
      <c r="AE292" s="1606" t="s">
        <v>1764</v>
      </c>
      <c r="AF292" s="1613" t="str">
        <f t="shared" si="21"/>
        <v/>
      </c>
      <c r="AG292" s="1656">
        <f>IFERROR(IF($AF292&gt;0,VLOOKUP($U292,Tabelle1!$C$188:$L$212,5,0)*$AF292,0),0)</f>
        <v>0</v>
      </c>
      <c r="AH292" s="1656">
        <f t="shared" si="22"/>
        <v>0</v>
      </c>
      <c r="AJ292" t="str">
        <f>IF(Betrieb!$D$9="JA",Mineral!$BW292,Mineral!$BV292)</f>
        <v>SOJALL MICRO POWER</v>
      </c>
      <c r="AK292" s="1672" t="str">
        <f>IFERROR(INDEX(Liste_Handelsünger[Handelsdünger],_xlfn.AGGREGATE(15,6,(ROW(Liste_Handelsünger[Handelsdünger])-1)/(--(SEARCH(AL$2,Liste_Handelsünger[Handelsdünger])&gt;0)),ROW()-2),1),"")</f>
        <v>SOJALL MICRO POWER</v>
      </c>
      <c r="AL292" s="1672" t="str">
        <f>IF(($A$3=""),"",IF(COUNTIF(Mineral!$AJ$3:$AJ$324,$A$3),"",$A$3))</f>
        <v/>
      </c>
      <c r="AM292" s="1672" t="str">
        <f>IFERROR(INDEX(Liste_Handelsünger[Handelsdünger],_xlfn.AGGREGATE(15,6,(ROW(Liste_Handelsünger[Handelsdünger])-1)/(--(SEARCH(AN$2,Liste_Handelsünger[Handelsdünger])&gt;0)),ROW()-2),1),"")</f>
        <v>SOJALL MICRO POWER</v>
      </c>
      <c r="AN292" t="str">
        <f>IF(($A294=""),"",IF(COUNTIF(Mineral!$AJ$3:$AJ$324,$A294),"",$A294))</f>
        <v/>
      </c>
      <c r="AO292" t="str">
        <f>IFERROR(INDEX(Liste_Handelsünger[Handelsdünger],_xlfn.AGGREGATE(15,6,(ROW(Liste_Handelsünger[Handelsdünger])-1)/(--(SEARCH(AP$2,Liste_Handelsünger[Handelsdünger])&gt;0)),ROW()-2),1),"")</f>
        <v>SOJALL MICRO POWER</v>
      </c>
      <c r="AP292" t="str">
        <f>IF(($A295=""),"",IF(COUNTIF(Mineral!$AJ$3:$AJ$324,$A295),"",$A295))</f>
        <v/>
      </c>
      <c r="AQ292" t="str">
        <f>IFERROR(INDEX(Liste_Handelsünger[Handelsdünger],_xlfn.AGGREGATE(15,6,(ROW(Liste_Handelsünger[Handelsdünger])-1)/(--(SEARCH(AR$2,Liste_Handelsünger[Handelsdünger])&gt;0)),ROW()-2),1),"")</f>
        <v>SOJALL MICRO POWER</v>
      </c>
      <c r="AR292" t="str">
        <f>IF(($A296=""),"",IF(COUNTIF(Mineral!$AJ$3:$AJ$324,$A296),"",$A296))</f>
        <v/>
      </c>
      <c r="AS292" t="str">
        <f>IFERROR(INDEX(Liste_Handelsünger[Handelsdünger],_xlfn.AGGREGATE(15,6,(ROW(Liste_Handelsünger[Handelsdünger])-1)/(--(SEARCH(AT$2,Liste_Handelsünger[Handelsdünger])&gt;0)),ROW()-2),1),"")</f>
        <v>SOJALL MICRO POWER</v>
      </c>
      <c r="AT292" t="str">
        <f>IF(($A297=""),"",IF(COUNTIF(Mineral!$AJ$3:$AJ$324,$A297),"",$A297))</f>
        <v/>
      </c>
      <c r="AU292" t="str">
        <f>IFERROR(INDEX(Liste_Handelsünger[Handelsdünger],_xlfn.AGGREGATE(15,6,(ROW(Liste_Handelsünger[Handelsdünger])-1)/(--(SEARCH(AV$2,Liste_Handelsünger[Handelsdünger])&gt;0)),ROW()-2),1),"")</f>
        <v>SOJALL MICRO POWER</v>
      </c>
      <c r="AV292" t="str">
        <f>IF(($A298=""),"",IF(COUNTIF(Mineral!$AJ$3:$AJ$324,$A298),"",$A298))</f>
        <v/>
      </c>
      <c r="AW292" t="str">
        <f>IFERROR(INDEX(Liste_Handelsünger[Handelsdünger],_xlfn.AGGREGATE(15,6,(ROW(Liste_Handelsünger[Handelsdünger])-1)/(--(SEARCH(AX$2,Liste_Handelsünger[Handelsdünger])&gt;0)),ROW()-2),1),"")</f>
        <v>SOJALL MICRO POWER</v>
      </c>
      <c r="AX292" t="str">
        <f>IF(($A299=""),"",IF(COUNTIF(Mineral!$AJ$3:$AJ$324,$A299),"",$A299))</f>
        <v/>
      </c>
      <c r="AY292" t="str">
        <f>IFERROR(INDEX(Liste_Handelsünger[Handelsdünger],_xlfn.AGGREGATE(15,6,(ROW(Liste_Handelsünger[Handelsdünger])-1)/(--(SEARCH(AZ$2,Liste_Handelsünger[Handelsdünger])&gt;0)),ROW()-2),1),"")</f>
        <v>SOJALL MICRO POWER</v>
      </c>
      <c r="AZ292" t="str">
        <f>IF(($A300=""),"",IF(COUNTIF(Mineral!$AJ$3:$AJ$324,$A300),"",$A300))</f>
        <v/>
      </c>
      <c r="BA292" t="str">
        <f>IFERROR(INDEX(Liste_Handelsünger[Handelsdünger],_xlfn.AGGREGATE(15,6,(ROW(Liste_Handelsünger[Handelsdünger])-1)/(--(SEARCH(BB$2,Liste_Handelsünger[Handelsdünger])&gt;0)),ROW()-2),1),"")</f>
        <v>SOJALL MICRO POWER</v>
      </c>
      <c r="BB292" t="str">
        <f>IF(($A301=""),"",IF(COUNTIF(Mineral!$AJ$3:$AJ$324,$A301),"",$A301))</f>
        <v/>
      </c>
      <c r="BC292" t="str">
        <f>IFERROR(INDEX(Liste_Handelsünger[Handelsdünger],_xlfn.AGGREGATE(15,6,(ROW(Liste_Handelsünger[Handelsdünger])-1)/(--(SEARCH(BD$2,Liste_Handelsünger[Handelsdünger])&gt;0)),ROW()-2),1),"")</f>
        <v>SOJALL MICRO POWER</v>
      </c>
      <c r="BD292" t="str">
        <f>IF(($A302=""),"",IF(COUNTIF(Mineral!$AJ$3:$AJ$324,$A302),"",$A302))</f>
        <v/>
      </c>
      <c r="BE292" t="str">
        <f>IFERROR(INDEX(Liste_Handelsünger[Handelsdünger],_xlfn.AGGREGATE(15,6,(ROW(Liste_Handelsünger[Handelsdünger])-1)/(--(SEARCH(BF$2,Liste_Handelsünger[Handelsdünger])&gt;0)),ROW()-2),1),"")</f>
        <v>SOJALL MICRO POWER</v>
      </c>
      <c r="BF292" t="str">
        <f>IF(($A303=""),"",IF(COUNTIF(Mineral!$AJ$3:$AJ$324,$A303),"",$A303))</f>
        <v/>
      </c>
      <c r="BG292" t="str">
        <f>IFERROR(INDEX(Liste_Handelsünger[Handelsdünger],_xlfn.AGGREGATE(15,6,(ROW(Liste_Handelsünger[Handelsdünger])-1)/(--(SEARCH(BH$2,Liste_Handelsünger[Handelsdünger])&gt;0)),ROW()-2),1),"")</f>
        <v>SOJALL MICRO POWER</v>
      </c>
      <c r="BH292" t="str">
        <f>IF(($A304=""),"",IF(COUNTIF(Mineral!$AJ$3:$AJ$324,$A304),"",$A304))</f>
        <v/>
      </c>
      <c r="BI292" t="str">
        <f>IFERROR(INDEX(Liste_Handelsünger[Handelsdünger],_xlfn.AGGREGATE(15,6,(ROW(Liste_Handelsünger[Handelsdünger])-1)/(--(SEARCH(BJ$2,Liste_Handelsünger[Handelsdünger])&gt;0)),ROW()-2),1),"")</f>
        <v>SOJALL MICRO POWER</v>
      </c>
      <c r="BJ292" t="str">
        <f>IF(($A305=""),"",IF(COUNTIF(Mineral!$AJ$3:$AJ$324,$A305),"",$A305))</f>
        <v/>
      </c>
      <c r="BK292" t="str">
        <f>IFERROR(INDEX(Liste_Handelsünger[Handelsdünger],_xlfn.AGGREGATE(15,6,(ROW(Liste_Handelsünger[Handelsdünger])-1)/(--(SEARCH(BL$2,Liste_Handelsünger[Handelsdünger])&gt;0)),ROW()-2),1),"")</f>
        <v>SOJALL MICRO POWER</v>
      </c>
      <c r="BM292" t="str">
        <f>IFERROR(INDEX(Liste_Handelsünger[Handelsdünger],_xlfn.AGGREGATE(15,6,(ROW(Liste_Handelsünger[Handelsdünger])-1)/(--(SEARCH(BN$2,Liste_Handelsünger[Handelsdünger])&gt;0)),ROW()-2),1),"")</f>
        <v>SOJALL MICRO POWER</v>
      </c>
      <c r="BN292" t="str">
        <f>IF(($A307=""),"",IF(COUNTIF(Mineral!$AJ$3:$AJ$324,$A307),"",$A307))</f>
        <v/>
      </c>
      <c r="BV292" t="s">
        <v>2274</v>
      </c>
      <c r="BW292" t="s">
        <v>2236</v>
      </c>
      <c r="BZ292" s="1602"/>
      <c r="CA292" s="1602"/>
      <c r="CB292" s="1602"/>
    </row>
    <row r="293" spans="19:80" ht="14.25" thickTop="1" thickBot="1">
      <c r="S293" s="1616">
        <v>292</v>
      </c>
      <c r="T293" s="1617" t="s">
        <v>2006</v>
      </c>
      <c r="U293" s="1617" t="s">
        <v>2276</v>
      </c>
      <c r="V293" s="1617" t="s">
        <v>408</v>
      </c>
      <c r="W293" s="1617">
        <v>4.5</v>
      </c>
      <c r="X293" s="1617">
        <v>0</v>
      </c>
      <c r="Y293" s="1617">
        <v>10</v>
      </c>
      <c r="Z293" s="1617">
        <v>0.5</v>
      </c>
      <c r="AA293" s="1617">
        <v>0</v>
      </c>
      <c r="AB293" s="1617">
        <v>0</v>
      </c>
      <c r="AC293" s="1617">
        <v>0.7</v>
      </c>
      <c r="AD293" s="1613">
        <v>0.87</v>
      </c>
      <c r="AE293" s="1617" t="s">
        <v>2016</v>
      </c>
      <c r="AF293" s="1613" t="str">
        <f t="shared" si="21"/>
        <v/>
      </c>
      <c r="AG293" s="1656">
        <f>IFERROR(IF($AF293&gt;0,VLOOKUP($U293,Tabelle1!$C$188:$L$212,5,0)*$AF293,0),0)</f>
        <v>0</v>
      </c>
      <c r="AH293" s="1656">
        <f t="shared" si="22"/>
        <v>0</v>
      </c>
      <c r="AJ293" t="str">
        <f>IF(Betrieb!$D$9="JA",Mineral!$BW293,Mineral!$BV293)</f>
        <v>solufit FG®/ solufit TG®/ solufit WE®</v>
      </c>
      <c r="AK293" s="1672" t="str">
        <f>IFERROR(INDEX(Liste_Handelsünger[Handelsdünger],_xlfn.AGGREGATE(15,6,(ROW(Liste_Handelsünger[Handelsdünger])-1)/(--(SEARCH(AL$2,Liste_Handelsünger[Handelsdünger])&gt;0)),ROW()-2),1),"")</f>
        <v>solufit FG®/ solufit TG®/ solufit WE®</v>
      </c>
      <c r="AL293" s="1672" t="str">
        <f>IF(($A$3=""),"",IF(COUNTIF(Mineral!$AJ$3:$AJ$324,$A$3),"",$A$3))</f>
        <v/>
      </c>
      <c r="AM293" s="1672" t="str">
        <f>IFERROR(INDEX(Liste_Handelsünger[Handelsdünger],_xlfn.AGGREGATE(15,6,(ROW(Liste_Handelsünger[Handelsdünger])-1)/(--(SEARCH(AN$2,Liste_Handelsünger[Handelsdünger])&gt;0)),ROW()-2),1),"")</f>
        <v>solufit FG®/ solufit TG®/ solufit WE®</v>
      </c>
      <c r="AN293" t="str">
        <f>IF(($A295=""),"",IF(COUNTIF(Mineral!$AJ$3:$AJ$324,$A295),"",$A295))</f>
        <v/>
      </c>
      <c r="AO293" t="str">
        <f>IFERROR(INDEX(Liste_Handelsünger[Handelsdünger],_xlfn.AGGREGATE(15,6,(ROW(Liste_Handelsünger[Handelsdünger])-1)/(--(SEARCH(AP$2,Liste_Handelsünger[Handelsdünger])&gt;0)),ROW()-2),1),"")</f>
        <v>solufit FG®/ solufit TG®/ solufit WE®</v>
      </c>
      <c r="AP293" t="str">
        <f>IF(($A296=""),"",IF(COUNTIF(Mineral!$AJ$3:$AJ$324,$A296),"",$A296))</f>
        <v/>
      </c>
      <c r="AQ293" t="str">
        <f>IFERROR(INDEX(Liste_Handelsünger[Handelsdünger],_xlfn.AGGREGATE(15,6,(ROW(Liste_Handelsünger[Handelsdünger])-1)/(--(SEARCH(AR$2,Liste_Handelsünger[Handelsdünger])&gt;0)),ROW()-2),1),"")</f>
        <v>solufit FG®/ solufit TG®/ solufit WE®</v>
      </c>
      <c r="AR293" t="str">
        <f>IF(($A297=""),"",IF(COUNTIF(Mineral!$AJ$3:$AJ$324,$A297),"",$A297))</f>
        <v/>
      </c>
      <c r="AS293" t="str">
        <f>IFERROR(INDEX(Liste_Handelsünger[Handelsdünger],_xlfn.AGGREGATE(15,6,(ROW(Liste_Handelsünger[Handelsdünger])-1)/(--(SEARCH(AT$2,Liste_Handelsünger[Handelsdünger])&gt;0)),ROW()-2),1),"")</f>
        <v>solufit FG®/ solufit TG®/ solufit WE®</v>
      </c>
      <c r="AT293" t="str">
        <f>IF(($A298=""),"",IF(COUNTIF(Mineral!$AJ$3:$AJ$324,$A298),"",$A298))</f>
        <v/>
      </c>
      <c r="AU293" t="str">
        <f>IFERROR(INDEX(Liste_Handelsünger[Handelsdünger],_xlfn.AGGREGATE(15,6,(ROW(Liste_Handelsünger[Handelsdünger])-1)/(--(SEARCH(AV$2,Liste_Handelsünger[Handelsdünger])&gt;0)),ROW()-2),1),"")</f>
        <v>solufit FG®/ solufit TG®/ solufit WE®</v>
      </c>
      <c r="AV293" t="str">
        <f>IF(($A299=""),"",IF(COUNTIF(Mineral!$AJ$3:$AJ$324,$A299),"",$A299))</f>
        <v/>
      </c>
      <c r="AW293" t="str">
        <f>IFERROR(INDEX(Liste_Handelsünger[Handelsdünger],_xlfn.AGGREGATE(15,6,(ROW(Liste_Handelsünger[Handelsdünger])-1)/(--(SEARCH(AX$2,Liste_Handelsünger[Handelsdünger])&gt;0)),ROW()-2),1),"")</f>
        <v>solufit FG®/ solufit TG®/ solufit WE®</v>
      </c>
      <c r="AX293" t="str">
        <f>IF(($A300=""),"",IF(COUNTIF(Mineral!$AJ$3:$AJ$324,$A300),"",$A300))</f>
        <v/>
      </c>
      <c r="AY293" t="str">
        <f>IFERROR(INDEX(Liste_Handelsünger[Handelsdünger],_xlfn.AGGREGATE(15,6,(ROW(Liste_Handelsünger[Handelsdünger])-1)/(--(SEARCH(AZ$2,Liste_Handelsünger[Handelsdünger])&gt;0)),ROW()-2),1),"")</f>
        <v>solufit FG®/ solufit TG®/ solufit WE®</v>
      </c>
      <c r="AZ293" t="str">
        <f>IF(($A301=""),"",IF(COUNTIF(Mineral!$AJ$3:$AJ$324,$A301),"",$A301))</f>
        <v/>
      </c>
      <c r="BA293" t="str">
        <f>IFERROR(INDEX(Liste_Handelsünger[Handelsdünger],_xlfn.AGGREGATE(15,6,(ROW(Liste_Handelsünger[Handelsdünger])-1)/(--(SEARCH(BB$2,Liste_Handelsünger[Handelsdünger])&gt;0)),ROW()-2),1),"")</f>
        <v>solufit FG®/ solufit TG®/ solufit WE®</v>
      </c>
      <c r="BB293" t="str">
        <f>IF(($A302=""),"",IF(COUNTIF(Mineral!$AJ$3:$AJ$324,$A302),"",$A302))</f>
        <v/>
      </c>
      <c r="BC293" t="str">
        <f>IFERROR(INDEX(Liste_Handelsünger[Handelsdünger],_xlfn.AGGREGATE(15,6,(ROW(Liste_Handelsünger[Handelsdünger])-1)/(--(SEARCH(BD$2,Liste_Handelsünger[Handelsdünger])&gt;0)),ROW()-2),1),"")</f>
        <v>solufit FG®/ solufit TG®/ solufit WE®</v>
      </c>
      <c r="BD293" t="str">
        <f>IF(($A303=""),"",IF(COUNTIF(Mineral!$AJ$3:$AJ$324,$A303),"",$A303))</f>
        <v/>
      </c>
      <c r="BE293" t="str">
        <f>IFERROR(INDEX(Liste_Handelsünger[Handelsdünger],_xlfn.AGGREGATE(15,6,(ROW(Liste_Handelsünger[Handelsdünger])-1)/(--(SEARCH(BF$2,Liste_Handelsünger[Handelsdünger])&gt;0)),ROW()-2),1),"")</f>
        <v>solufit FG®/ solufit TG®/ solufit WE®</v>
      </c>
      <c r="BF293" t="str">
        <f>IF(($A304=""),"",IF(COUNTIF(Mineral!$AJ$3:$AJ$324,$A304),"",$A304))</f>
        <v/>
      </c>
      <c r="BG293" t="str">
        <f>IFERROR(INDEX(Liste_Handelsünger[Handelsdünger],_xlfn.AGGREGATE(15,6,(ROW(Liste_Handelsünger[Handelsdünger])-1)/(--(SEARCH(BH$2,Liste_Handelsünger[Handelsdünger])&gt;0)),ROW()-2),1),"")</f>
        <v>solufit FG®/ solufit TG®/ solufit WE®</v>
      </c>
      <c r="BH293" t="str">
        <f>IF(($A305=""),"",IF(COUNTIF(Mineral!$AJ$3:$AJ$324,$A305),"",$A305))</f>
        <v/>
      </c>
      <c r="BI293" t="str">
        <f>IFERROR(INDEX(Liste_Handelsünger[Handelsdünger],_xlfn.AGGREGATE(15,6,(ROW(Liste_Handelsünger[Handelsdünger])-1)/(--(SEARCH(BJ$2,Liste_Handelsünger[Handelsdünger])&gt;0)),ROW()-2),1),"")</f>
        <v>solufit FG®/ solufit TG®/ solufit WE®</v>
      </c>
      <c r="BJ293" t="str">
        <f>IF(($A306=""),"",IF(COUNTIF(Mineral!$AJ$3:$AJ$324,$A306),"",$A306))</f>
        <v/>
      </c>
      <c r="BK293" t="str">
        <f>IFERROR(INDEX(Liste_Handelsünger[Handelsdünger],_xlfn.AGGREGATE(15,6,(ROW(Liste_Handelsünger[Handelsdünger])-1)/(--(SEARCH(BL$2,Liste_Handelsünger[Handelsdünger])&gt;0)),ROW()-2),1),"")</f>
        <v>solufit FG®/ solufit TG®/ solufit WE®</v>
      </c>
      <c r="BM293" t="str">
        <f>IFERROR(INDEX(Liste_Handelsünger[Handelsdünger],_xlfn.AGGREGATE(15,6,(ROW(Liste_Handelsünger[Handelsdünger])-1)/(--(SEARCH(BN$2,Liste_Handelsünger[Handelsdünger])&gt;0)),ROW()-2),1),"")</f>
        <v>solufit FG®/ solufit TG®/ solufit WE®</v>
      </c>
      <c r="BN293" t="str">
        <f>IF(($A308=""),"",IF(COUNTIF(Mineral!$AJ$3:$AJ$324,$A308),"",$A308))</f>
        <v/>
      </c>
      <c r="BV293" t="s">
        <v>2276</v>
      </c>
      <c r="BW293" t="s">
        <v>2237</v>
      </c>
      <c r="BZ293" s="1602"/>
      <c r="CA293" s="1602"/>
      <c r="CB293" s="1602"/>
    </row>
    <row r="294" spans="19:80" ht="14.25" thickTop="1" thickBot="1">
      <c r="S294" s="1676">
        <v>293</v>
      </c>
      <c r="T294" s="1606" t="s">
        <v>2006</v>
      </c>
      <c r="U294" s="1606" t="s">
        <v>2277</v>
      </c>
      <c r="V294" s="1606" t="s">
        <v>408</v>
      </c>
      <c r="W294" s="1606">
        <v>5</v>
      </c>
      <c r="X294" s="1606">
        <v>1.7</v>
      </c>
      <c r="Y294" s="1606">
        <v>1.3</v>
      </c>
      <c r="Z294" s="1606">
        <v>6</v>
      </c>
      <c r="AA294" s="1606">
        <v>3</v>
      </c>
      <c r="AB294" s="1606"/>
      <c r="AC294" s="1606">
        <v>0.5</v>
      </c>
      <c r="AD294" s="1613">
        <v>0.91</v>
      </c>
      <c r="AE294" s="1606" t="s">
        <v>2037</v>
      </c>
      <c r="AF294" s="1613" t="str">
        <f t="shared" si="21"/>
        <v/>
      </c>
      <c r="AG294" s="1656">
        <f>IFERROR(IF($AF294&gt;0,VLOOKUP($U294,Tabelle1!$C$188:$L$212,5,0)*$AF294,0),0)</f>
        <v>0</v>
      </c>
      <c r="AH294" s="1656">
        <f t="shared" si="22"/>
        <v>0</v>
      </c>
      <c r="AJ294" t="str">
        <f>IF(Betrieb!$D$9="JA",Mineral!$BW294,Mineral!$BV294)</f>
        <v>Spower BioN +(A)</v>
      </c>
      <c r="AK294" s="1672" t="str">
        <f>IFERROR(INDEX(Liste_Handelsünger[Handelsdünger],_xlfn.AGGREGATE(15,6,(ROW(Liste_Handelsünger[Handelsdünger])-1)/(--(SEARCH(AL$2,Liste_Handelsünger[Handelsdünger])&gt;0)),ROW()-2),1),"")</f>
        <v>Spower BioN +(A)</v>
      </c>
      <c r="AL294" s="1672" t="str">
        <f>IF(($A$3=""),"",IF(COUNTIF(Mineral!$AJ$3:$AJ$324,$A$3),"",$A$3))</f>
        <v/>
      </c>
      <c r="AM294" s="1672" t="str">
        <f>IFERROR(INDEX(Liste_Handelsünger[Handelsdünger],_xlfn.AGGREGATE(15,6,(ROW(Liste_Handelsünger[Handelsdünger])-1)/(--(SEARCH(AN$2,Liste_Handelsünger[Handelsdünger])&gt;0)),ROW()-2),1),"")</f>
        <v>Spower BioN +(A)</v>
      </c>
      <c r="AN294" t="str">
        <f>IF(($A296=""),"",IF(COUNTIF(Mineral!$AJ$3:$AJ$324,$A296),"",$A296))</f>
        <v/>
      </c>
      <c r="AO294" t="str">
        <f>IFERROR(INDEX(Liste_Handelsünger[Handelsdünger],_xlfn.AGGREGATE(15,6,(ROW(Liste_Handelsünger[Handelsdünger])-1)/(--(SEARCH(AP$2,Liste_Handelsünger[Handelsdünger])&gt;0)),ROW()-2),1),"")</f>
        <v>Spower BioN +(A)</v>
      </c>
      <c r="AP294" t="str">
        <f>IF(($A297=""),"",IF(COUNTIF(Mineral!$AJ$3:$AJ$324,$A297),"",$A297))</f>
        <v/>
      </c>
      <c r="AQ294" t="str">
        <f>IFERROR(INDEX(Liste_Handelsünger[Handelsdünger],_xlfn.AGGREGATE(15,6,(ROW(Liste_Handelsünger[Handelsdünger])-1)/(--(SEARCH(AR$2,Liste_Handelsünger[Handelsdünger])&gt;0)),ROW()-2),1),"")</f>
        <v>Spower BioN +(A)</v>
      </c>
      <c r="AR294" t="str">
        <f>IF(($A298=""),"",IF(COUNTIF(Mineral!$AJ$3:$AJ$324,$A298),"",$A298))</f>
        <v/>
      </c>
      <c r="AS294" t="str">
        <f>IFERROR(INDEX(Liste_Handelsünger[Handelsdünger],_xlfn.AGGREGATE(15,6,(ROW(Liste_Handelsünger[Handelsdünger])-1)/(--(SEARCH(AT$2,Liste_Handelsünger[Handelsdünger])&gt;0)),ROW()-2),1),"")</f>
        <v>Spower BioN +(A)</v>
      </c>
      <c r="AT294" t="str">
        <f>IF(($A299=""),"",IF(COUNTIF(Mineral!$AJ$3:$AJ$324,$A299),"",$A299))</f>
        <v/>
      </c>
      <c r="AU294" t="str">
        <f>IFERROR(INDEX(Liste_Handelsünger[Handelsdünger],_xlfn.AGGREGATE(15,6,(ROW(Liste_Handelsünger[Handelsdünger])-1)/(--(SEARCH(AV$2,Liste_Handelsünger[Handelsdünger])&gt;0)),ROW()-2),1),"")</f>
        <v>Spower BioN +(A)</v>
      </c>
      <c r="AV294" t="str">
        <f>IF(($A300=""),"",IF(COUNTIF(Mineral!$AJ$3:$AJ$324,$A300),"",$A300))</f>
        <v/>
      </c>
      <c r="AW294" t="str">
        <f>IFERROR(INDEX(Liste_Handelsünger[Handelsdünger],_xlfn.AGGREGATE(15,6,(ROW(Liste_Handelsünger[Handelsdünger])-1)/(--(SEARCH(AX$2,Liste_Handelsünger[Handelsdünger])&gt;0)),ROW()-2),1),"")</f>
        <v>Spower BioN +(A)</v>
      </c>
      <c r="AX294" t="str">
        <f>IF(($A301=""),"",IF(COUNTIF(Mineral!$AJ$3:$AJ$324,$A301),"",$A301))</f>
        <v/>
      </c>
      <c r="AY294" t="str">
        <f>IFERROR(INDEX(Liste_Handelsünger[Handelsdünger],_xlfn.AGGREGATE(15,6,(ROW(Liste_Handelsünger[Handelsdünger])-1)/(--(SEARCH(AZ$2,Liste_Handelsünger[Handelsdünger])&gt;0)),ROW()-2),1),"")</f>
        <v>Spower BioN +(A)</v>
      </c>
      <c r="AZ294" t="str">
        <f>IF(($A302=""),"",IF(COUNTIF(Mineral!$AJ$3:$AJ$324,$A302),"",$A302))</f>
        <v/>
      </c>
      <c r="BA294" t="str">
        <f>IFERROR(INDEX(Liste_Handelsünger[Handelsdünger],_xlfn.AGGREGATE(15,6,(ROW(Liste_Handelsünger[Handelsdünger])-1)/(--(SEARCH(BB$2,Liste_Handelsünger[Handelsdünger])&gt;0)),ROW()-2),1),"")</f>
        <v>Spower BioN +(A)</v>
      </c>
      <c r="BB294" t="str">
        <f>IF(($A303=""),"",IF(COUNTIF(Mineral!$AJ$3:$AJ$324,$A303),"",$A303))</f>
        <v/>
      </c>
      <c r="BC294" t="str">
        <f>IFERROR(INDEX(Liste_Handelsünger[Handelsdünger],_xlfn.AGGREGATE(15,6,(ROW(Liste_Handelsünger[Handelsdünger])-1)/(--(SEARCH(BD$2,Liste_Handelsünger[Handelsdünger])&gt;0)),ROW()-2),1),"")</f>
        <v>Spower BioN +(A)</v>
      </c>
      <c r="BD294" t="str">
        <f>IF(($A304=""),"",IF(COUNTIF(Mineral!$AJ$3:$AJ$324,$A304),"",$A304))</f>
        <v/>
      </c>
      <c r="BE294" t="str">
        <f>IFERROR(INDEX(Liste_Handelsünger[Handelsdünger],_xlfn.AGGREGATE(15,6,(ROW(Liste_Handelsünger[Handelsdünger])-1)/(--(SEARCH(BF$2,Liste_Handelsünger[Handelsdünger])&gt;0)),ROW()-2),1),"")</f>
        <v>Spower BioN +(A)</v>
      </c>
      <c r="BF294" t="str">
        <f>IF(($A305=""),"",IF(COUNTIF(Mineral!$AJ$3:$AJ$324,$A305),"",$A305))</f>
        <v/>
      </c>
      <c r="BG294" t="str">
        <f>IFERROR(INDEX(Liste_Handelsünger[Handelsdünger],_xlfn.AGGREGATE(15,6,(ROW(Liste_Handelsünger[Handelsdünger])-1)/(--(SEARCH(BH$2,Liste_Handelsünger[Handelsdünger])&gt;0)),ROW()-2),1),"")</f>
        <v>Spower BioN +(A)</v>
      </c>
      <c r="BH294" t="str">
        <f>IF(($A306=""),"",IF(COUNTIF(Mineral!$AJ$3:$AJ$324,$A306),"",$A306))</f>
        <v/>
      </c>
      <c r="BI294" t="str">
        <f>IFERROR(INDEX(Liste_Handelsünger[Handelsdünger],_xlfn.AGGREGATE(15,6,(ROW(Liste_Handelsünger[Handelsdünger])-1)/(--(SEARCH(BJ$2,Liste_Handelsünger[Handelsdünger])&gt;0)),ROW()-2),1),"")</f>
        <v>Spower BioN +(A)</v>
      </c>
      <c r="BJ294" t="str">
        <f>IF(($A307=""),"",IF(COUNTIF(Mineral!$AJ$3:$AJ$324,$A307),"",$A307))</f>
        <v/>
      </c>
      <c r="BK294" t="str">
        <f>IFERROR(INDEX(Liste_Handelsünger[Handelsdünger],_xlfn.AGGREGATE(15,6,(ROW(Liste_Handelsünger[Handelsdünger])-1)/(--(SEARCH(BL$2,Liste_Handelsünger[Handelsdünger])&gt;0)),ROW()-2),1),"")</f>
        <v>Spower BioN +(A)</v>
      </c>
      <c r="BM294" t="str">
        <f>IFERROR(INDEX(Liste_Handelsünger[Handelsdünger],_xlfn.AGGREGATE(15,6,(ROW(Liste_Handelsünger[Handelsdünger])-1)/(--(SEARCH(BN$2,Liste_Handelsünger[Handelsdünger])&gt;0)),ROW()-2),1),"")</f>
        <v>Spower BioN +(A)</v>
      </c>
      <c r="BN294" t="str">
        <f>IF(($A309=""),"",IF(COUNTIF(Mineral!$AJ$3:$AJ$324,$A309),"",$A309))</f>
        <v/>
      </c>
      <c r="BV294" t="s">
        <v>2277</v>
      </c>
      <c r="BW294" t="s">
        <v>2240</v>
      </c>
      <c r="BZ294" s="1602"/>
      <c r="CA294" s="1602"/>
      <c r="CB294" s="1602"/>
    </row>
    <row r="295" spans="19:80" ht="14.25" thickTop="1" thickBot="1">
      <c r="S295" s="1616">
        <v>294</v>
      </c>
      <c r="T295" s="1617" t="s">
        <v>2006</v>
      </c>
      <c r="U295" s="1617" t="s">
        <v>2278</v>
      </c>
      <c r="V295" s="1617" t="s">
        <v>408</v>
      </c>
      <c r="W295" s="1617">
        <v>9</v>
      </c>
      <c r="X295" s="1617"/>
      <c r="Y295" s="1617"/>
      <c r="Z295" s="1617"/>
      <c r="AA295" s="1617"/>
      <c r="AB295" s="1617"/>
      <c r="AC295" s="1617">
        <v>0.7</v>
      </c>
      <c r="AD295" s="1613">
        <v>0.87</v>
      </c>
      <c r="AE295" s="1617" t="s">
        <v>2016</v>
      </c>
      <c r="AF295" s="1613" t="str">
        <f t="shared" si="21"/>
        <v/>
      </c>
      <c r="AG295" s="1656">
        <f>IFERROR(IF($AF295&gt;0,VLOOKUP($U295,Tabelle1!$C$188:$L$212,5,0)*$AF295,0),0)</f>
        <v>0</v>
      </c>
      <c r="AH295" s="1656">
        <f t="shared" si="22"/>
        <v>0</v>
      </c>
      <c r="AJ295" t="str">
        <f>IF(Betrieb!$D$9="JA",Mineral!$BW295,Mineral!$BV295)</f>
        <v>StyriaFert N flüssig</v>
      </c>
      <c r="AK295" s="1672" t="str">
        <f>IFERROR(INDEX(Liste_Handelsünger[Handelsdünger],_xlfn.AGGREGATE(15,6,(ROW(Liste_Handelsünger[Handelsdünger])-1)/(--(SEARCH(AL$2,Liste_Handelsünger[Handelsdünger])&gt;0)),ROW()-2),1),"")</f>
        <v>StyriaFert N flüssig</v>
      </c>
      <c r="AL295" s="1672" t="str">
        <f>IF(($A$3=""),"",IF(COUNTIF(Mineral!$AJ$3:$AJ$324,$A$3),"",$A$3))</f>
        <v/>
      </c>
      <c r="AM295" s="1672" t="str">
        <f>IFERROR(INDEX(Liste_Handelsünger[Handelsdünger],_xlfn.AGGREGATE(15,6,(ROW(Liste_Handelsünger[Handelsdünger])-1)/(--(SEARCH(AN$2,Liste_Handelsünger[Handelsdünger])&gt;0)),ROW()-2),1),"")</f>
        <v>StyriaFert N flüssig</v>
      </c>
      <c r="AN295" t="str">
        <f>IF(($A297=""),"",IF(COUNTIF(Mineral!$AJ$3:$AJ$324,$A297),"",$A297))</f>
        <v/>
      </c>
      <c r="AO295" t="str">
        <f>IFERROR(INDEX(Liste_Handelsünger[Handelsdünger],_xlfn.AGGREGATE(15,6,(ROW(Liste_Handelsünger[Handelsdünger])-1)/(--(SEARCH(AP$2,Liste_Handelsünger[Handelsdünger])&gt;0)),ROW()-2),1),"")</f>
        <v>StyriaFert N flüssig</v>
      </c>
      <c r="AP295" t="str">
        <f>IF(($A298=""),"",IF(COUNTIF(Mineral!$AJ$3:$AJ$324,$A298),"",$A298))</f>
        <v/>
      </c>
      <c r="AQ295" t="str">
        <f>IFERROR(INDEX(Liste_Handelsünger[Handelsdünger],_xlfn.AGGREGATE(15,6,(ROW(Liste_Handelsünger[Handelsdünger])-1)/(--(SEARCH(AR$2,Liste_Handelsünger[Handelsdünger])&gt;0)),ROW()-2),1),"")</f>
        <v>StyriaFert N flüssig</v>
      </c>
      <c r="AR295" t="str">
        <f>IF(($A299=""),"",IF(COUNTIF(Mineral!$AJ$3:$AJ$324,$A299),"",$A299))</f>
        <v/>
      </c>
      <c r="AS295" t="str">
        <f>IFERROR(INDEX(Liste_Handelsünger[Handelsdünger],_xlfn.AGGREGATE(15,6,(ROW(Liste_Handelsünger[Handelsdünger])-1)/(--(SEARCH(AT$2,Liste_Handelsünger[Handelsdünger])&gt;0)),ROW()-2),1),"")</f>
        <v>StyriaFert N flüssig</v>
      </c>
      <c r="AT295" t="str">
        <f>IF(($A300=""),"",IF(COUNTIF(Mineral!$AJ$3:$AJ$324,$A300),"",$A300))</f>
        <v/>
      </c>
      <c r="AU295" t="str">
        <f>IFERROR(INDEX(Liste_Handelsünger[Handelsdünger],_xlfn.AGGREGATE(15,6,(ROW(Liste_Handelsünger[Handelsdünger])-1)/(--(SEARCH(AV$2,Liste_Handelsünger[Handelsdünger])&gt;0)),ROW()-2),1),"")</f>
        <v>StyriaFert N flüssig</v>
      </c>
      <c r="AV295" t="str">
        <f>IF(($A301=""),"",IF(COUNTIF(Mineral!$AJ$3:$AJ$324,$A301),"",$A301))</f>
        <v/>
      </c>
      <c r="AW295" t="str">
        <f>IFERROR(INDEX(Liste_Handelsünger[Handelsdünger],_xlfn.AGGREGATE(15,6,(ROW(Liste_Handelsünger[Handelsdünger])-1)/(--(SEARCH(AX$2,Liste_Handelsünger[Handelsdünger])&gt;0)),ROW()-2),1),"")</f>
        <v>StyriaFert N flüssig</v>
      </c>
      <c r="AX295" t="str">
        <f>IF(($A302=""),"",IF(COUNTIF(Mineral!$AJ$3:$AJ$324,$A302),"",$A302))</f>
        <v/>
      </c>
      <c r="AY295" t="str">
        <f>IFERROR(INDEX(Liste_Handelsünger[Handelsdünger],_xlfn.AGGREGATE(15,6,(ROW(Liste_Handelsünger[Handelsdünger])-1)/(--(SEARCH(AZ$2,Liste_Handelsünger[Handelsdünger])&gt;0)),ROW()-2),1),"")</f>
        <v>StyriaFert N flüssig</v>
      </c>
      <c r="AZ295" t="str">
        <f>IF(($A303=""),"",IF(COUNTIF(Mineral!$AJ$3:$AJ$324,$A303),"",$A303))</f>
        <v/>
      </c>
      <c r="BA295" t="str">
        <f>IFERROR(INDEX(Liste_Handelsünger[Handelsdünger],_xlfn.AGGREGATE(15,6,(ROW(Liste_Handelsünger[Handelsdünger])-1)/(--(SEARCH(BB$2,Liste_Handelsünger[Handelsdünger])&gt;0)),ROW()-2),1),"")</f>
        <v>StyriaFert N flüssig</v>
      </c>
      <c r="BB295" t="str">
        <f>IF(($A304=""),"",IF(COUNTIF(Mineral!$AJ$3:$AJ$324,$A304),"",$A304))</f>
        <v/>
      </c>
      <c r="BC295" t="str">
        <f>IFERROR(INDEX(Liste_Handelsünger[Handelsdünger],_xlfn.AGGREGATE(15,6,(ROW(Liste_Handelsünger[Handelsdünger])-1)/(--(SEARCH(BD$2,Liste_Handelsünger[Handelsdünger])&gt;0)),ROW()-2),1),"")</f>
        <v>StyriaFert N flüssig</v>
      </c>
      <c r="BD295" t="str">
        <f>IF(($A305=""),"",IF(COUNTIF(Mineral!$AJ$3:$AJ$324,$A305),"",$A305))</f>
        <v/>
      </c>
      <c r="BE295" t="str">
        <f>IFERROR(INDEX(Liste_Handelsünger[Handelsdünger],_xlfn.AGGREGATE(15,6,(ROW(Liste_Handelsünger[Handelsdünger])-1)/(--(SEARCH(BF$2,Liste_Handelsünger[Handelsdünger])&gt;0)),ROW()-2),1),"")</f>
        <v>StyriaFert N flüssig</v>
      </c>
      <c r="BF295" t="str">
        <f>IF(($A306=""),"",IF(COUNTIF(Mineral!$AJ$3:$AJ$324,$A306),"",$A306))</f>
        <v/>
      </c>
      <c r="BG295" t="str">
        <f>IFERROR(INDEX(Liste_Handelsünger[Handelsdünger],_xlfn.AGGREGATE(15,6,(ROW(Liste_Handelsünger[Handelsdünger])-1)/(--(SEARCH(BH$2,Liste_Handelsünger[Handelsdünger])&gt;0)),ROW()-2),1),"")</f>
        <v>StyriaFert N flüssig</v>
      </c>
      <c r="BH295" t="str">
        <f>IF(($A307=""),"",IF(COUNTIF(Mineral!$AJ$3:$AJ$324,$A307),"",$A307))</f>
        <v/>
      </c>
      <c r="BI295" t="str">
        <f>IFERROR(INDEX(Liste_Handelsünger[Handelsdünger],_xlfn.AGGREGATE(15,6,(ROW(Liste_Handelsünger[Handelsdünger])-1)/(--(SEARCH(BJ$2,Liste_Handelsünger[Handelsdünger])&gt;0)),ROW()-2),1),"")</f>
        <v>StyriaFert N flüssig</v>
      </c>
      <c r="BJ295" t="str">
        <f>IF(($A308=""),"",IF(COUNTIF(Mineral!$AJ$3:$AJ$324,$A308),"",$A308))</f>
        <v/>
      </c>
      <c r="BK295" t="str">
        <f>IFERROR(INDEX(Liste_Handelsünger[Handelsdünger],_xlfn.AGGREGATE(15,6,(ROW(Liste_Handelsünger[Handelsdünger])-1)/(--(SEARCH(BL$2,Liste_Handelsünger[Handelsdünger])&gt;0)),ROW()-2),1),"")</f>
        <v>StyriaFert N flüssig</v>
      </c>
      <c r="BM295" t="str">
        <f>IFERROR(INDEX(Liste_Handelsünger[Handelsdünger],_xlfn.AGGREGATE(15,6,(ROW(Liste_Handelsünger[Handelsdünger])-1)/(--(SEARCH(BN$2,Liste_Handelsünger[Handelsdünger])&gt;0)),ROW()-2),1),"")</f>
        <v>StyriaFert N flüssig</v>
      </c>
      <c r="BN295" t="str">
        <f>IF(($A310=""),"",IF(COUNTIF(Mineral!$AJ$3:$AJ$324,$A310),"",$A310))</f>
        <v/>
      </c>
      <c r="BV295" t="s">
        <v>2278</v>
      </c>
      <c r="BW295" t="s">
        <v>2241</v>
      </c>
      <c r="BZ295" s="1602"/>
      <c r="CA295" s="1602"/>
      <c r="CB295" s="1602"/>
    </row>
    <row r="296" spans="19:80" ht="14.25" thickTop="1" thickBot="1">
      <c r="S296" s="1676">
        <v>295</v>
      </c>
      <c r="T296" s="1606" t="s">
        <v>2006</v>
      </c>
      <c r="U296" s="1606" t="s">
        <v>2279</v>
      </c>
      <c r="V296" s="1606" t="s">
        <v>408</v>
      </c>
      <c r="W296" s="1606">
        <v>13</v>
      </c>
      <c r="X296" s="1606"/>
      <c r="Y296" s="1606"/>
      <c r="Z296" s="1606">
        <v>1.6</v>
      </c>
      <c r="AA296" s="1606"/>
      <c r="AB296" s="1606"/>
      <c r="AC296" s="1606">
        <v>0.5</v>
      </c>
      <c r="AD296" s="1613">
        <v>0.91</v>
      </c>
      <c r="AE296" s="1606" t="s">
        <v>2037</v>
      </c>
      <c r="AF296" s="1613" t="str">
        <f t="shared" si="21"/>
        <v/>
      </c>
      <c r="AG296" s="1656">
        <f>IFERROR(IF($AF296&gt;0,VLOOKUP($U296,Tabelle1!$C$188:$L$212,5,0)*$AF296,0),0)</f>
        <v>0</v>
      </c>
      <c r="AH296" s="1656">
        <f t="shared" si="22"/>
        <v>0</v>
      </c>
      <c r="AJ296" t="str">
        <f>IF(Betrieb!$D$9="JA",Mineral!$BW296,Mineral!$BV296)</f>
        <v>StyriaFert N+</v>
      </c>
      <c r="AK296" s="1672" t="str">
        <f>IFERROR(INDEX(Liste_Handelsünger[Handelsdünger],_xlfn.AGGREGATE(15,6,(ROW(Liste_Handelsünger[Handelsdünger])-1)/(--(SEARCH(AL$2,Liste_Handelsünger[Handelsdünger])&gt;0)),ROW()-2),1),"")</f>
        <v>StyriaFert N+</v>
      </c>
      <c r="AL296" s="1672" t="str">
        <f>IF(($A$3=""),"",IF(COUNTIF(Mineral!$AJ$3:$AJ$324,$A$3),"",$A$3))</f>
        <v/>
      </c>
      <c r="AM296" s="1672" t="str">
        <f>IFERROR(INDEX(Liste_Handelsünger[Handelsdünger],_xlfn.AGGREGATE(15,6,(ROW(Liste_Handelsünger[Handelsdünger])-1)/(--(SEARCH(AN$2,Liste_Handelsünger[Handelsdünger])&gt;0)),ROW()-2),1),"")</f>
        <v>StyriaFert N+</v>
      </c>
      <c r="AN296" t="str">
        <f>IF(($A298=""),"",IF(COUNTIF(Mineral!$AJ$3:$AJ$324,$A298),"",$A298))</f>
        <v/>
      </c>
      <c r="AO296" t="str">
        <f>IFERROR(INDEX(Liste_Handelsünger[Handelsdünger],_xlfn.AGGREGATE(15,6,(ROW(Liste_Handelsünger[Handelsdünger])-1)/(--(SEARCH(AP$2,Liste_Handelsünger[Handelsdünger])&gt;0)),ROW()-2),1),"")</f>
        <v>StyriaFert N+</v>
      </c>
      <c r="AP296" t="str">
        <f>IF(($A299=""),"",IF(COUNTIF(Mineral!$AJ$3:$AJ$324,$A299),"",$A299))</f>
        <v/>
      </c>
      <c r="AQ296" t="str">
        <f>IFERROR(INDEX(Liste_Handelsünger[Handelsdünger],_xlfn.AGGREGATE(15,6,(ROW(Liste_Handelsünger[Handelsdünger])-1)/(--(SEARCH(AR$2,Liste_Handelsünger[Handelsdünger])&gt;0)),ROW()-2),1),"")</f>
        <v>StyriaFert N+</v>
      </c>
      <c r="AR296" t="str">
        <f>IF(($A300=""),"",IF(COUNTIF(Mineral!$AJ$3:$AJ$324,$A300),"",$A300))</f>
        <v/>
      </c>
      <c r="AS296" t="str">
        <f>IFERROR(INDEX(Liste_Handelsünger[Handelsdünger],_xlfn.AGGREGATE(15,6,(ROW(Liste_Handelsünger[Handelsdünger])-1)/(--(SEARCH(AT$2,Liste_Handelsünger[Handelsdünger])&gt;0)),ROW()-2),1),"")</f>
        <v>StyriaFert N+</v>
      </c>
      <c r="AT296" t="str">
        <f>IF(($A301=""),"",IF(COUNTIF(Mineral!$AJ$3:$AJ$324,$A301),"",$A301))</f>
        <v/>
      </c>
      <c r="AU296" t="str">
        <f>IFERROR(INDEX(Liste_Handelsünger[Handelsdünger],_xlfn.AGGREGATE(15,6,(ROW(Liste_Handelsünger[Handelsdünger])-1)/(--(SEARCH(AV$2,Liste_Handelsünger[Handelsdünger])&gt;0)),ROW()-2),1),"")</f>
        <v>StyriaFert N+</v>
      </c>
      <c r="AV296" t="str">
        <f>IF(($A302=""),"",IF(COUNTIF(Mineral!$AJ$3:$AJ$324,$A302),"",$A302))</f>
        <v/>
      </c>
      <c r="AW296" t="str">
        <f>IFERROR(INDEX(Liste_Handelsünger[Handelsdünger],_xlfn.AGGREGATE(15,6,(ROW(Liste_Handelsünger[Handelsdünger])-1)/(--(SEARCH(AX$2,Liste_Handelsünger[Handelsdünger])&gt;0)),ROW()-2),1),"")</f>
        <v>StyriaFert N+</v>
      </c>
      <c r="AX296" t="str">
        <f>IF(($A303=""),"",IF(COUNTIF(Mineral!$AJ$3:$AJ$324,$A303),"",$A303))</f>
        <v/>
      </c>
      <c r="AY296" t="str">
        <f>IFERROR(INDEX(Liste_Handelsünger[Handelsdünger],_xlfn.AGGREGATE(15,6,(ROW(Liste_Handelsünger[Handelsdünger])-1)/(--(SEARCH(AZ$2,Liste_Handelsünger[Handelsdünger])&gt;0)),ROW()-2),1),"")</f>
        <v>StyriaFert N+</v>
      </c>
      <c r="AZ296" t="str">
        <f>IF(($A304=""),"",IF(COUNTIF(Mineral!$AJ$3:$AJ$324,$A304),"",$A304))</f>
        <v/>
      </c>
      <c r="BA296" t="str">
        <f>IFERROR(INDEX(Liste_Handelsünger[Handelsdünger],_xlfn.AGGREGATE(15,6,(ROW(Liste_Handelsünger[Handelsdünger])-1)/(--(SEARCH(BB$2,Liste_Handelsünger[Handelsdünger])&gt;0)),ROW()-2),1),"")</f>
        <v>StyriaFert N+</v>
      </c>
      <c r="BB296" t="str">
        <f>IF(($A305=""),"",IF(COUNTIF(Mineral!$AJ$3:$AJ$324,$A305),"",$A305))</f>
        <v/>
      </c>
      <c r="BC296" t="str">
        <f>IFERROR(INDEX(Liste_Handelsünger[Handelsdünger],_xlfn.AGGREGATE(15,6,(ROW(Liste_Handelsünger[Handelsdünger])-1)/(--(SEARCH(BD$2,Liste_Handelsünger[Handelsdünger])&gt;0)),ROW()-2),1),"")</f>
        <v>StyriaFert N+</v>
      </c>
      <c r="BD296" t="str">
        <f>IF(($A306=""),"",IF(COUNTIF(Mineral!$AJ$3:$AJ$324,$A306),"",$A306))</f>
        <v/>
      </c>
      <c r="BE296" t="str">
        <f>IFERROR(INDEX(Liste_Handelsünger[Handelsdünger],_xlfn.AGGREGATE(15,6,(ROW(Liste_Handelsünger[Handelsdünger])-1)/(--(SEARCH(BF$2,Liste_Handelsünger[Handelsdünger])&gt;0)),ROW()-2),1),"")</f>
        <v>StyriaFert N+</v>
      </c>
      <c r="BF296" t="str">
        <f>IF(($A307=""),"",IF(COUNTIF(Mineral!$AJ$3:$AJ$324,$A307),"",$A307))</f>
        <v/>
      </c>
      <c r="BG296" t="str">
        <f>IFERROR(INDEX(Liste_Handelsünger[Handelsdünger],_xlfn.AGGREGATE(15,6,(ROW(Liste_Handelsünger[Handelsdünger])-1)/(--(SEARCH(BH$2,Liste_Handelsünger[Handelsdünger])&gt;0)),ROW()-2),1),"")</f>
        <v>StyriaFert N+</v>
      </c>
      <c r="BH296" t="str">
        <f>IF(($A308=""),"",IF(COUNTIF(Mineral!$AJ$3:$AJ$324,$A308),"",$A308))</f>
        <v/>
      </c>
      <c r="BI296" t="str">
        <f>IFERROR(INDEX(Liste_Handelsünger[Handelsdünger],_xlfn.AGGREGATE(15,6,(ROW(Liste_Handelsünger[Handelsdünger])-1)/(--(SEARCH(BJ$2,Liste_Handelsünger[Handelsdünger])&gt;0)),ROW()-2),1),"")</f>
        <v>StyriaFert N+</v>
      </c>
      <c r="BJ296" t="str">
        <f>IF(($A309=""),"",IF(COUNTIF(Mineral!$AJ$3:$AJ$324,$A309),"",$A309))</f>
        <v/>
      </c>
      <c r="BK296" t="str">
        <f>IFERROR(INDEX(Liste_Handelsünger[Handelsdünger],_xlfn.AGGREGATE(15,6,(ROW(Liste_Handelsünger[Handelsdünger])-1)/(--(SEARCH(BL$2,Liste_Handelsünger[Handelsdünger])&gt;0)),ROW()-2),1),"")</f>
        <v>StyriaFert N+</v>
      </c>
      <c r="BM296" t="str">
        <f>IFERROR(INDEX(Liste_Handelsünger[Handelsdünger],_xlfn.AGGREGATE(15,6,(ROW(Liste_Handelsünger[Handelsdünger])-1)/(--(SEARCH(BN$2,Liste_Handelsünger[Handelsdünger])&gt;0)),ROW()-2),1),"")</f>
        <v>StyriaFert N+</v>
      </c>
      <c r="BN296" t="str">
        <f>IF(($A311=""),"",IF(COUNTIF(Mineral!$AJ$3:$AJ$324,$A311),"",$A311))</f>
        <v/>
      </c>
      <c r="BV296" t="s">
        <v>2279</v>
      </c>
      <c r="BW296" t="s">
        <v>2242</v>
      </c>
      <c r="BZ296" s="1602"/>
      <c r="CA296" s="1602"/>
      <c r="CB296" s="1602"/>
    </row>
    <row r="297" spans="19:80" ht="14.25" thickTop="1" thickBot="1">
      <c r="S297" s="1616">
        <v>296</v>
      </c>
      <c r="T297" s="1617" t="s">
        <v>2006</v>
      </c>
      <c r="U297" s="1617" t="s">
        <v>2280</v>
      </c>
      <c r="V297" s="1617" t="s">
        <v>408</v>
      </c>
      <c r="W297" s="1617">
        <v>10.5</v>
      </c>
      <c r="X297" s="1617"/>
      <c r="Y297" s="1617"/>
      <c r="Z297" s="1617">
        <v>0.5</v>
      </c>
      <c r="AA297" s="1617">
        <v>2</v>
      </c>
      <c r="AB297" s="1617">
        <v>1.5</v>
      </c>
      <c r="AC297" s="1617">
        <v>0.5</v>
      </c>
      <c r="AD297" s="1613">
        <v>0.91</v>
      </c>
      <c r="AE297" s="1617" t="s">
        <v>2037</v>
      </c>
      <c r="AF297" s="1613" t="str">
        <f t="shared" si="21"/>
        <v/>
      </c>
      <c r="AG297" s="1656">
        <f>IFERROR(IF($AF297&gt;0,VLOOKUP($U297,Tabelle1!$C$188:$L$212,5,0)*$AF297,0),0)</f>
        <v>0</v>
      </c>
      <c r="AH297" s="1656">
        <f t="shared" si="22"/>
        <v>0</v>
      </c>
      <c r="AJ297" t="str">
        <f>IF(Betrieb!$D$9="JA",Mineral!$BW297,Mineral!$BV297)</f>
        <v>StyriaFert N105</v>
      </c>
      <c r="AK297" s="1672" t="str">
        <f>IFERROR(INDEX(Liste_Handelsünger[Handelsdünger],_xlfn.AGGREGATE(15,6,(ROW(Liste_Handelsünger[Handelsdünger])-1)/(--(SEARCH(AL$2,Liste_Handelsünger[Handelsdünger])&gt;0)),ROW()-2),1),"")</f>
        <v>StyriaFert N105</v>
      </c>
      <c r="AL297" s="1672" t="str">
        <f>IF(($A$3=""),"",IF(COUNTIF(Mineral!$AJ$3:$AJ$324,$A$3),"",$A$3))</f>
        <v/>
      </c>
      <c r="AM297" s="1672" t="str">
        <f>IFERROR(INDEX(Liste_Handelsünger[Handelsdünger],_xlfn.AGGREGATE(15,6,(ROW(Liste_Handelsünger[Handelsdünger])-1)/(--(SEARCH(AN$2,Liste_Handelsünger[Handelsdünger])&gt;0)),ROW()-2),1),"")</f>
        <v>StyriaFert N105</v>
      </c>
      <c r="AN297" t="str">
        <f>IF(($A299=""),"",IF(COUNTIF(Mineral!$AJ$3:$AJ$324,$A299),"",$A299))</f>
        <v/>
      </c>
      <c r="AO297" t="str">
        <f>IFERROR(INDEX(Liste_Handelsünger[Handelsdünger],_xlfn.AGGREGATE(15,6,(ROW(Liste_Handelsünger[Handelsdünger])-1)/(--(SEARCH(AP$2,Liste_Handelsünger[Handelsdünger])&gt;0)),ROW()-2),1),"")</f>
        <v>StyriaFert N105</v>
      </c>
      <c r="AP297" t="str">
        <f>IF(($A300=""),"",IF(COUNTIF(Mineral!$AJ$3:$AJ$324,$A300),"",$A300))</f>
        <v/>
      </c>
      <c r="AQ297" t="str">
        <f>IFERROR(INDEX(Liste_Handelsünger[Handelsdünger],_xlfn.AGGREGATE(15,6,(ROW(Liste_Handelsünger[Handelsdünger])-1)/(--(SEARCH(AR$2,Liste_Handelsünger[Handelsdünger])&gt;0)),ROW()-2),1),"")</f>
        <v>StyriaFert N105</v>
      </c>
      <c r="AR297" t="str">
        <f>IF(($A301=""),"",IF(COUNTIF(Mineral!$AJ$3:$AJ$324,$A301),"",$A301))</f>
        <v/>
      </c>
      <c r="AS297" t="str">
        <f>IFERROR(INDEX(Liste_Handelsünger[Handelsdünger],_xlfn.AGGREGATE(15,6,(ROW(Liste_Handelsünger[Handelsdünger])-1)/(--(SEARCH(AT$2,Liste_Handelsünger[Handelsdünger])&gt;0)),ROW()-2),1),"")</f>
        <v>StyriaFert N105</v>
      </c>
      <c r="AT297" t="str">
        <f>IF(($A302=""),"",IF(COUNTIF(Mineral!$AJ$3:$AJ$324,$A302),"",$A302))</f>
        <v/>
      </c>
      <c r="AU297" t="str">
        <f>IFERROR(INDEX(Liste_Handelsünger[Handelsdünger],_xlfn.AGGREGATE(15,6,(ROW(Liste_Handelsünger[Handelsdünger])-1)/(--(SEARCH(AV$2,Liste_Handelsünger[Handelsdünger])&gt;0)),ROW()-2),1),"")</f>
        <v>StyriaFert N105</v>
      </c>
      <c r="AV297" t="str">
        <f>IF(($A303=""),"",IF(COUNTIF(Mineral!$AJ$3:$AJ$324,$A303),"",$A303))</f>
        <v/>
      </c>
      <c r="AW297" t="str">
        <f>IFERROR(INDEX(Liste_Handelsünger[Handelsdünger],_xlfn.AGGREGATE(15,6,(ROW(Liste_Handelsünger[Handelsdünger])-1)/(--(SEARCH(AX$2,Liste_Handelsünger[Handelsdünger])&gt;0)),ROW()-2),1),"")</f>
        <v>StyriaFert N105</v>
      </c>
      <c r="AX297" t="str">
        <f>IF(($A304=""),"",IF(COUNTIF(Mineral!$AJ$3:$AJ$324,$A304),"",$A304))</f>
        <v/>
      </c>
      <c r="AY297" t="str">
        <f>IFERROR(INDEX(Liste_Handelsünger[Handelsdünger],_xlfn.AGGREGATE(15,6,(ROW(Liste_Handelsünger[Handelsdünger])-1)/(--(SEARCH(AZ$2,Liste_Handelsünger[Handelsdünger])&gt;0)),ROW()-2),1),"")</f>
        <v>StyriaFert N105</v>
      </c>
      <c r="AZ297" t="str">
        <f>IF(($A305=""),"",IF(COUNTIF(Mineral!$AJ$3:$AJ$324,$A305),"",$A305))</f>
        <v/>
      </c>
      <c r="BA297" t="str">
        <f>IFERROR(INDEX(Liste_Handelsünger[Handelsdünger],_xlfn.AGGREGATE(15,6,(ROW(Liste_Handelsünger[Handelsdünger])-1)/(--(SEARCH(BB$2,Liste_Handelsünger[Handelsdünger])&gt;0)),ROW()-2),1),"")</f>
        <v>StyriaFert N105</v>
      </c>
      <c r="BB297" t="str">
        <f>IF(($A306=""),"",IF(COUNTIF(Mineral!$AJ$3:$AJ$324,$A306),"",$A306))</f>
        <v/>
      </c>
      <c r="BC297" t="str">
        <f>IFERROR(INDEX(Liste_Handelsünger[Handelsdünger],_xlfn.AGGREGATE(15,6,(ROW(Liste_Handelsünger[Handelsdünger])-1)/(--(SEARCH(BD$2,Liste_Handelsünger[Handelsdünger])&gt;0)),ROW()-2),1),"")</f>
        <v>StyriaFert N105</v>
      </c>
      <c r="BD297" t="str">
        <f>IF(($A307=""),"",IF(COUNTIF(Mineral!$AJ$3:$AJ$324,$A307),"",$A307))</f>
        <v/>
      </c>
      <c r="BE297" t="str">
        <f>IFERROR(INDEX(Liste_Handelsünger[Handelsdünger],_xlfn.AGGREGATE(15,6,(ROW(Liste_Handelsünger[Handelsdünger])-1)/(--(SEARCH(BF$2,Liste_Handelsünger[Handelsdünger])&gt;0)),ROW()-2),1),"")</f>
        <v>StyriaFert N105</v>
      </c>
      <c r="BF297" t="str">
        <f>IF(($A308=""),"",IF(COUNTIF(Mineral!$AJ$3:$AJ$324,$A308),"",$A308))</f>
        <v/>
      </c>
      <c r="BG297" t="str">
        <f>IFERROR(INDEX(Liste_Handelsünger[Handelsdünger],_xlfn.AGGREGATE(15,6,(ROW(Liste_Handelsünger[Handelsdünger])-1)/(--(SEARCH(BH$2,Liste_Handelsünger[Handelsdünger])&gt;0)),ROW()-2),1),"")</f>
        <v>StyriaFert N105</v>
      </c>
      <c r="BH297" t="str">
        <f>IF(($A309=""),"",IF(COUNTIF(Mineral!$AJ$3:$AJ$324,$A309),"",$A309))</f>
        <v/>
      </c>
      <c r="BI297" t="str">
        <f>IFERROR(INDEX(Liste_Handelsünger[Handelsdünger],_xlfn.AGGREGATE(15,6,(ROW(Liste_Handelsünger[Handelsdünger])-1)/(--(SEARCH(BJ$2,Liste_Handelsünger[Handelsdünger])&gt;0)),ROW()-2),1),"")</f>
        <v>StyriaFert N105</v>
      </c>
      <c r="BJ297" t="str">
        <f>IF(($A310=""),"",IF(COUNTIF(Mineral!$AJ$3:$AJ$324,$A310),"",$A310))</f>
        <v/>
      </c>
      <c r="BK297" t="str">
        <f>IFERROR(INDEX(Liste_Handelsünger[Handelsdünger],_xlfn.AGGREGATE(15,6,(ROW(Liste_Handelsünger[Handelsdünger])-1)/(--(SEARCH(BL$2,Liste_Handelsünger[Handelsdünger])&gt;0)),ROW()-2),1),"")</f>
        <v>StyriaFert N105</v>
      </c>
      <c r="BM297" t="str">
        <f>IFERROR(INDEX(Liste_Handelsünger[Handelsdünger],_xlfn.AGGREGATE(15,6,(ROW(Liste_Handelsünger[Handelsdünger])-1)/(--(SEARCH(BN$2,Liste_Handelsünger[Handelsdünger])&gt;0)),ROW()-2),1),"")</f>
        <v>StyriaFert N105</v>
      </c>
      <c r="BN297" t="str">
        <f>IF(($A312=""),"",IF(COUNTIF(Mineral!$AJ$3:$AJ$324,$A312),"",$A312))</f>
        <v/>
      </c>
      <c r="BV297" t="s">
        <v>2280</v>
      </c>
      <c r="BW297" t="s">
        <v>2245</v>
      </c>
      <c r="BZ297" s="1602"/>
      <c r="CA297" s="1602"/>
      <c r="CB297" s="1602"/>
    </row>
    <row r="298" spans="19:80" ht="14.25" thickTop="1" thickBot="1">
      <c r="S298" s="1676">
        <v>297</v>
      </c>
      <c r="T298" s="1606" t="s">
        <v>2006</v>
      </c>
      <c r="U298" s="1606" t="s">
        <v>2281</v>
      </c>
      <c r="V298" s="1606" t="s">
        <v>408</v>
      </c>
      <c r="W298" s="1606">
        <v>14</v>
      </c>
      <c r="X298" s="1606">
        <v>0.5</v>
      </c>
      <c r="Y298" s="1606"/>
      <c r="Z298" s="1606"/>
      <c r="AA298" s="1606">
        <v>0.5</v>
      </c>
      <c r="AB298" s="1606"/>
      <c r="AC298" s="1606">
        <v>0.5</v>
      </c>
      <c r="AD298" s="1613">
        <v>0.91</v>
      </c>
      <c r="AE298" s="1606" t="s">
        <v>2037</v>
      </c>
      <c r="AF298" s="1613" t="str">
        <f t="shared" si="21"/>
        <v/>
      </c>
      <c r="AG298" s="1656">
        <f>IFERROR(IF($AF298&gt;0,VLOOKUP($U298,Tabelle1!$C$188:$L$212,5,0)*$AF298,0),0)</f>
        <v>0</v>
      </c>
      <c r="AH298" s="1656">
        <f t="shared" si="22"/>
        <v>0</v>
      </c>
      <c r="AJ298" t="str">
        <f>IF(Betrieb!$D$9="JA",Mineral!$BW298,Mineral!$BV298)</f>
        <v>StyriaFert N14</v>
      </c>
      <c r="AK298" s="1672" t="str">
        <f>IFERROR(INDEX(Liste_Handelsünger[Handelsdünger],_xlfn.AGGREGATE(15,6,(ROW(Liste_Handelsünger[Handelsdünger])-1)/(--(SEARCH(AL$2,Liste_Handelsünger[Handelsdünger])&gt;0)),ROW()-2),1),"")</f>
        <v>StyriaFert N14</v>
      </c>
      <c r="AL298" s="1672" t="str">
        <f>IF(($A$3=""),"",IF(COUNTIF(Mineral!$AJ$3:$AJ$324,$A$3),"",$A$3))</f>
        <v/>
      </c>
      <c r="AM298" s="1672" t="str">
        <f>IFERROR(INDEX(Liste_Handelsünger[Handelsdünger],_xlfn.AGGREGATE(15,6,(ROW(Liste_Handelsünger[Handelsdünger])-1)/(--(SEARCH(AN$2,Liste_Handelsünger[Handelsdünger])&gt;0)),ROW()-2),1),"")</f>
        <v>StyriaFert N14</v>
      </c>
      <c r="AN298" t="str">
        <f>IF(($A300=""),"",IF(COUNTIF(Mineral!$AJ$3:$AJ$324,$A300),"",$A300))</f>
        <v/>
      </c>
      <c r="AO298" t="str">
        <f>IFERROR(INDEX(Liste_Handelsünger[Handelsdünger],_xlfn.AGGREGATE(15,6,(ROW(Liste_Handelsünger[Handelsdünger])-1)/(--(SEARCH(AP$2,Liste_Handelsünger[Handelsdünger])&gt;0)),ROW()-2),1),"")</f>
        <v>StyriaFert N14</v>
      </c>
      <c r="AP298" t="str">
        <f>IF(($A301=""),"",IF(COUNTIF(Mineral!$AJ$3:$AJ$324,$A301),"",$A301))</f>
        <v/>
      </c>
      <c r="AQ298" t="str">
        <f>IFERROR(INDEX(Liste_Handelsünger[Handelsdünger],_xlfn.AGGREGATE(15,6,(ROW(Liste_Handelsünger[Handelsdünger])-1)/(--(SEARCH(AR$2,Liste_Handelsünger[Handelsdünger])&gt;0)),ROW()-2),1),"")</f>
        <v>StyriaFert N14</v>
      </c>
      <c r="AR298" t="str">
        <f>IF(($A302=""),"",IF(COUNTIF(Mineral!$AJ$3:$AJ$324,$A302),"",$A302))</f>
        <v/>
      </c>
      <c r="AS298" t="str">
        <f>IFERROR(INDEX(Liste_Handelsünger[Handelsdünger],_xlfn.AGGREGATE(15,6,(ROW(Liste_Handelsünger[Handelsdünger])-1)/(--(SEARCH(AT$2,Liste_Handelsünger[Handelsdünger])&gt;0)),ROW()-2),1),"")</f>
        <v>StyriaFert N14</v>
      </c>
      <c r="AT298" t="str">
        <f>IF(($A303=""),"",IF(COUNTIF(Mineral!$AJ$3:$AJ$324,$A303),"",$A303))</f>
        <v/>
      </c>
      <c r="AU298" t="str">
        <f>IFERROR(INDEX(Liste_Handelsünger[Handelsdünger],_xlfn.AGGREGATE(15,6,(ROW(Liste_Handelsünger[Handelsdünger])-1)/(--(SEARCH(AV$2,Liste_Handelsünger[Handelsdünger])&gt;0)),ROW()-2),1),"")</f>
        <v>StyriaFert N14</v>
      </c>
      <c r="AV298" t="str">
        <f>IF(($A304=""),"",IF(COUNTIF(Mineral!$AJ$3:$AJ$324,$A304),"",$A304))</f>
        <v/>
      </c>
      <c r="AW298" t="str">
        <f>IFERROR(INDEX(Liste_Handelsünger[Handelsdünger],_xlfn.AGGREGATE(15,6,(ROW(Liste_Handelsünger[Handelsdünger])-1)/(--(SEARCH(AX$2,Liste_Handelsünger[Handelsdünger])&gt;0)),ROW()-2),1),"")</f>
        <v>StyriaFert N14</v>
      </c>
      <c r="AX298" t="str">
        <f>IF(($A305=""),"",IF(COUNTIF(Mineral!$AJ$3:$AJ$324,$A305),"",$A305))</f>
        <v/>
      </c>
      <c r="AY298" t="str">
        <f>IFERROR(INDEX(Liste_Handelsünger[Handelsdünger],_xlfn.AGGREGATE(15,6,(ROW(Liste_Handelsünger[Handelsdünger])-1)/(--(SEARCH(AZ$2,Liste_Handelsünger[Handelsdünger])&gt;0)),ROW()-2),1),"")</f>
        <v>StyriaFert N14</v>
      </c>
      <c r="AZ298" t="str">
        <f>IF(($A306=""),"",IF(COUNTIF(Mineral!$AJ$3:$AJ$324,$A306),"",$A306))</f>
        <v/>
      </c>
      <c r="BA298" t="str">
        <f>IFERROR(INDEX(Liste_Handelsünger[Handelsdünger],_xlfn.AGGREGATE(15,6,(ROW(Liste_Handelsünger[Handelsdünger])-1)/(--(SEARCH(BB$2,Liste_Handelsünger[Handelsdünger])&gt;0)),ROW()-2),1),"")</f>
        <v>StyriaFert N14</v>
      </c>
      <c r="BB298" t="str">
        <f>IF(($A307=""),"",IF(COUNTIF(Mineral!$AJ$3:$AJ$324,$A307),"",$A307))</f>
        <v/>
      </c>
      <c r="BC298" t="str">
        <f>IFERROR(INDEX(Liste_Handelsünger[Handelsdünger],_xlfn.AGGREGATE(15,6,(ROW(Liste_Handelsünger[Handelsdünger])-1)/(--(SEARCH(BD$2,Liste_Handelsünger[Handelsdünger])&gt;0)),ROW()-2),1),"")</f>
        <v>StyriaFert N14</v>
      </c>
      <c r="BD298" t="str">
        <f>IF(($A308=""),"",IF(COUNTIF(Mineral!$AJ$3:$AJ$324,$A308),"",$A308))</f>
        <v/>
      </c>
      <c r="BE298" t="str">
        <f>IFERROR(INDEX(Liste_Handelsünger[Handelsdünger],_xlfn.AGGREGATE(15,6,(ROW(Liste_Handelsünger[Handelsdünger])-1)/(--(SEARCH(BF$2,Liste_Handelsünger[Handelsdünger])&gt;0)),ROW()-2),1),"")</f>
        <v>StyriaFert N14</v>
      </c>
      <c r="BF298" t="str">
        <f>IF(($A309=""),"",IF(COUNTIF(Mineral!$AJ$3:$AJ$324,$A309),"",$A309))</f>
        <v/>
      </c>
      <c r="BG298" t="str">
        <f>IFERROR(INDEX(Liste_Handelsünger[Handelsdünger],_xlfn.AGGREGATE(15,6,(ROW(Liste_Handelsünger[Handelsdünger])-1)/(--(SEARCH(BH$2,Liste_Handelsünger[Handelsdünger])&gt;0)),ROW()-2),1),"")</f>
        <v>StyriaFert N14</v>
      </c>
      <c r="BH298" t="str">
        <f>IF(($A310=""),"",IF(COUNTIF(Mineral!$AJ$3:$AJ$324,$A310),"",$A310))</f>
        <v/>
      </c>
      <c r="BI298" t="str">
        <f>IFERROR(INDEX(Liste_Handelsünger[Handelsdünger],_xlfn.AGGREGATE(15,6,(ROW(Liste_Handelsünger[Handelsdünger])-1)/(--(SEARCH(BJ$2,Liste_Handelsünger[Handelsdünger])&gt;0)),ROW()-2),1),"")</f>
        <v>StyriaFert N14</v>
      </c>
      <c r="BJ298" t="str">
        <f>IF(($A311=""),"",IF(COUNTIF(Mineral!$AJ$3:$AJ$324,$A311),"",$A311))</f>
        <v/>
      </c>
      <c r="BK298" t="str">
        <f>IFERROR(INDEX(Liste_Handelsünger[Handelsdünger],_xlfn.AGGREGATE(15,6,(ROW(Liste_Handelsünger[Handelsdünger])-1)/(--(SEARCH(BL$2,Liste_Handelsünger[Handelsdünger])&gt;0)),ROW()-2),1),"")</f>
        <v>StyriaFert N14</v>
      </c>
      <c r="BM298" t="str">
        <f>IFERROR(INDEX(Liste_Handelsünger[Handelsdünger],_xlfn.AGGREGATE(15,6,(ROW(Liste_Handelsünger[Handelsdünger])-1)/(--(SEARCH(BN$2,Liste_Handelsünger[Handelsdünger])&gt;0)),ROW()-2),1),"")</f>
        <v>StyriaFert N14</v>
      </c>
      <c r="BN298" t="str">
        <f>IF(($A313=""),"",IF(COUNTIF(Mineral!$AJ$3:$AJ$324,$A313),"",$A313))</f>
        <v/>
      </c>
      <c r="BV298" t="s">
        <v>2281</v>
      </c>
      <c r="BW298" t="s">
        <v>2246</v>
      </c>
      <c r="BZ298" s="1602"/>
      <c r="CA298" s="1602"/>
      <c r="CB298" s="1602"/>
    </row>
    <row r="299" spans="19:80" ht="14.25" thickTop="1" thickBot="1">
      <c r="S299" s="1616">
        <v>298</v>
      </c>
      <c r="T299" s="1617" t="s">
        <v>2006</v>
      </c>
      <c r="U299" s="1617" t="s">
        <v>2282</v>
      </c>
      <c r="V299" s="1617" t="s">
        <v>408</v>
      </c>
      <c r="W299" s="1617">
        <v>10.5</v>
      </c>
      <c r="X299" s="1617">
        <v>0.8</v>
      </c>
      <c r="Y299" s="1617">
        <v>8</v>
      </c>
      <c r="Z299" s="1617">
        <v>5</v>
      </c>
      <c r="AA299" s="1617"/>
      <c r="AB299" s="1617">
        <v>0.05</v>
      </c>
      <c r="AC299" s="1617">
        <v>0.5</v>
      </c>
      <c r="AD299" s="1613">
        <v>0.91</v>
      </c>
      <c r="AE299" s="1617" t="s">
        <v>2037</v>
      </c>
      <c r="AF299" s="1613" t="str">
        <f t="shared" si="21"/>
        <v/>
      </c>
      <c r="AG299" s="1656">
        <f>IFERROR(IF($AF299&gt;0,VLOOKUP($U299,Tabelle1!$C$188:$L$212,5,0)*$AF299,0),0)</f>
        <v>0</v>
      </c>
      <c r="AH299" s="1656">
        <f t="shared" si="22"/>
        <v>0</v>
      </c>
      <c r="AJ299" t="str">
        <f>IF(Betrieb!$D$9="JA",Mineral!$BW299,Mineral!$BV299)</f>
        <v>StyriaFert NK</v>
      </c>
      <c r="AK299" s="1672" t="str">
        <f>IFERROR(INDEX(Liste_Handelsünger[Handelsdünger],_xlfn.AGGREGATE(15,6,(ROW(Liste_Handelsünger[Handelsdünger])-1)/(--(SEARCH(AL$2,Liste_Handelsünger[Handelsdünger])&gt;0)),ROW()-2),1),"")</f>
        <v>StyriaFert NK</v>
      </c>
      <c r="AL299" s="1672" t="str">
        <f>IF(($A$3=""),"",IF(COUNTIF(Mineral!$AJ$3:$AJ$324,$A$3),"",$A$3))</f>
        <v/>
      </c>
      <c r="AM299" s="1672" t="str">
        <f>IFERROR(INDEX(Liste_Handelsünger[Handelsdünger],_xlfn.AGGREGATE(15,6,(ROW(Liste_Handelsünger[Handelsdünger])-1)/(--(SEARCH(AN$2,Liste_Handelsünger[Handelsdünger])&gt;0)),ROW()-2),1),"")</f>
        <v>StyriaFert NK</v>
      </c>
      <c r="AN299" t="str">
        <f>IF(($A301=""),"",IF(COUNTIF(Mineral!$AJ$3:$AJ$324,$A301),"",$A301))</f>
        <v/>
      </c>
      <c r="AO299" t="str">
        <f>IFERROR(INDEX(Liste_Handelsünger[Handelsdünger],_xlfn.AGGREGATE(15,6,(ROW(Liste_Handelsünger[Handelsdünger])-1)/(--(SEARCH(AP$2,Liste_Handelsünger[Handelsdünger])&gt;0)),ROW()-2),1),"")</f>
        <v>StyriaFert NK</v>
      </c>
      <c r="AP299" t="str">
        <f>IF(($A302=""),"",IF(COUNTIF(Mineral!$AJ$3:$AJ$324,$A302),"",$A302))</f>
        <v/>
      </c>
      <c r="AQ299" t="str">
        <f>IFERROR(INDEX(Liste_Handelsünger[Handelsdünger],_xlfn.AGGREGATE(15,6,(ROW(Liste_Handelsünger[Handelsdünger])-1)/(--(SEARCH(AR$2,Liste_Handelsünger[Handelsdünger])&gt;0)),ROW()-2),1),"")</f>
        <v>StyriaFert NK</v>
      </c>
      <c r="AR299" t="str">
        <f>IF(($A303=""),"",IF(COUNTIF(Mineral!$AJ$3:$AJ$324,$A303),"",$A303))</f>
        <v/>
      </c>
      <c r="AS299" t="str">
        <f>IFERROR(INDEX(Liste_Handelsünger[Handelsdünger],_xlfn.AGGREGATE(15,6,(ROW(Liste_Handelsünger[Handelsdünger])-1)/(--(SEARCH(AT$2,Liste_Handelsünger[Handelsdünger])&gt;0)),ROW()-2),1),"")</f>
        <v>StyriaFert NK</v>
      </c>
      <c r="AT299" t="str">
        <f>IF(($A304=""),"",IF(COUNTIF(Mineral!$AJ$3:$AJ$324,$A304),"",$A304))</f>
        <v/>
      </c>
      <c r="AU299" t="str">
        <f>IFERROR(INDEX(Liste_Handelsünger[Handelsdünger],_xlfn.AGGREGATE(15,6,(ROW(Liste_Handelsünger[Handelsdünger])-1)/(--(SEARCH(AV$2,Liste_Handelsünger[Handelsdünger])&gt;0)),ROW()-2),1),"")</f>
        <v>StyriaFert NK</v>
      </c>
      <c r="AV299" t="str">
        <f>IF(($A305=""),"",IF(COUNTIF(Mineral!$AJ$3:$AJ$324,$A305),"",$A305))</f>
        <v/>
      </c>
      <c r="AW299" t="str">
        <f>IFERROR(INDEX(Liste_Handelsünger[Handelsdünger],_xlfn.AGGREGATE(15,6,(ROW(Liste_Handelsünger[Handelsdünger])-1)/(--(SEARCH(AX$2,Liste_Handelsünger[Handelsdünger])&gt;0)),ROW()-2),1),"")</f>
        <v>StyriaFert NK</v>
      </c>
      <c r="AX299" t="str">
        <f>IF(($A306=""),"",IF(COUNTIF(Mineral!$AJ$3:$AJ$324,$A306),"",$A306))</f>
        <v/>
      </c>
      <c r="AY299" t="str">
        <f>IFERROR(INDEX(Liste_Handelsünger[Handelsdünger],_xlfn.AGGREGATE(15,6,(ROW(Liste_Handelsünger[Handelsdünger])-1)/(--(SEARCH(AZ$2,Liste_Handelsünger[Handelsdünger])&gt;0)),ROW()-2),1),"")</f>
        <v>StyriaFert NK</v>
      </c>
      <c r="AZ299" t="str">
        <f>IF(($A307=""),"",IF(COUNTIF(Mineral!$AJ$3:$AJ$324,$A307),"",$A307))</f>
        <v/>
      </c>
      <c r="BA299" t="str">
        <f>IFERROR(INDEX(Liste_Handelsünger[Handelsdünger],_xlfn.AGGREGATE(15,6,(ROW(Liste_Handelsünger[Handelsdünger])-1)/(--(SEARCH(BB$2,Liste_Handelsünger[Handelsdünger])&gt;0)),ROW()-2),1),"")</f>
        <v>StyriaFert NK</v>
      </c>
      <c r="BB299" t="str">
        <f>IF(($A308=""),"",IF(COUNTIF(Mineral!$AJ$3:$AJ$324,$A308),"",$A308))</f>
        <v/>
      </c>
      <c r="BC299" t="str">
        <f>IFERROR(INDEX(Liste_Handelsünger[Handelsdünger],_xlfn.AGGREGATE(15,6,(ROW(Liste_Handelsünger[Handelsdünger])-1)/(--(SEARCH(BD$2,Liste_Handelsünger[Handelsdünger])&gt;0)),ROW()-2),1),"")</f>
        <v>StyriaFert NK</v>
      </c>
      <c r="BD299" t="str">
        <f>IF(($A309=""),"",IF(COUNTIF(Mineral!$AJ$3:$AJ$324,$A309),"",$A309))</f>
        <v/>
      </c>
      <c r="BE299" t="str">
        <f>IFERROR(INDEX(Liste_Handelsünger[Handelsdünger],_xlfn.AGGREGATE(15,6,(ROW(Liste_Handelsünger[Handelsdünger])-1)/(--(SEARCH(BF$2,Liste_Handelsünger[Handelsdünger])&gt;0)),ROW()-2),1),"")</f>
        <v>StyriaFert NK</v>
      </c>
      <c r="BF299" t="str">
        <f>IF(($A310=""),"",IF(COUNTIF(Mineral!$AJ$3:$AJ$324,$A310),"",$A310))</f>
        <v/>
      </c>
      <c r="BG299" t="str">
        <f>IFERROR(INDEX(Liste_Handelsünger[Handelsdünger],_xlfn.AGGREGATE(15,6,(ROW(Liste_Handelsünger[Handelsdünger])-1)/(--(SEARCH(BH$2,Liste_Handelsünger[Handelsdünger])&gt;0)),ROW()-2),1),"")</f>
        <v>StyriaFert NK</v>
      </c>
      <c r="BH299" t="str">
        <f>IF(($A311=""),"",IF(COUNTIF(Mineral!$AJ$3:$AJ$324,$A311),"",$A311))</f>
        <v/>
      </c>
      <c r="BI299" t="str">
        <f>IFERROR(INDEX(Liste_Handelsünger[Handelsdünger],_xlfn.AGGREGATE(15,6,(ROW(Liste_Handelsünger[Handelsdünger])-1)/(--(SEARCH(BJ$2,Liste_Handelsünger[Handelsdünger])&gt;0)),ROW()-2),1),"")</f>
        <v>StyriaFert NK</v>
      </c>
      <c r="BJ299" t="str">
        <f>IF(($A312=""),"",IF(COUNTIF(Mineral!$AJ$3:$AJ$324,$A312),"",$A312))</f>
        <v/>
      </c>
      <c r="BK299" t="str">
        <f>IFERROR(INDEX(Liste_Handelsünger[Handelsdünger],_xlfn.AGGREGATE(15,6,(ROW(Liste_Handelsünger[Handelsdünger])-1)/(--(SEARCH(BL$2,Liste_Handelsünger[Handelsdünger])&gt;0)),ROW()-2),1),"")</f>
        <v>StyriaFert NK</v>
      </c>
      <c r="BM299" t="str">
        <f>IFERROR(INDEX(Liste_Handelsünger[Handelsdünger],_xlfn.AGGREGATE(15,6,(ROW(Liste_Handelsünger[Handelsdünger])-1)/(--(SEARCH(BN$2,Liste_Handelsünger[Handelsdünger])&gt;0)),ROW()-2),1),"")</f>
        <v>StyriaFert NK</v>
      </c>
      <c r="BN299" t="str">
        <f>IF(($A314=""),"",IF(COUNTIF(Mineral!$AJ$3:$AJ$324,$A314),"",$A314))</f>
        <v/>
      </c>
      <c r="BV299" t="s">
        <v>2282</v>
      </c>
      <c r="BW299" t="s">
        <v>2247</v>
      </c>
      <c r="BZ299" s="1602"/>
      <c r="CA299" s="1602"/>
      <c r="CB299" s="1602"/>
    </row>
    <row r="300" spans="19:80" ht="14.25" thickTop="1" thickBot="1">
      <c r="S300" s="1676">
        <v>299</v>
      </c>
      <c r="T300" s="1606" t="s">
        <v>2006</v>
      </c>
      <c r="U300" s="1606" t="s">
        <v>2283</v>
      </c>
      <c r="V300" s="1606" t="s">
        <v>408</v>
      </c>
      <c r="W300" s="1606">
        <v>8</v>
      </c>
      <c r="X300" s="1606">
        <v>6</v>
      </c>
      <c r="Y300" s="1606">
        <v>7</v>
      </c>
      <c r="Z300" s="1606">
        <v>2.4</v>
      </c>
      <c r="AA300" s="1606">
        <v>8</v>
      </c>
      <c r="AB300" s="1606">
        <v>0.4</v>
      </c>
      <c r="AC300" s="1606">
        <v>0.5</v>
      </c>
      <c r="AD300" s="1613">
        <v>0.91</v>
      </c>
      <c r="AE300" s="1606" t="s">
        <v>2037</v>
      </c>
      <c r="AF300" s="1613" t="str">
        <f t="shared" si="21"/>
        <v/>
      </c>
      <c r="AG300" s="1656">
        <f>IFERROR(IF($AF300&gt;0,VLOOKUP($U300,Tabelle1!$C$188:$L$212,5,0)*$AF300,0),0)</f>
        <v>0</v>
      </c>
      <c r="AH300" s="1656">
        <f t="shared" si="22"/>
        <v>0</v>
      </c>
      <c r="AJ300" t="str">
        <f>IF(Betrieb!$D$9="JA",Mineral!$BW300,Mineral!$BV300)</f>
        <v>StyriaFert NPK</v>
      </c>
      <c r="AK300" s="1672" t="str">
        <f>IFERROR(INDEX(Liste_Handelsünger[Handelsdünger],_xlfn.AGGREGATE(15,6,(ROW(Liste_Handelsünger[Handelsdünger])-1)/(--(SEARCH(AL$2,Liste_Handelsünger[Handelsdünger])&gt;0)),ROW()-2),1),"")</f>
        <v>StyriaFert NPK</v>
      </c>
      <c r="AL300" s="1672" t="str">
        <f>IF(($A$3=""),"",IF(COUNTIF(Mineral!$AJ$3:$AJ$324,$A$3),"",$A$3))</f>
        <v/>
      </c>
      <c r="AM300" s="1672" t="str">
        <f>IFERROR(INDEX(Liste_Handelsünger[Handelsdünger],_xlfn.AGGREGATE(15,6,(ROW(Liste_Handelsünger[Handelsdünger])-1)/(--(SEARCH(AN$2,Liste_Handelsünger[Handelsdünger])&gt;0)),ROW()-2),1),"")</f>
        <v>StyriaFert NPK</v>
      </c>
      <c r="AN300" t="str">
        <f>IF(($A302=""),"",IF(COUNTIF(Mineral!$AJ$3:$AJ$324,$A302),"",$A302))</f>
        <v/>
      </c>
      <c r="AO300" t="str">
        <f>IFERROR(INDEX(Liste_Handelsünger[Handelsdünger],_xlfn.AGGREGATE(15,6,(ROW(Liste_Handelsünger[Handelsdünger])-1)/(--(SEARCH(AP$2,Liste_Handelsünger[Handelsdünger])&gt;0)),ROW()-2),1),"")</f>
        <v>StyriaFert NPK</v>
      </c>
      <c r="AP300" t="str">
        <f>IF(($A303=""),"",IF(COUNTIF(Mineral!$AJ$3:$AJ$324,$A303),"",$A303))</f>
        <v/>
      </c>
      <c r="AQ300" t="str">
        <f>IFERROR(INDEX(Liste_Handelsünger[Handelsdünger],_xlfn.AGGREGATE(15,6,(ROW(Liste_Handelsünger[Handelsdünger])-1)/(--(SEARCH(AR$2,Liste_Handelsünger[Handelsdünger])&gt;0)),ROW()-2),1),"")</f>
        <v>StyriaFert NPK</v>
      </c>
      <c r="AR300" t="str">
        <f>IF(($A304=""),"",IF(COUNTIF(Mineral!$AJ$3:$AJ$324,$A304),"",$A304))</f>
        <v/>
      </c>
      <c r="AS300" t="str">
        <f>IFERROR(INDEX(Liste_Handelsünger[Handelsdünger],_xlfn.AGGREGATE(15,6,(ROW(Liste_Handelsünger[Handelsdünger])-1)/(--(SEARCH(AT$2,Liste_Handelsünger[Handelsdünger])&gt;0)),ROW()-2),1),"")</f>
        <v>StyriaFert NPK</v>
      </c>
      <c r="AT300" t="str">
        <f>IF(($A305=""),"",IF(COUNTIF(Mineral!$AJ$3:$AJ$324,$A305),"",$A305))</f>
        <v/>
      </c>
      <c r="AU300" t="str">
        <f>IFERROR(INDEX(Liste_Handelsünger[Handelsdünger],_xlfn.AGGREGATE(15,6,(ROW(Liste_Handelsünger[Handelsdünger])-1)/(--(SEARCH(AV$2,Liste_Handelsünger[Handelsdünger])&gt;0)),ROW()-2),1),"")</f>
        <v>StyriaFert NPK</v>
      </c>
      <c r="AV300" t="str">
        <f>IF(($A306=""),"",IF(COUNTIF(Mineral!$AJ$3:$AJ$324,$A306),"",$A306))</f>
        <v/>
      </c>
      <c r="AW300" t="str">
        <f>IFERROR(INDEX(Liste_Handelsünger[Handelsdünger],_xlfn.AGGREGATE(15,6,(ROW(Liste_Handelsünger[Handelsdünger])-1)/(--(SEARCH(AX$2,Liste_Handelsünger[Handelsdünger])&gt;0)),ROW()-2),1),"")</f>
        <v>StyriaFert NPK</v>
      </c>
      <c r="AX300" t="str">
        <f>IF(($A307=""),"",IF(COUNTIF(Mineral!$AJ$3:$AJ$324,$A307),"",$A307))</f>
        <v/>
      </c>
      <c r="AY300" t="str">
        <f>IFERROR(INDEX(Liste_Handelsünger[Handelsdünger],_xlfn.AGGREGATE(15,6,(ROW(Liste_Handelsünger[Handelsdünger])-1)/(--(SEARCH(AZ$2,Liste_Handelsünger[Handelsdünger])&gt;0)),ROW()-2),1),"")</f>
        <v>StyriaFert NPK</v>
      </c>
      <c r="AZ300" t="str">
        <f>IF(($A308=""),"",IF(COUNTIF(Mineral!$AJ$3:$AJ$324,$A308),"",$A308))</f>
        <v/>
      </c>
      <c r="BA300" t="str">
        <f>IFERROR(INDEX(Liste_Handelsünger[Handelsdünger],_xlfn.AGGREGATE(15,6,(ROW(Liste_Handelsünger[Handelsdünger])-1)/(--(SEARCH(BB$2,Liste_Handelsünger[Handelsdünger])&gt;0)),ROW()-2),1),"")</f>
        <v>StyriaFert NPK</v>
      </c>
      <c r="BB300" t="str">
        <f>IF(($A309=""),"",IF(COUNTIF(Mineral!$AJ$3:$AJ$324,$A309),"",$A309))</f>
        <v/>
      </c>
      <c r="BC300" t="str">
        <f>IFERROR(INDEX(Liste_Handelsünger[Handelsdünger],_xlfn.AGGREGATE(15,6,(ROW(Liste_Handelsünger[Handelsdünger])-1)/(--(SEARCH(BD$2,Liste_Handelsünger[Handelsdünger])&gt;0)),ROW()-2),1),"")</f>
        <v>StyriaFert NPK</v>
      </c>
      <c r="BD300" t="str">
        <f>IF(($A310=""),"",IF(COUNTIF(Mineral!$AJ$3:$AJ$324,$A310),"",$A310))</f>
        <v/>
      </c>
      <c r="BE300" t="str">
        <f>IFERROR(INDEX(Liste_Handelsünger[Handelsdünger],_xlfn.AGGREGATE(15,6,(ROW(Liste_Handelsünger[Handelsdünger])-1)/(--(SEARCH(BF$2,Liste_Handelsünger[Handelsdünger])&gt;0)),ROW()-2),1),"")</f>
        <v>StyriaFert NPK</v>
      </c>
      <c r="BF300" t="str">
        <f>IF(($A311=""),"",IF(COUNTIF(Mineral!$AJ$3:$AJ$324,$A311),"",$A311))</f>
        <v/>
      </c>
      <c r="BG300" t="str">
        <f>IFERROR(INDEX(Liste_Handelsünger[Handelsdünger],_xlfn.AGGREGATE(15,6,(ROW(Liste_Handelsünger[Handelsdünger])-1)/(--(SEARCH(BH$2,Liste_Handelsünger[Handelsdünger])&gt;0)),ROW()-2),1),"")</f>
        <v>StyriaFert NPK</v>
      </c>
      <c r="BH300" t="str">
        <f>IF(($A312=""),"",IF(COUNTIF(Mineral!$AJ$3:$AJ$324,$A312),"",$A312))</f>
        <v/>
      </c>
      <c r="BI300" t="str">
        <f>IFERROR(INDEX(Liste_Handelsünger[Handelsdünger],_xlfn.AGGREGATE(15,6,(ROW(Liste_Handelsünger[Handelsdünger])-1)/(--(SEARCH(BJ$2,Liste_Handelsünger[Handelsdünger])&gt;0)),ROW()-2),1),"")</f>
        <v>StyriaFert NPK</v>
      </c>
      <c r="BJ300" t="str">
        <f>IF(($A313=""),"",IF(COUNTIF(Mineral!$AJ$3:$AJ$324,$A313),"",$A313))</f>
        <v/>
      </c>
      <c r="BK300" t="str">
        <f>IFERROR(INDEX(Liste_Handelsünger[Handelsdünger],_xlfn.AGGREGATE(15,6,(ROW(Liste_Handelsünger[Handelsdünger])-1)/(--(SEARCH(BL$2,Liste_Handelsünger[Handelsdünger])&gt;0)),ROW()-2),1),"")</f>
        <v>StyriaFert NPK</v>
      </c>
      <c r="BM300" t="str">
        <f>IFERROR(INDEX(Liste_Handelsünger[Handelsdünger],_xlfn.AGGREGATE(15,6,(ROW(Liste_Handelsünger[Handelsdünger])-1)/(--(SEARCH(BN$2,Liste_Handelsünger[Handelsdünger])&gt;0)),ROW()-2),1),"")</f>
        <v>StyriaFert NPK</v>
      </c>
      <c r="BN300" t="str">
        <f>IF(($A315=""),"",IF(COUNTIF(Mineral!$AJ$3:$AJ$324,$A315),"",$A315))</f>
        <v/>
      </c>
      <c r="BV300" t="s">
        <v>2283</v>
      </c>
      <c r="BW300" t="s">
        <v>2275</v>
      </c>
      <c r="BZ300" s="1602"/>
      <c r="CA300" s="1602"/>
      <c r="CB300" s="1602"/>
    </row>
    <row r="301" spans="19:80" ht="14.25" thickTop="1" thickBot="1">
      <c r="S301" s="1616">
        <v>300</v>
      </c>
      <c r="T301" s="1617" t="s">
        <v>2006</v>
      </c>
      <c r="U301" s="1617" t="s">
        <v>2284</v>
      </c>
      <c r="V301" s="1617" t="s">
        <v>408</v>
      </c>
      <c r="W301" s="1617">
        <v>8</v>
      </c>
      <c r="X301" s="1617">
        <v>12</v>
      </c>
      <c r="Y301" s="1617"/>
      <c r="Z301" s="1617"/>
      <c r="AA301" s="1617">
        <v>15</v>
      </c>
      <c r="AB301" s="1617">
        <v>0.4</v>
      </c>
      <c r="AC301" s="1617">
        <v>0.5</v>
      </c>
      <c r="AD301" s="1613">
        <v>0.91</v>
      </c>
      <c r="AE301" s="1617" t="s">
        <v>2037</v>
      </c>
      <c r="AF301" s="1613" t="str">
        <f t="shared" si="21"/>
        <v/>
      </c>
      <c r="AG301" s="1656">
        <f>IFERROR(IF($AF301&gt;0,VLOOKUP($U301,Tabelle1!$C$188:$L$212,5,0)*$AF301,0),0)</f>
        <v>0</v>
      </c>
      <c r="AH301" s="1656">
        <f t="shared" si="22"/>
        <v>0</v>
      </c>
      <c r="AJ301" t="str">
        <f>IF(Betrieb!$D$9="JA",Mineral!$BW301,Mineral!$BV301)</f>
        <v>StyriaFert Powerkorn</v>
      </c>
      <c r="AK301" s="1672" t="str">
        <f>IFERROR(INDEX(Liste_Handelsünger[Handelsdünger],_xlfn.AGGREGATE(15,6,(ROW(Liste_Handelsünger[Handelsdünger])-1)/(--(SEARCH(AL$2,Liste_Handelsünger[Handelsdünger])&gt;0)),ROW()-2),1),"")</f>
        <v>StyriaFert Powerkorn</v>
      </c>
      <c r="AL301" s="1672" t="str">
        <f>IF(($A$3=""),"",IF(COUNTIF(Mineral!$AJ$3:$AJ$324,$A$3),"",$A$3))</f>
        <v/>
      </c>
      <c r="AM301" s="1672" t="str">
        <f>IFERROR(INDEX(Liste_Handelsünger[Handelsdünger],_xlfn.AGGREGATE(15,6,(ROW(Liste_Handelsünger[Handelsdünger])-1)/(--(SEARCH(AN$2,Liste_Handelsünger[Handelsdünger])&gt;0)),ROW()-2),1),"")</f>
        <v>StyriaFert Powerkorn</v>
      </c>
      <c r="AN301" t="str">
        <f>IF(($A303=""),"",IF(COUNTIF(Mineral!$AJ$3:$AJ$324,$A303),"",$A303))</f>
        <v/>
      </c>
      <c r="AO301" t="str">
        <f>IFERROR(INDEX(Liste_Handelsünger[Handelsdünger],_xlfn.AGGREGATE(15,6,(ROW(Liste_Handelsünger[Handelsdünger])-1)/(--(SEARCH(AP$2,Liste_Handelsünger[Handelsdünger])&gt;0)),ROW()-2),1),"")</f>
        <v>StyriaFert Powerkorn</v>
      </c>
      <c r="AP301" t="str">
        <f>IF(($A304=""),"",IF(COUNTIF(Mineral!$AJ$3:$AJ$324,$A304),"",$A304))</f>
        <v/>
      </c>
      <c r="AQ301" t="str">
        <f>IFERROR(INDEX(Liste_Handelsünger[Handelsdünger],_xlfn.AGGREGATE(15,6,(ROW(Liste_Handelsünger[Handelsdünger])-1)/(--(SEARCH(AR$2,Liste_Handelsünger[Handelsdünger])&gt;0)),ROW()-2),1),"")</f>
        <v>StyriaFert Powerkorn</v>
      </c>
      <c r="AR301" t="str">
        <f>IF(($A305=""),"",IF(COUNTIF(Mineral!$AJ$3:$AJ$324,$A305),"",$A305))</f>
        <v/>
      </c>
      <c r="AS301" t="str">
        <f>IFERROR(INDEX(Liste_Handelsünger[Handelsdünger],_xlfn.AGGREGATE(15,6,(ROW(Liste_Handelsünger[Handelsdünger])-1)/(--(SEARCH(AT$2,Liste_Handelsünger[Handelsdünger])&gt;0)),ROW()-2),1),"")</f>
        <v>StyriaFert Powerkorn</v>
      </c>
      <c r="AT301" t="str">
        <f>IF(($A306=""),"",IF(COUNTIF(Mineral!$AJ$3:$AJ$324,$A306),"",$A306))</f>
        <v/>
      </c>
      <c r="AU301" t="str">
        <f>IFERROR(INDEX(Liste_Handelsünger[Handelsdünger],_xlfn.AGGREGATE(15,6,(ROW(Liste_Handelsünger[Handelsdünger])-1)/(--(SEARCH(AV$2,Liste_Handelsünger[Handelsdünger])&gt;0)),ROW()-2),1),"")</f>
        <v>StyriaFert Powerkorn</v>
      </c>
      <c r="AV301" t="str">
        <f>IF(($A307=""),"",IF(COUNTIF(Mineral!$AJ$3:$AJ$324,$A307),"",$A307))</f>
        <v/>
      </c>
      <c r="AW301" t="str">
        <f>IFERROR(INDEX(Liste_Handelsünger[Handelsdünger],_xlfn.AGGREGATE(15,6,(ROW(Liste_Handelsünger[Handelsdünger])-1)/(--(SEARCH(AX$2,Liste_Handelsünger[Handelsdünger])&gt;0)),ROW()-2),1),"")</f>
        <v>StyriaFert Powerkorn</v>
      </c>
      <c r="AX301" t="str">
        <f>IF(($A308=""),"",IF(COUNTIF(Mineral!$AJ$3:$AJ$324,$A308),"",$A308))</f>
        <v/>
      </c>
      <c r="AY301" t="str">
        <f>IFERROR(INDEX(Liste_Handelsünger[Handelsdünger],_xlfn.AGGREGATE(15,6,(ROW(Liste_Handelsünger[Handelsdünger])-1)/(--(SEARCH(AZ$2,Liste_Handelsünger[Handelsdünger])&gt;0)),ROW()-2),1),"")</f>
        <v>StyriaFert Powerkorn</v>
      </c>
      <c r="AZ301" t="str">
        <f>IF(($A309=""),"",IF(COUNTIF(Mineral!$AJ$3:$AJ$324,$A309),"",$A309))</f>
        <v/>
      </c>
      <c r="BA301" t="str">
        <f>IFERROR(INDEX(Liste_Handelsünger[Handelsdünger],_xlfn.AGGREGATE(15,6,(ROW(Liste_Handelsünger[Handelsdünger])-1)/(--(SEARCH(BB$2,Liste_Handelsünger[Handelsdünger])&gt;0)),ROW()-2),1),"")</f>
        <v>StyriaFert Powerkorn</v>
      </c>
      <c r="BB301" t="str">
        <f>IF(($A310=""),"",IF(COUNTIF(Mineral!$AJ$3:$AJ$324,$A310),"",$A310))</f>
        <v/>
      </c>
      <c r="BC301" t="str">
        <f>IFERROR(INDEX(Liste_Handelsünger[Handelsdünger],_xlfn.AGGREGATE(15,6,(ROW(Liste_Handelsünger[Handelsdünger])-1)/(--(SEARCH(BD$2,Liste_Handelsünger[Handelsdünger])&gt;0)),ROW()-2),1),"")</f>
        <v>StyriaFert Powerkorn</v>
      </c>
      <c r="BD301" t="str">
        <f>IF(($A311=""),"",IF(COUNTIF(Mineral!$AJ$3:$AJ$324,$A311),"",$A311))</f>
        <v/>
      </c>
      <c r="BE301" t="str">
        <f>IFERROR(INDEX(Liste_Handelsünger[Handelsdünger],_xlfn.AGGREGATE(15,6,(ROW(Liste_Handelsünger[Handelsdünger])-1)/(--(SEARCH(BF$2,Liste_Handelsünger[Handelsdünger])&gt;0)),ROW()-2),1),"")</f>
        <v>StyriaFert Powerkorn</v>
      </c>
      <c r="BF301" t="str">
        <f>IF(($A312=""),"",IF(COUNTIF(Mineral!$AJ$3:$AJ$324,$A312),"",$A312))</f>
        <v/>
      </c>
      <c r="BG301" t="str">
        <f>IFERROR(INDEX(Liste_Handelsünger[Handelsdünger],_xlfn.AGGREGATE(15,6,(ROW(Liste_Handelsünger[Handelsdünger])-1)/(--(SEARCH(BH$2,Liste_Handelsünger[Handelsdünger])&gt;0)),ROW()-2),1),"")</f>
        <v>StyriaFert Powerkorn</v>
      </c>
      <c r="BH301" t="str">
        <f>IF(($A313=""),"",IF(COUNTIF(Mineral!$AJ$3:$AJ$324,$A313),"",$A313))</f>
        <v/>
      </c>
      <c r="BI301" t="str">
        <f>IFERROR(INDEX(Liste_Handelsünger[Handelsdünger],_xlfn.AGGREGATE(15,6,(ROW(Liste_Handelsünger[Handelsdünger])-1)/(--(SEARCH(BJ$2,Liste_Handelsünger[Handelsdünger])&gt;0)),ROW()-2),1),"")</f>
        <v>StyriaFert Powerkorn</v>
      </c>
      <c r="BJ301" t="str">
        <f>IF(($A314=""),"",IF(COUNTIF(Mineral!$AJ$3:$AJ$324,$A314),"",$A314))</f>
        <v/>
      </c>
      <c r="BK301" t="str">
        <f>IFERROR(INDEX(Liste_Handelsünger[Handelsdünger],_xlfn.AGGREGATE(15,6,(ROW(Liste_Handelsünger[Handelsdünger])-1)/(--(SEARCH(BL$2,Liste_Handelsünger[Handelsdünger])&gt;0)),ROW()-2),1),"")</f>
        <v>StyriaFert Powerkorn</v>
      </c>
      <c r="BM301" t="str">
        <f>IFERROR(INDEX(Liste_Handelsünger[Handelsdünger],_xlfn.AGGREGATE(15,6,(ROW(Liste_Handelsünger[Handelsdünger])-1)/(--(SEARCH(BN$2,Liste_Handelsünger[Handelsdünger])&gt;0)),ROW()-2),1),"")</f>
        <v>StyriaFert Powerkorn</v>
      </c>
      <c r="BN301" t="str">
        <f>IF(($A316=""),"",IF(COUNTIF(Mineral!$AJ$3:$AJ$324,$A316),"",$A316))</f>
        <v/>
      </c>
      <c r="BV301" t="s">
        <v>2284</v>
      </c>
      <c r="BW301" t="s">
        <v>2289</v>
      </c>
      <c r="BZ301" s="1602"/>
      <c r="CA301" s="1602"/>
      <c r="CB301" s="1602"/>
    </row>
    <row r="302" spans="19:80" ht="14.25" thickTop="1" thickBot="1">
      <c r="S302" s="1676">
        <v>301</v>
      </c>
      <c r="T302" s="1606" t="s">
        <v>2006</v>
      </c>
      <c r="U302" s="1606" t="s">
        <v>2285</v>
      </c>
      <c r="V302" s="1606" t="s">
        <v>408</v>
      </c>
      <c r="W302" s="1606">
        <v>5.5</v>
      </c>
      <c r="X302" s="1606">
        <v>3</v>
      </c>
      <c r="Y302" s="1606">
        <v>1</v>
      </c>
      <c r="Z302" s="1606">
        <v>0.6</v>
      </c>
      <c r="AA302" s="1606">
        <v>4</v>
      </c>
      <c r="AB302" s="1606">
        <v>0.4</v>
      </c>
      <c r="AC302" s="1606">
        <v>0.5</v>
      </c>
      <c r="AD302" s="1613">
        <v>0.91</v>
      </c>
      <c r="AE302" s="1606" t="s">
        <v>2037</v>
      </c>
      <c r="AF302" s="1613" t="str">
        <f t="shared" si="21"/>
        <v/>
      </c>
      <c r="AG302" s="1656">
        <f>IFERROR(IF($AF302&gt;0,VLOOKUP($U302,Tabelle1!$C$188:$L$212,5,0)*$AF302,0),0)</f>
        <v>0</v>
      </c>
      <c r="AH302" s="1656">
        <f t="shared" si="22"/>
        <v>0</v>
      </c>
      <c r="AJ302" t="str">
        <f>IF(Betrieb!$D$9="JA",Mineral!$BW302,Mineral!$BV302)</f>
        <v>StyriaFert Veggie Basis</v>
      </c>
      <c r="AK302" s="1672" t="str">
        <f>IFERROR(INDEX(Liste_Handelsünger[Handelsdünger],_xlfn.AGGREGATE(15,6,(ROW(Liste_Handelsünger[Handelsdünger])-1)/(--(SEARCH(AL$2,Liste_Handelsünger[Handelsdünger])&gt;0)),ROW()-2),1),"")</f>
        <v>StyriaFert Veggie Basis</v>
      </c>
      <c r="AL302" s="1672" t="str">
        <f>IF(($A$3=""),"",IF(COUNTIF(Mineral!$AJ$3:$AJ$324,$A$3),"",$A$3))</f>
        <v/>
      </c>
      <c r="AM302" s="1672" t="str">
        <f>IFERROR(INDEX(Liste_Handelsünger[Handelsdünger],_xlfn.AGGREGATE(15,6,(ROW(Liste_Handelsünger[Handelsdünger])-1)/(--(SEARCH(AN$2,Liste_Handelsünger[Handelsdünger])&gt;0)),ROW()-2),1),"")</f>
        <v>StyriaFert Veggie Basis</v>
      </c>
      <c r="AN302" t="str">
        <f>IF(($A304=""),"",IF(COUNTIF(Mineral!$AJ$3:$AJ$324,$A304),"",$A304))</f>
        <v/>
      </c>
      <c r="AO302" t="str">
        <f>IFERROR(INDEX(Liste_Handelsünger[Handelsdünger],_xlfn.AGGREGATE(15,6,(ROW(Liste_Handelsünger[Handelsdünger])-1)/(--(SEARCH(AP$2,Liste_Handelsünger[Handelsdünger])&gt;0)),ROW()-2),1),"")</f>
        <v>StyriaFert Veggie Basis</v>
      </c>
      <c r="AP302" t="str">
        <f>IF(($A305=""),"",IF(COUNTIF(Mineral!$AJ$3:$AJ$324,$A305),"",$A305))</f>
        <v/>
      </c>
      <c r="AQ302" t="str">
        <f>IFERROR(INDEX(Liste_Handelsünger[Handelsdünger],_xlfn.AGGREGATE(15,6,(ROW(Liste_Handelsünger[Handelsdünger])-1)/(--(SEARCH(AR$2,Liste_Handelsünger[Handelsdünger])&gt;0)),ROW()-2),1),"")</f>
        <v>StyriaFert Veggie Basis</v>
      </c>
      <c r="AR302" t="str">
        <f>IF(($A306=""),"",IF(COUNTIF(Mineral!$AJ$3:$AJ$324,$A306),"",$A306))</f>
        <v/>
      </c>
      <c r="AS302" t="str">
        <f>IFERROR(INDEX(Liste_Handelsünger[Handelsdünger],_xlfn.AGGREGATE(15,6,(ROW(Liste_Handelsünger[Handelsdünger])-1)/(--(SEARCH(AT$2,Liste_Handelsünger[Handelsdünger])&gt;0)),ROW()-2),1),"")</f>
        <v>StyriaFert Veggie Basis</v>
      </c>
      <c r="AT302" t="str">
        <f>IF(($A307=""),"",IF(COUNTIF(Mineral!$AJ$3:$AJ$324,$A307),"",$A307))</f>
        <v/>
      </c>
      <c r="AU302" t="str">
        <f>IFERROR(INDEX(Liste_Handelsünger[Handelsdünger],_xlfn.AGGREGATE(15,6,(ROW(Liste_Handelsünger[Handelsdünger])-1)/(--(SEARCH(AV$2,Liste_Handelsünger[Handelsdünger])&gt;0)),ROW()-2),1),"")</f>
        <v>StyriaFert Veggie Basis</v>
      </c>
      <c r="AV302" t="str">
        <f>IF(($A308=""),"",IF(COUNTIF(Mineral!$AJ$3:$AJ$324,$A308),"",$A308))</f>
        <v/>
      </c>
      <c r="AW302" t="str">
        <f>IFERROR(INDEX(Liste_Handelsünger[Handelsdünger],_xlfn.AGGREGATE(15,6,(ROW(Liste_Handelsünger[Handelsdünger])-1)/(--(SEARCH(AX$2,Liste_Handelsünger[Handelsdünger])&gt;0)),ROW()-2),1),"")</f>
        <v>StyriaFert Veggie Basis</v>
      </c>
      <c r="AX302" t="str">
        <f>IF(($A309=""),"",IF(COUNTIF(Mineral!$AJ$3:$AJ$324,$A309),"",$A309))</f>
        <v/>
      </c>
      <c r="AY302" t="str">
        <f>IFERROR(INDEX(Liste_Handelsünger[Handelsdünger],_xlfn.AGGREGATE(15,6,(ROW(Liste_Handelsünger[Handelsdünger])-1)/(--(SEARCH(AZ$2,Liste_Handelsünger[Handelsdünger])&gt;0)),ROW()-2),1),"")</f>
        <v>StyriaFert Veggie Basis</v>
      </c>
      <c r="AZ302" t="str">
        <f>IF(($A310=""),"",IF(COUNTIF(Mineral!$AJ$3:$AJ$324,$A310),"",$A310))</f>
        <v/>
      </c>
      <c r="BA302" t="str">
        <f>IFERROR(INDEX(Liste_Handelsünger[Handelsdünger],_xlfn.AGGREGATE(15,6,(ROW(Liste_Handelsünger[Handelsdünger])-1)/(--(SEARCH(BB$2,Liste_Handelsünger[Handelsdünger])&gt;0)),ROW()-2),1),"")</f>
        <v>StyriaFert Veggie Basis</v>
      </c>
      <c r="BB302" t="str">
        <f>IF(($A311=""),"",IF(COUNTIF(Mineral!$AJ$3:$AJ$324,$A311),"",$A311))</f>
        <v/>
      </c>
      <c r="BC302" t="str">
        <f>IFERROR(INDEX(Liste_Handelsünger[Handelsdünger],_xlfn.AGGREGATE(15,6,(ROW(Liste_Handelsünger[Handelsdünger])-1)/(--(SEARCH(BD$2,Liste_Handelsünger[Handelsdünger])&gt;0)),ROW()-2),1),"")</f>
        <v>StyriaFert Veggie Basis</v>
      </c>
      <c r="BD302" t="str">
        <f>IF(($A312=""),"",IF(COUNTIF(Mineral!$AJ$3:$AJ$324,$A312),"",$A312))</f>
        <v/>
      </c>
      <c r="BE302" t="str">
        <f>IFERROR(INDEX(Liste_Handelsünger[Handelsdünger],_xlfn.AGGREGATE(15,6,(ROW(Liste_Handelsünger[Handelsdünger])-1)/(--(SEARCH(BF$2,Liste_Handelsünger[Handelsdünger])&gt;0)),ROW()-2),1),"")</f>
        <v>StyriaFert Veggie Basis</v>
      </c>
      <c r="BF302" t="str">
        <f>IF(($A313=""),"",IF(COUNTIF(Mineral!$AJ$3:$AJ$324,$A313),"",$A313))</f>
        <v/>
      </c>
      <c r="BG302" t="str">
        <f>IFERROR(INDEX(Liste_Handelsünger[Handelsdünger],_xlfn.AGGREGATE(15,6,(ROW(Liste_Handelsünger[Handelsdünger])-1)/(--(SEARCH(BH$2,Liste_Handelsünger[Handelsdünger])&gt;0)),ROW()-2),1),"")</f>
        <v>StyriaFert Veggie Basis</v>
      </c>
      <c r="BH302" t="str">
        <f>IF(($A314=""),"",IF(COUNTIF(Mineral!$AJ$3:$AJ$324,$A314),"",$A314))</f>
        <v/>
      </c>
      <c r="BI302" t="str">
        <f>IFERROR(INDEX(Liste_Handelsünger[Handelsdünger],_xlfn.AGGREGATE(15,6,(ROW(Liste_Handelsünger[Handelsdünger])-1)/(--(SEARCH(BJ$2,Liste_Handelsünger[Handelsdünger])&gt;0)),ROW()-2),1),"")</f>
        <v>StyriaFert Veggie Basis</v>
      </c>
      <c r="BJ302" t="str">
        <f>IF(($A315=""),"",IF(COUNTIF(Mineral!$AJ$3:$AJ$324,$A315),"",$A315))</f>
        <v/>
      </c>
      <c r="BK302" t="str">
        <f>IFERROR(INDEX(Liste_Handelsünger[Handelsdünger],_xlfn.AGGREGATE(15,6,(ROW(Liste_Handelsünger[Handelsdünger])-1)/(--(SEARCH(BL$2,Liste_Handelsünger[Handelsdünger])&gt;0)),ROW()-2),1),"")</f>
        <v>StyriaFert Veggie Basis</v>
      </c>
      <c r="BM302" t="str">
        <f>IFERROR(INDEX(Liste_Handelsünger[Handelsdünger],_xlfn.AGGREGATE(15,6,(ROW(Liste_Handelsünger[Handelsdünger])-1)/(--(SEARCH(BN$2,Liste_Handelsünger[Handelsdünger])&gt;0)),ROW()-2),1),"")</f>
        <v>StyriaFert Veggie Basis</v>
      </c>
      <c r="BN302" t="str">
        <f>IF(($A317=""),"",IF(COUNTIF(Mineral!$AJ$3:$AJ$324,$A317),"",$A317))</f>
        <v/>
      </c>
      <c r="BV302" t="s">
        <v>2285</v>
      </c>
      <c r="BW302" t="s">
        <v>2290</v>
      </c>
      <c r="BZ302" s="1602"/>
      <c r="CA302" s="1602"/>
      <c r="CB302" s="1602"/>
    </row>
    <row r="303" spans="19:80" ht="14.25" thickTop="1" thickBot="1">
      <c r="S303" s="1616">
        <v>302</v>
      </c>
      <c r="T303" s="1617" t="s">
        <v>2006</v>
      </c>
      <c r="U303" s="1617" t="s">
        <v>2286</v>
      </c>
      <c r="V303" s="1617" t="s">
        <v>408</v>
      </c>
      <c r="W303" s="1617">
        <v>4</v>
      </c>
      <c r="X303" s="1617">
        <v>0.5</v>
      </c>
      <c r="Y303" s="1617">
        <v>0.2</v>
      </c>
      <c r="Z303" s="1617"/>
      <c r="AA303" s="1617"/>
      <c r="AB303" s="1617"/>
      <c r="AC303" s="1617">
        <v>0.5</v>
      </c>
      <c r="AD303" s="1613">
        <v>0.91</v>
      </c>
      <c r="AE303" s="1617" t="s">
        <v>2037</v>
      </c>
      <c r="AF303" s="1613" t="str">
        <f t="shared" si="21"/>
        <v/>
      </c>
      <c r="AG303" s="1656">
        <f>IFERROR(IF($AF303&gt;0,VLOOKUP($U303,Tabelle1!$C$188:$L$212,5,0)*$AF303,0),0)</f>
        <v>0</v>
      </c>
      <c r="AH303" s="1656">
        <f t="shared" si="22"/>
        <v>0</v>
      </c>
      <c r="AJ303" t="str">
        <f>IF(Betrieb!$D$9="JA",Mineral!$BW303,Mineral!$BV303)</f>
        <v>StyriaFert Veggie Bio</v>
      </c>
      <c r="AK303" s="1672" t="str">
        <f>IFERROR(INDEX(Liste_Handelsünger[Handelsdünger],_xlfn.AGGREGATE(15,6,(ROW(Liste_Handelsünger[Handelsdünger])-1)/(--(SEARCH(AL$2,Liste_Handelsünger[Handelsdünger])&gt;0)),ROW()-2),1),"")</f>
        <v>StyriaFert Veggie Bio</v>
      </c>
      <c r="AL303" s="1672" t="str">
        <f>IF(($A$3=""),"",IF(COUNTIF(Mineral!$AJ$3:$AJ$324,$A$3),"",$A$3))</f>
        <v/>
      </c>
      <c r="AM303" s="1672" t="str">
        <f>IFERROR(INDEX(Liste_Handelsünger[Handelsdünger],_xlfn.AGGREGATE(15,6,(ROW(Liste_Handelsünger[Handelsdünger])-1)/(--(SEARCH(AN$2,Liste_Handelsünger[Handelsdünger])&gt;0)),ROW()-2),1),"")</f>
        <v>StyriaFert Veggie Bio</v>
      </c>
      <c r="AN303" t="str">
        <f>IF(($A305=""),"",IF(COUNTIF(Mineral!$AJ$3:$AJ$324,$A305),"",$A305))</f>
        <v/>
      </c>
      <c r="AO303" t="str">
        <f>IFERROR(INDEX(Liste_Handelsünger[Handelsdünger],_xlfn.AGGREGATE(15,6,(ROW(Liste_Handelsünger[Handelsdünger])-1)/(--(SEARCH(AP$2,Liste_Handelsünger[Handelsdünger])&gt;0)),ROW()-2),1),"")</f>
        <v>StyriaFert Veggie Bio</v>
      </c>
      <c r="AP303" t="str">
        <f>IF(($A306=""),"",IF(COUNTIF(Mineral!$AJ$3:$AJ$324,$A306),"",$A306))</f>
        <v/>
      </c>
      <c r="AQ303" t="str">
        <f>IFERROR(INDEX(Liste_Handelsünger[Handelsdünger],_xlfn.AGGREGATE(15,6,(ROW(Liste_Handelsünger[Handelsdünger])-1)/(--(SEARCH(AR$2,Liste_Handelsünger[Handelsdünger])&gt;0)),ROW()-2),1),"")</f>
        <v>StyriaFert Veggie Bio</v>
      </c>
      <c r="AR303" t="str">
        <f>IF(($A307=""),"",IF(COUNTIF(Mineral!$AJ$3:$AJ$324,$A307),"",$A307))</f>
        <v/>
      </c>
      <c r="AS303" t="str">
        <f>IFERROR(INDEX(Liste_Handelsünger[Handelsdünger],_xlfn.AGGREGATE(15,6,(ROW(Liste_Handelsünger[Handelsdünger])-1)/(--(SEARCH(AT$2,Liste_Handelsünger[Handelsdünger])&gt;0)),ROW()-2),1),"")</f>
        <v>StyriaFert Veggie Bio</v>
      </c>
      <c r="AT303" t="str">
        <f>IF(($A308=""),"",IF(COUNTIF(Mineral!$AJ$3:$AJ$324,$A308),"",$A308))</f>
        <v/>
      </c>
      <c r="AU303" t="str">
        <f>IFERROR(INDEX(Liste_Handelsünger[Handelsdünger],_xlfn.AGGREGATE(15,6,(ROW(Liste_Handelsünger[Handelsdünger])-1)/(--(SEARCH(AV$2,Liste_Handelsünger[Handelsdünger])&gt;0)),ROW()-2),1),"")</f>
        <v>StyriaFert Veggie Bio</v>
      </c>
      <c r="AV303" t="str">
        <f>IF(($A309=""),"",IF(COUNTIF(Mineral!$AJ$3:$AJ$324,$A309),"",$A309))</f>
        <v/>
      </c>
      <c r="AW303" t="str">
        <f>IFERROR(INDEX(Liste_Handelsünger[Handelsdünger],_xlfn.AGGREGATE(15,6,(ROW(Liste_Handelsünger[Handelsdünger])-1)/(--(SEARCH(AX$2,Liste_Handelsünger[Handelsdünger])&gt;0)),ROW()-2),1),"")</f>
        <v>StyriaFert Veggie Bio</v>
      </c>
      <c r="AX303" t="str">
        <f>IF(($A310=""),"",IF(COUNTIF(Mineral!$AJ$3:$AJ$324,$A310),"",$A310))</f>
        <v/>
      </c>
      <c r="AY303" t="str">
        <f>IFERROR(INDEX(Liste_Handelsünger[Handelsdünger],_xlfn.AGGREGATE(15,6,(ROW(Liste_Handelsünger[Handelsdünger])-1)/(--(SEARCH(AZ$2,Liste_Handelsünger[Handelsdünger])&gt;0)),ROW()-2),1),"")</f>
        <v>StyriaFert Veggie Bio</v>
      </c>
      <c r="AZ303" t="str">
        <f>IF(($A311=""),"",IF(COUNTIF(Mineral!$AJ$3:$AJ$324,$A311),"",$A311))</f>
        <v/>
      </c>
      <c r="BA303" t="str">
        <f>IFERROR(INDEX(Liste_Handelsünger[Handelsdünger],_xlfn.AGGREGATE(15,6,(ROW(Liste_Handelsünger[Handelsdünger])-1)/(--(SEARCH(BB$2,Liste_Handelsünger[Handelsdünger])&gt;0)),ROW()-2),1),"")</f>
        <v>StyriaFert Veggie Bio</v>
      </c>
      <c r="BB303" t="str">
        <f>IF(($A312=""),"",IF(COUNTIF(Mineral!$AJ$3:$AJ$324,$A312),"",$A312))</f>
        <v/>
      </c>
      <c r="BC303" t="str">
        <f>IFERROR(INDEX(Liste_Handelsünger[Handelsdünger],_xlfn.AGGREGATE(15,6,(ROW(Liste_Handelsünger[Handelsdünger])-1)/(--(SEARCH(BD$2,Liste_Handelsünger[Handelsdünger])&gt;0)),ROW()-2),1),"")</f>
        <v>StyriaFert Veggie Bio</v>
      </c>
      <c r="BD303" t="str">
        <f>IF(($A313=""),"",IF(COUNTIF(Mineral!$AJ$3:$AJ$324,$A313),"",$A313))</f>
        <v/>
      </c>
      <c r="BE303" t="str">
        <f>IFERROR(INDEX(Liste_Handelsünger[Handelsdünger],_xlfn.AGGREGATE(15,6,(ROW(Liste_Handelsünger[Handelsdünger])-1)/(--(SEARCH(BF$2,Liste_Handelsünger[Handelsdünger])&gt;0)),ROW()-2),1),"")</f>
        <v>StyriaFert Veggie Bio</v>
      </c>
      <c r="BF303" t="str">
        <f>IF(($A314=""),"",IF(COUNTIF(Mineral!$AJ$3:$AJ$324,$A314),"",$A314))</f>
        <v/>
      </c>
      <c r="BG303" t="str">
        <f>IFERROR(INDEX(Liste_Handelsünger[Handelsdünger],_xlfn.AGGREGATE(15,6,(ROW(Liste_Handelsünger[Handelsdünger])-1)/(--(SEARCH(BH$2,Liste_Handelsünger[Handelsdünger])&gt;0)),ROW()-2),1),"")</f>
        <v>StyriaFert Veggie Bio</v>
      </c>
      <c r="BH303" t="str">
        <f>IF(($A315=""),"",IF(COUNTIF(Mineral!$AJ$3:$AJ$324,$A315),"",$A315))</f>
        <v/>
      </c>
      <c r="BI303" t="str">
        <f>IFERROR(INDEX(Liste_Handelsünger[Handelsdünger],_xlfn.AGGREGATE(15,6,(ROW(Liste_Handelsünger[Handelsdünger])-1)/(--(SEARCH(BJ$2,Liste_Handelsünger[Handelsdünger])&gt;0)),ROW()-2),1),"")</f>
        <v>StyriaFert Veggie Bio</v>
      </c>
      <c r="BJ303" t="str">
        <f>IF(($A316=""),"",IF(COUNTIF(Mineral!$AJ$3:$AJ$324,$A316),"",$A316))</f>
        <v/>
      </c>
      <c r="BK303" t="str">
        <f>IFERROR(INDEX(Liste_Handelsünger[Handelsdünger],_xlfn.AGGREGATE(15,6,(ROW(Liste_Handelsünger[Handelsdünger])-1)/(--(SEARCH(BL$2,Liste_Handelsünger[Handelsdünger])&gt;0)),ROW()-2),1),"")</f>
        <v>StyriaFert Veggie Bio</v>
      </c>
      <c r="BM303" t="str">
        <f>IFERROR(INDEX(Liste_Handelsünger[Handelsdünger],_xlfn.AGGREGATE(15,6,(ROW(Liste_Handelsünger[Handelsdünger])-1)/(--(SEARCH(BN$2,Liste_Handelsünger[Handelsdünger])&gt;0)),ROW()-2),1),"")</f>
        <v>StyriaFert Veggie Bio</v>
      </c>
      <c r="BN303" t="str">
        <f>IF(($A318=""),"",IF(COUNTIF(Mineral!$AJ$3:$AJ$324,$A318),"",$A318))</f>
        <v/>
      </c>
      <c r="BV303" t="s">
        <v>2286</v>
      </c>
      <c r="BW303" t="s">
        <v>2291</v>
      </c>
      <c r="BZ303" s="1602"/>
      <c r="CA303" s="1602"/>
      <c r="CB303" s="1602"/>
    </row>
    <row r="304" spans="19:80" ht="14.25" thickTop="1" thickBot="1">
      <c r="S304" s="1676">
        <v>303</v>
      </c>
      <c r="T304" s="1606" t="s">
        <v>2006</v>
      </c>
      <c r="U304" s="1606" t="s">
        <v>2287</v>
      </c>
      <c r="V304" s="1606" t="s">
        <v>408</v>
      </c>
      <c r="W304" s="1606">
        <v>5.5</v>
      </c>
      <c r="X304" s="1606">
        <v>3</v>
      </c>
      <c r="Y304" s="1606">
        <v>1</v>
      </c>
      <c r="Z304" s="1606">
        <v>0.5</v>
      </c>
      <c r="AA304" s="1606">
        <v>4</v>
      </c>
      <c r="AB304" s="1606">
        <v>0.4</v>
      </c>
      <c r="AC304" s="1606">
        <v>0.5</v>
      </c>
      <c r="AD304" s="1613">
        <v>0.91</v>
      </c>
      <c r="AE304" s="1606" t="s">
        <v>2037</v>
      </c>
      <c r="AF304" s="1613" t="str">
        <f t="shared" si="21"/>
        <v/>
      </c>
      <c r="AG304" s="1656">
        <f>IFERROR(IF($AF304&gt;0,VLOOKUP($U304,Tabelle1!$C$188:$L$212,5,0)*$AF304,0),0)</f>
        <v>0</v>
      </c>
      <c r="AH304" s="1656">
        <f t="shared" si="22"/>
        <v>0</v>
      </c>
      <c r="AJ304" t="str">
        <f>IF(Betrieb!$D$9="JA",Mineral!$BW304,Mineral!$BV304)</f>
        <v>StyriaFert Veggie eM</v>
      </c>
      <c r="AK304" s="1672" t="str">
        <f>IFERROR(INDEX(Liste_Handelsünger[Handelsdünger],_xlfn.AGGREGATE(15,6,(ROW(Liste_Handelsünger[Handelsdünger])-1)/(--(SEARCH(AL$2,Liste_Handelsünger[Handelsdünger])&gt;0)),ROW()-2),1),"")</f>
        <v>StyriaFert Veggie eM</v>
      </c>
      <c r="AL304" s="1672" t="str">
        <f>IF(($A$3=""),"",IF(COUNTIF(Mineral!$AJ$3:$AJ$324,$A$3),"",$A$3))</f>
        <v/>
      </c>
      <c r="AM304" s="1672" t="str">
        <f>IFERROR(INDEX(Liste_Handelsünger[Handelsdünger],_xlfn.AGGREGATE(15,6,(ROW(Liste_Handelsünger[Handelsdünger])-1)/(--(SEARCH(AN$2,Liste_Handelsünger[Handelsdünger])&gt;0)),ROW()-2),1),"")</f>
        <v>StyriaFert Veggie eM</v>
      </c>
      <c r="AN304" t="str">
        <f>IF(($A306=""),"",IF(COUNTIF(Mineral!$AJ$3:$AJ$324,$A306),"",$A306))</f>
        <v/>
      </c>
      <c r="AO304" t="str">
        <f>IFERROR(INDEX(Liste_Handelsünger[Handelsdünger],_xlfn.AGGREGATE(15,6,(ROW(Liste_Handelsünger[Handelsdünger])-1)/(--(SEARCH(AP$2,Liste_Handelsünger[Handelsdünger])&gt;0)),ROW()-2),1),"")</f>
        <v>StyriaFert Veggie eM</v>
      </c>
      <c r="AP304" t="str">
        <f>IF(($A307=""),"",IF(COUNTIF(Mineral!$AJ$3:$AJ$324,$A307),"",$A307))</f>
        <v/>
      </c>
      <c r="AQ304" t="str">
        <f>IFERROR(INDEX(Liste_Handelsünger[Handelsdünger],_xlfn.AGGREGATE(15,6,(ROW(Liste_Handelsünger[Handelsdünger])-1)/(--(SEARCH(AR$2,Liste_Handelsünger[Handelsdünger])&gt;0)),ROW()-2),1),"")</f>
        <v>StyriaFert Veggie eM</v>
      </c>
      <c r="AR304" t="str">
        <f>IF(($A308=""),"",IF(COUNTIF(Mineral!$AJ$3:$AJ$324,$A308),"",$A308))</f>
        <v/>
      </c>
      <c r="AS304" t="str">
        <f>IFERROR(INDEX(Liste_Handelsünger[Handelsdünger],_xlfn.AGGREGATE(15,6,(ROW(Liste_Handelsünger[Handelsdünger])-1)/(--(SEARCH(AT$2,Liste_Handelsünger[Handelsdünger])&gt;0)),ROW()-2),1),"")</f>
        <v>StyriaFert Veggie eM</v>
      </c>
      <c r="AT304" t="str">
        <f>IF(($A309=""),"",IF(COUNTIF(Mineral!$AJ$3:$AJ$324,$A309),"",$A309))</f>
        <v/>
      </c>
      <c r="AU304" t="str">
        <f>IFERROR(INDEX(Liste_Handelsünger[Handelsdünger],_xlfn.AGGREGATE(15,6,(ROW(Liste_Handelsünger[Handelsdünger])-1)/(--(SEARCH(AV$2,Liste_Handelsünger[Handelsdünger])&gt;0)),ROW()-2),1),"")</f>
        <v>StyriaFert Veggie eM</v>
      </c>
      <c r="AV304" t="str">
        <f>IF(($A310=""),"",IF(COUNTIF(Mineral!$AJ$3:$AJ$324,$A310),"",$A310))</f>
        <v/>
      </c>
      <c r="AW304" t="str">
        <f>IFERROR(INDEX(Liste_Handelsünger[Handelsdünger],_xlfn.AGGREGATE(15,6,(ROW(Liste_Handelsünger[Handelsdünger])-1)/(--(SEARCH(AX$2,Liste_Handelsünger[Handelsdünger])&gt;0)),ROW()-2),1),"")</f>
        <v>StyriaFert Veggie eM</v>
      </c>
      <c r="AX304" t="str">
        <f>IF(($A311=""),"",IF(COUNTIF(Mineral!$AJ$3:$AJ$324,$A311),"",$A311))</f>
        <v/>
      </c>
      <c r="AY304" t="str">
        <f>IFERROR(INDEX(Liste_Handelsünger[Handelsdünger],_xlfn.AGGREGATE(15,6,(ROW(Liste_Handelsünger[Handelsdünger])-1)/(--(SEARCH(AZ$2,Liste_Handelsünger[Handelsdünger])&gt;0)),ROW()-2),1),"")</f>
        <v>StyriaFert Veggie eM</v>
      </c>
      <c r="AZ304" t="str">
        <f>IF(($A312=""),"",IF(COUNTIF(Mineral!$AJ$3:$AJ$324,$A312),"",$A312))</f>
        <v/>
      </c>
      <c r="BA304" t="str">
        <f>IFERROR(INDEX(Liste_Handelsünger[Handelsdünger],_xlfn.AGGREGATE(15,6,(ROW(Liste_Handelsünger[Handelsdünger])-1)/(--(SEARCH(BB$2,Liste_Handelsünger[Handelsdünger])&gt;0)),ROW()-2),1),"")</f>
        <v>StyriaFert Veggie eM</v>
      </c>
      <c r="BB304" t="str">
        <f>IF(($A313=""),"",IF(COUNTIF(Mineral!$AJ$3:$AJ$324,$A313),"",$A313))</f>
        <v/>
      </c>
      <c r="BC304" t="str">
        <f>IFERROR(INDEX(Liste_Handelsünger[Handelsdünger],_xlfn.AGGREGATE(15,6,(ROW(Liste_Handelsünger[Handelsdünger])-1)/(--(SEARCH(BD$2,Liste_Handelsünger[Handelsdünger])&gt;0)),ROW()-2),1),"")</f>
        <v>StyriaFert Veggie eM</v>
      </c>
      <c r="BD304" t="str">
        <f>IF(($A314=""),"",IF(COUNTIF(Mineral!$AJ$3:$AJ$324,$A314),"",$A314))</f>
        <v/>
      </c>
      <c r="BE304" t="str">
        <f>IFERROR(INDEX(Liste_Handelsünger[Handelsdünger],_xlfn.AGGREGATE(15,6,(ROW(Liste_Handelsünger[Handelsdünger])-1)/(--(SEARCH(BF$2,Liste_Handelsünger[Handelsdünger])&gt;0)),ROW()-2),1),"")</f>
        <v>StyriaFert Veggie eM</v>
      </c>
      <c r="BF304" t="str">
        <f>IF(($A315=""),"",IF(COUNTIF(Mineral!$AJ$3:$AJ$324,$A315),"",$A315))</f>
        <v/>
      </c>
      <c r="BG304" t="str">
        <f>IFERROR(INDEX(Liste_Handelsünger[Handelsdünger],_xlfn.AGGREGATE(15,6,(ROW(Liste_Handelsünger[Handelsdünger])-1)/(--(SEARCH(BH$2,Liste_Handelsünger[Handelsdünger])&gt;0)),ROW()-2),1),"")</f>
        <v>StyriaFert Veggie eM</v>
      </c>
      <c r="BH304" t="str">
        <f>IF(($A316=""),"",IF(COUNTIF(Mineral!$AJ$3:$AJ$324,$A316),"",$A316))</f>
        <v/>
      </c>
      <c r="BI304" t="str">
        <f>IFERROR(INDEX(Liste_Handelsünger[Handelsdünger],_xlfn.AGGREGATE(15,6,(ROW(Liste_Handelsünger[Handelsdünger])-1)/(--(SEARCH(BJ$2,Liste_Handelsünger[Handelsdünger])&gt;0)),ROW()-2),1),"")</f>
        <v>StyriaFert Veggie eM</v>
      </c>
      <c r="BJ304" t="str">
        <f>IF(($A317=""),"",IF(COUNTIF(Mineral!$AJ$3:$AJ$324,$A317),"",$A317))</f>
        <v/>
      </c>
      <c r="BK304" t="str">
        <f>IFERROR(INDEX(Liste_Handelsünger[Handelsdünger],_xlfn.AGGREGATE(15,6,(ROW(Liste_Handelsünger[Handelsdünger])-1)/(--(SEARCH(BL$2,Liste_Handelsünger[Handelsdünger])&gt;0)),ROW()-2),1),"")</f>
        <v>StyriaFert Veggie eM</v>
      </c>
      <c r="BM304" t="str">
        <f>IFERROR(INDEX(Liste_Handelsünger[Handelsdünger],_xlfn.AGGREGATE(15,6,(ROW(Liste_Handelsünger[Handelsdünger])-1)/(--(SEARCH(BN$2,Liste_Handelsünger[Handelsdünger])&gt;0)),ROW()-2),1),"")</f>
        <v>StyriaFert Veggie eM</v>
      </c>
      <c r="BN304" t="str">
        <f>IF(($A319=""),"",IF(COUNTIF(Mineral!$AJ$3:$AJ$324,$A319),"",$A319))</f>
        <v/>
      </c>
      <c r="BV304" t="s">
        <v>2287</v>
      </c>
      <c r="BW304" t="s">
        <v>2296</v>
      </c>
      <c r="BZ304" s="1602"/>
      <c r="CA304" s="1602"/>
      <c r="CB304" s="1602"/>
    </row>
    <row r="305" spans="19:80" ht="14.25" thickTop="1" thickBot="1">
      <c r="S305" s="1616">
        <v>304</v>
      </c>
      <c r="T305" s="1617" t="s">
        <v>2006</v>
      </c>
      <c r="U305" s="1617" t="s">
        <v>2288</v>
      </c>
      <c r="V305" s="1617" t="s">
        <v>408</v>
      </c>
      <c r="W305" s="1617">
        <v>4.5</v>
      </c>
      <c r="X305" s="1617">
        <v>2</v>
      </c>
      <c r="Y305" s="1617">
        <v>4.5</v>
      </c>
      <c r="Z305" s="1617">
        <v>4.5</v>
      </c>
      <c r="AA305" s="1617">
        <v>2</v>
      </c>
      <c r="AB305" s="1617">
        <v>1.5</v>
      </c>
      <c r="AC305" s="1617">
        <v>0.5</v>
      </c>
      <c r="AD305" s="1613">
        <v>0.91</v>
      </c>
      <c r="AE305" s="1617" t="s">
        <v>2037</v>
      </c>
      <c r="AF305" s="1613" t="str">
        <f t="shared" si="21"/>
        <v/>
      </c>
      <c r="AG305" s="1656">
        <f>IFERROR(IF($AF305&gt;0,VLOOKUP($U305,Tabelle1!$C$188:$L$212,5,0)*$AF305,0),0)</f>
        <v>0</v>
      </c>
      <c r="AH305" s="1656">
        <f t="shared" si="22"/>
        <v>0</v>
      </c>
      <c r="AJ305" t="str">
        <f>IF(Betrieb!$D$9="JA",Mineral!$BW305,Mineral!$BV305)</f>
        <v>StyriaFert Veggie Plus</v>
      </c>
      <c r="AK305" s="1672" t="str">
        <f>IFERROR(INDEX(Liste_Handelsünger[Handelsdünger],_xlfn.AGGREGATE(15,6,(ROW(Liste_Handelsünger[Handelsdünger])-1)/(--(SEARCH(AL$2,Liste_Handelsünger[Handelsdünger])&gt;0)),ROW()-2),1),"")</f>
        <v>StyriaFert Veggie Plus</v>
      </c>
      <c r="AL305" s="1672" t="str">
        <f>IF(($A$3=""),"",IF(COUNTIF(Mineral!$AJ$3:$AJ$324,$A$3),"",$A$3))</f>
        <v/>
      </c>
      <c r="AM305" s="1672" t="str">
        <f>IFERROR(INDEX(Liste_Handelsünger[Handelsdünger],_xlfn.AGGREGATE(15,6,(ROW(Liste_Handelsünger[Handelsdünger])-1)/(--(SEARCH(AN$2,Liste_Handelsünger[Handelsdünger])&gt;0)),ROW()-2),1),"")</f>
        <v>StyriaFert Veggie Plus</v>
      </c>
      <c r="AN305" t="str">
        <f>IF(($A307=""),"",IF(COUNTIF(Mineral!$AJ$3:$AJ$324,$A307),"",$A307))</f>
        <v/>
      </c>
      <c r="AO305" t="str">
        <f>IFERROR(INDEX(Liste_Handelsünger[Handelsdünger],_xlfn.AGGREGATE(15,6,(ROW(Liste_Handelsünger[Handelsdünger])-1)/(--(SEARCH(AP$2,Liste_Handelsünger[Handelsdünger])&gt;0)),ROW()-2),1),"")</f>
        <v>StyriaFert Veggie Plus</v>
      </c>
      <c r="AP305" t="str">
        <f>IF(($A308=""),"",IF(COUNTIF(Mineral!$AJ$3:$AJ$324,$A308),"",$A308))</f>
        <v/>
      </c>
      <c r="AQ305" t="str">
        <f>IFERROR(INDEX(Liste_Handelsünger[Handelsdünger],_xlfn.AGGREGATE(15,6,(ROW(Liste_Handelsünger[Handelsdünger])-1)/(--(SEARCH(AR$2,Liste_Handelsünger[Handelsdünger])&gt;0)),ROW()-2),1),"")</f>
        <v>StyriaFert Veggie Plus</v>
      </c>
      <c r="AR305" t="str">
        <f>IF(($A309=""),"",IF(COUNTIF(Mineral!$AJ$3:$AJ$324,$A309),"",$A309))</f>
        <v/>
      </c>
      <c r="AS305" t="str">
        <f>IFERROR(INDEX(Liste_Handelsünger[Handelsdünger],_xlfn.AGGREGATE(15,6,(ROW(Liste_Handelsünger[Handelsdünger])-1)/(--(SEARCH(AT$2,Liste_Handelsünger[Handelsdünger])&gt;0)),ROW()-2),1),"")</f>
        <v>StyriaFert Veggie Plus</v>
      </c>
      <c r="AT305" t="str">
        <f>IF(($A310=""),"",IF(COUNTIF(Mineral!$AJ$3:$AJ$324,$A310),"",$A310))</f>
        <v/>
      </c>
      <c r="AU305" t="str">
        <f>IFERROR(INDEX(Liste_Handelsünger[Handelsdünger],_xlfn.AGGREGATE(15,6,(ROW(Liste_Handelsünger[Handelsdünger])-1)/(--(SEARCH(AV$2,Liste_Handelsünger[Handelsdünger])&gt;0)),ROW()-2),1),"")</f>
        <v>StyriaFert Veggie Plus</v>
      </c>
      <c r="AV305" t="str">
        <f>IF(($A311=""),"",IF(COUNTIF(Mineral!$AJ$3:$AJ$324,$A311),"",$A311))</f>
        <v/>
      </c>
      <c r="AW305" t="str">
        <f>IFERROR(INDEX(Liste_Handelsünger[Handelsdünger],_xlfn.AGGREGATE(15,6,(ROW(Liste_Handelsünger[Handelsdünger])-1)/(--(SEARCH(AX$2,Liste_Handelsünger[Handelsdünger])&gt;0)),ROW()-2),1),"")</f>
        <v>StyriaFert Veggie Plus</v>
      </c>
      <c r="AX305" t="str">
        <f>IF(($A312=""),"",IF(COUNTIF(Mineral!$AJ$3:$AJ$324,$A312),"",$A312))</f>
        <v/>
      </c>
      <c r="AY305" t="str">
        <f>IFERROR(INDEX(Liste_Handelsünger[Handelsdünger],_xlfn.AGGREGATE(15,6,(ROW(Liste_Handelsünger[Handelsdünger])-1)/(--(SEARCH(AZ$2,Liste_Handelsünger[Handelsdünger])&gt;0)),ROW()-2),1),"")</f>
        <v>StyriaFert Veggie Plus</v>
      </c>
      <c r="AZ305" t="str">
        <f>IF(($A313=""),"",IF(COUNTIF(Mineral!$AJ$3:$AJ$324,$A313),"",$A313))</f>
        <v/>
      </c>
      <c r="BA305" t="str">
        <f>IFERROR(INDEX(Liste_Handelsünger[Handelsdünger],_xlfn.AGGREGATE(15,6,(ROW(Liste_Handelsünger[Handelsdünger])-1)/(--(SEARCH(BB$2,Liste_Handelsünger[Handelsdünger])&gt;0)),ROW()-2),1),"")</f>
        <v>StyriaFert Veggie Plus</v>
      </c>
      <c r="BB305" t="str">
        <f>IF(($A314=""),"",IF(COUNTIF(Mineral!$AJ$3:$AJ$324,$A314),"",$A314))</f>
        <v/>
      </c>
      <c r="BC305" t="str">
        <f>IFERROR(INDEX(Liste_Handelsünger[Handelsdünger],_xlfn.AGGREGATE(15,6,(ROW(Liste_Handelsünger[Handelsdünger])-1)/(--(SEARCH(BD$2,Liste_Handelsünger[Handelsdünger])&gt;0)),ROW()-2),1),"")</f>
        <v>StyriaFert Veggie Plus</v>
      </c>
      <c r="BD305" t="str">
        <f>IF(($A315=""),"",IF(COUNTIF(Mineral!$AJ$3:$AJ$324,$A315),"",$A315))</f>
        <v/>
      </c>
      <c r="BE305" t="str">
        <f>IFERROR(INDEX(Liste_Handelsünger[Handelsdünger],_xlfn.AGGREGATE(15,6,(ROW(Liste_Handelsünger[Handelsdünger])-1)/(--(SEARCH(BF$2,Liste_Handelsünger[Handelsdünger])&gt;0)),ROW()-2),1),"")</f>
        <v>StyriaFert Veggie Plus</v>
      </c>
      <c r="BF305" t="str">
        <f>IF(($A316=""),"",IF(COUNTIF(Mineral!$AJ$3:$AJ$324,$A316),"",$A316))</f>
        <v/>
      </c>
      <c r="BG305" t="str">
        <f>IFERROR(INDEX(Liste_Handelsünger[Handelsdünger],_xlfn.AGGREGATE(15,6,(ROW(Liste_Handelsünger[Handelsdünger])-1)/(--(SEARCH(BH$2,Liste_Handelsünger[Handelsdünger])&gt;0)),ROW()-2),1),"")</f>
        <v>StyriaFert Veggie Plus</v>
      </c>
      <c r="BH305" t="str">
        <f>IF(($A317=""),"",IF(COUNTIF(Mineral!$AJ$3:$AJ$324,$A317),"",$A317))</f>
        <v/>
      </c>
      <c r="BI305" t="str">
        <f>IFERROR(INDEX(Liste_Handelsünger[Handelsdünger],_xlfn.AGGREGATE(15,6,(ROW(Liste_Handelsünger[Handelsdünger])-1)/(--(SEARCH(BJ$2,Liste_Handelsünger[Handelsdünger])&gt;0)),ROW()-2),1),"")</f>
        <v>StyriaFert Veggie Plus</v>
      </c>
      <c r="BJ305" t="str">
        <f>IF(($A318=""),"",IF(COUNTIF(Mineral!$AJ$3:$AJ$324,$A318),"",$A318))</f>
        <v/>
      </c>
      <c r="BK305" t="str">
        <f>IFERROR(INDEX(Liste_Handelsünger[Handelsdünger],_xlfn.AGGREGATE(15,6,(ROW(Liste_Handelsünger[Handelsdünger])-1)/(--(SEARCH(BL$2,Liste_Handelsünger[Handelsdünger])&gt;0)),ROW()-2),1),"")</f>
        <v>StyriaFert Veggie Plus</v>
      </c>
      <c r="BM305" t="str">
        <f>IFERROR(INDEX(Liste_Handelsünger[Handelsdünger],_xlfn.AGGREGATE(15,6,(ROW(Liste_Handelsünger[Handelsdünger])-1)/(--(SEARCH(BN$2,Liste_Handelsünger[Handelsdünger])&gt;0)),ROW()-2),1),"")</f>
        <v>StyriaFert Veggie Plus</v>
      </c>
      <c r="BN305" t="str">
        <f>IF(($A320=""),"",IF(COUNTIF(Mineral!$AJ$3:$AJ$324,$A320),"",$A320))</f>
        <v/>
      </c>
      <c r="BV305" t="s">
        <v>2288</v>
      </c>
      <c r="BW305" t="s">
        <v>2299</v>
      </c>
      <c r="BZ305" s="1602"/>
      <c r="CA305" s="1602"/>
      <c r="CB305" s="1602"/>
    </row>
    <row r="306" spans="19:80" ht="14.25" thickTop="1" thickBot="1">
      <c r="S306" s="1676">
        <v>305</v>
      </c>
      <c r="T306" s="1606" t="s">
        <v>2006</v>
      </c>
      <c r="U306" s="1606" t="s">
        <v>2292</v>
      </c>
      <c r="V306" s="1606" t="s">
        <v>408</v>
      </c>
      <c r="W306" s="1606">
        <v>0</v>
      </c>
      <c r="X306" s="1606">
        <v>0</v>
      </c>
      <c r="Y306" s="1606">
        <v>0</v>
      </c>
      <c r="Z306" s="1606">
        <v>90</v>
      </c>
      <c r="AA306" s="1606">
        <v>0</v>
      </c>
      <c r="AB306" s="1606">
        <v>0</v>
      </c>
      <c r="AC306" s="1606">
        <v>1</v>
      </c>
      <c r="AD306" s="1613">
        <v>1</v>
      </c>
      <c r="AE306" s="1606" t="s">
        <v>1764</v>
      </c>
      <c r="AF306" s="1613" t="str">
        <f t="shared" si="21"/>
        <v/>
      </c>
      <c r="AG306" s="1656">
        <f>IFERROR(IF($AF306&gt;0,VLOOKUP($U306,Tabelle1!$C$188:$L$212,5,0)*$AF306,0),0)</f>
        <v>0</v>
      </c>
      <c r="AH306" s="1656">
        <f t="shared" si="22"/>
        <v>0</v>
      </c>
      <c r="AJ306" t="str">
        <f>IF(Betrieb!$D$9="JA",Mineral!$BW306,Mineral!$BV306)</f>
        <v>Sulfogran®</v>
      </c>
      <c r="AK306" s="1672" t="str">
        <f>IFERROR(INDEX(Liste_Handelsünger[Handelsdünger],_xlfn.AGGREGATE(15,6,(ROW(Liste_Handelsünger[Handelsdünger])-1)/(--(SEARCH(AL$2,Liste_Handelsünger[Handelsdünger])&gt;0)),ROW()-2),1),"")</f>
        <v>Sulfogran®</v>
      </c>
      <c r="AL306" s="1672" t="str">
        <f>IF(($A$3=""),"",IF(COUNTIF(Mineral!$AJ$3:$AJ$324,$A$3),"",$A$3))</f>
        <v/>
      </c>
      <c r="AM306" s="1672" t="str">
        <f>IFERROR(INDEX(Liste_Handelsünger[Handelsdünger],_xlfn.AGGREGATE(15,6,(ROW(Liste_Handelsünger[Handelsdünger])-1)/(--(SEARCH(AN$2,Liste_Handelsünger[Handelsdünger])&gt;0)),ROW()-2),1),"")</f>
        <v>Sulfogran®</v>
      </c>
      <c r="AN306" t="str">
        <f>IF(($A308=""),"",IF(COUNTIF(Mineral!$AJ$3:$AJ$324,$A308),"",$A308))</f>
        <v/>
      </c>
      <c r="AO306" t="str">
        <f>IFERROR(INDEX(Liste_Handelsünger[Handelsdünger],_xlfn.AGGREGATE(15,6,(ROW(Liste_Handelsünger[Handelsdünger])-1)/(--(SEARCH(AP$2,Liste_Handelsünger[Handelsdünger])&gt;0)),ROW()-2),1),"")</f>
        <v>Sulfogran®</v>
      </c>
      <c r="AP306" t="str">
        <f>IF(($A309=""),"",IF(COUNTIF(Mineral!$AJ$3:$AJ$324,$A309),"",$A309))</f>
        <v/>
      </c>
      <c r="AQ306" t="str">
        <f>IFERROR(INDEX(Liste_Handelsünger[Handelsdünger],_xlfn.AGGREGATE(15,6,(ROW(Liste_Handelsünger[Handelsdünger])-1)/(--(SEARCH(AR$2,Liste_Handelsünger[Handelsdünger])&gt;0)),ROW()-2),1),"")</f>
        <v>Sulfogran®</v>
      </c>
      <c r="AR306" t="str">
        <f>IF(($A310=""),"",IF(COUNTIF(Mineral!$AJ$3:$AJ$324,$A310),"",$A310))</f>
        <v/>
      </c>
      <c r="AS306" t="str">
        <f>IFERROR(INDEX(Liste_Handelsünger[Handelsdünger],_xlfn.AGGREGATE(15,6,(ROW(Liste_Handelsünger[Handelsdünger])-1)/(--(SEARCH(AT$2,Liste_Handelsünger[Handelsdünger])&gt;0)),ROW()-2),1),"")</f>
        <v>Sulfogran®</v>
      </c>
      <c r="AT306" t="str">
        <f>IF(($A311=""),"",IF(COUNTIF(Mineral!$AJ$3:$AJ$324,$A311),"",$A311))</f>
        <v/>
      </c>
      <c r="AU306" t="str">
        <f>IFERROR(INDEX(Liste_Handelsünger[Handelsdünger],_xlfn.AGGREGATE(15,6,(ROW(Liste_Handelsünger[Handelsdünger])-1)/(--(SEARCH(AV$2,Liste_Handelsünger[Handelsdünger])&gt;0)),ROW()-2),1),"")</f>
        <v>Sulfogran®</v>
      </c>
      <c r="AV306" t="str">
        <f>IF(($A312=""),"",IF(COUNTIF(Mineral!$AJ$3:$AJ$324,$A312),"",$A312))</f>
        <v/>
      </c>
      <c r="AW306" t="str">
        <f>IFERROR(INDEX(Liste_Handelsünger[Handelsdünger],_xlfn.AGGREGATE(15,6,(ROW(Liste_Handelsünger[Handelsdünger])-1)/(--(SEARCH(AX$2,Liste_Handelsünger[Handelsdünger])&gt;0)),ROW()-2),1),"")</f>
        <v>Sulfogran®</v>
      </c>
      <c r="AX306" t="str">
        <f>IF(($A313=""),"",IF(COUNTIF(Mineral!$AJ$3:$AJ$324,$A313),"",$A313))</f>
        <v/>
      </c>
      <c r="AY306" t="str">
        <f>IFERROR(INDEX(Liste_Handelsünger[Handelsdünger],_xlfn.AGGREGATE(15,6,(ROW(Liste_Handelsünger[Handelsdünger])-1)/(--(SEARCH(AZ$2,Liste_Handelsünger[Handelsdünger])&gt;0)),ROW()-2),1),"")</f>
        <v>Sulfogran®</v>
      </c>
      <c r="AZ306" t="str">
        <f>IF(($A314=""),"",IF(COUNTIF(Mineral!$AJ$3:$AJ$324,$A314),"",$A314))</f>
        <v/>
      </c>
      <c r="BA306" t="str">
        <f>IFERROR(INDEX(Liste_Handelsünger[Handelsdünger],_xlfn.AGGREGATE(15,6,(ROW(Liste_Handelsünger[Handelsdünger])-1)/(--(SEARCH(BB$2,Liste_Handelsünger[Handelsdünger])&gt;0)),ROW()-2),1),"")</f>
        <v>Sulfogran®</v>
      </c>
      <c r="BB306" t="str">
        <f>IF(($A315=""),"",IF(COUNTIF(Mineral!$AJ$3:$AJ$324,$A315),"",$A315))</f>
        <v/>
      </c>
      <c r="BC306" t="str">
        <f>IFERROR(INDEX(Liste_Handelsünger[Handelsdünger],_xlfn.AGGREGATE(15,6,(ROW(Liste_Handelsünger[Handelsdünger])-1)/(--(SEARCH(BD$2,Liste_Handelsünger[Handelsdünger])&gt;0)),ROW()-2),1),"")</f>
        <v>Sulfogran®</v>
      </c>
      <c r="BD306" t="str">
        <f>IF(($A316=""),"",IF(COUNTIF(Mineral!$AJ$3:$AJ$324,$A316),"",$A316))</f>
        <v/>
      </c>
      <c r="BE306" t="str">
        <f>IFERROR(INDEX(Liste_Handelsünger[Handelsdünger],_xlfn.AGGREGATE(15,6,(ROW(Liste_Handelsünger[Handelsdünger])-1)/(--(SEARCH(BF$2,Liste_Handelsünger[Handelsdünger])&gt;0)),ROW()-2),1),"")</f>
        <v>Sulfogran®</v>
      </c>
      <c r="BF306" t="str">
        <f>IF(($A317=""),"",IF(COUNTIF(Mineral!$AJ$3:$AJ$324,$A317),"",$A317))</f>
        <v/>
      </c>
      <c r="BG306" t="str">
        <f>IFERROR(INDEX(Liste_Handelsünger[Handelsdünger],_xlfn.AGGREGATE(15,6,(ROW(Liste_Handelsünger[Handelsdünger])-1)/(--(SEARCH(BH$2,Liste_Handelsünger[Handelsdünger])&gt;0)),ROW()-2),1),"")</f>
        <v>Sulfogran®</v>
      </c>
      <c r="BH306" t="str">
        <f>IF(($A318=""),"",IF(COUNTIF(Mineral!$AJ$3:$AJ$324,$A318),"",$A318))</f>
        <v/>
      </c>
      <c r="BI306" t="str">
        <f>IFERROR(INDEX(Liste_Handelsünger[Handelsdünger],_xlfn.AGGREGATE(15,6,(ROW(Liste_Handelsünger[Handelsdünger])-1)/(--(SEARCH(BJ$2,Liste_Handelsünger[Handelsdünger])&gt;0)),ROW()-2),1),"")</f>
        <v>Sulfogran®</v>
      </c>
      <c r="BJ306" t="str">
        <f>IF(($A319=""),"",IF(COUNTIF(Mineral!$AJ$3:$AJ$324,$A319),"",$A319))</f>
        <v/>
      </c>
      <c r="BK306" t="str">
        <f>IFERROR(INDEX(Liste_Handelsünger[Handelsdünger],_xlfn.AGGREGATE(15,6,(ROW(Liste_Handelsünger[Handelsdünger])-1)/(--(SEARCH(BL$2,Liste_Handelsünger[Handelsdünger])&gt;0)),ROW()-2),1),"")</f>
        <v>Sulfogran®</v>
      </c>
      <c r="BM306" t="str">
        <f>IFERROR(INDEX(Liste_Handelsünger[Handelsdünger],_xlfn.AGGREGATE(15,6,(ROW(Liste_Handelsünger[Handelsdünger])-1)/(--(SEARCH(BN$2,Liste_Handelsünger[Handelsdünger])&gt;0)),ROW()-2),1),"")</f>
        <v>Sulfogran®</v>
      </c>
      <c r="BN306" t="str">
        <f>IF(($A321=""),"",IF(COUNTIF(Mineral!$AJ$3:$AJ$324,$A321),"",$A321))</f>
        <v/>
      </c>
      <c r="BV306" t="s">
        <v>2292</v>
      </c>
      <c r="BW306" t="s">
        <v>2301</v>
      </c>
      <c r="BZ306" s="1602"/>
      <c r="CA306" s="1602"/>
      <c r="CB306" s="1602"/>
    </row>
    <row r="307" spans="19:80" ht="14.25" thickTop="1" thickBot="1">
      <c r="S307" s="1616">
        <v>306</v>
      </c>
      <c r="T307" s="1617" t="s">
        <v>2006</v>
      </c>
      <c r="U307" s="1617" t="s">
        <v>2293</v>
      </c>
      <c r="V307" s="1617" t="s">
        <v>408</v>
      </c>
      <c r="W307" s="1617">
        <v>0</v>
      </c>
      <c r="X307" s="1617">
        <v>0</v>
      </c>
      <c r="Y307" s="1617">
        <v>0</v>
      </c>
      <c r="Z307" s="1617">
        <v>90</v>
      </c>
      <c r="AA307" s="1617">
        <v>0</v>
      </c>
      <c r="AB307" s="1617">
        <v>0</v>
      </c>
      <c r="AC307" s="1617">
        <v>1</v>
      </c>
      <c r="AD307" s="1613">
        <v>1</v>
      </c>
      <c r="AE307" s="1617" t="s">
        <v>1764</v>
      </c>
      <c r="AF307" s="1613" t="str">
        <f t="shared" si="21"/>
        <v/>
      </c>
      <c r="AG307" s="1656">
        <f>IFERROR(IF($AF307&gt;0,VLOOKUP($U307,Tabelle1!$C$188:$L$212,5,0)*$AF307,0),0)</f>
        <v>0</v>
      </c>
      <c r="AH307" s="1656">
        <f t="shared" si="22"/>
        <v>0</v>
      </c>
      <c r="AJ307" t="str">
        <f>IF(Betrieb!$D$9="JA",Mineral!$BW307,Mineral!$BV307)</f>
        <v>Sulfogranulat</v>
      </c>
      <c r="AK307" s="1672" t="str">
        <f>IFERROR(INDEX(Liste_Handelsünger[Handelsdünger],_xlfn.AGGREGATE(15,6,(ROW(Liste_Handelsünger[Handelsdünger])-1)/(--(SEARCH(AL$2,Liste_Handelsünger[Handelsdünger])&gt;0)),ROW()-2),1),"")</f>
        <v>Sulfogranulat</v>
      </c>
      <c r="AL307" s="1672" t="str">
        <f>IF(($A$3=""),"",IF(COUNTIF(Mineral!$AJ$3:$AJ$324,$A$3),"",$A$3))</f>
        <v/>
      </c>
      <c r="AM307" s="1672" t="str">
        <f>IFERROR(INDEX(Liste_Handelsünger[Handelsdünger],_xlfn.AGGREGATE(15,6,(ROW(Liste_Handelsünger[Handelsdünger])-1)/(--(SEARCH(AN$2,Liste_Handelsünger[Handelsdünger])&gt;0)),ROW()-2),1),"")</f>
        <v>Sulfogranulat</v>
      </c>
      <c r="AN307" t="str">
        <f>IF(($A309=""),"",IF(COUNTIF(Mineral!$AJ$3:$AJ$324,$A309),"",$A309))</f>
        <v/>
      </c>
      <c r="AO307" t="str">
        <f>IFERROR(INDEX(Liste_Handelsünger[Handelsdünger],_xlfn.AGGREGATE(15,6,(ROW(Liste_Handelsünger[Handelsdünger])-1)/(--(SEARCH(AP$2,Liste_Handelsünger[Handelsdünger])&gt;0)),ROW()-2),1),"")</f>
        <v>Sulfogranulat</v>
      </c>
      <c r="AP307" t="str">
        <f>IF(($A310=""),"",IF(COUNTIF(Mineral!$AJ$3:$AJ$324,$A310),"",$A310))</f>
        <v/>
      </c>
      <c r="AQ307" t="str">
        <f>IFERROR(INDEX(Liste_Handelsünger[Handelsdünger],_xlfn.AGGREGATE(15,6,(ROW(Liste_Handelsünger[Handelsdünger])-1)/(--(SEARCH(AR$2,Liste_Handelsünger[Handelsdünger])&gt;0)),ROW()-2),1),"")</f>
        <v>Sulfogranulat</v>
      </c>
      <c r="AR307" t="str">
        <f>IF(($A311=""),"",IF(COUNTIF(Mineral!$AJ$3:$AJ$324,$A311),"",$A311))</f>
        <v/>
      </c>
      <c r="AS307" t="str">
        <f>IFERROR(INDEX(Liste_Handelsünger[Handelsdünger],_xlfn.AGGREGATE(15,6,(ROW(Liste_Handelsünger[Handelsdünger])-1)/(--(SEARCH(AT$2,Liste_Handelsünger[Handelsdünger])&gt;0)),ROW()-2),1),"")</f>
        <v>Sulfogranulat</v>
      </c>
      <c r="AT307" t="str">
        <f>IF(($A312=""),"",IF(COUNTIF(Mineral!$AJ$3:$AJ$324,$A312),"",$A312))</f>
        <v/>
      </c>
      <c r="AU307" t="str">
        <f>IFERROR(INDEX(Liste_Handelsünger[Handelsdünger],_xlfn.AGGREGATE(15,6,(ROW(Liste_Handelsünger[Handelsdünger])-1)/(--(SEARCH(AV$2,Liste_Handelsünger[Handelsdünger])&gt;0)),ROW()-2),1),"")</f>
        <v>Sulfogranulat</v>
      </c>
      <c r="AV307" t="str">
        <f>IF(($A313=""),"",IF(COUNTIF(Mineral!$AJ$3:$AJ$324,$A313),"",$A313))</f>
        <v/>
      </c>
      <c r="AW307" t="str">
        <f>IFERROR(INDEX(Liste_Handelsünger[Handelsdünger],_xlfn.AGGREGATE(15,6,(ROW(Liste_Handelsünger[Handelsdünger])-1)/(--(SEARCH(AX$2,Liste_Handelsünger[Handelsdünger])&gt;0)),ROW()-2),1),"")</f>
        <v>Sulfogranulat</v>
      </c>
      <c r="AX307" t="str">
        <f>IF(($A314=""),"",IF(COUNTIF(Mineral!$AJ$3:$AJ$324,$A314),"",$A314))</f>
        <v/>
      </c>
      <c r="AY307" t="str">
        <f>IFERROR(INDEX(Liste_Handelsünger[Handelsdünger],_xlfn.AGGREGATE(15,6,(ROW(Liste_Handelsünger[Handelsdünger])-1)/(--(SEARCH(AZ$2,Liste_Handelsünger[Handelsdünger])&gt;0)),ROW()-2),1),"")</f>
        <v>Sulfogranulat</v>
      </c>
      <c r="AZ307" t="str">
        <f>IF(($A315=""),"",IF(COUNTIF(Mineral!$AJ$3:$AJ$324,$A315),"",$A315))</f>
        <v/>
      </c>
      <c r="BA307" t="str">
        <f>IFERROR(INDEX(Liste_Handelsünger[Handelsdünger],_xlfn.AGGREGATE(15,6,(ROW(Liste_Handelsünger[Handelsdünger])-1)/(--(SEARCH(BB$2,Liste_Handelsünger[Handelsdünger])&gt;0)),ROW()-2),1),"")</f>
        <v>Sulfogranulat</v>
      </c>
      <c r="BB307" t="str">
        <f>IF(($A316=""),"",IF(COUNTIF(Mineral!$AJ$3:$AJ$324,$A316),"",$A316))</f>
        <v/>
      </c>
      <c r="BC307" t="str">
        <f>IFERROR(INDEX(Liste_Handelsünger[Handelsdünger],_xlfn.AGGREGATE(15,6,(ROW(Liste_Handelsünger[Handelsdünger])-1)/(--(SEARCH(BD$2,Liste_Handelsünger[Handelsdünger])&gt;0)),ROW()-2),1),"")</f>
        <v>Sulfogranulat</v>
      </c>
      <c r="BD307" t="str">
        <f>IF(($A317=""),"",IF(COUNTIF(Mineral!$AJ$3:$AJ$324,$A317),"",$A317))</f>
        <v/>
      </c>
      <c r="BE307" t="str">
        <f>IFERROR(INDEX(Liste_Handelsünger[Handelsdünger],_xlfn.AGGREGATE(15,6,(ROW(Liste_Handelsünger[Handelsdünger])-1)/(--(SEARCH(BF$2,Liste_Handelsünger[Handelsdünger])&gt;0)),ROW()-2),1),"")</f>
        <v>Sulfogranulat</v>
      </c>
      <c r="BF307" t="str">
        <f>IF(($A318=""),"",IF(COUNTIF(Mineral!$AJ$3:$AJ$324,$A318),"",$A318))</f>
        <v/>
      </c>
      <c r="BG307" t="str">
        <f>IFERROR(INDEX(Liste_Handelsünger[Handelsdünger],_xlfn.AGGREGATE(15,6,(ROW(Liste_Handelsünger[Handelsdünger])-1)/(--(SEARCH(BH$2,Liste_Handelsünger[Handelsdünger])&gt;0)),ROW()-2),1),"")</f>
        <v>Sulfogranulat</v>
      </c>
      <c r="BH307" t="str">
        <f>IF(($A319=""),"",IF(COUNTIF(Mineral!$AJ$3:$AJ$324,$A319),"",$A319))</f>
        <v/>
      </c>
      <c r="BI307" t="str">
        <f>IFERROR(INDEX(Liste_Handelsünger[Handelsdünger],_xlfn.AGGREGATE(15,6,(ROW(Liste_Handelsünger[Handelsdünger])-1)/(--(SEARCH(BJ$2,Liste_Handelsünger[Handelsdünger])&gt;0)),ROW()-2),1),"")</f>
        <v>Sulfogranulat</v>
      </c>
      <c r="BJ307" t="str">
        <f>IF(($A320=""),"",IF(COUNTIF(Mineral!$AJ$3:$AJ$324,$A320),"",$A320))</f>
        <v/>
      </c>
      <c r="BK307" t="str">
        <f>IFERROR(INDEX(Liste_Handelsünger[Handelsdünger],_xlfn.AGGREGATE(15,6,(ROW(Liste_Handelsünger[Handelsdünger])-1)/(--(SEARCH(BL$2,Liste_Handelsünger[Handelsdünger])&gt;0)),ROW()-2),1),"")</f>
        <v>Sulfogranulat</v>
      </c>
      <c r="BM307" t="str">
        <f>IFERROR(INDEX(Liste_Handelsünger[Handelsdünger],_xlfn.AGGREGATE(15,6,(ROW(Liste_Handelsünger[Handelsdünger])-1)/(--(SEARCH(BN$2,Liste_Handelsünger[Handelsdünger])&gt;0)),ROW()-2),1),"")</f>
        <v>Sulfogranulat</v>
      </c>
      <c r="BN307" t="str">
        <f>IF(($A322=""),"",IF(COUNTIF(Mineral!$AJ$3:$AJ$324,$A322),"",$A322))</f>
        <v/>
      </c>
      <c r="BV307" t="s">
        <v>2293</v>
      </c>
      <c r="BW307" t="s">
        <v>2302</v>
      </c>
      <c r="BZ307" s="1602"/>
      <c r="CA307" s="1602"/>
      <c r="CB307" s="1602"/>
    </row>
    <row r="308" spans="19:80" ht="14.25" thickTop="1" thickBot="1">
      <c r="S308" s="1676">
        <v>307</v>
      </c>
      <c r="T308" s="1606" t="s">
        <v>2006</v>
      </c>
      <c r="U308" s="1606" t="s">
        <v>2294</v>
      </c>
      <c r="V308" s="1606" t="s">
        <v>408</v>
      </c>
      <c r="W308" s="1606">
        <v>0</v>
      </c>
      <c r="X308" s="1606">
        <v>0</v>
      </c>
      <c r="Y308" s="1606">
        <v>0</v>
      </c>
      <c r="Z308" s="1606">
        <v>90</v>
      </c>
      <c r="AA308" s="1606">
        <v>0</v>
      </c>
      <c r="AB308" s="1606">
        <v>0</v>
      </c>
      <c r="AC308" s="1606">
        <v>1</v>
      </c>
      <c r="AD308" s="1613">
        <v>1</v>
      </c>
      <c r="AE308" s="1606" t="s">
        <v>1764</v>
      </c>
      <c r="AF308" s="1613" t="str">
        <f t="shared" si="21"/>
        <v/>
      </c>
      <c r="AG308" s="1656">
        <f>IFERROR(IF($AF308&gt;0,VLOOKUP($U308,Tabelle1!$C$188:$L$212,5,0)*$AF308,0),0)</f>
        <v>0</v>
      </c>
      <c r="AH308" s="1656">
        <f t="shared" si="22"/>
        <v>0</v>
      </c>
      <c r="AJ308" t="str">
        <f>IF(Betrieb!$D$9="JA",Mineral!$BW308,Mineral!$BV308)</f>
        <v>Sulfogüll® plus</v>
      </c>
      <c r="AK308" s="1672" t="str">
        <f>IFERROR(INDEX(Liste_Handelsünger[Handelsdünger],_xlfn.AGGREGATE(15,6,(ROW(Liste_Handelsünger[Handelsdünger])-1)/(--(SEARCH(AL$2,Liste_Handelsünger[Handelsdünger])&gt;0)),ROW()-2),1),"")</f>
        <v>Sulfogüll® plus</v>
      </c>
      <c r="AL308" s="1672" t="str">
        <f>IF(($A$3=""),"",IF(COUNTIF(Mineral!$AJ$3:$AJ$324,$A$3),"",$A$3))</f>
        <v/>
      </c>
      <c r="AM308" s="1672" t="str">
        <f>IFERROR(INDEX(Liste_Handelsünger[Handelsdünger],_xlfn.AGGREGATE(15,6,(ROW(Liste_Handelsünger[Handelsdünger])-1)/(--(SEARCH(AN$2,Liste_Handelsünger[Handelsdünger])&gt;0)),ROW()-2),1),"")</f>
        <v>Sulfogüll® plus</v>
      </c>
      <c r="AN308" t="str">
        <f>IF(($A310=""),"",IF(COUNTIF(Mineral!$AJ$3:$AJ$324,$A310),"",$A310))</f>
        <v/>
      </c>
      <c r="AO308" t="str">
        <f>IFERROR(INDEX(Liste_Handelsünger[Handelsdünger],_xlfn.AGGREGATE(15,6,(ROW(Liste_Handelsünger[Handelsdünger])-1)/(--(SEARCH(AP$2,Liste_Handelsünger[Handelsdünger])&gt;0)),ROW()-2),1),"")</f>
        <v>Sulfogüll® plus</v>
      </c>
      <c r="AP308" t="str">
        <f>IF(($A311=""),"",IF(COUNTIF(Mineral!$AJ$3:$AJ$324,$A311),"",$A311))</f>
        <v/>
      </c>
      <c r="AQ308" t="str">
        <f>IFERROR(INDEX(Liste_Handelsünger[Handelsdünger],_xlfn.AGGREGATE(15,6,(ROW(Liste_Handelsünger[Handelsdünger])-1)/(--(SEARCH(AR$2,Liste_Handelsünger[Handelsdünger])&gt;0)),ROW()-2),1),"")</f>
        <v>Sulfogüll® plus</v>
      </c>
      <c r="AR308" t="str">
        <f>IF(($A312=""),"",IF(COUNTIF(Mineral!$AJ$3:$AJ$324,$A312),"",$A312))</f>
        <v/>
      </c>
      <c r="AS308" t="str">
        <f>IFERROR(INDEX(Liste_Handelsünger[Handelsdünger],_xlfn.AGGREGATE(15,6,(ROW(Liste_Handelsünger[Handelsdünger])-1)/(--(SEARCH(AT$2,Liste_Handelsünger[Handelsdünger])&gt;0)),ROW()-2),1),"")</f>
        <v>Sulfogüll® plus</v>
      </c>
      <c r="AT308" t="str">
        <f>IF(($A313=""),"",IF(COUNTIF(Mineral!$AJ$3:$AJ$324,$A313),"",$A313))</f>
        <v/>
      </c>
      <c r="AU308" t="str">
        <f>IFERROR(INDEX(Liste_Handelsünger[Handelsdünger],_xlfn.AGGREGATE(15,6,(ROW(Liste_Handelsünger[Handelsdünger])-1)/(--(SEARCH(AV$2,Liste_Handelsünger[Handelsdünger])&gt;0)),ROW()-2),1),"")</f>
        <v>Sulfogüll® plus</v>
      </c>
      <c r="AV308" t="str">
        <f>IF(($A314=""),"",IF(COUNTIF(Mineral!$AJ$3:$AJ$324,$A314),"",$A314))</f>
        <v/>
      </c>
      <c r="AW308" t="str">
        <f>IFERROR(INDEX(Liste_Handelsünger[Handelsdünger],_xlfn.AGGREGATE(15,6,(ROW(Liste_Handelsünger[Handelsdünger])-1)/(--(SEARCH(AX$2,Liste_Handelsünger[Handelsdünger])&gt;0)),ROW()-2),1),"")</f>
        <v>Sulfogüll® plus</v>
      </c>
      <c r="AX308" t="str">
        <f>IF(($A315=""),"",IF(COUNTIF(Mineral!$AJ$3:$AJ$324,$A315),"",$A315))</f>
        <v/>
      </c>
      <c r="AY308" t="str">
        <f>IFERROR(INDEX(Liste_Handelsünger[Handelsdünger],_xlfn.AGGREGATE(15,6,(ROW(Liste_Handelsünger[Handelsdünger])-1)/(--(SEARCH(AZ$2,Liste_Handelsünger[Handelsdünger])&gt;0)),ROW()-2),1),"")</f>
        <v>Sulfogüll® plus</v>
      </c>
      <c r="AZ308" t="str">
        <f>IF(($A316=""),"",IF(COUNTIF(Mineral!$AJ$3:$AJ$324,$A316),"",$A316))</f>
        <v/>
      </c>
      <c r="BA308" t="str">
        <f>IFERROR(INDEX(Liste_Handelsünger[Handelsdünger],_xlfn.AGGREGATE(15,6,(ROW(Liste_Handelsünger[Handelsdünger])-1)/(--(SEARCH(BB$2,Liste_Handelsünger[Handelsdünger])&gt;0)),ROW()-2),1),"")</f>
        <v>Sulfogüll® plus</v>
      </c>
      <c r="BB308" t="str">
        <f>IF(($A317=""),"",IF(COUNTIF(Mineral!$AJ$3:$AJ$324,$A317),"",$A317))</f>
        <v/>
      </c>
      <c r="BC308" t="str">
        <f>IFERROR(INDEX(Liste_Handelsünger[Handelsdünger],_xlfn.AGGREGATE(15,6,(ROW(Liste_Handelsünger[Handelsdünger])-1)/(--(SEARCH(BD$2,Liste_Handelsünger[Handelsdünger])&gt;0)),ROW()-2),1),"")</f>
        <v>Sulfogüll® plus</v>
      </c>
      <c r="BD308" t="str">
        <f>IF(($A318=""),"",IF(COUNTIF(Mineral!$AJ$3:$AJ$324,$A318),"",$A318))</f>
        <v/>
      </c>
      <c r="BE308" t="str">
        <f>IFERROR(INDEX(Liste_Handelsünger[Handelsdünger],_xlfn.AGGREGATE(15,6,(ROW(Liste_Handelsünger[Handelsdünger])-1)/(--(SEARCH(BF$2,Liste_Handelsünger[Handelsdünger])&gt;0)),ROW()-2),1),"")</f>
        <v>Sulfogüll® plus</v>
      </c>
      <c r="BF308" t="str">
        <f>IF(($A319=""),"",IF(COUNTIF(Mineral!$AJ$3:$AJ$324,$A319),"",$A319))</f>
        <v/>
      </c>
      <c r="BG308" t="str">
        <f>IFERROR(INDEX(Liste_Handelsünger[Handelsdünger],_xlfn.AGGREGATE(15,6,(ROW(Liste_Handelsünger[Handelsdünger])-1)/(--(SEARCH(BH$2,Liste_Handelsünger[Handelsdünger])&gt;0)),ROW()-2),1),"")</f>
        <v>Sulfogüll® plus</v>
      </c>
      <c r="BH308" t="str">
        <f>IF(($A320=""),"",IF(COUNTIF(Mineral!$AJ$3:$AJ$324,$A320),"",$A320))</f>
        <v/>
      </c>
      <c r="BI308" t="str">
        <f>IFERROR(INDEX(Liste_Handelsünger[Handelsdünger],_xlfn.AGGREGATE(15,6,(ROW(Liste_Handelsünger[Handelsdünger])-1)/(--(SEARCH(BJ$2,Liste_Handelsünger[Handelsdünger])&gt;0)),ROW()-2),1),"")</f>
        <v>Sulfogüll® plus</v>
      </c>
      <c r="BJ308" t="str">
        <f>IF(($A321=""),"",IF(COUNTIF(Mineral!$AJ$3:$AJ$324,$A321),"",$A321))</f>
        <v/>
      </c>
      <c r="BK308" t="str">
        <f>IFERROR(INDEX(Liste_Handelsünger[Handelsdünger],_xlfn.AGGREGATE(15,6,(ROW(Liste_Handelsünger[Handelsdünger])-1)/(--(SEARCH(BL$2,Liste_Handelsünger[Handelsdünger])&gt;0)),ROW()-2),1),"")</f>
        <v>Sulfogüll® plus</v>
      </c>
      <c r="BM308" t="str">
        <f>IFERROR(INDEX(Liste_Handelsünger[Handelsdünger],_xlfn.AGGREGATE(15,6,(ROW(Liste_Handelsünger[Handelsdünger])-1)/(--(SEARCH(BN$2,Liste_Handelsünger[Handelsdünger])&gt;0)),ROW()-2),1),"")</f>
        <v>Sulfogüll® plus</v>
      </c>
      <c r="BN308" t="str">
        <f>IF(($A323=""),"",IF(COUNTIF(Mineral!$AJ$3:$AJ$324,$A323),"",$A323))</f>
        <v/>
      </c>
      <c r="BV308" t="s">
        <v>2294</v>
      </c>
      <c r="BW308" t="s">
        <v>2307</v>
      </c>
      <c r="BZ308" s="1602"/>
      <c r="CA308" s="1602"/>
      <c r="CB308" s="1602"/>
    </row>
    <row r="309" spans="19:80" ht="14.25" thickTop="1" thickBot="1">
      <c r="S309" s="1616">
        <v>308</v>
      </c>
      <c r="T309" s="1617" t="s">
        <v>2006</v>
      </c>
      <c r="U309" s="1617" t="s">
        <v>2295</v>
      </c>
      <c r="V309" s="1617" t="s">
        <v>408</v>
      </c>
      <c r="W309" s="1617">
        <v>0</v>
      </c>
      <c r="X309" s="1617">
        <v>0</v>
      </c>
      <c r="Y309" s="1617">
        <v>0</v>
      </c>
      <c r="Z309" s="1617">
        <v>80</v>
      </c>
      <c r="AA309" s="1617">
        <v>0</v>
      </c>
      <c r="AB309" s="1617">
        <v>0</v>
      </c>
      <c r="AC309" s="1617">
        <v>1</v>
      </c>
      <c r="AD309" s="1613">
        <v>1</v>
      </c>
      <c r="AE309" s="1617" t="s">
        <v>1764</v>
      </c>
      <c r="AF309" s="1613" t="str">
        <f t="shared" si="21"/>
        <v/>
      </c>
      <c r="AG309" s="1656">
        <f>IFERROR(IF($AF309&gt;0,VLOOKUP($U309,Tabelle1!$C$188:$L$212,5,0)*$AF309,0),0)</f>
        <v>0</v>
      </c>
      <c r="AH309" s="1656">
        <f t="shared" si="22"/>
        <v>0</v>
      </c>
      <c r="AJ309" t="str">
        <f>IF(Betrieb!$D$9="JA",Mineral!$BW309,Mineral!$BV309)</f>
        <v>Sulfomax</v>
      </c>
      <c r="AK309" s="1672" t="str">
        <f>IFERROR(INDEX(Liste_Handelsünger[Handelsdünger],_xlfn.AGGREGATE(15,6,(ROW(Liste_Handelsünger[Handelsdünger])-1)/(--(SEARCH(AL$2,Liste_Handelsünger[Handelsdünger])&gt;0)),ROW()-2),1),"")</f>
        <v>Sulfomax</v>
      </c>
      <c r="AL309" s="1672" t="str">
        <f>IF(($A$3=""),"",IF(COUNTIF(Mineral!$AJ$3:$AJ$324,$A$3),"",$A$3))</f>
        <v/>
      </c>
      <c r="AM309" s="1672" t="str">
        <f>IFERROR(INDEX(Liste_Handelsünger[Handelsdünger],_xlfn.AGGREGATE(15,6,(ROW(Liste_Handelsünger[Handelsdünger])-1)/(--(SEARCH(AN$2,Liste_Handelsünger[Handelsdünger])&gt;0)),ROW()-2),1),"")</f>
        <v>Sulfomax</v>
      </c>
      <c r="AN309" t="str">
        <f>IF(($A311=""),"",IF(COUNTIF(Mineral!$AJ$3:$AJ$324,$A311),"",$A311))</f>
        <v/>
      </c>
      <c r="AO309" t="str">
        <f>IFERROR(INDEX(Liste_Handelsünger[Handelsdünger],_xlfn.AGGREGATE(15,6,(ROW(Liste_Handelsünger[Handelsdünger])-1)/(--(SEARCH(AP$2,Liste_Handelsünger[Handelsdünger])&gt;0)),ROW()-2),1),"")</f>
        <v>Sulfomax</v>
      </c>
      <c r="AP309" t="str">
        <f>IF(($A312=""),"",IF(COUNTIF(Mineral!$AJ$3:$AJ$324,$A312),"",$A312))</f>
        <v/>
      </c>
      <c r="AQ309" t="str">
        <f>IFERROR(INDEX(Liste_Handelsünger[Handelsdünger],_xlfn.AGGREGATE(15,6,(ROW(Liste_Handelsünger[Handelsdünger])-1)/(--(SEARCH(AR$2,Liste_Handelsünger[Handelsdünger])&gt;0)),ROW()-2),1),"")</f>
        <v>Sulfomax</v>
      </c>
      <c r="AR309" t="str">
        <f>IF(($A313=""),"",IF(COUNTIF(Mineral!$AJ$3:$AJ$324,$A313),"",$A313))</f>
        <v/>
      </c>
      <c r="AS309" t="str">
        <f>IFERROR(INDEX(Liste_Handelsünger[Handelsdünger],_xlfn.AGGREGATE(15,6,(ROW(Liste_Handelsünger[Handelsdünger])-1)/(--(SEARCH(AT$2,Liste_Handelsünger[Handelsdünger])&gt;0)),ROW()-2),1),"")</f>
        <v>Sulfomax</v>
      </c>
      <c r="AT309" t="str">
        <f>IF(($A314=""),"",IF(COUNTIF(Mineral!$AJ$3:$AJ$324,$A314),"",$A314))</f>
        <v/>
      </c>
      <c r="AU309" t="str">
        <f>IFERROR(INDEX(Liste_Handelsünger[Handelsdünger],_xlfn.AGGREGATE(15,6,(ROW(Liste_Handelsünger[Handelsdünger])-1)/(--(SEARCH(AV$2,Liste_Handelsünger[Handelsdünger])&gt;0)),ROW()-2),1),"")</f>
        <v>Sulfomax</v>
      </c>
      <c r="AV309" t="str">
        <f>IF(($A315=""),"",IF(COUNTIF(Mineral!$AJ$3:$AJ$324,$A315),"",$A315))</f>
        <v/>
      </c>
      <c r="AW309" t="str">
        <f>IFERROR(INDEX(Liste_Handelsünger[Handelsdünger],_xlfn.AGGREGATE(15,6,(ROW(Liste_Handelsünger[Handelsdünger])-1)/(--(SEARCH(AX$2,Liste_Handelsünger[Handelsdünger])&gt;0)),ROW()-2),1),"")</f>
        <v>Sulfomax</v>
      </c>
      <c r="AX309" t="str">
        <f>IF(($A316=""),"",IF(COUNTIF(Mineral!$AJ$3:$AJ$324,$A316),"",$A316))</f>
        <v/>
      </c>
      <c r="AY309" t="str">
        <f>IFERROR(INDEX(Liste_Handelsünger[Handelsdünger],_xlfn.AGGREGATE(15,6,(ROW(Liste_Handelsünger[Handelsdünger])-1)/(--(SEARCH(AZ$2,Liste_Handelsünger[Handelsdünger])&gt;0)),ROW()-2),1),"")</f>
        <v>Sulfomax</v>
      </c>
      <c r="AZ309" t="str">
        <f>IF(($A317=""),"",IF(COUNTIF(Mineral!$AJ$3:$AJ$324,$A317),"",$A317))</f>
        <v/>
      </c>
      <c r="BA309" t="str">
        <f>IFERROR(INDEX(Liste_Handelsünger[Handelsdünger],_xlfn.AGGREGATE(15,6,(ROW(Liste_Handelsünger[Handelsdünger])-1)/(--(SEARCH(BB$2,Liste_Handelsünger[Handelsdünger])&gt;0)),ROW()-2),1),"")</f>
        <v>Sulfomax</v>
      </c>
      <c r="BB309" t="str">
        <f>IF(($A318=""),"",IF(COUNTIF(Mineral!$AJ$3:$AJ$324,$A318),"",$A318))</f>
        <v/>
      </c>
      <c r="BC309" t="str">
        <f>IFERROR(INDEX(Liste_Handelsünger[Handelsdünger],_xlfn.AGGREGATE(15,6,(ROW(Liste_Handelsünger[Handelsdünger])-1)/(--(SEARCH(BD$2,Liste_Handelsünger[Handelsdünger])&gt;0)),ROW()-2),1),"")</f>
        <v>Sulfomax</v>
      </c>
      <c r="BD309" t="str">
        <f>IF(($A319=""),"",IF(COUNTIF(Mineral!$AJ$3:$AJ$324,$A319),"",$A319))</f>
        <v/>
      </c>
      <c r="BE309" t="str">
        <f>IFERROR(INDEX(Liste_Handelsünger[Handelsdünger],_xlfn.AGGREGATE(15,6,(ROW(Liste_Handelsünger[Handelsdünger])-1)/(--(SEARCH(BF$2,Liste_Handelsünger[Handelsdünger])&gt;0)),ROW()-2),1),"")</f>
        <v>Sulfomax</v>
      </c>
      <c r="BF309" t="str">
        <f>IF(($A320=""),"",IF(COUNTIF(Mineral!$AJ$3:$AJ$324,$A320),"",$A320))</f>
        <v/>
      </c>
      <c r="BG309" t="str">
        <f>IFERROR(INDEX(Liste_Handelsünger[Handelsdünger],_xlfn.AGGREGATE(15,6,(ROW(Liste_Handelsünger[Handelsdünger])-1)/(--(SEARCH(BH$2,Liste_Handelsünger[Handelsdünger])&gt;0)),ROW()-2),1),"")</f>
        <v>Sulfomax</v>
      </c>
      <c r="BH309" t="str">
        <f>IF(($A321=""),"",IF(COUNTIF(Mineral!$AJ$3:$AJ$324,$A321),"",$A321))</f>
        <v/>
      </c>
      <c r="BI309" t="str">
        <f>IFERROR(INDEX(Liste_Handelsünger[Handelsdünger],_xlfn.AGGREGATE(15,6,(ROW(Liste_Handelsünger[Handelsdünger])-1)/(--(SEARCH(BJ$2,Liste_Handelsünger[Handelsdünger])&gt;0)),ROW()-2),1),"")</f>
        <v>Sulfomax</v>
      </c>
      <c r="BJ309" t="str">
        <f>IF(($A322=""),"",IF(COUNTIF(Mineral!$AJ$3:$AJ$324,$A322),"",$A322))</f>
        <v/>
      </c>
      <c r="BK309" t="str">
        <f>IFERROR(INDEX(Liste_Handelsünger[Handelsdünger],_xlfn.AGGREGATE(15,6,(ROW(Liste_Handelsünger[Handelsdünger])-1)/(--(SEARCH(BL$2,Liste_Handelsünger[Handelsdünger])&gt;0)),ROW()-2),1),"")</f>
        <v>Sulfomax</v>
      </c>
      <c r="BM309" t="str">
        <f>IFERROR(INDEX(Liste_Handelsünger[Handelsdünger],_xlfn.AGGREGATE(15,6,(ROW(Liste_Handelsünger[Handelsdünger])-1)/(--(SEARCH(BN$2,Liste_Handelsünger[Handelsdünger])&gt;0)),ROW()-2),1),"")</f>
        <v>Sulfomax</v>
      </c>
      <c r="BN309" t="str">
        <f>IF(($A324=""),"",IF(COUNTIF(Mineral!$AJ$3:$AJ$324,$A324),"",$A324))</f>
        <v/>
      </c>
      <c r="BV309" t="s">
        <v>2295</v>
      </c>
      <c r="BW309" t="s">
        <v>2309</v>
      </c>
      <c r="BZ309" s="1602"/>
      <c r="CA309" s="1602"/>
      <c r="CB309" s="1602"/>
    </row>
    <row r="310" spans="19:80" ht="14.25" thickTop="1" thickBot="1">
      <c r="S310" s="1676">
        <v>309</v>
      </c>
      <c r="T310" s="1606" t="s">
        <v>2006</v>
      </c>
      <c r="U310" s="1606" t="s">
        <v>2297</v>
      </c>
      <c r="V310" s="1606" t="s">
        <v>408</v>
      </c>
      <c r="W310" s="1606">
        <v>0</v>
      </c>
      <c r="X310" s="1606">
        <v>0</v>
      </c>
      <c r="Y310" s="1606">
        <v>0</v>
      </c>
      <c r="Z310" s="1606">
        <v>0</v>
      </c>
      <c r="AA310" s="1606">
        <v>0</v>
      </c>
      <c r="AB310" s="1606">
        <v>0</v>
      </c>
      <c r="AC310" s="1606">
        <v>1</v>
      </c>
      <c r="AD310" s="1613">
        <v>1</v>
      </c>
      <c r="AE310" s="1606" t="s">
        <v>1764</v>
      </c>
      <c r="AF310" s="1613" t="str">
        <f t="shared" si="21"/>
        <v/>
      </c>
      <c r="AG310" s="1656">
        <f>IFERROR(IF($AF310&gt;0,VLOOKUP($U310,Tabelle1!$C$188:$L$212,5,0)*$AF310,0),0)</f>
        <v>0</v>
      </c>
      <c r="AH310" s="1656">
        <f t="shared" si="22"/>
        <v>0</v>
      </c>
      <c r="AJ310" t="str">
        <f>IF(Betrieb!$D$9="JA",Mineral!$BW310,Mineral!$BV310)</f>
        <v>Terrafert Blatt</v>
      </c>
      <c r="AK310" s="1672" t="str">
        <f>IFERROR(INDEX(Liste_Handelsünger[Handelsdünger],_xlfn.AGGREGATE(15,6,(ROW(Liste_Handelsünger[Handelsdünger])-1)/(--(SEARCH(AL$2,Liste_Handelsünger[Handelsdünger])&gt;0)),ROW()-2),1),"")</f>
        <v>Terrafert Blatt</v>
      </c>
      <c r="AL310" s="1672" t="str">
        <f>IF(($A$3=""),"",IF(COUNTIF(Mineral!$AJ$3:$AJ$324,$A$3),"",$A$3))</f>
        <v/>
      </c>
      <c r="AM310" s="1672" t="str">
        <f>IFERROR(INDEX(Liste_Handelsünger[Handelsdünger],_xlfn.AGGREGATE(15,6,(ROW(Liste_Handelsünger[Handelsdünger])-1)/(--(SEARCH(AN$2,Liste_Handelsünger[Handelsdünger])&gt;0)),ROW()-2),1),"")</f>
        <v>Terrafert Blatt</v>
      </c>
      <c r="AN310" t="str">
        <f>IF(($A312=""),"",IF(COUNTIF(Mineral!$AJ$3:$AJ$324,$A312),"",$A312))</f>
        <v/>
      </c>
      <c r="AO310" t="str">
        <f>IFERROR(INDEX(Liste_Handelsünger[Handelsdünger],_xlfn.AGGREGATE(15,6,(ROW(Liste_Handelsünger[Handelsdünger])-1)/(--(SEARCH(AP$2,Liste_Handelsünger[Handelsdünger])&gt;0)),ROW()-2),1),"")</f>
        <v>Terrafert Blatt</v>
      </c>
      <c r="AP310" t="str">
        <f>IF(($A313=""),"",IF(COUNTIF(Mineral!$AJ$3:$AJ$324,$A313),"",$A313))</f>
        <v/>
      </c>
      <c r="AQ310" t="str">
        <f>IFERROR(INDEX(Liste_Handelsünger[Handelsdünger],_xlfn.AGGREGATE(15,6,(ROW(Liste_Handelsünger[Handelsdünger])-1)/(--(SEARCH(AR$2,Liste_Handelsünger[Handelsdünger])&gt;0)),ROW()-2),1),"")</f>
        <v>Terrafert Blatt</v>
      </c>
      <c r="AR310" t="str">
        <f>IF(($A314=""),"",IF(COUNTIF(Mineral!$AJ$3:$AJ$324,$A314),"",$A314))</f>
        <v/>
      </c>
      <c r="AS310" t="str">
        <f>IFERROR(INDEX(Liste_Handelsünger[Handelsdünger],_xlfn.AGGREGATE(15,6,(ROW(Liste_Handelsünger[Handelsdünger])-1)/(--(SEARCH(AT$2,Liste_Handelsünger[Handelsdünger])&gt;0)),ROW()-2),1),"")</f>
        <v>Terrafert Blatt</v>
      </c>
      <c r="AT310" t="str">
        <f>IF(($A315=""),"",IF(COUNTIF(Mineral!$AJ$3:$AJ$324,$A315),"",$A315))</f>
        <v/>
      </c>
      <c r="AU310" t="str">
        <f>IFERROR(INDEX(Liste_Handelsünger[Handelsdünger],_xlfn.AGGREGATE(15,6,(ROW(Liste_Handelsünger[Handelsdünger])-1)/(--(SEARCH(AV$2,Liste_Handelsünger[Handelsdünger])&gt;0)),ROW()-2),1),"")</f>
        <v>Terrafert Blatt</v>
      </c>
      <c r="AV310" t="str">
        <f>IF(($A316=""),"",IF(COUNTIF(Mineral!$AJ$3:$AJ$324,$A316),"",$A316))</f>
        <v/>
      </c>
      <c r="AW310" t="str">
        <f>IFERROR(INDEX(Liste_Handelsünger[Handelsdünger],_xlfn.AGGREGATE(15,6,(ROW(Liste_Handelsünger[Handelsdünger])-1)/(--(SEARCH(AX$2,Liste_Handelsünger[Handelsdünger])&gt;0)),ROW()-2),1),"")</f>
        <v>Terrafert Blatt</v>
      </c>
      <c r="AX310" t="str">
        <f>IF(($A317=""),"",IF(COUNTIF(Mineral!$AJ$3:$AJ$324,$A317),"",$A317))</f>
        <v/>
      </c>
      <c r="AY310" t="str">
        <f>IFERROR(INDEX(Liste_Handelsünger[Handelsdünger],_xlfn.AGGREGATE(15,6,(ROW(Liste_Handelsünger[Handelsdünger])-1)/(--(SEARCH(AZ$2,Liste_Handelsünger[Handelsdünger])&gt;0)),ROW()-2),1),"")</f>
        <v>Terrafert Blatt</v>
      </c>
      <c r="AZ310" t="str">
        <f>IF(($A318=""),"",IF(COUNTIF(Mineral!$AJ$3:$AJ$324,$A318),"",$A318))</f>
        <v/>
      </c>
      <c r="BA310" t="str">
        <f>IFERROR(INDEX(Liste_Handelsünger[Handelsdünger],_xlfn.AGGREGATE(15,6,(ROW(Liste_Handelsünger[Handelsdünger])-1)/(--(SEARCH(BB$2,Liste_Handelsünger[Handelsdünger])&gt;0)),ROW()-2),1),"")</f>
        <v>Terrafert Blatt</v>
      </c>
      <c r="BB310" t="str">
        <f>IF(($A319=""),"",IF(COUNTIF(Mineral!$AJ$3:$AJ$324,$A319),"",$A319))</f>
        <v/>
      </c>
      <c r="BC310" t="str">
        <f>IFERROR(INDEX(Liste_Handelsünger[Handelsdünger],_xlfn.AGGREGATE(15,6,(ROW(Liste_Handelsünger[Handelsdünger])-1)/(--(SEARCH(BD$2,Liste_Handelsünger[Handelsdünger])&gt;0)),ROW()-2),1),"")</f>
        <v>Terrafert Blatt</v>
      </c>
      <c r="BD310" t="str">
        <f>IF(($A320=""),"",IF(COUNTIF(Mineral!$AJ$3:$AJ$324,$A320),"",$A320))</f>
        <v/>
      </c>
      <c r="BE310" t="str">
        <f>IFERROR(INDEX(Liste_Handelsünger[Handelsdünger],_xlfn.AGGREGATE(15,6,(ROW(Liste_Handelsünger[Handelsdünger])-1)/(--(SEARCH(BF$2,Liste_Handelsünger[Handelsdünger])&gt;0)),ROW()-2),1),"")</f>
        <v>Terrafert Blatt</v>
      </c>
      <c r="BF310" t="str">
        <f>IF(($A321=""),"",IF(COUNTIF(Mineral!$AJ$3:$AJ$324,$A321),"",$A321))</f>
        <v/>
      </c>
      <c r="BG310" t="str">
        <f>IFERROR(INDEX(Liste_Handelsünger[Handelsdünger],_xlfn.AGGREGATE(15,6,(ROW(Liste_Handelsünger[Handelsdünger])-1)/(--(SEARCH(BH$2,Liste_Handelsünger[Handelsdünger])&gt;0)),ROW()-2),1),"")</f>
        <v>Terrafert Blatt</v>
      </c>
      <c r="BH310" t="str">
        <f>IF(($A322=""),"",IF(COUNTIF(Mineral!$AJ$3:$AJ$324,$A322),"",$A322))</f>
        <v/>
      </c>
      <c r="BI310" t="str">
        <f>IFERROR(INDEX(Liste_Handelsünger[Handelsdünger],_xlfn.AGGREGATE(15,6,(ROW(Liste_Handelsünger[Handelsdünger])-1)/(--(SEARCH(BJ$2,Liste_Handelsünger[Handelsdünger])&gt;0)),ROW()-2),1),"")</f>
        <v>Terrafert Blatt</v>
      </c>
      <c r="BJ310" t="str">
        <f>IF(($A323=""),"",IF(COUNTIF(Mineral!$AJ$3:$AJ$324,$A323),"",$A323))</f>
        <v/>
      </c>
      <c r="BK310" t="str">
        <f>IFERROR(INDEX(Liste_Handelsünger[Handelsdünger],_xlfn.AGGREGATE(15,6,(ROW(Liste_Handelsünger[Handelsdünger])-1)/(--(SEARCH(BL$2,Liste_Handelsünger[Handelsdünger])&gt;0)),ROW()-2),1),"")</f>
        <v>Terrafert Blatt</v>
      </c>
      <c r="BM310" t="str">
        <f>IFERROR(INDEX(Liste_Handelsünger[Handelsdünger],_xlfn.AGGREGATE(15,6,(ROW(Liste_Handelsünger[Handelsdünger])-1)/(--(SEARCH(BN$2,Liste_Handelsünger[Handelsdünger])&gt;0)),ROW()-2),1),"")</f>
        <v>Terrafert Blatt</v>
      </c>
      <c r="BN310" t="str">
        <f>IF(($A325=""),"",IF(COUNTIF(Mineral!$AJ$3:$AJ$324,$A325),"",$A325))</f>
        <v/>
      </c>
      <c r="BV310" t="s">
        <v>2297</v>
      </c>
      <c r="BW310" t="s">
        <v>2310</v>
      </c>
      <c r="BZ310" s="1602"/>
      <c r="CA310" s="1602"/>
      <c r="CB310" s="1602"/>
    </row>
    <row r="311" spans="19:80" ht="14.25" thickTop="1" thickBot="1">
      <c r="S311" s="1616">
        <v>310</v>
      </c>
      <c r="T311" s="1617" t="s">
        <v>2006</v>
      </c>
      <c r="U311" s="1617" t="s">
        <v>2298</v>
      </c>
      <c r="V311" s="1617" t="s">
        <v>408</v>
      </c>
      <c r="W311" s="1617">
        <v>0</v>
      </c>
      <c r="X311" s="1617">
        <v>0</v>
      </c>
      <c r="Y311" s="1617">
        <v>0</v>
      </c>
      <c r="Z311" s="1617">
        <v>0</v>
      </c>
      <c r="AA311" s="1617">
        <v>0</v>
      </c>
      <c r="AB311" s="1617">
        <v>0</v>
      </c>
      <c r="AC311" s="1617">
        <v>1</v>
      </c>
      <c r="AD311" s="1613">
        <v>1</v>
      </c>
      <c r="AE311" s="1617" t="s">
        <v>1764</v>
      </c>
      <c r="AF311" s="1613" t="str">
        <f t="shared" si="21"/>
        <v/>
      </c>
      <c r="AG311" s="1656">
        <f>IFERROR(IF($AF311&gt;0,VLOOKUP($U311,Tabelle1!$C$188:$L$212,5,0)*$AF311,0),0)</f>
        <v>0</v>
      </c>
      <c r="AH311" s="1656">
        <f t="shared" si="22"/>
        <v>0</v>
      </c>
      <c r="AJ311" t="str">
        <f>IF(Betrieb!$D$9="JA",Mineral!$BW311,Mineral!$BV311)</f>
        <v>Terrafert Boden</v>
      </c>
      <c r="AK311" s="1672" t="str">
        <f>IFERROR(INDEX(Liste_Handelsünger[Handelsdünger],_xlfn.AGGREGATE(15,6,(ROW(Liste_Handelsünger[Handelsdünger])-1)/(--(SEARCH(AL$2,Liste_Handelsünger[Handelsdünger])&gt;0)),ROW()-2),1),"")</f>
        <v>Terrafert Boden</v>
      </c>
      <c r="AL311" s="1672" t="str">
        <f>IF(($A$3=""),"",IF(COUNTIF(Mineral!$AJ$3:$AJ$324,$A$3),"",$A$3))</f>
        <v/>
      </c>
      <c r="AM311" s="1672" t="str">
        <f>IFERROR(INDEX(Liste_Handelsünger[Handelsdünger],_xlfn.AGGREGATE(15,6,(ROW(Liste_Handelsünger[Handelsdünger])-1)/(--(SEARCH(AN$2,Liste_Handelsünger[Handelsdünger])&gt;0)),ROW()-2),1),"")</f>
        <v>Terrafert Boden</v>
      </c>
      <c r="AN311" t="str">
        <f>IF(($A313=""),"",IF(COUNTIF(Mineral!$AJ$3:$AJ$324,$A313),"",$A313))</f>
        <v/>
      </c>
      <c r="AO311" t="str">
        <f>IFERROR(INDEX(Liste_Handelsünger[Handelsdünger],_xlfn.AGGREGATE(15,6,(ROW(Liste_Handelsünger[Handelsdünger])-1)/(--(SEARCH(AP$2,Liste_Handelsünger[Handelsdünger])&gt;0)),ROW()-2),1),"")</f>
        <v>Terrafert Boden</v>
      </c>
      <c r="AP311" t="str">
        <f>IF(($A314=""),"",IF(COUNTIF(Mineral!$AJ$3:$AJ$324,$A314),"",$A314))</f>
        <v/>
      </c>
      <c r="AQ311" t="str">
        <f>IFERROR(INDEX(Liste_Handelsünger[Handelsdünger],_xlfn.AGGREGATE(15,6,(ROW(Liste_Handelsünger[Handelsdünger])-1)/(--(SEARCH(AR$2,Liste_Handelsünger[Handelsdünger])&gt;0)),ROW()-2),1),"")</f>
        <v>Terrafert Boden</v>
      </c>
      <c r="AR311" t="str">
        <f>IF(($A315=""),"",IF(COUNTIF(Mineral!$AJ$3:$AJ$324,$A315),"",$A315))</f>
        <v/>
      </c>
      <c r="AS311" t="str">
        <f>IFERROR(INDEX(Liste_Handelsünger[Handelsdünger],_xlfn.AGGREGATE(15,6,(ROW(Liste_Handelsünger[Handelsdünger])-1)/(--(SEARCH(AT$2,Liste_Handelsünger[Handelsdünger])&gt;0)),ROW()-2),1),"")</f>
        <v>Terrafert Boden</v>
      </c>
      <c r="AT311" t="str">
        <f>IF(($A316=""),"",IF(COUNTIF(Mineral!$AJ$3:$AJ$324,$A316),"",$A316))</f>
        <v/>
      </c>
      <c r="AU311" t="str">
        <f>IFERROR(INDEX(Liste_Handelsünger[Handelsdünger],_xlfn.AGGREGATE(15,6,(ROW(Liste_Handelsünger[Handelsdünger])-1)/(--(SEARCH(AV$2,Liste_Handelsünger[Handelsdünger])&gt;0)),ROW()-2),1),"")</f>
        <v>Terrafert Boden</v>
      </c>
      <c r="AV311" t="str">
        <f>IF(($A317=""),"",IF(COUNTIF(Mineral!$AJ$3:$AJ$324,$A317),"",$A317))</f>
        <v/>
      </c>
      <c r="AW311" t="str">
        <f>IFERROR(INDEX(Liste_Handelsünger[Handelsdünger],_xlfn.AGGREGATE(15,6,(ROW(Liste_Handelsünger[Handelsdünger])-1)/(--(SEARCH(AX$2,Liste_Handelsünger[Handelsdünger])&gt;0)),ROW()-2),1),"")</f>
        <v>Terrafert Boden</v>
      </c>
      <c r="AX311" t="str">
        <f>IF(($A318=""),"",IF(COUNTIF(Mineral!$AJ$3:$AJ$324,$A318),"",$A318))</f>
        <v/>
      </c>
      <c r="AY311" t="str">
        <f>IFERROR(INDEX(Liste_Handelsünger[Handelsdünger],_xlfn.AGGREGATE(15,6,(ROW(Liste_Handelsünger[Handelsdünger])-1)/(--(SEARCH(AZ$2,Liste_Handelsünger[Handelsdünger])&gt;0)),ROW()-2),1),"")</f>
        <v>Terrafert Boden</v>
      </c>
      <c r="AZ311" t="str">
        <f>IF(($A319=""),"",IF(COUNTIF(Mineral!$AJ$3:$AJ$324,$A319),"",$A319))</f>
        <v/>
      </c>
      <c r="BA311" t="str">
        <f>IFERROR(INDEX(Liste_Handelsünger[Handelsdünger],_xlfn.AGGREGATE(15,6,(ROW(Liste_Handelsünger[Handelsdünger])-1)/(--(SEARCH(BB$2,Liste_Handelsünger[Handelsdünger])&gt;0)),ROW()-2),1),"")</f>
        <v>Terrafert Boden</v>
      </c>
      <c r="BB311" t="str">
        <f>IF(($A320=""),"",IF(COUNTIF(Mineral!$AJ$3:$AJ$324,$A320),"",$A320))</f>
        <v/>
      </c>
      <c r="BC311" t="str">
        <f>IFERROR(INDEX(Liste_Handelsünger[Handelsdünger],_xlfn.AGGREGATE(15,6,(ROW(Liste_Handelsünger[Handelsdünger])-1)/(--(SEARCH(BD$2,Liste_Handelsünger[Handelsdünger])&gt;0)),ROW()-2),1),"")</f>
        <v>Terrafert Boden</v>
      </c>
      <c r="BD311" t="str">
        <f>IF(($A321=""),"",IF(COUNTIF(Mineral!$AJ$3:$AJ$324,$A321),"",$A321))</f>
        <v/>
      </c>
      <c r="BE311" t="str">
        <f>IFERROR(INDEX(Liste_Handelsünger[Handelsdünger],_xlfn.AGGREGATE(15,6,(ROW(Liste_Handelsünger[Handelsdünger])-1)/(--(SEARCH(BF$2,Liste_Handelsünger[Handelsdünger])&gt;0)),ROW()-2),1),"")</f>
        <v>Terrafert Boden</v>
      </c>
      <c r="BF311" t="str">
        <f>IF(($A322=""),"",IF(COUNTIF(Mineral!$AJ$3:$AJ$324,$A322),"",$A322))</f>
        <v/>
      </c>
      <c r="BG311" t="str">
        <f>IFERROR(INDEX(Liste_Handelsünger[Handelsdünger],_xlfn.AGGREGATE(15,6,(ROW(Liste_Handelsünger[Handelsdünger])-1)/(--(SEARCH(BH$2,Liste_Handelsünger[Handelsdünger])&gt;0)),ROW()-2),1),"")</f>
        <v>Terrafert Boden</v>
      </c>
      <c r="BH311" t="str">
        <f>IF(($A323=""),"",IF(COUNTIF(Mineral!$AJ$3:$AJ$324,$A323),"",$A323))</f>
        <v/>
      </c>
      <c r="BI311" t="str">
        <f>IFERROR(INDEX(Liste_Handelsünger[Handelsdünger],_xlfn.AGGREGATE(15,6,(ROW(Liste_Handelsünger[Handelsdünger])-1)/(--(SEARCH(BJ$2,Liste_Handelsünger[Handelsdünger])&gt;0)),ROW()-2),1),"")</f>
        <v>Terrafert Boden</v>
      </c>
      <c r="BJ311" t="str">
        <f>IF(($A324=""),"",IF(COUNTIF(Mineral!$AJ$3:$AJ$324,$A324),"",$A324))</f>
        <v/>
      </c>
      <c r="BK311" t="str">
        <f>IFERROR(INDEX(Liste_Handelsünger[Handelsdünger],_xlfn.AGGREGATE(15,6,(ROW(Liste_Handelsünger[Handelsdünger])-1)/(--(SEARCH(BL$2,Liste_Handelsünger[Handelsdünger])&gt;0)),ROW()-2),1),"")</f>
        <v>Terrafert Boden</v>
      </c>
      <c r="BM311" t="str">
        <f>IFERROR(INDEX(Liste_Handelsünger[Handelsdünger],_xlfn.AGGREGATE(15,6,(ROW(Liste_Handelsünger[Handelsdünger])-1)/(--(SEARCH(BN$2,Liste_Handelsünger[Handelsdünger])&gt;0)),ROW()-2),1),"")</f>
        <v>Terrafert Boden</v>
      </c>
      <c r="BN311" t="str">
        <f>IF(($A326=""),"",IF(COUNTIF(Mineral!$AJ$3:$AJ$324,$A326),"",$A326))</f>
        <v/>
      </c>
      <c r="BV311" t="s">
        <v>2298</v>
      </c>
      <c r="BW311" t="s">
        <v>2314</v>
      </c>
      <c r="BZ311" s="1602"/>
      <c r="CA311" s="1602"/>
      <c r="CB311" s="1602"/>
    </row>
    <row r="312" spans="19:80" ht="14.25" thickTop="1" thickBot="1">
      <c r="S312" s="1676">
        <v>311</v>
      </c>
      <c r="T312" s="1606" t="s">
        <v>2006</v>
      </c>
      <c r="U312" s="1606" t="s">
        <v>2303</v>
      </c>
      <c r="V312" s="1606" t="s">
        <v>408</v>
      </c>
      <c r="W312" s="1606">
        <v>0</v>
      </c>
      <c r="X312" s="1606">
        <v>26</v>
      </c>
      <c r="Y312" s="1606">
        <v>0</v>
      </c>
      <c r="Z312" s="1606">
        <v>0</v>
      </c>
      <c r="AA312" s="1606">
        <v>0</v>
      </c>
      <c r="AB312" s="1606">
        <v>0</v>
      </c>
      <c r="AC312" s="1606">
        <v>1</v>
      </c>
      <c r="AD312" s="1613">
        <v>1</v>
      </c>
      <c r="AE312" s="1606" t="s">
        <v>1764</v>
      </c>
      <c r="AF312" s="1613" t="str">
        <f t="shared" si="21"/>
        <v/>
      </c>
      <c r="AG312" s="1656">
        <f>IFERROR(IF($AF312&gt;0,VLOOKUP($U312,Tabelle1!$C$188:$L$212,5,0)*$AF312,0),0)</f>
        <v>0</v>
      </c>
      <c r="AH312" s="1656">
        <f t="shared" si="22"/>
        <v>0</v>
      </c>
      <c r="AJ312" t="str">
        <f>IF(Betrieb!$D$9="JA",Mineral!$BW312,Mineral!$BV312)</f>
        <v>Timac Agro Hyperkorn 26%</v>
      </c>
      <c r="AK312" s="1672" t="str">
        <f>IFERROR(INDEX(Liste_Handelsünger[Handelsdünger],_xlfn.AGGREGATE(15,6,(ROW(Liste_Handelsünger[Handelsdünger])-1)/(--(SEARCH(AL$2,Liste_Handelsünger[Handelsdünger])&gt;0)),ROW()-2),1),"")</f>
        <v>Timac Agro Hyperkorn 26%</v>
      </c>
      <c r="AL312" s="1672" t="str">
        <f>IF(($A$3=""),"",IF(COUNTIF(Mineral!$AJ$3:$AJ$324,$A$3),"",$A$3))</f>
        <v/>
      </c>
      <c r="AM312" s="1672" t="str">
        <f>IFERROR(INDEX(Liste_Handelsünger[Handelsdünger],_xlfn.AGGREGATE(15,6,(ROW(Liste_Handelsünger[Handelsdünger])-1)/(--(SEARCH(AN$2,Liste_Handelsünger[Handelsdünger])&gt;0)),ROW()-2),1),"")</f>
        <v>Timac Agro Hyperkorn 26%</v>
      </c>
      <c r="AN312" t="str">
        <f>IF(($A314=""),"",IF(COUNTIF(Mineral!$AJ$3:$AJ$324,$A314),"",$A314))</f>
        <v/>
      </c>
      <c r="AO312" t="str">
        <f>IFERROR(INDEX(Liste_Handelsünger[Handelsdünger],_xlfn.AGGREGATE(15,6,(ROW(Liste_Handelsünger[Handelsdünger])-1)/(--(SEARCH(AP$2,Liste_Handelsünger[Handelsdünger])&gt;0)),ROW()-2),1),"")</f>
        <v>Timac Agro Hyperkorn 26%</v>
      </c>
      <c r="AP312" t="str">
        <f>IF(($A315=""),"",IF(COUNTIF(Mineral!$AJ$3:$AJ$324,$A315),"",$A315))</f>
        <v/>
      </c>
      <c r="AQ312" t="str">
        <f>IFERROR(INDEX(Liste_Handelsünger[Handelsdünger],_xlfn.AGGREGATE(15,6,(ROW(Liste_Handelsünger[Handelsdünger])-1)/(--(SEARCH(AR$2,Liste_Handelsünger[Handelsdünger])&gt;0)),ROW()-2),1),"")</f>
        <v>Timac Agro Hyperkorn 26%</v>
      </c>
      <c r="AR312" t="str">
        <f>IF(($A316=""),"",IF(COUNTIF(Mineral!$AJ$3:$AJ$324,$A316),"",$A316))</f>
        <v/>
      </c>
      <c r="AS312" t="str">
        <f>IFERROR(INDEX(Liste_Handelsünger[Handelsdünger],_xlfn.AGGREGATE(15,6,(ROW(Liste_Handelsünger[Handelsdünger])-1)/(--(SEARCH(AT$2,Liste_Handelsünger[Handelsdünger])&gt;0)),ROW()-2),1),"")</f>
        <v>Timac Agro Hyperkorn 26%</v>
      </c>
      <c r="AT312" t="str">
        <f>IF(($A317=""),"",IF(COUNTIF(Mineral!$AJ$3:$AJ$324,$A317),"",$A317))</f>
        <v/>
      </c>
      <c r="AU312" t="str">
        <f>IFERROR(INDEX(Liste_Handelsünger[Handelsdünger],_xlfn.AGGREGATE(15,6,(ROW(Liste_Handelsünger[Handelsdünger])-1)/(--(SEARCH(AV$2,Liste_Handelsünger[Handelsdünger])&gt;0)),ROW()-2),1),"")</f>
        <v>Timac Agro Hyperkorn 26%</v>
      </c>
      <c r="AV312" t="str">
        <f>IF(($A318=""),"",IF(COUNTIF(Mineral!$AJ$3:$AJ$324,$A318),"",$A318))</f>
        <v/>
      </c>
      <c r="AW312" t="str">
        <f>IFERROR(INDEX(Liste_Handelsünger[Handelsdünger],_xlfn.AGGREGATE(15,6,(ROW(Liste_Handelsünger[Handelsdünger])-1)/(--(SEARCH(AX$2,Liste_Handelsünger[Handelsdünger])&gt;0)),ROW()-2),1),"")</f>
        <v>Timac Agro Hyperkorn 26%</v>
      </c>
      <c r="AX312" t="str">
        <f>IF(($A319=""),"",IF(COUNTIF(Mineral!$AJ$3:$AJ$324,$A319),"",$A319))</f>
        <v/>
      </c>
      <c r="AY312" t="str">
        <f>IFERROR(INDEX(Liste_Handelsünger[Handelsdünger],_xlfn.AGGREGATE(15,6,(ROW(Liste_Handelsünger[Handelsdünger])-1)/(--(SEARCH(AZ$2,Liste_Handelsünger[Handelsdünger])&gt;0)),ROW()-2),1),"")</f>
        <v>Timac Agro Hyperkorn 26%</v>
      </c>
      <c r="AZ312" t="str">
        <f>IF(($A320=""),"",IF(COUNTIF(Mineral!$AJ$3:$AJ$324,$A320),"",$A320))</f>
        <v/>
      </c>
      <c r="BA312" t="str">
        <f>IFERROR(INDEX(Liste_Handelsünger[Handelsdünger],_xlfn.AGGREGATE(15,6,(ROW(Liste_Handelsünger[Handelsdünger])-1)/(--(SEARCH(BB$2,Liste_Handelsünger[Handelsdünger])&gt;0)),ROW()-2),1),"")</f>
        <v>Timac Agro Hyperkorn 26%</v>
      </c>
      <c r="BB312" t="str">
        <f>IF(($A321=""),"",IF(COUNTIF(Mineral!$AJ$3:$AJ$324,$A321),"",$A321))</f>
        <v/>
      </c>
      <c r="BC312" t="str">
        <f>IFERROR(INDEX(Liste_Handelsünger[Handelsdünger],_xlfn.AGGREGATE(15,6,(ROW(Liste_Handelsünger[Handelsdünger])-1)/(--(SEARCH(BD$2,Liste_Handelsünger[Handelsdünger])&gt;0)),ROW()-2),1),"")</f>
        <v>Timac Agro Hyperkorn 26%</v>
      </c>
      <c r="BD312" t="str">
        <f>IF(($A322=""),"",IF(COUNTIF(Mineral!$AJ$3:$AJ$324,$A322),"",$A322))</f>
        <v/>
      </c>
      <c r="BE312" t="str">
        <f>IFERROR(INDEX(Liste_Handelsünger[Handelsdünger],_xlfn.AGGREGATE(15,6,(ROW(Liste_Handelsünger[Handelsdünger])-1)/(--(SEARCH(BF$2,Liste_Handelsünger[Handelsdünger])&gt;0)),ROW()-2),1),"")</f>
        <v>Timac Agro Hyperkorn 26%</v>
      </c>
      <c r="BF312" t="str">
        <f>IF(($A323=""),"",IF(COUNTIF(Mineral!$AJ$3:$AJ$324,$A323),"",$A323))</f>
        <v/>
      </c>
      <c r="BG312" t="str">
        <f>IFERROR(INDEX(Liste_Handelsünger[Handelsdünger],_xlfn.AGGREGATE(15,6,(ROW(Liste_Handelsünger[Handelsdünger])-1)/(--(SEARCH(BH$2,Liste_Handelsünger[Handelsdünger])&gt;0)),ROW()-2),1),"")</f>
        <v>Timac Agro Hyperkorn 26%</v>
      </c>
      <c r="BH312" t="str">
        <f>IF(($A324=""),"",IF(COUNTIF(Mineral!$AJ$3:$AJ$324,$A324),"",$A324))</f>
        <v/>
      </c>
      <c r="BI312" t="str">
        <f>IFERROR(INDEX(Liste_Handelsünger[Handelsdünger],_xlfn.AGGREGATE(15,6,(ROW(Liste_Handelsünger[Handelsdünger])-1)/(--(SEARCH(BJ$2,Liste_Handelsünger[Handelsdünger])&gt;0)),ROW()-2),1),"")</f>
        <v>Timac Agro Hyperkorn 26%</v>
      </c>
      <c r="BJ312" t="str">
        <f>IF(($A325=""),"",IF(COUNTIF(Mineral!$AJ$3:$AJ$324,$A325),"",$A325))</f>
        <v/>
      </c>
      <c r="BK312" t="str">
        <f>IFERROR(INDEX(Liste_Handelsünger[Handelsdünger],_xlfn.AGGREGATE(15,6,(ROW(Liste_Handelsünger[Handelsdünger])-1)/(--(SEARCH(BL$2,Liste_Handelsünger[Handelsdünger])&gt;0)),ROW()-2),1),"")</f>
        <v>Timac Agro Hyperkorn 26%</v>
      </c>
      <c r="BM312" t="str">
        <f>IFERROR(INDEX(Liste_Handelsünger[Handelsdünger],_xlfn.AGGREGATE(15,6,(ROW(Liste_Handelsünger[Handelsdünger])-1)/(--(SEARCH(BN$2,Liste_Handelsünger[Handelsdünger])&gt;0)),ROW()-2),1),"")</f>
        <v>Timac Agro Hyperkorn 26%</v>
      </c>
      <c r="BN312" t="str">
        <f>IF(($A327=""),"",IF(COUNTIF(Mineral!$AJ$3:$AJ$324,$A327),"",$A327))</f>
        <v/>
      </c>
      <c r="BV312" t="s">
        <v>2303</v>
      </c>
      <c r="BW312" t="s">
        <v>2322</v>
      </c>
      <c r="BZ312" s="1602"/>
      <c r="CA312" s="1602"/>
      <c r="CB312" s="1602"/>
    </row>
    <row r="313" spans="19:80" ht="14.25" thickTop="1" thickBot="1">
      <c r="S313" s="1616">
        <v>312</v>
      </c>
      <c r="T313" s="1617" t="s">
        <v>2006</v>
      </c>
      <c r="U313" s="1617" t="s">
        <v>2304</v>
      </c>
      <c r="V313" s="1617" t="s">
        <v>408</v>
      </c>
      <c r="W313" s="1617">
        <v>0</v>
      </c>
      <c r="X313" s="1617">
        <v>28.999999999999996</v>
      </c>
      <c r="Y313" s="1617">
        <v>0</v>
      </c>
      <c r="Z313" s="1617">
        <v>0</v>
      </c>
      <c r="AA313" s="1617">
        <v>0</v>
      </c>
      <c r="AB313" s="1617">
        <v>0</v>
      </c>
      <c r="AC313" s="1617">
        <v>1</v>
      </c>
      <c r="AD313" s="1613">
        <v>1</v>
      </c>
      <c r="AE313" s="1617" t="s">
        <v>1764</v>
      </c>
      <c r="AF313" s="1613" t="str">
        <f t="shared" si="21"/>
        <v/>
      </c>
      <c r="AG313" s="1656">
        <f>IFERROR(IF($AF313&gt;0,VLOOKUP($U313,Tabelle1!$C$188:$L$212,5,0)*$AF313,0),0)</f>
        <v>0</v>
      </c>
      <c r="AH313" s="1656">
        <f t="shared" si="22"/>
        <v>0</v>
      </c>
      <c r="AJ313" t="str">
        <f>IF(Betrieb!$D$9="JA",Mineral!$BW313,Mineral!$BV313)</f>
        <v>Timac Agro Hyperphosphat mehlfein 29%</v>
      </c>
      <c r="AK313" s="1672" t="str">
        <f>IFERROR(INDEX(Liste_Handelsünger[Handelsdünger],_xlfn.AGGREGATE(15,6,(ROW(Liste_Handelsünger[Handelsdünger])-1)/(--(SEARCH(AL$2,Liste_Handelsünger[Handelsdünger])&gt;0)),ROW()-2),1),"")</f>
        <v>Timac Agro Hyperphosphat mehlfein 29%</v>
      </c>
      <c r="AL313" s="1672" t="str">
        <f>IF(($A$3=""),"",IF(COUNTIF(Mineral!$AJ$3:$AJ$324,$A$3),"",$A$3))</f>
        <v/>
      </c>
      <c r="AM313" s="1672" t="str">
        <f>IFERROR(INDEX(Liste_Handelsünger[Handelsdünger],_xlfn.AGGREGATE(15,6,(ROW(Liste_Handelsünger[Handelsdünger])-1)/(--(SEARCH(AN$2,Liste_Handelsünger[Handelsdünger])&gt;0)),ROW()-2),1),"")</f>
        <v>Timac Agro Hyperphosphat mehlfein 29%</v>
      </c>
      <c r="AN313" t="str">
        <f>IF(($A315=""),"",IF(COUNTIF(Mineral!$AJ$3:$AJ$324,$A315),"",$A315))</f>
        <v/>
      </c>
      <c r="AO313" t="str">
        <f>IFERROR(INDEX(Liste_Handelsünger[Handelsdünger],_xlfn.AGGREGATE(15,6,(ROW(Liste_Handelsünger[Handelsdünger])-1)/(--(SEARCH(AP$2,Liste_Handelsünger[Handelsdünger])&gt;0)),ROW()-2),1),"")</f>
        <v>Timac Agro Hyperphosphat mehlfein 29%</v>
      </c>
      <c r="AP313" t="str">
        <f>IF(($A316=""),"",IF(COUNTIF(Mineral!$AJ$3:$AJ$324,$A316),"",$A316))</f>
        <v/>
      </c>
      <c r="AQ313" t="str">
        <f>IFERROR(INDEX(Liste_Handelsünger[Handelsdünger],_xlfn.AGGREGATE(15,6,(ROW(Liste_Handelsünger[Handelsdünger])-1)/(--(SEARCH(AR$2,Liste_Handelsünger[Handelsdünger])&gt;0)),ROW()-2),1),"")</f>
        <v>Timac Agro Hyperphosphat mehlfein 29%</v>
      </c>
      <c r="AR313" t="str">
        <f>IF(($A317=""),"",IF(COUNTIF(Mineral!$AJ$3:$AJ$324,$A317),"",$A317))</f>
        <v/>
      </c>
      <c r="AS313" t="str">
        <f>IFERROR(INDEX(Liste_Handelsünger[Handelsdünger],_xlfn.AGGREGATE(15,6,(ROW(Liste_Handelsünger[Handelsdünger])-1)/(--(SEARCH(AT$2,Liste_Handelsünger[Handelsdünger])&gt;0)),ROW()-2),1),"")</f>
        <v>Timac Agro Hyperphosphat mehlfein 29%</v>
      </c>
      <c r="AT313" t="str">
        <f>IF(($A318=""),"",IF(COUNTIF(Mineral!$AJ$3:$AJ$324,$A318),"",$A318))</f>
        <v/>
      </c>
      <c r="AU313" t="str">
        <f>IFERROR(INDEX(Liste_Handelsünger[Handelsdünger],_xlfn.AGGREGATE(15,6,(ROW(Liste_Handelsünger[Handelsdünger])-1)/(--(SEARCH(AV$2,Liste_Handelsünger[Handelsdünger])&gt;0)),ROW()-2),1),"")</f>
        <v>Timac Agro Hyperphosphat mehlfein 29%</v>
      </c>
      <c r="AV313" t="str">
        <f>IF(($A319=""),"",IF(COUNTIF(Mineral!$AJ$3:$AJ$324,$A319),"",$A319))</f>
        <v/>
      </c>
      <c r="AW313" t="str">
        <f>IFERROR(INDEX(Liste_Handelsünger[Handelsdünger],_xlfn.AGGREGATE(15,6,(ROW(Liste_Handelsünger[Handelsdünger])-1)/(--(SEARCH(AX$2,Liste_Handelsünger[Handelsdünger])&gt;0)),ROW()-2),1),"")</f>
        <v>Timac Agro Hyperphosphat mehlfein 29%</v>
      </c>
      <c r="AX313" t="str">
        <f>IF(($A320=""),"",IF(COUNTIF(Mineral!$AJ$3:$AJ$324,$A320),"",$A320))</f>
        <v/>
      </c>
      <c r="AY313" t="str">
        <f>IFERROR(INDEX(Liste_Handelsünger[Handelsdünger],_xlfn.AGGREGATE(15,6,(ROW(Liste_Handelsünger[Handelsdünger])-1)/(--(SEARCH(AZ$2,Liste_Handelsünger[Handelsdünger])&gt;0)),ROW()-2),1),"")</f>
        <v>Timac Agro Hyperphosphat mehlfein 29%</v>
      </c>
      <c r="AZ313" t="str">
        <f>IF(($A321=""),"",IF(COUNTIF(Mineral!$AJ$3:$AJ$324,$A321),"",$A321))</f>
        <v/>
      </c>
      <c r="BA313" t="str">
        <f>IFERROR(INDEX(Liste_Handelsünger[Handelsdünger],_xlfn.AGGREGATE(15,6,(ROW(Liste_Handelsünger[Handelsdünger])-1)/(--(SEARCH(BB$2,Liste_Handelsünger[Handelsdünger])&gt;0)),ROW()-2),1),"")</f>
        <v>Timac Agro Hyperphosphat mehlfein 29%</v>
      </c>
      <c r="BB313" t="str">
        <f>IF(($A322=""),"",IF(COUNTIF(Mineral!$AJ$3:$AJ$324,$A322),"",$A322))</f>
        <v/>
      </c>
      <c r="BC313" t="str">
        <f>IFERROR(INDEX(Liste_Handelsünger[Handelsdünger],_xlfn.AGGREGATE(15,6,(ROW(Liste_Handelsünger[Handelsdünger])-1)/(--(SEARCH(BD$2,Liste_Handelsünger[Handelsdünger])&gt;0)),ROW()-2),1),"")</f>
        <v>Timac Agro Hyperphosphat mehlfein 29%</v>
      </c>
      <c r="BD313" t="str">
        <f>IF(($A323=""),"",IF(COUNTIF(Mineral!$AJ$3:$AJ$324,$A323),"",$A323))</f>
        <v/>
      </c>
      <c r="BE313" t="str">
        <f>IFERROR(INDEX(Liste_Handelsünger[Handelsdünger],_xlfn.AGGREGATE(15,6,(ROW(Liste_Handelsünger[Handelsdünger])-1)/(--(SEARCH(BF$2,Liste_Handelsünger[Handelsdünger])&gt;0)),ROW()-2),1),"")</f>
        <v>Timac Agro Hyperphosphat mehlfein 29%</v>
      </c>
      <c r="BF313" t="str">
        <f>IF(($A324=""),"",IF(COUNTIF(Mineral!$AJ$3:$AJ$324,$A324),"",$A324))</f>
        <v/>
      </c>
      <c r="BG313" t="str">
        <f>IFERROR(INDEX(Liste_Handelsünger[Handelsdünger],_xlfn.AGGREGATE(15,6,(ROW(Liste_Handelsünger[Handelsdünger])-1)/(--(SEARCH(BH$2,Liste_Handelsünger[Handelsdünger])&gt;0)),ROW()-2),1),"")</f>
        <v>Timac Agro Hyperphosphat mehlfein 29%</v>
      </c>
      <c r="BH313" t="str">
        <f>IF(($A325=""),"",IF(COUNTIF(Mineral!$AJ$3:$AJ$324,$A325),"",$A325))</f>
        <v/>
      </c>
      <c r="BI313" t="str">
        <f>IFERROR(INDEX(Liste_Handelsünger[Handelsdünger],_xlfn.AGGREGATE(15,6,(ROW(Liste_Handelsünger[Handelsdünger])-1)/(--(SEARCH(BJ$2,Liste_Handelsünger[Handelsdünger])&gt;0)),ROW()-2),1),"")</f>
        <v>Timac Agro Hyperphosphat mehlfein 29%</v>
      </c>
      <c r="BJ313" t="str">
        <f>IF(($A326=""),"",IF(COUNTIF(Mineral!$AJ$3:$AJ$324,$A326),"",$A326))</f>
        <v/>
      </c>
      <c r="BK313" t="str">
        <f>IFERROR(INDEX(Liste_Handelsünger[Handelsdünger],_xlfn.AGGREGATE(15,6,(ROW(Liste_Handelsünger[Handelsdünger])-1)/(--(SEARCH(BL$2,Liste_Handelsünger[Handelsdünger])&gt;0)),ROW()-2),1),"")</f>
        <v>Timac Agro Hyperphosphat mehlfein 29%</v>
      </c>
      <c r="BM313" t="str">
        <f>IFERROR(INDEX(Liste_Handelsünger[Handelsdünger],_xlfn.AGGREGATE(15,6,(ROW(Liste_Handelsünger[Handelsdünger])-1)/(--(SEARCH(BN$2,Liste_Handelsünger[Handelsdünger])&gt;0)),ROW()-2),1),"")</f>
        <v>Timac Agro Hyperphosphat mehlfein 29%</v>
      </c>
      <c r="BN313" t="str">
        <f>IF(($A328=""),"",IF(COUNTIF(Mineral!$AJ$3:$AJ$324,$A328),"",$A328))</f>
        <v/>
      </c>
      <c r="BV313" t="s">
        <v>2304</v>
      </c>
      <c r="BW313" t="s">
        <v>2323</v>
      </c>
      <c r="BZ313" s="1602"/>
      <c r="CA313" s="1602"/>
      <c r="CB313" s="1602"/>
    </row>
    <row r="314" spans="19:80" ht="14.25" thickTop="1" thickBot="1">
      <c r="S314" s="1676">
        <v>313</v>
      </c>
      <c r="T314" s="1606" t="s">
        <v>2006</v>
      </c>
      <c r="U314" s="1606" t="s">
        <v>2305</v>
      </c>
      <c r="V314" s="1606" t="s">
        <v>408</v>
      </c>
      <c r="W314" s="1606">
        <v>0</v>
      </c>
      <c r="X314" s="1606">
        <v>26</v>
      </c>
      <c r="Y314" s="1606">
        <v>0</v>
      </c>
      <c r="Z314" s="1606">
        <v>0</v>
      </c>
      <c r="AA314" s="1606">
        <v>0</v>
      </c>
      <c r="AB314" s="1606">
        <v>0</v>
      </c>
      <c r="AC314" s="1606">
        <v>1</v>
      </c>
      <c r="AD314" s="1613">
        <v>1</v>
      </c>
      <c r="AE314" s="1606" t="s">
        <v>1764</v>
      </c>
      <c r="AF314" s="1613" t="str">
        <f t="shared" si="21"/>
        <v/>
      </c>
      <c r="AG314" s="1656">
        <f>IFERROR(IF($AF314&gt;0,VLOOKUP($U314,Tabelle1!$C$188:$L$212,5,0)*$AF314,0),0)</f>
        <v>0</v>
      </c>
      <c r="AH314" s="1656">
        <f t="shared" si="22"/>
        <v>0</v>
      </c>
      <c r="AJ314" t="str">
        <f>IF(Betrieb!$D$9="JA",Mineral!$BW314,Mineral!$BV314)</f>
        <v>Timac Agro Naturphosphat 26 %, granuliert</v>
      </c>
      <c r="AK314" s="1672" t="str">
        <f>IFERROR(INDEX(Liste_Handelsünger[Handelsdünger],_xlfn.AGGREGATE(15,6,(ROW(Liste_Handelsünger[Handelsdünger])-1)/(--(SEARCH(AL$2,Liste_Handelsünger[Handelsdünger])&gt;0)),ROW()-2),1),"")</f>
        <v>Timac Agro Naturphosphat 26 %, granuliert</v>
      </c>
      <c r="AL314" s="1672" t="str">
        <f>IF(($A$3=""),"",IF(COUNTIF(Mineral!$AJ$3:$AJ$324,$A$3),"",$A$3))</f>
        <v/>
      </c>
      <c r="AM314" s="1672" t="str">
        <f>IFERROR(INDEX(Liste_Handelsünger[Handelsdünger],_xlfn.AGGREGATE(15,6,(ROW(Liste_Handelsünger[Handelsdünger])-1)/(--(SEARCH(AN$2,Liste_Handelsünger[Handelsdünger])&gt;0)),ROW()-2),1),"")</f>
        <v>Timac Agro Naturphosphat 26 %, granuliert</v>
      </c>
      <c r="AN314" t="str">
        <f>IF(($A316=""),"",IF(COUNTIF(Mineral!$AJ$3:$AJ$324,$A316),"",$A316))</f>
        <v/>
      </c>
      <c r="AO314" t="str">
        <f>IFERROR(INDEX(Liste_Handelsünger[Handelsdünger],_xlfn.AGGREGATE(15,6,(ROW(Liste_Handelsünger[Handelsdünger])-1)/(--(SEARCH(AP$2,Liste_Handelsünger[Handelsdünger])&gt;0)),ROW()-2),1),"")</f>
        <v>Timac Agro Naturphosphat 26 %, granuliert</v>
      </c>
      <c r="AP314" t="str">
        <f>IF(($A317=""),"",IF(COUNTIF(Mineral!$AJ$3:$AJ$324,$A317),"",$A317))</f>
        <v/>
      </c>
      <c r="AQ314" t="str">
        <f>IFERROR(INDEX(Liste_Handelsünger[Handelsdünger],_xlfn.AGGREGATE(15,6,(ROW(Liste_Handelsünger[Handelsdünger])-1)/(--(SEARCH(AR$2,Liste_Handelsünger[Handelsdünger])&gt;0)),ROW()-2),1),"")</f>
        <v>Timac Agro Naturphosphat 26 %, granuliert</v>
      </c>
      <c r="AR314" t="str">
        <f>IF(($A318=""),"",IF(COUNTIF(Mineral!$AJ$3:$AJ$324,$A318),"",$A318))</f>
        <v/>
      </c>
      <c r="AS314" t="str">
        <f>IFERROR(INDEX(Liste_Handelsünger[Handelsdünger],_xlfn.AGGREGATE(15,6,(ROW(Liste_Handelsünger[Handelsdünger])-1)/(--(SEARCH(AT$2,Liste_Handelsünger[Handelsdünger])&gt;0)),ROW()-2),1),"")</f>
        <v>Timac Agro Naturphosphat 26 %, granuliert</v>
      </c>
      <c r="AT314" t="str">
        <f>IF(($A319=""),"",IF(COUNTIF(Mineral!$AJ$3:$AJ$324,$A319),"",$A319))</f>
        <v/>
      </c>
      <c r="AU314" t="str">
        <f>IFERROR(INDEX(Liste_Handelsünger[Handelsdünger],_xlfn.AGGREGATE(15,6,(ROW(Liste_Handelsünger[Handelsdünger])-1)/(--(SEARCH(AV$2,Liste_Handelsünger[Handelsdünger])&gt;0)),ROW()-2),1),"")</f>
        <v>Timac Agro Naturphosphat 26 %, granuliert</v>
      </c>
      <c r="AV314" t="str">
        <f>IF(($A320=""),"",IF(COUNTIF(Mineral!$AJ$3:$AJ$324,$A320),"",$A320))</f>
        <v/>
      </c>
      <c r="AW314" t="str">
        <f>IFERROR(INDEX(Liste_Handelsünger[Handelsdünger],_xlfn.AGGREGATE(15,6,(ROW(Liste_Handelsünger[Handelsdünger])-1)/(--(SEARCH(AX$2,Liste_Handelsünger[Handelsdünger])&gt;0)),ROW()-2),1),"")</f>
        <v>Timac Agro Naturphosphat 26 %, granuliert</v>
      </c>
      <c r="AX314" t="str">
        <f>IF(($A321=""),"",IF(COUNTIF(Mineral!$AJ$3:$AJ$324,$A321),"",$A321))</f>
        <v/>
      </c>
      <c r="AY314" t="str">
        <f>IFERROR(INDEX(Liste_Handelsünger[Handelsdünger],_xlfn.AGGREGATE(15,6,(ROW(Liste_Handelsünger[Handelsdünger])-1)/(--(SEARCH(AZ$2,Liste_Handelsünger[Handelsdünger])&gt;0)),ROW()-2),1),"")</f>
        <v>Timac Agro Naturphosphat 26 %, granuliert</v>
      </c>
      <c r="AZ314" t="str">
        <f>IF(($A322=""),"",IF(COUNTIF(Mineral!$AJ$3:$AJ$324,$A322),"",$A322))</f>
        <v/>
      </c>
      <c r="BA314" t="str">
        <f>IFERROR(INDEX(Liste_Handelsünger[Handelsdünger],_xlfn.AGGREGATE(15,6,(ROW(Liste_Handelsünger[Handelsdünger])-1)/(--(SEARCH(BB$2,Liste_Handelsünger[Handelsdünger])&gt;0)),ROW()-2),1),"")</f>
        <v>Timac Agro Naturphosphat 26 %, granuliert</v>
      </c>
      <c r="BB314" t="str">
        <f>IF(($A323=""),"",IF(COUNTIF(Mineral!$AJ$3:$AJ$324,$A323),"",$A323))</f>
        <v/>
      </c>
      <c r="BC314" t="str">
        <f>IFERROR(INDEX(Liste_Handelsünger[Handelsdünger],_xlfn.AGGREGATE(15,6,(ROW(Liste_Handelsünger[Handelsdünger])-1)/(--(SEARCH(BD$2,Liste_Handelsünger[Handelsdünger])&gt;0)),ROW()-2),1),"")</f>
        <v>Timac Agro Naturphosphat 26 %, granuliert</v>
      </c>
      <c r="BD314" t="str">
        <f>IF(($A324=""),"",IF(COUNTIF(Mineral!$AJ$3:$AJ$324,$A324),"",$A324))</f>
        <v/>
      </c>
      <c r="BE314" t="str">
        <f>IFERROR(INDEX(Liste_Handelsünger[Handelsdünger],_xlfn.AGGREGATE(15,6,(ROW(Liste_Handelsünger[Handelsdünger])-1)/(--(SEARCH(BF$2,Liste_Handelsünger[Handelsdünger])&gt;0)),ROW()-2),1),"")</f>
        <v>Timac Agro Naturphosphat 26 %, granuliert</v>
      </c>
      <c r="BF314" t="str">
        <f>IF(($A325=""),"",IF(COUNTIF(Mineral!$AJ$3:$AJ$324,$A325),"",$A325))</f>
        <v/>
      </c>
      <c r="BG314" t="str">
        <f>IFERROR(INDEX(Liste_Handelsünger[Handelsdünger],_xlfn.AGGREGATE(15,6,(ROW(Liste_Handelsünger[Handelsdünger])-1)/(--(SEARCH(BH$2,Liste_Handelsünger[Handelsdünger])&gt;0)),ROW()-2),1),"")</f>
        <v>Timac Agro Naturphosphat 26 %, granuliert</v>
      </c>
      <c r="BH314" t="str">
        <f>IF(($A326=""),"",IF(COUNTIF(Mineral!$AJ$3:$AJ$324,$A326),"",$A326))</f>
        <v/>
      </c>
      <c r="BI314" t="str">
        <f>IFERROR(INDEX(Liste_Handelsünger[Handelsdünger],_xlfn.AGGREGATE(15,6,(ROW(Liste_Handelsünger[Handelsdünger])-1)/(--(SEARCH(BJ$2,Liste_Handelsünger[Handelsdünger])&gt;0)),ROW()-2),1),"")</f>
        <v>Timac Agro Naturphosphat 26 %, granuliert</v>
      </c>
      <c r="BJ314" t="str">
        <f>IF(($A327=""),"",IF(COUNTIF(Mineral!$AJ$3:$AJ$324,$A327),"",$A327))</f>
        <v/>
      </c>
      <c r="BK314" t="str">
        <f>IFERROR(INDEX(Liste_Handelsünger[Handelsdünger],_xlfn.AGGREGATE(15,6,(ROW(Liste_Handelsünger[Handelsdünger])-1)/(--(SEARCH(BL$2,Liste_Handelsünger[Handelsdünger])&gt;0)),ROW()-2),1),"")</f>
        <v>Timac Agro Naturphosphat 26 %, granuliert</v>
      </c>
      <c r="BM314" t="str">
        <f>IFERROR(INDEX(Liste_Handelsünger[Handelsdünger],_xlfn.AGGREGATE(15,6,(ROW(Liste_Handelsünger[Handelsdünger])-1)/(--(SEARCH(BN$2,Liste_Handelsünger[Handelsdünger])&gt;0)),ROW()-2),1),"")</f>
        <v>Timac Agro Naturphosphat 26 %, granuliert</v>
      </c>
      <c r="BN314" t="str">
        <f>IF(($A329=""),"",IF(COUNTIF(Mineral!$AJ$3:$AJ$324,$A329),"",$A329))</f>
        <v/>
      </c>
      <c r="BV314" t="s">
        <v>2305</v>
      </c>
      <c r="BW314" t="s">
        <v>2324</v>
      </c>
      <c r="BZ314" s="1602"/>
      <c r="CA314" s="1602"/>
      <c r="CB314" s="1602"/>
    </row>
    <row r="315" spans="19:80" ht="14.25" thickTop="1" thickBot="1">
      <c r="S315" s="1616">
        <v>314</v>
      </c>
      <c r="T315" s="1617" t="s">
        <v>2006</v>
      </c>
      <c r="U315" s="1617" t="s">
        <v>2308</v>
      </c>
      <c r="V315" s="1617" t="s">
        <v>408</v>
      </c>
      <c r="W315" s="1617">
        <v>4</v>
      </c>
      <c r="X315" s="1617">
        <v>3</v>
      </c>
      <c r="Y315" s="1617">
        <v>3</v>
      </c>
      <c r="Z315" s="1617"/>
      <c r="AA315" s="1617"/>
      <c r="AB315" s="1617"/>
      <c r="AC315" s="1617">
        <v>0.5</v>
      </c>
      <c r="AD315" s="1613">
        <v>0.91</v>
      </c>
      <c r="AE315" s="1617" t="s">
        <v>2037</v>
      </c>
      <c r="AF315" s="1613" t="str">
        <f t="shared" si="21"/>
        <v/>
      </c>
      <c r="AG315" s="1656">
        <f>IFERROR(IF($AF315&gt;0,VLOOKUP($U315,Tabelle1!$C$188:$L$212,5,0)*$AF315,0),0)</f>
        <v>0</v>
      </c>
      <c r="AH315" s="1656">
        <f t="shared" si="22"/>
        <v>0</v>
      </c>
      <c r="AJ315" t="str">
        <f>IF(Betrieb!$D$9="JA",Mineral!$BW315,Mineral!$BV315)</f>
        <v>Unser Bio HTK-Pellets 4-3-3</v>
      </c>
      <c r="AK315" s="1672" t="str">
        <f>IFERROR(INDEX(Liste_Handelsünger[Handelsdünger],_xlfn.AGGREGATE(15,6,(ROW(Liste_Handelsünger[Handelsdünger])-1)/(--(SEARCH(AL$2,Liste_Handelsünger[Handelsdünger])&gt;0)),ROW()-2),1),"")</f>
        <v>Unser Bio HTK-Pellets 4-3-3</v>
      </c>
      <c r="AL315" s="1672" t="str">
        <f>IF(($A$3=""),"",IF(COUNTIF(Mineral!$AJ$3:$AJ$324,$A$3),"",$A$3))</f>
        <v/>
      </c>
      <c r="AM315" s="1672" t="str">
        <f>IFERROR(INDEX(Liste_Handelsünger[Handelsdünger],_xlfn.AGGREGATE(15,6,(ROW(Liste_Handelsünger[Handelsdünger])-1)/(--(SEARCH(AN$2,Liste_Handelsünger[Handelsdünger])&gt;0)),ROW()-2),1),"")</f>
        <v>Unser Bio HTK-Pellets 4-3-3</v>
      </c>
      <c r="AN315" t="str">
        <f>IF(($A317=""),"",IF(COUNTIF(Mineral!$AJ$3:$AJ$324,$A317),"",$A317))</f>
        <v/>
      </c>
      <c r="AO315" t="str">
        <f>IFERROR(INDEX(Liste_Handelsünger[Handelsdünger],_xlfn.AGGREGATE(15,6,(ROW(Liste_Handelsünger[Handelsdünger])-1)/(--(SEARCH(AP$2,Liste_Handelsünger[Handelsdünger])&gt;0)),ROW()-2),1),"")</f>
        <v>Unser Bio HTK-Pellets 4-3-3</v>
      </c>
      <c r="AP315" t="str">
        <f>IF(($A318=""),"",IF(COUNTIF(Mineral!$AJ$3:$AJ$324,$A318),"",$A318))</f>
        <v/>
      </c>
      <c r="AQ315" t="str">
        <f>IFERROR(INDEX(Liste_Handelsünger[Handelsdünger],_xlfn.AGGREGATE(15,6,(ROW(Liste_Handelsünger[Handelsdünger])-1)/(--(SEARCH(AR$2,Liste_Handelsünger[Handelsdünger])&gt;0)),ROW()-2),1),"")</f>
        <v>Unser Bio HTK-Pellets 4-3-3</v>
      </c>
      <c r="AR315" t="str">
        <f>IF(($A319=""),"",IF(COUNTIF(Mineral!$AJ$3:$AJ$324,$A319),"",$A319))</f>
        <v/>
      </c>
      <c r="AS315" t="str">
        <f>IFERROR(INDEX(Liste_Handelsünger[Handelsdünger],_xlfn.AGGREGATE(15,6,(ROW(Liste_Handelsünger[Handelsdünger])-1)/(--(SEARCH(AT$2,Liste_Handelsünger[Handelsdünger])&gt;0)),ROW()-2),1),"")</f>
        <v>Unser Bio HTK-Pellets 4-3-3</v>
      </c>
      <c r="AT315" t="str">
        <f>IF(($A320=""),"",IF(COUNTIF(Mineral!$AJ$3:$AJ$324,$A320),"",$A320))</f>
        <v/>
      </c>
      <c r="AU315" t="str">
        <f>IFERROR(INDEX(Liste_Handelsünger[Handelsdünger],_xlfn.AGGREGATE(15,6,(ROW(Liste_Handelsünger[Handelsdünger])-1)/(--(SEARCH(AV$2,Liste_Handelsünger[Handelsdünger])&gt;0)),ROW()-2),1),"")</f>
        <v>Unser Bio HTK-Pellets 4-3-3</v>
      </c>
      <c r="AV315" t="str">
        <f>IF(($A321=""),"",IF(COUNTIF(Mineral!$AJ$3:$AJ$324,$A321),"",$A321))</f>
        <v/>
      </c>
      <c r="AW315" t="str">
        <f>IFERROR(INDEX(Liste_Handelsünger[Handelsdünger],_xlfn.AGGREGATE(15,6,(ROW(Liste_Handelsünger[Handelsdünger])-1)/(--(SEARCH(AX$2,Liste_Handelsünger[Handelsdünger])&gt;0)),ROW()-2),1),"")</f>
        <v>Unser Bio HTK-Pellets 4-3-3</v>
      </c>
      <c r="AX315" t="str">
        <f>IF(($A322=""),"",IF(COUNTIF(Mineral!$AJ$3:$AJ$324,$A322),"",$A322))</f>
        <v/>
      </c>
      <c r="AY315" t="str">
        <f>IFERROR(INDEX(Liste_Handelsünger[Handelsdünger],_xlfn.AGGREGATE(15,6,(ROW(Liste_Handelsünger[Handelsdünger])-1)/(--(SEARCH(AZ$2,Liste_Handelsünger[Handelsdünger])&gt;0)),ROW()-2),1),"")</f>
        <v>Unser Bio HTK-Pellets 4-3-3</v>
      </c>
      <c r="AZ315" t="str">
        <f>IF(($A323=""),"",IF(COUNTIF(Mineral!$AJ$3:$AJ$324,$A323),"",$A323))</f>
        <v/>
      </c>
      <c r="BA315" t="str">
        <f>IFERROR(INDEX(Liste_Handelsünger[Handelsdünger],_xlfn.AGGREGATE(15,6,(ROW(Liste_Handelsünger[Handelsdünger])-1)/(--(SEARCH(BB$2,Liste_Handelsünger[Handelsdünger])&gt;0)),ROW()-2),1),"")</f>
        <v>Unser Bio HTK-Pellets 4-3-3</v>
      </c>
      <c r="BB315" t="str">
        <f>IF(($A324=""),"",IF(COUNTIF(Mineral!$AJ$3:$AJ$324,$A324),"",$A324))</f>
        <v/>
      </c>
      <c r="BC315" t="str">
        <f>IFERROR(INDEX(Liste_Handelsünger[Handelsdünger],_xlfn.AGGREGATE(15,6,(ROW(Liste_Handelsünger[Handelsdünger])-1)/(--(SEARCH(BD$2,Liste_Handelsünger[Handelsdünger])&gt;0)),ROW()-2),1),"")</f>
        <v>Unser Bio HTK-Pellets 4-3-3</v>
      </c>
      <c r="BD315" t="str">
        <f>IF(($A325=""),"",IF(COUNTIF(Mineral!$AJ$3:$AJ$324,$A325),"",$A325))</f>
        <v/>
      </c>
      <c r="BE315" t="str">
        <f>IFERROR(INDEX(Liste_Handelsünger[Handelsdünger],_xlfn.AGGREGATE(15,6,(ROW(Liste_Handelsünger[Handelsdünger])-1)/(--(SEARCH(BF$2,Liste_Handelsünger[Handelsdünger])&gt;0)),ROW()-2),1),"")</f>
        <v>Unser Bio HTK-Pellets 4-3-3</v>
      </c>
      <c r="BF315" t="str">
        <f>IF(($A326=""),"",IF(COUNTIF(Mineral!$AJ$3:$AJ$324,$A326),"",$A326))</f>
        <v/>
      </c>
      <c r="BG315" t="str">
        <f>IFERROR(INDEX(Liste_Handelsünger[Handelsdünger],_xlfn.AGGREGATE(15,6,(ROW(Liste_Handelsünger[Handelsdünger])-1)/(--(SEARCH(BH$2,Liste_Handelsünger[Handelsdünger])&gt;0)),ROW()-2),1),"")</f>
        <v>Unser Bio HTK-Pellets 4-3-3</v>
      </c>
      <c r="BH315" t="str">
        <f>IF(($A327=""),"",IF(COUNTIF(Mineral!$AJ$3:$AJ$324,$A327),"",$A327))</f>
        <v/>
      </c>
      <c r="BI315" t="str">
        <f>IFERROR(INDEX(Liste_Handelsünger[Handelsdünger],_xlfn.AGGREGATE(15,6,(ROW(Liste_Handelsünger[Handelsdünger])-1)/(--(SEARCH(BJ$2,Liste_Handelsünger[Handelsdünger])&gt;0)),ROW()-2),1),"")</f>
        <v>Unser Bio HTK-Pellets 4-3-3</v>
      </c>
      <c r="BJ315" t="str">
        <f>IF(($A328=""),"",IF(COUNTIF(Mineral!$AJ$3:$AJ$324,$A328),"",$A328))</f>
        <v/>
      </c>
      <c r="BK315" t="str">
        <f>IFERROR(INDEX(Liste_Handelsünger[Handelsdünger],_xlfn.AGGREGATE(15,6,(ROW(Liste_Handelsünger[Handelsdünger])-1)/(--(SEARCH(BL$2,Liste_Handelsünger[Handelsdünger])&gt;0)),ROW()-2),1),"")</f>
        <v>Unser Bio HTK-Pellets 4-3-3</v>
      </c>
      <c r="BM315" t="str">
        <f>IFERROR(INDEX(Liste_Handelsünger[Handelsdünger],_xlfn.AGGREGATE(15,6,(ROW(Liste_Handelsünger[Handelsdünger])-1)/(--(SEARCH(BN$2,Liste_Handelsünger[Handelsdünger])&gt;0)),ROW()-2),1),"")</f>
        <v>Unser Bio HTK-Pellets 4-3-3</v>
      </c>
      <c r="BN315" t="str">
        <f>IF(($A330=""),"",IF(COUNTIF(Mineral!$AJ$3:$AJ$324,$A330),"",$A330))</f>
        <v/>
      </c>
      <c r="BV315" t="s">
        <v>2308</v>
      </c>
      <c r="BW315" t="s">
        <v>2325</v>
      </c>
      <c r="BZ315" s="1602"/>
      <c r="CA315" s="1602"/>
      <c r="CB315" s="1602"/>
    </row>
    <row r="316" spans="19:80" ht="14.25" thickTop="1" thickBot="1">
      <c r="S316" s="1676">
        <v>315</v>
      </c>
      <c r="T316" s="1606" t="s">
        <v>2006</v>
      </c>
      <c r="U316" s="1606" t="s">
        <v>2315</v>
      </c>
      <c r="V316" s="1606" t="s">
        <v>408</v>
      </c>
      <c r="W316" s="1606">
        <v>1.55</v>
      </c>
      <c r="X316" s="1606">
        <v>0.35000000000000003</v>
      </c>
      <c r="Y316" s="1606">
        <v>0</v>
      </c>
      <c r="Z316" s="1606">
        <v>0</v>
      </c>
      <c r="AA316" s="1606">
        <v>0.67999999999999994</v>
      </c>
      <c r="AB316" s="1606">
        <v>0</v>
      </c>
      <c r="AC316" s="1606">
        <v>0.7</v>
      </c>
      <c r="AD316" s="1613">
        <v>0.87</v>
      </c>
      <c r="AE316" s="1606" t="s">
        <v>2016</v>
      </c>
      <c r="AF316" s="1613" t="str">
        <f t="shared" si="21"/>
        <v/>
      </c>
      <c r="AG316" s="1656">
        <f>IFERROR(IF($AF316&gt;0,VLOOKUP($U316,Tabelle1!$C$188:$L$212,5,0)*$AF316,0),0)</f>
        <v>0</v>
      </c>
      <c r="AH316" s="1656">
        <f t="shared" si="22"/>
        <v>0</v>
      </c>
      <c r="AJ316" t="str">
        <f>IF(Betrieb!$D$9="JA",Mineral!$BW316,Mineral!$BV316)</f>
        <v>Vermesfluid</v>
      </c>
      <c r="AK316" s="1672" t="str">
        <f>IFERROR(INDEX(Liste_Handelsünger[Handelsdünger],_xlfn.AGGREGATE(15,6,(ROW(Liste_Handelsünger[Handelsdünger])-1)/(--(SEARCH(AL$2,Liste_Handelsünger[Handelsdünger])&gt;0)),ROW()-2),1),"")</f>
        <v>Vermesfluid</v>
      </c>
      <c r="AL316" s="1672" t="str">
        <f>IF(($A$3=""),"",IF(COUNTIF(Mineral!$AJ$3:$AJ$324,$A$3),"",$A$3))</f>
        <v/>
      </c>
      <c r="AM316" s="1672" t="str">
        <f>IFERROR(INDEX(Liste_Handelsünger[Handelsdünger],_xlfn.AGGREGATE(15,6,(ROW(Liste_Handelsünger[Handelsdünger])-1)/(--(SEARCH(AN$2,Liste_Handelsünger[Handelsdünger])&gt;0)),ROW()-2),1),"")</f>
        <v>Vermesfluid</v>
      </c>
      <c r="AN316" t="str">
        <f>IF(($A318=""),"",IF(COUNTIF(Mineral!$AJ$3:$AJ$324,$A318),"",$A318))</f>
        <v/>
      </c>
      <c r="AO316" t="str">
        <f>IFERROR(INDEX(Liste_Handelsünger[Handelsdünger],_xlfn.AGGREGATE(15,6,(ROW(Liste_Handelsünger[Handelsdünger])-1)/(--(SEARCH(AP$2,Liste_Handelsünger[Handelsdünger])&gt;0)),ROW()-2),1),"")</f>
        <v>Vermesfluid</v>
      </c>
      <c r="AP316" t="str">
        <f>IF(($A319=""),"",IF(COUNTIF(Mineral!$AJ$3:$AJ$324,$A319),"",$A319))</f>
        <v/>
      </c>
      <c r="AQ316" t="str">
        <f>IFERROR(INDEX(Liste_Handelsünger[Handelsdünger],_xlfn.AGGREGATE(15,6,(ROW(Liste_Handelsünger[Handelsdünger])-1)/(--(SEARCH(AR$2,Liste_Handelsünger[Handelsdünger])&gt;0)),ROW()-2),1),"")</f>
        <v>Vermesfluid</v>
      </c>
      <c r="AR316" t="str">
        <f>IF(($A320=""),"",IF(COUNTIF(Mineral!$AJ$3:$AJ$324,$A320),"",$A320))</f>
        <v/>
      </c>
      <c r="AS316" t="str">
        <f>IFERROR(INDEX(Liste_Handelsünger[Handelsdünger],_xlfn.AGGREGATE(15,6,(ROW(Liste_Handelsünger[Handelsdünger])-1)/(--(SEARCH(AT$2,Liste_Handelsünger[Handelsdünger])&gt;0)),ROW()-2),1),"")</f>
        <v>Vermesfluid</v>
      </c>
      <c r="AT316" t="str">
        <f>IF(($A321=""),"",IF(COUNTIF(Mineral!$AJ$3:$AJ$324,$A321),"",$A321))</f>
        <v/>
      </c>
      <c r="AU316" t="str">
        <f>IFERROR(INDEX(Liste_Handelsünger[Handelsdünger],_xlfn.AGGREGATE(15,6,(ROW(Liste_Handelsünger[Handelsdünger])-1)/(--(SEARCH(AV$2,Liste_Handelsünger[Handelsdünger])&gt;0)),ROW()-2),1),"")</f>
        <v>Vermesfluid</v>
      </c>
      <c r="AV316" t="str">
        <f>IF(($A322=""),"",IF(COUNTIF(Mineral!$AJ$3:$AJ$324,$A322),"",$A322))</f>
        <v/>
      </c>
      <c r="AW316" t="str">
        <f>IFERROR(INDEX(Liste_Handelsünger[Handelsdünger],_xlfn.AGGREGATE(15,6,(ROW(Liste_Handelsünger[Handelsdünger])-1)/(--(SEARCH(AX$2,Liste_Handelsünger[Handelsdünger])&gt;0)),ROW()-2),1),"")</f>
        <v>Vermesfluid</v>
      </c>
      <c r="AX316" t="str">
        <f>IF(($A323=""),"",IF(COUNTIF(Mineral!$AJ$3:$AJ$324,$A323),"",$A323))</f>
        <v/>
      </c>
      <c r="AY316" t="str">
        <f>IFERROR(INDEX(Liste_Handelsünger[Handelsdünger],_xlfn.AGGREGATE(15,6,(ROW(Liste_Handelsünger[Handelsdünger])-1)/(--(SEARCH(AZ$2,Liste_Handelsünger[Handelsdünger])&gt;0)),ROW()-2),1),"")</f>
        <v>Vermesfluid</v>
      </c>
      <c r="AZ316" t="str">
        <f>IF(($A324=""),"",IF(COUNTIF(Mineral!$AJ$3:$AJ$324,$A324),"",$A324))</f>
        <v/>
      </c>
      <c r="BA316" t="str">
        <f>IFERROR(INDEX(Liste_Handelsünger[Handelsdünger],_xlfn.AGGREGATE(15,6,(ROW(Liste_Handelsünger[Handelsdünger])-1)/(--(SEARCH(BB$2,Liste_Handelsünger[Handelsdünger])&gt;0)),ROW()-2),1),"")</f>
        <v>Vermesfluid</v>
      </c>
      <c r="BB316" t="str">
        <f>IF(($A325=""),"",IF(COUNTIF(Mineral!$AJ$3:$AJ$324,$A325),"",$A325))</f>
        <v/>
      </c>
      <c r="BC316" t="str">
        <f>IFERROR(INDEX(Liste_Handelsünger[Handelsdünger],_xlfn.AGGREGATE(15,6,(ROW(Liste_Handelsünger[Handelsdünger])-1)/(--(SEARCH(BD$2,Liste_Handelsünger[Handelsdünger])&gt;0)),ROW()-2),1),"")</f>
        <v>Vermesfluid</v>
      </c>
      <c r="BD316" t="str">
        <f>IF(($A326=""),"",IF(COUNTIF(Mineral!$AJ$3:$AJ$324,$A326),"",$A326))</f>
        <v/>
      </c>
      <c r="BE316" t="str">
        <f>IFERROR(INDEX(Liste_Handelsünger[Handelsdünger],_xlfn.AGGREGATE(15,6,(ROW(Liste_Handelsünger[Handelsdünger])-1)/(--(SEARCH(BF$2,Liste_Handelsünger[Handelsdünger])&gt;0)),ROW()-2),1),"")</f>
        <v>Vermesfluid</v>
      </c>
      <c r="BF316" t="str">
        <f>IF(($A327=""),"",IF(COUNTIF(Mineral!$AJ$3:$AJ$324,$A327),"",$A327))</f>
        <v/>
      </c>
      <c r="BG316" t="str">
        <f>IFERROR(INDEX(Liste_Handelsünger[Handelsdünger],_xlfn.AGGREGATE(15,6,(ROW(Liste_Handelsünger[Handelsdünger])-1)/(--(SEARCH(BH$2,Liste_Handelsünger[Handelsdünger])&gt;0)),ROW()-2),1),"")</f>
        <v>Vermesfluid</v>
      </c>
      <c r="BH316" t="str">
        <f>IF(($A328=""),"",IF(COUNTIF(Mineral!$AJ$3:$AJ$324,$A328),"",$A328))</f>
        <v/>
      </c>
      <c r="BI316" t="str">
        <f>IFERROR(INDEX(Liste_Handelsünger[Handelsdünger],_xlfn.AGGREGATE(15,6,(ROW(Liste_Handelsünger[Handelsdünger])-1)/(--(SEARCH(BJ$2,Liste_Handelsünger[Handelsdünger])&gt;0)),ROW()-2),1),"")</f>
        <v>Vermesfluid</v>
      </c>
      <c r="BJ316" t="str">
        <f>IF(($A329=""),"",IF(COUNTIF(Mineral!$AJ$3:$AJ$324,$A329),"",$A329))</f>
        <v/>
      </c>
      <c r="BK316" t="str">
        <f>IFERROR(INDEX(Liste_Handelsünger[Handelsdünger],_xlfn.AGGREGATE(15,6,(ROW(Liste_Handelsünger[Handelsdünger])-1)/(--(SEARCH(BL$2,Liste_Handelsünger[Handelsdünger])&gt;0)),ROW()-2),1),"")</f>
        <v>Vermesfluid</v>
      </c>
      <c r="BM316" t="str">
        <f>IFERROR(INDEX(Liste_Handelsünger[Handelsdünger],_xlfn.AGGREGATE(15,6,(ROW(Liste_Handelsünger[Handelsdünger])-1)/(--(SEARCH(BN$2,Liste_Handelsünger[Handelsdünger])&gt;0)),ROW()-2),1),"")</f>
        <v>Vermesfluid</v>
      </c>
      <c r="BN316" t="str">
        <f>IF(($A331=""),"",IF(COUNTIF(Mineral!$AJ$3:$AJ$324,$A331),"",$A331))</f>
        <v/>
      </c>
      <c r="BV316" t="s">
        <v>2315</v>
      </c>
      <c r="BW316" t="s">
        <v>2326</v>
      </c>
      <c r="BZ316" s="1602"/>
      <c r="CA316" s="1602"/>
      <c r="CB316" s="1602"/>
    </row>
    <row r="317" spans="19:80" ht="14.25" thickTop="1" thickBot="1">
      <c r="S317" s="1616">
        <v>316</v>
      </c>
      <c r="T317" s="1617" t="s">
        <v>2006</v>
      </c>
      <c r="U317" s="1617" t="s">
        <v>2316</v>
      </c>
      <c r="V317" s="1617" t="s">
        <v>408</v>
      </c>
      <c r="W317" s="1617">
        <v>1.9</v>
      </c>
      <c r="X317" s="1617">
        <v>0</v>
      </c>
      <c r="Y317" s="1617">
        <v>0</v>
      </c>
      <c r="Z317" s="1617">
        <v>0</v>
      </c>
      <c r="AA317" s="1617">
        <v>0</v>
      </c>
      <c r="AB317" s="1617">
        <v>0</v>
      </c>
      <c r="AC317" s="1617">
        <v>0.5</v>
      </c>
      <c r="AD317" s="1613">
        <v>0.91</v>
      </c>
      <c r="AE317" s="1617" t="s">
        <v>2037</v>
      </c>
      <c r="AF317" s="1613" t="str">
        <f t="shared" si="21"/>
        <v/>
      </c>
      <c r="AG317" s="1656">
        <f>IFERROR(IF($AF317&gt;0,VLOOKUP($U317,Tabelle1!$C$188:$L$212,5,0)*$AF317,0),0)</f>
        <v>0</v>
      </c>
      <c r="AH317" s="1656">
        <f t="shared" si="22"/>
        <v>0</v>
      </c>
      <c r="AJ317" t="str">
        <f>IF(Betrieb!$D$9="JA",Mineral!$BW317,Mineral!$BV317)</f>
        <v>VERMIGRAND Regenwurmhumus</v>
      </c>
      <c r="AK317" s="1672" t="str">
        <f>IFERROR(INDEX(Liste_Handelsünger[Handelsdünger],_xlfn.AGGREGATE(15,6,(ROW(Liste_Handelsünger[Handelsdünger])-1)/(--(SEARCH(AL$2,Liste_Handelsünger[Handelsdünger])&gt;0)),ROW()-2),1),"")</f>
        <v>VERMIGRAND Regenwurmhumus</v>
      </c>
      <c r="AL317" s="1672" t="str">
        <f>IF(($A$3=""),"",IF(COUNTIF(Mineral!$AJ$3:$AJ$324,$A$3),"",$A$3))</f>
        <v/>
      </c>
      <c r="AM317" s="1672" t="str">
        <f>IFERROR(INDEX(Liste_Handelsünger[Handelsdünger],_xlfn.AGGREGATE(15,6,(ROW(Liste_Handelsünger[Handelsdünger])-1)/(--(SEARCH(AN$2,Liste_Handelsünger[Handelsdünger])&gt;0)),ROW()-2),1),"")</f>
        <v>VERMIGRAND Regenwurmhumus</v>
      </c>
      <c r="AN317" t="str">
        <f>IF(($A319=""),"",IF(COUNTIF(Mineral!$AJ$3:$AJ$324,$A319),"",$A319))</f>
        <v/>
      </c>
      <c r="AO317" t="str">
        <f>IFERROR(INDEX(Liste_Handelsünger[Handelsdünger],_xlfn.AGGREGATE(15,6,(ROW(Liste_Handelsünger[Handelsdünger])-1)/(--(SEARCH(AP$2,Liste_Handelsünger[Handelsdünger])&gt;0)),ROW()-2),1),"")</f>
        <v>VERMIGRAND Regenwurmhumus</v>
      </c>
      <c r="AP317" t="str">
        <f>IF(($A320=""),"",IF(COUNTIF(Mineral!$AJ$3:$AJ$324,$A320),"",$A320))</f>
        <v/>
      </c>
      <c r="AQ317" t="str">
        <f>IFERROR(INDEX(Liste_Handelsünger[Handelsdünger],_xlfn.AGGREGATE(15,6,(ROW(Liste_Handelsünger[Handelsdünger])-1)/(--(SEARCH(AR$2,Liste_Handelsünger[Handelsdünger])&gt;0)),ROW()-2),1),"")</f>
        <v>VERMIGRAND Regenwurmhumus</v>
      </c>
      <c r="AR317" t="str">
        <f>IF(($A321=""),"",IF(COUNTIF(Mineral!$AJ$3:$AJ$324,$A321),"",$A321))</f>
        <v/>
      </c>
      <c r="AS317" t="str">
        <f>IFERROR(INDEX(Liste_Handelsünger[Handelsdünger],_xlfn.AGGREGATE(15,6,(ROW(Liste_Handelsünger[Handelsdünger])-1)/(--(SEARCH(AT$2,Liste_Handelsünger[Handelsdünger])&gt;0)),ROW()-2),1),"")</f>
        <v>VERMIGRAND Regenwurmhumus</v>
      </c>
      <c r="AT317" t="str">
        <f>IF(($A322=""),"",IF(COUNTIF(Mineral!$AJ$3:$AJ$324,$A322),"",$A322))</f>
        <v/>
      </c>
      <c r="AU317" t="str">
        <f>IFERROR(INDEX(Liste_Handelsünger[Handelsdünger],_xlfn.AGGREGATE(15,6,(ROW(Liste_Handelsünger[Handelsdünger])-1)/(--(SEARCH(AV$2,Liste_Handelsünger[Handelsdünger])&gt;0)),ROW()-2),1),"")</f>
        <v>VERMIGRAND Regenwurmhumus</v>
      </c>
      <c r="AV317" t="str">
        <f>IF(($A323=""),"",IF(COUNTIF(Mineral!$AJ$3:$AJ$324,$A323),"",$A323))</f>
        <v/>
      </c>
      <c r="AW317" t="str">
        <f>IFERROR(INDEX(Liste_Handelsünger[Handelsdünger],_xlfn.AGGREGATE(15,6,(ROW(Liste_Handelsünger[Handelsdünger])-1)/(--(SEARCH(AX$2,Liste_Handelsünger[Handelsdünger])&gt;0)),ROW()-2),1),"")</f>
        <v>VERMIGRAND Regenwurmhumus</v>
      </c>
      <c r="AX317" t="str">
        <f>IF(($A324=""),"",IF(COUNTIF(Mineral!$AJ$3:$AJ$324,$A324),"",$A324))</f>
        <v/>
      </c>
      <c r="AY317" t="str">
        <f>IFERROR(INDEX(Liste_Handelsünger[Handelsdünger],_xlfn.AGGREGATE(15,6,(ROW(Liste_Handelsünger[Handelsdünger])-1)/(--(SEARCH(AZ$2,Liste_Handelsünger[Handelsdünger])&gt;0)),ROW()-2),1),"")</f>
        <v>VERMIGRAND Regenwurmhumus</v>
      </c>
      <c r="AZ317" t="str">
        <f>IF(($A325=""),"",IF(COUNTIF(Mineral!$AJ$3:$AJ$324,$A325),"",$A325))</f>
        <v/>
      </c>
      <c r="BA317" t="str">
        <f>IFERROR(INDEX(Liste_Handelsünger[Handelsdünger],_xlfn.AGGREGATE(15,6,(ROW(Liste_Handelsünger[Handelsdünger])-1)/(--(SEARCH(BB$2,Liste_Handelsünger[Handelsdünger])&gt;0)),ROW()-2),1),"")</f>
        <v>VERMIGRAND Regenwurmhumus</v>
      </c>
      <c r="BB317" t="str">
        <f>IF(($A326=""),"",IF(COUNTIF(Mineral!$AJ$3:$AJ$324,$A326),"",$A326))</f>
        <v/>
      </c>
      <c r="BC317" t="str">
        <f>IFERROR(INDEX(Liste_Handelsünger[Handelsdünger],_xlfn.AGGREGATE(15,6,(ROW(Liste_Handelsünger[Handelsdünger])-1)/(--(SEARCH(BD$2,Liste_Handelsünger[Handelsdünger])&gt;0)),ROW()-2),1),"")</f>
        <v>VERMIGRAND Regenwurmhumus</v>
      </c>
      <c r="BD317" t="str">
        <f>IF(($A327=""),"",IF(COUNTIF(Mineral!$AJ$3:$AJ$324,$A327),"",$A327))</f>
        <v/>
      </c>
      <c r="BE317" t="str">
        <f>IFERROR(INDEX(Liste_Handelsünger[Handelsdünger],_xlfn.AGGREGATE(15,6,(ROW(Liste_Handelsünger[Handelsdünger])-1)/(--(SEARCH(BF$2,Liste_Handelsünger[Handelsdünger])&gt;0)),ROW()-2),1),"")</f>
        <v>VERMIGRAND Regenwurmhumus</v>
      </c>
      <c r="BF317" t="str">
        <f>IF(($A328=""),"",IF(COUNTIF(Mineral!$AJ$3:$AJ$324,$A328),"",$A328))</f>
        <v/>
      </c>
      <c r="BG317" t="str">
        <f>IFERROR(INDEX(Liste_Handelsünger[Handelsdünger],_xlfn.AGGREGATE(15,6,(ROW(Liste_Handelsünger[Handelsdünger])-1)/(--(SEARCH(BH$2,Liste_Handelsünger[Handelsdünger])&gt;0)),ROW()-2),1),"")</f>
        <v>VERMIGRAND Regenwurmhumus</v>
      </c>
      <c r="BH317" t="str">
        <f>IF(($A329=""),"",IF(COUNTIF(Mineral!$AJ$3:$AJ$324,$A329),"",$A329))</f>
        <v/>
      </c>
      <c r="BI317" t="str">
        <f>IFERROR(INDEX(Liste_Handelsünger[Handelsdünger],_xlfn.AGGREGATE(15,6,(ROW(Liste_Handelsünger[Handelsdünger])-1)/(--(SEARCH(BJ$2,Liste_Handelsünger[Handelsdünger])&gt;0)),ROW()-2),1),"")</f>
        <v>VERMIGRAND Regenwurmhumus</v>
      </c>
      <c r="BJ317" t="str">
        <f>IF(($A330=""),"",IF(COUNTIF(Mineral!$AJ$3:$AJ$324,$A330),"",$A330))</f>
        <v/>
      </c>
      <c r="BK317" t="str">
        <f>IFERROR(INDEX(Liste_Handelsünger[Handelsdünger],_xlfn.AGGREGATE(15,6,(ROW(Liste_Handelsünger[Handelsdünger])-1)/(--(SEARCH(BL$2,Liste_Handelsünger[Handelsdünger])&gt;0)),ROW()-2),1),"")</f>
        <v>VERMIGRAND Regenwurmhumus</v>
      </c>
      <c r="BM317" t="str">
        <f>IFERROR(INDEX(Liste_Handelsünger[Handelsdünger],_xlfn.AGGREGATE(15,6,(ROW(Liste_Handelsünger[Handelsdünger])-1)/(--(SEARCH(BN$2,Liste_Handelsünger[Handelsdünger])&gt;0)),ROW()-2),1),"")</f>
        <v>VERMIGRAND Regenwurmhumus</v>
      </c>
      <c r="BN317" t="str">
        <f>IF(($A332=""),"",IF(COUNTIF(Mineral!$AJ$3:$AJ$324,$A332),"",$A332))</f>
        <v/>
      </c>
      <c r="BV317" t="s">
        <v>2316</v>
      </c>
      <c r="BW317" t="s">
        <v>2327</v>
      </c>
      <c r="BZ317" s="1602"/>
      <c r="CA317" s="1602"/>
      <c r="CB317" s="1602"/>
    </row>
    <row r="318" spans="19:80" ht="14.25" thickTop="1" thickBot="1">
      <c r="S318" s="1676">
        <v>317</v>
      </c>
      <c r="T318" s="1606" t="s">
        <v>2006</v>
      </c>
      <c r="U318" s="1606" t="s">
        <v>2317</v>
      </c>
      <c r="V318" s="1606" t="s">
        <v>408</v>
      </c>
      <c r="W318" s="1606">
        <v>1.6</v>
      </c>
      <c r="X318" s="1606">
        <v>0</v>
      </c>
      <c r="Y318" s="1606">
        <v>0</v>
      </c>
      <c r="Z318" s="1606">
        <v>0</v>
      </c>
      <c r="AA318" s="1606">
        <v>0</v>
      </c>
      <c r="AB318" s="1606">
        <v>0</v>
      </c>
      <c r="AC318" s="1606">
        <v>0.1</v>
      </c>
      <c r="AD318" s="1613">
        <v>0.91</v>
      </c>
      <c r="AE318" s="1606" t="s">
        <v>2037</v>
      </c>
      <c r="AF318" s="1613" t="str">
        <f t="shared" si="21"/>
        <v/>
      </c>
      <c r="AG318" s="1656">
        <f>IFERROR(IF($AF318&gt;0,VLOOKUP($U318,Tabelle1!$C$188:$L$212,5,0)*$AF318,0),0)</f>
        <v>0</v>
      </c>
      <c r="AH318" s="1656">
        <f t="shared" si="22"/>
        <v>0</v>
      </c>
      <c r="AJ318" t="str">
        <f>IF(Betrieb!$D$9="JA",Mineral!$BW318,Mineral!$BV318)</f>
        <v>VERMIGRAND Wagramkompost</v>
      </c>
      <c r="AK318" s="1672" t="str">
        <f>IFERROR(INDEX(Liste_Handelsünger[Handelsdünger],_xlfn.AGGREGATE(15,6,(ROW(Liste_Handelsünger[Handelsdünger])-1)/(--(SEARCH(AL$2,Liste_Handelsünger[Handelsdünger])&gt;0)),ROW()-2),1),"")</f>
        <v>VERMIGRAND Wagramkompost</v>
      </c>
      <c r="AL318" s="1672" t="str">
        <f>IF(($A$3=""),"",IF(COUNTIF(Mineral!$AJ$3:$AJ$324,$A$3),"",$A$3))</f>
        <v/>
      </c>
      <c r="AM318" s="1672" t="str">
        <f>IFERROR(INDEX(Liste_Handelsünger[Handelsdünger],_xlfn.AGGREGATE(15,6,(ROW(Liste_Handelsünger[Handelsdünger])-1)/(--(SEARCH(AN$2,Liste_Handelsünger[Handelsdünger])&gt;0)),ROW()-2),1),"")</f>
        <v>VERMIGRAND Wagramkompost</v>
      </c>
      <c r="AN318" t="str">
        <f>IF(($A320=""),"",IF(COUNTIF(Mineral!$AJ$3:$AJ$324,$A320),"",$A320))</f>
        <v/>
      </c>
      <c r="AO318" t="str">
        <f>IFERROR(INDEX(Liste_Handelsünger[Handelsdünger],_xlfn.AGGREGATE(15,6,(ROW(Liste_Handelsünger[Handelsdünger])-1)/(--(SEARCH(AP$2,Liste_Handelsünger[Handelsdünger])&gt;0)),ROW()-2),1),"")</f>
        <v>VERMIGRAND Wagramkompost</v>
      </c>
      <c r="AP318" t="str">
        <f>IF(($A321=""),"",IF(COUNTIF(Mineral!$AJ$3:$AJ$324,$A321),"",$A321))</f>
        <v/>
      </c>
      <c r="AQ318" t="str">
        <f>IFERROR(INDEX(Liste_Handelsünger[Handelsdünger],_xlfn.AGGREGATE(15,6,(ROW(Liste_Handelsünger[Handelsdünger])-1)/(--(SEARCH(AR$2,Liste_Handelsünger[Handelsdünger])&gt;0)),ROW()-2),1),"")</f>
        <v>VERMIGRAND Wagramkompost</v>
      </c>
      <c r="AR318" t="str">
        <f>IF(($A322=""),"",IF(COUNTIF(Mineral!$AJ$3:$AJ$324,$A322),"",$A322))</f>
        <v/>
      </c>
      <c r="AS318" t="str">
        <f>IFERROR(INDEX(Liste_Handelsünger[Handelsdünger],_xlfn.AGGREGATE(15,6,(ROW(Liste_Handelsünger[Handelsdünger])-1)/(--(SEARCH(AT$2,Liste_Handelsünger[Handelsdünger])&gt;0)),ROW()-2),1),"")</f>
        <v>VERMIGRAND Wagramkompost</v>
      </c>
      <c r="AT318" t="str">
        <f>IF(($A323=""),"",IF(COUNTIF(Mineral!$AJ$3:$AJ$324,$A323),"",$A323))</f>
        <v/>
      </c>
      <c r="AU318" t="str">
        <f>IFERROR(INDEX(Liste_Handelsünger[Handelsdünger],_xlfn.AGGREGATE(15,6,(ROW(Liste_Handelsünger[Handelsdünger])-1)/(--(SEARCH(AV$2,Liste_Handelsünger[Handelsdünger])&gt;0)),ROW()-2),1),"")</f>
        <v>VERMIGRAND Wagramkompost</v>
      </c>
      <c r="AV318" t="str">
        <f>IF(($A324=""),"",IF(COUNTIF(Mineral!$AJ$3:$AJ$324,$A324),"",$A324))</f>
        <v/>
      </c>
      <c r="AW318" t="str">
        <f>IFERROR(INDEX(Liste_Handelsünger[Handelsdünger],_xlfn.AGGREGATE(15,6,(ROW(Liste_Handelsünger[Handelsdünger])-1)/(--(SEARCH(AX$2,Liste_Handelsünger[Handelsdünger])&gt;0)),ROW()-2),1),"")</f>
        <v>VERMIGRAND Wagramkompost</v>
      </c>
      <c r="AX318" t="str">
        <f>IF(($A325=""),"",IF(COUNTIF(Mineral!$AJ$3:$AJ$324,$A325),"",$A325))</f>
        <v/>
      </c>
      <c r="AY318" t="str">
        <f>IFERROR(INDEX(Liste_Handelsünger[Handelsdünger],_xlfn.AGGREGATE(15,6,(ROW(Liste_Handelsünger[Handelsdünger])-1)/(--(SEARCH(AZ$2,Liste_Handelsünger[Handelsdünger])&gt;0)),ROW()-2),1),"")</f>
        <v>VERMIGRAND Wagramkompost</v>
      </c>
      <c r="AZ318" t="str">
        <f>IF(($A326=""),"",IF(COUNTIF(Mineral!$AJ$3:$AJ$324,$A326),"",$A326))</f>
        <v/>
      </c>
      <c r="BA318" t="str">
        <f>IFERROR(INDEX(Liste_Handelsünger[Handelsdünger],_xlfn.AGGREGATE(15,6,(ROW(Liste_Handelsünger[Handelsdünger])-1)/(--(SEARCH(BB$2,Liste_Handelsünger[Handelsdünger])&gt;0)),ROW()-2),1),"")</f>
        <v>VERMIGRAND Wagramkompost</v>
      </c>
      <c r="BB318" t="str">
        <f>IF(($A327=""),"",IF(COUNTIF(Mineral!$AJ$3:$AJ$324,$A327),"",$A327))</f>
        <v/>
      </c>
      <c r="BC318" t="str">
        <f>IFERROR(INDEX(Liste_Handelsünger[Handelsdünger],_xlfn.AGGREGATE(15,6,(ROW(Liste_Handelsünger[Handelsdünger])-1)/(--(SEARCH(BD$2,Liste_Handelsünger[Handelsdünger])&gt;0)),ROW()-2),1),"")</f>
        <v>VERMIGRAND Wagramkompost</v>
      </c>
      <c r="BD318" t="str">
        <f>IF(($A328=""),"",IF(COUNTIF(Mineral!$AJ$3:$AJ$324,$A328),"",$A328))</f>
        <v/>
      </c>
      <c r="BE318" t="str">
        <f>IFERROR(INDEX(Liste_Handelsünger[Handelsdünger],_xlfn.AGGREGATE(15,6,(ROW(Liste_Handelsünger[Handelsdünger])-1)/(--(SEARCH(BF$2,Liste_Handelsünger[Handelsdünger])&gt;0)),ROW()-2),1),"")</f>
        <v>VERMIGRAND Wagramkompost</v>
      </c>
      <c r="BF318" t="str">
        <f>IF(($A329=""),"",IF(COUNTIF(Mineral!$AJ$3:$AJ$324,$A329),"",$A329))</f>
        <v/>
      </c>
      <c r="BG318" t="str">
        <f>IFERROR(INDEX(Liste_Handelsünger[Handelsdünger],_xlfn.AGGREGATE(15,6,(ROW(Liste_Handelsünger[Handelsdünger])-1)/(--(SEARCH(BH$2,Liste_Handelsünger[Handelsdünger])&gt;0)),ROW()-2),1),"")</f>
        <v>VERMIGRAND Wagramkompost</v>
      </c>
      <c r="BH318" t="str">
        <f>IF(($A330=""),"",IF(COUNTIF(Mineral!$AJ$3:$AJ$324,$A330),"",$A330))</f>
        <v/>
      </c>
      <c r="BI318" t="str">
        <f>IFERROR(INDEX(Liste_Handelsünger[Handelsdünger],_xlfn.AGGREGATE(15,6,(ROW(Liste_Handelsünger[Handelsdünger])-1)/(--(SEARCH(BJ$2,Liste_Handelsünger[Handelsdünger])&gt;0)),ROW()-2),1),"")</f>
        <v>VERMIGRAND Wagramkompost</v>
      </c>
      <c r="BJ318" t="str">
        <f>IF(($A331=""),"",IF(COUNTIF(Mineral!$AJ$3:$AJ$324,$A331),"",$A331))</f>
        <v/>
      </c>
      <c r="BK318" t="str">
        <f>IFERROR(INDEX(Liste_Handelsünger[Handelsdünger],_xlfn.AGGREGATE(15,6,(ROW(Liste_Handelsünger[Handelsdünger])-1)/(--(SEARCH(BL$2,Liste_Handelsünger[Handelsdünger])&gt;0)),ROW()-2),1),"")</f>
        <v>VERMIGRAND Wagramkompost</v>
      </c>
      <c r="BM318" t="str">
        <f>IFERROR(INDEX(Liste_Handelsünger[Handelsdünger],_xlfn.AGGREGATE(15,6,(ROW(Liste_Handelsünger[Handelsdünger])-1)/(--(SEARCH(BN$2,Liste_Handelsünger[Handelsdünger])&gt;0)),ROW()-2),1),"")</f>
        <v>VERMIGRAND Wagramkompost</v>
      </c>
      <c r="BN318" t="str">
        <f>IF(($A333=""),"",IF(COUNTIF(Mineral!$AJ$3:$AJ$324,$A333),"",$A333))</f>
        <v/>
      </c>
      <c r="BV318" t="s">
        <v>2317</v>
      </c>
      <c r="BW318" t="s">
        <v>2328</v>
      </c>
      <c r="BZ318" s="1602"/>
      <c r="CA318" s="1602"/>
      <c r="CB318" s="1602"/>
    </row>
    <row r="319" spans="19:80" ht="14.25" thickTop="1" thickBot="1">
      <c r="S319" s="1616">
        <v>318</v>
      </c>
      <c r="T319" s="1617" t="s">
        <v>2006</v>
      </c>
      <c r="U319" s="1617" t="s">
        <v>1035</v>
      </c>
      <c r="V319" s="1617" t="s">
        <v>408</v>
      </c>
      <c r="W319" s="1617">
        <v>2</v>
      </c>
      <c r="X319" s="1617">
        <v>0</v>
      </c>
      <c r="Y319" s="1617">
        <v>4</v>
      </c>
      <c r="Z319" s="1617">
        <v>0</v>
      </c>
      <c r="AA319" s="1617">
        <v>0</v>
      </c>
      <c r="AB319" s="1617">
        <v>0</v>
      </c>
      <c r="AC319" s="1617">
        <v>0.5</v>
      </c>
      <c r="AD319" s="1613">
        <v>0.91</v>
      </c>
      <c r="AE319" s="1617" t="s">
        <v>2037</v>
      </c>
      <c r="AF319" s="1613" t="str">
        <f t="shared" si="21"/>
        <v/>
      </c>
      <c r="AG319" s="1656">
        <f>IFERROR(IF($AF319&gt;0,VLOOKUP($U319,Tabelle1!$C$188:$L$212,5,0)*$AF319,0),0)</f>
        <v>0</v>
      </c>
      <c r="AH319" s="1656">
        <f t="shared" si="22"/>
        <v>0</v>
      </c>
      <c r="AJ319" t="str">
        <f>IF(Betrieb!$D$9="JA",Mineral!$BW319,Mineral!$BV319)</f>
        <v>Vinasse</v>
      </c>
      <c r="AK319" s="1672" t="str">
        <f>IFERROR(INDEX(Liste_Handelsünger[Handelsdünger],_xlfn.AGGREGATE(15,6,(ROW(Liste_Handelsünger[Handelsdünger])-1)/(--(SEARCH(AL$2,Liste_Handelsünger[Handelsdünger])&gt;0)),ROW()-2),1),"")</f>
        <v>Vinasse</v>
      </c>
      <c r="AL319" s="1672" t="str">
        <f>IF(($A$3=""),"",IF(COUNTIF(Mineral!$AJ$3:$AJ$324,$A$3),"",$A$3))</f>
        <v/>
      </c>
      <c r="AM319" s="1672" t="str">
        <f>IFERROR(INDEX(Liste_Handelsünger[Handelsdünger],_xlfn.AGGREGATE(15,6,(ROW(Liste_Handelsünger[Handelsdünger])-1)/(--(SEARCH(AN$2,Liste_Handelsünger[Handelsdünger])&gt;0)),ROW()-2),1),"")</f>
        <v>Vinasse</v>
      </c>
      <c r="AN319" t="str">
        <f>IF(($A321=""),"",IF(COUNTIF(Mineral!$AJ$3:$AJ$324,$A321),"",$A321))</f>
        <v/>
      </c>
      <c r="AO319" t="str">
        <f>IFERROR(INDEX(Liste_Handelsünger[Handelsdünger],_xlfn.AGGREGATE(15,6,(ROW(Liste_Handelsünger[Handelsdünger])-1)/(--(SEARCH(AP$2,Liste_Handelsünger[Handelsdünger])&gt;0)),ROW()-2),1),"")</f>
        <v>Vinasse</v>
      </c>
      <c r="AP319" t="str">
        <f>IF(($A322=""),"",IF(COUNTIF(Mineral!$AJ$3:$AJ$324,$A322),"",$A322))</f>
        <v/>
      </c>
      <c r="AQ319" t="str">
        <f>IFERROR(INDEX(Liste_Handelsünger[Handelsdünger],_xlfn.AGGREGATE(15,6,(ROW(Liste_Handelsünger[Handelsdünger])-1)/(--(SEARCH(AR$2,Liste_Handelsünger[Handelsdünger])&gt;0)),ROW()-2),1),"")</f>
        <v>Vinasse</v>
      </c>
      <c r="AR319" t="str">
        <f>IF(($A323=""),"",IF(COUNTIF(Mineral!$AJ$3:$AJ$324,$A323),"",$A323))</f>
        <v/>
      </c>
      <c r="AS319" t="str">
        <f>IFERROR(INDEX(Liste_Handelsünger[Handelsdünger],_xlfn.AGGREGATE(15,6,(ROW(Liste_Handelsünger[Handelsdünger])-1)/(--(SEARCH(AT$2,Liste_Handelsünger[Handelsdünger])&gt;0)),ROW()-2),1),"")</f>
        <v>Vinasse</v>
      </c>
      <c r="AT319" t="str">
        <f>IF(($A324=""),"",IF(COUNTIF(Mineral!$AJ$3:$AJ$324,$A324),"",$A324))</f>
        <v/>
      </c>
      <c r="AU319" t="str">
        <f>IFERROR(INDEX(Liste_Handelsünger[Handelsdünger],_xlfn.AGGREGATE(15,6,(ROW(Liste_Handelsünger[Handelsdünger])-1)/(--(SEARCH(AV$2,Liste_Handelsünger[Handelsdünger])&gt;0)),ROW()-2),1),"")</f>
        <v>Vinasse</v>
      </c>
      <c r="AV319" t="str">
        <f>IF(($A325=""),"",IF(COUNTIF(Mineral!$AJ$3:$AJ$324,$A325),"",$A325))</f>
        <v/>
      </c>
      <c r="AW319" t="str">
        <f>IFERROR(INDEX(Liste_Handelsünger[Handelsdünger],_xlfn.AGGREGATE(15,6,(ROW(Liste_Handelsünger[Handelsdünger])-1)/(--(SEARCH(AX$2,Liste_Handelsünger[Handelsdünger])&gt;0)),ROW()-2),1),"")</f>
        <v>Vinasse</v>
      </c>
      <c r="AX319" t="str">
        <f>IF(($A326=""),"",IF(COUNTIF(Mineral!$AJ$3:$AJ$324,$A326),"",$A326))</f>
        <v/>
      </c>
      <c r="AY319" t="str">
        <f>IFERROR(INDEX(Liste_Handelsünger[Handelsdünger],_xlfn.AGGREGATE(15,6,(ROW(Liste_Handelsünger[Handelsdünger])-1)/(--(SEARCH(AZ$2,Liste_Handelsünger[Handelsdünger])&gt;0)),ROW()-2),1),"")</f>
        <v>Vinasse</v>
      </c>
      <c r="AZ319" t="str">
        <f>IF(($A327=""),"",IF(COUNTIF(Mineral!$AJ$3:$AJ$324,$A327),"",$A327))</f>
        <v/>
      </c>
      <c r="BA319" t="str">
        <f>IFERROR(INDEX(Liste_Handelsünger[Handelsdünger],_xlfn.AGGREGATE(15,6,(ROW(Liste_Handelsünger[Handelsdünger])-1)/(--(SEARCH(BB$2,Liste_Handelsünger[Handelsdünger])&gt;0)),ROW()-2),1),"")</f>
        <v>Vinasse</v>
      </c>
      <c r="BB319" t="str">
        <f>IF(($A328=""),"",IF(COUNTIF(Mineral!$AJ$3:$AJ$324,$A328),"",$A328))</f>
        <v/>
      </c>
      <c r="BC319" t="str">
        <f>IFERROR(INDEX(Liste_Handelsünger[Handelsdünger],_xlfn.AGGREGATE(15,6,(ROW(Liste_Handelsünger[Handelsdünger])-1)/(--(SEARCH(BD$2,Liste_Handelsünger[Handelsdünger])&gt;0)),ROW()-2),1),"")</f>
        <v>Vinasse</v>
      </c>
      <c r="BD319" t="str">
        <f>IF(($A329=""),"",IF(COUNTIF(Mineral!$AJ$3:$AJ$324,$A329),"",$A329))</f>
        <v/>
      </c>
      <c r="BE319" t="str">
        <f>IFERROR(INDEX(Liste_Handelsünger[Handelsdünger],_xlfn.AGGREGATE(15,6,(ROW(Liste_Handelsünger[Handelsdünger])-1)/(--(SEARCH(BF$2,Liste_Handelsünger[Handelsdünger])&gt;0)),ROW()-2),1),"")</f>
        <v>Vinasse</v>
      </c>
      <c r="BF319" t="str">
        <f>IF(($A330=""),"",IF(COUNTIF(Mineral!$AJ$3:$AJ$324,$A330),"",$A330))</f>
        <v/>
      </c>
      <c r="BG319" t="str">
        <f>IFERROR(INDEX(Liste_Handelsünger[Handelsdünger],_xlfn.AGGREGATE(15,6,(ROW(Liste_Handelsünger[Handelsdünger])-1)/(--(SEARCH(BH$2,Liste_Handelsünger[Handelsdünger])&gt;0)),ROW()-2),1),"")</f>
        <v>Vinasse</v>
      </c>
      <c r="BH319" t="str">
        <f>IF(($A331=""),"",IF(COUNTIF(Mineral!$AJ$3:$AJ$324,$A331),"",$A331))</f>
        <v/>
      </c>
      <c r="BI319" t="str">
        <f>IFERROR(INDEX(Liste_Handelsünger[Handelsdünger],_xlfn.AGGREGATE(15,6,(ROW(Liste_Handelsünger[Handelsdünger])-1)/(--(SEARCH(BJ$2,Liste_Handelsünger[Handelsdünger])&gt;0)),ROW()-2),1),"")</f>
        <v>Vinasse</v>
      </c>
      <c r="BJ319" t="str">
        <f>IF(($A332=""),"",IF(COUNTIF(Mineral!$AJ$3:$AJ$324,$A332),"",$A332))</f>
        <v/>
      </c>
      <c r="BK319" t="str">
        <f>IFERROR(INDEX(Liste_Handelsünger[Handelsdünger],_xlfn.AGGREGATE(15,6,(ROW(Liste_Handelsünger[Handelsdünger])-1)/(--(SEARCH(BL$2,Liste_Handelsünger[Handelsdünger])&gt;0)),ROW()-2),1),"")</f>
        <v>Vinasse</v>
      </c>
      <c r="BM319" t="str">
        <f>IFERROR(INDEX(Liste_Handelsünger[Handelsdünger],_xlfn.AGGREGATE(15,6,(ROW(Liste_Handelsünger[Handelsdünger])-1)/(--(SEARCH(BN$2,Liste_Handelsünger[Handelsdünger])&gt;0)),ROW()-2),1),"")</f>
        <v>Vinasse</v>
      </c>
      <c r="BN319" t="str">
        <f>IF(($A334=""),"",IF(COUNTIF(Mineral!$AJ$3:$AJ$324,$A334),"",$A334))</f>
        <v/>
      </c>
      <c r="BV319" t="s">
        <v>1035</v>
      </c>
      <c r="BW319" t="s">
        <v>2329</v>
      </c>
      <c r="BZ319" s="1602"/>
      <c r="CA319" s="1602"/>
      <c r="CB319" s="1602"/>
    </row>
    <row r="320" spans="19:80" ht="14.25" thickTop="1" thickBot="1">
      <c r="S320" s="1676">
        <v>319</v>
      </c>
      <c r="T320" s="1606" t="s">
        <v>2006</v>
      </c>
      <c r="U320" s="1606" t="s">
        <v>2318</v>
      </c>
      <c r="V320" s="1606" t="s">
        <v>408</v>
      </c>
      <c r="W320" s="1606">
        <v>2</v>
      </c>
      <c r="X320" s="1606">
        <v>0.3</v>
      </c>
      <c r="Y320" s="1606">
        <v>5.8000000000000007</v>
      </c>
      <c r="Z320" s="1606">
        <v>0</v>
      </c>
      <c r="AA320" s="1606">
        <v>0.70000000000000007</v>
      </c>
      <c r="AB320" s="1606">
        <v>0</v>
      </c>
      <c r="AC320" s="1606">
        <v>0.5</v>
      </c>
      <c r="AD320" s="1613">
        <v>0.91</v>
      </c>
      <c r="AE320" s="1606" t="s">
        <v>2037</v>
      </c>
      <c r="AF320" s="1613" t="str">
        <f t="shared" si="21"/>
        <v/>
      </c>
      <c r="AG320" s="1656">
        <f>IFERROR(IF($AF320&gt;0,VLOOKUP($U320,Tabelle1!$C$188:$L$212,5,0)*$AF320,0),0)</f>
        <v>0</v>
      </c>
      <c r="AH320" s="1656">
        <f t="shared" si="22"/>
        <v>0</v>
      </c>
      <c r="AJ320" t="str">
        <f>IF(Betrieb!$D$9="JA",Mineral!$BW320,Mineral!$BV320)</f>
        <v>Vinasse C</v>
      </c>
      <c r="AK320" s="1672" t="str">
        <f>IFERROR(INDEX(Liste_Handelsünger[Handelsdünger],_xlfn.AGGREGATE(15,6,(ROW(Liste_Handelsünger[Handelsdünger])-1)/(--(SEARCH(AL$2,Liste_Handelsünger[Handelsdünger])&gt;0)),ROW()-2),1),"")</f>
        <v>Vinasse C</v>
      </c>
      <c r="AL320" s="1672" t="str">
        <f>IF(($A$3=""),"",IF(COUNTIF(Mineral!$AJ$3:$AJ$324,$A$3),"",$A$3))</f>
        <v/>
      </c>
      <c r="AM320" s="1672" t="str">
        <f>IFERROR(INDEX(Liste_Handelsünger[Handelsdünger],_xlfn.AGGREGATE(15,6,(ROW(Liste_Handelsünger[Handelsdünger])-1)/(--(SEARCH(AN$2,Liste_Handelsünger[Handelsdünger])&gt;0)),ROW()-2),1),"")</f>
        <v>Vinasse C</v>
      </c>
      <c r="AN320" t="str">
        <f>IF(($A322=""),"",IF(COUNTIF(Mineral!$AJ$3:$AJ$324,$A322),"",$A322))</f>
        <v/>
      </c>
      <c r="AO320" t="str">
        <f>IFERROR(INDEX(Liste_Handelsünger[Handelsdünger],_xlfn.AGGREGATE(15,6,(ROW(Liste_Handelsünger[Handelsdünger])-1)/(--(SEARCH(AP$2,Liste_Handelsünger[Handelsdünger])&gt;0)),ROW()-2),1),"")</f>
        <v>Vinasse C</v>
      </c>
      <c r="AP320" t="str">
        <f>IF(($A323=""),"",IF(COUNTIF(Mineral!$AJ$3:$AJ$324,$A323),"",$A323))</f>
        <v/>
      </c>
      <c r="AQ320" t="str">
        <f>IFERROR(INDEX(Liste_Handelsünger[Handelsdünger],_xlfn.AGGREGATE(15,6,(ROW(Liste_Handelsünger[Handelsdünger])-1)/(--(SEARCH(AR$2,Liste_Handelsünger[Handelsdünger])&gt;0)),ROW()-2),1),"")</f>
        <v>Vinasse C</v>
      </c>
      <c r="AR320" t="str">
        <f>IF(($A324=""),"",IF(COUNTIF(Mineral!$AJ$3:$AJ$324,$A324),"",$A324))</f>
        <v/>
      </c>
      <c r="AS320" t="str">
        <f>IFERROR(INDEX(Liste_Handelsünger[Handelsdünger],_xlfn.AGGREGATE(15,6,(ROW(Liste_Handelsünger[Handelsdünger])-1)/(--(SEARCH(AT$2,Liste_Handelsünger[Handelsdünger])&gt;0)),ROW()-2),1),"")</f>
        <v>Vinasse C</v>
      </c>
      <c r="AT320" t="str">
        <f>IF(($A325=""),"",IF(COUNTIF(Mineral!$AJ$3:$AJ$324,$A325),"",$A325))</f>
        <v/>
      </c>
      <c r="AU320" t="str">
        <f>IFERROR(INDEX(Liste_Handelsünger[Handelsdünger],_xlfn.AGGREGATE(15,6,(ROW(Liste_Handelsünger[Handelsdünger])-1)/(--(SEARCH(AV$2,Liste_Handelsünger[Handelsdünger])&gt;0)),ROW()-2),1),"")</f>
        <v>Vinasse C</v>
      </c>
      <c r="AV320" t="str">
        <f>IF(($A326=""),"",IF(COUNTIF(Mineral!$AJ$3:$AJ$324,$A326),"",$A326))</f>
        <v/>
      </c>
      <c r="AW320" t="str">
        <f>IFERROR(INDEX(Liste_Handelsünger[Handelsdünger],_xlfn.AGGREGATE(15,6,(ROW(Liste_Handelsünger[Handelsdünger])-1)/(--(SEARCH(AX$2,Liste_Handelsünger[Handelsdünger])&gt;0)),ROW()-2),1),"")</f>
        <v>Vinasse C</v>
      </c>
      <c r="AX320" t="str">
        <f>IF(($A327=""),"",IF(COUNTIF(Mineral!$AJ$3:$AJ$324,$A327),"",$A327))</f>
        <v/>
      </c>
      <c r="AY320" t="str">
        <f>IFERROR(INDEX(Liste_Handelsünger[Handelsdünger],_xlfn.AGGREGATE(15,6,(ROW(Liste_Handelsünger[Handelsdünger])-1)/(--(SEARCH(AZ$2,Liste_Handelsünger[Handelsdünger])&gt;0)),ROW()-2),1),"")</f>
        <v>Vinasse C</v>
      </c>
      <c r="AZ320" t="str">
        <f>IF(($A328=""),"",IF(COUNTIF(Mineral!$AJ$3:$AJ$324,$A328),"",$A328))</f>
        <v/>
      </c>
      <c r="BA320" t="str">
        <f>IFERROR(INDEX(Liste_Handelsünger[Handelsdünger],_xlfn.AGGREGATE(15,6,(ROW(Liste_Handelsünger[Handelsdünger])-1)/(--(SEARCH(BB$2,Liste_Handelsünger[Handelsdünger])&gt;0)),ROW()-2),1),"")</f>
        <v>Vinasse C</v>
      </c>
      <c r="BB320" t="str">
        <f>IF(($A329=""),"",IF(COUNTIF(Mineral!$AJ$3:$AJ$324,$A329),"",$A329))</f>
        <v/>
      </c>
      <c r="BC320" t="str">
        <f>IFERROR(INDEX(Liste_Handelsünger[Handelsdünger],_xlfn.AGGREGATE(15,6,(ROW(Liste_Handelsünger[Handelsdünger])-1)/(--(SEARCH(BD$2,Liste_Handelsünger[Handelsdünger])&gt;0)),ROW()-2),1),"")</f>
        <v>Vinasse C</v>
      </c>
      <c r="BD320" t="str">
        <f>IF(($A330=""),"",IF(COUNTIF(Mineral!$AJ$3:$AJ$324,$A330),"",$A330))</f>
        <v/>
      </c>
      <c r="BE320" t="str">
        <f>IFERROR(INDEX(Liste_Handelsünger[Handelsdünger],_xlfn.AGGREGATE(15,6,(ROW(Liste_Handelsünger[Handelsdünger])-1)/(--(SEARCH(BF$2,Liste_Handelsünger[Handelsdünger])&gt;0)),ROW()-2),1),"")</f>
        <v>Vinasse C</v>
      </c>
      <c r="BF320" t="str">
        <f>IF(($A331=""),"",IF(COUNTIF(Mineral!$AJ$3:$AJ$324,$A331),"",$A331))</f>
        <v/>
      </c>
      <c r="BG320" t="str">
        <f>IFERROR(INDEX(Liste_Handelsünger[Handelsdünger],_xlfn.AGGREGATE(15,6,(ROW(Liste_Handelsünger[Handelsdünger])-1)/(--(SEARCH(BH$2,Liste_Handelsünger[Handelsdünger])&gt;0)),ROW()-2),1),"")</f>
        <v>Vinasse C</v>
      </c>
      <c r="BH320" t="str">
        <f>IF(($A332=""),"",IF(COUNTIF(Mineral!$AJ$3:$AJ$324,$A332),"",$A332))</f>
        <v/>
      </c>
      <c r="BI320" t="str">
        <f>IFERROR(INDEX(Liste_Handelsünger[Handelsdünger],_xlfn.AGGREGATE(15,6,(ROW(Liste_Handelsünger[Handelsdünger])-1)/(--(SEARCH(BJ$2,Liste_Handelsünger[Handelsdünger])&gt;0)),ROW()-2),1),"")</f>
        <v>Vinasse C</v>
      </c>
      <c r="BJ320" t="str">
        <f>IF(($A333=""),"",IF(COUNTIF(Mineral!$AJ$3:$AJ$324,$A333),"",$A333))</f>
        <v/>
      </c>
      <c r="BK320" t="str">
        <f>IFERROR(INDEX(Liste_Handelsünger[Handelsdünger],_xlfn.AGGREGATE(15,6,(ROW(Liste_Handelsünger[Handelsdünger])-1)/(--(SEARCH(BL$2,Liste_Handelsünger[Handelsdünger])&gt;0)),ROW()-2),1),"")</f>
        <v>Vinasse C</v>
      </c>
      <c r="BM320" t="str">
        <f>IFERROR(INDEX(Liste_Handelsünger[Handelsdünger],_xlfn.AGGREGATE(15,6,(ROW(Liste_Handelsünger[Handelsdünger])-1)/(--(SEARCH(BN$2,Liste_Handelsünger[Handelsdünger])&gt;0)),ROW()-2),1),"")</f>
        <v>Vinasse C</v>
      </c>
      <c r="BN320" t="str">
        <f>IF(($A335=""),"",IF(COUNTIF(Mineral!$AJ$3:$AJ$324,$A335),"",$A335))</f>
        <v/>
      </c>
      <c r="BV320" t="s">
        <v>2318</v>
      </c>
      <c r="BW320" t="s">
        <v>2330</v>
      </c>
      <c r="BZ320" s="1602"/>
      <c r="CA320" s="1602"/>
      <c r="CB320" s="1602"/>
    </row>
    <row r="321" spans="19:80" ht="14.25" thickTop="1" thickBot="1">
      <c r="S321" s="1616">
        <v>320</v>
      </c>
      <c r="T321" s="1617" t="s">
        <v>2006</v>
      </c>
      <c r="U321" s="1617" t="s">
        <v>2319</v>
      </c>
      <c r="V321" s="1617" t="s">
        <v>408</v>
      </c>
      <c r="W321" s="1617">
        <v>5</v>
      </c>
      <c r="X321" s="1617">
        <v>0.3</v>
      </c>
      <c r="Y321" s="1617">
        <v>5.5</v>
      </c>
      <c r="Z321" s="1617">
        <v>0</v>
      </c>
      <c r="AA321" s="1617">
        <v>0</v>
      </c>
      <c r="AB321" s="1617">
        <v>0</v>
      </c>
      <c r="AC321" s="1617">
        <v>0.7</v>
      </c>
      <c r="AD321" s="1613">
        <v>0.87</v>
      </c>
      <c r="AE321" s="1617" t="s">
        <v>2016</v>
      </c>
      <c r="AF321" s="1613" t="str">
        <f t="shared" si="21"/>
        <v/>
      </c>
      <c r="AG321" s="1656">
        <f>IFERROR(IF($AF321&gt;0,VLOOKUP($U321,Tabelle1!$C$188:$L$212,5,0)*$AF321,0),0)</f>
        <v>0</v>
      </c>
      <c r="AH321" s="1656">
        <f t="shared" si="22"/>
        <v>0</v>
      </c>
      <c r="AJ321" t="str">
        <f>IF(Betrieb!$D$9="JA",Mineral!$BW321,Mineral!$BV321)</f>
        <v>Vinasse Team F</v>
      </c>
      <c r="AK321" s="1672" t="str">
        <f>IFERROR(INDEX(Liste_Handelsünger[Handelsdünger],_xlfn.AGGREGATE(15,6,(ROW(Liste_Handelsünger[Handelsdünger])-1)/(--(SEARCH(AL$2,Liste_Handelsünger[Handelsdünger])&gt;0)),ROW()-2),1),"")</f>
        <v>Vinasse Team F</v>
      </c>
      <c r="AL321" s="1672" t="str">
        <f>IF(($A$3=""),"",IF(COUNTIF(Mineral!$AJ$3:$AJ$324,$A$3),"",$A$3))</f>
        <v/>
      </c>
      <c r="AM321" s="1672" t="str">
        <f>IFERROR(INDEX(Liste_Handelsünger[Handelsdünger],_xlfn.AGGREGATE(15,6,(ROW(Liste_Handelsünger[Handelsdünger])-1)/(--(SEARCH(AN$2,Liste_Handelsünger[Handelsdünger])&gt;0)),ROW()-2),1),"")</f>
        <v>Vinasse Team F</v>
      </c>
      <c r="AN321" t="str">
        <f>IF(($A323=""),"",IF(COUNTIF(Mineral!$AJ$3:$AJ$324,$A323),"",$A323))</f>
        <v/>
      </c>
      <c r="AO321" t="str">
        <f>IFERROR(INDEX(Liste_Handelsünger[Handelsdünger],_xlfn.AGGREGATE(15,6,(ROW(Liste_Handelsünger[Handelsdünger])-1)/(--(SEARCH(AP$2,Liste_Handelsünger[Handelsdünger])&gt;0)),ROW()-2),1),"")</f>
        <v>Vinasse Team F</v>
      </c>
      <c r="AP321" t="str">
        <f>IF(($A324=""),"",IF(COUNTIF(Mineral!$AJ$3:$AJ$324,$A324),"",$A324))</f>
        <v/>
      </c>
      <c r="AQ321" t="str">
        <f>IFERROR(INDEX(Liste_Handelsünger[Handelsdünger],_xlfn.AGGREGATE(15,6,(ROW(Liste_Handelsünger[Handelsdünger])-1)/(--(SEARCH(AR$2,Liste_Handelsünger[Handelsdünger])&gt;0)),ROW()-2),1),"")</f>
        <v>Vinasse Team F</v>
      </c>
      <c r="AR321" t="str">
        <f>IF(($A325=""),"",IF(COUNTIF(Mineral!$AJ$3:$AJ$324,$A325),"",$A325))</f>
        <v/>
      </c>
      <c r="AS321" t="str">
        <f>IFERROR(INDEX(Liste_Handelsünger[Handelsdünger],_xlfn.AGGREGATE(15,6,(ROW(Liste_Handelsünger[Handelsdünger])-1)/(--(SEARCH(AT$2,Liste_Handelsünger[Handelsdünger])&gt;0)),ROW()-2),1),"")</f>
        <v>Vinasse Team F</v>
      </c>
      <c r="AT321" t="str">
        <f>IF(($A326=""),"",IF(COUNTIF(Mineral!$AJ$3:$AJ$324,$A326),"",$A326))</f>
        <v/>
      </c>
      <c r="AU321" t="str">
        <f>IFERROR(INDEX(Liste_Handelsünger[Handelsdünger],_xlfn.AGGREGATE(15,6,(ROW(Liste_Handelsünger[Handelsdünger])-1)/(--(SEARCH(AV$2,Liste_Handelsünger[Handelsdünger])&gt;0)),ROW()-2),1),"")</f>
        <v>Vinasse Team F</v>
      </c>
      <c r="AV321" t="str">
        <f>IF(($A327=""),"",IF(COUNTIF(Mineral!$AJ$3:$AJ$324,$A327),"",$A327))</f>
        <v/>
      </c>
      <c r="AW321" t="str">
        <f>IFERROR(INDEX(Liste_Handelsünger[Handelsdünger],_xlfn.AGGREGATE(15,6,(ROW(Liste_Handelsünger[Handelsdünger])-1)/(--(SEARCH(AX$2,Liste_Handelsünger[Handelsdünger])&gt;0)),ROW()-2),1),"")</f>
        <v>Vinasse Team F</v>
      </c>
      <c r="AX321" t="str">
        <f>IF(($A328=""),"",IF(COUNTIF(Mineral!$AJ$3:$AJ$324,$A328),"",$A328))</f>
        <v/>
      </c>
      <c r="AY321" t="str">
        <f>IFERROR(INDEX(Liste_Handelsünger[Handelsdünger],_xlfn.AGGREGATE(15,6,(ROW(Liste_Handelsünger[Handelsdünger])-1)/(--(SEARCH(AZ$2,Liste_Handelsünger[Handelsdünger])&gt;0)),ROW()-2),1),"")</f>
        <v>Vinasse Team F</v>
      </c>
      <c r="AZ321" t="str">
        <f>IF(($A329=""),"",IF(COUNTIF(Mineral!$AJ$3:$AJ$324,$A329),"",$A329))</f>
        <v/>
      </c>
      <c r="BA321" t="str">
        <f>IFERROR(INDEX(Liste_Handelsünger[Handelsdünger],_xlfn.AGGREGATE(15,6,(ROW(Liste_Handelsünger[Handelsdünger])-1)/(--(SEARCH(BB$2,Liste_Handelsünger[Handelsdünger])&gt;0)),ROW()-2),1),"")</f>
        <v>Vinasse Team F</v>
      </c>
      <c r="BB321" t="str">
        <f>IF(($A330=""),"",IF(COUNTIF(Mineral!$AJ$3:$AJ$324,$A330),"",$A330))</f>
        <v/>
      </c>
      <c r="BC321" t="str">
        <f>IFERROR(INDEX(Liste_Handelsünger[Handelsdünger],_xlfn.AGGREGATE(15,6,(ROW(Liste_Handelsünger[Handelsdünger])-1)/(--(SEARCH(BD$2,Liste_Handelsünger[Handelsdünger])&gt;0)),ROW()-2),1),"")</f>
        <v>Vinasse Team F</v>
      </c>
      <c r="BD321" t="str">
        <f>IF(($A331=""),"",IF(COUNTIF(Mineral!$AJ$3:$AJ$324,$A331),"",$A331))</f>
        <v/>
      </c>
      <c r="BE321" t="str">
        <f>IFERROR(INDEX(Liste_Handelsünger[Handelsdünger],_xlfn.AGGREGATE(15,6,(ROW(Liste_Handelsünger[Handelsdünger])-1)/(--(SEARCH(BF$2,Liste_Handelsünger[Handelsdünger])&gt;0)),ROW()-2),1),"")</f>
        <v>Vinasse Team F</v>
      </c>
      <c r="BF321" t="str">
        <f>IF(($A332=""),"",IF(COUNTIF(Mineral!$AJ$3:$AJ$324,$A332),"",$A332))</f>
        <v/>
      </c>
      <c r="BG321" t="str">
        <f>IFERROR(INDEX(Liste_Handelsünger[Handelsdünger],_xlfn.AGGREGATE(15,6,(ROW(Liste_Handelsünger[Handelsdünger])-1)/(--(SEARCH(BH$2,Liste_Handelsünger[Handelsdünger])&gt;0)),ROW()-2),1),"")</f>
        <v>Vinasse Team F</v>
      </c>
      <c r="BH321" t="str">
        <f>IF(($A333=""),"",IF(COUNTIF(Mineral!$AJ$3:$AJ$324,$A333),"",$A333))</f>
        <v/>
      </c>
      <c r="BI321" t="str">
        <f>IFERROR(INDEX(Liste_Handelsünger[Handelsdünger],_xlfn.AGGREGATE(15,6,(ROW(Liste_Handelsünger[Handelsdünger])-1)/(--(SEARCH(BJ$2,Liste_Handelsünger[Handelsdünger])&gt;0)),ROW()-2),1),"")</f>
        <v>Vinasse Team F</v>
      </c>
      <c r="BJ321" t="str">
        <f>IF(($A334=""),"",IF(COUNTIF(Mineral!$AJ$3:$AJ$324,$A334),"",$A334))</f>
        <v/>
      </c>
      <c r="BK321" t="str">
        <f>IFERROR(INDEX(Liste_Handelsünger[Handelsdünger],_xlfn.AGGREGATE(15,6,(ROW(Liste_Handelsünger[Handelsdünger])-1)/(--(SEARCH(BL$2,Liste_Handelsünger[Handelsdünger])&gt;0)),ROW()-2),1),"")</f>
        <v>Vinasse Team F</v>
      </c>
      <c r="BM321" t="str">
        <f>IFERROR(INDEX(Liste_Handelsünger[Handelsdünger],_xlfn.AGGREGATE(15,6,(ROW(Liste_Handelsünger[Handelsdünger])-1)/(--(SEARCH(BN$2,Liste_Handelsünger[Handelsdünger])&gt;0)),ROW()-2),1),"")</f>
        <v>Vinasse Team F</v>
      </c>
      <c r="BN321" t="str">
        <f>IF(($A336=""),"",IF(COUNTIF(Mineral!$AJ$3:$AJ$324,$A336),"",$A336))</f>
        <v/>
      </c>
      <c r="BV321" t="s">
        <v>2319</v>
      </c>
      <c r="BW321" t="s">
        <v>2331</v>
      </c>
      <c r="BZ321" s="1602"/>
      <c r="CA321" s="1602"/>
      <c r="CB321" s="1602"/>
    </row>
    <row r="322" spans="19:80" ht="14.25" thickTop="1" thickBot="1">
      <c r="S322" s="1676">
        <v>321</v>
      </c>
      <c r="T322" s="1606" t="s">
        <v>2006</v>
      </c>
      <c r="U322" s="1606" t="s">
        <v>2320</v>
      </c>
      <c r="V322" s="1606" t="s">
        <v>408</v>
      </c>
      <c r="W322" s="1606">
        <v>0</v>
      </c>
      <c r="X322" s="1606">
        <v>31</v>
      </c>
      <c r="Y322" s="1606">
        <v>0</v>
      </c>
      <c r="Z322" s="1606">
        <v>0</v>
      </c>
      <c r="AA322" s="1606">
        <v>52.5</v>
      </c>
      <c r="AB322" s="1606">
        <v>0</v>
      </c>
      <c r="AC322" s="1606">
        <v>1</v>
      </c>
      <c r="AD322" s="1613">
        <v>1</v>
      </c>
      <c r="AE322" s="1606" t="s">
        <v>1764</v>
      </c>
      <c r="AF322" s="1613" t="str">
        <f t="shared" si="21"/>
        <v/>
      </c>
      <c r="AG322" s="1656">
        <f>IFERROR(IF($AF322&gt;0,VLOOKUP($U322,Tabelle1!$C$188:$L$212,5,0)*$AF322,0),0)</f>
        <v>0</v>
      </c>
      <c r="AH322" s="1656">
        <f t="shared" si="22"/>
        <v>0</v>
      </c>
      <c r="AJ322" t="str">
        <f>IF(Betrieb!$D$9="JA",Mineral!$BW322,Mineral!$BV322)</f>
        <v>Weicherdiges Rohphosphat (Naturphosphat)</v>
      </c>
      <c r="AK322" s="1672" t="str">
        <f>IFERROR(INDEX(Liste_Handelsünger[Handelsdünger],_xlfn.AGGREGATE(15,6,(ROW(Liste_Handelsünger[Handelsdünger])-1)/(--(SEARCH(AL$2,Liste_Handelsünger[Handelsdünger])&gt;0)),ROW()-2),1),"")</f>
        <v>Weicherdiges Rohphosphat (Naturphosphat)</v>
      </c>
      <c r="AL322" s="1672" t="str">
        <f>IF(($A$3=""),"",IF(COUNTIF(Mineral!$AJ$3:$AJ$324,$A$3),"",$A$3))</f>
        <v/>
      </c>
      <c r="AM322" s="1672" t="str">
        <f>IFERROR(INDEX(Liste_Handelsünger[Handelsdünger],_xlfn.AGGREGATE(15,6,(ROW(Liste_Handelsünger[Handelsdünger])-1)/(--(SEARCH(AN$2,Liste_Handelsünger[Handelsdünger])&gt;0)),ROW()-2),1),"")</f>
        <v>Weicherdiges Rohphosphat (Naturphosphat)</v>
      </c>
      <c r="AN322" t="str">
        <f>IF(($A324=""),"",IF(COUNTIF(Mineral!$AJ$3:$AJ$324,$A324),"",$A324))</f>
        <v/>
      </c>
      <c r="AO322" t="str">
        <f>IFERROR(INDEX(Liste_Handelsünger[Handelsdünger],_xlfn.AGGREGATE(15,6,(ROW(Liste_Handelsünger[Handelsdünger])-1)/(--(SEARCH(AP$2,Liste_Handelsünger[Handelsdünger])&gt;0)),ROW()-2),1),"")</f>
        <v>Weicherdiges Rohphosphat (Naturphosphat)</v>
      </c>
      <c r="AP322" t="str">
        <f>IF(($A325=""),"",IF(COUNTIF(Mineral!$AJ$3:$AJ$324,$A325),"",$A325))</f>
        <v/>
      </c>
      <c r="AQ322" t="str">
        <f>IFERROR(INDEX(Liste_Handelsünger[Handelsdünger],_xlfn.AGGREGATE(15,6,(ROW(Liste_Handelsünger[Handelsdünger])-1)/(--(SEARCH(AR$2,Liste_Handelsünger[Handelsdünger])&gt;0)),ROW()-2),1),"")</f>
        <v>Weicherdiges Rohphosphat (Naturphosphat)</v>
      </c>
      <c r="AR322" t="str">
        <f>IF(($A326=""),"",IF(COUNTIF(Mineral!$AJ$3:$AJ$324,$A326),"",$A326))</f>
        <v/>
      </c>
      <c r="AS322" t="str">
        <f>IFERROR(INDEX(Liste_Handelsünger[Handelsdünger],_xlfn.AGGREGATE(15,6,(ROW(Liste_Handelsünger[Handelsdünger])-1)/(--(SEARCH(AT$2,Liste_Handelsünger[Handelsdünger])&gt;0)),ROW()-2),1),"")</f>
        <v>Weicherdiges Rohphosphat (Naturphosphat)</v>
      </c>
      <c r="AT322" t="str">
        <f>IF(($A327=""),"",IF(COUNTIF(Mineral!$AJ$3:$AJ$324,$A327),"",$A327))</f>
        <v/>
      </c>
      <c r="AU322" t="str">
        <f>IFERROR(INDEX(Liste_Handelsünger[Handelsdünger],_xlfn.AGGREGATE(15,6,(ROW(Liste_Handelsünger[Handelsdünger])-1)/(--(SEARCH(AV$2,Liste_Handelsünger[Handelsdünger])&gt;0)),ROW()-2),1),"")</f>
        <v>Weicherdiges Rohphosphat (Naturphosphat)</v>
      </c>
      <c r="AV322" t="str">
        <f>IF(($A328=""),"",IF(COUNTIF(Mineral!$AJ$3:$AJ$324,$A328),"",$A328))</f>
        <v/>
      </c>
      <c r="AW322" t="str">
        <f>IFERROR(INDEX(Liste_Handelsünger[Handelsdünger],_xlfn.AGGREGATE(15,6,(ROW(Liste_Handelsünger[Handelsdünger])-1)/(--(SEARCH(AX$2,Liste_Handelsünger[Handelsdünger])&gt;0)),ROW()-2),1),"")</f>
        <v>Weicherdiges Rohphosphat (Naturphosphat)</v>
      </c>
      <c r="AX322" t="str">
        <f>IF(($A329=""),"",IF(COUNTIF(Mineral!$AJ$3:$AJ$324,$A329),"",$A329))</f>
        <v/>
      </c>
      <c r="AY322" t="str">
        <f>IFERROR(INDEX(Liste_Handelsünger[Handelsdünger],_xlfn.AGGREGATE(15,6,(ROW(Liste_Handelsünger[Handelsdünger])-1)/(--(SEARCH(AZ$2,Liste_Handelsünger[Handelsdünger])&gt;0)),ROW()-2),1),"")</f>
        <v>Weicherdiges Rohphosphat (Naturphosphat)</v>
      </c>
      <c r="AZ322" t="str">
        <f>IF(($A330=""),"",IF(COUNTIF(Mineral!$AJ$3:$AJ$324,$A330),"",$A330))</f>
        <v/>
      </c>
      <c r="BA322" t="str">
        <f>IFERROR(INDEX(Liste_Handelsünger[Handelsdünger],_xlfn.AGGREGATE(15,6,(ROW(Liste_Handelsünger[Handelsdünger])-1)/(--(SEARCH(BB$2,Liste_Handelsünger[Handelsdünger])&gt;0)),ROW()-2),1),"")</f>
        <v>Weicherdiges Rohphosphat (Naturphosphat)</v>
      </c>
      <c r="BB322" t="str">
        <f>IF(($A331=""),"",IF(COUNTIF(Mineral!$AJ$3:$AJ$324,$A331),"",$A331))</f>
        <v/>
      </c>
      <c r="BC322" t="str">
        <f>IFERROR(INDEX(Liste_Handelsünger[Handelsdünger],_xlfn.AGGREGATE(15,6,(ROW(Liste_Handelsünger[Handelsdünger])-1)/(--(SEARCH(BD$2,Liste_Handelsünger[Handelsdünger])&gt;0)),ROW()-2),1),"")</f>
        <v>Weicherdiges Rohphosphat (Naturphosphat)</v>
      </c>
      <c r="BD322" t="str">
        <f>IF(($A332=""),"",IF(COUNTIF(Mineral!$AJ$3:$AJ$324,$A332),"",$A332))</f>
        <v/>
      </c>
      <c r="BE322" t="str">
        <f>IFERROR(INDEX(Liste_Handelsünger[Handelsdünger],_xlfn.AGGREGATE(15,6,(ROW(Liste_Handelsünger[Handelsdünger])-1)/(--(SEARCH(BF$2,Liste_Handelsünger[Handelsdünger])&gt;0)),ROW()-2),1),"")</f>
        <v>Weicherdiges Rohphosphat (Naturphosphat)</v>
      </c>
      <c r="BF322" t="str">
        <f>IF(($A333=""),"",IF(COUNTIF(Mineral!$AJ$3:$AJ$324,$A333),"",$A333))</f>
        <v/>
      </c>
      <c r="BG322" t="str">
        <f>IFERROR(INDEX(Liste_Handelsünger[Handelsdünger],_xlfn.AGGREGATE(15,6,(ROW(Liste_Handelsünger[Handelsdünger])-1)/(--(SEARCH(BH$2,Liste_Handelsünger[Handelsdünger])&gt;0)),ROW()-2),1),"")</f>
        <v>Weicherdiges Rohphosphat (Naturphosphat)</v>
      </c>
      <c r="BH322" t="str">
        <f>IF(($A334=""),"",IF(COUNTIF(Mineral!$AJ$3:$AJ$324,$A334),"",$A334))</f>
        <v/>
      </c>
      <c r="BI322" t="str">
        <f>IFERROR(INDEX(Liste_Handelsünger[Handelsdünger],_xlfn.AGGREGATE(15,6,(ROW(Liste_Handelsünger[Handelsdünger])-1)/(--(SEARCH(BJ$2,Liste_Handelsünger[Handelsdünger])&gt;0)),ROW()-2),1),"")</f>
        <v>Weicherdiges Rohphosphat (Naturphosphat)</v>
      </c>
      <c r="BJ322" t="str">
        <f>IF(($A335=""),"",IF(COUNTIF(Mineral!$AJ$3:$AJ$324,$A335),"",$A335))</f>
        <v/>
      </c>
      <c r="BK322" t="str">
        <f>IFERROR(INDEX(Liste_Handelsünger[Handelsdünger],_xlfn.AGGREGATE(15,6,(ROW(Liste_Handelsünger[Handelsdünger])-1)/(--(SEARCH(BL$2,Liste_Handelsünger[Handelsdünger])&gt;0)),ROW()-2),1),"")</f>
        <v>Weicherdiges Rohphosphat (Naturphosphat)</v>
      </c>
      <c r="BM322" t="str">
        <f>IFERROR(INDEX(Liste_Handelsünger[Handelsdünger],_xlfn.AGGREGATE(15,6,(ROW(Liste_Handelsünger[Handelsdünger])-1)/(--(SEARCH(BN$2,Liste_Handelsünger[Handelsdünger])&gt;0)),ROW()-2),1),"")</f>
        <v>Weicherdiges Rohphosphat (Naturphosphat)</v>
      </c>
      <c r="BN322" t="str">
        <f>IF(($A337=""),"",IF(COUNTIF(Mineral!$AJ$3:$AJ$324,$A337),"",$A337))</f>
        <v/>
      </c>
      <c r="BV322" t="s">
        <v>2320</v>
      </c>
      <c r="BW322" t="s">
        <v>2332</v>
      </c>
      <c r="BZ322" s="1602"/>
      <c r="CA322" s="1602"/>
      <c r="CB322" s="1602"/>
    </row>
    <row r="323" spans="19:80" ht="14.25" thickTop="1" thickBot="1">
      <c r="S323" s="1616">
        <v>322</v>
      </c>
      <c r="T323" s="1617" t="s">
        <v>2006</v>
      </c>
      <c r="U323" s="1617" t="s">
        <v>2321</v>
      </c>
      <c r="V323" s="1617" t="s">
        <v>408</v>
      </c>
      <c r="W323" s="1617"/>
      <c r="X323" s="1617"/>
      <c r="Y323" s="1617"/>
      <c r="Z323" s="1617">
        <v>90</v>
      </c>
      <c r="AA323" s="1617"/>
      <c r="AB323" s="1617"/>
      <c r="AC323" s="1617">
        <v>1</v>
      </c>
      <c r="AD323" s="1613">
        <v>1</v>
      </c>
      <c r="AE323" s="1617" t="s">
        <v>1764</v>
      </c>
      <c r="AF323" s="1613" t="str">
        <f t="shared" si="21"/>
        <v/>
      </c>
      <c r="AG323" s="1656">
        <f>IFERROR(IF($AF323&gt;0,VLOOKUP($U323,Tabelle1!$C$188:$L$212,5,0)*$AF323,0),0)</f>
        <v>0</v>
      </c>
      <c r="AH323" s="1656">
        <f t="shared" si="22"/>
        <v>0</v>
      </c>
      <c r="AJ323" t="str">
        <f>IF(Betrieb!$D$9="JA",Mineral!$BW323,Mineral!$BV323)</f>
        <v>Wigor S</v>
      </c>
      <c r="AK323" s="1672" t="str">
        <f>IFERROR(INDEX(Liste_Handelsünger[Handelsdünger],_xlfn.AGGREGATE(15,6,(ROW(Liste_Handelsünger[Handelsdünger])-1)/(--(SEARCH(AL$2,Liste_Handelsünger[Handelsdünger])&gt;0)),ROW()-2),1),"")</f>
        <v>Wigor S</v>
      </c>
      <c r="AL323" s="1672" t="str">
        <f>IF(($A$3=""),"",IF(COUNTIF(Mineral!$AJ$3:$AJ$324,$A$3),"",$A$3))</f>
        <v/>
      </c>
      <c r="AM323" s="1672" t="str">
        <f>IFERROR(INDEX(Liste_Handelsünger[Handelsdünger],_xlfn.AGGREGATE(15,6,(ROW(Liste_Handelsünger[Handelsdünger])-1)/(--(SEARCH(AN$2,Liste_Handelsünger[Handelsdünger])&gt;0)),ROW()-2),1),"")</f>
        <v>Wigor S</v>
      </c>
      <c r="AN323" t="str">
        <f>IF(($A325=""),"",IF(COUNTIF(Mineral!$AJ$3:$AJ$324,$A325),"",$A325))</f>
        <v/>
      </c>
      <c r="AO323" t="str">
        <f>IFERROR(INDEX(Liste_Handelsünger[Handelsdünger],_xlfn.AGGREGATE(15,6,(ROW(Liste_Handelsünger[Handelsdünger])-1)/(--(SEARCH(AP$2,Liste_Handelsünger[Handelsdünger])&gt;0)),ROW()-2),1),"")</f>
        <v>Wigor S</v>
      </c>
      <c r="AP323" t="str">
        <f>IF(($A326=""),"",IF(COUNTIF(Mineral!$AJ$3:$AJ$324,$A326),"",$A326))</f>
        <v/>
      </c>
      <c r="AQ323" t="str">
        <f>IFERROR(INDEX(Liste_Handelsünger[Handelsdünger],_xlfn.AGGREGATE(15,6,(ROW(Liste_Handelsünger[Handelsdünger])-1)/(--(SEARCH(AR$2,Liste_Handelsünger[Handelsdünger])&gt;0)),ROW()-2),1),"")</f>
        <v>Wigor S</v>
      </c>
      <c r="AR323" t="str">
        <f>IF(($A327=""),"",IF(COUNTIF(Mineral!$AJ$3:$AJ$324,$A327),"",$A327))</f>
        <v/>
      </c>
      <c r="AS323" t="str">
        <f>IFERROR(INDEX(Liste_Handelsünger[Handelsdünger],_xlfn.AGGREGATE(15,6,(ROW(Liste_Handelsünger[Handelsdünger])-1)/(--(SEARCH(AT$2,Liste_Handelsünger[Handelsdünger])&gt;0)),ROW()-2),1),"")</f>
        <v>Wigor S</v>
      </c>
      <c r="AT323" t="str">
        <f>IF(($A328=""),"",IF(COUNTIF(Mineral!$AJ$3:$AJ$324,$A328),"",$A328))</f>
        <v/>
      </c>
      <c r="AU323" t="str">
        <f>IFERROR(INDEX(Liste_Handelsünger[Handelsdünger],_xlfn.AGGREGATE(15,6,(ROW(Liste_Handelsünger[Handelsdünger])-1)/(--(SEARCH(AV$2,Liste_Handelsünger[Handelsdünger])&gt;0)),ROW()-2),1),"")</f>
        <v>Wigor S</v>
      </c>
      <c r="AV323" t="str">
        <f>IF(($A329=""),"",IF(COUNTIF(Mineral!$AJ$3:$AJ$324,$A329),"",$A329))</f>
        <v/>
      </c>
      <c r="AW323" t="str">
        <f>IFERROR(INDEX(Liste_Handelsünger[Handelsdünger],_xlfn.AGGREGATE(15,6,(ROW(Liste_Handelsünger[Handelsdünger])-1)/(--(SEARCH(AX$2,Liste_Handelsünger[Handelsdünger])&gt;0)),ROW()-2),1),"")</f>
        <v>Wigor S</v>
      </c>
      <c r="AX323" t="str">
        <f>IF(($A330=""),"",IF(COUNTIF(Mineral!$AJ$3:$AJ$324,$A330),"",$A330))</f>
        <v/>
      </c>
      <c r="AY323" t="str">
        <f>IFERROR(INDEX(Liste_Handelsünger[Handelsdünger],_xlfn.AGGREGATE(15,6,(ROW(Liste_Handelsünger[Handelsdünger])-1)/(--(SEARCH(AZ$2,Liste_Handelsünger[Handelsdünger])&gt;0)),ROW()-2),1),"")</f>
        <v>Wigor S</v>
      </c>
      <c r="AZ323" t="str">
        <f>IF(($A331=""),"",IF(COUNTIF(Mineral!$AJ$3:$AJ$324,$A331),"",$A331))</f>
        <v/>
      </c>
      <c r="BA323" t="str">
        <f>IFERROR(INDEX(Liste_Handelsünger[Handelsdünger],_xlfn.AGGREGATE(15,6,(ROW(Liste_Handelsünger[Handelsdünger])-1)/(--(SEARCH(BB$2,Liste_Handelsünger[Handelsdünger])&gt;0)),ROW()-2),1),"")</f>
        <v>Wigor S</v>
      </c>
      <c r="BB323" t="str">
        <f>IF(($A332=""),"",IF(COUNTIF(Mineral!$AJ$3:$AJ$324,$A332),"",$A332))</f>
        <v/>
      </c>
      <c r="BC323" t="str">
        <f>IFERROR(INDEX(Liste_Handelsünger[Handelsdünger],_xlfn.AGGREGATE(15,6,(ROW(Liste_Handelsünger[Handelsdünger])-1)/(--(SEARCH(BD$2,Liste_Handelsünger[Handelsdünger])&gt;0)),ROW()-2),1),"")</f>
        <v>Wigor S</v>
      </c>
      <c r="BD323" t="str">
        <f>IF(($A333=""),"",IF(COUNTIF(Mineral!$AJ$3:$AJ$324,$A333),"",$A333))</f>
        <v/>
      </c>
      <c r="BE323" t="str">
        <f>IFERROR(INDEX(Liste_Handelsünger[Handelsdünger],_xlfn.AGGREGATE(15,6,(ROW(Liste_Handelsünger[Handelsdünger])-1)/(--(SEARCH(BF$2,Liste_Handelsünger[Handelsdünger])&gt;0)),ROW()-2),1),"")</f>
        <v>Wigor S</v>
      </c>
      <c r="BF323" t="str">
        <f>IF(($A334=""),"",IF(COUNTIF(Mineral!$AJ$3:$AJ$324,$A334),"",$A334))</f>
        <v/>
      </c>
      <c r="BG323" t="str">
        <f>IFERROR(INDEX(Liste_Handelsünger[Handelsdünger],_xlfn.AGGREGATE(15,6,(ROW(Liste_Handelsünger[Handelsdünger])-1)/(--(SEARCH(BH$2,Liste_Handelsünger[Handelsdünger])&gt;0)),ROW()-2),1),"")</f>
        <v>Wigor S</v>
      </c>
      <c r="BH323" t="str">
        <f>IF(($A335=""),"",IF(COUNTIF(Mineral!$AJ$3:$AJ$324,$A335),"",$A335))</f>
        <v/>
      </c>
      <c r="BI323" t="str">
        <f>IFERROR(INDEX(Liste_Handelsünger[Handelsdünger],_xlfn.AGGREGATE(15,6,(ROW(Liste_Handelsünger[Handelsdünger])-1)/(--(SEARCH(BJ$2,Liste_Handelsünger[Handelsdünger])&gt;0)),ROW()-2),1),"")</f>
        <v>Wigor S</v>
      </c>
      <c r="BJ323" t="str">
        <f>IF(($A336=""),"",IF(COUNTIF(Mineral!$AJ$3:$AJ$324,$A336),"",$A336))</f>
        <v/>
      </c>
      <c r="BK323" t="str">
        <f>IFERROR(INDEX(Liste_Handelsünger[Handelsdünger],_xlfn.AGGREGATE(15,6,(ROW(Liste_Handelsünger[Handelsdünger])-1)/(--(SEARCH(BL$2,Liste_Handelsünger[Handelsdünger])&gt;0)),ROW()-2),1),"")</f>
        <v>Wigor S</v>
      </c>
      <c r="BM323" t="str">
        <f>IFERROR(INDEX(Liste_Handelsünger[Handelsdünger],_xlfn.AGGREGATE(15,6,(ROW(Liste_Handelsünger[Handelsdünger])-1)/(--(SEARCH(BN$2,Liste_Handelsünger[Handelsdünger])&gt;0)),ROW()-2),1),"")</f>
        <v>Wigor S</v>
      </c>
      <c r="BN323" t="str">
        <f>IF(($A338=""),"",IF(COUNTIF(Mineral!$AJ$3:$AJ$324,$A338),"",$A338))</f>
        <v/>
      </c>
      <c r="BV323" t="s">
        <v>2321</v>
      </c>
      <c r="BW323" t="s">
        <v>2334</v>
      </c>
      <c r="BZ323" s="1602"/>
      <c r="CA323" s="1602"/>
      <c r="CB323" s="1602"/>
    </row>
    <row r="324" spans="19:80" ht="13.5" thickTop="1">
      <c r="S324" s="1676">
        <v>323</v>
      </c>
      <c r="T324" s="1606" t="s">
        <v>2006</v>
      </c>
      <c r="U324" s="1606" t="s">
        <v>2333</v>
      </c>
      <c r="V324" s="1606" t="s">
        <v>408</v>
      </c>
      <c r="W324" s="1606">
        <v>0</v>
      </c>
      <c r="X324" s="1606">
        <v>0</v>
      </c>
      <c r="Y324" s="1606">
        <v>0</v>
      </c>
      <c r="Z324" s="1606">
        <v>0</v>
      </c>
      <c r="AA324" s="1606">
        <v>0</v>
      </c>
      <c r="AB324" s="1606">
        <v>0</v>
      </c>
      <c r="AC324" s="1606">
        <v>1</v>
      </c>
      <c r="AD324" s="1613">
        <v>1</v>
      </c>
      <c r="AE324" s="1606" t="s">
        <v>1764</v>
      </c>
      <c r="AF324" s="1613" t="str">
        <f>IFERROR(IF(VLOOKUP($U324,$A$3:$L$27,1,0)=$U324,VLOOKUP($U324,$A$3:$L$27,3,0),""),"")</f>
        <v/>
      </c>
      <c r="AG324" s="1656">
        <f>IFERROR(IF($AF324&gt;0,VLOOKUP($U324,Tabelle1!$C$188:$L$212,5,0)*$AF324,0),0)</f>
        <v>0</v>
      </c>
      <c r="AH324" s="1656">
        <f>IFERROR(IF($AF324&gt;0,$AG324*$AC324,0),0)</f>
        <v>0</v>
      </c>
      <c r="AJ324" t="str">
        <f>IF(Betrieb!$D$9="JA",Mineral!$BW324,Mineral!$BV324)</f>
        <v>Zinksulfat</v>
      </c>
      <c r="AK324" s="1672" t="str">
        <f>IFERROR(INDEX(Liste_Handelsünger[Handelsdünger],_xlfn.AGGREGATE(15,6,(ROW(Liste_Handelsünger[Handelsdünger])-1)/(--(SEARCH(AL$2,Liste_Handelsünger[Handelsdünger])&gt;0)),ROW()-2),1),"")</f>
        <v>Zinksulfat</v>
      </c>
      <c r="AL324" s="1672" t="str">
        <f>IF(($A$3=""),"",IF(COUNTIF(Mineral!$AJ$3:$AJ$324,$A$3),"",$A$3))</f>
        <v/>
      </c>
      <c r="AM324" s="1672" t="str">
        <f>IFERROR(INDEX(Liste_Handelsünger[Handelsdünger],_xlfn.AGGREGATE(15,6,(ROW(Liste_Handelsünger[Handelsdünger])-1)/(--(SEARCH(AN$2,Liste_Handelsünger[Handelsdünger])&gt;0)),ROW()-2),1),"")</f>
        <v>Zinksulfat</v>
      </c>
      <c r="AN324" t="str">
        <f>IF(($A326=""),"",IF(COUNTIF(Mineral!$AJ$3:$AJ$324,$A326),"",$A326))</f>
        <v/>
      </c>
      <c r="AO324" t="str">
        <f>IFERROR(INDEX(Liste_Handelsünger[Handelsdünger],_xlfn.AGGREGATE(15,6,(ROW(Liste_Handelsünger[Handelsdünger])-1)/(--(SEARCH(AP$2,Liste_Handelsünger[Handelsdünger])&gt;0)),ROW()-2),1),"")</f>
        <v>Zinksulfat</v>
      </c>
      <c r="AP324" t="str">
        <f>IF(($A327=""),"",IF(COUNTIF(Mineral!$AJ$3:$AJ$324,$A327),"",$A327))</f>
        <v/>
      </c>
      <c r="AQ324" t="str">
        <f>IFERROR(INDEX(Liste_Handelsünger[Handelsdünger],_xlfn.AGGREGATE(15,6,(ROW(Liste_Handelsünger[Handelsdünger])-1)/(--(SEARCH(AR$2,Liste_Handelsünger[Handelsdünger])&gt;0)),ROW()-2),1),"")</f>
        <v>Zinksulfat</v>
      </c>
      <c r="AR324" t="str">
        <f>IF(($A328=""),"",IF(COUNTIF(Mineral!$AJ$3:$AJ$324,$A328),"",$A328))</f>
        <v/>
      </c>
      <c r="AS324" t="str">
        <f>IFERROR(INDEX(Liste_Handelsünger[Handelsdünger],_xlfn.AGGREGATE(15,6,(ROW(Liste_Handelsünger[Handelsdünger])-1)/(--(SEARCH(AT$2,Liste_Handelsünger[Handelsdünger])&gt;0)),ROW()-2),1),"")</f>
        <v>Zinksulfat</v>
      </c>
      <c r="AT324" t="str">
        <f>IF(($A329=""),"",IF(COUNTIF(Mineral!$AJ$3:$AJ$324,$A329),"",$A329))</f>
        <v/>
      </c>
      <c r="AU324" t="str">
        <f>IFERROR(INDEX(Liste_Handelsünger[Handelsdünger],_xlfn.AGGREGATE(15,6,(ROW(Liste_Handelsünger[Handelsdünger])-1)/(--(SEARCH(AV$2,Liste_Handelsünger[Handelsdünger])&gt;0)),ROW()-2),1),"")</f>
        <v>Zinksulfat</v>
      </c>
      <c r="AV324" t="str">
        <f>IF(($A330=""),"",IF(COUNTIF(Mineral!$AJ$3:$AJ$324,$A330),"",$A330))</f>
        <v/>
      </c>
      <c r="AW324" t="str">
        <f>IFERROR(INDEX(Liste_Handelsünger[Handelsdünger],_xlfn.AGGREGATE(15,6,(ROW(Liste_Handelsünger[Handelsdünger])-1)/(--(SEARCH(AX$2,Liste_Handelsünger[Handelsdünger])&gt;0)),ROW()-2),1),"")</f>
        <v>Zinksulfat</v>
      </c>
      <c r="AX324" t="str">
        <f>IF(($A331=""),"",IF(COUNTIF(Mineral!$AJ$3:$AJ$324,$A331),"",$A331))</f>
        <v/>
      </c>
      <c r="AY324" t="str">
        <f>IFERROR(INDEX(Liste_Handelsünger[Handelsdünger],_xlfn.AGGREGATE(15,6,(ROW(Liste_Handelsünger[Handelsdünger])-1)/(--(SEARCH(AZ$2,Liste_Handelsünger[Handelsdünger])&gt;0)),ROW()-2),1),"")</f>
        <v>Zinksulfat</v>
      </c>
      <c r="AZ324" t="str">
        <f>IF(($A332=""),"",IF(COUNTIF(Mineral!$AJ$3:$AJ$324,$A332),"",$A332))</f>
        <v/>
      </c>
      <c r="BA324" t="str">
        <f>IFERROR(INDEX(Liste_Handelsünger[Handelsdünger],_xlfn.AGGREGATE(15,6,(ROW(Liste_Handelsünger[Handelsdünger])-1)/(--(SEARCH(BB$2,Liste_Handelsünger[Handelsdünger])&gt;0)),ROW()-2),1),"")</f>
        <v>Zinksulfat</v>
      </c>
      <c r="BB324" t="str">
        <f>IF(($A333=""),"",IF(COUNTIF(Mineral!$AJ$3:$AJ$324,$A333),"",$A333))</f>
        <v/>
      </c>
      <c r="BC324" t="str">
        <f>IFERROR(INDEX(Liste_Handelsünger[Handelsdünger],_xlfn.AGGREGATE(15,6,(ROW(Liste_Handelsünger[Handelsdünger])-1)/(--(SEARCH(BD$2,Liste_Handelsünger[Handelsdünger])&gt;0)),ROW()-2),1),"")</f>
        <v>Zinksulfat</v>
      </c>
      <c r="BD324" t="str">
        <f>IF(($A334=""),"",IF(COUNTIF(Mineral!$AJ$3:$AJ$324,$A334),"",$A334))</f>
        <v/>
      </c>
      <c r="BE324" t="str">
        <f>IFERROR(INDEX(Liste_Handelsünger[Handelsdünger],_xlfn.AGGREGATE(15,6,(ROW(Liste_Handelsünger[Handelsdünger])-1)/(--(SEARCH(BF$2,Liste_Handelsünger[Handelsdünger])&gt;0)),ROW()-2),1),"")</f>
        <v>Zinksulfat</v>
      </c>
      <c r="BF324" t="str">
        <f>IF(($A335=""),"",IF(COUNTIF(Mineral!$AJ$3:$AJ$324,$A335),"",$A335))</f>
        <v/>
      </c>
      <c r="BG324" t="str">
        <f>IFERROR(INDEX(Liste_Handelsünger[Handelsdünger],_xlfn.AGGREGATE(15,6,(ROW(Liste_Handelsünger[Handelsdünger])-1)/(--(SEARCH(BH$2,Liste_Handelsünger[Handelsdünger])&gt;0)),ROW()-2),1),"")</f>
        <v>Zinksulfat</v>
      </c>
      <c r="BH324" t="str">
        <f>IF(($A336=""),"",IF(COUNTIF(Mineral!$AJ$3:$AJ$324,$A336),"",$A336))</f>
        <v/>
      </c>
      <c r="BI324" t="str">
        <f>IFERROR(INDEX(Liste_Handelsünger[Handelsdünger],_xlfn.AGGREGATE(15,6,(ROW(Liste_Handelsünger[Handelsdünger])-1)/(--(SEARCH(BJ$2,Liste_Handelsünger[Handelsdünger])&gt;0)),ROW()-2),1),"")</f>
        <v>Zinksulfat</v>
      </c>
      <c r="BJ324" t="str">
        <f>IF(($A337=""),"",IF(COUNTIF(Mineral!$AJ$3:$AJ$324,$A337),"",$A337))</f>
        <v/>
      </c>
      <c r="BK324" t="str">
        <f>IFERROR(INDEX(Liste_Handelsünger[Handelsdünger],_xlfn.AGGREGATE(15,6,(ROW(Liste_Handelsünger[Handelsdünger])-1)/(--(SEARCH(BL$2,Liste_Handelsünger[Handelsdünger])&gt;0)),ROW()-2),1),"")</f>
        <v>Zinksulfat</v>
      </c>
      <c r="BM324" t="str">
        <f>IFERROR(INDEX(Liste_Handelsünger[Handelsdünger],_xlfn.AGGREGATE(15,6,(ROW(Liste_Handelsünger[Handelsdünger])-1)/(--(SEARCH(BN$2,Liste_Handelsünger[Handelsdünger])&gt;0)),ROW()-2),1),"")</f>
        <v>Zinksulfat</v>
      </c>
      <c r="BN324" t="str">
        <f>IF(($A339=""),"",IF(COUNTIF(Mineral!$AJ$3:$AJ$324,$A339),"",$A339))</f>
        <v/>
      </c>
      <c r="BV324" t="s">
        <v>2333</v>
      </c>
      <c r="BW324" t="s">
        <v>2015</v>
      </c>
      <c r="BZ324" s="1602"/>
      <c r="CA324" s="1602"/>
      <c r="CB324" s="1602"/>
    </row>
    <row r="325" spans="19:80">
      <c r="AJ325" s="1616"/>
      <c r="AK325" s="1606" t="str">
        <f>IFERROR(INDEX(Liste_Handelsünger[Handelsdünger],_xlfn.AGGREGATE(15,6,(ROW(Liste_Handelsünger[Handelsdünger])-1)/(--(SEARCH(AL$2,Liste_Handelsünger[Handelsdünger])&gt;0)),ROW()-2),1),"")</f>
        <v/>
      </c>
      <c r="AL325" s="1606"/>
      <c r="AM325" s="1606" t="str">
        <f>IFERROR(INDEX(Liste_Handelsünger[Handelsdünger],_xlfn.AGGREGATE(15,6,(ROW(Liste_Handelsünger[Handelsdünger])-1)/(--(SEARCH(AN$2,Liste_Handelsünger[Handelsdünger])&gt;0)),ROW()-2),1),"")</f>
        <v/>
      </c>
      <c r="AO325" t="str">
        <f>IFERROR(INDEX(Liste_Handelsünger[Handelsdünger],_xlfn.AGGREGATE(15,6,(ROW(Liste_Handelsünger[Handelsdünger])-1)/(--(SEARCH(AP$2,Liste_Handelsünger[Handelsdünger])&gt;0)),ROW()-2),1),"")</f>
        <v/>
      </c>
      <c r="AQ325" t="str">
        <f>IFERROR(INDEX(Liste_Handelsünger[Handelsdünger],_xlfn.AGGREGATE(15,6,(ROW(Liste_Handelsünger[Handelsdünger])-1)/(--(SEARCH(AR$2,Liste_Handelsünger[Handelsdünger])&gt;0)),ROW()-2),1),"")</f>
        <v/>
      </c>
      <c r="AS325" t="str">
        <f>IFERROR(INDEX(Liste_Handelsünger[Handelsdünger],_xlfn.AGGREGATE(15,6,(ROW(Liste_Handelsünger[Handelsdünger])-1)/(--(SEARCH(AT$2,Liste_Handelsünger[Handelsdünger])&gt;0)),ROW()-2),1),"")</f>
        <v/>
      </c>
      <c r="AU325" t="str">
        <f>IFERROR(INDEX(Liste_Handelsünger[Handelsdünger],_xlfn.AGGREGATE(15,6,(ROW(Liste_Handelsünger[Handelsdünger])-1)/(--(SEARCH(AV$2,Liste_Handelsünger[Handelsdünger])&gt;0)),ROW()-2),1),"")</f>
        <v/>
      </c>
      <c r="AW325" t="str">
        <f>IFERROR(INDEX(Liste_Handelsünger[Handelsdünger],_xlfn.AGGREGATE(15,6,(ROW(Liste_Handelsünger[Handelsdünger])-1)/(--(SEARCH(AX$2,Liste_Handelsünger[Handelsdünger])&gt;0)),ROW()-2),1),"")</f>
        <v/>
      </c>
      <c r="AY325" t="str">
        <f>IFERROR(INDEX(Liste_Handelsünger[Handelsdünger],_xlfn.AGGREGATE(15,6,(ROW(Liste_Handelsünger[Handelsdünger])-1)/(--(SEARCH(AZ$2,Liste_Handelsünger[Handelsdünger])&gt;0)),ROW()-2),1),"")</f>
        <v/>
      </c>
      <c r="BA325" t="str">
        <f>IFERROR(INDEX(Liste_Handelsünger[Handelsdünger],_xlfn.AGGREGATE(15,6,(ROW(Liste_Handelsünger[Handelsdünger])-1)/(--(SEARCH(BB$2,Liste_Handelsünger[Handelsdünger])&gt;0)),ROW()-2),1),"")</f>
        <v/>
      </c>
      <c r="BC325" t="str">
        <f>IFERROR(INDEX(Liste_Handelsünger[Handelsdünger],_xlfn.AGGREGATE(15,6,(ROW(Liste_Handelsünger[Handelsdünger])-1)/(--(SEARCH(BD$2,Liste_Handelsünger[Handelsdünger])&gt;0)),ROW()-2),1),"")</f>
        <v/>
      </c>
      <c r="BE325" t="str">
        <f>IFERROR(INDEX(Liste_Handelsünger[Handelsdünger],_xlfn.AGGREGATE(15,6,(ROW(Liste_Handelsünger[Handelsdünger])-1)/(--(SEARCH(BF$2,Liste_Handelsünger[Handelsdünger])&gt;0)),ROW()-2),1),"")</f>
        <v/>
      </c>
      <c r="BG325" t="str">
        <f>IFERROR(INDEX(Liste_Handelsünger[Handelsdünger],_xlfn.AGGREGATE(15,6,(ROW(Liste_Handelsünger[Handelsdünger])-1)/(--(SEARCH(BH$2,Liste_Handelsünger[Handelsdünger])&gt;0)),ROW()-2),1),"")</f>
        <v/>
      </c>
      <c r="BI325" t="str">
        <f>IFERROR(INDEX(Liste_Handelsünger[Handelsdünger],_xlfn.AGGREGATE(15,6,(ROW(Liste_Handelsünger[Handelsdünger])-1)/(--(SEARCH(BJ$2,Liste_Handelsünger[Handelsdünger])&gt;0)),ROW()-2),1),"")</f>
        <v/>
      </c>
      <c r="BK325" t="str">
        <f>IFERROR(INDEX(Liste_Handelsünger[Handelsdünger],_xlfn.AGGREGATE(15,6,(ROW(Liste_Handelsünger[Handelsdünger])-1)/(--(SEARCH(BL$2,Liste_Handelsünger[Handelsdünger])&gt;0)),ROW()-2),1),"")</f>
        <v/>
      </c>
      <c r="BM325" t="str">
        <f>IFERROR(INDEX(Liste_Handelsünger[Handelsdünger],_xlfn.AGGREGATE(15,6,(ROW(Liste_Handelsünger[Handelsdünger])-1)/(--(SEARCH(BN$2,Liste_Handelsünger[Handelsdünger])&gt;0)),ROW()-2),1),"")</f>
        <v/>
      </c>
    </row>
    <row r="326" spans="19:80">
      <c r="AJ326" s="1616"/>
      <c r="AK326" s="1606" t="str">
        <f>IFERROR(INDEX(Liste_Handelsünger[Handelsdünger],_xlfn.AGGREGATE(15,6,(ROW(Liste_Handelsünger[Handelsdünger])-1)/(--(SEARCH(AL$2,Liste_Handelsünger[Handelsdünger])&gt;0)),ROW()-2),1),"")</f>
        <v/>
      </c>
      <c r="AL326" s="1606"/>
      <c r="AM326" s="1606" t="str">
        <f>IFERROR(INDEX(Liste_Handelsünger[Handelsdünger],_xlfn.AGGREGATE(15,6,(ROW(Liste_Handelsünger[Handelsdünger])-1)/(--(SEARCH(AN$2,Liste_Handelsünger[Handelsdünger])&gt;0)),ROW()-2),1),"")</f>
        <v/>
      </c>
      <c r="AO326" t="str">
        <f>IFERROR(INDEX(Liste_Handelsünger[Handelsdünger],_xlfn.AGGREGATE(15,6,(ROW(Liste_Handelsünger[Handelsdünger])-1)/(--(SEARCH(AP$2,Liste_Handelsünger[Handelsdünger])&gt;0)),ROW()-2),1),"")</f>
        <v/>
      </c>
      <c r="AQ326" t="str">
        <f>IFERROR(INDEX(Liste_Handelsünger[Handelsdünger],_xlfn.AGGREGATE(15,6,(ROW(Liste_Handelsünger[Handelsdünger])-1)/(--(SEARCH(AR$2,Liste_Handelsünger[Handelsdünger])&gt;0)),ROW()-2),1),"")</f>
        <v/>
      </c>
      <c r="AS326" t="str">
        <f>IFERROR(INDEX(Liste_Handelsünger[Handelsdünger],_xlfn.AGGREGATE(15,6,(ROW(Liste_Handelsünger[Handelsdünger])-1)/(--(SEARCH(AT$2,Liste_Handelsünger[Handelsdünger])&gt;0)),ROW()-2),1),"")</f>
        <v/>
      </c>
      <c r="AU326" t="str">
        <f>IFERROR(INDEX(Liste_Handelsünger[Handelsdünger],_xlfn.AGGREGATE(15,6,(ROW(Liste_Handelsünger[Handelsdünger])-1)/(--(SEARCH(AV$2,Liste_Handelsünger[Handelsdünger])&gt;0)),ROW()-2),1),"")</f>
        <v/>
      </c>
      <c r="AW326" t="str">
        <f>IFERROR(INDEX(Liste_Handelsünger[Handelsdünger],_xlfn.AGGREGATE(15,6,(ROW(Liste_Handelsünger[Handelsdünger])-1)/(--(SEARCH(AX$2,Liste_Handelsünger[Handelsdünger])&gt;0)),ROW()-2),1),"")</f>
        <v/>
      </c>
      <c r="AY326" t="str">
        <f>IFERROR(INDEX(Liste_Handelsünger[Handelsdünger],_xlfn.AGGREGATE(15,6,(ROW(Liste_Handelsünger[Handelsdünger])-1)/(--(SEARCH(AZ$2,Liste_Handelsünger[Handelsdünger])&gt;0)),ROW()-2),1),"")</f>
        <v/>
      </c>
      <c r="BA326" t="str">
        <f>IFERROR(INDEX(Liste_Handelsünger[Handelsdünger],_xlfn.AGGREGATE(15,6,(ROW(Liste_Handelsünger[Handelsdünger])-1)/(--(SEARCH(BB$2,Liste_Handelsünger[Handelsdünger])&gt;0)),ROW()-2),1),"")</f>
        <v/>
      </c>
      <c r="BC326" t="str">
        <f>IFERROR(INDEX(Liste_Handelsünger[Handelsdünger],_xlfn.AGGREGATE(15,6,(ROW(Liste_Handelsünger[Handelsdünger])-1)/(--(SEARCH(BD$2,Liste_Handelsünger[Handelsdünger])&gt;0)),ROW()-2),1),"")</f>
        <v/>
      </c>
      <c r="BE326" t="str">
        <f>IFERROR(INDEX(Liste_Handelsünger[Handelsdünger],_xlfn.AGGREGATE(15,6,(ROW(Liste_Handelsünger[Handelsdünger])-1)/(--(SEARCH(BF$2,Liste_Handelsünger[Handelsdünger])&gt;0)),ROW()-2),1),"")</f>
        <v/>
      </c>
      <c r="BG326" t="str">
        <f>IFERROR(INDEX(Liste_Handelsünger[Handelsdünger],_xlfn.AGGREGATE(15,6,(ROW(Liste_Handelsünger[Handelsdünger])-1)/(--(SEARCH(BH$2,Liste_Handelsünger[Handelsdünger])&gt;0)),ROW()-2),1),"")</f>
        <v/>
      </c>
      <c r="BI326" t="str">
        <f>IFERROR(INDEX(Liste_Handelsünger[Handelsdünger],_xlfn.AGGREGATE(15,6,(ROW(Liste_Handelsünger[Handelsdünger])-1)/(--(SEARCH(BJ$2,Liste_Handelsünger[Handelsdünger])&gt;0)),ROW()-2),1),"")</f>
        <v/>
      </c>
      <c r="BK326" t="str">
        <f>IFERROR(INDEX(Liste_Handelsünger[Handelsdünger],_xlfn.AGGREGATE(15,6,(ROW(Liste_Handelsünger[Handelsdünger])-1)/(--(SEARCH(BL$2,Liste_Handelsünger[Handelsdünger])&gt;0)),ROW()-2),1),"")</f>
        <v/>
      </c>
      <c r="BM326" t="str">
        <f>IFERROR(INDEX(Liste_Handelsünger[Handelsdünger],_xlfn.AGGREGATE(15,6,(ROW(Liste_Handelsünger[Handelsdünger])-1)/(--(SEARCH(BN$2,Liste_Handelsünger[Handelsdünger])&gt;0)),ROW()-2),1),"")</f>
        <v/>
      </c>
    </row>
    <row r="327" spans="19:80">
      <c r="AJ327" s="1656"/>
      <c r="AK327" s="1660" t="str">
        <f>IFERROR(INDEX(Liste_Handelsünger[Handelsdünger],_xlfn.AGGREGATE(15,6,(ROW(Liste_Handelsünger[Handelsdünger])-1)/(--(SEARCH(AL$2,Liste_Handelsünger[Handelsdünger])&gt;0)),ROW()-2),1),"")</f>
        <v/>
      </c>
      <c r="AL327" s="1660"/>
      <c r="AM327" s="1660" t="str">
        <f>IFERROR(INDEX(Liste_Handelsünger[Handelsdünger],_xlfn.AGGREGATE(15,6,(ROW(Liste_Handelsünger[Handelsdünger])-1)/(--(SEARCH(AN$2,Liste_Handelsünger[Handelsdünger])&gt;0)),ROW()-2),1),"")</f>
        <v/>
      </c>
      <c r="AO327" t="str">
        <f>IFERROR(INDEX(Liste_Handelsünger[Handelsdünger],_xlfn.AGGREGATE(15,6,(ROW(Liste_Handelsünger[Handelsdünger])-1)/(--(SEARCH(AP$2,Liste_Handelsünger[Handelsdünger])&gt;0)),ROW()-2),1),"")</f>
        <v/>
      </c>
      <c r="AQ327" t="str">
        <f>IFERROR(INDEX(Liste_Handelsünger[Handelsdünger],_xlfn.AGGREGATE(15,6,(ROW(Liste_Handelsünger[Handelsdünger])-1)/(--(SEARCH(AR$2,Liste_Handelsünger[Handelsdünger])&gt;0)),ROW()-2),1),"")</f>
        <v/>
      </c>
      <c r="AS327" t="str">
        <f>IFERROR(INDEX(Liste_Handelsünger[Handelsdünger],_xlfn.AGGREGATE(15,6,(ROW(Liste_Handelsünger[Handelsdünger])-1)/(--(SEARCH(AT$2,Liste_Handelsünger[Handelsdünger])&gt;0)),ROW()-2),1),"")</f>
        <v/>
      </c>
      <c r="AU327" t="str">
        <f>IFERROR(INDEX(Liste_Handelsünger[Handelsdünger],_xlfn.AGGREGATE(15,6,(ROW(Liste_Handelsünger[Handelsdünger])-1)/(--(SEARCH(AV$2,Liste_Handelsünger[Handelsdünger])&gt;0)),ROW()-2),1),"")</f>
        <v/>
      </c>
      <c r="AW327" t="str">
        <f>IFERROR(INDEX(Liste_Handelsünger[Handelsdünger],_xlfn.AGGREGATE(15,6,(ROW(Liste_Handelsünger[Handelsdünger])-1)/(--(SEARCH(AX$2,Liste_Handelsünger[Handelsdünger])&gt;0)),ROW()-2),1),"")</f>
        <v/>
      </c>
      <c r="AY327" t="str">
        <f>IFERROR(INDEX(Liste_Handelsünger[Handelsdünger],_xlfn.AGGREGATE(15,6,(ROW(Liste_Handelsünger[Handelsdünger])-1)/(--(SEARCH(AZ$2,Liste_Handelsünger[Handelsdünger])&gt;0)),ROW()-2),1),"")</f>
        <v/>
      </c>
      <c r="BA327" t="str">
        <f>IFERROR(INDEX(Liste_Handelsünger[Handelsdünger],_xlfn.AGGREGATE(15,6,(ROW(Liste_Handelsünger[Handelsdünger])-1)/(--(SEARCH(BB$2,Liste_Handelsünger[Handelsdünger])&gt;0)),ROW()-2),1),"")</f>
        <v/>
      </c>
      <c r="BC327" t="str">
        <f>IFERROR(INDEX(Liste_Handelsünger[Handelsdünger],_xlfn.AGGREGATE(15,6,(ROW(Liste_Handelsünger[Handelsdünger])-1)/(--(SEARCH(BD$2,Liste_Handelsünger[Handelsdünger])&gt;0)),ROW()-2),1),"")</f>
        <v/>
      </c>
      <c r="BE327" t="str">
        <f>IFERROR(INDEX(Liste_Handelsünger[Handelsdünger],_xlfn.AGGREGATE(15,6,(ROW(Liste_Handelsünger[Handelsdünger])-1)/(--(SEARCH(BF$2,Liste_Handelsünger[Handelsdünger])&gt;0)),ROW()-2),1),"")</f>
        <v/>
      </c>
      <c r="BG327" t="str">
        <f>IFERROR(INDEX(Liste_Handelsünger[Handelsdünger],_xlfn.AGGREGATE(15,6,(ROW(Liste_Handelsünger[Handelsdünger])-1)/(--(SEARCH(BH$2,Liste_Handelsünger[Handelsdünger])&gt;0)),ROW()-2),1),"")</f>
        <v/>
      </c>
      <c r="BI327" t="str">
        <f>IFERROR(INDEX(Liste_Handelsünger[Handelsdünger],_xlfn.AGGREGATE(15,6,(ROW(Liste_Handelsünger[Handelsdünger])-1)/(--(SEARCH(BJ$2,Liste_Handelsünger[Handelsdünger])&gt;0)),ROW()-2),1),"")</f>
        <v/>
      </c>
      <c r="BK327" t="str">
        <f>IFERROR(INDEX(Liste_Handelsünger[Handelsdünger],_xlfn.AGGREGATE(15,6,(ROW(Liste_Handelsünger[Handelsdünger])-1)/(--(SEARCH(BL$2,Liste_Handelsünger[Handelsdünger])&gt;0)),ROW()-2),1),"")</f>
        <v/>
      </c>
      <c r="BM327" t="str">
        <f>IFERROR(INDEX(Liste_Handelsünger[Handelsdünger],_xlfn.AGGREGATE(15,6,(ROW(Liste_Handelsünger[Handelsdünger])-1)/(--(SEARCH(BN$2,Liste_Handelsünger[Handelsdünger])&gt;0)),ROW()-2),1),"")</f>
        <v/>
      </c>
    </row>
    <row r="328" spans="19:80">
      <c r="AJ328" s="1656"/>
      <c r="AK328" s="1660" t="str">
        <f>IFERROR(INDEX(Liste_Handelsünger[Handelsdünger],_xlfn.AGGREGATE(15,6,(ROW(Liste_Handelsünger[Handelsdünger])-1)/(--(SEARCH(AL$2,Liste_Handelsünger[Handelsdünger])&gt;0)),ROW()-2),1),"")</f>
        <v/>
      </c>
      <c r="AL328" s="1660"/>
      <c r="AM328" s="1660" t="str">
        <f>IFERROR(INDEX(Liste_Handelsünger[Handelsdünger],_xlfn.AGGREGATE(15,6,(ROW(Liste_Handelsünger[Handelsdünger])-1)/(--(SEARCH(AN$2,Liste_Handelsünger[Handelsdünger])&gt;0)),ROW()-2),1),"")</f>
        <v/>
      </c>
      <c r="AO328" t="str">
        <f>IFERROR(INDEX(Liste_Handelsünger[Handelsdünger],_xlfn.AGGREGATE(15,6,(ROW(Liste_Handelsünger[Handelsdünger])-1)/(--(SEARCH(AP$2,Liste_Handelsünger[Handelsdünger])&gt;0)),ROW()-2),1),"")</f>
        <v/>
      </c>
      <c r="AQ328" t="str">
        <f>IFERROR(INDEX(Liste_Handelsünger[Handelsdünger],_xlfn.AGGREGATE(15,6,(ROW(Liste_Handelsünger[Handelsdünger])-1)/(--(SEARCH(AR$2,Liste_Handelsünger[Handelsdünger])&gt;0)),ROW()-2),1),"")</f>
        <v/>
      </c>
      <c r="AS328" t="str">
        <f>IFERROR(INDEX(Liste_Handelsünger[Handelsdünger],_xlfn.AGGREGATE(15,6,(ROW(Liste_Handelsünger[Handelsdünger])-1)/(--(SEARCH(AT$2,Liste_Handelsünger[Handelsdünger])&gt;0)),ROW()-2),1),"")</f>
        <v/>
      </c>
      <c r="AU328" t="str">
        <f>IFERROR(INDEX(Liste_Handelsünger[Handelsdünger],_xlfn.AGGREGATE(15,6,(ROW(Liste_Handelsünger[Handelsdünger])-1)/(--(SEARCH(AV$2,Liste_Handelsünger[Handelsdünger])&gt;0)),ROW()-2),1),"")</f>
        <v/>
      </c>
      <c r="AW328" t="str">
        <f>IFERROR(INDEX(Liste_Handelsünger[Handelsdünger],_xlfn.AGGREGATE(15,6,(ROW(Liste_Handelsünger[Handelsdünger])-1)/(--(SEARCH(AX$2,Liste_Handelsünger[Handelsdünger])&gt;0)),ROW()-2),1),"")</f>
        <v/>
      </c>
      <c r="AY328" t="str">
        <f>IFERROR(INDEX(Liste_Handelsünger[Handelsdünger],_xlfn.AGGREGATE(15,6,(ROW(Liste_Handelsünger[Handelsdünger])-1)/(--(SEARCH(AZ$2,Liste_Handelsünger[Handelsdünger])&gt;0)),ROW()-2),1),"")</f>
        <v/>
      </c>
      <c r="BA328" t="str">
        <f>IFERROR(INDEX(Liste_Handelsünger[Handelsdünger],_xlfn.AGGREGATE(15,6,(ROW(Liste_Handelsünger[Handelsdünger])-1)/(--(SEARCH(BB$2,Liste_Handelsünger[Handelsdünger])&gt;0)),ROW()-2),1),"")</f>
        <v/>
      </c>
      <c r="BC328" t="str">
        <f>IFERROR(INDEX(Liste_Handelsünger[Handelsdünger],_xlfn.AGGREGATE(15,6,(ROW(Liste_Handelsünger[Handelsdünger])-1)/(--(SEARCH(BD$2,Liste_Handelsünger[Handelsdünger])&gt;0)),ROW()-2),1),"")</f>
        <v/>
      </c>
      <c r="BE328" t="str">
        <f>IFERROR(INDEX(Liste_Handelsünger[Handelsdünger],_xlfn.AGGREGATE(15,6,(ROW(Liste_Handelsünger[Handelsdünger])-1)/(--(SEARCH(BF$2,Liste_Handelsünger[Handelsdünger])&gt;0)),ROW()-2),1),"")</f>
        <v/>
      </c>
      <c r="BG328" t="str">
        <f>IFERROR(INDEX(Liste_Handelsünger[Handelsdünger],_xlfn.AGGREGATE(15,6,(ROW(Liste_Handelsünger[Handelsdünger])-1)/(--(SEARCH(BH$2,Liste_Handelsünger[Handelsdünger])&gt;0)),ROW()-2),1),"")</f>
        <v/>
      </c>
      <c r="BI328" t="str">
        <f>IFERROR(INDEX(Liste_Handelsünger[Handelsdünger],_xlfn.AGGREGATE(15,6,(ROW(Liste_Handelsünger[Handelsdünger])-1)/(--(SEARCH(BJ$2,Liste_Handelsünger[Handelsdünger])&gt;0)),ROW()-2),1),"")</f>
        <v/>
      </c>
      <c r="BK328" t="str">
        <f>IFERROR(INDEX(Liste_Handelsünger[Handelsdünger],_xlfn.AGGREGATE(15,6,(ROW(Liste_Handelsünger[Handelsdünger])-1)/(--(SEARCH(BL$2,Liste_Handelsünger[Handelsdünger])&gt;0)),ROW()-2),1),"")</f>
        <v/>
      </c>
      <c r="BM328" t="str">
        <f>IFERROR(INDEX(Liste_Handelsünger[Handelsdünger],_xlfn.AGGREGATE(15,6,(ROW(Liste_Handelsünger[Handelsdünger])-1)/(--(SEARCH(BN$2,Liste_Handelsünger[Handelsdünger])&gt;0)),ROW()-2),1),"")</f>
        <v/>
      </c>
    </row>
    <row r="329" spans="19:80">
      <c r="AJ329" s="1656"/>
      <c r="AK329" s="1660" t="str">
        <f>IFERROR(INDEX(Liste_Handelsünger[Handelsdünger],_xlfn.AGGREGATE(15,6,(ROW(Liste_Handelsünger[Handelsdünger])-1)/(--(SEARCH(AL$2,Liste_Handelsünger[Handelsdünger])&gt;0)),ROW()-2),1),"")</f>
        <v/>
      </c>
      <c r="AL329" s="1660"/>
      <c r="AM329" s="1660" t="str">
        <f>IFERROR(INDEX(Liste_Handelsünger[Handelsdünger],_xlfn.AGGREGATE(15,6,(ROW(Liste_Handelsünger[Handelsdünger])-1)/(--(SEARCH(AN$2,Liste_Handelsünger[Handelsdünger])&gt;0)),ROW()-2),1),"")</f>
        <v/>
      </c>
      <c r="AO329" t="str">
        <f>IFERROR(INDEX(Liste_Handelsünger[Handelsdünger],_xlfn.AGGREGATE(15,6,(ROW(Liste_Handelsünger[Handelsdünger])-1)/(--(SEARCH(AP$2,Liste_Handelsünger[Handelsdünger])&gt;0)),ROW()-2),1),"")</f>
        <v/>
      </c>
      <c r="AQ329" t="str">
        <f>IFERROR(INDEX(Liste_Handelsünger[Handelsdünger],_xlfn.AGGREGATE(15,6,(ROW(Liste_Handelsünger[Handelsdünger])-1)/(--(SEARCH(AR$2,Liste_Handelsünger[Handelsdünger])&gt;0)),ROW()-2),1),"")</f>
        <v/>
      </c>
      <c r="AS329" t="str">
        <f>IFERROR(INDEX(Liste_Handelsünger[Handelsdünger],_xlfn.AGGREGATE(15,6,(ROW(Liste_Handelsünger[Handelsdünger])-1)/(--(SEARCH(AT$2,Liste_Handelsünger[Handelsdünger])&gt;0)),ROW()-2),1),"")</f>
        <v/>
      </c>
      <c r="AU329" t="str">
        <f>IFERROR(INDEX(Liste_Handelsünger[Handelsdünger],_xlfn.AGGREGATE(15,6,(ROW(Liste_Handelsünger[Handelsdünger])-1)/(--(SEARCH(AV$2,Liste_Handelsünger[Handelsdünger])&gt;0)),ROW()-2),1),"")</f>
        <v/>
      </c>
      <c r="AW329" t="str">
        <f>IFERROR(INDEX(Liste_Handelsünger[Handelsdünger],_xlfn.AGGREGATE(15,6,(ROW(Liste_Handelsünger[Handelsdünger])-1)/(--(SEARCH(AX$2,Liste_Handelsünger[Handelsdünger])&gt;0)),ROW()-2),1),"")</f>
        <v/>
      </c>
      <c r="AY329" t="str">
        <f>IFERROR(INDEX(Liste_Handelsünger[Handelsdünger],_xlfn.AGGREGATE(15,6,(ROW(Liste_Handelsünger[Handelsdünger])-1)/(--(SEARCH(AZ$2,Liste_Handelsünger[Handelsdünger])&gt;0)),ROW()-2),1),"")</f>
        <v/>
      </c>
      <c r="BA329" t="str">
        <f>IFERROR(INDEX(Liste_Handelsünger[Handelsdünger],_xlfn.AGGREGATE(15,6,(ROW(Liste_Handelsünger[Handelsdünger])-1)/(--(SEARCH(BB$2,Liste_Handelsünger[Handelsdünger])&gt;0)),ROW()-2),1),"")</f>
        <v/>
      </c>
      <c r="BC329" t="str">
        <f>IFERROR(INDEX(Liste_Handelsünger[Handelsdünger],_xlfn.AGGREGATE(15,6,(ROW(Liste_Handelsünger[Handelsdünger])-1)/(--(SEARCH(BD$2,Liste_Handelsünger[Handelsdünger])&gt;0)),ROW()-2),1),"")</f>
        <v/>
      </c>
      <c r="BE329" t="str">
        <f>IFERROR(INDEX(Liste_Handelsünger[Handelsdünger],_xlfn.AGGREGATE(15,6,(ROW(Liste_Handelsünger[Handelsdünger])-1)/(--(SEARCH(BF$2,Liste_Handelsünger[Handelsdünger])&gt;0)),ROW()-2),1),"")</f>
        <v/>
      </c>
      <c r="BG329" t="str">
        <f>IFERROR(INDEX(Liste_Handelsünger[Handelsdünger],_xlfn.AGGREGATE(15,6,(ROW(Liste_Handelsünger[Handelsdünger])-1)/(--(SEARCH(BH$2,Liste_Handelsünger[Handelsdünger])&gt;0)),ROW()-2),1),"")</f>
        <v/>
      </c>
      <c r="BI329" t="str">
        <f>IFERROR(INDEX(Liste_Handelsünger[Handelsdünger],_xlfn.AGGREGATE(15,6,(ROW(Liste_Handelsünger[Handelsdünger])-1)/(--(SEARCH(BJ$2,Liste_Handelsünger[Handelsdünger])&gt;0)),ROW()-2),1),"")</f>
        <v/>
      </c>
      <c r="BK329" t="str">
        <f>IFERROR(INDEX(Liste_Handelsünger[Handelsdünger],_xlfn.AGGREGATE(15,6,(ROW(Liste_Handelsünger[Handelsdünger])-1)/(--(SEARCH(BL$2,Liste_Handelsünger[Handelsdünger])&gt;0)),ROW()-2),1),"")</f>
        <v/>
      </c>
      <c r="BM329" t="str">
        <f>IFERROR(INDEX(Liste_Handelsünger[Handelsdünger],_xlfn.AGGREGATE(15,6,(ROW(Liste_Handelsünger[Handelsdünger])-1)/(--(SEARCH(BN$2,Liste_Handelsünger[Handelsdünger])&gt;0)),ROW()-2),1),"")</f>
        <v/>
      </c>
    </row>
    <row r="330" spans="19:80">
      <c r="AJ330" s="1656"/>
      <c r="AK330" s="1660" t="str">
        <f>IFERROR(INDEX(Liste_Handelsünger[Handelsdünger],_xlfn.AGGREGATE(15,6,(ROW(Liste_Handelsünger[Handelsdünger])-1)/(--(SEARCH(AL$2,Liste_Handelsünger[Handelsdünger])&gt;0)),ROW()-2),1),"")</f>
        <v/>
      </c>
      <c r="AL330" s="1660"/>
      <c r="AM330" s="1660" t="str">
        <f>IFERROR(INDEX(Liste_Handelsünger[Handelsdünger],_xlfn.AGGREGATE(15,6,(ROW(Liste_Handelsünger[Handelsdünger])-1)/(--(SEARCH(AN$2,Liste_Handelsünger[Handelsdünger])&gt;0)),ROW()-2),1),"")</f>
        <v/>
      </c>
      <c r="AO330" t="str">
        <f>IFERROR(INDEX(Liste_Handelsünger[Handelsdünger],_xlfn.AGGREGATE(15,6,(ROW(Liste_Handelsünger[Handelsdünger])-1)/(--(SEARCH(AP$2,Liste_Handelsünger[Handelsdünger])&gt;0)),ROW()-2),1),"")</f>
        <v/>
      </c>
      <c r="AQ330" t="str">
        <f>IFERROR(INDEX(Liste_Handelsünger[Handelsdünger],_xlfn.AGGREGATE(15,6,(ROW(Liste_Handelsünger[Handelsdünger])-1)/(--(SEARCH(AR$2,Liste_Handelsünger[Handelsdünger])&gt;0)),ROW()-2),1),"")</f>
        <v/>
      </c>
      <c r="AS330" t="str">
        <f>IFERROR(INDEX(Liste_Handelsünger[Handelsdünger],_xlfn.AGGREGATE(15,6,(ROW(Liste_Handelsünger[Handelsdünger])-1)/(--(SEARCH(AT$2,Liste_Handelsünger[Handelsdünger])&gt;0)),ROW()-2),1),"")</f>
        <v/>
      </c>
      <c r="AU330" t="str">
        <f>IFERROR(INDEX(Liste_Handelsünger[Handelsdünger],_xlfn.AGGREGATE(15,6,(ROW(Liste_Handelsünger[Handelsdünger])-1)/(--(SEARCH(AV$2,Liste_Handelsünger[Handelsdünger])&gt;0)),ROW()-2),1),"")</f>
        <v/>
      </c>
      <c r="AW330" t="str">
        <f>IFERROR(INDEX(Liste_Handelsünger[Handelsdünger],_xlfn.AGGREGATE(15,6,(ROW(Liste_Handelsünger[Handelsdünger])-1)/(--(SEARCH(AX$2,Liste_Handelsünger[Handelsdünger])&gt;0)),ROW()-2),1),"")</f>
        <v/>
      </c>
      <c r="AY330" t="str">
        <f>IFERROR(INDEX(Liste_Handelsünger[Handelsdünger],_xlfn.AGGREGATE(15,6,(ROW(Liste_Handelsünger[Handelsdünger])-1)/(--(SEARCH(AZ$2,Liste_Handelsünger[Handelsdünger])&gt;0)),ROW()-2),1),"")</f>
        <v/>
      </c>
      <c r="BA330" t="str">
        <f>IFERROR(INDEX(Liste_Handelsünger[Handelsdünger],_xlfn.AGGREGATE(15,6,(ROW(Liste_Handelsünger[Handelsdünger])-1)/(--(SEARCH(BB$2,Liste_Handelsünger[Handelsdünger])&gt;0)),ROW()-2),1),"")</f>
        <v/>
      </c>
      <c r="BC330" t="str">
        <f>IFERROR(INDEX(Liste_Handelsünger[Handelsdünger],_xlfn.AGGREGATE(15,6,(ROW(Liste_Handelsünger[Handelsdünger])-1)/(--(SEARCH(BD$2,Liste_Handelsünger[Handelsdünger])&gt;0)),ROW()-2),1),"")</f>
        <v/>
      </c>
      <c r="BE330" t="str">
        <f>IFERROR(INDEX(Liste_Handelsünger[Handelsdünger],_xlfn.AGGREGATE(15,6,(ROW(Liste_Handelsünger[Handelsdünger])-1)/(--(SEARCH(BF$2,Liste_Handelsünger[Handelsdünger])&gt;0)),ROW()-2),1),"")</f>
        <v/>
      </c>
      <c r="BG330" t="str">
        <f>IFERROR(INDEX(Liste_Handelsünger[Handelsdünger],_xlfn.AGGREGATE(15,6,(ROW(Liste_Handelsünger[Handelsdünger])-1)/(--(SEARCH(BH$2,Liste_Handelsünger[Handelsdünger])&gt;0)),ROW()-2),1),"")</f>
        <v/>
      </c>
      <c r="BI330" t="str">
        <f>IFERROR(INDEX(Liste_Handelsünger[Handelsdünger],_xlfn.AGGREGATE(15,6,(ROW(Liste_Handelsünger[Handelsdünger])-1)/(--(SEARCH(BJ$2,Liste_Handelsünger[Handelsdünger])&gt;0)),ROW()-2),1),"")</f>
        <v/>
      </c>
      <c r="BK330" t="str">
        <f>IFERROR(INDEX(Liste_Handelsünger[Handelsdünger],_xlfn.AGGREGATE(15,6,(ROW(Liste_Handelsünger[Handelsdünger])-1)/(--(SEARCH(BL$2,Liste_Handelsünger[Handelsdünger])&gt;0)),ROW()-2),1),"")</f>
        <v/>
      </c>
      <c r="BM330" t="str">
        <f>IFERROR(INDEX(Liste_Handelsünger[Handelsdünger],_xlfn.AGGREGATE(15,6,(ROW(Liste_Handelsünger[Handelsdünger])-1)/(--(SEARCH(BN$2,Liste_Handelsünger[Handelsdünger])&gt;0)),ROW()-2),1),"")</f>
        <v/>
      </c>
    </row>
    <row r="331" spans="19:80">
      <c r="AJ331" s="1656"/>
      <c r="AK331" s="1660" t="str">
        <f>IFERROR(INDEX(Liste_Handelsünger[Handelsdünger],_xlfn.AGGREGATE(15,6,(ROW(Liste_Handelsünger[Handelsdünger])-1)/(--(SEARCH(AL$2,Liste_Handelsünger[Handelsdünger])&gt;0)),ROW()-2),1),"")</f>
        <v/>
      </c>
      <c r="AL331" s="1660"/>
      <c r="AM331" s="1660" t="str">
        <f>IFERROR(INDEX(Liste_Handelsünger[Handelsdünger],_xlfn.AGGREGATE(15,6,(ROW(Liste_Handelsünger[Handelsdünger])-1)/(--(SEARCH(AN$2,Liste_Handelsünger[Handelsdünger])&gt;0)),ROW()-2),1),"")</f>
        <v/>
      </c>
      <c r="AO331" t="str">
        <f>IFERROR(INDEX(Liste_Handelsünger[Handelsdünger],_xlfn.AGGREGATE(15,6,(ROW(Liste_Handelsünger[Handelsdünger])-1)/(--(SEARCH(AP$2,Liste_Handelsünger[Handelsdünger])&gt;0)),ROW()-2),1),"")</f>
        <v/>
      </c>
      <c r="AQ331" t="str">
        <f>IFERROR(INDEX(Liste_Handelsünger[Handelsdünger],_xlfn.AGGREGATE(15,6,(ROW(Liste_Handelsünger[Handelsdünger])-1)/(--(SEARCH(AR$2,Liste_Handelsünger[Handelsdünger])&gt;0)),ROW()-2),1),"")</f>
        <v/>
      </c>
      <c r="AS331" t="str">
        <f>IFERROR(INDEX(Liste_Handelsünger[Handelsdünger],_xlfn.AGGREGATE(15,6,(ROW(Liste_Handelsünger[Handelsdünger])-1)/(--(SEARCH(AT$2,Liste_Handelsünger[Handelsdünger])&gt;0)),ROW()-2),1),"")</f>
        <v/>
      </c>
      <c r="AU331" t="str">
        <f>IFERROR(INDEX(Liste_Handelsünger[Handelsdünger],_xlfn.AGGREGATE(15,6,(ROW(Liste_Handelsünger[Handelsdünger])-1)/(--(SEARCH(AV$2,Liste_Handelsünger[Handelsdünger])&gt;0)),ROW()-2),1),"")</f>
        <v/>
      </c>
      <c r="AW331" t="str">
        <f>IFERROR(INDEX(Liste_Handelsünger[Handelsdünger],_xlfn.AGGREGATE(15,6,(ROW(Liste_Handelsünger[Handelsdünger])-1)/(--(SEARCH(AX$2,Liste_Handelsünger[Handelsdünger])&gt;0)),ROW()-2),1),"")</f>
        <v/>
      </c>
      <c r="AY331" t="str">
        <f>IFERROR(INDEX(Liste_Handelsünger[Handelsdünger],_xlfn.AGGREGATE(15,6,(ROW(Liste_Handelsünger[Handelsdünger])-1)/(--(SEARCH(AZ$2,Liste_Handelsünger[Handelsdünger])&gt;0)),ROW()-2),1),"")</f>
        <v/>
      </c>
      <c r="BA331" t="str">
        <f>IFERROR(INDEX(Liste_Handelsünger[Handelsdünger],_xlfn.AGGREGATE(15,6,(ROW(Liste_Handelsünger[Handelsdünger])-1)/(--(SEARCH(BB$2,Liste_Handelsünger[Handelsdünger])&gt;0)),ROW()-2),1),"")</f>
        <v/>
      </c>
      <c r="BC331" t="str">
        <f>IFERROR(INDEX(Liste_Handelsünger[Handelsdünger],_xlfn.AGGREGATE(15,6,(ROW(Liste_Handelsünger[Handelsdünger])-1)/(--(SEARCH(BD$2,Liste_Handelsünger[Handelsdünger])&gt;0)),ROW()-2),1),"")</f>
        <v/>
      </c>
      <c r="BE331" t="str">
        <f>IFERROR(INDEX(Liste_Handelsünger[Handelsdünger],_xlfn.AGGREGATE(15,6,(ROW(Liste_Handelsünger[Handelsdünger])-1)/(--(SEARCH(BF$2,Liste_Handelsünger[Handelsdünger])&gt;0)),ROW()-2),1),"")</f>
        <v/>
      </c>
      <c r="BG331" t="str">
        <f>IFERROR(INDEX(Liste_Handelsünger[Handelsdünger],_xlfn.AGGREGATE(15,6,(ROW(Liste_Handelsünger[Handelsdünger])-1)/(--(SEARCH(BH$2,Liste_Handelsünger[Handelsdünger])&gt;0)),ROW()-2),1),"")</f>
        <v/>
      </c>
      <c r="BI331" t="str">
        <f>IFERROR(INDEX(Liste_Handelsünger[Handelsdünger],_xlfn.AGGREGATE(15,6,(ROW(Liste_Handelsünger[Handelsdünger])-1)/(--(SEARCH(BJ$2,Liste_Handelsünger[Handelsdünger])&gt;0)),ROW()-2),1),"")</f>
        <v/>
      </c>
      <c r="BK331" t="str">
        <f>IFERROR(INDEX(Liste_Handelsünger[Handelsdünger],_xlfn.AGGREGATE(15,6,(ROW(Liste_Handelsünger[Handelsdünger])-1)/(--(SEARCH(BL$2,Liste_Handelsünger[Handelsdünger])&gt;0)),ROW()-2),1),"")</f>
        <v/>
      </c>
      <c r="BM331" t="str">
        <f>IFERROR(INDEX(Liste_Handelsünger[Handelsdünger],_xlfn.AGGREGATE(15,6,(ROW(Liste_Handelsünger[Handelsdünger])-1)/(--(SEARCH(BN$2,Liste_Handelsünger[Handelsdünger])&gt;0)),ROW()-2),1),"")</f>
        <v/>
      </c>
    </row>
    <row r="332" spans="19:80">
      <c r="AJ332" s="1656"/>
      <c r="AK332" s="1660" t="str">
        <f>IFERROR(INDEX(Liste_Handelsünger[Handelsdünger],_xlfn.AGGREGATE(15,6,(ROW(Liste_Handelsünger[Handelsdünger])-1)/(--(SEARCH(AL$2,Liste_Handelsünger[Handelsdünger])&gt;0)),ROW()-2),1),"")</f>
        <v/>
      </c>
      <c r="AL332" s="1660"/>
      <c r="AM332" s="1660" t="str">
        <f>IFERROR(INDEX(Liste_Handelsünger[Handelsdünger],_xlfn.AGGREGATE(15,6,(ROW(Liste_Handelsünger[Handelsdünger])-1)/(--(SEARCH(AN$2,Liste_Handelsünger[Handelsdünger])&gt;0)),ROW()-2),1),"")</f>
        <v/>
      </c>
      <c r="AO332" t="str">
        <f>IFERROR(INDEX(Liste_Handelsünger[Handelsdünger],_xlfn.AGGREGATE(15,6,(ROW(Liste_Handelsünger[Handelsdünger])-1)/(--(SEARCH(AP$2,Liste_Handelsünger[Handelsdünger])&gt;0)),ROW()-2),1),"")</f>
        <v/>
      </c>
      <c r="AQ332" t="str">
        <f>IFERROR(INDEX(Liste_Handelsünger[Handelsdünger],_xlfn.AGGREGATE(15,6,(ROW(Liste_Handelsünger[Handelsdünger])-1)/(--(SEARCH(AR$2,Liste_Handelsünger[Handelsdünger])&gt;0)),ROW()-2),1),"")</f>
        <v/>
      </c>
      <c r="AS332" t="str">
        <f>IFERROR(INDEX(Liste_Handelsünger[Handelsdünger],_xlfn.AGGREGATE(15,6,(ROW(Liste_Handelsünger[Handelsdünger])-1)/(--(SEARCH(AT$2,Liste_Handelsünger[Handelsdünger])&gt;0)),ROW()-2),1),"")</f>
        <v/>
      </c>
      <c r="AU332" t="str">
        <f>IFERROR(INDEX(Liste_Handelsünger[Handelsdünger],_xlfn.AGGREGATE(15,6,(ROW(Liste_Handelsünger[Handelsdünger])-1)/(--(SEARCH(AV$2,Liste_Handelsünger[Handelsdünger])&gt;0)),ROW()-2),1),"")</f>
        <v/>
      </c>
      <c r="AW332" t="str">
        <f>IFERROR(INDEX(Liste_Handelsünger[Handelsdünger],_xlfn.AGGREGATE(15,6,(ROW(Liste_Handelsünger[Handelsdünger])-1)/(--(SEARCH(AX$2,Liste_Handelsünger[Handelsdünger])&gt;0)),ROW()-2),1),"")</f>
        <v/>
      </c>
      <c r="AY332" t="str">
        <f>IFERROR(INDEX(Liste_Handelsünger[Handelsdünger],_xlfn.AGGREGATE(15,6,(ROW(Liste_Handelsünger[Handelsdünger])-1)/(--(SEARCH(AZ$2,Liste_Handelsünger[Handelsdünger])&gt;0)),ROW()-2),1),"")</f>
        <v/>
      </c>
      <c r="BA332" t="str">
        <f>IFERROR(INDEX(Liste_Handelsünger[Handelsdünger],_xlfn.AGGREGATE(15,6,(ROW(Liste_Handelsünger[Handelsdünger])-1)/(--(SEARCH(BB$2,Liste_Handelsünger[Handelsdünger])&gt;0)),ROW()-2),1),"")</f>
        <v/>
      </c>
      <c r="BC332" t="str">
        <f>IFERROR(INDEX(Liste_Handelsünger[Handelsdünger],_xlfn.AGGREGATE(15,6,(ROW(Liste_Handelsünger[Handelsdünger])-1)/(--(SEARCH(BD$2,Liste_Handelsünger[Handelsdünger])&gt;0)),ROW()-2),1),"")</f>
        <v/>
      </c>
      <c r="BE332" t="str">
        <f>IFERROR(INDEX(Liste_Handelsünger[Handelsdünger],_xlfn.AGGREGATE(15,6,(ROW(Liste_Handelsünger[Handelsdünger])-1)/(--(SEARCH(BF$2,Liste_Handelsünger[Handelsdünger])&gt;0)),ROW()-2),1),"")</f>
        <v/>
      </c>
      <c r="BG332" t="str">
        <f>IFERROR(INDEX(Liste_Handelsünger[Handelsdünger],_xlfn.AGGREGATE(15,6,(ROW(Liste_Handelsünger[Handelsdünger])-1)/(--(SEARCH(BH$2,Liste_Handelsünger[Handelsdünger])&gt;0)),ROW()-2),1),"")</f>
        <v/>
      </c>
      <c r="BI332" t="str">
        <f>IFERROR(INDEX(Liste_Handelsünger[Handelsdünger],_xlfn.AGGREGATE(15,6,(ROW(Liste_Handelsünger[Handelsdünger])-1)/(--(SEARCH(BJ$2,Liste_Handelsünger[Handelsdünger])&gt;0)),ROW()-2),1),"")</f>
        <v/>
      </c>
      <c r="BK332" t="str">
        <f>IFERROR(INDEX(Liste_Handelsünger[Handelsdünger],_xlfn.AGGREGATE(15,6,(ROW(Liste_Handelsünger[Handelsdünger])-1)/(--(SEARCH(BL$2,Liste_Handelsünger[Handelsdünger])&gt;0)),ROW()-2),1),"")</f>
        <v/>
      </c>
      <c r="BM332" t="str">
        <f>IFERROR(INDEX(Liste_Handelsünger[Handelsdünger],_xlfn.AGGREGATE(15,6,(ROW(Liste_Handelsünger[Handelsdünger])-1)/(--(SEARCH(BN$2,Liste_Handelsünger[Handelsdünger])&gt;0)),ROW()-2),1),"")</f>
        <v/>
      </c>
    </row>
    <row r="333" spans="19:80">
      <c r="AJ333" s="1656"/>
      <c r="AK333" s="1660" t="str">
        <f>IFERROR(INDEX(Liste_Handelsünger[Handelsdünger],_xlfn.AGGREGATE(15,6,(ROW(Liste_Handelsünger[Handelsdünger])-1)/(--(SEARCH(AL$2,Liste_Handelsünger[Handelsdünger])&gt;0)),ROW()-2),1),"")</f>
        <v/>
      </c>
      <c r="AL333" s="1660"/>
      <c r="AM333" s="1660" t="str">
        <f>IFERROR(INDEX(Liste_Handelsünger[Handelsdünger],_xlfn.AGGREGATE(15,6,(ROW(Liste_Handelsünger[Handelsdünger])-1)/(--(SEARCH(AN$2,Liste_Handelsünger[Handelsdünger])&gt;0)),ROW()-2),1),"")</f>
        <v/>
      </c>
      <c r="AO333" t="str">
        <f>IFERROR(INDEX(Liste_Handelsünger[Handelsdünger],_xlfn.AGGREGATE(15,6,(ROW(Liste_Handelsünger[Handelsdünger])-1)/(--(SEARCH(AP$2,Liste_Handelsünger[Handelsdünger])&gt;0)),ROW()-2),1),"")</f>
        <v/>
      </c>
      <c r="AQ333" t="str">
        <f>IFERROR(INDEX(Liste_Handelsünger[Handelsdünger],_xlfn.AGGREGATE(15,6,(ROW(Liste_Handelsünger[Handelsdünger])-1)/(--(SEARCH(AR$2,Liste_Handelsünger[Handelsdünger])&gt;0)),ROW()-2),1),"")</f>
        <v/>
      </c>
      <c r="AS333" t="str">
        <f>IFERROR(INDEX(Liste_Handelsünger[Handelsdünger],_xlfn.AGGREGATE(15,6,(ROW(Liste_Handelsünger[Handelsdünger])-1)/(--(SEARCH(AT$2,Liste_Handelsünger[Handelsdünger])&gt;0)),ROW()-2),1),"")</f>
        <v/>
      </c>
      <c r="AU333" t="str">
        <f>IFERROR(INDEX(Liste_Handelsünger[Handelsdünger],_xlfn.AGGREGATE(15,6,(ROW(Liste_Handelsünger[Handelsdünger])-1)/(--(SEARCH(AV$2,Liste_Handelsünger[Handelsdünger])&gt;0)),ROW()-2),1),"")</f>
        <v/>
      </c>
      <c r="AW333" t="str">
        <f>IFERROR(INDEX(Liste_Handelsünger[Handelsdünger],_xlfn.AGGREGATE(15,6,(ROW(Liste_Handelsünger[Handelsdünger])-1)/(--(SEARCH(AX$2,Liste_Handelsünger[Handelsdünger])&gt;0)),ROW()-2),1),"")</f>
        <v/>
      </c>
      <c r="AY333" t="str">
        <f>IFERROR(INDEX(Liste_Handelsünger[Handelsdünger],_xlfn.AGGREGATE(15,6,(ROW(Liste_Handelsünger[Handelsdünger])-1)/(--(SEARCH(AZ$2,Liste_Handelsünger[Handelsdünger])&gt;0)),ROW()-2),1),"")</f>
        <v/>
      </c>
      <c r="BA333" t="str">
        <f>IFERROR(INDEX(Liste_Handelsünger[Handelsdünger],_xlfn.AGGREGATE(15,6,(ROW(Liste_Handelsünger[Handelsdünger])-1)/(--(SEARCH(BB$2,Liste_Handelsünger[Handelsdünger])&gt;0)),ROW()-2),1),"")</f>
        <v/>
      </c>
      <c r="BC333" t="str">
        <f>IFERROR(INDEX(Liste_Handelsünger[Handelsdünger],_xlfn.AGGREGATE(15,6,(ROW(Liste_Handelsünger[Handelsdünger])-1)/(--(SEARCH(BD$2,Liste_Handelsünger[Handelsdünger])&gt;0)),ROW()-2),1),"")</f>
        <v/>
      </c>
      <c r="BE333" t="str">
        <f>IFERROR(INDEX(Liste_Handelsünger[Handelsdünger],_xlfn.AGGREGATE(15,6,(ROW(Liste_Handelsünger[Handelsdünger])-1)/(--(SEARCH(BF$2,Liste_Handelsünger[Handelsdünger])&gt;0)),ROW()-2),1),"")</f>
        <v/>
      </c>
      <c r="BG333" t="str">
        <f>IFERROR(INDEX(Liste_Handelsünger[Handelsdünger],_xlfn.AGGREGATE(15,6,(ROW(Liste_Handelsünger[Handelsdünger])-1)/(--(SEARCH(BH$2,Liste_Handelsünger[Handelsdünger])&gt;0)),ROW()-2),1),"")</f>
        <v/>
      </c>
      <c r="BI333" t="str">
        <f>IFERROR(INDEX(Liste_Handelsünger[Handelsdünger],_xlfn.AGGREGATE(15,6,(ROW(Liste_Handelsünger[Handelsdünger])-1)/(--(SEARCH(BJ$2,Liste_Handelsünger[Handelsdünger])&gt;0)),ROW()-2),1),"")</f>
        <v/>
      </c>
      <c r="BK333" t="str">
        <f>IFERROR(INDEX(Liste_Handelsünger[Handelsdünger],_xlfn.AGGREGATE(15,6,(ROW(Liste_Handelsünger[Handelsdünger])-1)/(--(SEARCH(BL$2,Liste_Handelsünger[Handelsdünger])&gt;0)),ROW()-2),1),"")</f>
        <v/>
      </c>
      <c r="BM333" t="str">
        <f>IFERROR(INDEX(Liste_Handelsünger[Handelsdünger],_xlfn.AGGREGATE(15,6,(ROW(Liste_Handelsünger[Handelsdünger])-1)/(--(SEARCH(BN$2,Liste_Handelsünger[Handelsdünger])&gt;0)),ROW()-2),1),"")</f>
        <v/>
      </c>
    </row>
    <row r="334" spans="19:80">
      <c r="AJ334" s="1656"/>
      <c r="AK334" s="1660" t="str">
        <f>IFERROR(INDEX(Liste_Handelsünger[Handelsdünger],_xlfn.AGGREGATE(15,6,(ROW(Liste_Handelsünger[Handelsdünger])-1)/(--(SEARCH(AL$2,Liste_Handelsünger[Handelsdünger])&gt;0)),ROW()-2),1),"")</f>
        <v/>
      </c>
      <c r="AL334" s="1660"/>
      <c r="AM334" s="1660" t="str">
        <f>IFERROR(INDEX(Liste_Handelsünger[Handelsdünger],_xlfn.AGGREGATE(15,6,(ROW(Liste_Handelsünger[Handelsdünger])-1)/(--(SEARCH(AN$2,Liste_Handelsünger[Handelsdünger])&gt;0)),ROW()-2),1),"")</f>
        <v/>
      </c>
      <c r="AO334" t="str">
        <f>IFERROR(INDEX(Liste_Handelsünger[Handelsdünger],_xlfn.AGGREGATE(15,6,(ROW(Liste_Handelsünger[Handelsdünger])-1)/(--(SEARCH(AP$2,Liste_Handelsünger[Handelsdünger])&gt;0)),ROW()-2),1),"")</f>
        <v/>
      </c>
      <c r="AQ334" t="str">
        <f>IFERROR(INDEX(Liste_Handelsünger[Handelsdünger],_xlfn.AGGREGATE(15,6,(ROW(Liste_Handelsünger[Handelsdünger])-1)/(--(SEARCH(AR$2,Liste_Handelsünger[Handelsdünger])&gt;0)),ROW()-2),1),"")</f>
        <v/>
      </c>
      <c r="AS334" t="str">
        <f>IFERROR(INDEX(Liste_Handelsünger[Handelsdünger],_xlfn.AGGREGATE(15,6,(ROW(Liste_Handelsünger[Handelsdünger])-1)/(--(SEARCH(AT$2,Liste_Handelsünger[Handelsdünger])&gt;0)),ROW()-2),1),"")</f>
        <v/>
      </c>
      <c r="AU334" t="str">
        <f>IFERROR(INDEX(Liste_Handelsünger[Handelsdünger],_xlfn.AGGREGATE(15,6,(ROW(Liste_Handelsünger[Handelsdünger])-1)/(--(SEARCH(AV$2,Liste_Handelsünger[Handelsdünger])&gt;0)),ROW()-2),1),"")</f>
        <v/>
      </c>
      <c r="AW334" t="str">
        <f>IFERROR(INDEX(Liste_Handelsünger[Handelsdünger],_xlfn.AGGREGATE(15,6,(ROW(Liste_Handelsünger[Handelsdünger])-1)/(--(SEARCH(AX$2,Liste_Handelsünger[Handelsdünger])&gt;0)),ROW()-2),1),"")</f>
        <v/>
      </c>
      <c r="AY334" t="str">
        <f>IFERROR(INDEX(Liste_Handelsünger[Handelsdünger],_xlfn.AGGREGATE(15,6,(ROW(Liste_Handelsünger[Handelsdünger])-1)/(--(SEARCH(AZ$2,Liste_Handelsünger[Handelsdünger])&gt;0)),ROW()-2),1),"")</f>
        <v/>
      </c>
      <c r="BA334" t="str">
        <f>IFERROR(INDEX(Liste_Handelsünger[Handelsdünger],_xlfn.AGGREGATE(15,6,(ROW(Liste_Handelsünger[Handelsdünger])-1)/(--(SEARCH(BB$2,Liste_Handelsünger[Handelsdünger])&gt;0)),ROW()-2),1),"")</f>
        <v/>
      </c>
      <c r="BC334" t="str">
        <f>IFERROR(INDEX(Liste_Handelsünger[Handelsdünger],_xlfn.AGGREGATE(15,6,(ROW(Liste_Handelsünger[Handelsdünger])-1)/(--(SEARCH(BD$2,Liste_Handelsünger[Handelsdünger])&gt;0)),ROW()-2),1),"")</f>
        <v/>
      </c>
      <c r="BE334" t="str">
        <f>IFERROR(INDEX(Liste_Handelsünger[Handelsdünger],_xlfn.AGGREGATE(15,6,(ROW(Liste_Handelsünger[Handelsdünger])-1)/(--(SEARCH(BF$2,Liste_Handelsünger[Handelsdünger])&gt;0)),ROW()-2),1),"")</f>
        <v/>
      </c>
      <c r="BG334" t="str">
        <f>IFERROR(INDEX(Liste_Handelsünger[Handelsdünger],_xlfn.AGGREGATE(15,6,(ROW(Liste_Handelsünger[Handelsdünger])-1)/(--(SEARCH(BH$2,Liste_Handelsünger[Handelsdünger])&gt;0)),ROW()-2),1),"")</f>
        <v/>
      </c>
      <c r="BI334" t="str">
        <f>IFERROR(INDEX(Liste_Handelsünger[Handelsdünger],_xlfn.AGGREGATE(15,6,(ROW(Liste_Handelsünger[Handelsdünger])-1)/(--(SEARCH(BJ$2,Liste_Handelsünger[Handelsdünger])&gt;0)),ROW()-2),1),"")</f>
        <v/>
      </c>
      <c r="BK334" t="str">
        <f>IFERROR(INDEX(Liste_Handelsünger[Handelsdünger],_xlfn.AGGREGATE(15,6,(ROW(Liste_Handelsünger[Handelsdünger])-1)/(--(SEARCH(BL$2,Liste_Handelsünger[Handelsdünger])&gt;0)),ROW()-2),1),"")</f>
        <v/>
      </c>
      <c r="BM334" t="str">
        <f>IFERROR(INDEX(Liste_Handelsünger[Handelsdünger],_xlfn.AGGREGATE(15,6,(ROW(Liste_Handelsünger[Handelsdünger])-1)/(--(SEARCH(BN$2,Liste_Handelsünger[Handelsdünger])&gt;0)),ROW()-2),1),"")</f>
        <v/>
      </c>
    </row>
  </sheetData>
  <sheetProtection password="CAEF" sheet="1" formatCells="0" formatColumns="0" formatRows="0"/>
  <phoneticPr fontId="41" type="noConversion"/>
  <conditionalFormatting sqref="A3:A17">
    <cfRule type="expression" dxfId="136" priority="132">
      <formula>AND($C2&lt;&gt;"",$A2&lt;&gt;"",OR($A3="",$BQ3&lt;&gt;1))</formula>
    </cfRule>
  </conditionalFormatting>
  <conditionalFormatting sqref="C3">
    <cfRule type="expression" dxfId="135" priority="131">
      <formula>AND($C$3="",$A$3&lt;&gt;"",$A$3&lt;&gt;0,$BQ3=1)</formula>
    </cfRule>
  </conditionalFormatting>
  <conditionalFormatting sqref="C4:C17">
    <cfRule type="expression" dxfId="134" priority="133">
      <formula>AND($A4&lt;&gt;"",$C4="",$A4&lt;&gt;0,$BQ4)</formula>
    </cfRule>
  </conditionalFormatting>
  <conditionalFormatting sqref="G3:J27">
    <cfRule type="cellIs" dxfId="133" priority="5" stopIfTrue="1" operator="greaterThan">
      <formula>0</formula>
    </cfRule>
  </conditionalFormatting>
  <conditionalFormatting sqref="H3:H17">
    <cfRule type="cellIs" dxfId="132" priority="6" stopIfTrue="1" operator="greaterThan">
      <formula>0</formula>
    </cfRule>
  </conditionalFormatting>
  <conditionalFormatting sqref="K18:K27">
    <cfRule type="expression" dxfId="131" priority="8">
      <formula>AND($C18&gt;0,$D18&gt;0,$K18="")</formula>
    </cfRule>
  </conditionalFormatting>
  <conditionalFormatting sqref="O3">
    <cfRule type="expression" dxfId="130" priority="4">
      <formula>$O$3&gt;0</formula>
    </cfRule>
  </conditionalFormatting>
  <dataValidations count="16">
    <dataValidation type="list" allowBlank="1" showInputMessage="1" sqref="A17" xr:uid="{00000000-0002-0000-0700-000000000000}">
      <formula1>Liste_Handelsdünger_A17</formula1>
    </dataValidation>
    <dataValidation type="list" allowBlank="1" showInputMessage="1" sqref="A3" xr:uid="{00000000-0002-0000-0700-000001000000}">
      <formula1>Liste_Handelsdünger_A3</formula1>
    </dataValidation>
    <dataValidation type="list" allowBlank="1" showInputMessage="1" sqref="A4" xr:uid="{00000000-0002-0000-0700-000002000000}">
      <formula1>Liste_Handelsdünger_A4</formula1>
    </dataValidation>
    <dataValidation type="list" allowBlank="1" showInputMessage="1" sqref="A5" xr:uid="{00000000-0002-0000-0700-000003000000}">
      <formula1>Liste_Handelsdünger_A5</formula1>
    </dataValidation>
    <dataValidation type="list" allowBlank="1" showInputMessage="1" sqref="A6" xr:uid="{00000000-0002-0000-0700-000004000000}">
      <formula1>Liste_Handelsdünger_A6</formula1>
    </dataValidation>
    <dataValidation type="list" allowBlank="1" showInputMessage="1" sqref="A7" xr:uid="{00000000-0002-0000-0700-000005000000}">
      <formula1>Liste_Handelsdünger_A7</formula1>
    </dataValidation>
    <dataValidation type="list" allowBlank="1" showInputMessage="1" sqref="A8" xr:uid="{00000000-0002-0000-0700-000006000000}">
      <formula1>Liste_Handelsdünger_A8</formula1>
    </dataValidation>
    <dataValidation type="list" allowBlank="1" showInputMessage="1" sqref="A9" xr:uid="{00000000-0002-0000-0700-000007000000}">
      <formula1>Liste_Handelsdünger_A9</formula1>
    </dataValidation>
    <dataValidation type="list" allowBlank="1" showInputMessage="1" sqref="A10" xr:uid="{00000000-0002-0000-0700-000008000000}">
      <formula1>Liste_Handelsdünger_A10</formula1>
    </dataValidation>
    <dataValidation type="list" allowBlank="1" showInputMessage="1" sqref="A11" xr:uid="{00000000-0002-0000-0700-000009000000}">
      <formula1>Liste_Handelsdünger_A11</formula1>
    </dataValidation>
    <dataValidation type="list" allowBlank="1" showInputMessage="1" sqref="A12" xr:uid="{00000000-0002-0000-0700-00000A000000}">
      <formula1>Liste_Handelsdünger_A12</formula1>
    </dataValidation>
    <dataValidation type="list" allowBlank="1" showInputMessage="1" sqref="A13" xr:uid="{00000000-0002-0000-0700-00000B000000}">
      <formula1>Liste_Handelsdünger_A13</formula1>
    </dataValidation>
    <dataValidation type="list" allowBlank="1" showInputMessage="1" sqref="A14" xr:uid="{00000000-0002-0000-0700-00000C000000}">
      <formula1>Liste_Handelsdünger_A14</formula1>
    </dataValidation>
    <dataValidation type="list" allowBlank="1" showInputMessage="1" sqref="A15" xr:uid="{00000000-0002-0000-0700-00000D000000}">
      <formula1>Liste_Handelsdünger_A15</formula1>
    </dataValidation>
    <dataValidation type="list" allowBlank="1" showInputMessage="1" sqref="A16" xr:uid="{00000000-0002-0000-0700-00000E000000}">
      <formula1>Liste_Handelsdünger_A16</formula1>
    </dataValidation>
    <dataValidation type="list" allowBlank="1" showInputMessage="1" showErrorMessage="1" sqref="K18:K27" xr:uid="{00000000-0002-0000-0700-00000F000000}">
      <formula1>$BS$2:$BS$8</formula1>
    </dataValidation>
  </dataValidations>
  <hyperlinks>
    <hyperlink ref="N1" location="Organ__Dü!A3" display="◄" xr:uid="{00000000-0004-0000-0700-000000000000}"/>
    <hyperlink ref="O1" location="Ertragsdokumentation!C5" display="  ►" xr:uid="{00000000-0004-0000-0700-000001000000}"/>
  </hyperlinks>
  <pageMargins left="0.55118110236220474" right="0.39370078740157483" top="0.78740157480314965" bottom="0.62992125984251968" header="0.31496062992125984" footer="0.39370078740157483"/>
  <pageSetup paperSize="9" scale="61" firstPageNumber="0" orientation="portrait" blackAndWhite="1" horizontalDpi="300" verticalDpi="300" r:id="rId1"/>
  <headerFooter alignWithMargins="0">
    <oddHeader>&amp;R&amp;O</oddHeader>
    <oddFooter>&amp;L&amp;11&amp;F</oddFooter>
  </headerFooter>
  <legacyDrawingHF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2" id="{D619F567-A84E-4642-9749-05C745C958CC}">
            <xm:f>AND(Betrieb!$D$11="NEIN",$O$4&gt;175)</xm:f>
            <x14:dxf>
              <fill>
                <patternFill>
                  <bgColor rgb="FFFF0000"/>
                </patternFill>
              </fill>
            </x14:dxf>
          </x14:cfRule>
          <x14:cfRule type="expression" priority="3" id="{FA48472B-7DFD-4F2F-BEA7-6893D18548B2}">
            <xm:f>AND(Betrieb!$D$11="JA",$O$4&gt;210)</xm:f>
            <x14:dxf>
              <fill>
                <patternFill>
                  <bgColor rgb="FFFF0000"/>
                </patternFill>
              </fill>
            </x14:dxf>
          </x14:cfRule>
          <xm:sqref>O4</xm:sqref>
        </x14:conditionalFormatting>
        <x14:conditionalFormatting xmlns:xm="http://schemas.microsoft.com/office/excel/2006/main">
          <x14:cfRule type="expression" priority="1" id="{C200C38B-A5E9-4AA8-B9F9-BA1FB8BA33AF}">
            <xm:f>AND($O$5&gt;0,Ergebnis!$F$25="nein")</xm:f>
            <x14:dxf>
              <fill>
                <patternFill>
                  <bgColor rgb="FFFF0000"/>
                </patternFill>
              </fill>
            </x14:dxf>
          </x14:cfRule>
          <xm:sqref>O5</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tabColor theme="9" tint="0.39997558519241921"/>
    <pageSetUpPr fitToPage="1"/>
  </sheetPr>
  <dimension ref="A1:AE109"/>
  <sheetViews>
    <sheetView zoomScale="90" zoomScaleNormal="90" workbookViewId="0">
      <selection activeCell="C13" sqref="C13"/>
    </sheetView>
  </sheetViews>
  <sheetFormatPr baseColWidth="10" defaultRowHeight="12.75"/>
  <cols>
    <col min="2" max="2" width="31.140625" customWidth="1"/>
    <col min="3" max="3" width="27.7109375" customWidth="1"/>
    <col min="4" max="4" width="18" bestFit="1" customWidth="1"/>
    <col min="6" max="6" width="34.28515625" bestFit="1" customWidth="1"/>
    <col min="7" max="7" width="24.7109375" customWidth="1"/>
    <col min="8" max="8" width="22" bestFit="1" customWidth="1"/>
    <col min="9" max="9" width="21.85546875" customWidth="1"/>
    <col min="11" max="11" width="18.85546875" hidden="1" customWidth="1"/>
    <col min="12" max="13" width="11.42578125" hidden="1" customWidth="1"/>
    <col min="14" max="14" width="22.7109375" hidden="1" customWidth="1"/>
    <col min="15" max="15" width="17.85546875" hidden="1" customWidth="1"/>
    <col min="16" max="16" width="11.42578125" hidden="1" customWidth="1"/>
    <col min="17" max="17" width="20.5703125" customWidth="1"/>
    <col min="18" max="19" width="25.85546875" customWidth="1"/>
    <col min="20" max="20" width="34.28515625" bestFit="1" customWidth="1"/>
    <col min="21" max="21" width="34.28515625" customWidth="1"/>
    <col min="22" max="22" width="22.28515625" customWidth="1"/>
    <col min="23" max="23" width="20.28515625" customWidth="1"/>
    <col min="24" max="24" width="14.7109375" customWidth="1"/>
    <col min="25" max="29" width="11.42578125" customWidth="1"/>
    <col min="30" max="30" width="43.28515625" hidden="1" customWidth="1"/>
    <col min="31" max="31" width="43.140625" hidden="1" customWidth="1"/>
  </cols>
  <sheetData>
    <row r="1" spans="1:31" ht="57" customHeight="1">
      <c r="A1" s="2745" t="s">
        <v>2863</v>
      </c>
      <c r="B1" s="2745"/>
      <c r="C1" s="2745"/>
      <c r="D1" s="2745"/>
      <c r="E1" s="2745"/>
      <c r="F1" s="2745"/>
      <c r="G1" s="2745"/>
      <c r="H1" s="2745"/>
      <c r="I1" s="2745"/>
      <c r="J1" s="2204" t="s">
        <v>891</v>
      </c>
      <c r="K1" s="2205"/>
      <c r="L1" s="2205"/>
      <c r="M1" s="2205"/>
      <c r="N1" s="2205"/>
      <c r="O1" s="2205"/>
      <c r="P1" s="2206"/>
      <c r="Q1" s="2204" t="s">
        <v>892</v>
      </c>
      <c r="AD1" t="s">
        <v>2870</v>
      </c>
      <c r="AE1" s="1610" t="s">
        <v>2876</v>
      </c>
    </row>
    <row r="2" spans="1:31" ht="13.5" thickBot="1">
      <c r="J2" s="2207"/>
      <c r="K2" s="2207"/>
      <c r="L2" s="2207"/>
      <c r="M2" s="2207"/>
      <c r="N2" s="2207"/>
      <c r="O2" s="2207"/>
      <c r="P2" s="2207"/>
      <c r="Q2" s="2207"/>
      <c r="AD2" s="2197" t="str">
        <f>IF(N_Bedarf!$C5&lt;&gt;"",N_Bedarf!$C5,"")</f>
        <v/>
      </c>
      <c r="AE2" s="2202"/>
    </row>
    <row r="3" spans="1:31" ht="43.5" customHeight="1" thickTop="1" thickBot="1">
      <c r="A3" s="2759" t="s">
        <v>2864</v>
      </c>
      <c r="B3" s="2759"/>
      <c r="C3" s="2759"/>
      <c r="D3" s="2759"/>
      <c r="E3" s="2759"/>
      <c r="F3" s="2759"/>
      <c r="G3" s="2759"/>
      <c r="H3" s="2759"/>
      <c r="I3" s="2759"/>
      <c r="AD3" s="2197" t="str">
        <f>IF(N_Bedarf!$C6&lt;&gt;"",N_Bedarf!$C6,"")</f>
        <v/>
      </c>
      <c r="AE3" s="2201" t="str">
        <f t="array" ref="AE3">IFERROR(INDEX($AD$2:$AD$58,MATCH(1,COUNTIF($AE$1:$AE2,$AD$2:$AD$58)+($AD$2:$AD$58&lt;&gt;0),0)),"")</f>
        <v>diverse Grünbrachen zB Biodiv.</v>
      </c>
    </row>
    <row r="4" spans="1:31" ht="17.25" thickTop="1" thickBot="1">
      <c r="A4" s="2217" t="s">
        <v>2884</v>
      </c>
      <c r="AD4" s="2197" t="str">
        <f>IF(N_Bedarf!$C7&lt;&gt;"",N_Bedarf!$C7,"")</f>
        <v/>
      </c>
      <c r="AE4" s="2201" t="str">
        <f t="array" ref="AE4">IFERROR(INDEX($AD$2:$AD$58,MATCH(1,COUNTIF($AE$1:$AE3,$AD$2:$AD$58)+($AD$2:$AD$58&lt;&gt;0),0)),"")</f>
        <v/>
      </c>
    </row>
    <row r="5" spans="1:31" ht="14.25" thickTop="1" thickBot="1">
      <c r="A5" s="2755" t="s">
        <v>2865</v>
      </c>
      <c r="B5" s="2755"/>
      <c r="C5" s="2755"/>
      <c r="D5" s="2755"/>
      <c r="E5" s="2755"/>
      <c r="F5" s="2755"/>
      <c r="G5" s="2755"/>
      <c r="H5" s="2755"/>
      <c r="I5" s="2755"/>
      <c r="J5" s="2"/>
      <c r="AD5" s="2197" t="str">
        <f>IF(N_Bedarf!$C8&lt;&gt;"",N_Bedarf!$C8,"")</f>
        <v/>
      </c>
      <c r="AE5" s="2201" t="str">
        <f t="array" ref="AE5">IFERROR(INDEX($AD$2:$AD$58,MATCH(1,COUNTIF($AE$1:$AE4,$AD$2:$AD$58)+($AD$2:$AD$58&lt;&gt;0),0)),"")</f>
        <v/>
      </c>
    </row>
    <row r="6" spans="1:31" ht="14.25" thickTop="1" thickBot="1">
      <c r="A6" s="2755" t="s">
        <v>2885</v>
      </c>
      <c r="B6" s="2755"/>
      <c r="C6" s="2755"/>
      <c r="D6" s="2755"/>
      <c r="E6" s="2755"/>
      <c r="F6" s="2755"/>
      <c r="G6" s="2755"/>
      <c r="H6" s="2755"/>
      <c r="I6" s="2755"/>
      <c r="J6" s="2"/>
      <c r="AD6" s="2197" t="str">
        <f>IF(N_Bedarf!$C9&lt;&gt;"",N_Bedarf!$C9,"")</f>
        <v/>
      </c>
      <c r="AE6" s="2201" t="str">
        <f t="array" ref="AE6">IFERROR(INDEX($AD$2:$AD$58,MATCH(1,COUNTIF($AE$1:$AE5,$AD$2:$AD$58)+($AD$2:$AD$58&lt;&gt;0),0)),"")</f>
        <v/>
      </c>
    </row>
    <row r="7" spans="1:31" ht="14.25" thickTop="1" thickBot="1">
      <c r="A7" s="2755" t="s">
        <v>2886</v>
      </c>
      <c r="B7" s="2755"/>
      <c r="C7" s="2755"/>
      <c r="D7" s="2755"/>
      <c r="E7" s="2755"/>
      <c r="F7" s="2755"/>
      <c r="G7" s="2755"/>
      <c r="H7" s="2755"/>
      <c r="I7" s="2755"/>
      <c r="J7" s="2"/>
      <c r="AD7" s="2197" t="str">
        <f>IF(N_Bedarf!$C10&lt;&gt;"",N_Bedarf!$C10,"")</f>
        <v/>
      </c>
      <c r="AE7" s="2201" t="str">
        <f t="array" ref="AE7">IFERROR(INDEX($AD$2:$AD$58,MATCH(1,COUNTIF($AE$1:$AE6,$AD$2:$AD$58)+($AD$2:$AD$58&lt;&gt;0),0)),"")</f>
        <v/>
      </c>
    </row>
    <row r="8" spans="1:31" ht="27" customHeight="1" thickTop="1" thickBot="1">
      <c r="A8" s="2757" t="s">
        <v>2887</v>
      </c>
      <c r="B8" s="2758"/>
      <c r="C8" s="2758"/>
      <c r="D8" s="2758"/>
      <c r="E8" s="2758"/>
      <c r="F8" s="2758"/>
      <c r="G8" s="2758"/>
      <c r="H8" s="2758"/>
      <c r="I8" s="2758"/>
      <c r="J8" s="1913"/>
      <c r="AD8" s="2197" t="str">
        <f>IF(N_Bedarf!$C11&lt;&gt;"",N_Bedarf!$C11,"")</f>
        <v/>
      </c>
      <c r="AE8" s="2201" t="str">
        <f t="array" ref="AE8">IFERROR(INDEX($AD$2:$AD$58,MATCH(1,COUNTIF($AE$1:$AE7,$AD$2:$AD$58)+($AD$2:$AD$58&lt;&gt;0),0)),"")</f>
        <v/>
      </c>
    </row>
    <row r="9" spans="1:31" ht="14.25" thickTop="1" thickBot="1">
      <c r="A9" s="2755" t="s">
        <v>2889</v>
      </c>
      <c r="B9" s="2755"/>
      <c r="C9" s="2755"/>
      <c r="D9" s="2755"/>
      <c r="E9" s="2755"/>
      <c r="F9" s="2755"/>
      <c r="G9" s="2755"/>
      <c r="H9" s="2755"/>
      <c r="I9" s="2755"/>
      <c r="J9" s="2"/>
      <c r="AD9" s="2197" t="str">
        <f>IF(N_Bedarf!$C12&lt;&gt;"",N_Bedarf!$C12,"")</f>
        <v/>
      </c>
      <c r="AE9" s="2201" t="str">
        <f t="array" ref="AE9">IFERROR(INDEX($AD$2:$AD$58,MATCH(1,COUNTIF($AE$1:$AE8,$AD$2:$AD$58)+($AD$2:$AD$58&lt;&gt;0),0)),"")</f>
        <v/>
      </c>
    </row>
    <row r="10" spans="1:31" ht="14.25" thickTop="1" thickBot="1">
      <c r="A10" s="2756" t="s">
        <v>2881</v>
      </c>
      <c r="B10" s="2756"/>
      <c r="C10" s="2756"/>
      <c r="D10" s="2756"/>
      <c r="E10" s="2756"/>
      <c r="F10" s="2756"/>
      <c r="G10" s="2756"/>
      <c r="H10" s="2756"/>
      <c r="I10" s="2756"/>
      <c r="J10" s="2"/>
      <c r="AD10" s="2197" t="str">
        <f>IF(N_Bedarf!$C13&lt;&gt;"",N_Bedarf!$C13,"")</f>
        <v/>
      </c>
      <c r="AE10" s="2201" t="str">
        <f t="array" ref="AE10">IFERROR(INDEX($AD$2:$AD$58,MATCH(1,COUNTIF($AE$1:$AE9,$AD$2:$AD$58)+($AD$2:$AD$58&lt;&gt;0),0)),"")</f>
        <v/>
      </c>
    </row>
    <row r="11" spans="1:31" ht="14.25" thickTop="1" thickBot="1">
      <c r="A11" s="2755" t="s">
        <v>2890</v>
      </c>
      <c r="B11" s="2755"/>
      <c r="C11" s="2755"/>
      <c r="D11" s="2755"/>
      <c r="E11" s="2755"/>
      <c r="F11" s="2755"/>
      <c r="G11" s="2755"/>
      <c r="H11" s="2755"/>
      <c r="I11" s="2755"/>
      <c r="J11" s="2"/>
      <c r="AD11" s="2197" t="str">
        <f>IF(N_Bedarf!$C14&lt;&gt;"",N_Bedarf!$C14,"")</f>
        <v/>
      </c>
      <c r="AE11" s="2201" t="str">
        <f t="array" ref="AE11">IFERROR(INDEX($AD$2:$AD$58,MATCH(1,COUNTIF($AE$1:$AE10,$AD$2:$AD$58)+($AD$2:$AD$58&lt;&gt;0),0)),"")</f>
        <v/>
      </c>
    </row>
    <row r="12" spans="1:31" ht="9" customHeight="1" thickTop="1" thickBot="1">
      <c r="AD12" s="2197" t="str">
        <f>IF(N_Bedarf!$C15&lt;&gt;"",N_Bedarf!$C15,"")</f>
        <v/>
      </c>
      <c r="AE12" s="2201" t="str">
        <f t="array" ref="AE12">IFERROR(INDEX($AD$2:$AD$58,MATCH(1,COUNTIF($AE$1:$AE11,$AD$2:$AD$58)+($AD$2:$AD$58&lt;&gt;0),0)),"")</f>
        <v/>
      </c>
    </row>
    <row r="13" spans="1:31" ht="24.95" customHeight="1" thickTop="1" thickBot="1">
      <c r="A13" s="2760" t="s">
        <v>2871</v>
      </c>
      <c r="B13" s="2761"/>
      <c r="C13" s="2231"/>
      <c r="D13" s="2232" t="s">
        <v>2897</v>
      </c>
      <c r="F13" s="431" t="str">
        <f>IF($C$13&gt;0,CONCATENATE("Bei einer Konzentration von ",$C$13," mg Nitrat / l ist die zugeführte N-Menge ab einer Beregnungsmenge von ",ROUND((10/($C$13/4.43))*100,2)," mm (= 10  kg N/ha) anzurechnen."),"")</f>
        <v/>
      </c>
      <c r="AD13" s="2197" t="str">
        <f>IF(N_Bedarf!$C16&lt;&gt;"",N_Bedarf!$C16,"")</f>
        <v/>
      </c>
      <c r="AE13" s="2201" t="str">
        <f t="array" ref="AE13">IFERROR(INDEX($AD$2:$AD$58,MATCH(1,COUNTIF($AE$1:$AE12,$AD$2:$AD$58)+($AD$2:$AD$58&lt;&gt;0),0)),"")</f>
        <v/>
      </c>
    </row>
    <row r="14" spans="1:31" ht="14.25" customHeight="1" thickTop="1" thickBot="1">
      <c r="Q14" s="2746" t="s">
        <v>2882</v>
      </c>
      <c r="R14" s="2747"/>
      <c r="S14" s="2747"/>
      <c r="T14" s="2747"/>
      <c r="U14" s="2747"/>
      <c r="V14" s="2747"/>
      <c r="W14" s="2748"/>
      <c r="AD14" s="2197" t="str">
        <f>IF(N_Bedarf!$C17&lt;&gt;"",N_Bedarf!$C17,"")</f>
        <v/>
      </c>
      <c r="AE14" s="2201" t="str">
        <f t="array" ref="AE14">IFERROR(INDEX($AD$2:$AD$58,MATCH(1,COUNTIF($AE$1:$AE13,$AD$2:$AD$58)+($AD$2:$AD$58&lt;&gt;0),0)),"")</f>
        <v/>
      </c>
    </row>
    <row r="15" spans="1:31" ht="24.95" customHeight="1" thickTop="1" thickBot="1">
      <c r="A15" s="2760" t="s">
        <v>2892</v>
      </c>
      <c r="B15" s="2762"/>
      <c r="C15" s="2762"/>
      <c r="D15" s="2763" t="str">
        <f>IF(SUM($W$18:$W$109)&gt;0,CONCATENATE(ROUND(SUM($W$18:$W$109),2)," kg Njw"),"")</f>
        <v/>
      </c>
      <c r="E15" s="2764"/>
      <c r="K15" s="2198"/>
      <c r="Q15" s="2749"/>
      <c r="R15" s="2750"/>
      <c r="S15" s="2750"/>
      <c r="T15" s="2750"/>
      <c r="U15" s="2750"/>
      <c r="V15" s="2750"/>
      <c r="W15" s="2751"/>
      <c r="AD15" s="2197" t="str">
        <f>IF(N_Bedarf!$C18&lt;&gt;"",N_Bedarf!$C18,"")</f>
        <v/>
      </c>
      <c r="AE15" s="2201" t="str">
        <f t="array" ref="AE15">IFERROR(INDEX($AD$2:$AD$58,MATCH(1,COUNTIF($AE$1:$AE14,$AD$2:$AD$58)+($AD$2:$AD$58&lt;&gt;0),0)),"")</f>
        <v/>
      </c>
    </row>
    <row r="16" spans="1:31" ht="14.25" thickTop="1" thickBot="1">
      <c r="K16" t="s">
        <v>2888</v>
      </c>
      <c r="Q16" s="2752"/>
      <c r="R16" s="2753"/>
      <c r="S16" s="2753"/>
      <c r="T16" s="2753"/>
      <c r="U16" s="2753"/>
      <c r="V16" s="2753"/>
      <c r="W16" s="2754"/>
      <c r="AD16" s="2197" t="str">
        <f>IF(N_Bedarf!$C19&lt;&gt;"",N_Bedarf!$C19,"")</f>
        <v/>
      </c>
      <c r="AE16" s="2201" t="str">
        <f t="array" ref="AE16">IFERROR(INDEX($AD$2:$AD$58,MATCH(1,COUNTIF($AE$1:$AE15,$AD$2:$AD$58)+($AD$2:$AD$58&lt;&gt;0),0)),"")</f>
        <v/>
      </c>
    </row>
    <row r="17" spans="1:31" ht="42.75" customHeight="1" thickTop="1" thickBot="1">
      <c r="A17" s="2219" t="s">
        <v>1300</v>
      </c>
      <c r="B17" s="2220" t="s">
        <v>2879</v>
      </c>
      <c r="C17" s="2219" t="s">
        <v>2866</v>
      </c>
      <c r="D17" s="2219" t="s">
        <v>2880</v>
      </c>
      <c r="E17" s="2220" t="s">
        <v>2883</v>
      </c>
      <c r="F17" s="2221" t="s">
        <v>2867</v>
      </c>
      <c r="G17" s="2220" t="s">
        <v>2868</v>
      </c>
      <c r="H17" s="2220" t="s">
        <v>2894</v>
      </c>
      <c r="I17" s="2222" t="s">
        <v>2869</v>
      </c>
      <c r="K17" s="263" t="s">
        <v>2872</v>
      </c>
      <c r="L17" s="263" t="s">
        <v>2873</v>
      </c>
      <c r="M17" s="263" t="s">
        <v>2874</v>
      </c>
      <c r="N17" s="3" t="s">
        <v>1355</v>
      </c>
      <c r="O17" s="263" t="s">
        <v>2869</v>
      </c>
      <c r="P17" s="263" t="s">
        <v>2877</v>
      </c>
      <c r="Q17" s="2223" t="s">
        <v>2891</v>
      </c>
      <c r="R17" s="2223" t="s">
        <v>2866</v>
      </c>
      <c r="S17" s="2223" t="s">
        <v>2873</v>
      </c>
      <c r="T17" s="2223" t="s">
        <v>1355</v>
      </c>
      <c r="U17" s="2223" t="s">
        <v>2878</v>
      </c>
      <c r="V17" s="2223" t="s">
        <v>2875</v>
      </c>
      <c r="W17" s="2223" t="s">
        <v>2893</v>
      </c>
      <c r="AD17" s="2197" t="str">
        <f>IF(N_Bedarf!$C20&lt;&gt;"",N_Bedarf!$C20,"")</f>
        <v/>
      </c>
      <c r="AE17" s="2201" t="str">
        <f t="array" ref="AE17">IFERROR(INDEX($AD$2:$AD$58,MATCH(1,COUNTIF($AE$1:$AE16,$AD$2:$AD$58)+($AD$2:$AD$58&lt;&gt;0),0)),"")</f>
        <v/>
      </c>
    </row>
    <row r="18" spans="1:31" ht="29.25" customHeight="1" thickTop="1" thickBot="1">
      <c r="A18" s="2224"/>
      <c r="B18" s="2225"/>
      <c r="C18" s="2225"/>
      <c r="D18" s="2225"/>
      <c r="E18" s="2226"/>
      <c r="F18" s="2227"/>
      <c r="G18" s="2225"/>
      <c r="H18" s="2230" t="str">
        <f t="shared" ref="H18:H82" si="0">IF(AND($B18&gt;0,$F18&lt;&gt;"",$G18&gt;0,$C$13&gt;0),$C$13,"")</f>
        <v/>
      </c>
      <c r="I18" s="2208" t="str">
        <f>IF(AND($C$13="",$H18="",$B18&lt;&gt;"",E18&lt;&gt;"",F18&lt;&gt;"",G18&lt;&gt;""),"Nitratgehalt muss noch eingetragen werden",IF(AND($B18&lt;&gt;"",$F18&lt;&gt;"",$G18&gt;0,$H18&gt;0),ROUND(($H18/4.43)*($G18/100),2),""))</f>
        <v/>
      </c>
      <c r="K18" s="2199" t="str">
        <f>IF(AND($B18&lt;&gt;"",$E18&lt;&gt;"",$D18&lt;&gt;"",$F18&lt;&gt;"",$G18&lt;&gt;"",$H18&lt;&gt;""),CONCATENATE($B18,"/",$D18),IF(AND($B18&lt;&gt;"",ISBLANK($D18),$E18&lt;&gt;"",$F18&lt;&gt;"",$G18&lt;&gt;"",$H18&lt;&gt;""),$B18,""))</f>
        <v/>
      </c>
      <c r="L18" t="str">
        <f>IF(AND($B18&lt;&gt;"",$F18&lt;&gt;"",$E18&lt;&gt;"",$G18&lt;&gt;"",$H18&lt;&gt;""),$E18,"")</f>
        <v/>
      </c>
      <c r="M18" t="str">
        <f>IF(AND($B18&lt;&gt;"",$C18&lt;&gt;"",$E18&lt;&gt;"",$F18&lt;&gt;"",$G18&lt;&gt;"",$H18&lt;&gt;""),$C18,"")</f>
        <v/>
      </c>
      <c r="N18" t="str">
        <f>IF(AND($B18&lt;&gt;"",$F18&lt;&gt;"",$E18&lt;&gt;"",$G18&lt;&gt;"",$H18&lt;&gt;""),$F18,"")</f>
        <v/>
      </c>
      <c r="O18" s="1" t="str">
        <f>IF(AND($B18&lt;&gt;"",$F18&lt;&gt;"",$E18&lt;&gt;"",$G18&lt;&gt;"",$H18&lt;&gt;""),$I18,"")</f>
        <v/>
      </c>
      <c r="P18" t="str">
        <f>IF(AND($B18&lt;&gt;"",$F18&lt;&gt;"",$G18&lt;&gt;"",$E18&lt;&gt;"",$H18&lt;&gt;""),$G18,"")</f>
        <v/>
      </c>
      <c r="Q18" s="2209" t="str">
        <f t="array" ref="Q18">IFERROR(INDEX($K$18:$K$109,MATCH(0,COUNTIF($Q$17:$Q17,$K$18:$K$109),0)),"")</f>
        <v/>
      </c>
      <c r="R18" s="2209" t="str">
        <f>VLOOKUP($Q18,$K$18:$O$109,3,0)</f>
        <v/>
      </c>
      <c r="S18" s="2209" t="str">
        <f>VLOOKUP($Q18,$K$18:$O$109,2,0)</f>
        <v/>
      </c>
      <c r="T18" s="2211" t="str">
        <f>VLOOKUP($Q18,$K$18:$O$109,4,0)</f>
        <v/>
      </c>
      <c r="U18" s="2209" t="str">
        <f>IF(SUMIF($K$18:$K$109,$Q18,$P$18:$P$109)=0,"",SUMIF($K$18:$K$109,$Q18,$P$18:$P$109))</f>
        <v/>
      </c>
      <c r="V18" s="2209" t="str">
        <f>IF(SUMIF($K$18:$K$109,$Q18,$O$18:$O$109)=0,"",SUMIF($K$18:$K$109,$Q18,$O$18:$O$109))</f>
        <v/>
      </c>
      <c r="W18" s="2209" t="str">
        <f>IFERROR(IF($V18&gt;=10,ROUND($V18*$S18,2),""),"")</f>
        <v/>
      </c>
      <c r="AD18" s="2197" t="str">
        <f>IF(N_Bedarf!$C21&lt;&gt;"",N_Bedarf!$C21,"")</f>
        <v/>
      </c>
      <c r="AE18" s="2201" t="str">
        <f t="array" ref="AE18">IFERROR(INDEX($AD$2:$AD$58,MATCH(1,COUNTIF($AE$1:$AE17,$AD$2:$AD$58)+($AD$2:$AD$58&lt;&gt;0),0)),"")</f>
        <v/>
      </c>
    </row>
    <row r="19" spans="1:31" ht="29.25" customHeight="1" thickTop="1" thickBot="1">
      <c r="A19" s="2228"/>
      <c r="B19" s="2229"/>
      <c r="C19" s="2229"/>
      <c r="D19" s="2229"/>
      <c r="E19" s="2226"/>
      <c r="F19" s="2227"/>
      <c r="G19" s="2229"/>
      <c r="H19" s="2230" t="str">
        <f t="shared" si="0"/>
        <v/>
      </c>
      <c r="I19" s="2203" t="str">
        <f t="shared" ref="I19:I82" si="1">IF(AND($C$13="",$H19="",$B19&lt;&gt;"",E19&lt;&gt;"",F19&lt;&gt;"",G19&lt;&gt;""),"Nitratgehalt muss noch eingetragen werden",IF(AND($B19&lt;&gt;"",$F19&lt;&gt;"",$G19&gt;0,$H19&gt;0),ROUND(($H19/4.43)*($G19/100),2),""))</f>
        <v/>
      </c>
      <c r="K19" s="2199" t="str">
        <f t="shared" ref="K19:K82" si="2">IF(AND($B19&lt;&gt;"",$E19&lt;&gt;"",$D19&lt;&gt;"",$F19&lt;&gt;"",$G19&lt;&gt;"",$H19&lt;&gt;""),CONCATENATE($B19,"/",$D19),IF(AND($B19&lt;&gt;"",ISBLANK($D19),$E19&lt;&gt;"",$F19&lt;&gt;"",$G19&lt;&gt;"",$H19&lt;&gt;""),$B19,""))</f>
        <v/>
      </c>
      <c r="L19" t="str">
        <f t="shared" ref="L19:L82" si="3">IF(AND($B19&lt;&gt;"",$F19&lt;&gt;"",$E19&lt;&gt;"",$G19&lt;&gt;"",$H19&lt;&gt;""),$E19,"")</f>
        <v/>
      </c>
      <c r="M19" t="str">
        <f t="shared" ref="M19:M82" si="4">IF(AND($B19&lt;&gt;"",$C19&lt;&gt;"",$E19&lt;&gt;"",$F19&lt;&gt;"",$G19&lt;&gt;"",$H19&lt;&gt;""),$C19,"")</f>
        <v/>
      </c>
      <c r="N19" t="str">
        <f t="shared" ref="N19:N82" si="5">IF(AND($B19&lt;&gt;"",$F19&lt;&gt;"",$E19&lt;&gt;"",$G19&lt;&gt;"",$H19&lt;&gt;""),$F19,"")</f>
        <v/>
      </c>
      <c r="O19" s="1" t="str">
        <f t="shared" ref="O19:O82" si="6">IF(AND($B19&lt;&gt;"",$F19&lt;&gt;"",$E19&lt;&gt;"",$G19&lt;&gt;"",$H19&lt;&gt;""),$I19,"")</f>
        <v/>
      </c>
      <c r="P19" t="str">
        <f t="shared" ref="P19:P82" si="7">IF(AND($B19&lt;&gt;"",$F19&lt;&gt;"",$G19&lt;&gt;"",$E19&lt;&gt;"",$H19&lt;&gt;""),$G19,"")</f>
        <v/>
      </c>
      <c r="Q19" s="2210" t="str">
        <f t="array" ref="Q19">IFERROR(INDEX($K$18:$K$109,MATCH(0,COUNTIF($Q$17:$Q18,$K$18:$K$109),0)),"")</f>
        <v/>
      </c>
      <c r="R19" s="2210"/>
      <c r="S19" s="2210" t="str">
        <f t="shared" ref="S19:S82" si="8">VLOOKUP($Q19,$K$18:$O$109,2,0)</f>
        <v/>
      </c>
      <c r="T19" s="2212" t="str">
        <f t="shared" ref="T19:T82" si="9">VLOOKUP($Q19,$K$18:$O$109,4,0)</f>
        <v/>
      </c>
      <c r="U19" s="2210" t="str">
        <f t="shared" ref="U19:U82" si="10">IF(SUMIF($K$18:$K$109,$Q19,$P$18:$P$109)=0,"",SUMIF($K$18:$K$109,$Q19,$P$18:$P$109))</f>
        <v/>
      </c>
      <c r="V19" s="2210" t="str">
        <f t="shared" ref="V19:V82" si="11">IF(SUMIF($K$18:$K$109,$Q19,$O$18:$O$109)=0,"",SUMIF($K$18:$K$109,$Q19,$O$18:$O$109))</f>
        <v/>
      </c>
      <c r="W19" s="2210" t="str">
        <f t="shared" ref="W19:W82" si="12">IFERROR(IF($V19&gt;=10,ROUND($V19*$S19,2),""),"")</f>
        <v/>
      </c>
      <c r="AD19" s="2197" t="str">
        <f>IF(N_Bedarf!$C22&lt;&gt;"",N_Bedarf!$C22,"")</f>
        <v/>
      </c>
      <c r="AE19" s="2201" t="str">
        <f t="array" ref="AE19">IFERROR(INDEX($AD$2:$AD$58,MATCH(1,COUNTIF($AE$1:$AE18,$AD$2:$AD$58)+($AD$2:$AD$58&lt;&gt;0),0)),"")</f>
        <v/>
      </c>
    </row>
    <row r="20" spans="1:31" ht="29.25" customHeight="1" thickTop="1" thickBot="1">
      <c r="A20" s="2228"/>
      <c r="B20" s="2229"/>
      <c r="C20" s="2229"/>
      <c r="D20" s="2229"/>
      <c r="E20" s="2226"/>
      <c r="F20" s="2227"/>
      <c r="G20" s="2229"/>
      <c r="H20" s="2230" t="str">
        <f t="shared" si="0"/>
        <v/>
      </c>
      <c r="I20" s="2203" t="str">
        <f t="shared" si="1"/>
        <v/>
      </c>
      <c r="K20" s="2199" t="str">
        <f t="shared" si="2"/>
        <v/>
      </c>
      <c r="L20" t="str">
        <f t="shared" si="3"/>
        <v/>
      </c>
      <c r="M20" t="str">
        <f t="shared" si="4"/>
        <v/>
      </c>
      <c r="N20" t="str">
        <f t="shared" si="5"/>
        <v/>
      </c>
      <c r="O20" s="1" t="str">
        <f t="shared" si="6"/>
        <v/>
      </c>
      <c r="P20" t="str">
        <f t="shared" si="7"/>
        <v/>
      </c>
      <c r="Q20" s="2210" t="str">
        <f t="array" ref="Q20">IFERROR(INDEX($K$18:$K$109,MATCH(0,COUNTIF($Q$17:$Q19,$K$18:$K$109),0)),"")</f>
        <v/>
      </c>
      <c r="R20" s="2210"/>
      <c r="S20" s="2210" t="str">
        <f t="shared" si="8"/>
        <v/>
      </c>
      <c r="T20" s="2210" t="str">
        <f t="shared" si="9"/>
        <v/>
      </c>
      <c r="U20" s="2210" t="str">
        <f t="shared" si="10"/>
        <v/>
      </c>
      <c r="V20" s="2210" t="str">
        <f t="shared" si="11"/>
        <v/>
      </c>
      <c r="W20" s="2210" t="str">
        <f t="shared" si="12"/>
        <v/>
      </c>
      <c r="AD20" s="2197" t="str">
        <f>IF(N_Bedarf!$C23&lt;&gt;"",N_Bedarf!$C23,"")</f>
        <v/>
      </c>
      <c r="AE20" s="2201" t="str">
        <f t="array" ref="AE20">IFERROR(INDEX($AD$2:$AD$58,MATCH(1,COUNTIF($AE$1:$AE19,$AD$2:$AD$58)+($AD$2:$AD$58&lt;&gt;0),0)),"")</f>
        <v/>
      </c>
    </row>
    <row r="21" spans="1:31" ht="29.25" customHeight="1" thickTop="1" thickBot="1">
      <c r="A21" s="2228"/>
      <c r="B21" s="2229"/>
      <c r="C21" s="2229"/>
      <c r="D21" s="2229"/>
      <c r="E21" s="2226"/>
      <c r="F21" s="2227"/>
      <c r="G21" s="2229"/>
      <c r="H21" s="2230" t="str">
        <f t="shared" si="0"/>
        <v/>
      </c>
      <c r="I21" s="2203" t="str">
        <f t="shared" si="1"/>
        <v/>
      </c>
      <c r="K21" s="2199" t="str">
        <f t="shared" si="2"/>
        <v/>
      </c>
      <c r="L21" t="str">
        <f t="shared" si="3"/>
        <v/>
      </c>
      <c r="M21" t="str">
        <f t="shared" si="4"/>
        <v/>
      </c>
      <c r="N21" t="str">
        <f t="shared" si="5"/>
        <v/>
      </c>
      <c r="O21" s="1" t="str">
        <f t="shared" si="6"/>
        <v/>
      </c>
      <c r="P21" t="str">
        <f t="shared" si="7"/>
        <v/>
      </c>
      <c r="Q21" s="2210" t="str">
        <f t="array" ref="Q21">IFERROR(INDEX($K$18:$K$109,MATCH(0,COUNTIF($Q$17:$Q20,$K$18:$K$109),0)),"")</f>
        <v/>
      </c>
      <c r="R21" s="2210"/>
      <c r="S21" s="2210" t="str">
        <f t="shared" si="8"/>
        <v/>
      </c>
      <c r="T21" s="2210" t="str">
        <f t="shared" si="9"/>
        <v/>
      </c>
      <c r="U21" s="2210" t="str">
        <f t="shared" si="10"/>
        <v/>
      </c>
      <c r="V21" s="2210" t="str">
        <f t="shared" si="11"/>
        <v/>
      </c>
      <c r="W21" s="2210" t="str">
        <f t="shared" si="12"/>
        <v/>
      </c>
      <c r="AD21" s="2197" t="str">
        <f>IF(N_Bedarf!$C24&lt;&gt;"",N_Bedarf!$C24,"")</f>
        <v/>
      </c>
      <c r="AE21" s="2201" t="str">
        <f t="array" ref="AE21">IFERROR(INDEX($AD$2:$AD$58,MATCH(1,COUNTIF($AE$1:$AE20,$AD$2:$AD$58)+($AD$2:$AD$58&lt;&gt;0),0)),"")</f>
        <v/>
      </c>
    </row>
    <row r="22" spans="1:31" ht="29.25" customHeight="1" thickTop="1" thickBot="1">
      <c r="A22" s="2228"/>
      <c r="B22" s="2229"/>
      <c r="C22" s="2229"/>
      <c r="D22" s="2229"/>
      <c r="E22" s="2226"/>
      <c r="F22" s="2227"/>
      <c r="G22" s="2229"/>
      <c r="H22" s="2230" t="str">
        <f t="shared" si="0"/>
        <v/>
      </c>
      <c r="I22" s="2203" t="str">
        <f t="shared" si="1"/>
        <v/>
      </c>
      <c r="K22" s="2199" t="str">
        <f t="shared" si="2"/>
        <v/>
      </c>
      <c r="L22" t="str">
        <f t="shared" si="3"/>
        <v/>
      </c>
      <c r="M22" t="str">
        <f t="shared" si="4"/>
        <v/>
      </c>
      <c r="N22" t="str">
        <f t="shared" si="5"/>
        <v/>
      </c>
      <c r="O22" s="1" t="str">
        <f t="shared" si="6"/>
        <v/>
      </c>
      <c r="P22" t="str">
        <f t="shared" si="7"/>
        <v/>
      </c>
      <c r="Q22" s="2210" t="str">
        <f t="array" ref="Q22">IFERROR(INDEX($K$18:$K$109,MATCH(0,COUNTIF($Q$17:$Q21,$K$18:$K$109),0)),"")</f>
        <v/>
      </c>
      <c r="R22" s="2210"/>
      <c r="S22" s="2210" t="str">
        <f t="shared" si="8"/>
        <v/>
      </c>
      <c r="T22" s="2210" t="str">
        <f t="shared" si="9"/>
        <v/>
      </c>
      <c r="U22" s="2210" t="str">
        <f t="shared" si="10"/>
        <v/>
      </c>
      <c r="V22" s="2210" t="str">
        <f t="shared" si="11"/>
        <v/>
      </c>
      <c r="W22" s="2210" t="str">
        <f t="shared" si="12"/>
        <v/>
      </c>
      <c r="AD22" s="2197" t="str">
        <f>IF(N_Bedarf!$C25&lt;&gt;"",N_Bedarf!$C25,"")</f>
        <v/>
      </c>
      <c r="AE22" s="2201" t="str">
        <f t="array" ref="AE22">IFERROR(INDEX($AD$2:$AD$58,MATCH(1,COUNTIF($AE$1:$AE21,$AD$2:$AD$58)+($AD$2:$AD$58&lt;&gt;0),0)),"")</f>
        <v/>
      </c>
    </row>
    <row r="23" spans="1:31" ht="29.25" customHeight="1" thickTop="1" thickBot="1">
      <c r="A23" s="2228"/>
      <c r="B23" s="2229"/>
      <c r="C23" s="2229"/>
      <c r="D23" s="2229"/>
      <c r="E23" s="2226"/>
      <c r="F23" s="2227"/>
      <c r="G23" s="2229"/>
      <c r="H23" s="2230" t="str">
        <f t="shared" si="0"/>
        <v/>
      </c>
      <c r="I23" s="2203" t="str">
        <f t="shared" si="1"/>
        <v/>
      </c>
      <c r="K23" s="2199" t="str">
        <f t="shared" si="2"/>
        <v/>
      </c>
      <c r="L23" t="str">
        <f t="shared" si="3"/>
        <v/>
      </c>
      <c r="M23" t="str">
        <f t="shared" si="4"/>
        <v/>
      </c>
      <c r="N23" t="str">
        <f t="shared" si="5"/>
        <v/>
      </c>
      <c r="O23" s="1" t="str">
        <f t="shared" si="6"/>
        <v/>
      </c>
      <c r="P23" t="str">
        <f t="shared" si="7"/>
        <v/>
      </c>
      <c r="Q23" s="2210" t="str">
        <f t="array" ref="Q23">IFERROR(INDEX($K$18:$K$109,MATCH(0,COUNTIF($Q$17:$Q22,$K$18:$K$109),0)),"")</f>
        <v/>
      </c>
      <c r="R23" s="2210"/>
      <c r="S23" s="2210" t="str">
        <f t="shared" si="8"/>
        <v/>
      </c>
      <c r="T23" s="2210" t="str">
        <f t="shared" si="9"/>
        <v/>
      </c>
      <c r="U23" s="2210" t="str">
        <f t="shared" si="10"/>
        <v/>
      </c>
      <c r="V23" s="2210" t="str">
        <f t="shared" si="11"/>
        <v/>
      </c>
      <c r="W23" s="2210" t="str">
        <f t="shared" si="12"/>
        <v/>
      </c>
      <c r="AD23" s="2197" t="str">
        <f>IF(N_Bedarf!$C26&lt;&gt;"",N_Bedarf!$C26,"")</f>
        <v/>
      </c>
      <c r="AE23" s="2201" t="str">
        <f t="array" ref="AE23">IFERROR(INDEX($AD$2:$AD$58,MATCH(1,COUNTIF($AE$1:$AE22,$AD$2:$AD$58)+($AD$2:$AD$58&lt;&gt;0),0)),"")</f>
        <v/>
      </c>
    </row>
    <row r="24" spans="1:31" ht="29.25" customHeight="1" thickTop="1" thickBot="1">
      <c r="A24" s="2228"/>
      <c r="B24" s="2229"/>
      <c r="C24" s="2229"/>
      <c r="D24" s="2229"/>
      <c r="E24" s="2226"/>
      <c r="F24" s="2227"/>
      <c r="G24" s="2229"/>
      <c r="H24" s="2230" t="str">
        <f t="shared" si="0"/>
        <v/>
      </c>
      <c r="I24" s="2203" t="str">
        <f t="shared" si="1"/>
        <v/>
      </c>
      <c r="K24" s="2199" t="str">
        <f t="shared" si="2"/>
        <v/>
      </c>
      <c r="L24" t="str">
        <f t="shared" si="3"/>
        <v/>
      </c>
      <c r="M24" t="str">
        <f t="shared" si="4"/>
        <v/>
      </c>
      <c r="N24" t="str">
        <f t="shared" si="5"/>
        <v/>
      </c>
      <c r="O24" s="1" t="str">
        <f t="shared" si="6"/>
        <v/>
      </c>
      <c r="P24" t="str">
        <f t="shared" si="7"/>
        <v/>
      </c>
      <c r="Q24" s="2210" t="str">
        <f t="array" ref="Q24">IFERROR(INDEX($K$18:$K$109,MATCH(0,COUNTIF($Q$17:$Q23,$K$18:$K$109),0)),"")</f>
        <v/>
      </c>
      <c r="R24" s="2210"/>
      <c r="S24" s="2210" t="str">
        <f t="shared" si="8"/>
        <v/>
      </c>
      <c r="T24" s="2210" t="str">
        <f t="shared" si="9"/>
        <v/>
      </c>
      <c r="U24" s="2210" t="str">
        <f t="shared" si="10"/>
        <v/>
      </c>
      <c r="V24" s="2210" t="str">
        <f t="shared" si="11"/>
        <v/>
      </c>
      <c r="W24" s="2210" t="str">
        <f t="shared" si="12"/>
        <v/>
      </c>
      <c r="AD24" s="2197" t="str">
        <f>IF(N_Bedarf!$C27&lt;&gt;"",N_Bedarf!$C27,"")</f>
        <v/>
      </c>
      <c r="AE24" s="2201" t="str">
        <f t="array" ref="AE24">IFERROR(INDEX($AD$2:$AD$58,MATCH(1,COUNTIF($AE$1:$AE23,$AD$2:$AD$58)+($AD$2:$AD$58&lt;&gt;0),0)),"")</f>
        <v/>
      </c>
    </row>
    <row r="25" spans="1:31" ht="29.25" customHeight="1" thickTop="1" thickBot="1">
      <c r="A25" s="2228"/>
      <c r="B25" s="2229"/>
      <c r="C25" s="2229"/>
      <c r="D25" s="2229"/>
      <c r="E25" s="2226"/>
      <c r="F25" s="2227"/>
      <c r="G25" s="2229"/>
      <c r="H25" s="2230" t="str">
        <f t="shared" si="0"/>
        <v/>
      </c>
      <c r="I25" s="2203" t="str">
        <f t="shared" si="1"/>
        <v/>
      </c>
      <c r="K25" s="2199" t="str">
        <f t="shared" si="2"/>
        <v/>
      </c>
      <c r="L25" t="str">
        <f t="shared" si="3"/>
        <v/>
      </c>
      <c r="M25" t="str">
        <f t="shared" si="4"/>
        <v/>
      </c>
      <c r="N25" t="str">
        <f t="shared" si="5"/>
        <v/>
      </c>
      <c r="O25" s="1" t="str">
        <f t="shared" si="6"/>
        <v/>
      </c>
      <c r="P25" t="str">
        <f t="shared" si="7"/>
        <v/>
      </c>
      <c r="Q25" s="2210" t="str">
        <f t="array" ref="Q25">IFERROR(INDEX($K$18:$K$109,MATCH(0,COUNTIF($Q$17:$Q24,$K$18:$K$109),0)),"")</f>
        <v/>
      </c>
      <c r="R25" s="2210"/>
      <c r="S25" s="2210" t="str">
        <f t="shared" si="8"/>
        <v/>
      </c>
      <c r="T25" s="2210" t="str">
        <f t="shared" si="9"/>
        <v/>
      </c>
      <c r="U25" s="2210" t="str">
        <f t="shared" si="10"/>
        <v/>
      </c>
      <c r="V25" s="2210" t="str">
        <f t="shared" si="11"/>
        <v/>
      </c>
      <c r="W25" s="2210" t="str">
        <f t="shared" si="12"/>
        <v/>
      </c>
      <c r="AD25" s="2197" t="str">
        <f>IF(N_Bedarf!$C28&lt;&gt;"",N_Bedarf!$C28,"")</f>
        <v/>
      </c>
      <c r="AE25" s="2201" t="str">
        <f t="array" ref="AE25">IFERROR(INDEX($AD$2:$AD$58,MATCH(1,COUNTIF($AE$1:$AE24,$AD$2:$AD$58)+($AD$2:$AD$58&lt;&gt;0),0)),"")</f>
        <v/>
      </c>
    </row>
    <row r="26" spans="1:31" ht="29.25" customHeight="1" thickTop="1" thickBot="1">
      <c r="A26" s="2228"/>
      <c r="B26" s="2229"/>
      <c r="C26" s="2229"/>
      <c r="D26" s="2229"/>
      <c r="E26" s="2226"/>
      <c r="F26" s="2227"/>
      <c r="G26" s="2229"/>
      <c r="H26" s="2230" t="str">
        <f t="shared" si="0"/>
        <v/>
      </c>
      <c r="I26" s="2203" t="str">
        <f t="shared" si="1"/>
        <v/>
      </c>
      <c r="K26" s="2199" t="str">
        <f t="shared" si="2"/>
        <v/>
      </c>
      <c r="L26" t="str">
        <f t="shared" si="3"/>
        <v/>
      </c>
      <c r="M26" t="str">
        <f t="shared" si="4"/>
        <v/>
      </c>
      <c r="N26" t="str">
        <f t="shared" si="5"/>
        <v/>
      </c>
      <c r="O26" s="1" t="str">
        <f t="shared" si="6"/>
        <v/>
      </c>
      <c r="P26" t="str">
        <f t="shared" si="7"/>
        <v/>
      </c>
      <c r="Q26" s="2210" t="str">
        <f t="array" ref="Q26">IFERROR(INDEX($K$18:$K$109,MATCH(0,COUNTIF($Q$17:$Q25,$K$18:$K$109),0)),"")</f>
        <v/>
      </c>
      <c r="R26" s="2210"/>
      <c r="S26" s="2210" t="str">
        <f t="shared" si="8"/>
        <v/>
      </c>
      <c r="T26" s="2210" t="str">
        <f t="shared" si="9"/>
        <v/>
      </c>
      <c r="U26" s="2210" t="str">
        <f t="shared" si="10"/>
        <v/>
      </c>
      <c r="V26" s="2210" t="str">
        <f t="shared" si="11"/>
        <v/>
      </c>
      <c r="W26" s="2210" t="str">
        <f t="shared" si="12"/>
        <v/>
      </c>
      <c r="AD26" s="2197" t="str">
        <f>IF(N_Bedarf!$C29&lt;&gt;"",N_Bedarf!$C29,"")</f>
        <v/>
      </c>
      <c r="AE26" s="2201" t="str">
        <f t="array" ref="AE26">IFERROR(INDEX($AD$2:$AD$58,MATCH(1,COUNTIF($AE$1:$AE25,$AD$2:$AD$58)+($AD$2:$AD$58&lt;&gt;0),0)),"")</f>
        <v/>
      </c>
    </row>
    <row r="27" spans="1:31" ht="29.25" customHeight="1" thickTop="1" thickBot="1">
      <c r="A27" s="2228"/>
      <c r="B27" s="2229"/>
      <c r="C27" s="2229"/>
      <c r="D27" s="2229"/>
      <c r="E27" s="2226"/>
      <c r="F27" s="2227"/>
      <c r="G27" s="2229"/>
      <c r="H27" s="2230" t="str">
        <f t="shared" si="0"/>
        <v/>
      </c>
      <c r="I27" s="2203" t="str">
        <f t="shared" si="1"/>
        <v/>
      </c>
      <c r="K27" s="2199" t="str">
        <f t="shared" si="2"/>
        <v/>
      </c>
      <c r="L27" t="str">
        <f t="shared" si="3"/>
        <v/>
      </c>
      <c r="M27" t="str">
        <f t="shared" si="4"/>
        <v/>
      </c>
      <c r="N27" t="str">
        <f t="shared" si="5"/>
        <v/>
      </c>
      <c r="O27" s="1" t="str">
        <f t="shared" si="6"/>
        <v/>
      </c>
      <c r="P27" t="str">
        <f t="shared" si="7"/>
        <v/>
      </c>
      <c r="Q27" s="2210" t="str">
        <f t="array" ref="Q27">IFERROR(INDEX($K$18:$K$109,MATCH(0,COUNTIF($Q$17:$Q26,$K$18:$K$109),0)),"")</f>
        <v/>
      </c>
      <c r="R27" s="2210"/>
      <c r="S27" s="2210" t="str">
        <f t="shared" si="8"/>
        <v/>
      </c>
      <c r="T27" s="2210" t="str">
        <f t="shared" si="9"/>
        <v/>
      </c>
      <c r="U27" s="2210" t="str">
        <f t="shared" si="10"/>
        <v/>
      </c>
      <c r="V27" s="2210" t="str">
        <f t="shared" si="11"/>
        <v/>
      </c>
      <c r="W27" s="2210" t="str">
        <f t="shared" si="12"/>
        <v/>
      </c>
      <c r="AD27" s="2197" t="str">
        <f>IF(N_Bedarf!$C30&lt;&gt;"",N_Bedarf!$C30,"")</f>
        <v/>
      </c>
      <c r="AE27" s="2201" t="str">
        <f t="array" ref="AE27">IFERROR(INDEX($AD$2:$AD$58,MATCH(1,COUNTIF($AE$1:$AE26,$AD$2:$AD$58)+($AD$2:$AD$58&lt;&gt;0),0)),"")</f>
        <v/>
      </c>
    </row>
    <row r="28" spans="1:31" ht="29.25" customHeight="1" thickTop="1" thickBot="1">
      <c r="A28" s="2228"/>
      <c r="B28" s="2229"/>
      <c r="C28" s="2229"/>
      <c r="D28" s="2229"/>
      <c r="E28" s="2226"/>
      <c r="F28" s="2227"/>
      <c r="G28" s="2229"/>
      <c r="H28" s="2230" t="str">
        <f t="shared" si="0"/>
        <v/>
      </c>
      <c r="I28" s="2203" t="str">
        <f t="shared" si="1"/>
        <v/>
      </c>
      <c r="K28" s="2199" t="str">
        <f t="shared" si="2"/>
        <v/>
      </c>
      <c r="L28" t="str">
        <f t="shared" si="3"/>
        <v/>
      </c>
      <c r="M28" t="str">
        <f t="shared" si="4"/>
        <v/>
      </c>
      <c r="N28" t="str">
        <f t="shared" si="5"/>
        <v/>
      </c>
      <c r="O28" s="1" t="str">
        <f t="shared" si="6"/>
        <v/>
      </c>
      <c r="P28" t="str">
        <f t="shared" si="7"/>
        <v/>
      </c>
      <c r="Q28" s="2210" t="str">
        <f t="array" ref="Q28">IFERROR(INDEX($K$18:$K$109,MATCH(0,COUNTIF($Q$17:$Q27,$K$18:$K$109),0)),"")</f>
        <v/>
      </c>
      <c r="R28" s="2210"/>
      <c r="S28" s="2210" t="str">
        <f t="shared" si="8"/>
        <v/>
      </c>
      <c r="T28" s="2210" t="str">
        <f t="shared" si="9"/>
        <v/>
      </c>
      <c r="U28" s="2210" t="str">
        <f t="shared" si="10"/>
        <v/>
      </c>
      <c r="V28" s="2210" t="str">
        <f t="shared" si="11"/>
        <v/>
      </c>
      <c r="W28" s="2210" t="str">
        <f t="shared" si="12"/>
        <v/>
      </c>
      <c r="AD28" s="2197" t="str">
        <f>IF(N_Bedarf!$C31&lt;&gt;"",N_Bedarf!$C31,"")</f>
        <v/>
      </c>
      <c r="AE28" s="2201" t="str">
        <f t="array" ref="AE28">IFERROR(INDEX($AD$2:$AD$58,MATCH(1,COUNTIF($AE$1:$AE27,$AD$2:$AD$58)+($AD$2:$AD$58&lt;&gt;0),0)),"")</f>
        <v/>
      </c>
    </row>
    <row r="29" spans="1:31" ht="29.25" customHeight="1" thickTop="1" thickBot="1">
      <c r="A29" s="2228"/>
      <c r="B29" s="2229"/>
      <c r="C29" s="2229"/>
      <c r="D29" s="2229"/>
      <c r="E29" s="2226"/>
      <c r="F29" s="2227"/>
      <c r="G29" s="2229"/>
      <c r="H29" s="2230" t="str">
        <f t="shared" si="0"/>
        <v/>
      </c>
      <c r="I29" s="2203" t="str">
        <f t="shared" si="1"/>
        <v/>
      </c>
      <c r="K29" s="2199" t="str">
        <f t="shared" si="2"/>
        <v/>
      </c>
      <c r="L29" t="str">
        <f t="shared" si="3"/>
        <v/>
      </c>
      <c r="M29" t="str">
        <f t="shared" si="4"/>
        <v/>
      </c>
      <c r="N29" t="str">
        <f t="shared" si="5"/>
        <v/>
      </c>
      <c r="O29" s="1" t="str">
        <f t="shared" si="6"/>
        <v/>
      </c>
      <c r="P29" t="str">
        <f t="shared" si="7"/>
        <v/>
      </c>
      <c r="Q29" s="2210" t="str">
        <f t="array" ref="Q29">IFERROR(INDEX($K$18:$K$109,MATCH(0,COUNTIF($Q$17:$Q28,$K$18:$K$109),0)),"")</f>
        <v/>
      </c>
      <c r="R29" s="2210"/>
      <c r="S29" s="2210" t="str">
        <f t="shared" si="8"/>
        <v/>
      </c>
      <c r="T29" s="2210" t="str">
        <f t="shared" si="9"/>
        <v/>
      </c>
      <c r="U29" s="2210" t="str">
        <f t="shared" si="10"/>
        <v/>
      </c>
      <c r="V29" s="2210" t="str">
        <f t="shared" si="11"/>
        <v/>
      </c>
      <c r="W29" s="2210" t="str">
        <f t="shared" si="12"/>
        <v/>
      </c>
      <c r="AD29" s="2197" t="str">
        <f>IF(N_Bedarf!$C32&lt;&gt;"",N_Bedarf!$C32,"")</f>
        <v/>
      </c>
      <c r="AE29" s="2201" t="str">
        <f t="array" ref="AE29">IFERROR(INDEX($AD$2:$AD$58,MATCH(1,COUNTIF($AE$1:$AE28,$AD$2:$AD$58)+($AD$2:$AD$58&lt;&gt;0),0)),"")</f>
        <v/>
      </c>
    </row>
    <row r="30" spans="1:31" ht="29.25" customHeight="1" thickTop="1" thickBot="1">
      <c r="A30" s="2228"/>
      <c r="B30" s="2229"/>
      <c r="C30" s="2229"/>
      <c r="D30" s="2229"/>
      <c r="E30" s="2226"/>
      <c r="F30" s="2227"/>
      <c r="G30" s="2229"/>
      <c r="H30" s="2230" t="str">
        <f t="shared" si="0"/>
        <v/>
      </c>
      <c r="I30" s="2203" t="str">
        <f t="shared" si="1"/>
        <v/>
      </c>
      <c r="K30" s="2199" t="str">
        <f t="shared" si="2"/>
        <v/>
      </c>
      <c r="L30" t="str">
        <f t="shared" si="3"/>
        <v/>
      </c>
      <c r="M30" t="str">
        <f t="shared" si="4"/>
        <v/>
      </c>
      <c r="N30" t="str">
        <f t="shared" si="5"/>
        <v/>
      </c>
      <c r="O30" s="1" t="str">
        <f t="shared" si="6"/>
        <v/>
      </c>
      <c r="P30" t="str">
        <f t="shared" si="7"/>
        <v/>
      </c>
      <c r="Q30" s="2210" t="str">
        <f t="array" ref="Q30">IFERROR(INDEX($K$18:$K$109,MATCH(0,COUNTIF($Q$17:$Q29,$K$18:$K$109),0)),"")</f>
        <v/>
      </c>
      <c r="R30" s="2210"/>
      <c r="S30" s="2210" t="str">
        <f t="shared" si="8"/>
        <v/>
      </c>
      <c r="T30" s="2210" t="str">
        <f t="shared" si="9"/>
        <v/>
      </c>
      <c r="U30" s="2210" t="str">
        <f t="shared" si="10"/>
        <v/>
      </c>
      <c r="V30" s="2210" t="str">
        <f t="shared" si="11"/>
        <v/>
      </c>
      <c r="W30" s="2210" t="str">
        <f t="shared" si="12"/>
        <v/>
      </c>
      <c r="AD30" s="2197" t="str">
        <f>IF(N_Bedarf!$C33&lt;&gt;"",N_Bedarf!$C33,"")</f>
        <v/>
      </c>
      <c r="AE30" s="2201" t="str">
        <f t="array" ref="AE30">IFERROR(INDEX($AD$2:$AD$58,MATCH(1,COUNTIF($AE$1:$AE29,$AD$2:$AD$58)+($AD$2:$AD$58&lt;&gt;0),0)),"")</f>
        <v/>
      </c>
    </row>
    <row r="31" spans="1:31" ht="29.25" customHeight="1" thickTop="1" thickBot="1">
      <c r="A31" s="2228"/>
      <c r="B31" s="2229"/>
      <c r="C31" s="2229"/>
      <c r="D31" s="2229"/>
      <c r="E31" s="2226"/>
      <c r="F31" s="2227"/>
      <c r="G31" s="2229"/>
      <c r="H31" s="2230" t="str">
        <f t="shared" si="0"/>
        <v/>
      </c>
      <c r="I31" s="2203" t="str">
        <f t="shared" si="1"/>
        <v/>
      </c>
      <c r="K31" s="2199" t="str">
        <f t="shared" si="2"/>
        <v/>
      </c>
      <c r="L31" t="str">
        <f t="shared" si="3"/>
        <v/>
      </c>
      <c r="M31" t="str">
        <f t="shared" si="4"/>
        <v/>
      </c>
      <c r="N31" t="str">
        <f t="shared" si="5"/>
        <v/>
      </c>
      <c r="O31" s="1" t="str">
        <f t="shared" si="6"/>
        <v/>
      </c>
      <c r="P31" t="str">
        <f t="shared" si="7"/>
        <v/>
      </c>
      <c r="Q31" s="2210" t="str">
        <f t="array" ref="Q31">IFERROR(INDEX($K$18:$K$109,MATCH(0,COUNTIF($Q$17:$Q30,$K$18:$K$109),0)),"")</f>
        <v/>
      </c>
      <c r="R31" s="2210"/>
      <c r="S31" s="2210" t="str">
        <f t="shared" si="8"/>
        <v/>
      </c>
      <c r="T31" s="2210" t="str">
        <f t="shared" si="9"/>
        <v/>
      </c>
      <c r="U31" s="2210" t="str">
        <f t="shared" si="10"/>
        <v/>
      </c>
      <c r="V31" s="2210" t="str">
        <f t="shared" si="11"/>
        <v/>
      </c>
      <c r="W31" s="2210" t="str">
        <f t="shared" si="12"/>
        <v/>
      </c>
      <c r="AD31" s="2197" t="str">
        <f>IF(N_Bedarf!$C34&lt;&gt;"",N_Bedarf!$C34,"")</f>
        <v/>
      </c>
      <c r="AE31" s="2201" t="str">
        <f t="array" ref="AE31">IFERROR(INDEX($AD$2:$AD$58,MATCH(1,COUNTIF($AE$1:$AE30,$AD$2:$AD$58)+($AD$2:$AD$58&lt;&gt;0),0)),"")</f>
        <v/>
      </c>
    </row>
    <row r="32" spans="1:31" ht="29.25" customHeight="1" thickTop="1" thickBot="1">
      <c r="A32" s="2228"/>
      <c r="B32" s="2229"/>
      <c r="C32" s="2229"/>
      <c r="D32" s="2229"/>
      <c r="E32" s="2226"/>
      <c r="F32" s="2227"/>
      <c r="G32" s="2229"/>
      <c r="H32" s="2230" t="str">
        <f t="shared" si="0"/>
        <v/>
      </c>
      <c r="I32" s="2203" t="str">
        <f t="shared" si="1"/>
        <v/>
      </c>
      <c r="K32" s="2199" t="str">
        <f t="shared" si="2"/>
        <v/>
      </c>
      <c r="L32" t="str">
        <f t="shared" si="3"/>
        <v/>
      </c>
      <c r="M32" t="str">
        <f t="shared" si="4"/>
        <v/>
      </c>
      <c r="N32" t="str">
        <f t="shared" si="5"/>
        <v/>
      </c>
      <c r="O32" s="1" t="str">
        <f t="shared" si="6"/>
        <v/>
      </c>
      <c r="P32" t="str">
        <f t="shared" si="7"/>
        <v/>
      </c>
      <c r="Q32" s="2210" t="str">
        <f t="array" ref="Q32">IFERROR(INDEX($K$18:$K$109,MATCH(0,COUNTIF($Q$17:$Q31,$K$18:$K$109),0)),"")</f>
        <v/>
      </c>
      <c r="R32" s="2210"/>
      <c r="S32" s="2210" t="str">
        <f t="shared" si="8"/>
        <v/>
      </c>
      <c r="T32" s="2210" t="str">
        <f t="shared" si="9"/>
        <v/>
      </c>
      <c r="U32" s="2210" t="str">
        <f t="shared" si="10"/>
        <v/>
      </c>
      <c r="V32" s="2210" t="str">
        <f t="shared" si="11"/>
        <v/>
      </c>
      <c r="W32" s="2210" t="str">
        <f t="shared" si="12"/>
        <v/>
      </c>
      <c r="AD32" s="2197" t="str">
        <f>IF(N_Bedarf!$C35&lt;&gt;"",N_Bedarf!$C35,"")</f>
        <v/>
      </c>
      <c r="AE32" s="2201" t="str">
        <f t="array" ref="AE32">IFERROR(INDEX($AD$2:$AD$58,MATCH(1,COUNTIF($AE$1:$AE31,$AD$2:$AD$58)+($AD$2:$AD$58&lt;&gt;0),0)),"")</f>
        <v/>
      </c>
    </row>
    <row r="33" spans="1:31" ht="29.25" customHeight="1" thickTop="1" thickBot="1">
      <c r="A33" s="2228"/>
      <c r="B33" s="2229"/>
      <c r="C33" s="2229"/>
      <c r="D33" s="2229"/>
      <c r="E33" s="2226"/>
      <c r="F33" s="2227"/>
      <c r="G33" s="2229"/>
      <c r="H33" s="2230" t="str">
        <f t="shared" si="0"/>
        <v/>
      </c>
      <c r="I33" s="2203" t="str">
        <f t="shared" si="1"/>
        <v/>
      </c>
      <c r="K33" s="2199" t="str">
        <f t="shared" si="2"/>
        <v/>
      </c>
      <c r="L33" t="str">
        <f t="shared" si="3"/>
        <v/>
      </c>
      <c r="M33" t="str">
        <f t="shared" si="4"/>
        <v/>
      </c>
      <c r="N33" t="str">
        <f t="shared" si="5"/>
        <v/>
      </c>
      <c r="O33" s="1" t="str">
        <f t="shared" si="6"/>
        <v/>
      </c>
      <c r="P33" t="str">
        <f t="shared" si="7"/>
        <v/>
      </c>
      <c r="Q33" s="2210" t="str">
        <f t="array" ref="Q33">IFERROR(INDEX($K$18:$K$109,MATCH(0,COUNTIF($Q$17:$Q32,$K$18:$K$109),0)),"")</f>
        <v/>
      </c>
      <c r="R33" s="2210"/>
      <c r="S33" s="2210" t="str">
        <f t="shared" si="8"/>
        <v/>
      </c>
      <c r="T33" s="2210" t="str">
        <f t="shared" si="9"/>
        <v/>
      </c>
      <c r="U33" s="2210" t="str">
        <f t="shared" si="10"/>
        <v/>
      </c>
      <c r="V33" s="2210" t="str">
        <f t="shared" si="11"/>
        <v/>
      </c>
      <c r="W33" s="2210" t="str">
        <f t="shared" si="12"/>
        <v/>
      </c>
      <c r="AD33" s="2197" t="str">
        <f>IF(N_Bedarf!$C36&lt;&gt;"",N_Bedarf!$C36,"")</f>
        <v/>
      </c>
      <c r="AE33" s="2201" t="str">
        <f t="array" ref="AE33">IFERROR(INDEX($AD$2:$AD$58,MATCH(1,COUNTIF($AE$1:$AE32,$AD$2:$AD$58)+($AD$2:$AD$58&lt;&gt;0),0)),"")</f>
        <v/>
      </c>
    </row>
    <row r="34" spans="1:31" ht="29.25" customHeight="1" thickTop="1" thickBot="1">
      <c r="A34" s="2228"/>
      <c r="B34" s="2229"/>
      <c r="C34" s="2229"/>
      <c r="D34" s="2229"/>
      <c r="E34" s="2226"/>
      <c r="F34" s="2227"/>
      <c r="G34" s="2229"/>
      <c r="H34" s="2230" t="str">
        <f t="shared" si="0"/>
        <v/>
      </c>
      <c r="I34" s="2203" t="str">
        <f t="shared" si="1"/>
        <v/>
      </c>
      <c r="K34" s="2199" t="str">
        <f t="shared" si="2"/>
        <v/>
      </c>
      <c r="L34" t="str">
        <f t="shared" si="3"/>
        <v/>
      </c>
      <c r="M34" t="str">
        <f t="shared" si="4"/>
        <v/>
      </c>
      <c r="N34" t="str">
        <f t="shared" si="5"/>
        <v/>
      </c>
      <c r="O34" s="1" t="str">
        <f t="shared" si="6"/>
        <v/>
      </c>
      <c r="P34" t="str">
        <f t="shared" si="7"/>
        <v/>
      </c>
      <c r="Q34" s="2210" t="str">
        <f t="array" ref="Q34">IFERROR(INDEX($K$18:$K$109,MATCH(0,COUNTIF($Q$17:$Q33,$K$18:$K$109),0)),"")</f>
        <v/>
      </c>
      <c r="R34" s="2210"/>
      <c r="S34" s="2210" t="str">
        <f t="shared" si="8"/>
        <v/>
      </c>
      <c r="T34" s="2210" t="str">
        <f t="shared" si="9"/>
        <v/>
      </c>
      <c r="U34" s="2210" t="str">
        <f t="shared" si="10"/>
        <v/>
      </c>
      <c r="V34" s="2210" t="str">
        <f t="shared" si="11"/>
        <v/>
      </c>
      <c r="W34" s="2210" t="str">
        <f t="shared" si="12"/>
        <v/>
      </c>
      <c r="AD34" s="2197" t="str">
        <f>IF(N_Bedarf!$C37&lt;&gt;"",N_Bedarf!$C37,"")</f>
        <v/>
      </c>
      <c r="AE34" s="2201" t="str">
        <f t="array" ref="AE34">IFERROR(INDEX($AD$2:$AD$58,MATCH(1,COUNTIF($AE$1:$AE33,$AD$2:$AD$58)+($AD$2:$AD$58&lt;&gt;0),0)),"")</f>
        <v/>
      </c>
    </row>
    <row r="35" spans="1:31" ht="29.25" customHeight="1" thickTop="1" thickBot="1">
      <c r="A35" s="2228"/>
      <c r="B35" s="2229"/>
      <c r="C35" s="2229"/>
      <c r="D35" s="2229"/>
      <c r="E35" s="2226"/>
      <c r="F35" s="2227"/>
      <c r="G35" s="2229"/>
      <c r="H35" s="2230" t="str">
        <f t="shared" si="0"/>
        <v/>
      </c>
      <c r="I35" s="2203" t="str">
        <f t="shared" si="1"/>
        <v/>
      </c>
      <c r="K35" s="2199" t="str">
        <f t="shared" si="2"/>
        <v/>
      </c>
      <c r="L35" t="str">
        <f t="shared" si="3"/>
        <v/>
      </c>
      <c r="M35" t="str">
        <f t="shared" si="4"/>
        <v/>
      </c>
      <c r="N35" t="str">
        <f t="shared" si="5"/>
        <v/>
      </c>
      <c r="O35" s="1" t="str">
        <f t="shared" si="6"/>
        <v/>
      </c>
      <c r="P35" t="str">
        <f t="shared" si="7"/>
        <v/>
      </c>
      <c r="Q35" s="2210" t="str">
        <f t="array" ref="Q35">IFERROR(INDEX($K$18:$K$109,MATCH(0,COUNTIF($Q$17:$Q34,$K$18:$K$109),0)),"")</f>
        <v/>
      </c>
      <c r="R35" s="2210"/>
      <c r="S35" s="2210" t="str">
        <f t="shared" si="8"/>
        <v/>
      </c>
      <c r="T35" s="2210" t="str">
        <f t="shared" si="9"/>
        <v/>
      </c>
      <c r="U35" s="2210" t="str">
        <f t="shared" si="10"/>
        <v/>
      </c>
      <c r="V35" s="2210" t="str">
        <f t="shared" si="11"/>
        <v/>
      </c>
      <c r="W35" s="2210" t="str">
        <f t="shared" si="12"/>
        <v/>
      </c>
      <c r="AD35" s="2197" t="str">
        <f>IF(N_Bedarf!$C38&lt;&gt;"",N_Bedarf!$C38,"")</f>
        <v/>
      </c>
      <c r="AE35" s="2201" t="str">
        <f t="array" ref="AE35">IFERROR(INDEX($AD$2:$AD$58,MATCH(1,COUNTIF($AE$1:$AE34,$AD$2:$AD$58)+($AD$2:$AD$58&lt;&gt;0),0)),"")</f>
        <v/>
      </c>
    </row>
    <row r="36" spans="1:31" ht="29.25" customHeight="1" thickTop="1" thickBot="1">
      <c r="A36" s="2228"/>
      <c r="B36" s="2229"/>
      <c r="C36" s="2229"/>
      <c r="D36" s="2229"/>
      <c r="E36" s="2226"/>
      <c r="F36" s="2227"/>
      <c r="G36" s="2229"/>
      <c r="H36" s="2230" t="str">
        <f t="shared" si="0"/>
        <v/>
      </c>
      <c r="I36" s="2203" t="str">
        <f t="shared" si="1"/>
        <v/>
      </c>
      <c r="K36" s="2199" t="str">
        <f t="shared" si="2"/>
        <v/>
      </c>
      <c r="L36" t="str">
        <f t="shared" si="3"/>
        <v/>
      </c>
      <c r="M36" t="str">
        <f t="shared" si="4"/>
        <v/>
      </c>
      <c r="N36" t="str">
        <f t="shared" si="5"/>
        <v/>
      </c>
      <c r="O36" s="1" t="str">
        <f t="shared" si="6"/>
        <v/>
      </c>
      <c r="P36" t="str">
        <f t="shared" si="7"/>
        <v/>
      </c>
      <c r="Q36" s="2210" t="str">
        <f t="array" ref="Q36">IFERROR(INDEX($K$18:$K$109,MATCH(0,COUNTIF($Q$17:$Q35,$K$18:$K$109),0)),"")</f>
        <v/>
      </c>
      <c r="R36" s="2210"/>
      <c r="S36" s="2210" t="str">
        <f t="shared" si="8"/>
        <v/>
      </c>
      <c r="T36" s="2210" t="str">
        <f t="shared" si="9"/>
        <v/>
      </c>
      <c r="U36" s="2210" t="str">
        <f t="shared" si="10"/>
        <v/>
      </c>
      <c r="V36" s="2210" t="str">
        <f t="shared" si="11"/>
        <v/>
      </c>
      <c r="W36" s="2210" t="str">
        <f t="shared" si="12"/>
        <v/>
      </c>
      <c r="AD36" s="2197" t="str">
        <f>IF(N_Bedarf!$C39&lt;&gt;"",N_Bedarf!$C39,"")</f>
        <v/>
      </c>
      <c r="AE36" s="2201" t="str">
        <f t="array" ref="AE36">IFERROR(INDEX($AD$2:$AD$58,MATCH(1,COUNTIF($AE$1:$AE35,$AD$2:$AD$58)+($AD$2:$AD$58&lt;&gt;0),0)),"")</f>
        <v/>
      </c>
    </row>
    <row r="37" spans="1:31" ht="29.25" customHeight="1" thickTop="1" thickBot="1">
      <c r="A37" s="2228"/>
      <c r="B37" s="2229"/>
      <c r="C37" s="2229"/>
      <c r="D37" s="2229"/>
      <c r="E37" s="2226"/>
      <c r="F37" s="2227"/>
      <c r="G37" s="2229"/>
      <c r="H37" s="2230" t="str">
        <f t="shared" si="0"/>
        <v/>
      </c>
      <c r="I37" s="2203" t="str">
        <f t="shared" si="1"/>
        <v/>
      </c>
      <c r="K37" s="2199" t="str">
        <f t="shared" si="2"/>
        <v/>
      </c>
      <c r="L37" t="str">
        <f t="shared" si="3"/>
        <v/>
      </c>
      <c r="M37" t="str">
        <f t="shared" si="4"/>
        <v/>
      </c>
      <c r="N37" t="str">
        <f t="shared" si="5"/>
        <v/>
      </c>
      <c r="O37" s="1" t="str">
        <f t="shared" si="6"/>
        <v/>
      </c>
      <c r="P37" t="str">
        <f t="shared" si="7"/>
        <v/>
      </c>
      <c r="Q37" s="2210" t="str">
        <f t="array" ref="Q37">IFERROR(INDEX($K$18:$K$109,MATCH(0,COUNTIF($Q$17:$Q36,$K$18:$K$109),0)),"")</f>
        <v/>
      </c>
      <c r="R37" s="2210"/>
      <c r="S37" s="2210" t="str">
        <f t="shared" si="8"/>
        <v/>
      </c>
      <c r="T37" s="2210" t="str">
        <f t="shared" si="9"/>
        <v/>
      </c>
      <c r="U37" s="2210" t="str">
        <f t="shared" si="10"/>
        <v/>
      </c>
      <c r="V37" s="2210" t="str">
        <f t="shared" si="11"/>
        <v/>
      </c>
      <c r="W37" s="2210" t="str">
        <f t="shared" si="12"/>
        <v/>
      </c>
      <c r="AD37" s="2197" t="str">
        <f>IF(N_Bedarf!$C40&lt;&gt;"",N_Bedarf!$C40,"")</f>
        <v/>
      </c>
      <c r="AE37" s="2201" t="str">
        <f t="array" ref="AE37">IFERROR(INDEX($AD$2:$AD$58,MATCH(1,COUNTIF($AE$1:$AE36,$AD$2:$AD$58)+($AD$2:$AD$58&lt;&gt;0),0)),"")</f>
        <v/>
      </c>
    </row>
    <row r="38" spans="1:31" ht="29.25" customHeight="1" thickTop="1" thickBot="1">
      <c r="A38" s="2228"/>
      <c r="B38" s="2229"/>
      <c r="C38" s="2229"/>
      <c r="D38" s="2229"/>
      <c r="E38" s="2226"/>
      <c r="F38" s="2227"/>
      <c r="G38" s="2229"/>
      <c r="H38" s="2230" t="str">
        <f t="shared" si="0"/>
        <v/>
      </c>
      <c r="I38" s="2203" t="str">
        <f t="shared" si="1"/>
        <v/>
      </c>
      <c r="K38" s="2199" t="str">
        <f t="shared" si="2"/>
        <v/>
      </c>
      <c r="L38" t="str">
        <f t="shared" si="3"/>
        <v/>
      </c>
      <c r="M38" t="str">
        <f t="shared" si="4"/>
        <v/>
      </c>
      <c r="N38" t="str">
        <f t="shared" si="5"/>
        <v/>
      </c>
      <c r="O38" s="1" t="str">
        <f t="shared" si="6"/>
        <v/>
      </c>
      <c r="P38" t="str">
        <f t="shared" si="7"/>
        <v/>
      </c>
      <c r="Q38" s="2210" t="str">
        <f t="array" ref="Q38">IFERROR(INDEX($K$18:$K$109,MATCH(0,COUNTIF($Q$17:$Q37,$K$18:$K$109),0)),"")</f>
        <v/>
      </c>
      <c r="R38" s="2210"/>
      <c r="S38" s="2210" t="str">
        <f t="shared" si="8"/>
        <v/>
      </c>
      <c r="T38" s="2210" t="str">
        <f t="shared" si="9"/>
        <v/>
      </c>
      <c r="U38" s="2210" t="str">
        <f t="shared" si="10"/>
        <v/>
      </c>
      <c r="V38" s="2210" t="str">
        <f t="shared" si="11"/>
        <v/>
      </c>
      <c r="W38" s="2210" t="str">
        <f t="shared" si="12"/>
        <v/>
      </c>
      <c r="AD38" s="2197" t="str">
        <f>IF(N_Bedarf!$C41&lt;&gt;"",N_Bedarf!$C41,"")</f>
        <v/>
      </c>
      <c r="AE38" s="2201" t="str">
        <f t="array" ref="AE38">IFERROR(INDEX($AD$2:$AD$58,MATCH(1,COUNTIF($AE$1:$AE37,$AD$2:$AD$58)+($AD$2:$AD$58&lt;&gt;0),0)),"")</f>
        <v/>
      </c>
    </row>
    <row r="39" spans="1:31" ht="29.25" customHeight="1" thickTop="1" thickBot="1">
      <c r="A39" s="2228"/>
      <c r="B39" s="2229"/>
      <c r="C39" s="2229"/>
      <c r="D39" s="2229"/>
      <c r="E39" s="2226"/>
      <c r="F39" s="2227"/>
      <c r="G39" s="2229"/>
      <c r="H39" s="2230" t="str">
        <f t="shared" si="0"/>
        <v/>
      </c>
      <c r="I39" s="2203" t="str">
        <f t="shared" si="1"/>
        <v/>
      </c>
      <c r="K39" s="2199" t="str">
        <f t="shared" si="2"/>
        <v/>
      </c>
      <c r="L39" t="str">
        <f t="shared" si="3"/>
        <v/>
      </c>
      <c r="M39" t="str">
        <f t="shared" si="4"/>
        <v/>
      </c>
      <c r="N39" t="str">
        <f t="shared" si="5"/>
        <v/>
      </c>
      <c r="O39" s="1" t="str">
        <f t="shared" si="6"/>
        <v/>
      </c>
      <c r="P39" t="str">
        <f t="shared" si="7"/>
        <v/>
      </c>
      <c r="Q39" s="2210" t="str">
        <f t="array" ref="Q39">IFERROR(INDEX($K$18:$K$109,MATCH(0,COUNTIF($Q$17:$Q38,$K$18:$K$109),0)),"")</f>
        <v/>
      </c>
      <c r="R39" s="2210"/>
      <c r="S39" s="2210" t="str">
        <f t="shared" si="8"/>
        <v/>
      </c>
      <c r="T39" s="2210" t="str">
        <f t="shared" si="9"/>
        <v/>
      </c>
      <c r="U39" s="2210" t="str">
        <f t="shared" si="10"/>
        <v/>
      </c>
      <c r="V39" s="2210" t="str">
        <f t="shared" si="11"/>
        <v/>
      </c>
      <c r="W39" s="2210" t="str">
        <f t="shared" si="12"/>
        <v/>
      </c>
      <c r="AD39" s="2197" t="str">
        <f>IF(N_Bedarf!$C42&lt;&gt;"",N_Bedarf!$C42,"")</f>
        <v/>
      </c>
      <c r="AE39" s="2201" t="str">
        <f t="array" ref="AE39">IFERROR(INDEX($AD$2:$AD$58,MATCH(1,COUNTIF($AE$1:$AE38,$AD$2:$AD$58)+($AD$2:$AD$58&lt;&gt;0),0)),"")</f>
        <v/>
      </c>
    </row>
    <row r="40" spans="1:31" ht="29.25" customHeight="1" thickTop="1" thickBot="1">
      <c r="A40" s="2228"/>
      <c r="B40" s="2229"/>
      <c r="C40" s="2229"/>
      <c r="D40" s="2229"/>
      <c r="E40" s="2226"/>
      <c r="F40" s="2227"/>
      <c r="G40" s="2229"/>
      <c r="H40" s="2230" t="str">
        <f t="shared" si="0"/>
        <v/>
      </c>
      <c r="I40" s="2203" t="str">
        <f t="shared" si="1"/>
        <v/>
      </c>
      <c r="K40" s="2199" t="str">
        <f t="shared" si="2"/>
        <v/>
      </c>
      <c r="L40" t="str">
        <f t="shared" si="3"/>
        <v/>
      </c>
      <c r="M40" t="str">
        <f t="shared" si="4"/>
        <v/>
      </c>
      <c r="N40" t="str">
        <f t="shared" si="5"/>
        <v/>
      </c>
      <c r="O40" s="1" t="str">
        <f t="shared" si="6"/>
        <v/>
      </c>
      <c r="P40" t="str">
        <f t="shared" si="7"/>
        <v/>
      </c>
      <c r="Q40" s="2210" t="str">
        <f t="array" ref="Q40">IFERROR(INDEX($K$18:$K$109,MATCH(0,COUNTIF($Q$17:$Q39,$K$18:$K$109),0)),"")</f>
        <v/>
      </c>
      <c r="R40" s="2210"/>
      <c r="S40" s="2210" t="str">
        <f t="shared" si="8"/>
        <v/>
      </c>
      <c r="T40" s="2210" t="str">
        <f t="shared" si="9"/>
        <v/>
      </c>
      <c r="U40" s="2210" t="str">
        <f t="shared" si="10"/>
        <v/>
      </c>
      <c r="V40" s="2210" t="str">
        <f t="shared" si="11"/>
        <v/>
      </c>
      <c r="W40" s="2210" t="str">
        <f t="shared" si="12"/>
        <v/>
      </c>
      <c r="AD40" s="2197" t="str">
        <f>IF(N_Bedarf!$C43&lt;&gt;"",N_Bedarf!$C43,"")</f>
        <v/>
      </c>
      <c r="AE40" s="2201" t="str">
        <f t="array" ref="AE40">IFERROR(INDEX($AD$2:$AD$58,MATCH(1,COUNTIF($AE$1:$AE39,$AD$2:$AD$58)+($AD$2:$AD$58&lt;&gt;0),0)),"")</f>
        <v/>
      </c>
    </row>
    <row r="41" spans="1:31" ht="29.25" customHeight="1" thickTop="1" thickBot="1">
      <c r="A41" s="2228"/>
      <c r="B41" s="2229"/>
      <c r="C41" s="2229"/>
      <c r="D41" s="2229"/>
      <c r="E41" s="2226"/>
      <c r="F41" s="2227"/>
      <c r="G41" s="2229"/>
      <c r="H41" s="2230" t="str">
        <f t="shared" si="0"/>
        <v/>
      </c>
      <c r="I41" s="2203" t="str">
        <f t="shared" si="1"/>
        <v/>
      </c>
      <c r="K41" s="2199" t="str">
        <f t="shared" si="2"/>
        <v/>
      </c>
      <c r="L41" t="str">
        <f t="shared" si="3"/>
        <v/>
      </c>
      <c r="M41" t="str">
        <f t="shared" si="4"/>
        <v/>
      </c>
      <c r="N41" t="str">
        <f t="shared" si="5"/>
        <v/>
      </c>
      <c r="O41" s="1" t="str">
        <f t="shared" si="6"/>
        <v/>
      </c>
      <c r="P41" t="str">
        <f t="shared" si="7"/>
        <v/>
      </c>
      <c r="Q41" s="2210" t="str">
        <f t="array" ref="Q41">IFERROR(INDEX($K$18:$K$109,MATCH(0,COUNTIF($Q$17:$Q40,$K$18:$K$109),0)),"")</f>
        <v/>
      </c>
      <c r="R41" s="2210"/>
      <c r="S41" s="2210" t="str">
        <f t="shared" si="8"/>
        <v/>
      </c>
      <c r="T41" s="2210" t="str">
        <f t="shared" si="9"/>
        <v/>
      </c>
      <c r="U41" s="2210" t="str">
        <f t="shared" si="10"/>
        <v/>
      </c>
      <c r="V41" s="2210" t="str">
        <f t="shared" si="11"/>
        <v/>
      </c>
      <c r="W41" s="2210" t="str">
        <f t="shared" si="12"/>
        <v/>
      </c>
      <c r="AD41" s="2197" t="str">
        <f>IF(N_Bedarf!$C44&lt;&gt;"",N_Bedarf!$C44,"")</f>
        <v/>
      </c>
      <c r="AE41" s="2201" t="str">
        <f t="array" ref="AE41">IFERROR(INDEX($AD$2:$AD$58,MATCH(1,COUNTIF($AE$1:$AE40,$AD$2:$AD$58)+($AD$2:$AD$58&lt;&gt;0),0)),"")</f>
        <v/>
      </c>
    </row>
    <row r="42" spans="1:31" ht="29.25" customHeight="1" thickTop="1" thickBot="1">
      <c r="A42" s="2228"/>
      <c r="B42" s="2229"/>
      <c r="C42" s="2229"/>
      <c r="D42" s="2229"/>
      <c r="E42" s="2226"/>
      <c r="F42" s="2227"/>
      <c r="G42" s="2229"/>
      <c r="H42" s="2230" t="str">
        <f t="shared" si="0"/>
        <v/>
      </c>
      <c r="I42" s="2203" t="str">
        <f t="shared" si="1"/>
        <v/>
      </c>
      <c r="K42" s="2199" t="str">
        <f t="shared" si="2"/>
        <v/>
      </c>
      <c r="L42" t="str">
        <f t="shared" si="3"/>
        <v/>
      </c>
      <c r="M42" t="str">
        <f t="shared" si="4"/>
        <v/>
      </c>
      <c r="N42" t="str">
        <f t="shared" si="5"/>
        <v/>
      </c>
      <c r="O42" s="1" t="str">
        <f t="shared" si="6"/>
        <v/>
      </c>
      <c r="P42" t="str">
        <f t="shared" si="7"/>
        <v/>
      </c>
      <c r="Q42" s="2210" t="str">
        <f t="array" ref="Q42">IFERROR(INDEX($K$18:$K$109,MATCH(0,COUNTIF($Q$17:$Q41,$K$18:$K$109),0)),"")</f>
        <v/>
      </c>
      <c r="R42" s="2210"/>
      <c r="S42" s="2210" t="str">
        <f t="shared" si="8"/>
        <v/>
      </c>
      <c r="T42" s="2210" t="str">
        <f t="shared" si="9"/>
        <v/>
      </c>
      <c r="U42" s="2210" t="str">
        <f t="shared" si="10"/>
        <v/>
      </c>
      <c r="V42" s="2210" t="str">
        <f t="shared" si="11"/>
        <v/>
      </c>
      <c r="W42" s="2210" t="str">
        <f t="shared" si="12"/>
        <v/>
      </c>
      <c r="AD42" s="2197" t="str">
        <f>IF(N_Bedarf!$C45&lt;&gt;"",N_Bedarf!$C45,"")</f>
        <v/>
      </c>
      <c r="AE42" s="2201" t="str">
        <f t="array" ref="AE42">IFERROR(INDEX($AD$2:$AD$58,MATCH(1,COUNTIF($AE$1:$AE41,$AD$2:$AD$58)+($AD$2:$AD$58&lt;&gt;0),0)),"")</f>
        <v/>
      </c>
    </row>
    <row r="43" spans="1:31" ht="29.25" customHeight="1" thickTop="1" thickBot="1">
      <c r="A43" s="2228"/>
      <c r="B43" s="2229"/>
      <c r="C43" s="2229"/>
      <c r="D43" s="2229"/>
      <c r="E43" s="2226"/>
      <c r="F43" s="2227"/>
      <c r="G43" s="2229"/>
      <c r="H43" s="2230" t="str">
        <f t="shared" si="0"/>
        <v/>
      </c>
      <c r="I43" s="2203" t="str">
        <f t="shared" si="1"/>
        <v/>
      </c>
      <c r="K43" s="2199" t="str">
        <f t="shared" si="2"/>
        <v/>
      </c>
      <c r="L43" t="str">
        <f t="shared" si="3"/>
        <v/>
      </c>
      <c r="M43" t="str">
        <f t="shared" si="4"/>
        <v/>
      </c>
      <c r="N43" t="str">
        <f t="shared" si="5"/>
        <v/>
      </c>
      <c r="O43" s="1" t="str">
        <f t="shared" si="6"/>
        <v/>
      </c>
      <c r="P43" t="str">
        <f t="shared" si="7"/>
        <v/>
      </c>
      <c r="Q43" s="2210" t="str">
        <f t="array" ref="Q43">IFERROR(INDEX($K$18:$K$109,MATCH(0,COUNTIF($Q$17:$Q42,$K$18:$K$109),0)),"")</f>
        <v/>
      </c>
      <c r="R43" s="2210"/>
      <c r="S43" s="2210" t="str">
        <f t="shared" si="8"/>
        <v/>
      </c>
      <c r="T43" s="2210" t="str">
        <f t="shared" si="9"/>
        <v/>
      </c>
      <c r="U43" s="2210" t="str">
        <f t="shared" si="10"/>
        <v/>
      </c>
      <c r="V43" s="2210" t="str">
        <f t="shared" si="11"/>
        <v/>
      </c>
      <c r="W43" s="2210" t="str">
        <f t="shared" si="12"/>
        <v/>
      </c>
      <c r="AD43" s="2197" t="str">
        <f>IF(N_Bedarf!$C46&lt;&gt;"",N_Bedarf!$C46,"")</f>
        <v/>
      </c>
      <c r="AE43" s="2201" t="str">
        <f t="array" ref="AE43">IFERROR(INDEX($AD$2:$AD$58,MATCH(1,COUNTIF($AE$1:$AE42,$AD$2:$AD$58)+($AD$2:$AD$58&lt;&gt;0),0)),"")</f>
        <v/>
      </c>
    </row>
    <row r="44" spans="1:31" ht="29.25" customHeight="1" thickTop="1" thickBot="1">
      <c r="A44" s="2228"/>
      <c r="B44" s="2229"/>
      <c r="C44" s="2229"/>
      <c r="D44" s="2229"/>
      <c r="E44" s="2226"/>
      <c r="F44" s="2227"/>
      <c r="G44" s="2229"/>
      <c r="H44" s="2230" t="str">
        <f t="shared" si="0"/>
        <v/>
      </c>
      <c r="I44" s="2203" t="str">
        <f t="shared" si="1"/>
        <v/>
      </c>
      <c r="K44" s="2199" t="str">
        <f t="shared" si="2"/>
        <v/>
      </c>
      <c r="L44" t="str">
        <f t="shared" si="3"/>
        <v/>
      </c>
      <c r="M44" t="str">
        <f t="shared" si="4"/>
        <v/>
      </c>
      <c r="N44" t="str">
        <f t="shared" si="5"/>
        <v/>
      </c>
      <c r="O44" s="1" t="str">
        <f t="shared" si="6"/>
        <v/>
      </c>
      <c r="P44" t="str">
        <f t="shared" si="7"/>
        <v/>
      </c>
      <c r="Q44" s="2210" t="str">
        <f t="array" ref="Q44">IFERROR(INDEX($K$18:$K$109,MATCH(0,COUNTIF($Q$17:$Q43,$K$18:$K$109),0)),"")</f>
        <v/>
      </c>
      <c r="R44" s="2210"/>
      <c r="S44" s="2210" t="str">
        <f t="shared" si="8"/>
        <v/>
      </c>
      <c r="T44" s="2210" t="str">
        <f t="shared" si="9"/>
        <v/>
      </c>
      <c r="U44" s="2210" t="str">
        <f t="shared" si="10"/>
        <v/>
      </c>
      <c r="V44" s="2210" t="str">
        <f t="shared" si="11"/>
        <v/>
      </c>
      <c r="W44" s="2210" t="str">
        <f t="shared" si="12"/>
        <v/>
      </c>
      <c r="AD44" s="2197" t="str">
        <f>IF(N_Bedarf!$C47&lt;&gt;"",N_Bedarf!$C47,"")</f>
        <v/>
      </c>
      <c r="AE44" s="2201" t="str">
        <f t="array" ref="AE44">IFERROR(INDEX($AD$2:$AD$58,MATCH(1,COUNTIF($AE$1:$AE43,$AD$2:$AD$58)+($AD$2:$AD$58&lt;&gt;0),0)),"")</f>
        <v/>
      </c>
    </row>
    <row r="45" spans="1:31" ht="29.25" customHeight="1" thickTop="1" thickBot="1">
      <c r="A45" s="2228"/>
      <c r="B45" s="2229"/>
      <c r="C45" s="2229"/>
      <c r="D45" s="2229"/>
      <c r="E45" s="2226"/>
      <c r="F45" s="2227"/>
      <c r="G45" s="2229"/>
      <c r="H45" s="2230" t="str">
        <f t="shared" si="0"/>
        <v/>
      </c>
      <c r="I45" s="2203" t="str">
        <f t="shared" si="1"/>
        <v/>
      </c>
      <c r="K45" s="2199" t="str">
        <f t="shared" si="2"/>
        <v/>
      </c>
      <c r="L45" t="str">
        <f t="shared" si="3"/>
        <v/>
      </c>
      <c r="M45" t="str">
        <f t="shared" si="4"/>
        <v/>
      </c>
      <c r="N45" t="str">
        <f t="shared" si="5"/>
        <v/>
      </c>
      <c r="O45" s="1" t="str">
        <f t="shared" si="6"/>
        <v/>
      </c>
      <c r="P45" t="str">
        <f t="shared" si="7"/>
        <v/>
      </c>
      <c r="Q45" s="2210" t="str">
        <f t="array" ref="Q45">IFERROR(INDEX($K$18:$K$109,MATCH(0,COUNTIF($Q$17:$Q44,$K$18:$K$109),0)),"")</f>
        <v/>
      </c>
      <c r="R45" s="2210"/>
      <c r="S45" s="2210" t="str">
        <f t="shared" si="8"/>
        <v/>
      </c>
      <c r="T45" s="2210" t="str">
        <f t="shared" si="9"/>
        <v/>
      </c>
      <c r="U45" s="2210" t="str">
        <f t="shared" si="10"/>
        <v/>
      </c>
      <c r="V45" s="2210" t="str">
        <f t="shared" si="11"/>
        <v/>
      </c>
      <c r="W45" s="2210" t="str">
        <f t="shared" si="12"/>
        <v/>
      </c>
      <c r="AD45" s="2197" t="str">
        <f>IF(N_Bedarf!$C48&lt;&gt;"",N_Bedarf!$C48,"")</f>
        <v/>
      </c>
      <c r="AE45" s="2201" t="str">
        <f t="array" ref="AE45">IFERROR(INDEX($AD$2:$AD$58,MATCH(1,COUNTIF($AE$1:$AE44,$AD$2:$AD$58)+($AD$2:$AD$58&lt;&gt;0),0)),"")</f>
        <v/>
      </c>
    </row>
    <row r="46" spans="1:31" ht="29.25" customHeight="1" thickTop="1" thickBot="1">
      <c r="A46" s="2228"/>
      <c r="B46" s="2229"/>
      <c r="C46" s="2229"/>
      <c r="D46" s="2229"/>
      <c r="E46" s="2226"/>
      <c r="F46" s="2227"/>
      <c r="G46" s="2229"/>
      <c r="H46" s="2230" t="str">
        <f t="shared" si="0"/>
        <v/>
      </c>
      <c r="I46" s="2203" t="str">
        <f t="shared" si="1"/>
        <v/>
      </c>
      <c r="K46" s="2199" t="str">
        <f t="shared" si="2"/>
        <v/>
      </c>
      <c r="L46" t="str">
        <f t="shared" si="3"/>
        <v/>
      </c>
      <c r="M46" t="str">
        <f t="shared" si="4"/>
        <v/>
      </c>
      <c r="N46" t="str">
        <f t="shared" si="5"/>
        <v/>
      </c>
      <c r="O46" s="1" t="str">
        <f t="shared" si="6"/>
        <v/>
      </c>
      <c r="P46" t="str">
        <f t="shared" si="7"/>
        <v/>
      </c>
      <c r="Q46" s="2210" t="str">
        <f t="array" ref="Q46">IFERROR(INDEX($K$18:$K$109,MATCH(0,COUNTIF($Q$17:$Q45,$K$18:$K$109),0)),"")</f>
        <v/>
      </c>
      <c r="R46" s="2210"/>
      <c r="S46" s="2210" t="str">
        <f t="shared" si="8"/>
        <v/>
      </c>
      <c r="T46" s="2210" t="str">
        <f t="shared" si="9"/>
        <v/>
      </c>
      <c r="U46" s="2210" t="str">
        <f t="shared" si="10"/>
        <v/>
      </c>
      <c r="V46" s="2210" t="str">
        <f t="shared" si="11"/>
        <v/>
      </c>
      <c r="W46" s="2210" t="str">
        <f t="shared" si="12"/>
        <v/>
      </c>
      <c r="AD46" s="2197" t="str">
        <f>IF(N_Bedarf!$C49&lt;&gt;"",N_Bedarf!$C49,"")</f>
        <v/>
      </c>
      <c r="AE46" s="2201" t="str">
        <f t="array" ref="AE46">IFERROR(INDEX($AD$2:$AD$58,MATCH(1,COUNTIF($AE$1:$AE45,$AD$2:$AD$58)+($AD$2:$AD$58&lt;&gt;0),0)),"")</f>
        <v/>
      </c>
    </row>
    <row r="47" spans="1:31" ht="29.25" customHeight="1" thickTop="1" thickBot="1">
      <c r="A47" s="2228"/>
      <c r="B47" s="2229"/>
      <c r="C47" s="2229"/>
      <c r="D47" s="2229"/>
      <c r="E47" s="2226"/>
      <c r="F47" s="2227"/>
      <c r="G47" s="2229"/>
      <c r="H47" s="2230" t="str">
        <f t="shared" si="0"/>
        <v/>
      </c>
      <c r="I47" s="2203" t="str">
        <f t="shared" si="1"/>
        <v/>
      </c>
      <c r="K47" s="2199" t="str">
        <f t="shared" si="2"/>
        <v/>
      </c>
      <c r="L47" t="str">
        <f t="shared" si="3"/>
        <v/>
      </c>
      <c r="M47" t="str">
        <f t="shared" si="4"/>
        <v/>
      </c>
      <c r="N47" t="str">
        <f t="shared" si="5"/>
        <v/>
      </c>
      <c r="O47" s="1" t="str">
        <f t="shared" si="6"/>
        <v/>
      </c>
      <c r="P47" t="str">
        <f t="shared" si="7"/>
        <v/>
      </c>
      <c r="Q47" s="2210" t="str">
        <f t="array" ref="Q47">IFERROR(INDEX($K$18:$K$109,MATCH(0,COUNTIF($Q$17:$Q46,$K$18:$K$109),0)),"")</f>
        <v/>
      </c>
      <c r="R47" s="2210"/>
      <c r="S47" s="2210" t="str">
        <f t="shared" si="8"/>
        <v/>
      </c>
      <c r="T47" s="2210" t="str">
        <f t="shared" si="9"/>
        <v/>
      </c>
      <c r="U47" s="2210" t="str">
        <f t="shared" si="10"/>
        <v/>
      </c>
      <c r="V47" s="2210" t="str">
        <f t="shared" si="11"/>
        <v/>
      </c>
      <c r="W47" s="2210" t="str">
        <f t="shared" si="12"/>
        <v/>
      </c>
      <c r="AD47" s="2197" t="str">
        <f>IF(N_Bedarf!$C50&lt;&gt;"",N_Bedarf!$C50,"")</f>
        <v/>
      </c>
      <c r="AE47" s="2201" t="str">
        <f t="array" ref="AE47">IFERROR(INDEX($AD$2:$AD$58,MATCH(1,COUNTIF($AE$1:$AE46,$AD$2:$AD$58)+($AD$2:$AD$58&lt;&gt;0),0)),"")</f>
        <v/>
      </c>
    </row>
    <row r="48" spans="1:31" ht="29.25" customHeight="1" thickTop="1" thickBot="1">
      <c r="A48" s="2228"/>
      <c r="B48" s="2229"/>
      <c r="C48" s="2229"/>
      <c r="D48" s="2229"/>
      <c r="E48" s="2226"/>
      <c r="F48" s="2227"/>
      <c r="G48" s="2229"/>
      <c r="H48" s="2230" t="str">
        <f t="shared" si="0"/>
        <v/>
      </c>
      <c r="I48" s="2203" t="str">
        <f t="shared" si="1"/>
        <v/>
      </c>
      <c r="K48" s="2199" t="str">
        <f t="shared" si="2"/>
        <v/>
      </c>
      <c r="L48" t="str">
        <f t="shared" si="3"/>
        <v/>
      </c>
      <c r="M48" t="str">
        <f t="shared" si="4"/>
        <v/>
      </c>
      <c r="N48" t="str">
        <f t="shared" si="5"/>
        <v/>
      </c>
      <c r="O48" s="1" t="str">
        <f t="shared" si="6"/>
        <v/>
      </c>
      <c r="P48" t="str">
        <f t="shared" si="7"/>
        <v/>
      </c>
      <c r="Q48" s="2210" t="str">
        <f t="array" ref="Q48">IFERROR(INDEX($K$18:$K$109,MATCH(0,COUNTIF($Q$17:$Q47,$K$18:$K$109),0)),"")</f>
        <v/>
      </c>
      <c r="R48" s="2210"/>
      <c r="S48" s="2210" t="str">
        <f t="shared" si="8"/>
        <v/>
      </c>
      <c r="T48" s="2210" t="str">
        <f t="shared" si="9"/>
        <v/>
      </c>
      <c r="U48" s="2210" t="str">
        <f t="shared" si="10"/>
        <v/>
      </c>
      <c r="V48" s="2210" t="str">
        <f t="shared" si="11"/>
        <v/>
      </c>
      <c r="W48" s="2210" t="str">
        <f t="shared" si="12"/>
        <v/>
      </c>
      <c r="AD48" s="2197" t="str">
        <f>IF(N_Bedarf!$C51&lt;&gt;"",N_Bedarf!$C51,"")</f>
        <v/>
      </c>
      <c r="AE48" s="2201" t="str">
        <f t="array" ref="AE48">IFERROR(INDEX($AD$2:$AD$58,MATCH(1,COUNTIF($AE$1:$AE47,$AD$2:$AD$58)+($AD$2:$AD$58&lt;&gt;0),0)),"")</f>
        <v/>
      </c>
    </row>
    <row r="49" spans="1:31" ht="29.25" customHeight="1" thickTop="1" thickBot="1">
      <c r="A49" s="2228"/>
      <c r="B49" s="2229"/>
      <c r="C49" s="2229"/>
      <c r="D49" s="2229"/>
      <c r="E49" s="2226"/>
      <c r="F49" s="2227"/>
      <c r="G49" s="2229"/>
      <c r="H49" s="2230" t="str">
        <f t="shared" si="0"/>
        <v/>
      </c>
      <c r="I49" s="2203" t="str">
        <f t="shared" si="1"/>
        <v/>
      </c>
      <c r="K49" s="2199" t="str">
        <f t="shared" si="2"/>
        <v/>
      </c>
      <c r="L49" t="str">
        <f t="shared" si="3"/>
        <v/>
      </c>
      <c r="M49" t="str">
        <f t="shared" si="4"/>
        <v/>
      </c>
      <c r="N49" t="str">
        <f t="shared" si="5"/>
        <v/>
      </c>
      <c r="O49" s="1" t="str">
        <f t="shared" si="6"/>
        <v/>
      </c>
      <c r="P49" t="str">
        <f t="shared" si="7"/>
        <v/>
      </c>
      <c r="Q49" s="2210" t="str">
        <f t="array" ref="Q49">IFERROR(INDEX($K$18:$K$109,MATCH(0,COUNTIF($Q$17:$Q48,$K$18:$K$109),0)),"")</f>
        <v/>
      </c>
      <c r="R49" s="2210"/>
      <c r="S49" s="2210" t="str">
        <f t="shared" si="8"/>
        <v/>
      </c>
      <c r="T49" s="2210" t="str">
        <f t="shared" si="9"/>
        <v/>
      </c>
      <c r="U49" s="2210" t="str">
        <f t="shared" si="10"/>
        <v/>
      </c>
      <c r="V49" s="2210" t="str">
        <f t="shared" si="11"/>
        <v/>
      </c>
      <c r="W49" s="2210" t="str">
        <f t="shared" si="12"/>
        <v/>
      </c>
      <c r="AD49" s="2197" t="str">
        <f>IF(N_Bedarf!$C52&lt;&gt;"",N_Bedarf!$C52,"")</f>
        <v/>
      </c>
      <c r="AE49" s="2201" t="str">
        <f t="array" ref="AE49">IFERROR(INDEX($AD$2:$AD$58,MATCH(1,COUNTIF($AE$1:$AE48,$AD$2:$AD$58)+($AD$2:$AD$58&lt;&gt;0),0)),"")</f>
        <v/>
      </c>
    </row>
    <row r="50" spans="1:31" ht="29.25" customHeight="1" thickTop="1" thickBot="1">
      <c r="A50" s="2228"/>
      <c r="B50" s="2229"/>
      <c r="C50" s="2229"/>
      <c r="D50" s="2229"/>
      <c r="E50" s="2226"/>
      <c r="F50" s="2227"/>
      <c r="G50" s="2229"/>
      <c r="H50" s="2230" t="str">
        <f t="shared" si="0"/>
        <v/>
      </c>
      <c r="I50" s="2203" t="str">
        <f t="shared" si="1"/>
        <v/>
      </c>
      <c r="K50" s="2199" t="str">
        <f t="shared" si="2"/>
        <v/>
      </c>
      <c r="L50" t="str">
        <f t="shared" si="3"/>
        <v/>
      </c>
      <c r="M50" t="str">
        <f t="shared" si="4"/>
        <v/>
      </c>
      <c r="N50" t="str">
        <f t="shared" si="5"/>
        <v/>
      </c>
      <c r="O50" s="1" t="str">
        <f t="shared" si="6"/>
        <v/>
      </c>
      <c r="P50" t="str">
        <f t="shared" si="7"/>
        <v/>
      </c>
      <c r="Q50" s="2210" t="str">
        <f t="array" ref="Q50">IFERROR(INDEX($K$18:$K$109,MATCH(0,COUNTIF($Q$17:$Q49,$K$18:$K$109),0)),"")</f>
        <v/>
      </c>
      <c r="R50" s="2210"/>
      <c r="S50" s="2210" t="str">
        <f t="shared" si="8"/>
        <v/>
      </c>
      <c r="T50" s="2210" t="str">
        <f t="shared" si="9"/>
        <v/>
      </c>
      <c r="U50" s="2210" t="str">
        <f t="shared" si="10"/>
        <v/>
      </c>
      <c r="V50" s="2210" t="str">
        <f t="shared" si="11"/>
        <v/>
      </c>
      <c r="W50" s="2210" t="str">
        <f t="shared" si="12"/>
        <v/>
      </c>
      <c r="AD50" s="2197" t="str">
        <f>IF(N_Bedarf!$C53&lt;&gt;"",N_Bedarf!$C53,"")</f>
        <v/>
      </c>
      <c r="AE50" s="2201" t="str">
        <f t="array" ref="AE50">IFERROR(INDEX($AD$2:$AD$58,MATCH(1,COUNTIF($AE$1:$AE49,$AD$2:$AD$58)+($AD$2:$AD$58&lt;&gt;0),0)),"")</f>
        <v/>
      </c>
    </row>
    <row r="51" spans="1:31" ht="29.25" customHeight="1" thickTop="1" thickBot="1">
      <c r="A51" s="2228"/>
      <c r="B51" s="2229"/>
      <c r="C51" s="2229"/>
      <c r="D51" s="2229"/>
      <c r="E51" s="2226"/>
      <c r="F51" s="2227"/>
      <c r="G51" s="2229"/>
      <c r="H51" s="2230" t="str">
        <f t="shared" si="0"/>
        <v/>
      </c>
      <c r="I51" s="2203" t="str">
        <f t="shared" si="1"/>
        <v/>
      </c>
      <c r="K51" s="2199" t="str">
        <f t="shared" si="2"/>
        <v/>
      </c>
      <c r="L51" t="str">
        <f t="shared" si="3"/>
        <v/>
      </c>
      <c r="M51" t="str">
        <f t="shared" si="4"/>
        <v/>
      </c>
      <c r="N51" t="str">
        <f t="shared" si="5"/>
        <v/>
      </c>
      <c r="O51" s="1" t="str">
        <f t="shared" si="6"/>
        <v/>
      </c>
      <c r="P51" t="str">
        <f t="shared" si="7"/>
        <v/>
      </c>
      <c r="Q51" s="2210" t="str">
        <f t="array" ref="Q51">IFERROR(INDEX($K$18:$K$109,MATCH(0,COUNTIF($Q$17:$Q50,$K$18:$K$109),0)),"")</f>
        <v/>
      </c>
      <c r="R51" s="2210"/>
      <c r="S51" s="2210" t="str">
        <f t="shared" si="8"/>
        <v/>
      </c>
      <c r="T51" s="2210" t="str">
        <f t="shared" si="9"/>
        <v/>
      </c>
      <c r="U51" s="2210" t="str">
        <f t="shared" si="10"/>
        <v/>
      </c>
      <c r="V51" s="2210" t="str">
        <f t="shared" si="11"/>
        <v/>
      </c>
      <c r="W51" s="2210" t="str">
        <f t="shared" si="12"/>
        <v/>
      </c>
      <c r="AD51" s="2197" t="str">
        <f>IF(N_Bedarf!$C54&lt;&gt;"",N_Bedarf!$C54,"")</f>
        <v/>
      </c>
      <c r="AE51" s="2201" t="str">
        <f t="array" ref="AE51">IFERROR(INDEX($AD$2:$AD$58,MATCH(1,COUNTIF($AE$1:$AE50,$AD$2:$AD$58)+($AD$2:$AD$58&lt;&gt;0),0)),"")</f>
        <v/>
      </c>
    </row>
    <row r="52" spans="1:31" ht="29.25" customHeight="1" thickTop="1" thickBot="1">
      <c r="A52" s="2228"/>
      <c r="B52" s="2229"/>
      <c r="C52" s="2229"/>
      <c r="D52" s="2229"/>
      <c r="E52" s="2226"/>
      <c r="F52" s="2227"/>
      <c r="G52" s="2229"/>
      <c r="H52" s="2230" t="str">
        <f t="shared" si="0"/>
        <v/>
      </c>
      <c r="I52" s="2203" t="str">
        <f t="shared" si="1"/>
        <v/>
      </c>
      <c r="K52" s="2199" t="str">
        <f t="shared" si="2"/>
        <v/>
      </c>
      <c r="L52" t="str">
        <f t="shared" si="3"/>
        <v/>
      </c>
      <c r="M52" t="str">
        <f t="shared" si="4"/>
        <v/>
      </c>
      <c r="N52" t="str">
        <f t="shared" si="5"/>
        <v/>
      </c>
      <c r="O52" s="1" t="str">
        <f t="shared" si="6"/>
        <v/>
      </c>
      <c r="P52" t="str">
        <f t="shared" si="7"/>
        <v/>
      </c>
      <c r="Q52" s="2210" t="str">
        <f t="array" ref="Q52">IFERROR(INDEX($K$18:$K$109,MATCH(0,COUNTIF($Q$17:$Q51,$K$18:$K$109),0)),"")</f>
        <v/>
      </c>
      <c r="R52" s="2210"/>
      <c r="S52" s="2210" t="str">
        <f t="shared" si="8"/>
        <v/>
      </c>
      <c r="T52" s="2210" t="str">
        <f t="shared" si="9"/>
        <v/>
      </c>
      <c r="U52" s="2210" t="str">
        <f t="shared" si="10"/>
        <v/>
      </c>
      <c r="V52" s="2210" t="str">
        <f t="shared" si="11"/>
        <v/>
      </c>
      <c r="W52" s="2210" t="str">
        <f t="shared" si="12"/>
        <v/>
      </c>
      <c r="AD52" s="2371" t="str">
        <f>IF(N_Bedarf!$C55&lt;&gt;"",N_Bedarf!$C55,"")</f>
        <v>diverse Grünbrachen zB Biodiv.</v>
      </c>
      <c r="AE52" s="2201" t="str">
        <f t="array" ref="AE52">IFERROR(INDEX($AD$2:$AD$58,MATCH(1,COUNTIF($AE$1:$AE51,$AD$2:$AD$58)+($AD$2:$AD$58&lt;&gt;0),0)),"")</f>
        <v/>
      </c>
    </row>
    <row r="53" spans="1:31" ht="29.25" customHeight="1" thickTop="1" thickBot="1">
      <c r="A53" s="2228"/>
      <c r="B53" s="2229"/>
      <c r="C53" s="2229"/>
      <c r="D53" s="2229"/>
      <c r="E53" s="2226"/>
      <c r="F53" s="2227"/>
      <c r="G53" s="2229"/>
      <c r="H53" s="2230" t="str">
        <f t="shared" si="0"/>
        <v/>
      </c>
      <c r="I53" s="2203" t="str">
        <f t="shared" si="1"/>
        <v/>
      </c>
      <c r="K53" s="2199" t="str">
        <f t="shared" si="2"/>
        <v/>
      </c>
      <c r="L53" t="str">
        <f t="shared" si="3"/>
        <v/>
      </c>
      <c r="M53" t="str">
        <f t="shared" si="4"/>
        <v/>
      </c>
      <c r="N53" t="str">
        <f t="shared" si="5"/>
        <v/>
      </c>
      <c r="O53" s="1" t="str">
        <f t="shared" si="6"/>
        <v/>
      </c>
      <c r="P53" t="str">
        <f t="shared" si="7"/>
        <v/>
      </c>
      <c r="Q53" s="2210" t="str">
        <f t="array" ref="Q53">IFERROR(INDEX($K$18:$K$109,MATCH(0,COUNTIF($Q$17:$Q52,$K$18:$K$109),0)),"")</f>
        <v/>
      </c>
      <c r="R53" s="2210"/>
      <c r="S53" s="2210" t="str">
        <f t="shared" si="8"/>
        <v/>
      </c>
      <c r="T53" s="2210" t="str">
        <f t="shared" si="9"/>
        <v/>
      </c>
      <c r="U53" s="2210" t="str">
        <f t="shared" si="10"/>
        <v/>
      </c>
      <c r="V53" s="2210" t="str">
        <f t="shared" si="11"/>
        <v/>
      </c>
      <c r="W53" s="2210" t="str">
        <f t="shared" si="12"/>
        <v/>
      </c>
      <c r="AD53" s="2371" t="str">
        <f>IF(N_Bedarf!$C57&lt;&gt;"",N_Bedarf!$C57,"")</f>
        <v/>
      </c>
      <c r="AE53" s="2201" t="str">
        <f t="array" ref="AE53">IFERROR(INDEX($AD$2:$AD$58,MATCH(1,COUNTIF($AE$1:$AE52,$AD$2:$AD$58)+($AD$2:$AD$58&lt;&gt;0),0)),"")</f>
        <v/>
      </c>
    </row>
    <row r="54" spans="1:31" ht="29.25" customHeight="1" thickTop="1" thickBot="1">
      <c r="A54" s="2228"/>
      <c r="B54" s="2229"/>
      <c r="C54" s="2229"/>
      <c r="D54" s="2229"/>
      <c r="E54" s="2226"/>
      <c r="F54" s="2227"/>
      <c r="G54" s="2229"/>
      <c r="H54" s="2230" t="str">
        <f t="shared" si="0"/>
        <v/>
      </c>
      <c r="I54" s="2203" t="str">
        <f t="shared" si="1"/>
        <v/>
      </c>
      <c r="K54" s="2199" t="str">
        <f t="shared" si="2"/>
        <v/>
      </c>
      <c r="L54" t="str">
        <f t="shared" si="3"/>
        <v/>
      </c>
      <c r="M54" t="str">
        <f t="shared" si="4"/>
        <v/>
      </c>
      <c r="N54" t="str">
        <f t="shared" si="5"/>
        <v/>
      </c>
      <c r="O54" s="1" t="str">
        <f t="shared" si="6"/>
        <v/>
      </c>
      <c r="P54" t="str">
        <f t="shared" si="7"/>
        <v/>
      </c>
      <c r="Q54" s="2210" t="str">
        <f t="array" ref="Q54">IFERROR(INDEX($K$18:$K$109,MATCH(0,COUNTIF($Q$17:$Q53,$K$18:$K$109),0)),"")</f>
        <v/>
      </c>
      <c r="R54" s="2210"/>
      <c r="S54" s="2210" t="str">
        <f t="shared" si="8"/>
        <v/>
      </c>
      <c r="T54" s="2210" t="str">
        <f t="shared" si="9"/>
        <v/>
      </c>
      <c r="U54" s="2210" t="str">
        <f t="shared" si="10"/>
        <v/>
      </c>
      <c r="V54" s="2210" t="str">
        <f t="shared" si="11"/>
        <v/>
      </c>
      <c r="W54" s="2210" t="str">
        <f t="shared" si="12"/>
        <v/>
      </c>
      <c r="AD54" s="2371" t="str">
        <f>IF(N_Bedarf!$C58&lt;&gt;"",N_Bedarf!$C58,"")</f>
        <v/>
      </c>
      <c r="AE54" s="2201" t="str">
        <f t="array" ref="AE54">IFERROR(INDEX($AD$2:$AD$58,MATCH(1,COUNTIF($AE$1:$AE53,$AD$2:$AD$58)+($AD$2:$AD$58&lt;&gt;0),0)),"")</f>
        <v/>
      </c>
    </row>
    <row r="55" spans="1:31" ht="29.25" customHeight="1" thickTop="1" thickBot="1">
      <c r="A55" s="2228"/>
      <c r="B55" s="2229"/>
      <c r="C55" s="2229"/>
      <c r="D55" s="2229"/>
      <c r="E55" s="2226"/>
      <c r="F55" s="2227"/>
      <c r="G55" s="2229"/>
      <c r="H55" s="2230" t="str">
        <f t="shared" si="0"/>
        <v/>
      </c>
      <c r="I55" s="2203" t="str">
        <f t="shared" si="1"/>
        <v/>
      </c>
      <c r="K55" s="2199" t="str">
        <f t="shared" si="2"/>
        <v/>
      </c>
      <c r="L55" t="str">
        <f t="shared" si="3"/>
        <v/>
      </c>
      <c r="M55" t="str">
        <f t="shared" si="4"/>
        <v/>
      </c>
      <c r="N55" t="str">
        <f t="shared" si="5"/>
        <v/>
      </c>
      <c r="O55" s="1" t="str">
        <f t="shared" si="6"/>
        <v/>
      </c>
      <c r="P55" t="str">
        <f t="shared" si="7"/>
        <v/>
      </c>
      <c r="Q55" s="2210" t="str">
        <f t="array" ref="Q55">IFERROR(INDEX($K$18:$K$109,MATCH(0,COUNTIF($Q$17:$Q54,$K$18:$K$109),0)),"")</f>
        <v/>
      </c>
      <c r="R55" s="2210"/>
      <c r="S55" s="2210" t="str">
        <f t="shared" si="8"/>
        <v/>
      </c>
      <c r="T55" s="2210" t="str">
        <f t="shared" si="9"/>
        <v/>
      </c>
      <c r="U55" s="2210" t="str">
        <f t="shared" si="10"/>
        <v/>
      </c>
      <c r="V55" s="2210" t="str">
        <f t="shared" si="11"/>
        <v/>
      </c>
      <c r="W55" s="2210" t="str">
        <f t="shared" si="12"/>
        <v/>
      </c>
      <c r="AD55" s="2371" t="str">
        <f>IF(N_Bedarf!$C59&lt;&gt;"",N_Bedarf!$C59,"")</f>
        <v/>
      </c>
      <c r="AE55" s="2201" t="str">
        <f t="array" ref="AE55">IFERROR(INDEX($AD$2:$AD$58,MATCH(1,COUNTIF($AE$1:$AE54,$AD$2:$AD$58)+($AD$2:$AD$58&lt;&gt;0),0)),"")</f>
        <v/>
      </c>
    </row>
    <row r="56" spans="1:31" ht="29.25" customHeight="1" thickTop="1" thickBot="1">
      <c r="A56" s="2228"/>
      <c r="B56" s="2229"/>
      <c r="C56" s="2229"/>
      <c r="D56" s="2229"/>
      <c r="E56" s="2226"/>
      <c r="F56" s="2227"/>
      <c r="G56" s="2229"/>
      <c r="H56" s="2230" t="str">
        <f t="shared" si="0"/>
        <v/>
      </c>
      <c r="I56" s="2203" t="str">
        <f t="shared" si="1"/>
        <v/>
      </c>
      <c r="K56" s="2199" t="str">
        <f t="shared" si="2"/>
        <v/>
      </c>
      <c r="L56" t="str">
        <f t="shared" si="3"/>
        <v/>
      </c>
      <c r="M56" t="str">
        <f t="shared" si="4"/>
        <v/>
      </c>
      <c r="N56" t="str">
        <f t="shared" si="5"/>
        <v/>
      </c>
      <c r="O56" s="1" t="str">
        <f t="shared" si="6"/>
        <v/>
      </c>
      <c r="P56" t="str">
        <f t="shared" si="7"/>
        <v/>
      </c>
      <c r="Q56" s="2210" t="str">
        <f t="array" ref="Q56">IFERROR(INDEX($K$18:$K$109,MATCH(0,COUNTIF($Q$17:$Q55,$K$18:$K$109),0)),"")</f>
        <v/>
      </c>
      <c r="R56" s="2210"/>
      <c r="S56" s="2210" t="str">
        <f t="shared" si="8"/>
        <v/>
      </c>
      <c r="T56" s="2210" t="str">
        <f t="shared" si="9"/>
        <v/>
      </c>
      <c r="U56" s="2210" t="str">
        <f t="shared" si="10"/>
        <v/>
      </c>
      <c r="V56" s="2210" t="str">
        <f t="shared" si="11"/>
        <v/>
      </c>
      <c r="W56" s="2210" t="str">
        <f t="shared" si="12"/>
        <v/>
      </c>
      <c r="AD56" s="2371" t="str">
        <f>IF(N_Bedarf!$C60&lt;&gt;"",N_Bedarf!$C60,"")</f>
        <v/>
      </c>
      <c r="AE56" s="2201" t="str">
        <f t="array" ref="AE56">IFERROR(INDEX($AD$2:$AD$58,MATCH(1,COUNTIF($AE$1:$AE55,$AD$2:$AD$58)+($AD$2:$AD$58&lt;&gt;0),0)),"")</f>
        <v/>
      </c>
    </row>
    <row r="57" spans="1:31" ht="29.25" customHeight="1" thickTop="1" thickBot="1">
      <c r="A57" s="2228"/>
      <c r="B57" s="2229"/>
      <c r="C57" s="2229"/>
      <c r="D57" s="2229"/>
      <c r="E57" s="2226"/>
      <c r="F57" s="2227"/>
      <c r="G57" s="2229"/>
      <c r="H57" s="2230" t="str">
        <f t="shared" si="0"/>
        <v/>
      </c>
      <c r="I57" s="2203" t="str">
        <f t="shared" si="1"/>
        <v/>
      </c>
      <c r="K57" s="2199" t="str">
        <f t="shared" si="2"/>
        <v/>
      </c>
      <c r="L57" t="str">
        <f t="shared" si="3"/>
        <v/>
      </c>
      <c r="M57" t="str">
        <f t="shared" si="4"/>
        <v/>
      </c>
      <c r="N57" t="str">
        <f t="shared" si="5"/>
        <v/>
      </c>
      <c r="O57" s="1" t="str">
        <f t="shared" si="6"/>
        <v/>
      </c>
      <c r="P57" t="str">
        <f t="shared" si="7"/>
        <v/>
      </c>
      <c r="Q57" s="2210" t="str">
        <f t="array" ref="Q57">IFERROR(INDEX($K$18:$K$109,MATCH(0,COUNTIF($Q$17:$Q56,$K$18:$K$109),0)),"")</f>
        <v/>
      </c>
      <c r="R57" s="2210"/>
      <c r="S57" s="2210" t="str">
        <f t="shared" si="8"/>
        <v/>
      </c>
      <c r="T57" s="2210" t="str">
        <f t="shared" si="9"/>
        <v/>
      </c>
      <c r="U57" s="2210" t="str">
        <f t="shared" si="10"/>
        <v/>
      </c>
      <c r="V57" s="2210" t="str">
        <f t="shared" si="11"/>
        <v/>
      </c>
      <c r="W57" s="2210" t="str">
        <f t="shared" si="12"/>
        <v/>
      </c>
      <c r="AD57" s="2371" t="str">
        <f>IF(N_Bedarf!$C61&lt;&gt;"",N_Bedarf!$C61,"")</f>
        <v/>
      </c>
      <c r="AE57" s="2201" t="str">
        <f t="array" ref="AE57">IFERROR(INDEX($AD$2:$AD$58,MATCH(1,COUNTIF($AE$1:$AE56,$AD$2:$AD$58)+($AD$2:$AD$58&lt;&gt;0),0)),"")</f>
        <v/>
      </c>
    </row>
    <row r="58" spans="1:31" ht="29.25" customHeight="1" thickTop="1">
      <c r="A58" s="2228"/>
      <c r="B58" s="2229"/>
      <c r="C58" s="2229"/>
      <c r="D58" s="2229"/>
      <c r="E58" s="2226"/>
      <c r="F58" s="2227"/>
      <c r="G58" s="2229"/>
      <c r="H58" s="2230" t="str">
        <f t="shared" si="0"/>
        <v/>
      </c>
      <c r="I58" s="2203" t="str">
        <f t="shared" si="1"/>
        <v/>
      </c>
      <c r="K58" s="2199" t="str">
        <f t="shared" si="2"/>
        <v/>
      </c>
      <c r="L58" t="str">
        <f t="shared" si="3"/>
        <v/>
      </c>
      <c r="M58" t="str">
        <f t="shared" si="4"/>
        <v/>
      </c>
      <c r="N58" t="str">
        <f t="shared" si="5"/>
        <v/>
      </c>
      <c r="O58" s="1" t="str">
        <f t="shared" si="6"/>
        <v/>
      </c>
      <c r="P58" t="str">
        <f t="shared" si="7"/>
        <v/>
      </c>
      <c r="Q58" s="2210" t="str">
        <f t="array" ref="Q58">IFERROR(INDEX($K$18:$K$109,MATCH(0,COUNTIF($Q$17:$Q57,$K$18:$K$109),0)),"")</f>
        <v/>
      </c>
      <c r="R58" s="2210"/>
      <c r="S58" s="2210" t="str">
        <f t="shared" si="8"/>
        <v/>
      </c>
      <c r="T58" s="2210" t="str">
        <f t="shared" si="9"/>
        <v/>
      </c>
      <c r="U58" s="2210" t="str">
        <f t="shared" si="10"/>
        <v/>
      </c>
      <c r="V58" s="2210" t="str">
        <f t="shared" si="11"/>
        <v/>
      </c>
      <c r="W58" s="2210" t="str">
        <f t="shared" si="12"/>
        <v/>
      </c>
      <c r="AD58" s="2371" t="str">
        <f>IF(N_Bedarf!$C62&lt;&gt;"",N_Bedarf!$C62,"")</f>
        <v/>
      </c>
      <c r="AE58" s="2201" t="str">
        <f t="array" ref="AE58">IFERROR(INDEX($AD$2:$AD$58,MATCH(1,COUNTIF($AE$1:$AE57,$AD$2:$AD$58)+($AD$2:$AD$58&lt;&gt;0),0)),"")</f>
        <v/>
      </c>
    </row>
    <row r="59" spans="1:31" ht="29.25" customHeight="1">
      <c r="A59" s="2228"/>
      <c r="B59" s="2229"/>
      <c r="C59" s="2229"/>
      <c r="D59" s="2229"/>
      <c r="E59" s="2226"/>
      <c r="F59" s="2227"/>
      <c r="G59" s="2229"/>
      <c r="H59" s="2230" t="str">
        <f t="shared" si="0"/>
        <v/>
      </c>
      <c r="I59" s="2203" t="str">
        <f t="shared" si="1"/>
        <v/>
      </c>
      <c r="K59" s="2199" t="str">
        <f t="shared" si="2"/>
        <v/>
      </c>
      <c r="L59" t="str">
        <f t="shared" si="3"/>
        <v/>
      </c>
      <c r="M59" t="str">
        <f t="shared" si="4"/>
        <v/>
      </c>
      <c r="N59" t="str">
        <f t="shared" si="5"/>
        <v/>
      </c>
      <c r="O59" s="1" t="str">
        <f t="shared" si="6"/>
        <v/>
      </c>
      <c r="P59" t="str">
        <f t="shared" si="7"/>
        <v/>
      </c>
      <c r="Q59" s="2210" t="str">
        <f t="array" ref="Q59">IFERROR(INDEX($K$18:$K$109,MATCH(0,COUNTIF($Q$17:$Q58,$K$18:$K$109),0)),"")</f>
        <v/>
      </c>
      <c r="R59" s="2210"/>
      <c r="S59" s="2210" t="str">
        <f t="shared" si="8"/>
        <v/>
      </c>
      <c r="T59" s="2210" t="str">
        <f t="shared" si="9"/>
        <v/>
      </c>
      <c r="U59" s="2210" t="str">
        <f t="shared" si="10"/>
        <v/>
      </c>
      <c r="V59" s="2210" t="str">
        <f t="shared" si="11"/>
        <v/>
      </c>
      <c r="W59" s="2210" t="str">
        <f t="shared" si="12"/>
        <v/>
      </c>
    </row>
    <row r="60" spans="1:31" ht="29.25" customHeight="1">
      <c r="A60" s="2228"/>
      <c r="B60" s="2229"/>
      <c r="C60" s="2229"/>
      <c r="D60" s="2229"/>
      <c r="E60" s="2226"/>
      <c r="F60" s="2227"/>
      <c r="G60" s="2229"/>
      <c r="H60" s="2230" t="str">
        <f t="shared" si="0"/>
        <v/>
      </c>
      <c r="I60" s="2203" t="str">
        <f t="shared" si="1"/>
        <v/>
      </c>
      <c r="K60" s="2199" t="str">
        <f t="shared" si="2"/>
        <v/>
      </c>
      <c r="L60" t="str">
        <f t="shared" si="3"/>
        <v/>
      </c>
      <c r="M60" t="str">
        <f t="shared" si="4"/>
        <v/>
      </c>
      <c r="N60" t="str">
        <f t="shared" si="5"/>
        <v/>
      </c>
      <c r="O60" s="1" t="str">
        <f t="shared" si="6"/>
        <v/>
      </c>
      <c r="P60" t="str">
        <f t="shared" si="7"/>
        <v/>
      </c>
      <c r="Q60" s="2210" t="str">
        <f t="array" ref="Q60">IFERROR(INDEX($K$18:$K$109,MATCH(0,COUNTIF($Q$17:$Q59,$K$18:$K$109),0)),"")</f>
        <v/>
      </c>
      <c r="R60" s="2210"/>
      <c r="S60" s="2210" t="str">
        <f t="shared" si="8"/>
        <v/>
      </c>
      <c r="T60" s="2210" t="str">
        <f t="shared" si="9"/>
        <v/>
      </c>
      <c r="U60" s="2210" t="str">
        <f t="shared" si="10"/>
        <v/>
      </c>
      <c r="V60" s="2210" t="str">
        <f t="shared" si="11"/>
        <v/>
      </c>
      <c r="W60" s="2210" t="str">
        <f t="shared" si="12"/>
        <v/>
      </c>
    </row>
    <row r="61" spans="1:31" ht="29.25" customHeight="1">
      <c r="A61" s="2228"/>
      <c r="B61" s="2229"/>
      <c r="C61" s="2229"/>
      <c r="D61" s="2229"/>
      <c r="E61" s="2226"/>
      <c r="F61" s="2227"/>
      <c r="G61" s="2229"/>
      <c r="H61" s="2230" t="str">
        <f t="shared" si="0"/>
        <v/>
      </c>
      <c r="I61" s="2203" t="str">
        <f t="shared" si="1"/>
        <v/>
      </c>
      <c r="K61" s="2199" t="str">
        <f t="shared" si="2"/>
        <v/>
      </c>
      <c r="L61" t="str">
        <f t="shared" si="3"/>
        <v/>
      </c>
      <c r="M61" t="str">
        <f t="shared" si="4"/>
        <v/>
      </c>
      <c r="N61" t="str">
        <f t="shared" si="5"/>
        <v/>
      </c>
      <c r="O61" s="1" t="str">
        <f t="shared" si="6"/>
        <v/>
      </c>
      <c r="P61" t="str">
        <f t="shared" si="7"/>
        <v/>
      </c>
      <c r="Q61" s="2210" t="str">
        <f t="array" ref="Q61">IFERROR(INDEX($K$18:$K$109,MATCH(0,COUNTIF($Q$17:$Q60,$K$18:$K$109),0)),"")</f>
        <v/>
      </c>
      <c r="R61" s="2210"/>
      <c r="S61" s="2210" t="str">
        <f t="shared" si="8"/>
        <v/>
      </c>
      <c r="T61" s="2210" t="str">
        <f t="shared" si="9"/>
        <v/>
      </c>
      <c r="U61" s="2210" t="str">
        <f t="shared" si="10"/>
        <v/>
      </c>
      <c r="V61" s="2210" t="str">
        <f t="shared" si="11"/>
        <v/>
      </c>
      <c r="W61" s="2210" t="str">
        <f t="shared" si="12"/>
        <v/>
      </c>
    </row>
    <row r="62" spans="1:31" ht="29.25" customHeight="1">
      <c r="A62" s="2228"/>
      <c r="B62" s="2229"/>
      <c r="C62" s="2229"/>
      <c r="D62" s="2229"/>
      <c r="E62" s="2226"/>
      <c r="F62" s="2227"/>
      <c r="G62" s="2229"/>
      <c r="H62" s="2230" t="str">
        <f t="shared" si="0"/>
        <v/>
      </c>
      <c r="I62" s="2203" t="str">
        <f t="shared" si="1"/>
        <v/>
      </c>
      <c r="K62" s="2199" t="str">
        <f t="shared" si="2"/>
        <v/>
      </c>
      <c r="L62" t="str">
        <f t="shared" si="3"/>
        <v/>
      </c>
      <c r="M62" t="str">
        <f t="shared" si="4"/>
        <v/>
      </c>
      <c r="N62" t="str">
        <f t="shared" si="5"/>
        <v/>
      </c>
      <c r="O62" s="1" t="str">
        <f t="shared" si="6"/>
        <v/>
      </c>
      <c r="P62" t="str">
        <f t="shared" si="7"/>
        <v/>
      </c>
      <c r="Q62" s="2210" t="str">
        <f t="array" ref="Q62">IFERROR(INDEX($K$18:$K$109,MATCH(0,COUNTIF($Q$17:$Q61,$K$18:$K$109),0)),"")</f>
        <v/>
      </c>
      <c r="R62" s="2210"/>
      <c r="S62" s="2210" t="str">
        <f t="shared" si="8"/>
        <v/>
      </c>
      <c r="T62" s="2210" t="str">
        <f t="shared" si="9"/>
        <v/>
      </c>
      <c r="U62" s="2210" t="str">
        <f t="shared" si="10"/>
        <v/>
      </c>
      <c r="V62" s="2210" t="str">
        <f t="shared" si="11"/>
        <v/>
      </c>
      <c r="W62" s="2210" t="str">
        <f t="shared" si="12"/>
        <v/>
      </c>
    </row>
    <row r="63" spans="1:31" ht="29.25" customHeight="1">
      <c r="A63" s="2228"/>
      <c r="B63" s="2229"/>
      <c r="C63" s="2229"/>
      <c r="D63" s="2229"/>
      <c r="E63" s="2226"/>
      <c r="F63" s="2227"/>
      <c r="G63" s="2229"/>
      <c r="H63" s="2230" t="str">
        <f t="shared" si="0"/>
        <v/>
      </c>
      <c r="I63" s="2203" t="str">
        <f t="shared" si="1"/>
        <v/>
      </c>
      <c r="K63" s="2199" t="str">
        <f t="shared" si="2"/>
        <v/>
      </c>
      <c r="L63" t="str">
        <f t="shared" si="3"/>
        <v/>
      </c>
      <c r="M63" t="str">
        <f t="shared" si="4"/>
        <v/>
      </c>
      <c r="N63" t="str">
        <f t="shared" si="5"/>
        <v/>
      </c>
      <c r="O63" s="1" t="str">
        <f t="shared" si="6"/>
        <v/>
      </c>
      <c r="P63" t="str">
        <f t="shared" si="7"/>
        <v/>
      </c>
      <c r="Q63" s="2210" t="str">
        <f t="array" ref="Q63">IFERROR(INDEX($K$18:$K$109,MATCH(0,COUNTIF($Q$17:$Q62,$K$18:$K$109),0)),"")</f>
        <v/>
      </c>
      <c r="R63" s="2210"/>
      <c r="S63" s="2210" t="str">
        <f t="shared" si="8"/>
        <v/>
      </c>
      <c r="T63" s="2210" t="str">
        <f t="shared" si="9"/>
        <v/>
      </c>
      <c r="U63" s="2210" t="str">
        <f t="shared" si="10"/>
        <v/>
      </c>
      <c r="V63" s="2210" t="str">
        <f t="shared" si="11"/>
        <v/>
      </c>
      <c r="W63" s="2210" t="str">
        <f t="shared" si="12"/>
        <v/>
      </c>
    </row>
    <row r="64" spans="1:31" ht="29.25" customHeight="1">
      <c r="A64" s="2228"/>
      <c r="B64" s="2229"/>
      <c r="C64" s="2229"/>
      <c r="D64" s="2229"/>
      <c r="E64" s="2226"/>
      <c r="F64" s="2227"/>
      <c r="G64" s="2229"/>
      <c r="H64" s="2230" t="str">
        <f t="shared" si="0"/>
        <v/>
      </c>
      <c r="I64" s="2203" t="str">
        <f t="shared" si="1"/>
        <v/>
      </c>
      <c r="K64" s="2199" t="str">
        <f t="shared" si="2"/>
        <v/>
      </c>
      <c r="L64" t="str">
        <f t="shared" si="3"/>
        <v/>
      </c>
      <c r="M64" t="str">
        <f t="shared" si="4"/>
        <v/>
      </c>
      <c r="N64" t="str">
        <f t="shared" si="5"/>
        <v/>
      </c>
      <c r="O64" s="1" t="str">
        <f t="shared" si="6"/>
        <v/>
      </c>
      <c r="P64" t="str">
        <f t="shared" si="7"/>
        <v/>
      </c>
      <c r="Q64" s="2210" t="str">
        <f t="array" ref="Q64">IFERROR(INDEX($K$18:$K$109,MATCH(0,COUNTIF($Q$17:$Q63,$K$18:$K$109),0)),"")</f>
        <v/>
      </c>
      <c r="R64" s="2210"/>
      <c r="S64" s="2210" t="str">
        <f t="shared" si="8"/>
        <v/>
      </c>
      <c r="T64" s="2210" t="str">
        <f t="shared" si="9"/>
        <v/>
      </c>
      <c r="U64" s="2210" t="str">
        <f t="shared" si="10"/>
        <v/>
      </c>
      <c r="V64" s="2210" t="str">
        <f t="shared" si="11"/>
        <v/>
      </c>
      <c r="W64" s="2210" t="str">
        <f t="shared" si="12"/>
        <v/>
      </c>
    </row>
    <row r="65" spans="1:23" ht="29.25" customHeight="1">
      <c r="A65" s="2228"/>
      <c r="B65" s="2229"/>
      <c r="C65" s="2229"/>
      <c r="D65" s="2229"/>
      <c r="E65" s="2226"/>
      <c r="F65" s="2227"/>
      <c r="G65" s="2229"/>
      <c r="H65" s="2230" t="str">
        <f t="shared" si="0"/>
        <v/>
      </c>
      <c r="I65" s="2203" t="str">
        <f t="shared" si="1"/>
        <v/>
      </c>
      <c r="K65" s="2199" t="str">
        <f t="shared" si="2"/>
        <v/>
      </c>
      <c r="L65" t="str">
        <f t="shared" si="3"/>
        <v/>
      </c>
      <c r="M65" t="str">
        <f t="shared" si="4"/>
        <v/>
      </c>
      <c r="N65" t="str">
        <f t="shared" si="5"/>
        <v/>
      </c>
      <c r="O65" s="1" t="str">
        <f t="shared" si="6"/>
        <v/>
      </c>
      <c r="P65" t="str">
        <f t="shared" si="7"/>
        <v/>
      </c>
      <c r="Q65" s="2210" t="str">
        <f t="array" ref="Q65">IFERROR(INDEX($K$18:$K$109,MATCH(0,COUNTIF($Q$17:$Q64,$K$18:$K$109),0)),"")</f>
        <v/>
      </c>
      <c r="R65" s="2210"/>
      <c r="S65" s="2210" t="str">
        <f t="shared" si="8"/>
        <v/>
      </c>
      <c r="T65" s="2210" t="str">
        <f t="shared" si="9"/>
        <v/>
      </c>
      <c r="U65" s="2210" t="str">
        <f t="shared" si="10"/>
        <v/>
      </c>
      <c r="V65" s="2210" t="str">
        <f t="shared" si="11"/>
        <v/>
      </c>
      <c r="W65" s="2210" t="str">
        <f t="shared" si="12"/>
        <v/>
      </c>
    </row>
    <row r="66" spans="1:23" ht="29.25" customHeight="1">
      <c r="A66" s="2228"/>
      <c r="B66" s="2229"/>
      <c r="C66" s="2229"/>
      <c r="D66" s="2229"/>
      <c r="E66" s="2226"/>
      <c r="F66" s="2227"/>
      <c r="G66" s="2229"/>
      <c r="H66" s="2230" t="str">
        <f t="shared" si="0"/>
        <v/>
      </c>
      <c r="I66" s="2203" t="str">
        <f t="shared" si="1"/>
        <v/>
      </c>
      <c r="K66" s="2199" t="str">
        <f t="shared" si="2"/>
        <v/>
      </c>
      <c r="L66" t="str">
        <f t="shared" si="3"/>
        <v/>
      </c>
      <c r="M66" t="str">
        <f t="shared" si="4"/>
        <v/>
      </c>
      <c r="N66" t="str">
        <f t="shared" si="5"/>
        <v/>
      </c>
      <c r="O66" s="1" t="str">
        <f t="shared" si="6"/>
        <v/>
      </c>
      <c r="P66" t="str">
        <f t="shared" si="7"/>
        <v/>
      </c>
      <c r="Q66" s="2210" t="str">
        <f t="array" ref="Q66">IFERROR(INDEX($K$18:$K$109,MATCH(0,COUNTIF($Q$17:$Q65,$K$18:$K$109),0)),"")</f>
        <v/>
      </c>
      <c r="R66" s="2210"/>
      <c r="S66" s="2210" t="str">
        <f t="shared" si="8"/>
        <v/>
      </c>
      <c r="T66" s="2210" t="str">
        <f t="shared" si="9"/>
        <v/>
      </c>
      <c r="U66" s="2210" t="str">
        <f t="shared" si="10"/>
        <v/>
      </c>
      <c r="V66" s="2210" t="str">
        <f t="shared" si="11"/>
        <v/>
      </c>
      <c r="W66" s="2210" t="str">
        <f t="shared" si="12"/>
        <v/>
      </c>
    </row>
    <row r="67" spans="1:23" ht="29.25" customHeight="1">
      <c r="A67" s="2228"/>
      <c r="B67" s="2229"/>
      <c r="C67" s="2229"/>
      <c r="D67" s="2229"/>
      <c r="E67" s="2226"/>
      <c r="F67" s="2227"/>
      <c r="G67" s="2229"/>
      <c r="H67" s="2230" t="str">
        <f t="shared" si="0"/>
        <v/>
      </c>
      <c r="I67" s="2203" t="str">
        <f t="shared" si="1"/>
        <v/>
      </c>
      <c r="K67" s="2199" t="str">
        <f t="shared" si="2"/>
        <v/>
      </c>
      <c r="L67" t="str">
        <f t="shared" si="3"/>
        <v/>
      </c>
      <c r="M67" t="str">
        <f t="shared" si="4"/>
        <v/>
      </c>
      <c r="N67" t="str">
        <f t="shared" si="5"/>
        <v/>
      </c>
      <c r="O67" s="1" t="str">
        <f t="shared" si="6"/>
        <v/>
      </c>
      <c r="P67" t="str">
        <f t="shared" si="7"/>
        <v/>
      </c>
      <c r="Q67" s="2210" t="str">
        <f t="array" ref="Q67">IFERROR(INDEX($K$18:$K$109,MATCH(0,COUNTIF($Q$17:$Q66,$K$18:$K$109),0)),"")</f>
        <v/>
      </c>
      <c r="R67" s="2210"/>
      <c r="S67" s="2210" t="str">
        <f t="shared" si="8"/>
        <v/>
      </c>
      <c r="T67" s="2210" t="str">
        <f t="shared" si="9"/>
        <v/>
      </c>
      <c r="U67" s="2210" t="str">
        <f t="shared" si="10"/>
        <v/>
      </c>
      <c r="V67" s="2210" t="str">
        <f t="shared" si="11"/>
        <v/>
      </c>
      <c r="W67" s="2210" t="str">
        <f t="shared" si="12"/>
        <v/>
      </c>
    </row>
    <row r="68" spans="1:23" ht="29.25" customHeight="1">
      <c r="A68" s="2228"/>
      <c r="B68" s="2229"/>
      <c r="C68" s="2229"/>
      <c r="D68" s="2229"/>
      <c r="E68" s="2226"/>
      <c r="F68" s="2227"/>
      <c r="G68" s="2229"/>
      <c r="H68" s="2230" t="str">
        <f t="shared" si="0"/>
        <v/>
      </c>
      <c r="I68" s="2203" t="str">
        <f t="shared" si="1"/>
        <v/>
      </c>
      <c r="K68" s="2199" t="str">
        <f t="shared" si="2"/>
        <v/>
      </c>
      <c r="L68" t="str">
        <f t="shared" si="3"/>
        <v/>
      </c>
      <c r="M68" t="str">
        <f t="shared" si="4"/>
        <v/>
      </c>
      <c r="N68" t="str">
        <f t="shared" si="5"/>
        <v/>
      </c>
      <c r="O68" s="1" t="str">
        <f t="shared" si="6"/>
        <v/>
      </c>
      <c r="P68" t="str">
        <f t="shared" si="7"/>
        <v/>
      </c>
      <c r="Q68" s="2210" t="str">
        <f t="array" ref="Q68">IFERROR(INDEX($K$18:$K$109,MATCH(0,COUNTIF($Q$17:$Q67,$K$18:$K$109),0)),"")</f>
        <v/>
      </c>
      <c r="R68" s="2210"/>
      <c r="S68" s="2210" t="str">
        <f t="shared" si="8"/>
        <v/>
      </c>
      <c r="T68" s="2210" t="str">
        <f t="shared" si="9"/>
        <v/>
      </c>
      <c r="U68" s="2210" t="str">
        <f t="shared" si="10"/>
        <v/>
      </c>
      <c r="V68" s="2210" t="str">
        <f t="shared" si="11"/>
        <v/>
      </c>
      <c r="W68" s="2210" t="str">
        <f t="shared" si="12"/>
        <v/>
      </c>
    </row>
    <row r="69" spans="1:23" ht="29.25" customHeight="1">
      <c r="A69" s="2228"/>
      <c r="B69" s="2229"/>
      <c r="C69" s="2229"/>
      <c r="D69" s="2229"/>
      <c r="E69" s="2226"/>
      <c r="F69" s="2227"/>
      <c r="G69" s="2229"/>
      <c r="H69" s="2230" t="str">
        <f t="shared" si="0"/>
        <v/>
      </c>
      <c r="I69" s="2203" t="str">
        <f t="shared" si="1"/>
        <v/>
      </c>
      <c r="K69" s="2199" t="str">
        <f t="shared" si="2"/>
        <v/>
      </c>
      <c r="L69" t="str">
        <f t="shared" si="3"/>
        <v/>
      </c>
      <c r="M69" t="str">
        <f t="shared" si="4"/>
        <v/>
      </c>
      <c r="N69" t="str">
        <f t="shared" si="5"/>
        <v/>
      </c>
      <c r="O69" s="1" t="str">
        <f t="shared" si="6"/>
        <v/>
      </c>
      <c r="P69" t="str">
        <f t="shared" si="7"/>
        <v/>
      </c>
      <c r="Q69" s="2210" t="str">
        <f t="array" ref="Q69">IFERROR(INDEX($K$18:$K$109,MATCH(0,COUNTIF($Q$17:$Q68,$K$18:$K$109),0)),"")</f>
        <v/>
      </c>
      <c r="R69" s="2210"/>
      <c r="S69" s="2210" t="str">
        <f t="shared" si="8"/>
        <v/>
      </c>
      <c r="T69" s="2210" t="str">
        <f t="shared" si="9"/>
        <v/>
      </c>
      <c r="U69" s="2210" t="str">
        <f t="shared" si="10"/>
        <v/>
      </c>
      <c r="V69" s="2210" t="str">
        <f t="shared" si="11"/>
        <v/>
      </c>
      <c r="W69" s="2210" t="str">
        <f t="shared" si="12"/>
        <v/>
      </c>
    </row>
    <row r="70" spans="1:23" ht="29.25" customHeight="1">
      <c r="A70" s="2228"/>
      <c r="B70" s="2229"/>
      <c r="C70" s="2229"/>
      <c r="D70" s="2229"/>
      <c r="E70" s="2226"/>
      <c r="F70" s="2227"/>
      <c r="G70" s="2229"/>
      <c r="H70" s="2230" t="str">
        <f t="shared" si="0"/>
        <v/>
      </c>
      <c r="I70" s="2203" t="str">
        <f t="shared" si="1"/>
        <v/>
      </c>
      <c r="K70" s="2199" t="str">
        <f t="shared" si="2"/>
        <v/>
      </c>
      <c r="L70" t="str">
        <f t="shared" si="3"/>
        <v/>
      </c>
      <c r="M70" t="str">
        <f t="shared" si="4"/>
        <v/>
      </c>
      <c r="N70" t="str">
        <f t="shared" si="5"/>
        <v/>
      </c>
      <c r="O70" s="1" t="str">
        <f t="shared" si="6"/>
        <v/>
      </c>
      <c r="P70" t="str">
        <f t="shared" si="7"/>
        <v/>
      </c>
      <c r="Q70" s="2210" t="str">
        <f t="array" ref="Q70">IFERROR(INDEX($K$18:$K$109,MATCH(0,COUNTIF($Q$17:$Q69,$K$18:$K$109),0)),"")</f>
        <v/>
      </c>
      <c r="R70" s="2210"/>
      <c r="S70" s="2210" t="str">
        <f t="shared" si="8"/>
        <v/>
      </c>
      <c r="T70" s="2210" t="str">
        <f t="shared" si="9"/>
        <v/>
      </c>
      <c r="U70" s="2210" t="str">
        <f t="shared" si="10"/>
        <v/>
      </c>
      <c r="V70" s="2210" t="str">
        <f t="shared" si="11"/>
        <v/>
      </c>
      <c r="W70" s="2210" t="str">
        <f t="shared" si="12"/>
        <v/>
      </c>
    </row>
    <row r="71" spans="1:23" ht="29.25" customHeight="1">
      <c r="A71" s="2228"/>
      <c r="B71" s="2229"/>
      <c r="C71" s="2229"/>
      <c r="D71" s="2229"/>
      <c r="E71" s="2226"/>
      <c r="F71" s="2227"/>
      <c r="G71" s="2229"/>
      <c r="H71" s="2230" t="str">
        <f t="shared" si="0"/>
        <v/>
      </c>
      <c r="I71" s="2203" t="str">
        <f t="shared" si="1"/>
        <v/>
      </c>
      <c r="K71" s="2199" t="str">
        <f t="shared" si="2"/>
        <v/>
      </c>
      <c r="L71" t="str">
        <f t="shared" si="3"/>
        <v/>
      </c>
      <c r="M71" t="str">
        <f t="shared" si="4"/>
        <v/>
      </c>
      <c r="N71" t="str">
        <f t="shared" si="5"/>
        <v/>
      </c>
      <c r="O71" s="1" t="str">
        <f t="shared" si="6"/>
        <v/>
      </c>
      <c r="P71" t="str">
        <f t="shared" si="7"/>
        <v/>
      </c>
      <c r="Q71" s="2210" t="str">
        <f t="array" ref="Q71">IFERROR(INDEX($K$18:$K$109,MATCH(0,COUNTIF($Q$17:$Q70,$K$18:$K$109),0)),"")</f>
        <v/>
      </c>
      <c r="R71" s="2210"/>
      <c r="S71" s="2210" t="str">
        <f t="shared" si="8"/>
        <v/>
      </c>
      <c r="T71" s="2210" t="str">
        <f t="shared" si="9"/>
        <v/>
      </c>
      <c r="U71" s="2210" t="str">
        <f t="shared" si="10"/>
        <v/>
      </c>
      <c r="V71" s="2210" t="str">
        <f t="shared" si="11"/>
        <v/>
      </c>
      <c r="W71" s="2210" t="str">
        <f t="shared" si="12"/>
        <v/>
      </c>
    </row>
    <row r="72" spans="1:23" ht="29.25" customHeight="1">
      <c r="A72" s="2228"/>
      <c r="B72" s="2229"/>
      <c r="C72" s="2229"/>
      <c r="D72" s="2229"/>
      <c r="E72" s="2226"/>
      <c r="F72" s="2227"/>
      <c r="G72" s="2229"/>
      <c r="H72" s="2230" t="str">
        <f t="shared" si="0"/>
        <v/>
      </c>
      <c r="I72" s="2203" t="str">
        <f t="shared" si="1"/>
        <v/>
      </c>
      <c r="K72" s="2199" t="str">
        <f t="shared" si="2"/>
        <v/>
      </c>
      <c r="L72" t="str">
        <f t="shared" si="3"/>
        <v/>
      </c>
      <c r="M72" t="str">
        <f t="shared" si="4"/>
        <v/>
      </c>
      <c r="N72" t="str">
        <f t="shared" si="5"/>
        <v/>
      </c>
      <c r="O72" s="1" t="str">
        <f t="shared" si="6"/>
        <v/>
      </c>
      <c r="P72" t="str">
        <f t="shared" si="7"/>
        <v/>
      </c>
      <c r="Q72" s="2210" t="str">
        <f t="array" ref="Q72">IFERROR(INDEX($K$18:$K$109,MATCH(0,COUNTIF($Q$17:$Q71,$K$18:$K$109),0)),"")</f>
        <v/>
      </c>
      <c r="R72" s="2210"/>
      <c r="S72" s="2210" t="str">
        <f t="shared" si="8"/>
        <v/>
      </c>
      <c r="T72" s="2210" t="str">
        <f t="shared" si="9"/>
        <v/>
      </c>
      <c r="U72" s="2210" t="str">
        <f t="shared" si="10"/>
        <v/>
      </c>
      <c r="V72" s="2210" t="str">
        <f t="shared" si="11"/>
        <v/>
      </c>
      <c r="W72" s="2210" t="str">
        <f t="shared" si="12"/>
        <v/>
      </c>
    </row>
    <row r="73" spans="1:23" ht="29.25" customHeight="1">
      <c r="A73" s="2228"/>
      <c r="B73" s="2229"/>
      <c r="C73" s="2229"/>
      <c r="D73" s="2229"/>
      <c r="E73" s="2226"/>
      <c r="F73" s="2227"/>
      <c r="G73" s="2229"/>
      <c r="H73" s="2230" t="str">
        <f t="shared" si="0"/>
        <v/>
      </c>
      <c r="I73" s="2203" t="str">
        <f t="shared" si="1"/>
        <v/>
      </c>
      <c r="K73" s="2199" t="str">
        <f t="shared" si="2"/>
        <v/>
      </c>
      <c r="L73" t="str">
        <f t="shared" si="3"/>
        <v/>
      </c>
      <c r="M73" t="str">
        <f t="shared" si="4"/>
        <v/>
      </c>
      <c r="N73" t="str">
        <f t="shared" si="5"/>
        <v/>
      </c>
      <c r="O73" s="1" t="str">
        <f t="shared" si="6"/>
        <v/>
      </c>
      <c r="P73" t="str">
        <f t="shared" si="7"/>
        <v/>
      </c>
      <c r="Q73" s="2210" t="str">
        <f t="array" ref="Q73">IFERROR(INDEX($K$18:$K$109,MATCH(0,COUNTIF($Q$17:$Q72,$K$18:$K$109),0)),"")</f>
        <v/>
      </c>
      <c r="R73" s="2210"/>
      <c r="S73" s="2210" t="str">
        <f t="shared" si="8"/>
        <v/>
      </c>
      <c r="T73" s="2210" t="str">
        <f t="shared" si="9"/>
        <v/>
      </c>
      <c r="U73" s="2210" t="str">
        <f t="shared" si="10"/>
        <v/>
      </c>
      <c r="V73" s="2210" t="str">
        <f t="shared" si="11"/>
        <v/>
      </c>
      <c r="W73" s="2210" t="str">
        <f t="shared" si="12"/>
        <v/>
      </c>
    </row>
    <row r="74" spans="1:23" ht="29.25" customHeight="1">
      <c r="A74" s="2228"/>
      <c r="B74" s="2229"/>
      <c r="C74" s="2229"/>
      <c r="D74" s="2229"/>
      <c r="E74" s="2226"/>
      <c r="F74" s="2227"/>
      <c r="G74" s="2229"/>
      <c r="H74" s="2230" t="str">
        <f t="shared" si="0"/>
        <v/>
      </c>
      <c r="I74" s="2203" t="str">
        <f t="shared" si="1"/>
        <v/>
      </c>
      <c r="K74" s="2199" t="str">
        <f t="shared" si="2"/>
        <v/>
      </c>
      <c r="L74" t="str">
        <f t="shared" si="3"/>
        <v/>
      </c>
      <c r="M74" t="str">
        <f t="shared" si="4"/>
        <v/>
      </c>
      <c r="N74" t="str">
        <f t="shared" si="5"/>
        <v/>
      </c>
      <c r="O74" s="1" t="str">
        <f t="shared" si="6"/>
        <v/>
      </c>
      <c r="P74" t="str">
        <f t="shared" si="7"/>
        <v/>
      </c>
      <c r="Q74" s="2210" t="str">
        <f t="array" ref="Q74">IFERROR(INDEX($K$18:$K$109,MATCH(0,COUNTIF($Q$17:$Q73,$K$18:$K$109),0)),"")</f>
        <v/>
      </c>
      <c r="R74" s="2210"/>
      <c r="S74" s="2210" t="str">
        <f t="shared" si="8"/>
        <v/>
      </c>
      <c r="T74" s="2210" t="str">
        <f t="shared" si="9"/>
        <v/>
      </c>
      <c r="U74" s="2210" t="str">
        <f t="shared" si="10"/>
        <v/>
      </c>
      <c r="V74" s="2210" t="str">
        <f t="shared" si="11"/>
        <v/>
      </c>
      <c r="W74" s="2210" t="str">
        <f t="shared" si="12"/>
        <v/>
      </c>
    </row>
    <row r="75" spans="1:23" ht="29.25" customHeight="1">
      <c r="A75" s="2228"/>
      <c r="B75" s="2229"/>
      <c r="C75" s="2229"/>
      <c r="D75" s="2229"/>
      <c r="E75" s="2226"/>
      <c r="F75" s="2227"/>
      <c r="G75" s="2229"/>
      <c r="H75" s="2230" t="str">
        <f t="shared" si="0"/>
        <v/>
      </c>
      <c r="I75" s="2203" t="str">
        <f t="shared" si="1"/>
        <v/>
      </c>
      <c r="K75" s="2199" t="str">
        <f t="shared" si="2"/>
        <v/>
      </c>
      <c r="L75" t="str">
        <f t="shared" si="3"/>
        <v/>
      </c>
      <c r="M75" t="str">
        <f t="shared" si="4"/>
        <v/>
      </c>
      <c r="N75" t="str">
        <f t="shared" si="5"/>
        <v/>
      </c>
      <c r="O75" s="1" t="str">
        <f t="shared" si="6"/>
        <v/>
      </c>
      <c r="P75" t="str">
        <f t="shared" si="7"/>
        <v/>
      </c>
      <c r="Q75" s="2210" t="str">
        <f t="array" ref="Q75">IFERROR(INDEX($K$18:$K$109,MATCH(0,COUNTIF($Q$17:$Q74,$K$18:$K$109),0)),"")</f>
        <v/>
      </c>
      <c r="R75" s="2210"/>
      <c r="S75" s="2210" t="str">
        <f t="shared" si="8"/>
        <v/>
      </c>
      <c r="T75" s="2210" t="str">
        <f t="shared" si="9"/>
        <v/>
      </c>
      <c r="U75" s="2210" t="str">
        <f t="shared" si="10"/>
        <v/>
      </c>
      <c r="V75" s="2210" t="str">
        <f t="shared" si="11"/>
        <v/>
      </c>
      <c r="W75" s="2210" t="str">
        <f t="shared" si="12"/>
        <v/>
      </c>
    </row>
    <row r="76" spans="1:23" ht="29.25" customHeight="1">
      <c r="A76" s="2228"/>
      <c r="B76" s="2229"/>
      <c r="C76" s="2229"/>
      <c r="D76" s="2229"/>
      <c r="E76" s="2226"/>
      <c r="F76" s="2227"/>
      <c r="G76" s="2229"/>
      <c r="H76" s="2230" t="str">
        <f t="shared" si="0"/>
        <v/>
      </c>
      <c r="I76" s="2203" t="str">
        <f t="shared" si="1"/>
        <v/>
      </c>
      <c r="K76" s="2199" t="str">
        <f t="shared" si="2"/>
        <v/>
      </c>
      <c r="L76" t="str">
        <f t="shared" si="3"/>
        <v/>
      </c>
      <c r="M76" t="str">
        <f t="shared" si="4"/>
        <v/>
      </c>
      <c r="N76" t="str">
        <f t="shared" si="5"/>
        <v/>
      </c>
      <c r="O76" s="1" t="str">
        <f t="shared" si="6"/>
        <v/>
      </c>
      <c r="P76" t="str">
        <f t="shared" si="7"/>
        <v/>
      </c>
      <c r="Q76" s="2210" t="str">
        <f t="array" ref="Q76">IFERROR(INDEX($K$18:$K$109,MATCH(0,COUNTIF($Q$17:$Q75,$K$18:$K$109),0)),"")</f>
        <v/>
      </c>
      <c r="R76" s="2210"/>
      <c r="S76" s="2210" t="str">
        <f t="shared" si="8"/>
        <v/>
      </c>
      <c r="T76" s="2210" t="str">
        <f t="shared" si="9"/>
        <v/>
      </c>
      <c r="U76" s="2210" t="str">
        <f t="shared" si="10"/>
        <v/>
      </c>
      <c r="V76" s="2210" t="str">
        <f t="shared" si="11"/>
        <v/>
      </c>
      <c r="W76" s="2210" t="str">
        <f t="shared" si="12"/>
        <v/>
      </c>
    </row>
    <row r="77" spans="1:23" ht="29.25" customHeight="1">
      <c r="A77" s="2228"/>
      <c r="B77" s="2229"/>
      <c r="C77" s="2229"/>
      <c r="D77" s="2229"/>
      <c r="E77" s="2226"/>
      <c r="F77" s="2227"/>
      <c r="G77" s="2229"/>
      <c r="H77" s="2230" t="str">
        <f t="shared" si="0"/>
        <v/>
      </c>
      <c r="I77" s="2203" t="str">
        <f t="shared" si="1"/>
        <v/>
      </c>
      <c r="K77" s="2199" t="str">
        <f t="shared" si="2"/>
        <v/>
      </c>
      <c r="L77" t="str">
        <f t="shared" si="3"/>
        <v/>
      </c>
      <c r="M77" t="str">
        <f t="shared" si="4"/>
        <v/>
      </c>
      <c r="N77" t="str">
        <f t="shared" si="5"/>
        <v/>
      </c>
      <c r="O77" s="1" t="str">
        <f t="shared" si="6"/>
        <v/>
      </c>
      <c r="P77" t="str">
        <f t="shared" si="7"/>
        <v/>
      </c>
      <c r="Q77" s="2210" t="str">
        <f t="array" ref="Q77">IFERROR(INDEX($K$18:$K$109,MATCH(0,COUNTIF($Q$17:$Q76,$K$18:$K$109),0)),"")</f>
        <v/>
      </c>
      <c r="R77" s="2210"/>
      <c r="S77" s="2210" t="str">
        <f t="shared" si="8"/>
        <v/>
      </c>
      <c r="T77" s="2210" t="str">
        <f t="shared" si="9"/>
        <v/>
      </c>
      <c r="U77" s="2210" t="str">
        <f t="shared" si="10"/>
        <v/>
      </c>
      <c r="V77" s="2210" t="str">
        <f t="shared" si="11"/>
        <v/>
      </c>
      <c r="W77" s="2210" t="str">
        <f t="shared" si="12"/>
        <v/>
      </c>
    </row>
    <row r="78" spans="1:23" ht="29.25" customHeight="1">
      <c r="A78" s="2228"/>
      <c r="B78" s="2229"/>
      <c r="C78" s="2229"/>
      <c r="D78" s="2229"/>
      <c r="E78" s="2226"/>
      <c r="F78" s="2227"/>
      <c r="G78" s="2229"/>
      <c r="H78" s="2230" t="str">
        <f t="shared" si="0"/>
        <v/>
      </c>
      <c r="I78" s="2203" t="str">
        <f t="shared" si="1"/>
        <v/>
      </c>
      <c r="K78" s="2199" t="str">
        <f t="shared" si="2"/>
        <v/>
      </c>
      <c r="L78" t="str">
        <f t="shared" si="3"/>
        <v/>
      </c>
      <c r="M78" t="str">
        <f t="shared" si="4"/>
        <v/>
      </c>
      <c r="N78" t="str">
        <f t="shared" si="5"/>
        <v/>
      </c>
      <c r="O78" s="1" t="str">
        <f t="shared" si="6"/>
        <v/>
      </c>
      <c r="P78" t="str">
        <f t="shared" si="7"/>
        <v/>
      </c>
      <c r="Q78" s="2210" t="str">
        <f t="array" ref="Q78">IFERROR(INDEX($K$18:$K$109,MATCH(0,COUNTIF($Q$17:$Q77,$K$18:$K$109),0)),"")</f>
        <v/>
      </c>
      <c r="R78" s="2210"/>
      <c r="S78" s="2210" t="str">
        <f t="shared" si="8"/>
        <v/>
      </c>
      <c r="T78" s="2210" t="str">
        <f t="shared" si="9"/>
        <v/>
      </c>
      <c r="U78" s="2210" t="str">
        <f t="shared" si="10"/>
        <v/>
      </c>
      <c r="V78" s="2210" t="str">
        <f t="shared" si="11"/>
        <v/>
      </c>
      <c r="W78" s="2210" t="str">
        <f t="shared" si="12"/>
        <v/>
      </c>
    </row>
    <row r="79" spans="1:23" ht="29.25" customHeight="1">
      <c r="A79" s="2228"/>
      <c r="B79" s="2229"/>
      <c r="C79" s="2229"/>
      <c r="D79" s="2229"/>
      <c r="E79" s="2226"/>
      <c r="F79" s="2227"/>
      <c r="G79" s="2229"/>
      <c r="H79" s="2230" t="str">
        <f t="shared" si="0"/>
        <v/>
      </c>
      <c r="I79" s="2203" t="str">
        <f t="shared" si="1"/>
        <v/>
      </c>
      <c r="K79" s="2199" t="str">
        <f t="shared" si="2"/>
        <v/>
      </c>
      <c r="L79" t="str">
        <f t="shared" si="3"/>
        <v/>
      </c>
      <c r="M79" t="str">
        <f t="shared" si="4"/>
        <v/>
      </c>
      <c r="N79" t="str">
        <f t="shared" si="5"/>
        <v/>
      </c>
      <c r="O79" s="1" t="str">
        <f t="shared" si="6"/>
        <v/>
      </c>
      <c r="P79" t="str">
        <f t="shared" si="7"/>
        <v/>
      </c>
      <c r="Q79" s="2210" t="str">
        <f t="array" ref="Q79">IFERROR(INDEX($K$18:$K$109,MATCH(0,COUNTIF($Q$17:$Q78,$K$18:$K$109),0)),"")</f>
        <v/>
      </c>
      <c r="R79" s="2210"/>
      <c r="S79" s="2210" t="str">
        <f t="shared" si="8"/>
        <v/>
      </c>
      <c r="T79" s="2210" t="str">
        <f t="shared" si="9"/>
        <v/>
      </c>
      <c r="U79" s="2210" t="str">
        <f t="shared" si="10"/>
        <v/>
      </c>
      <c r="V79" s="2210" t="str">
        <f t="shared" si="11"/>
        <v/>
      </c>
      <c r="W79" s="2210" t="str">
        <f t="shared" si="12"/>
        <v/>
      </c>
    </row>
    <row r="80" spans="1:23" ht="29.25" customHeight="1">
      <c r="A80" s="2228"/>
      <c r="B80" s="2229"/>
      <c r="C80" s="2229"/>
      <c r="D80" s="2229"/>
      <c r="E80" s="2226"/>
      <c r="F80" s="2227"/>
      <c r="G80" s="2229"/>
      <c r="H80" s="2230" t="str">
        <f t="shared" si="0"/>
        <v/>
      </c>
      <c r="I80" s="2203" t="str">
        <f t="shared" si="1"/>
        <v/>
      </c>
      <c r="K80" s="2199" t="str">
        <f t="shared" si="2"/>
        <v/>
      </c>
      <c r="L80" t="str">
        <f t="shared" si="3"/>
        <v/>
      </c>
      <c r="M80" t="str">
        <f t="shared" si="4"/>
        <v/>
      </c>
      <c r="N80" t="str">
        <f t="shared" si="5"/>
        <v/>
      </c>
      <c r="O80" s="1" t="str">
        <f t="shared" si="6"/>
        <v/>
      </c>
      <c r="P80" t="str">
        <f t="shared" si="7"/>
        <v/>
      </c>
      <c r="Q80" s="2210" t="str">
        <f t="array" ref="Q80">IFERROR(INDEX($K$18:$K$109,MATCH(0,COUNTIF($Q$17:$Q79,$K$18:$K$109),0)),"")</f>
        <v/>
      </c>
      <c r="R80" s="2210"/>
      <c r="S80" s="2210" t="str">
        <f t="shared" si="8"/>
        <v/>
      </c>
      <c r="T80" s="2210" t="str">
        <f t="shared" si="9"/>
        <v/>
      </c>
      <c r="U80" s="2210" t="str">
        <f t="shared" si="10"/>
        <v/>
      </c>
      <c r="V80" s="2210" t="str">
        <f t="shared" si="11"/>
        <v/>
      </c>
      <c r="W80" s="2210" t="str">
        <f t="shared" si="12"/>
        <v/>
      </c>
    </row>
    <row r="81" spans="1:23" ht="29.25" customHeight="1">
      <c r="A81" s="2228"/>
      <c r="B81" s="2229"/>
      <c r="C81" s="2229"/>
      <c r="D81" s="2229"/>
      <c r="E81" s="2226"/>
      <c r="F81" s="2227"/>
      <c r="G81" s="2229"/>
      <c r="H81" s="2230" t="str">
        <f t="shared" si="0"/>
        <v/>
      </c>
      <c r="I81" s="2203" t="str">
        <f t="shared" si="1"/>
        <v/>
      </c>
      <c r="K81" s="2199" t="str">
        <f t="shared" si="2"/>
        <v/>
      </c>
      <c r="L81" t="str">
        <f t="shared" si="3"/>
        <v/>
      </c>
      <c r="M81" t="str">
        <f t="shared" si="4"/>
        <v/>
      </c>
      <c r="N81" t="str">
        <f t="shared" si="5"/>
        <v/>
      </c>
      <c r="O81" s="1" t="str">
        <f t="shared" si="6"/>
        <v/>
      </c>
      <c r="P81" t="str">
        <f t="shared" si="7"/>
        <v/>
      </c>
      <c r="Q81" s="2210" t="str">
        <f t="array" ref="Q81">IFERROR(INDEX($K$18:$K$109,MATCH(0,COUNTIF($Q$17:$Q80,$K$18:$K$109),0)),"")</f>
        <v/>
      </c>
      <c r="R81" s="2210"/>
      <c r="S81" s="2210" t="str">
        <f t="shared" si="8"/>
        <v/>
      </c>
      <c r="T81" s="2210" t="str">
        <f t="shared" si="9"/>
        <v/>
      </c>
      <c r="U81" s="2210" t="str">
        <f t="shared" si="10"/>
        <v/>
      </c>
      <c r="V81" s="2210" t="str">
        <f t="shared" si="11"/>
        <v/>
      </c>
      <c r="W81" s="2210" t="str">
        <f t="shared" si="12"/>
        <v/>
      </c>
    </row>
    <row r="82" spans="1:23" ht="29.25" customHeight="1">
      <c r="A82" s="2228"/>
      <c r="B82" s="2229"/>
      <c r="C82" s="2229"/>
      <c r="D82" s="2229"/>
      <c r="E82" s="2226"/>
      <c r="F82" s="2227"/>
      <c r="G82" s="2229"/>
      <c r="H82" s="2230" t="str">
        <f t="shared" si="0"/>
        <v/>
      </c>
      <c r="I82" s="2203" t="str">
        <f t="shared" si="1"/>
        <v/>
      </c>
      <c r="K82" s="2199" t="str">
        <f t="shared" si="2"/>
        <v/>
      </c>
      <c r="L82" t="str">
        <f t="shared" si="3"/>
        <v/>
      </c>
      <c r="M82" t="str">
        <f t="shared" si="4"/>
        <v/>
      </c>
      <c r="N82" t="str">
        <f t="shared" si="5"/>
        <v/>
      </c>
      <c r="O82" s="1" t="str">
        <f t="shared" si="6"/>
        <v/>
      </c>
      <c r="P82" t="str">
        <f t="shared" si="7"/>
        <v/>
      </c>
      <c r="Q82" s="2210" t="str">
        <f t="array" ref="Q82">IFERROR(INDEX($K$18:$K$109,MATCH(0,COUNTIF($Q$17:$Q81,$K$18:$K$109),0)),"")</f>
        <v/>
      </c>
      <c r="R82" s="2210"/>
      <c r="S82" s="2210" t="str">
        <f t="shared" si="8"/>
        <v/>
      </c>
      <c r="T82" s="2210" t="str">
        <f t="shared" si="9"/>
        <v/>
      </c>
      <c r="U82" s="2210" t="str">
        <f t="shared" si="10"/>
        <v/>
      </c>
      <c r="V82" s="2210" t="str">
        <f t="shared" si="11"/>
        <v/>
      </c>
      <c r="W82" s="2210" t="str">
        <f t="shared" si="12"/>
        <v/>
      </c>
    </row>
    <row r="83" spans="1:23" ht="29.25" customHeight="1">
      <c r="A83" s="2228"/>
      <c r="B83" s="2229"/>
      <c r="C83" s="2229"/>
      <c r="D83" s="2229"/>
      <c r="E83" s="2226"/>
      <c r="F83" s="2227"/>
      <c r="G83" s="2229"/>
      <c r="H83" s="2230" t="str">
        <f t="shared" ref="H83:H109" si="13">IF(AND($B83&gt;0,$F83&lt;&gt;"",$G83&gt;0,$C$13&gt;0),$C$13,"")</f>
        <v/>
      </c>
      <c r="I83" s="2203" t="str">
        <f t="shared" ref="I83:I109" si="14">IF(AND($C$13="",$H83="",$B83&lt;&gt;"",E83&lt;&gt;"",F83&lt;&gt;"",G83&lt;&gt;""),"Nitratgehalt muss noch eingetragen werden",IF(AND($B83&lt;&gt;"",$F83&lt;&gt;"",$G83&gt;0,$H83&gt;0),ROUND(($H83/4.43)*($G83/100),2),""))</f>
        <v/>
      </c>
      <c r="K83" s="2199" t="str">
        <f t="shared" ref="K83:K109" si="15">IF(AND($B83&lt;&gt;"",$E83&lt;&gt;"",$D83&lt;&gt;"",$F83&lt;&gt;"",$G83&lt;&gt;"",$H83&lt;&gt;""),CONCATENATE($B83,"/",$D83),IF(AND($B83&lt;&gt;"",ISBLANK($D83),$E83&lt;&gt;"",$F83&lt;&gt;"",$G83&lt;&gt;"",$H83&lt;&gt;""),$B83,""))</f>
        <v/>
      </c>
      <c r="L83" t="str">
        <f t="shared" ref="L83:L109" si="16">IF(AND($B83&lt;&gt;"",$F83&lt;&gt;"",$E83&lt;&gt;"",$G83&lt;&gt;"",$H83&lt;&gt;""),$E83,"")</f>
        <v/>
      </c>
      <c r="M83" t="str">
        <f t="shared" ref="M83:M109" si="17">IF(AND($B83&lt;&gt;"",$C83&lt;&gt;"",$E83&lt;&gt;"",$F83&lt;&gt;"",$G83&lt;&gt;"",$H83&lt;&gt;""),$C83,"")</f>
        <v/>
      </c>
      <c r="N83" t="str">
        <f t="shared" ref="N83:N109" si="18">IF(AND($B83&lt;&gt;"",$F83&lt;&gt;"",$E83&lt;&gt;"",$G83&lt;&gt;"",$H83&lt;&gt;""),$F83,"")</f>
        <v/>
      </c>
      <c r="O83" s="1" t="str">
        <f t="shared" ref="O83:O109" si="19">IF(AND($B83&lt;&gt;"",$F83&lt;&gt;"",$E83&lt;&gt;"",$G83&lt;&gt;"",$H83&lt;&gt;""),$I83,"")</f>
        <v/>
      </c>
      <c r="P83" t="str">
        <f t="shared" ref="P83:P109" si="20">IF(AND($B83&lt;&gt;"",$F83&lt;&gt;"",$G83&lt;&gt;"",$E83&lt;&gt;"",$H83&lt;&gt;""),$G83,"")</f>
        <v/>
      </c>
      <c r="Q83" s="2210" t="str">
        <f t="array" ref="Q83">IFERROR(INDEX($K$18:$K$109,MATCH(0,COUNTIF($Q$17:$Q82,$K$18:$K$109),0)),"")</f>
        <v/>
      </c>
      <c r="R83" s="2210"/>
      <c r="S83" s="2210" t="str">
        <f t="shared" ref="S83:S109" si="21">VLOOKUP($Q83,$K$18:$O$109,2,0)</f>
        <v/>
      </c>
      <c r="T83" s="2210" t="str">
        <f t="shared" ref="T83:T109" si="22">VLOOKUP($Q83,$K$18:$O$109,4,0)</f>
        <v/>
      </c>
      <c r="U83" s="2210" t="str">
        <f t="shared" ref="U83:U109" si="23">IF(SUMIF($K$18:$K$109,$Q83,$P$18:$P$109)=0,"",SUMIF($K$18:$K$109,$Q83,$P$18:$P$109))</f>
        <v/>
      </c>
      <c r="V83" s="2210" t="str">
        <f t="shared" ref="V83:V109" si="24">IF(SUMIF($K$18:$K$109,$Q83,$O$18:$O$109)=0,"",SUMIF($K$18:$K$109,$Q83,$O$18:$O$109))</f>
        <v/>
      </c>
      <c r="W83" s="2210" t="str">
        <f t="shared" ref="W83:W109" si="25">IFERROR(IF($V83&gt;=10,ROUND($V83*$S83,2),""),"")</f>
        <v/>
      </c>
    </row>
    <row r="84" spans="1:23" ht="29.25" customHeight="1">
      <c r="A84" s="2228"/>
      <c r="B84" s="2229"/>
      <c r="C84" s="2229"/>
      <c r="D84" s="2229"/>
      <c r="E84" s="2226"/>
      <c r="F84" s="2227"/>
      <c r="G84" s="2229"/>
      <c r="H84" s="2230" t="str">
        <f t="shared" si="13"/>
        <v/>
      </c>
      <c r="I84" s="2203" t="str">
        <f t="shared" si="14"/>
        <v/>
      </c>
      <c r="K84" s="2199" t="str">
        <f t="shared" si="15"/>
        <v/>
      </c>
      <c r="L84" t="str">
        <f t="shared" si="16"/>
        <v/>
      </c>
      <c r="M84" t="str">
        <f t="shared" si="17"/>
        <v/>
      </c>
      <c r="N84" t="str">
        <f t="shared" si="18"/>
        <v/>
      </c>
      <c r="O84" s="1" t="str">
        <f t="shared" si="19"/>
        <v/>
      </c>
      <c r="P84" t="str">
        <f t="shared" si="20"/>
        <v/>
      </c>
      <c r="Q84" s="2210" t="str">
        <f t="array" ref="Q84">IFERROR(INDEX($K$18:$K$109,MATCH(0,COUNTIF($Q$17:$Q83,$K$18:$K$109),0)),"")</f>
        <v/>
      </c>
      <c r="R84" s="2210"/>
      <c r="S84" s="2210" t="str">
        <f t="shared" si="21"/>
        <v/>
      </c>
      <c r="T84" s="2210" t="str">
        <f t="shared" si="22"/>
        <v/>
      </c>
      <c r="U84" s="2210" t="str">
        <f t="shared" si="23"/>
        <v/>
      </c>
      <c r="V84" s="2210" t="str">
        <f t="shared" si="24"/>
        <v/>
      </c>
      <c r="W84" s="2210" t="str">
        <f t="shared" si="25"/>
        <v/>
      </c>
    </row>
    <row r="85" spans="1:23" ht="29.25" customHeight="1">
      <c r="A85" s="2228"/>
      <c r="B85" s="2229"/>
      <c r="C85" s="2229"/>
      <c r="D85" s="2229"/>
      <c r="E85" s="2226"/>
      <c r="F85" s="2227"/>
      <c r="G85" s="2229"/>
      <c r="H85" s="2230" t="str">
        <f t="shared" si="13"/>
        <v/>
      </c>
      <c r="I85" s="2203" t="str">
        <f t="shared" si="14"/>
        <v/>
      </c>
      <c r="K85" s="2199" t="str">
        <f t="shared" si="15"/>
        <v/>
      </c>
      <c r="L85" t="str">
        <f t="shared" si="16"/>
        <v/>
      </c>
      <c r="M85" t="str">
        <f t="shared" si="17"/>
        <v/>
      </c>
      <c r="N85" t="str">
        <f t="shared" si="18"/>
        <v/>
      </c>
      <c r="O85" s="1" t="str">
        <f t="shared" si="19"/>
        <v/>
      </c>
      <c r="P85" t="str">
        <f t="shared" si="20"/>
        <v/>
      </c>
      <c r="Q85" s="2210" t="str">
        <f t="array" ref="Q85">IFERROR(INDEX($K$18:$K$109,MATCH(0,COUNTIF($Q$17:$Q84,$K$18:$K$109),0)),"")</f>
        <v/>
      </c>
      <c r="R85" s="2210"/>
      <c r="S85" s="2210" t="str">
        <f t="shared" si="21"/>
        <v/>
      </c>
      <c r="T85" s="2210" t="str">
        <f t="shared" si="22"/>
        <v/>
      </c>
      <c r="U85" s="2210" t="str">
        <f t="shared" si="23"/>
        <v/>
      </c>
      <c r="V85" s="2210" t="str">
        <f t="shared" si="24"/>
        <v/>
      </c>
      <c r="W85" s="2210" t="str">
        <f t="shared" si="25"/>
        <v/>
      </c>
    </row>
    <row r="86" spans="1:23" ht="29.25" customHeight="1">
      <c r="A86" s="2228"/>
      <c r="B86" s="2229"/>
      <c r="C86" s="2229"/>
      <c r="D86" s="2229"/>
      <c r="E86" s="2226"/>
      <c r="F86" s="2227"/>
      <c r="G86" s="2229"/>
      <c r="H86" s="2230" t="str">
        <f t="shared" si="13"/>
        <v/>
      </c>
      <c r="I86" s="2203" t="str">
        <f t="shared" si="14"/>
        <v/>
      </c>
      <c r="K86" s="2199" t="str">
        <f t="shared" si="15"/>
        <v/>
      </c>
      <c r="L86" t="str">
        <f t="shared" si="16"/>
        <v/>
      </c>
      <c r="M86" t="str">
        <f t="shared" si="17"/>
        <v/>
      </c>
      <c r="N86" t="str">
        <f t="shared" si="18"/>
        <v/>
      </c>
      <c r="O86" s="1" t="str">
        <f t="shared" si="19"/>
        <v/>
      </c>
      <c r="P86" t="str">
        <f t="shared" si="20"/>
        <v/>
      </c>
      <c r="Q86" s="2210" t="str">
        <f t="array" ref="Q86">IFERROR(INDEX($K$18:$K$109,MATCH(0,COUNTIF($Q$17:$Q85,$K$18:$K$109),0)),"")</f>
        <v/>
      </c>
      <c r="R86" s="2210"/>
      <c r="S86" s="2210" t="str">
        <f t="shared" si="21"/>
        <v/>
      </c>
      <c r="T86" s="2210" t="str">
        <f t="shared" si="22"/>
        <v/>
      </c>
      <c r="U86" s="2210" t="str">
        <f t="shared" si="23"/>
        <v/>
      </c>
      <c r="V86" s="2210" t="str">
        <f t="shared" si="24"/>
        <v/>
      </c>
      <c r="W86" s="2210" t="str">
        <f t="shared" si="25"/>
        <v/>
      </c>
    </row>
    <row r="87" spans="1:23" ht="29.25" customHeight="1">
      <c r="A87" s="2228"/>
      <c r="B87" s="2229"/>
      <c r="C87" s="2229"/>
      <c r="D87" s="2229"/>
      <c r="E87" s="2226"/>
      <c r="F87" s="2227"/>
      <c r="G87" s="2229"/>
      <c r="H87" s="2230" t="str">
        <f t="shared" si="13"/>
        <v/>
      </c>
      <c r="I87" s="2203" t="str">
        <f t="shared" si="14"/>
        <v/>
      </c>
      <c r="K87" s="2199" t="str">
        <f t="shared" si="15"/>
        <v/>
      </c>
      <c r="L87" t="str">
        <f t="shared" si="16"/>
        <v/>
      </c>
      <c r="M87" t="str">
        <f t="shared" si="17"/>
        <v/>
      </c>
      <c r="N87" t="str">
        <f t="shared" si="18"/>
        <v/>
      </c>
      <c r="O87" s="1" t="str">
        <f t="shared" si="19"/>
        <v/>
      </c>
      <c r="P87" t="str">
        <f t="shared" si="20"/>
        <v/>
      </c>
      <c r="Q87" s="2210" t="str">
        <f t="array" ref="Q87">IFERROR(INDEX($K$18:$K$109,MATCH(0,COUNTIF($Q$17:$Q86,$K$18:$K$109),0)),"")</f>
        <v/>
      </c>
      <c r="R87" s="2210"/>
      <c r="S87" s="2210" t="str">
        <f t="shared" si="21"/>
        <v/>
      </c>
      <c r="T87" s="2210" t="str">
        <f t="shared" si="22"/>
        <v/>
      </c>
      <c r="U87" s="2210" t="str">
        <f t="shared" si="23"/>
        <v/>
      </c>
      <c r="V87" s="2210" t="str">
        <f t="shared" si="24"/>
        <v/>
      </c>
      <c r="W87" s="2210" t="str">
        <f t="shared" si="25"/>
        <v/>
      </c>
    </row>
    <row r="88" spans="1:23" ht="29.25" customHeight="1">
      <c r="A88" s="2228"/>
      <c r="B88" s="2229"/>
      <c r="C88" s="2229"/>
      <c r="D88" s="2229"/>
      <c r="E88" s="2226"/>
      <c r="F88" s="2227"/>
      <c r="G88" s="2229"/>
      <c r="H88" s="2230" t="str">
        <f t="shared" si="13"/>
        <v/>
      </c>
      <c r="I88" s="2203" t="str">
        <f t="shared" si="14"/>
        <v/>
      </c>
      <c r="K88" s="2199" t="str">
        <f t="shared" si="15"/>
        <v/>
      </c>
      <c r="L88" t="str">
        <f t="shared" si="16"/>
        <v/>
      </c>
      <c r="M88" t="str">
        <f t="shared" si="17"/>
        <v/>
      </c>
      <c r="N88" t="str">
        <f t="shared" si="18"/>
        <v/>
      </c>
      <c r="O88" s="1" t="str">
        <f t="shared" si="19"/>
        <v/>
      </c>
      <c r="P88" t="str">
        <f t="shared" si="20"/>
        <v/>
      </c>
      <c r="Q88" s="2210" t="str">
        <f t="array" ref="Q88">IFERROR(INDEX($K$18:$K$109,MATCH(0,COUNTIF($Q$17:$Q87,$K$18:$K$109),0)),"")</f>
        <v/>
      </c>
      <c r="R88" s="2210"/>
      <c r="S88" s="2210" t="str">
        <f t="shared" si="21"/>
        <v/>
      </c>
      <c r="T88" s="2210" t="str">
        <f t="shared" si="22"/>
        <v/>
      </c>
      <c r="U88" s="2210" t="str">
        <f t="shared" si="23"/>
        <v/>
      </c>
      <c r="V88" s="2210" t="str">
        <f t="shared" si="24"/>
        <v/>
      </c>
      <c r="W88" s="2210" t="str">
        <f t="shared" si="25"/>
        <v/>
      </c>
    </row>
    <row r="89" spans="1:23" ht="29.25" customHeight="1">
      <c r="A89" s="2228"/>
      <c r="B89" s="2229"/>
      <c r="C89" s="2229"/>
      <c r="D89" s="2229"/>
      <c r="E89" s="2226"/>
      <c r="F89" s="2227"/>
      <c r="G89" s="2229"/>
      <c r="H89" s="2230" t="str">
        <f t="shared" si="13"/>
        <v/>
      </c>
      <c r="I89" s="2203" t="str">
        <f t="shared" si="14"/>
        <v/>
      </c>
      <c r="K89" s="2199" t="str">
        <f t="shared" si="15"/>
        <v/>
      </c>
      <c r="L89" t="str">
        <f t="shared" si="16"/>
        <v/>
      </c>
      <c r="M89" t="str">
        <f t="shared" si="17"/>
        <v/>
      </c>
      <c r="N89" t="str">
        <f t="shared" si="18"/>
        <v/>
      </c>
      <c r="O89" s="1" t="str">
        <f t="shared" si="19"/>
        <v/>
      </c>
      <c r="P89" t="str">
        <f t="shared" si="20"/>
        <v/>
      </c>
      <c r="Q89" s="2210" t="str">
        <f t="array" ref="Q89">IFERROR(INDEX($K$18:$K$109,MATCH(0,COUNTIF($Q$17:$Q88,$K$18:$K$109),0)),"")</f>
        <v/>
      </c>
      <c r="R89" s="2210"/>
      <c r="S89" s="2210" t="str">
        <f t="shared" si="21"/>
        <v/>
      </c>
      <c r="T89" s="2210" t="str">
        <f t="shared" si="22"/>
        <v/>
      </c>
      <c r="U89" s="2210" t="str">
        <f t="shared" si="23"/>
        <v/>
      </c>
      <c r="V89" s="2210" t="str">
        <f t="shared" si="24"/>
        <v/>
      </c>
      <c r="W89" s="2210" t="str">
        <f t="shared" si="25"/>
        <v/>
      </c>
    </row>
    <row r="90" spans="1:23" ht="29.25" customHeight="1">
      <c r="A90" s="2228"/>
      <c r="B90" s="2229"/>
      <c r="C90" s="2229"/>
      <c r="D90" s="2229"/>
      <c r="E90" s="2226"/>
      <c r="F90" s="2227"/>
      <c r="G90" s="2229"/>
      <c r="H90" s="2230" t="str">
        <f t="shared" si="13"/>
        <v/>
      </c>
      <c r="I90" s="2203" t="str">
        <f t="shared" si="14"/>
        <v/>
      </c>
      <c r="K90" s="2199" t="str">
        <f t="shared" si="15"/>
        <v/>
      </c>
      <c r="L90" t="str">
        <f t="shared" si="16"/>
        <v/>
      </c>
      <c r="M90" t="str">
        <f t="shared" si="17"/>
        <v/>
      </c>
      <c r="N90" t="str">
        <f t="shared" si="18"/>
        <v/>
      </c>
      <c r="O90" s="1" t="str">
        <f t="shared" si="19"/>
        <v/>
      </c>
      <c r="P90" t="str">
        <f t="shared" si="20"/>
        <v/>
      </c>
      <c r="Q90" s="2210" t="str">
        <f t="array" ref="Q90">IFERROR(INDEX($K$18:$K$109,MATCH(0,COUNTIF($Q$17:$Q89,$K$18:$K$109),0)),"")</f>
        <v/>
      </c>
      <c r="R90" s="2210"/>
      <c r="S90" s="2210" t="str">
        <f t="shared" si="21"/>
        <v/>
      </c>
      <c r="T90" s="2210" t="str">
        <f t="shared" si="22"/>
        <v/>
      </c>
      <c r="U90" s="2210" t="str">
        <f t="shared" si="23"/>
        <v/>
      </c>
      <c r="V90" s="2210" t="str">
        <f t="shared" si="24"/>
        <v/>
      </c>
      <c r="W90" s="2210" t="str">
        <f t="shared" si="25"/>
        <v/>
      </c>
    </row>
    <row r="91" spans="1:23" ht="29.25" customHeight="1">
      <c r="A91" s="2228"/>
      <c r="B91" s="2229"/>
      <c r="C91" s="2229"/>
      <c r="D91" s="2229"/>
      <c r="E91" s="2226"/>
      <c r="F91" s="2227"/>
      <c r="G91" s="2229"/>
      <c r="H91" s="2230" t="str">
        <f t="shared" si="13"/>
        <v/>
      </c>
      <c r="I91" s="2203" t="str">
        <f t="shared" si="14"/>
        <v/>
      </c>
      <c r="K91" s="2199" t="str">
        <f t="shared" si="15"/>
        <v/>
      </c>
      <c r="L91" t="str">
        <f t="shared" si="16"/>
        <v/>
      </c>
      <c r="M91" t="str">
        <f t="shared" si="17"/>
        <v/>
      </c>
      <c r="N91" t="str">
        <f t="shared" si="18"/>
        <v/>
      </c>
      <c r="O91" s="1" t="str">
        <f t="shared" si="19"/>
        <v/>
      </c>
      <c r="P91" t="str">
        <f t="shared" si="20"/>
        <v/>
      </c>
      <c r="Q91" s="2210" t="str">
        <f t="array" ref="Q91">IFERROR(INDEX($K$18:$K$109,MATCH(0,COUNTIF($Q$17:$Q90,$K$18:$K$109),0)),"")</f>
        <v/>
      </c>
      <c r="R91" s="2210"/>
      <c r="S91" s="2210" t="str">
        <f t="shared" si="21"/>
        <v/>
      </c>
      <c r="T91" s="2210" t="str">
        <f t="shared" si="22"/>
        <v/>
      </c>
      <c r="U91" s="2210" t="str">
        <f t="shared" si="23"/>
        <v/>
      </c>
      <c r="V91" s="2210" t="str">
        <f t="shared" si="24"/>
        <v/>
      </c>
      <c r="W91" s="2210" t="str">
        <f t="shared" si="25"/>
        <v/>
      </c>
    </row>
    <row r="92" spans="1:23" ht="29.25" customHeight="1">
      <c r="A92" s="2228"/>
      <c r="B92" s="2229"/>
      <c r="C92" s="2229"/>
      <c r="D92" s="2229"/>
      <c r="E92" s="2226"/>
      <c r="F92" s="2227"/>
      <c r="G92" s="2229"/>
      <c r="H92" s="2230" t="str">
        <f t="shared" si="13"/>
        <v/>
      </c>
      <c r="I92" s="2203" t="str">
        <f t="shared" si="14"/>
        <v/>
      </c>
      <c r="K92" s="2199" t="str">
        <f t="shared" si="15"/>
        <v/>
      </c>
      <c r="L92" t="str">
        <f t="shared" si="16"/>
        <v/>
      </c>
      <c r="M92" t="str">
        <f t="shared" si="17"/>
        <v/>
      </c>
      <c r="N92" t="str">
        <f t="shared" si="18"/>
        <v/>
      </c>
      <c r="O92" s="1" t="str">
        <f t="shared" si="19"/>
        <v/>
      </c>
      <c r="P92" t="str">
        <f t="shared" si="20"/>
        <v/>
      </c>
      <c r="Q92" s="2210" t="str">
        <f t="array" ref="Q92">IFERROR(INDEX($K$18:$K$109,MATCH(0,COUNTIF($Q$17:$Q91,$K$18:$K$109),0)),"")</f>
        <v/>
      </c>
      <c r="R92" s="2210"/>
      <c r="S92" s="2210" t="str">
        <f t="shared" si="21"/>
        <v/>
      </c>
      <c r="T92" s="2210" t="str">
        <f t="shared" si="22"/>
        <v/>
      </c>
      <c r="U92" s="2210" t="str">
        <f t="shared" si="23"/>
        <v/>
      </c>
      <c r="V92" s="2210" t="str">
        <f t="shared" si="24"/>
        <v/>
      </c>
      <c r="W92" s="2210" t="str">
        <f t="shared" si="25"/>
        <v/>
      </c>
    </row>
    <row r="93" spans="1:23" ht="29.25" customHeight="1">
      <c r="A93" s="2228"/>
      <c r="B93" s="2229"/>
      <c r="C93" s="2229"/>
      <c r="D93" s="2229"/>
      <c r="E93" s="2226"/>
      <c r="F93" s="2227"/>
      <c r="G93" s="2229"/>
      <c r="H93" s="2230" t="str">
        <f t="shared" si="13"/>
        <v/>
      </c>
      <c r="I93" s="2203" t="str">
        <f t="shared" si="14"/>
        <v/>
      </c>
      <c r="K93" s="2199" t="str">
        <f t="shared" si="15"/>
        <v/>
      </c>
      <c r="L93" t="str">
        <f t="shared" si="16"/>
        <v/>
      </c>
      <c r="M93" t="str">
        <f t="shared" si="17"/>
        <v/>
      </c>
      <c r="N93" t="str">
        <f t="shared" si="18"/>
        <v/>
      </c>
      <c r="O93" s="1" t="str">
        <f t="shared" si="19"/>
        <v/>
      </c>
      <c r="P93" t="str">
        <f t="shared" si="20"/>
        <v/>
      </c>
      <c r="Q93" s="2210" t="str">
        <f t="array" ref="Q93">IFERROR(INDEX($K$18:$K$109,MATCH(0,COUNTIF($Q$17:$Q92,$K$18:$K$109),0)),"")</f>
        <v/>
      </c>
      <c r="R93" s="2210"/>
      <c r="S93" s="2210" t="str">
        <f t="shared" si="21"/>
        <v/>
      </c>
      <c r="T93" s="2210" t="str">
        <f t="shared" si="22"/>
        <v/>
      </c>
      <c r="U93" s="2210" t="str">
        <f t="shared" si="23"/>
        <v/>
      </c>
      <c r="V93" s="2210" t="str">
        <f t="shared" si="24"/>
        <v/>
      </c>
      <c r="W93" s="2210" t="str">
        <f t="shared" si="25"/>
        <v/>
      </c>
    </row>
    <row r="94" spans="1:23" ht="29.25" customHeight="1">
      <c r="A94" s="2228"/>
      <c r="B94" s="2229"/>
      <c r="C94" s="2229"/>
      <c r="D94" s="2229"/>
      <c r="E94" s="2226"/>
      <c r="F94" s="2227"/>
      <c r="G94" s="2229"/>
      <c r="H94" s="2230" t="str">
        <f t="shared" si="13"/>
        <v/>
      </c>
      <c r="I94" s="2203" t="str">
        <f t="shared" si="14"/>
        <v/>
      </c>
      <c r="K94" s="2199" t="str">
        <f t="shared" si="15"/>
        <v/>
      </c>
      <c r="L94" t="str">
        <f t="shared" si="16"/>
        <v/>
      </c>
      <c r="M94" t="str">
        <f t="shared" si="17"/>
        <v/>
      </c>
      <c r="N94" t="str">
        <f t="shared" si="18"/>
        <v/>
      </c>
      <c r="O94" s="1" t="str">
        <f t="shared" si="19"/>
        <v/>
      </c>
      <c r="P94" t="str">
        <f t="shared" si="20"/>
        <v/>
      </c>
      <c r="Q94" s="2210" t="str">
        <f t="array" ref="Q94">IFERROR(INDEX($K$18:$K$109,MATCH(0,COUNTIF($Q$17:$Q93,$K$18:$K$109),0)),"")</f>
        <v/>
      </c>
      <c r="R94" s="2210"/>
      <c r="S94" s="2210" t="str">
        <f t="shared" si="21"/>
        <v/>
      </c>
      <c r="T94" s="2210" t="str">
        <f t="shared" si="22"/>
        <v/>
      </c>
      <c r="U94" s="2210" t="str">
        <f t="shared" si="23"/>
        <v/>
      </c>
      <c r="V94" s="2210" t="str">
        <f t="shared" si="24"/>
        <v/>
      </c>
      <c r="W94" s="2210" t="str">
        <f t="shared" si="25"/>
        <v/>
      </c>
    </row>
    <row r="95" spans="1:23" ht="29.25" customHeight="1">
      <c r="A95" s="2228"/>
      <c r="B95" s="2229"/>
      <c r="C95" s="2229"/>
      <c r="D95" s="2229"/>
      <c r="E95" s="2226"/>
      <c r="F95" s="2227"/>
      <c r="G95" s="2229"/>
      <c r="H95" s="2230" t="str">
        <f t="shared" si="13"/>
        <v/>
      </c>
      <c r="I95" s="2203" t="str">
        <f t="shared" si="14"/>
        <v/>
      </c>
      <c r="K95" s="2199" t="str">
        <f t="shared" si="15"/>
        <v/>
      </c>
      <c r="L95" t="str">
        <f t="shared" si="16"/>
        <v/>
      </c>
      <c r="M95" t="str">
        <f t="shared" si="17"/>
        <v/>
      </c>
      <c r="N95" t="str">
        <f t="shared" si="18"/>
        <v/>
      </c>
      <c r="O95" s="1" t="str">
        <f t="shared" si="19"/>
        <v/>
      </c>
      <c r="P95" t="str">
        <f t="shared" si="20"/>
        <v/>
      </c>
      <c r="Q95" s="2210" t="str">
        <f t="array" ref="Q95">IFERROR(INDEX($K$18:$K$109,MATCH(0,COUNTIF($Q$17:$Q94,$K$18:$K$109),0)),"")</f>
        <v/>
      </c>
      <c r="R95" s="2210"/>
      <c r="S95" s="2210" t="str">
        <f t="shared" si="21"/>
        <v/>
      </c>
      <c r="T95" s="2210" t="str">
        <f t="shared" si="22"/>
        <v/>
      </c>
      <c r="U95" s="2210" t="str">
        <f t="shared" si="23"/>
        <v/>
      </c>
      <c r="V95" s="2210" t="str">
        <f t="shared" si="24"/>
        <v/>
      </c>
      <c r="W95" s="2210" t="str">
        <f t="shared" si="25"/>
        <v/>
      </c>
    </row>
    <row r="96" spans="1:23" ht="29.25" customHeight="1">
      <c r="A96" s="2228"/>
      <c r="B96" s="2229"/>
      <c r="C96" s="2229"/>
      <c r="D96" s="2229"/>
      <c r="E96" s="2226"/>
      <c r="F96" s="2227"/>
      <c r="G96" s="2229"/>
      <c r="H96" s="2230" t="str">
        <f t="shared" si="13"/>
        <v/>
      </c>
      <c r="I96" s="2203" t="str">
        <f t="shared" si="14"/>
        <v/>
      </c>
      <c r="K96" s="2199" t="str">
        <f t="shared" si="15"/>
        <v/>
      </c>
      <c r="L96" t="str">
        <f t="shared" si="16"/>
        <v/>
      </c>
      <c r="M96" t="str">
        <f t="shared" si="17"/>
        <v/>
      </c>
      <c r="N96" t="str">
        <f t="shared" si="18"/>
        <v/>
      </c>
      <c r="O96" s="1" t="str">
        <f t="shared" si="19"/>
        <v/>
      </c>
      <c r="P96" t="str">
        <f t="shared" si="20"/>
        <v/>
      </c>
      <c r="Q96" s="2210" t="str">
        <f t="array" ref="Q96">IFERROR(INDEX($K$18:$K$109,MATCH(0,COUNTIF($Q$17:$Q95,$K$18:$K$109),0)),"")</f>
        <v/>
      </c>
      <c r="R96" s="2210"/>
      <c r="S96" s="2210" t="str">
        <f t="shared" si="21"/>
        <v/>
      </c>
      <c r="T96" s="2210" t="str">
        <f t="shared" si="22"/>
        <v/>
      </c>
      <c r="U96" s="2210" t="str">
        <f t="shared" si="23"/>
        <v/>
      </c>
      <c r="V96" s="2210" t="str">
        <f t="shared" si="24"/>
        <v/>
      </c>
      <c r="W96" s="2210" t="str">
        <f t="shared" si="25"/>
        <v/>
      </c>
    </row>
    <row r="97" spans="1:23" ht="29.25" customHeight="1">
      <c r="A97" s="2228"/>
      <c r="B97" s="2229"/>
      <c r="C97" s="2229"/>
      <c r="D97" s="2229"/>
      <c r="E97" s="2226"/>
      <c r="F97" s="2227"/>
      <c r="G97" s="2229"/>
      <c r="H97" s="2230" t="str">
        <f t="shared" si="13"/>
        <v/>
      </c>
      <c r="I97" s="2203" t="str">
        <f t="shared" si="14"/>
        <v/>
      </c>
      <c r="K97" s="2199" t="str">
        <f t="shared" si="15"/>
        <v/>
      </c>
      <c r="L97" t="str">
        <f t="shared" si="16"/>
        <v/>
      </c>
      <c r="M97" t="str">
        <f t="shared" si="17"/>
        <v/>
      </c>
      <c r="N97" t="str">
        <f t="shared" si="18"/>
        <v/>
      </c>
      <c r="O97" s="1" t="str">
        <f t="shared" si="19"/>
        <v/>
      </c>
      <c r="P97" t="str">
        <f t="shared" si="20"/>
        <v/>
      </c>
      <c r="Q97" s="2210" t="str">
        <f t="array" ref="Q97">IFERROR(INDEX($K$18:$K$109,MATCH(0,COUNTIF($Q$17:$Q96,$K$18:$K$109),0)),"")</f>
        <v/>
      </c>
      <c r="R97" s="2210"/>
      <c r="S97" s="2210" t="str">
        <f t="shared" si="21"/>
        <v/>
      </c>
      <c r="T97" s="2210" t="str">
        <f t="shared" si="22"/>
        <v/>
      </c>
      <c r="U97" s="2210" t="str">
        <f t="shared" si="23"/>
        <v/>
      </c>
      <c r="V97" s="2210" t="str">
        <f t="shared" si="24"/>
        <v/>
      </c>
      <c r="W97" s="2210" t="str">
        <f t="shared" si="25"/>
        <v/>
      </c>
    </row>
    <row r="98" spans="1:23" ht="29.25" customHeight="1">
      <c r="A98" s="2228"/>
      <c r="B98" s="2229"/>
      <c r="C98" s="2229"/>
      <c r="D98" s="2229"/>
      <c r="E98" s="2226"/>
      <c r="F98" s="2227"/>
      <c r="G98" s="2229"/>
      <c r="H98" s="2230" t="str">
        <f t="shared" si="13"/>
        <v/>
      </c>
      <c r="I98" s="2203" t="str">
        <f t="shared" si="14"/>
        <v/>
      </c>
      <c r="K98" s="2199" t="str">
        <f t="shared" si="15"/>
        <v/>
      </c>
      <c r="L98" t="str">
        <f t="shared" si="16"/>
        <v/>
      </c>
      <c r="M98" t="str">
        <f t="shared" si="17"/>
        <v/>
      </c>
      <c r="N98" t="str">
        <f t="shared" si="18"/>
        <v/>
      </c>
      <c r="O98" s="1" t="str">
        <f t="shared" si="19"/>
        <v/>
      </c>
      <c r="P98" t="str">
        <f t="shared" si="20"/>
        <v/>
      </c>
      <c r="Q98" s="2210" t="str">
        <f t="array" ref="Q98">IFERROR(INDEX($K$18:$K$109,MATCH(0,COUNTIF($Q$17:$Q97,$K$18:$K$109),0)),"")</f>
        <v/>
      </c>
      <c r="R98" s="2210"/>
      <c r="S98" s="2210" t="str">
        <f t="shared" si="21"/>
        <v/>
      </c>
      <c r="T98" s="2210" t="str">
        <f t="shared" si="22"/>
        <v/>
      </c>
      <c r="U98" s="2210" t="str">
        <f t="shared" si="23"/>
        <v/>
      </c>
      <c r="V98" s="2210" t="str">
        <f t="shared" si="24"/>
        <v/>
      </c>
      <c r="W98" s="2210" t="str">
        <f t="shared" si="25"/>
        <v/>
      </c>
    </row>
    <row r="99" spans="1:23" ht="29.25" customHeight="1">
      <c r="A99" s="2228"/>
      <c r="B99" s="2229"/>
      <c r="C99" s="2229"/>
      <c r="D99" s="2229"/>
      <c r="E99" s="2226"/>
      <c r="F99" s="2227"/>
      <c r="G99" s="2229"/>
      <c r="H99" s="2230" t="str">
        <f t="shared" si="13"/>
        <v/>
      </c>
      <c r="I99" s="2203" t="str">
        <f t="shared" si="14"/>
        <v/>
      </c>
      <c r="K99" s="2199" t="str">
        <f t="shared" si="15"/>
        <v/>
      </c>
      <c r="L99" t="str">
        <f t="shared" si="16"/>
        <v/>
      </c>
      <c r="M99" t="str">
        <f t="shared" si="17"/>
        <v/>
      </c>
      <c r="N99" t="str">
        <f t="shared" si="18"/>
        <v/>
      </c>
      <c r="O99" s="1" t="str">
        <f t="shared" si="19"/>
        <v/>
      </c>
      <c r="P99" t="str">
        <f t="shared" si="20"/>
        <v/>
      </c>
      <c r="Q99" s="2210" t="str">
        <f t="array" ref="Q99">IFERROR(INDEX($K$18:$K$109,MATCH(0,COUNTIF($Q$17:$Q98,$K$18:$K$109),0)),"")</f>
        <v/>
      </c>
      <c r="R99" s="2210"/>
      <c r="S99" s="2210" t="str">
        <f t="shared" si="21"/>
        <v/>
      </c>
      <c r="T99" s="2210" t="str">
        <f t="shared" si="22"/>
        <v/>
      </c>
      <c r="U99" s="2210" t="str">
        <f t="shared" si="23"/>
        <v/>
      </c>
      <c r="V99" s="2210" t="str">
        <f t="shared" si="24"/>
        <v/>
      </c>
      <c r="W99" s="2210" t="str">
        <f t="shared" si="25"/>
        <v/>
      </c>
    </row>
    <row r="100" spans="1:23" ht="29.25" customHeight="1">
      <c r="A100" s="2228"/>
      <c r="B100" s="2229"/>
      <c r="C100" s="2229"/>
      <c r="D100" s="2229"/>
      <c r="E100" s="2226"/>
      <c r="F100" s="2227"/>
      <c r="G100" s="2229"/>
      <c r="H100" s="2230" t="str">
        <f t="shared" si="13"/>
        <v/>
      </c>
      <c r="I100" s="2203" t="str">
        <f t="shared" si="14"/>
        <v/>
      </c>
      <c r="K100" s="2199" t="str">
        <f t="shared" si="15"/>
        <v/>
      </c>
      <c r="L100" t="str">
        <f t="shared" si="16"/>
        <v/>
      </c>
      <c r="M100" t="str">
        <f t="shared" si="17"/>
        <v/>
      </c>
      <c r="N100" t="str">
        <f t="shared" si="18"/>
        <v/>
      </c>
      <c r="O100" s="1" t="str">
        <f t="shared" si="19"/>
        <v/>
      </c>
      <c r="P100" t="str">
        <f t="shared" si="20"/>
        <v/>
      </c>
      <c r="Q100" s="2210" t="str">
        <f t="array" ref="Q100">IFERROR(INDEX($K$18:$K$109,MATCH(0,COUNTIF($Q$17:$Q99,$K$18:$K$109),0)),"")</f>
        <v/>
      </c>
      <c r="R100" s="2210"/>
      <c r="S100" s="2210" t="str">
        <f t="shared" si="21"/>
        <v/>
      </c>
      <c r="T100" s="2210" t="str">
        <f t="shared" si="22"/>
        <v/>
      </c>
      <c r="U100" s="2210" t="str">
        <f t="shared" si="23"/>
        <v/>
      </c>
      <c r="V100" s="2210" t="str">
        <f t="shared" si="24"/>
        <v/>
      </c>
      <c r="W100" s="2210" t="str">
        <f t="shared" si="25"/>
        <v/>
      </c>
    </row>
    <row r="101" spans="1:23" ht="29.25" customHeight="1">
      <c r="A101" s="2228"/>
      <c r="B101" s="2229"/>
      <c r="C101" s="2229"/>
      <c r="D101" s="2229"/>
      <c r="E101" s="2226"/>
      <c r="F101" s="2227"/>
      <c r="G101" s="2229"/>
      <c r="H101" s="2230" t="str">
        <f t="shared" si="13"/>
        <v/>
      </c>
      <c r="I101" s="2203" t="str">
        <f t="shared" si="14"/>
        <v/>
      </c>
      <c r="K101" s="2199" t="str">
        <f t="shared" si="15"/>
        <v/>
      </c>
      <c r="L101" t="str">
        <f t="shared" si="16"/>
        <v/>
      </c>
      <c r="M101" t="str">
        <f t="shared" si="17"/>
        <v/>
      </c>
      <c r="N101" t="str">
        <f t="shared" si="18"/>
        <v/>
      </c>
      <c r="O101" s="1" t="str">
        <f t="shared" si="19"/>
        <v/>
      </c>
      <c r="P101" t="str">
        <f t="shared" si="20"/>
        <v/>
      </c>
      <c r="Q101" s="2210" t="str">
        <f t="array" ref="Q101">IFERROR(INDEX($K$18:$K$109,MATCH(0,COUNTIF($Q$17:$Q100,$K$18:$K$109),0)),"")</f>
        <v/>
      </c>
      <c r="R101" s="2210"/>
      <c r="S101" s="2210" t="str">
        <f t="shared" si="21"/>
        <v/>
      </c>
      <c r="T101" s="2210" t="str">
        <f t="shared" si="22"/>
        <v/>
      </c>
      <c r="U101" s="2210" t="str">
        <f t="shared" si="23"/>
        <v/>
      </c>
      <c r="V101" s="2210" t="str">
        <f t="shared" si="24"/>
        <v/>
      </c>
      <c r="W101" s="2210" t="str">
        <f t="shared" si="25"/>
        <v/>
      </c>
    </row>
    <row r="102" spans="1:23" ht="29.25" customHeight="1">
      <c r="A102" s="2228"/>
      <c r="B102" s="2229"/>
      <c r="C102" s="2229"/>
      <c r="D102" s="2229"/>
      <c r="E102" s="2226"/>
      <c r="F102" s="2227"/>
      <c r="G102" s="2229"/>
      <c r="H102" s="2230" t="str">
        <f t="shared" si="13"/>
        <v/>
      </c>
      <c r="I102" s="2203" t="str">
        <f t="shared" si="14"/>
        <v/>
      </c>
      <c r="K102" s="2199" t="str">
        <f t="shared" si="15"/>
        <v/>
      </c>
      <c r="L102" t="str">
        <f t="shared" si="16"/>
        <v/>
      </c>
      <c r="M102" t="str">
        <f t="shared" si="17"/>
        <v/>
      </c>
      <c r="N102" t="str">
        <f t="shared" si="18"/>
        <v/>
      </c>
      <c r="O102" s="1" t="str">
        <f t="shared" si="19"/>
        <v/>
      </c>
      <c r="P102" t="str">
        <f t="shared" si="20"/>
        <v/>
      </c>
      <c r="Q102" s="2210" t="str">
        <f t="array" ref="Q102">IFERROR(INDEX($K$18:$K$109,MATCH(0,COUNTIF($Q$17:$Q101,$K$18:$K$109),0)),"")</f>
        <v/>
      </c>
      <c r="R102" s="2210"/>
      <c r="S102" s="2210" t="str">
        <f t="shared" si="21"/>
        <v/>
      </c>
      <c r="T102" s="2210" t="str">
        <f t="shared" si="22"/>
        <v/>
      </c>
      <c r="U102" s="2210" t="str">
        <f t="shared" si="23"/>
        <v/>
      </c>
      <c r="V102" s="2210" t="str">
        <f t="shared" si="24"/>
        <v/>
      </c>
      <c r="W102" s="2210" t="str">
        <f t="shared" si="25"/>
        <v/>
      </c>
    </row>
    <row r="103" spans="1:23" ht="29.25" customHeight="1">
      <c r="A103" s="2228"/>
      <c r="B103" s="2229"/>
      <c r="C103" s="2229"/>
      <c r="D103" s="2229"/>
      <c r="E103" s="2226"/>
      <c r="F103" s="2227"/>
      <c r="G103" s="2229"/>
      <c r="H103" s="2230" t="str">
        <f t="shared" si="13"/>
        <v/>
      </c>
      <c r="I103" s="2203" t="str">
        <f t="shared" si="14"/>
        <v/>
      </c>
      <c r="K103" s="2199" t="str">
        <f t="shared" si="15"/>
        <v/>
      </c>
      <c r="L103" t="str">
        <f t="shared" si="16"/>
        <v/>
      </c>
      <c r="M103" t="str">
        <f t="shared" si="17"/>
        <v/>
      </c>
      <c r="N103" t="str">
        <f t="shared" si="18"/>
        <v/>
      </c>
      <c r="O103" s="1" t="str">
        <f t="shared" si="19"/>
        <v/>
      </c>
      <c r="P103" t="str">
        <f t="shared" si="20"/>
        <v/>
      </c>
      <c r="Q103" s="2210" t="str">
        <f t="array" ref="Q103">IFERROR(INDEX($K$18:$K$109,MATCH(0,COUNTIF($Q$17:$Q102,$K$18:$K$109),0)),"")</f>
        <v/>
      </c>
      <c r="R103" s="2210"/>
      <c r="S103" s="2210" t="str">
        <f t="shared" si="21"/>
        <v/>
      </c>
      <c r="T103" s="2210" t="str">
        <f t="shared" si="22"/>
        <v/>
      </c>
      <c r="U103" s="2210" t="str">
        <f t="shared" si="23"/>
        <v/>
      </c>
      <c r="V103" s="2210" t="str">
        <f t="shared" si="24"/>
        <v/>
      </c>
      <c r="W103" s="2210" t="str">
        <f t="shared" si="25"/>
        <v/>
      </c>
    </row>
    <row r="104" spans="1:23" ht="29.25" customHeight="1">
      <c r="A104" s="2228"/>
      <c r="B104" s="2229"/>
      <c r="C104" s="2229"/>
      <c r="D104" s="2229"/>
      <c r="E104" s="2226"/>
      <c r="F104" s="2227"/>
      <c r="G104" s="2229"/>
      <c r="H104" s="2230" t="str">
        <f t="shared" si="13"/>
        <v/>
      </c>
      <c r="I104" s="2203" t="str">
        <f t="shared" si="14"/>
        <v/>
      </c>
      <c r="K104" s="2199" t="str">
        <f t="shared" si="15"/>
        <v/>
      </c>
      <c r="L104" t="str">
        <f t="shared" si="16"/>
        <v/>
      </c>
      <c r="M104" t="str">
        <f t="shared" si="17"/>
        <v/>
      </c>
      <c r="N104" t="str">
        <f t="shared" si="18"/>
        <v/>
      </c>
      <c r="O104" s="1" t="str">
        <f t="shared" si="19"/>
        <v/>
      </c>
      <c r="P104" t="str">
        <f t="shared" si="20"/>
        <v/>
      </c>
      <c r="Q104" s="2210" t="str">
        <f t="array" ref="Q104">IFERROR(INDEX($K$18:$K$109,MATCH(0,COUNTIF($Q$17:$Q103,$K$18:$K$109),0)),"")</f>
        <v/>
      </c>
      <c r="R104" s="2210"/>
      <c r="S104" s="2210" t="str">
        <f t="shared" si="21"/>
        <v/>
      </c>
      <c r="T104" s="2210" t="str">
        <f t="shared" si="22"/>
        <v/>
      </c>
      <c r="U104" s="2210" t="str">
        <f t="shared" si="23"/>
        <v/>
      </c>
      <c r="V104" s="2210" t="str">
        <f t="shared" si="24"/>
        <v/>
      </c>
      <c r="W104" s="2210" t="str">
        <f t="shared" si="25"/>
        <v/>
      </c>
    </row>
    <row r="105" spans="1:23" ht="29.25" customHeight="1">
      <c r="A105" s="2228"/>
      <c r="B105" s="2229"/>
      <c r="C105" s="2229"/>
      <c r="D105" s="2229"/>
      <c r="E105" s="2226"/>
      <c r="F105" s="2227"/>
      <c r="G105" s="2229"/>
      <c r="H105" s="2230" t="str">
        <f t="shared" si="13"/>
        <v/>
      </c>
      <c r="I105" s="2203" t="str">
        <f t="shared" si="14"/>
        <v/>
      </c>
      <c r="K105" s="2199" t="str">
        <f t="shared" si="15"/>
        <v/>
      </c>
      <c r="L105" t="str">
        <f t="shared" si="16"/>
        <v/>
      </c>
      <c r="M105" t="str">
        <f t="shared" si="17"/>
        <v/>
      </c>
      <c r="N105" t="str">
        <f t="shared" si="18"/>
        <v/>
      </c>
      <c r="O105" s="1" t="str">
        <f t="shared" si="19"/>
        <v/>
      </c>
      <c r="P105" t="str">
        <f t="shared" si="20"/>
        <v/>
      </c>
      <c r="Q105" s="2210" t="str">
        <f t="array" ref="Q105">IFERROR(INDEX($K$18:$K$109,MATCH(0,COUNTIF($Q$17:$Q104,$K$18:$K$109),0)),"")</f>
        <v/>
      </c>
      <c r="R105" s="2210"/>
      <c r="S105" s="2210" t="str">
        <f t="shared" si="21"/>
        <v/>
      </c>
      <c r="T105" s="2210" t="str">
        <f t="shared" si="22"/>
        <v/>
      </c>
      <c r="U105" s="2210" t="str">
        <f t="shared" si="23"/>
        <v/>
      </c>
      <c r="V105" s="2210" t="str">
        <f t="shared" si="24"/>
        <v/>
      </c>
      <c r="W105" s="2210" t="str">
        <f t="shared" si="25"/>
        <v/>
      </c>
    </row>
    <row r="106" spans="1:23" ht="29.25" customHeight="1">
      <c r="A106" s="2228"/>
      <c r="B106" s="2229"/>
      <c r="C106" s="2229"/>
      <c r="D106" s="2229"/>
      <c r="E106" s="2226"/>
      <c r="F106" s="2227"/>
      <c r="G106" s="2229"/>
      <c r="H106" s="2230" t="str">
        <f t="shared" si="13"/>
        <v/>
      </c>
      <c r="I106" s="2203" t="str">
        <f t="shared" si="14"/>
        <v/>
      </c>
      <c r="K106" s="2199" t="str">
        <f t="shared" si="15"/>
        <v/>
      </c>
      <c r="L106" t="str">
        <f t="shared" si="16"/>
        <v/>
      </c>
      <c r="M106" t="str">
        <f t="shared" si="17"/>
        <v/>
      </c>
      <c r="N106" t="str">
        <f t="shared" si="18"/>
        <v/>
      </c>
      <c r="O106" s="1" t="str">
        <f t="shared" si="19"/>
        <v/>
      </c>
      <c r="P106" t="str">
        <f t="shared" si="20"/>
        <v/>
      </c>
      <c r="Q106" s="2210" t="str">
        <f t="array" ref="Q106">IFERROR(INDEX($K$18:$K$109,MATCH(0,COUNTIF($Q$17:$Q105,$K$18:$K$109),0)),"")</f>
        <v/>
      </c>
      <c r="R106" s="2210"/>
      <c r="S106" s="2210" t="str">
        <f t="shared" si="21"/>
        <v/>
      </c>
      <c r="T106" s="2210" t="str">
        <f t="shared" si="22"/>
        <v/>
      </c>
      <c r="U106" s="2210" t="str">
        <f t="shared" si="23"/>
        <v/>
      </c>
      <c r="V106" s="2210" t="str">
        <f t="shared" si="24"/>
        <v/>
      </c>
      <c r="W106" s="2210" t="str">
        <f t="shared" si="25"/>
        <v/>
      </c>
    </row>
    <row r="107" spans="1:23" ht="29.25" customHeight="1">
      <c r="A107" s="2228"/>
      <c r="B107" s="2229"/>
      <c r="C107" s="2229"/>
      <c r="D107" s="2229"/>
      <c r="E107" s="2226"/>
      <c r="F107" s="2227"/>
      <c r="G107" s="2229"/>
      <c r="H107" s="2230" t="str">
        <f t="shared" si="13"/>
        <v/>
      </c>
      <c r="I107" s="2203" t="str">
        <f t="shared" si="14"/>
        <v/>
      </c>
      <c r="K107" s="2199" t="str">
        <f t="shared" si="15"/>
        <v/>
      </c>
      <c r="L107" t="str">
        <f t="shared" si="16"/>
        <v/>
      </c>
      <c r="M107" t="str">
        <f t="shared" si="17"/>
        <v/>
      </c>
      <c r="N107" t="str">
        <f t="shared" si="18"/>
        <v/>
      </c>
      <c r="O107" s="1" t="str">
        <f t="shared" si="19"/>
        <v/>
      </c>
      <c r="P107" t="str">
        <f t="shared" si="20"/>
        <v/>
      </c>
      <c r="Q107" s="2210" t="str">
        <f t="array" ref="Q107">IFERROR(INDEX($K$18:$K$109,MATCH(0,COUNTIF($Q$17:$Q106,$K$18:$K$109),0)),"")</f>
        <v/>
      </c>
      <c r="R107" s="2210"/>
      <c r="S107" s="2210" t="str">
        <f t="shared" si="21"/>
        <v/>
      </c>
      <c r="T107" s="2210" t="str">
        <f t="shared" si="22"/>
        <v/>
      </c>
      <c r="U107" s="2210" t="str">
        <f t="shared" si="23"/>
        <v/>
      </c>
      <c r="V107" s="2210" t="str">
        <f t="shared" si="24"/>
        <v/>
      </c>
      <c r="W107" s="2210" t="str">
        <f t="shared" si="25"/>
        <v/>
      </c>
    </row>
    <row r="108" spans="1:23" ht="29.25" customHeight="1">
      <c r="A108" s="2228"/>
      <c r="B108" s="2229"/>
      <c r="C108" s="2229"/>
      <c r="D108" s="2229"/>
      <c r="E108" s="2226"/>
      <c r="F108" s="2227"/>
      <c r="G108" s="2229"/>
      <c r="H108" s="2230" t="str">
        <f t="shared" si="13"/>
        <v/>
      </c>
      <c r="I108" s="2203" t="str">
        <f t="shared" si="14"/>
        <v/>
      </c>
      <c r="K108" s="2199" t="str">
        <f t="shared" si="15"/>
        <v/>
      </c>
      <c r="L108" t="str">
        <f t="shared" si="16"/>
        <v/>
      </c>
      <c r="M108" t="str">
        <f t="shared" si="17"/>
        <v/>
      </c>
      <c r="N108" t="str">
        <f t="shared" si="18"/>
        <v/>
      </c>
      <c r="O108" s="1" t="str">
        <f t="shared" si="19"/>
        <v/>
      </c>
      <c r="P108" t="str">
        <f t="shared" si="20"/>
        <v/>
      </c>
      <c r="Q108" s="2210" t="str">
        <f t="array" ref="Q108">IFERROR(INDEX($K$18:$K$109,MATCH(0,COUNTIF($Q$17:$Q107,$K$18:$K$109),0)),"")</f>
        <v/>
      </c>
      <c r="R108" s="2210"/>
      <c r="S108" s="2210" t="str">
        <f t="shared" si="21"/>
        <v/>
      </c>
      <c r="T108" s="2210" t="str">
        <f t="shared" si="22"/>
        <v/>
      </c>
      <c r="U108" s="2210" t="str">
        <f t="shared" si="23"/>
        <v/>
      </c>
      <c r="V108" s="2210" t="str">
        <f t="shared" si="24"/>
        <v/>
      </c>
      <c r="W108" s="2210" t="str">
        <f t="shared" si="25"/>
        <v/>
      </c>
    </row>
    <row r="109" spans="1:23" ht="29.25" customHeight="1">
      <c r="A109" s="2228"/>
      <c r="B109" s="2229"/>
      <c r="C109" s="2229"/>
      <c r="D109" s="2229"/>
      <c r="E109" s="2226"/>
      <c r="F109" s="2227"/>
      <c r="G109" s="2229"/>
      <c r="H109" s="2230" t="str">
        <f t="shared" si="13"/>
        <v/>
      </c>
      <c r="I109" s="2203" t="str">
        <f t="shared" si="14"/>
        <v/>
      </c>
      <c r="K109" s="2199" t="str">
        <f t="shared" si="15"/>
        <v/>
      </c>
      <c r="L109" t="str">
        <f t="shared" si="16"/>
        <v/>
      </c>
      <c r="M109" t="str">
        <f t="shared" si="17"/>
        <v/>
      </c>
      <c r="N109" t="str">
        <f t="shared" si="18"/>
        <v/>
      </c>
      <c r="O109" s="1" t="str">
        <f t="shared" si="19"/>
        <v/>
      </c>
      <c r="P109" t="str">
        <f t="shared" si="20"/>
        <v/>
      </c>
      <c r="Q109" s="2210" t="str">
        <f t="array" ref="Q109">IFERROR(INDEX($K$18:$K$109,MATCH(0,COUNTIF($Q$17:$Q108,$K$18:$K$109),0)),"")</f>
        <v/>
      </c>
      <c r="R109" s="2210"/>
      <c r="S109" s="2210" t="str">
        <f t="shared" si="21"/>
        <v/>
      </c>
      <c r="T109" s="2210" t="str">
        <f t="shared" si="22"/>
        <v/>
      </c>
      <c r="U109" s="2210" t="str">
        <f t="shared" si="23"/>
        <v/>
      </c>
      <c r="V109" s="2210" t="str">
        <f t="shared" si="24"/>
        <v/>
      </c>
      <c r="W109" s="2210" t="str">
        <f t="shared" si="25"/>
        <v/>
      </c>
    </row>
  </sheetData>
  <sheetProtection password="CAEF" sheet="1" formatColumns="0" formatRows="0"/>
  <mergeCells count="13">
    <mergeCell ref="A1:I1"/>
    <mergeCell ref="Q14:W16"/>
    <mergeCell ref="A5:I5"/>
    <mergeCell ref="A6:I6"/>
    <mergeCell ref="A7:I7"/>
    <mergeCell ref="A9:I9"/>
    <mergeCell ref="A10:I10"/>
    <mergeCell ref="A11:I11"/>
    <mergeCell ref="A8:I8"/>
    <mergeCell ref="A3:I3"/>
    <mergeCell ref="A13:B13"/>
    <mergeCell ref="A15:C15"/>
    <mergeCell ref="D15:E15"/>
  </mergeCells>
  <conditionalFormatting sqref="H18">
    <cfRule type="expression" dxfId="126" priority="1">
      <formula>AND($C$13=0,$H18=0)</formula>
    </cfRule>
  </conditionalFormatting>
  <conditionalFormatting sqref="H18:H109">
    <cfRule type="expression" dxfId="125" priority="2">
      <formula>$H18=""</formula>
    </cfRule>
    <cfRule type="expression" dxfId="124" priority="3">
      <formula>AND($C$13&lt;&gt;0,$H18&lt;&gt;$C$13)</formula>
    </cfRule>
    <cfRule type="expression" dxfId="123" priority="4">
      <formula>AND($C$13&lt;&gt;0,$H18=C$13)</formula>
    </cfRule>
  </conditionalFormatting>
  <dataValidations count="4">
    <dataValidation type="list" allowBlank="1" showInputMessage="1" sqref="H18:H109" xr:uid="{00000000-0002-0000-0800-000000000000}">
      <formula1>$C$13</formula1>
    </dataValidation>
    <dataValidation type="list" allowBlank="1" showInputMessage="1" showErrorMessage="1" errorTitle="Kultur nicht in N_Bedarf erfasst" error="Es können ausschließlich Kulturen gewählt werden, die im Tabellenblatt N_Bedarf erfasst wurden." sqref="F18:F109" xr:uid="{00000000-0002-0000-0800-000001000000}">
      <formula1>$AE$2:$AE$58</formula1>
    </dataValidation>
    <dataValidation type="decimal" allowBlank="1" showInputMessage="1" showErrorMessage="1" errorTitle="Nur Zahleneingabe zulässig" error="Es können keine Buchstaben eingetragen werden." sqref="E18:E109" xr:uid="{00000000-0002-0000-0800-000002000000}">
      <formula1>0.0001</formula1>
      <formula2>1000000</formula2>
    </dataValidation>
    <dataValidation type="decimal" allowBlank="1" showInputMessage="1" showErrorMessage="1" errorTitle="Nur Zahleneingabe zulässig" error="Es können keine Buchstaben eingetragen werden." sqref="G18:G109" xr:uid="{00000000-0002-0000-0800-000003000000}">
      <formula1>0.01</formula1>
      <formula2>10000</formula2>
    </dataValidation>
  </dataValidations>
  <hyperlinks>
    <hyperlink ref="Q1" location="Mineral!A1" display="►" xr:uid="{00000000-0004-0000-0800-000000000000}"/>
    <hyperlink ref="J1" location="Organ__Dü!A1" display="◄" xr:uid="{00000000-0004-0000-0800-000001000000}"/>
  </hyperlinks>
  <pageMargins left="0.7" right="0.7" top="0.78740157499999996" bottom="0.78740157499999996" header="0.3" footer="0.3"/>
  <pageSetup paperSize="9" scale="44" fitToHeight="0"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doc_FSCFOLIO_1_1001_FieldDocumentNumber" par="" text=""/>
    <f:field ref="doc_FSCFOLIO_1_1001_FieldSubject" par="" text="" edit="true"/>
    <f:field ref="FSCFOLIO_1_1001_SignaturesFldCtx_FSCFOLIO_1_1001_FieldLastSignature" par="" text=""/>
    <f:field ref="FSCFOLIO_1_1001_SignaturesFldCtx_FSCFOLIO_1_1001_FieldLastSignatureBy" par="" text=""/>
    <f:field ref="FSCFOLIO_1_1001_SignaturesFldCtx_FSCFOLIO_1_1001_FieldLastSignatureAt" par="" date="" text=""/>
    <f:field ref="FSCFOLIO_1_1001_SignaturesFldCtx_FSCFOLIO_1_1001_FieldLastSignatureRemark" par="" text=""/>
    <f:field ref="FSCFOLIO_1_1001_FieldCurrentUser" par="" text="Simon Kriegner-Schramml"/>
    <f:field ref="CCAPRECONFIG_15_1001_Objektname" par="" text="LK DR inkl. BIO Tabellenblatt_Suchfunktion in DropDowns und Drop Downs in Mineraldüngern" edit="true"/>
    <f:field ref="objname" par="" text="LK DR inkl. BIO Tabellenblatt_Suchfunktion in DropDowns und Drop Downs in Mineraldüngern" edit="true"/>
    <f:field ref="objsubject" par="" text="" edit="true"/>
    <f:field ref="objcreatedby" par="" text="Kriegner-Schramml, Simon"/>
    <f:field ref="objcreatedat" par="" date="2021-10-14T13:32:38" text="14.10.2021 13:32:38"/>
    <f:field ref="objchangedby" par="" text="Kriegner-Schramml, Simon"/>
    <f:field ref="objmodifiedat" par="" date="2021-10-15T15:53:21" text="15.10.2021 15:53:21"/>
  </f:record>
  <f:display par="" text="Serienbrief">
    <f:field ref="doc_FSCFOLIO_1_1001_FieldDocumentNumber" text="Dokument Nummer"/>
    <f:field ref="doc_FSCFOLIO_1_1001_FieldSubject" text="Betreff"/>
  </f:display>
  <f:display par=""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par="" text="Allgemein">
    <f:field ref="FSCFOLIO_1_1001_FieldCurrentUser" text="Aktueller Benutzer"/>
    <f:field ref="CCA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93</vt:i4>
      </vt:variant>
    </vt:vector>
  </HeadingPairs>
  <TitlesOfParts>
    <vt:vector size="114" baseType="lpstr">
      <vt:lpstr>Info</vt:lpstr>
      <vt:lpstr>Betrieb</vt:lpstr>
      <vt:lpstr>N_Bedarf</vt:lpstr>
      <vt:lpstr>Tiere</vt:lpstr>
      <vt:lpstr>Hofdung</vt:lpstr>
      <vt:lpstr>Tabelle1</vt:lpstr>
      <vt:lpstr>Organ__Dü</vt:lpstr>
      <vt:lpstr>Mineral</vt:lpstr>
      <vt:lpstr>Beregnung</vt:lpstr>
      <vt:lpstr>Ertragsdokumentation</vt:lpstr>
      <vt:lpstr>Ertragsschätzung m3</vt:lpstr>
      <vt:lpstr>Ergebnis</vt:lpstr>
      <vt:lpstr>WD-Vertrag</vt:lpstr>
      <vt:lpstr>System Immergrün</vt:lpstr>
      <vt:lpstr>Schw_Geflügel</vt:lpstr>
      <vt:lpstr>Weideblatt</vt:lpstr>
      <vt:lpstr>Bodennah</vt:lpstr>
      <vt:lpstr>Separierung</vt:lpstr>
      <vt:lpstr>N_Berechnung</vt:lpstr>
      <vt:lpstr>Düngeplanung</vt:lpstr>
      <vt:lpstr>Tierzahlen</vt:lpstr>
      <vt:lpstr>Betrieb!__xlnm.Print_Area</vt:lpstr>
      <vt:lpstr>Ergebnis!__xlnm.Print_Area</vt:lpstr>
      <vt:lpstr>Hofdung!__xlnm.Print_Area</vt:lpstr>
      <vt:lpstr>Info!__xlnm.Print_Area</vt:lpstr>
      <vt:lpstr>Mineral!__xlnm.Print_Area</vt:lpstr>
      <vt:lpstr>N_Bedarf!__xlnm.Print_Area</vt:lpstr>
      <vt:lpstr>Organ__Dü!__xlnm.Print_Area</vt:lpstr>
      <vt:lpstr>Schw_Geflügel!__xlnm.Print_Area</vt:lpstr>
      <vt:lpstr>'System Immergrün'!__xlnm.Print_Area</vt:lpstr>
      <vt:lpstr>Tiere!__xlnm.Print_Area</vt:lpstr>
      <vt:lpstr>__xlnm.Print_Area</vt:lpstr>
      <vt:lpstr>__xlnm.Print_Area_3</vt:lpstr>
      <vt:lpstr>__xlnm.Print_Area_5</vt:lpstr>
      <vt:lpstr>__xlnm.Print_Area_6</vt:lpstr>
      <vt:lpstr>__xlnm.Print_Area_8</vt:lpstr>
      <vt:lpstr>__xlnm.Print_Area_9</vt:lpstr>
      <vt:lpstr>Auswahl_Kulturen</vt:lpstr>
      <vt:lpstr>Betriebskulturen</vt:lpstr>
      <vt:lpstr>Separierung!Brache_Acker</vt:lpstr>
      <vt:lpstr>Brache_Acker</vt:lpstr>
      <vt:lpstr>Beregnung!Druckbereich</vt:lpstr>
      <vt:lpstr>Betrieb!Druckbereich</vt:lpstr>
      <vt:lpstr>Bodennah!Druckbereich</vt:lpstr>
      <vt:lpstr>Düngeplanung!Druckbereich</vt:lpstr>
      <vt:lpstr>Ergebnis!Druckbereich</vt:lpstr>
      <vt:lpstr>Ertragsdokumentation!Druckbereich</vt:lpstr>
      <vt:lpstr>'Ertragsschätzung m3'!Druckbereich</vt:lpstr>
      <vt:lpstr>Hofdung!Druckbereich</vt:lpstr>
      <vt:lpstr>Info!Druckbereich</vt:lpstr>
      <vt:lpstr>Mineral!Druckbereich</vt:lpstr>
      <vt:lpstr>N_Bedarf!Druckbereich</vt:lpstr>
      <vt:lpstr>Organ__Dü!Druckbereich</vt:lpstr>
      <vt:lpstr>Schw_Geflügel!Druckbereich</vt:lpstr>
      <vt:lpstr>Separierung!Druckbereich</vt:lpstr>
      <vt:lpstr>'System Immergrün'!Druckbereich</vt:lpstr>
      <vt:lpstr>Tiere!Druckbereich</vt:lpstr>
      <vt:lpstr>Tierzahlen!Druckbereich</vt:lpstr>
      <vt:lpstr>'WD-Vertrag'!Druckbereich</vt:lpstr>
      <vt:lpstr>Weideblatt!Druckbereich</vt:lpstr>
      <vt:lpstr>Ertragsdokumentation!Ertrag_A10</vt:lpstr>
      <vt:lpstr>Ertragsdokumentation!Ertrag_A11</vt:lpstr>
      <vt:lpstr>Ertragsdokumentation!Ertrag_A12</vt:lpstr>
      <vt:lpstr>Ertragsdokumentation!Ertrag_A13</vt:lpstr>
      <vt:lpstr>Ertragsdokumentation!Ertrag_A14</vt:lpstr>
      <vt:lpstr>Ertragsdokumentation!Ertrag_A15</vt:lpstr>
      <vt:lpstr>Ertragsdokumentation!Ertrag_A16</vt:lpstr>
      <vt:lpstr>Ertragsdokumentation!Ertrag_A17</vt:lpstr>
      <vt:lpstr>Ertragsdokumentation!Ertrag_A18</vt:lpstr>
      <vt:lpstr>Ertragsdokumentation!Ertrag_A19</vt:lpstr>
      <vt:lpstr>Ertragsdokumentation!Ertrag_A20</vt:lpstr>
      <vt:lpstr>Ertragsdokumentation!Ertrag_A21</vt:lpstr>
      <vt:lpstr>Ertragsdokumentation!Ertrag_A8</vt:lpstr>
      <vt:lpstr>'Ertragsschätzung m3'!Ertrag_A9</vt:lpstr>
      <vt:lpstr>Ertragsdokumentation!ErtragA22_ErsatzA9</vt:lpstr>
      <vt:lpstr>Liste_Ertrag</vt:lpstr>
      <vt:lpstr>Liste_Ertrag_A5</vt:lpstr>
      <vt:lpstr>Liste_Ertrag_Grünland</vt:lpstr>
      <vt:lpstr>Liste_GL_Kulturen</vt:lpstr>
      <vt:lpstr>Liste_ja</vt:lpstr>
      <vt:lpstr>Liste_K_Bedarf</vt:lpstr>
      <vt:lpstr>Liste_Kulturen</vt:lpstr>
      <vt:lpstr>Liste_N_Bedarf</vt:lpstr>
      <vt:lpstr>Liste_N_GL</vt:lpstr>
      <vt:lpstr>Liste_OD</vt:lpstr>
      <vt:lpstr>Liste_P_Bedarf</vt:lpstr>
      <vt:lpstr>Liste_WD</vt:lpstr>
      <vt:lpstr>N_Bedarf_C30</vt:lpstr>
      <vt:lpstr>N_Bedarf_C31</vt:lpstr>
      <vt:lpstr>N_Bedarf_C32</vt:lpstr>
      <vt:lpstr>N_Bedarf_C33</vt:lpstr>
      <vt:lpstr>N_Bedarf_C34</vt:lpstr>
      <vt:lpstr>N_Bedarf_C35</vt:lpstr>
      <vt:lpstr>N_Bedarf_C36</vt:lpstr>
      <vt:lpstr>N_Bedarf_C37</vt:lpstr>
      <vt:lpstr>N_Bedarf_C38</vt:lpstr>
      <vt:lpstr>N_Bedarf_C39</vt:lpstr>
      <vt:lpstr>N_Bedarf_C40</vt:lpstr>
      <vt:lpstr>N_Bedarf_C41</vt:lpstr>
      <vt:lpstr>N_Bedarf_C42</vt:lpstr>
      <vt:lpstr>N_Bedarf_C43</vt:lpstr>
      <vt:lpstr>N_Bedarf_C44</vt:lpstr>
      <vt:lpstr>N_Bedarf_C45</vt:lpstr>
      <vt:lpstr>N_Bedarf_C46</vt:lpstr>
      <vt:lpstr>N_Bedarf_C47</vt:lpstr>
      <vt:lpstr>N_Bedarf_C48</vt:lpstr>
      <vt:lpstr>N_Bedarf_C49</vt:lpstr>
      <vt:lpstr>N_Bedarf_C50</vt:lpstr>
      <vt:lpstr>N_Bedarf_C51</vt:lpstr>
      <vt:lpstr>N_Bedarf_C52</vt:lpstr>
      <vt:lpstr>N_Bedarf_C53</vt:lpstr>
      <vt:lpstr>N_Bedarf_C54</vt:lpstr>
      <vt:lpstr>N_Bedarf_C55</vt:lpstr>
      <vt:lpstr>Tierliste_neu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Kriegner-Schramml Simon</dc:creator>
  <cp:lastModifiedBy>Kriegner-Schramml Simon</cp:lastModifiedBy>
  <cp:revision>3</cp:revision>
  <cp:lastPrinted>2024-02-14T14:27:17Z</cp:lastPrinted>
  <dcterms:created xsi:type="dcterms:W3CDTF">2013-06-14T08:12:25Z</dcterms:created>
  <dcterms:modified xsi:type="dcterms:W3CDTF">2025-11-27T11:02:24Z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FSC#LKOOEDOK@1000.3800:EigentuemerDienststelle">
    <vt:lpwstr>Boden.Wasser.Schutz.Beratung</vt:lpwstr>
  </property>
  <property fmtid="{D5CDD505-2E9C-101B-9397-08002B2CF9AE}" pid="9" name="FSC#LKOOEDOK@1000.3800:EigentuemerKostenstelleNr">
    <vt:lpwstr>131</vt:lpwstr>
  </property>
  <property fmtid="{D5CDD505-2E9C-101B-9397-08002B2CF9AE}" pid="10" name="FSC#LKOOEDOK@1000.3800:EigentuemerAnschrift">
    <vt:lpwstr/>
  </property>
  <property fmtid="{D5CDD505-2E9C-101B-9397-08002B2CF9AE}" pid="11" name="FSC#LKOOEDOK@1000.3800:EigentuemerPostort">
    <vt:lpwstr/>
  </property>
  <property fmtid="{D5CDD505-2E9C-101B-9397-08002B2CF9AE}" pid="12" name="FSC#LKOOEDOK@1000.3800:Objektname">
    <vt:lpwstr>LK DR inkl. BIO Tabellenblatt_Suchfunktion in DropDowns und Drop Downs in Mineraldüngern</vt:lpwstr>
  </property>
  <property fmtid="{D5CDD505-2E9C-101B-9397-08002B2CF9AE}" pid="13" name="FSC#LKOOEDOK@1000.3800:Betreff">
    <vt:lpwstr/>
  </property>
  <property fmtid="{D5CDD505-2E9C-101B-9397-08002B2CF9AE}" pid="14" name="FSC#LKOOEDOK@1000.3800:Gruppe">
    <vt:lpwstr>A-PFL (Abt Pflanzenbau)</vt:lpwstr>
  </property>
  <property fmtid="{D5CDD505-2E9C-101B-9397-08002B2CF9AE}" pid="15" name="FSC#LKOOEDOK@1000.3800:EigentuemerTelefon">
    <vt:lpwstr/>
  </property>
  <property fmtid="{D5CDD505-2E9C-101B-9397-08002B2CF9AE}" pid="16" name="FSC#LKOOEDOK@1000.3800:Versionsnummer">
    <vt:lpwstr>1</vt:lpwstr>
  </property>
  <property fmtid="{D5CDD505-2E9C-101B-9397-08002B2CF9AE}" pid="17" name="FSC#LKOOEDOK@1000.3800:EigentuemerName">
    <vt:lpwstr>Simon Kriegner-Schramml</vt:lpwstr>
  </property>
  <property fmtid="{D5CDD505-2E9C-101B-9397-08002B2CF9AE}" pid="18" name="FSC#LKOOEDOK@1000.3800:EigentuemerMaNr">
    <vt:lpwstr>2405</vt:lpwstr>
  </property>
  <property fmtid="{D5CDD505-2E9C-101B-9397-08002B2CF9AE}" pid="19" name="FSC#LKOOEDOK@1000.3800:EigentuemerEMail">
    <vt:lpwstr>simon.kriegner-schramml@lk-ooe.at</vt:lpwstr>
  </property>
  <property fmtid="{D5CDD505-2E9C-101B-9397-08002B2CF9AE}" pid="20" name="FSC#LKOOEDOK@1000.3800:EigentuemerPersonEMail">
    <vt:lpwstr>simon.kriegner-schramml@lk-ooe.at</vt:lpwstr>
  </property>
  <property fmtid="{D5CDD505-2E9C-101B-9397-08002B2CF9AE}" pid="21" name="FSC#LKOOEDOK@1000.3800:DstTelefon">
    <vt:lpwstr>+43 (50) 6902-1414</vt:lpwstr>
  </property>
  <property fmtid="{D5CDD505-2E9C-101B-9397-08002B2CF9AE}" pid="22" name="FSC#LKOOEDOK@1000.3800:DstPostort">
    <vt:lpwstr>4021 Linz</vt:lpwstr>
  </property>
  <property fmtid="{D5CDD505-2E9C-101B-9397-08002B2CF9AE}" pid="23" name="FSC#LKOOEDOK@1000.3800:DstOrt">
    <vt:lpwstr>Linz</vt:lpwstr>
  </property>
  <property fmtid="{D5CDD505-2E9C-101B-9397-08002B2CF9AE}" pid="24" name="FSC#LKOOEDOK@1000.3800:DstOrtKurz">
    <vt:lpwstr>Linz</vt:lpwstr>
  </property>
  <property fmtid="{D5CDD505-2E9C-101B-9397-08002B2CF9AE}" pid="25" name="FSC#LKOOEDOK@1000.3800:DstName">
    <vt:lpwstr>Pflanzenbau</vt:lpwstr>
  </property>
  <property fmtid="{D5CDD505-2E9C-101B-9397-08002B2CF9AE}" pid="26" name="FSC#LKOOEDOK@1000.3800:DstFax">
    <vt:lpwstr>+43 (50) 6902-91414</vt:lpwstr>
  </property>
  <property fmtid="{D5CDD505-2E9C-101B-9397-08002B2CF9AE}" pid="27" name="FSC#LKOOEDOK@1000.3800:DstEMail">
    <vt:lpwstr>pflanzenbau@lk-ooe.at</vt:lpwstr>
  </property>
  <property fmtid="{D5CDD505-2E9C-101B-9397-08002B2CF9AE}" pid="28" name="FSC#LKOOEDOK@1000.3800:DstAnschrift">
    <vt:lpwstr>Auf der Gugl 3</vt:lpwstr>
  </property>
  <property fmtid="{D5CDD505-2E9C-101B-9397-08002B2CF9AE}" pid="29" name="FSC#LKOOEDOK@1000.3800:AenderungsID">
    <vt:lpwstr>lk-ooe\kriesim</vt:lpwstr>
  </property>
  <property fmtid="{D5CDD505-2E9C-101B-9397-08002B2CF9AE}" pid="30" name="FSC#LKOOEDOK@1000.3800:EigentuemerID">
    <vt:lpwstr>lk-ooe\kriesim</vt:lpwstr>
  </property>
  <property fmtid="{D5CDD505-2E9C-101B-9397-08002B2CF9AE}" pid="31" name="FSC#LKOOEDOK@1000.3800:KundeName">
    <vt:lpwstr/>
  </property>
  <property fmtid="{D5CDD505-2E9C-101B-9397-08002B2CF9AE}" pid="32" name="FSC#LKOOEDOK@1000.3800:KundeStrasse">
    <vt:lpwstr/>
  </property>
  <property fmtid="{D5CDD505-2E9C-101B-9397-08002B2CF9AE}" pid="33" name="FSC#LKOOEDOK@1000.3800:KundeOrt">
    <vt:lpwstr/>
  </property>
  <property fmtid="{D5CDD505-2E9C-101B-9397-08002B2CF9AE}" pid="34" name="FSC#LKOOEDOK@1000.3800:AenderungsDatum">
    <vt:lpwstr>15.10.2021</vt:lpwstr>
  </property>
  <property fmtid="{D5CDD505-2E9C-101B-9397-08002B2CF9AE}" pid="35" name="FSC#LKOOEDOK@1000.3800:Adresse">
    <vt:lpwstr>COO.1000.3800.7.8177493</vt:lpwstr>
  </property>
  <property fmtid="{D5CDD505-2E9C-101B-9397-08002B2CF9AE}" pid="36" name="FSC#LKOOEDOK@1000.3800:KundeGrussformel">
    <vt:lpwstr>Sehr geehrte Damen und Herren</vt:lpwstr>
  </property>
  <property fmtid="{D5CDD505-2E9C-101B-9397-08002B2CF9AE}" pid="37" name="FSC#LKOOEDOK@1000.3800:KundeAnschrift">
    <vt:lpwstr/>
  </property>
  <property fmtid="{D5CDD505-2E9C-101B-9397-08002B2CF9AE}" pid="38" name="FSC#LKOOEDOK@1000.3800:KundeTelefon">
    <vt:lpwstr/>
  </property>
  <property fmtid="{D5CDD505-2E9C-101B-9397-08002B2CF9AE}" pid="39" name="FSC#LKOOEDOK@1000.3800:KundeEmail">
    <vt:lpwstr/>
  </property>
  <property fmtid="{D5CDD505-2E9C-101B-9397-08002B2CF9AE}" pid="40" name="FSC#LKOOEDOK@1000.3800:CurrDateTime">
    <vt:lpwstr>15.10.2021 15:54:10</vt:lpwstr>
  </property>
  <property fmtid="{D5CDD505-2E9C-101B-9397-08002B2CF9AE}" pid="41" name="FSC#LKOOEDOK@1000.3800:AuftragNummer">
    <vt:lpwstr/>
  </property>
  <property fmtid="{D5CDD505-2E9C-101B-9397-08002B2CF9AE}" pid="42" name="FSC#LKOOEDOK@1000.3800:Kategorie">
    <vt:lpwstr/>
  </property>
  <property fmtid="{D5CDD505-2E9C-101B-9397-08002B2CF9AE}" pid="43" name="FSC#LKOOEDOK@1000.3800:Titel">
    <vt:lpwstr/>
  </property>
  <property fmtid="{D5CDD505-2E9C-101B-9397-08002B2CF9AE}" pid="44" name="FSC#LKOOEDOK@1000.3800:Thema">
    <vt:lpwstr/>
  </property>
  <property fmtid="{D5CDD505-2E9C-101B-9397-08002B2CF9AE}" pid="45" name="FSC#LKOOEDOK@1000.3800:DatumVorlage">
    <vt:lpwstr/>
  </property>
  <property fmtid="{D5CDD505-2E9C-101B-9397-08002B2CF9AE}" pid="46" name="FSC#LKOOEDOK@1000.3800:Bereich">
    <vt:lpwstr/>
  </property>
  <property fmtid="{D5CDD505-2E9C-101B-9397-08002B2CF9AE}" pid="47" name="FSC#LKOOEDOK@1000.3800:Stichworte">
    <vt:lpwstr/>
  </property>
  <property fmtid="{D5CDD505-2E9C-101B-9397-08002B2CF9AE}" pid="48" name="FSC#LKOOEDOK@1000.3800:Kommentar">
    <vt:lpwstr/>
  </property>
  <property fmtid="{D5CDD505-2E9C-101B-9397-08002B2CF9AE}" pid="49" name="FSC#LKOOEDOK@1000.3800:ProduktEbene4">
    <vt:lpwstr/>
  </property>
  <property fmtid="{D5CDD505-2E9C-101B-9397-08002B2CF9AE}" pid="50" name="FSC#LKOOEDOK@1000.3800:Geburtsdatum">
    <vt:lpwstr/>
  </property>
  <property fmtid="{D5CDD505-2E9C-101B-9397-08002B2CF9AE}" pid="51" name="FSC#LKOOEDOK@1000.3800:KundeMobil">
    <vt:lpwstr/>
  </property>
  <property fmtid="{D5CDD505-2E9C-101B-9397-08002B2CF9AE}" pid="52" name="FSC#LKOOEDOK@1000.3800:KundeBNR">
    <vt:lpwstr/>
  </property>
  <property fmtid="{D5CDD505-2E9C-101B-9397-08002B2CF9AE}" pid="53" name="FSC#LKOOEDOK@1000.3800:KundeHomepage">
    <vt:lpwstr/>
  </property>
  <property fmtid="{D5CDD505-2E9C-101B-9397-08002B2CF9AE}" pid="54" name="FSC#COOELAK@1.1001:Subject">
    <vt:lpwstr/>
  </property>
  <property fmtid="{D5CDD505-2E9C-101B-9397-08002B2CF9AE}" pid="55" name="FSC#COOELAK@1.1001:Owner">
    <vt:lpwstr>Kriegner-Schramml Simon, BSc</vt:lpwstr>
  </property>
  <property fmtid="{D5CDD505-2E9C-101B-9397-08002B2CF9AE}" pid="56" name="FSC#COOELAK@1.1001:CreatedAt">
    <vt:lpwstr>14.10.2021</vt:lpwstr>
  </property>
  <property fmtid="{D5CDD505-2E9C-101B-9397-08002B2CF9AE}" pid="57" name="FSC#COOSYSTEM@1.1:Container">
    <vt:lpwstr>COO.1000.3800.7.8177493</vt:lpwstr>
  </property>
  <property fmtid="{D5CDD505-2E9C-101B-9397-08002B2CF9AE}" pid="58" name="FSC#FSCFOLIO@1.1001:docpropproject">
    <vt:lpwstr/>
  </property>
</Properties>
</file>